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defaultThemeVersion="166925"/>
  <mc:AlternateContent xmlns:mc="http://schemas.openxmlformats.org/markup-compatibility/2006">
    <mc:Choice Requires="x15">
      <x15ac:absPath xmlns:x15ac="http://schemas.microsoft.com/office/spreadsheetml/2010/11/ac" url="https://correounitec-my.sharepoint.com/personal/10183158_unitec_edu_co/Documents/Enterritorio/1_ Procesos de Selección Adelantados/Construcción ESAP NEIVA/Pagina WEB/"/>
    </mc:Choice>
  </mc:AlternateContent>
  <xr:revisionPtr revIDLastSave="0" documentId="8_{AE754DF6-652C-45C4-970B-ADD8883F74CA}" xr6:coauthVersionLast="47" xr6:coauthVersionMax="47" xr10:uidLastSave="{00000000-0000-0000-0000-000000000000}"/>
  <bookViews>
    <workbookView xWindow="-120" yWindow="-120" windowWidth="20730" windowHeight="11160" firstSheet="14" activeTab="14" xr2:uid="{00000000-000D-0000-FFFF-FFFF00000000}"/>
  </bookViews>
  <sheets>
    <sheet name="Neiva 2021 FASE I UNIFICADO" sheetId="2" state="hidden" r:id="rId1"/>
    <sheet name="Neiva 2021 FASE I UNIFICADO (2)" sheetId="3" state="hidden" r:id="rId2"/>
    <sheet name="Neiva 2022 FASE I ACTUAL (3)" sheetId="6" state="hidden" r:id="rId3"/>
    <sheet name="Neiva 2022 FASE I ACTUAL (4)" sheetId="8" state="hidden" r:id="rId4"/>
    <sheet name="Neiva 2022 FASE I ACTUAL (6)" sheetId="13" state="hidden" r:id="rId5"/>
    <sheet name="Neiva 2022 FASE I ACTUAL (5)" sheetId="10" state="hidden" r:id="rId6"/>
    <sheet name="ESAP NEIVA FASE II UNIFICADO" sheetId="1" state="hidden" r:id="rId7"/>
    <sheet name="ESAP NEIVA FASE II UNIFICAD (2)" sheetId="5" state="hidden" r:id="rId8"/>
    <sheet name="ESAP NEIVA FASE II UNIFICAD (3)" sheetId="7" state="hidden" r:id="rId9"/>
    <sheet name="ESAP NEIVA FASE II ACTUAL (4)" sheetId="9" state="hidden" r:id="rId10"/>
    <sheet name="PARA ENVÍO UNIFICADO" sheetId="11" state="hidden" r:id="rId11"/>
    <sheet name="PARA ENVÍO UNIFICADO (VANE)" sheetId="12" state="hidden" r:id="rId12"/>
    <sheet name="PARA ENVÍO UNIFICADO (CAMBIAR)" sheetId="18" state="hidden" r:id="rId13"/>
    <sheet name="PARA ENVÍO UNIFICADO (RESPUEST)" sheetId="15" state="hidden" r:id="rId14"/>
    <sheet name="ESAP NEIVA INA +100" sheetId="22" r:id="rId15"/>
    <sheet name="PARA ENVÍO UNIFICADO (VANE  (2)" sheetId="17" state="hidden" r:id="rId16"/>
    <sheet name="PARA ENVÍO UNIFICADO (VIEJO)" sheetId="14" state="hidden" r:id="rId17"/>
    <sheet name="APU ACERO REFUERZO" sheetId="4" state="hidden" r:id="rId18"/>
  </sheets>
  <externalReferences>
    <externalReference r:id="rId19"/>
    <externalReference r:id="rId20"/>
    <externalReference r:id="rId21"/>
  </externalReferences>
  <definedNames>
    <definedName name="_xlnm._FilterDatabase" localSheetId="14" hidden="1">'ESAP NEIVA INA +100'!$A$3:$D$733</definedName>
    <definedName name="_xlnm._FilterDatabase" localSheetId="12" hidden="1">'PARA ENVÍO UNIFICADO (CAMBIAR)'!$A$2:$F$732</definedName>
    <definedName name="_xlnm._FilterDatabase" localSheetId="13" hidden="1">'PARA ENVÍO UNIFICADO (RESPUEST)'!$A$2:$F$732</definedName>
    <definedName name="_xlnm._FilterDatabase" localSheetId="15" hidden="1">'PARA ENVÍO UNIFICADO (VANE  (2)'!$A$2:$H$732</definedName>
    <definedName name="aiu" localSheetId="14">#REF!</definedName>
    <definedName name="aiu">#REF!</definedName>
    <definedName name="_xlnm.Print_Area" localSheetId="17">'APU ACERO REFUERZO'!$A$1:$V$69</definedName>
    <definedName name="_xlnm.Print_Area" localSheetId="9">'ESAP NEIVA FASE II ACTUAL (4)'!$A$1:$F$728</definedName>
    <definedName name="_xlnm.Print_Area" localSheetId="7">'ESAP NEIVA FASE II UNIFICAD (2)'!$A$1:$F$728</definedName>
    <definedName name="_xlnm.Print_Area" localSheetId="8">'ESAP NEIVA FASE II UNIFICAD (3)'!$A$1:$F$728</definedName>
    <definedName name="_xlnm.Print_Area" localSheetId="6">'ESAP NEIVA FASE II UNIFICADO'!$A$1:$F$728</definedName>
    <definedName name="_xlnm.Print_Area" localSheetId="14">'ESAP NEIVA INA +100'!$A$1:$F$733</definedName>
    <definedName name="_xlnm.Print_Area" localSheetId="0">'Neiva 2021 FASE I UNIFICADO'!$B$1:$G$548</definedName>
    <definedName name="_xlnm.Print_Area" localSheetId="1">'Neiva 2021 FASE I UNIFICADO (2)'!$B$1:$G$548</definedName>
    <definedName name="_xlnm.Print_Area" localSheetId="2">'Neiva 2022 FASE I ACTUAL (3)'!$B$1:$G$548</definedName>
    <definedName name="_xlnm.Print_Area" localSheetId="3">'Neiva 2022 FASE I ACTUAL (4)'!$B$1:$G$548</definedName>
    <definedName name="_xlnm.Print_Area" localSheetId="5">'Neiva 2022 FASE I ACTUAL (5)'!$B$1:$G$548</definedName>
    <definedName name="_xlnm.Print_Area" localSheetId="4">'Neiva 2022 FASE I ACTUAL (6)'!$B$1:$G$548</definedName>
    <definedName name="_xlnm.Print_Area" localSheetId="10">'PARA ENVÍO UNIFICADO'!$A$1:$I$728</definedName>
    <definedName name="_xlnm.Print_Area" localSheetId="12">'PARA ENVÍO UNIFICADO (CAMBIAR)'!$A$1:$F$732</definedName>
    <definedName name="_xlnm.Print_Area" localSheetId="13">'PARA ENVÍO UNIFICADO (RESPUEST)'!$A$1:$F$732</definedName>
    <definedName name="_xlnm.Print_Area" localSheetId="15">'PARA ENVÍO UNIFICADO (VANE  (2)'!$A$1:$H$732</definedName>
    <definedName name="_xlnm.Print_Area" localSheetId="11">'PARA ENVÍO UNIFICADO (VANE)'!$A$1:$H$738</definedName>
    <definedName name="_xlnm.Print_Area" localSheetId="16">'PARA ENVÍO UNIFICADO (VIEJO)'!$B$2:$I$739</definedName>
    <definedName name="cuad2">[1]Cuadrillas!$A$11:$I$75</definedName>
    <definedName name="Cuadrillas" localSheetId="14">#REF!</definedName>
    <definedName name="Cuadrillas">#REF!</definedName>
    <definedName name="Descrip_cuadrillas" localSheetId="14">#REF!</definedName>
    <definedName name="Descrip_cuadrillas">#REF!</definedName>
    <definedName name="Descrip_equipos" localSheetId="14">#REF!</definedName>
    <definedName name="Descrip_equipos">#REF!</definedName>
    <definedName name="Descrip_transporte" localSheetId="14">#REF!</definedName>
    <definedName name="Descrip_transporte">#REF!</definedName>
    <definedName name="Descripción" localSheetId="14">#REF!</definedName>
    <definedName name="Descripción">#REF!</definedName>
    <definedName name="Equipos" localSheetId="14">#REF!</definedName>
    <definedName name="Equipos">#REF!</definedName>
    <definedName name="item">[2]PRESUPUESTO!$A$13:$G$1096</definedName>
    <definedName name="Item2">'[2]Formato FONADE'!$A$17:$D$58</definedName>
    <definedName name="List_cuadrillas" localSheetId="14">#REF!</definedName>
    <definedName name="List_cuadrillas">#REF!</definedName>
    <definedName name="Materiales" localSheetId="14">#REF!</definedName>
    <definedName name="Materiales">#REF!</definedName>
    <definedName name="PA" localSheetId="14">[2]PRESUPUESTO!#REF!</definedName>
    <definedName name="PA">[2]PRESUPUESTO!#REF!</definedName>
    <definedName name="PB" localSheetId="14">[2]PRESUPUESTO!#REF!</definedName>
    <definedName name="PB">[2]PRESUPUESTO!#REF!</definedName>
    <definedName name="PC" localSheetId="14">[2]PRESUPUESTO!#REF!</definedName>
    <definedName name="PC">[2]PRESUPUESTO!#REF!</definedName>
    <definedName name="PE" localSheetId="14">[2]PRESUPUESTO!#REF!</definedName>
    <definedName name="PE">[2]PRESUPUESTO!#REF!</definedName>
    <definedName name="PL" localSheetId="14">[2]PRESUPUESTO!#REF!</definedName>
    <definedName name="PL">[2]PRESUPUESTO!#REF!</definedName>
    <definedName name="pñ" localSheetId="14">[2]PRESUPUESTO!#REF!</definedName>
    <definedName name="pñ">[2]PRESUPUESTO!#REF!</definedName>
    <definedName name="po" localSheetId="14">[2]PRESUPUESTO!#REF!</definedName>
    <definedName name="po">[2]PRESUPUESTO!#REF!</definedName>
    <definedName name="SA" localSheetId="14">[2]PRESUPUESTO!#REF!</definedName>
    <definedName name="SA">[2]PRESUPUESTO!#REF!</definedName>
    <definedName name="Salarios" localSheetId="14">#REF!</definedName>
    <definedName name="Salarios">#REF!</definedName>
    <definedName name="SB" localSheetId="14">[2]PRESUPUESTO!#REF!</definedName>
    <definedName name="SB">[2]PRESUPUESTO!#REF!</definedName>
    <definedName name="SC" localSheetId="14">[2]PRESUPUESTO!#REF!</definedName>
    <definedName name="SC">[2]PRESUPUESTO!#REF!</definedName>
    <definedName name="SE" localSheetId="14">[2]PRESUPUESTO!#REF!</definedName>
    <definedName name="SE">[2]PRESUPUESTO!#REF!</definedName>
    <definedName name="SL" localSheetId="14">[2]PRESUPUESTO!#REF!</definedName>
    <definedName name="SL">[2]PRESUPUESTO!#REF!</definedName>
    <definedName name="SUBTOTAL" localSheetId="14">#REF!</definedName>
    <definedName name="SUBTOTAL">#REF!</definedName>
    <definedName name="TA" localSheetId="14">[2]PRESUPUESTO!#REF!</definedName>
    <definedName name="TA">[2]PRESUPUESTO!#REF!</definedName>
    <definedName name="TB" localSheetId="14">[2]PRESUPUESTO!#REF!</definedName>
    <definedName name="TB">[2]PRESUPUESTO!#REF!</definedName>
    <definedName name="TC" localSheetId="14">[2]PRESUPUESTO!#REF!</definedName>
    <definedName name="TC">[2]PRESUPUESTO!#REF!</definedName>
    <definedName name="TE" localSheetId="14">[2]PRESUPUESTO!#REF!</definedName>
    <definedName name="TE">[2]PRESUPUESTO!#REF!</definedName>
    <definedName name="_xlnm.Print_Titles" localSheetId="17">'APU ACERO REFUERZO'!$1:$15</definedName>
    <definedName name="_xlnm.Print_Titles" localSheetId="9">'ESAP NEIVA FASE II ACTUAL (4)'!$2:$4</definedName>
    <definedName name="_xlnm.Print_Titles" localSheetId="7">'ESAP NEIVA FASE II UNIFICAD (2)'!$2:$4</definedName>
    <definedName name="_xlnm.Print_Titles" localSheetId="8">'ESAP NEIVA FASE II UNIFICAD (3)'!$2:$4</definedName>
    <definedName name="_xlnm.Print_Titles" localSheetId="6">'ESAP NEIVA FASE II UNIFICADO'!$2:$4</definedName>
    <definedName name="_xlnm.Print_Titles" localSheetId="14">'ESAP NEIVA INA +100'!$1:$3</definedName>
    <definedName name="_xlnm.Print_Titles" localSheetId="10">'PARA ENVÍO UNIFICADO'!$2:$4</definedName>
    <definedName name="_xlnm.Print_Titles" localSheetId="12">'PARA ENVÍO UNIFICADO (CAMBIAR)'!$1:$2</definedName>
    <definedName name="_xlnm.Print_Titles" localSheetId="13">'PARA ENVÍO UNIFICADO (RESPUEST)'!$1:$2</definedName>
    <definedName name="_xlnm.Print_Titles" localSheetId="15">'PARA ENVÍO UNIFICADO (VANE  (2)'!$1:$2</definedName>
    <definedName name="_xlnm.Print_Titles" localSheetId="11">'PARA ENVÍO UNIFICADO (VANE)'!$1:$3</definedName>
    <definedName name="_xlnm.Print_Titles" localSheetId="16">'PARA ENVÍO UNIFICADO (VIEJO)'!$2:$4</definedName>
    <definedName name="TL" localSheetId="14">[2]PRESUPUESTO!#REF!</definedName>
    <definedName name="TL">[2]PRESUPUESTO!#REF!</definedName>
    <definedName name="TotalContratoSinIVA" localSheetId="14">'ESAP NEIVA INA +100'!$C$28</definedName>
    <definedName name="TotalContratoSinIVA" localSheetId="10">'PARA ENVÍO UNIFICADO'!$D$33</definedName>
    <definedName name="TotalContratoSinIVA" localSheetId="12">'PARA ENVÍO UNIFICADO (CAMBIAR)'!$C$27</definedName>
    <definedName name="TotalContratoSinIVA" localSheetId="13">'PARA ENVÍO UNIFICADO (RESPUEST)'!$C$27</definedName>
    <definedName name="TotalContratoSinIVA" localSheetId="15">'PARA ENVÍO UNIFICADO (VANE  (2)'!$C$27</definedName>
    <definedName name="TotalContratoSinIVA" localSheetId="11">'PARA ENVÍO UNIFICADO (VANE)'!$C$32</definedName>
    <definedName name="TotalContratoSinIVA" localSheetId="16">'PARA ENVÍO UNIFICADO (VIEJO)'!$D$33</definedName>
    <definedName name="TotalContratoSinIVA">'ESAP NEIVA FASE II ACTUAL (4)'!$D$33</definedName>
    <definedName name="Transporte" localSheetId="14">#REF!</definedName>
    <definedName name="Transporte">#REF!</definedName>
    <definedName name="TTA" localSheetId="14">[2]PRESUPUESTO!#REF!</definedName>
    <definedName name="TTA">[2]PRESUPUESTO!#REF!</definedName>
    <definedName name="TTB" localSheetId="14">[2]PRESUPUESTO!#REF!</definedName>
    <definedName name="TTB">[2]PRESUPUESTO!#REF!</definedName>
    <definedName name="TTC" localSheetId="14">[2]PRESUPUESTO!#REF!</definedName>
    <definedName name="TTC">[2]PRESUPUESTO!#REF!</definedName>
    <definedName name="TTE" localSheetId="14">[2]PRESUPUESTO!#REF!</definedName>
    <definedName name="TTE">[2]PRESUPUESTO!#REF!</definedName>
    <definedName name="TTL" localSheetId="14">[2]PRESUPUESTO!#REF!</definedName>
    <definedName name="TTL">[2]PRESUPUESTO!#REF!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732" i="22" l="1"/>
  <c r="F724" i="22"/>
  <c r="F723" i="22"/>
  <c r="F722" i="22"/>
  <c r="F721" i="22"/>
  <c r="F720" i="22"/>
  <c r="F719" i="22"/>
  <c r="F718" i="22"/>
  <c r="F717" i="22"/>
  <c r="F716" i="22"/>
  <c r="F714" i="22"/>
  <c r="F713" i="22"/>
  <c r="F712" i="22"/>
  <c r="F711" i="22"/>
  <c r="F710" i="22"/>
  <c r="F709" i="22"/>
  <c r="F708" i="22"/>
  <c r="F707" i="22"/>
  <c r="F705" i="22"/>
  <c r="F704" i="22"/>
  <c r="F703" i="22"/>
  <c r="F702" i="22"/>
  <c r="F701" i="22"/>
  <c r="F700" i="22"/>
  <c r="F699" i="22"/>
  <c r="F698" i="22"/>
  <c r="F697" i="22"/>
  <c r="F696" i="22"/>
  <c r="F694" i="22"/>
  <c r="F693" i="22"/>
  <c r="F692" i="22"/>
  <c r="F691" i="22"/>
  <c r="F690" i="22"/>
  <c r="F689" i="22"/>
  <c r="F688" i="22"/>
  <c r="F687" i="22"/>
  <c r="F686" i="22"/>
  <c r="F685" i="22"/>
  <c r="F683" i="22"/>
  <c r="F682" i="22"/>
  <c r="F681" i="22"/>
  <c r="F680" i="22"/>
  <c r="F679" i="22"/>
  <c r="F678" i="22"/>
  <c r="F677" i="22"/>
  <c r="F674" i="22"/>
  <c r="F673" i="22"/>
  <c r="F671" i="22"/>
  <c r="F670" i="22"/>
  <c r="F669" i="22"/>
  <c r="F668" i="22"/>
  <c r="F666" i="22"/>
  <c r="F665" i="22"/>
  <c r="F664" i="22"/>
  <c r="F663" i="22"/>
  <c r="F662" i="22"/>
  <c r="F661" i="22"/>
  <c r="F660" i="22"/>
  <c r="F659" i="22"/>
  <c r="F658" i="22"/>
  <c r="F657" i="22"/>
  <c r="F656" i="22"/>
  <c r="F655" i="22"/>
  <c r="F653" i="22"/>
  <c r="F652" i="22"/>
  <c r="F651" i="22"/>
  <c r="F649" i="22"/>
  <c r="F648" i="22"/>
  <c r="F647" i="22"/>
  <c r="F645" i="22"/>
  <c r="F644" i="22"/>
  <c r="F643" i="22"/>
  <c r="F642" i="22"/>
  <c r="F641" i="22"/>
  <c r="F640" i="22"/>
  <c r="F638" i="22"/>
  <c r="F636" i="22"/>
  <c r="F635" i="22"/>
  <c r="F634" i="22"/>
  <c r="F633" i="22"/>
  <c r="F630" i="22"/>
  <c r="F629" i="22"/>
  <c r="F628" i="22"/>
  <c r="F627" i="22"/>
  <c r="F626" i="22"/>
  <c r="F625" i="22"/>
  <c r="F624" i="22"/>
  <c r="F623" i="22"/>
  <c r="F622" i="22"/>
  <c r="F621" i="22"/>
  <c r="F620" i="22"/>
  <c r="F618" i="22"/>
  <c r="F617" i="22"/>
  <c r="F616" i="22"/>
  <c r="F615" i="22"/>
  <c r="F614" i="22"/>
  <c r="F612" i="22"/>
  <c r="F611" i="22"/>
  <c r="F610" i="22"/>
  <c r="F609" i="22"/>
  <c r="F608" i="22"/>
  <c r="F607" i="22"/>
  <c r="F606" i="22"/>
  <c r="F605" i="22"/>
  <c r="F604" i="22"/>
  <c r="F603" i="22"/>
  <c r="F602" i="22"/>
  <c r="F601" i="22"/>
  <c r="F600" i="22"/>
  <c r="F599" i="22"/>
  <c r="F597" i="22"/>
  <c r="F596" i="22"/>
  <c r="F595" i="22"/>
  <c r="F594" i="22"/>
  <c r="F593" i="22"/>
  <c r="F592" i="22"/>
  <c r="F590" i="22"/>
  <c r="F589" i="22"/>
  <c r="F588" i="22"/>
  <c r="F587" i="22"/>
  <c r="F586" i="22"/>
  <c r="F585" i="22"/>
  <c r="F584" i="22"/>
  <c r="F583" i="22"/>
  <c r="F582" i="22"/>
  <c r="F581" i="22"/>
  <c r="F580" i="22"/>
  <c r="F579" i="22"/>
  <c r="F578" i="22"/>
  <c r="F577" i="22"/>
  <c r="F576" i="22"/>
  <c r="F575" i="22"/>
  <c r="F574" i="22"/>
  <c r="F573" i="22"/>
  <c r="F572" i="22"/>
  <c r="F571" i="22"/>
  <c r="F570" i="22"/>
  <c r="F569" i="22"/>
  <c r="F568" i="22"/>
  <c r="F567" i="22"/>
  <c r="F566" i="22"/>
  <c r="F565" i="22"/>
  <c r="F564" i="22"/>
  <c r="F563" i="22"/>
  <c r="F562" i="22"/>
  <c r="F561" i="22"/>
  <c r="F560" i="22"/>
  <c r="F559" i="22"/>
  <c r="F558" i="22"/>
  <c r="F557" i="22"/>
  <c r="F556" i="22"/>
  <c r="F555" i="22"/>
  <c r="F554" i="22"/>
  <c r="F552" i="22"/>
  <c r="F551" i="22"/>
  <c r="F550" i="22"/>
  <c r="F549" i="22"/>
  <c r="F548" i="22"/>
  <c r="F547" i="22"/>
  <c r="F546" i="22"/>
  <c r="F545" i="22"/>
  <c r="F543" i="22"/>
  <c r="F542" i="22"/>
  <c r="F541" i="22"/>
  <c r="F540" i="22"/>
  <c r="F539" i="22"/>
  <c r="F538" i="22"/>
  <c r="F537" i="22"/>
  <c r="F536" i="22"/>
  <c r="F534" i="22"/>
  <c r="F533" i="22"/>
  <c r="F532" i="22"/>
  <c r="F531" i="22"/>
  <c r="F530" i="22"/>
  <c r="F529" i="22"/>
  <c r="F528" i="22"/>
  <c r="F527" i="22"/>
  <c r="F526" i="22"/>
  <c r="F525" i="22"/>
  <c r="F524" i="22"/>
  <c r="F523" i="22"/>
  <c r="F522" i="22"/>
  <c r="F521" i="22"/>
  <c r="F520" i="22"/>
  <c r="F517" i="22"/>
  <c r="F516" i="22"/>
  <c r="F515" i="22"/>
  <c r="F514" i="22"/>
  <c r="F513" i="22"/>
  <c r="F512" i="22"/>
  <c r="F511" i="22"/>
  <c r="F510" i="22"/>
  <c r="F509" i="22"/>
  <c r="F506" i="22"/>
  <c r="F505" i="22"/>
  <c r="F504" i="22"/>
  <c r="F503" i="22"/>
  <c r="F502" i="22"/>
  <c r="F500" i="22"/>
  <c r="F498" i="22"/>
  <c r="F497" i="22"/>
  <c r="F496" i="22"/>
  <c r="F495" i="22"/>
  <c r="F494" i="22"/>
  <c r="F493" i="22"/>
  <c r="F492" i="22"/>
  <c r="F491" i="22"/>
  <c r="F490" i="22"/>
  <c r="F489" i="22"/>
  <c r="F488" i="22"/>
  <c r="F487" i="22"/>
  <c r="F476" i="22"/>
  <c r="F477" i="22"/>
  <c r="F478" i="22"/>
  <c r="F479" i="22"/>
  <c r="F480" i="22"/>
  <c r="F481" i="22"/>
  <c r="F482" i="22"/>
  <c r="F483" i="22"/>
  <c r="F484" i="22"/>
  <c r="F485" i="22"/>
  <c r="F473" i="22"/>
  <c r="F474" i="22"/>
  <c r="F467" i="22"/>
  <c r="F468" i="22"/>
  <c r="F469" i="22"/>
  <c r="F470" i="22"/>
  <c r="F471" i="22"/>
  <c r="F461" i="22"/>
  <c r="F462" i="22"/>
  <c r="F463" i="22"/>
  <c r="F464" i="22"/>
  <c r="F465" i="22"/>
  <c r="F457" i="22"/>
  <c r="F458" i="22"/>
  <c r="F459" i="22"/>
  <c r="F455" i="22"/>
  <c r="F447" i="22"/>
  <c r="F448" i="22"/>
  <c r="F449" i="22"/>
  <c r="F450" i="22"/>
  <c r="F451" i="22"/>
  <c r="F452" i="22"/>
  <c r="F453" i="22"/>
  <c r="F444" i="22"/>
  <c r="F445" i="22"/>
  <c r="F427" i="22"/>
  <c r="F428" i="22"/>
  <c r="F429" i="22"/>
  <c r="F430" i="22"/>
  <c r="F431" i="22"/>
  <c r="F432" i="22"/>
  <c r="F433" i="22"/>
  <c r="F434" i="22"/>
  <c r="F435" i="22"/>
  <c r="F436" i="22"/>
  <c r="F437" i="22"/>
  <c r="F438" i="22"/>
  <c r="F439" i="22"/>
  <c r="F440" i="22"/>
  <c r="F441" i="22"/>
  <c r="F442" i="22"/>
  <c r="F423" i="22"/>
  <c r="F424" i="22"/>
  <c r="F425" i="22"/>
  <c r="F412" i="22"/>
  <c r="F413" i="22"/>
  <c r="F414" i="22"/>
  <c r="F415" i="22"/>
  <c r="F416" i="22"/>
  <c r="F417" i="22"/>
  <c r="F418" i="22"/>
  <c r="F419" i="22"/>
  <c r="F420" i="22"/>
  <c r="F421" i="22"/>
  <c r="F409" i="22"/>
  <c r="F410" i="22"/>
  <c r="F402" i="22"/>
  <c r="F403" i="22"/>
  <c r="F404" i="22"/>
  <c r="F405" i="22"/>
  <c r="F406" i="22"/>
  <c r="F407" i="22"/>
  <c r="F396" i="22"/>
  <c r="F397" i="22"/>
  <c r="F398" i="22"/>
  <c r="F399" i="22"/>
  <c r="F390" i="22"/>
  <c r="F391" i="22"/>
  <c r="F392" i="22"/>
  <c r="F393" i="22"/>
  <c r="F394" i="22"/>
  <c r="F373" i="22"/>
  <c r="F374" i="22"/>
  <c r="F375" i="22"/>
  <c r="F376" i="22"/>
  <c r="F377" i="22"/>
  <c r="F378" i="22"/>
  <c r="F379" i="22"/>
  <c r="F380" i="22"/>
  <c r="F381" i="22"/>
  <c r="F382" i="22"/>
  <c r="F383" i="22"/>
  <c r="F384" i="22"/>
  <c r="F385" i="22"/>
  <c r="F386" i="22"/>
  <c r="F387" i="22"/>
  <c r="F388" i="22"/>
  <c r="F356" i="22"/>
  <c r="F357" i="22"/>
  <c r="F358" i="22"/>
  <c r="F359" i="22"/>
  <c r="F360" i="22"/>
  <c r="F361" i="22"/>
  <c r="F362" i="22"/>
  <c r="F363" i="22"/>
  <c r="F364" i="22"/>
  <c r="F365" i="22"/>
  <c r="F366" i="22"/>
  <c r="F367" i="22"/>
  <c r="F368" i="22"/>
  <c r="F369" i="22"/>
  <c r="F370" i="22"/>
  <c r="F342" i="22"/>
  <c r="F343" i="22"/>
  <c r="F344" i="22"/>
  <c r="F345" i="22"/>
  <c r="F346" i="22"/>
  <c r="F347" i="22"/>
  <c r="F348" i="22"/>
  <c r="F349" i="22"/>
  <c r="F350" i="22"/>
  <c r="F351" i="22"/>
  <c r="F352" i="22"/>
  <c r="F353" i="22"/>
  <c r="F354" i="22"/>
  <c r="F337" i="22"/>
  <c r="F338" i="22"/>
  <c r="F339" i="22"/>
  <c r="F332" i="22"/>
  <c r="F333" i="22"/>
  <c r="F334" i="22"/>
  <c r="F335" i="22"/>
  <c r="F317" i="22"/>
  <c r="F318" i="22"/>
  <c r="F319" i="22"/>
  <c r="F320" i="22"/>
  <c r="F321" i="22"/>
  <c r="F322" i="22"/>
  <c r="F323" i="22"/>
  <c r="F324" i="22"/>
  <c r="F325" i="22"/>
  <c r="F326" i="22"/>
  <c r="F327" i="22"/>
  <c r="F328" i="22"/>
  <c r="F329" i="22"/>
  <c r="F330" i="22"/>
  <c r="F308" i="22"/>
  <c r="F309" i="22"/>
  <c r="F310" i="22"/>
  <c r="F311" i="22"/>
  <c r="F312" i="22"/>
  <c r="F313" i="22"/>
  <c r="F314" i="22"/>
  <c r="F315" i="22"/>
  <c r="F288" i="22"/>
  <c r="F289" i="22"/>
  <c r="F290" i="22"/>
  <c r="F291" i="22"/>
  <c r="F292" i="22"/>
  <c r="F293" i="22"/>
  <c r="F294" i="22"/>
  <c r="F295" i="22"/>
  <c r="F296" i="22"/>
  <c r="F297" i="22"/>
  <c r="F298" i="22"/>
  <c r="F299" i="22"/>
  <c r="F300" i="22"/>
  <c r="F301" i="22"/>
  <c r="F302" i="22"/>
  <c r="F303" i="22"/>
  <c r="F304" i="22"/>
  <c r="F305" i="22"/>
  <c r="F306"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55" i="22"/>
  <c r="F248" i="22"/>
  <c r="F249" i="22"/>
  <c r="F250" i="22"/>
  <c r="F251" i="22"/>
  <c r="F252" i="22"/>
  <c r="F253" i="22"/>
  <c r="F243" i="22"/>
  <c r="F244" i="22"/>
  <c r="F245" i="22"/>
  <c r="F246" i="22"/>
  <c r="F237" i="22"/>
  <c r="F238" i="22"/>
  <c r="F239" i="22"/>
  <c r="F240" i="22"/>
  <c r="F241" i="22"/>
  <c r="F235" i="22"/>
  <c r="F232" i="22"/>
  <c r="F233" i="22"/>
  <c r="F228" i="22"/>
  <c r="F229" i="22"/>
  <c r="F230" i="22"/>
  <c r="F225" i="22"/>
  <c r="F223" i="22"/>
  <c r="F222" i="22"/>
  <c r="F220" i="22"/>
  <c r="F217" i="22"/>
  <c r="F208" i="22"/>
  <c r="F209" i="22"/>
  <c r="F210" i="22"/>
  <c r="F211" i="22"/>
  <c r="F212" i="22"/>
  <c r="F213" i="22"/>
  <c r="F214" i="22"/>
  <c r="F215" i="22"/>
  <c r="F201" i="22"/>
  <c r="F202" i="22"/>
  <c r="F203" i="22"/>
  <c r="F204" i="22"/>
  <c r="F205" i="22"/>
  <c r="F206" i="22"/>
  <c r="F194" i="22"/>
  <c r="F195" i="22"/>
  <c r="F196" i="22"/>
  <c r="F197" i="22"/>
  <c r="F198" i="22"/>
  <c r="F199" i="22"/>
  <c r="F186" i="22"/>
  <c r="F187" i="22"/>
  <c r="F188" i="22"/>
  <c r="F189" i="22"/>
  <c r="F190" i="22"/>
  <c r="F191" i="22"/>
  <c r="F192" i="22"/>
  <c r="F181" i="22"/>
  <c r="F182" i="22"/>
  <c r="F183" i="22"/>
  <c r="F184" i="22"/>
  <c r="F173" i="22"/>
  <c r="F174" i="22"/>
  <c r="F175" i="22"/>
  <c r="F176" i="22"/>
  <c r="F177" i="22"/>
  <c r="F178" i="22"/>
  <c r="F166" i="22"/>
  <c r="F167" i="22"/>
  <c r="F168" i="22"/>
  <c r="F169" i="22"/>
  <c r="F170" i="22"/>
  <c r="F171" i="22"/>
  <c r="F158" i="22"/>
  <c r="F159" i="22"/>
  <c r="F160" i="22"/>
  <c r="F161" i="22"/>
  <c r="F162" i="22"/>
  <c r="F163" i="22"/>
  <c r="F164" i="22"/>
  <c r="F153" i="22"/>
  <c r="F154" i="22"/>
  <c r="F155" i="22"/>
  <c r="F156" i="22"/>
  <c r="F150" i="22"/>
  <c r="F145" i="22"/>
  <c r="F146" i="22"/>
  <c r="F147" i="22"/>
  <c r="F148" i="22"/>
  <c r="F143" i="22"/>
  <c r="F142" i="22"/>
  <c r="F141" i="22"/>
  <c r="F140" i="22"/>
  <c r="F139" i="22"/>
  <c r="F137" i="22"/>
  <c r="F136" i="22"/>
  <c r="F134" i="22"/>
  <c r="F131" i="22"/>
  <c r="F130" i="22"/>
  <c r="F128" i="22"/>
  <c r="F127" i="22"/>
  <c r="F126" i="22"/>
  <c r="F124" i="22"/>
  <c r="F123" i="22"/>
  <c r="F122" i="22"/>
  <c r="F120" i="22"/>
  <c r="F119" i="22"/>
  <c r="F118" i="22"/>
  <c r="F117" i="22"/>
  <c r="F116" i="22"/>
  <c r="F114" i="22"/>
  <c r="F113" i="22"/>
  <c r="F111" i="22"/>
  <c r="F110" i="22"/>
  <c r="F109" i="22"/>
  <c r="F106" i="22"/>
  <c r="F105" i="22"/>
  <c r="F104" i="22"/>
  <c r="F102" i="22"/>
  <c r="F101" i="22"/>
  <c r="F100" i="22"/>
  <c r="F99" i="22"/>
  <c r="F98" i="22"/>
  <c r="F97" i="22"/>
  <c r="F95" i="22"/>
  <c r="F94" i="22"/>
  <c r="F93" i="22"/>
  <c r="F92" i="22"/>
  <c r="F91" i="22"/>
  <c r="F90" i="22"/>
  <c r="F88" i="22"/>
  <c r="F87" i="22"/>
  <c r="F86" i="22"/>
  <c r="F85" i="22"/>
  <c r="F84" i="22"/>
  <c r="F83" i="22"/>
  <c r="F81" i="22"/>
  <c r="F80" i="22"/>
  <c r="F79" i="22"/>
  <c r="F78" i="22"/>
  <c r="F77" i="22"/>
  <c r="F76" i="22"/>
  <c r="F74" i="22"/>
  <c r="F73" i="22"/>
  <c r="F71" i="22"/>
  <c r="F70" i="22"/>
  <c r="F69" i="22"/>
  <c r="F68" i="22"/>
  <c r="F67" i="22"/>
  <c r="F66" i="22"/>
  <c r="F65" i="22"/>
  <c r="F62" i="22"/>
  <c r="F61" i="22"/>
  <c r="F60" i="22"/>
  <c r="F59" i="22"/>
  <c r="F57" i="22"/>
  <c r="F56" i="22"/>
  <c r="F54" i="22"/>
  <c r="F53" i="22"/>
  <c r="F51" i="22"/>
  <c r="F50" i="22"/>
  <c r="F47" i="22"/>
  <c r="F46" i="22"/>
  <c r="F45" i="22"/>
  <c r="F43" i="22"/>
  <c r="F42" i="22"/>
  <c r="F40" i="22"/>
  <c r="F39" i="22"/>
  <c r="F38" i="22"/>
  <c r="F37" i="22"/>
  <c r="F36" i="22"/>
  <c r="F34" i="22"/>
  <c r="F33" i="22"/>
  <c r="F32" i="22"/>
  <c r="F30" i="22"/>
  <c r="F29" i="22"/>
  <c r="F26" i="22"/>
  <c r="F25" i="22"/>
  <c r="F23" i="22"/>
  <c r="F21" i="22"/>
  <c r="F20" i="22"/>
  <c r="F19" i="22"/>
  <c r="F18" i="22"/>
  <c r="F16" i="22"/>
  <c r="F15" i="22"/>
  <c r="F14" i="22"/>
  <c r="F13" i="22"/>
  <c r="F10" i="22"/>
  <c r="F8" i="22"/>
  <c r="F7" i="22"/>
  <c r="F6" i="22"/>
  <c r="F5" i="22"/>
  <c r="F715" i="22" l="1"/>
  <c r="F706" i="22"/>
  <c r="F695" i="22"/>
  <c r="F684" i="22"/>
  <c r="F676" i="22"/>
  <c r="F675" i="22"/>
  <c r="F672" i="22"/>
  <c r="F667" i="22"/>
  <c r="F654" i="22"/>
  <c r="F650" i="22"/>
  <c r="F646" i="22"/>
  <c r="F639" i="22"/>
  <c r="F637" i="22"/>
  <c r="F632" i="22"/>
  <c r="F631" i="22"/>
  <c r="F619" i="22"/>
  <c r="F613" i="22"/>
  <c r="F598" i="22"/>
  <c r="F591" i="22"/>
  <c r="F553" i="22"/>
  <c r="F544" i="22"/>
  <c r="F535" i="22"/>
  <c r="F519" i="22"/>
  <c r="F518" i="22"/>
  <c r="F508" i="22"/>
  <c r="F507" i="22"/>
  <c r="F501" i="22"/>
  <c r="F499" i="22"/>
  <c r="F486" i="22"/>
  <c r="F475" i="22"/>
  <c r="F472" i="22"/>
  <c r="F466" i="22"/>
  <c r="F460" i="22"/>
  <c r="F456" i="22"/>
  <c r="F454" i="22"/>
  <c r="F446" i="22"/>
  <c r="F443" i="22"/>
  <c r="F426" i="22"/>
  <c r="F422" i="22"/>
  <c r="F411" i="22"/>
  <c r="F408" i="22"/>
  <c r="F401" i="22"/>
  <c r="F400" i="22"/>
  <c r="F395" i="22"/>
  <c r="F389" i="22"/>
  <c r="F372" i="22"/>
  <c r="F371" i="22"/>
  <c r="F355" i="22"/>
  <c r="F341" i="22"/>
  <c r="F340" i="22"/>
  <c r="F336" i="22"/>
  <c r="F331" i="22"/>
  <c r="F316" i="22"/>
  <c r="F307" i="22"/>
  <c r="F287" i="22"/>
  <c r="F257" i="22"/>
  <c r="F256" i="22"/>
  <c r="F254" i="22"/>
  <c r="F247" i="22"/>
  <c r="F242" i="22"/>
  <c r="F236" i="22"/>
  <c r="F234" i="22"/>
  <c r="F231" i="22"/>
  <c r="F227" i="22"/>
  <c r="F226" i="22"/>
  <c r="F224" i="22"/>
  <c r="F221" i="22"/>
  <c r="F219" i="22"/>
  <c r="F218" i="22"/>
  <c r="F216" i="22"/>
  <c r="F207" i="22"/>
  <c r="F200" i="22"/>
  <c r="F193" i="22"/>
  <c r="F185" i="22"/>
  <c r="F180" i="22"/>
  <c r="F179" i="22"/>
  <c r="F172" i="22"/>
  <c r="F165" i="22"/>
  <c r="F157" i="22"/>
  <c r="F152" i="22"/>
  <c r="F151" i="22"/>
  <c r="F149" i="22"/>
  <c r="F144" i="22"/>
  <c r="F138" i="22"/>
  <c r="F135" i="22"/>
  <c r="F133" i="22"/>
  <c r="F132" i="22"/>
  <c r="F129" i="22"/>
  <c r="F125" i="22"/>
  <c r="F121" i="22"/>
  <c r="F115" i="22"/>
  <c r="F112" i="22"/>
  <c r="F108" i="22"/>
  <c r="F107" i="22"/>
  <c r="F103" i="22"/>
  <c r="F96" i="22"/>
  <c r="F89" i="22"/>
  <c r="F82" i="22"/>
  <c r="F75" i="22"/>
  <c r="F72" i="22"/>
  <c r="F64" i="22"/>
  <c r="F63" i="22"/>
  <c r="F58" i="22"/>
  <c r="F55" i="22"/>
  <c r="F52" i="22"/>
  <c r="F49" i="22"/>
  <c r="F48" i="22"/>
  <c r="F44" i="22"/>
  <c r="F41" i="22"/>
  <c r="F35" i="22"/>
  <c r="F31" i="22"/>
  <c r="F28" i="22"/>
  <c r="F27" i="22"/>
  <c r="F24" i="22"/>
  <c r="F22" i="22"/>
  <c r="F17" i="22"/>
  <c r="F12" i="22"/>
  <c r="F11" i="22"/>
  <c r="F9" i="22"/>
  <c r="F725" i="22" l="1"/>
  <c r="F726" i="22" l="1"/>
  <c r="F728" i="22"/>
  <c r="F730" i="22" s="1"/>
  <c r="F727" i="22"/>
  <c r="F729" i="22" l="1"/>
  <c r="F731" i="22" s="1"/>
  <c r="F733" i="22" s="1"/>
  <c r="I5" i="18" l="1"/>
  <c r="I6" i="18"/>
  <c r="I7" i="18"/>
  <c r="I8" i="18"/>
  <c r="J8" i="18"/>
  <c r="K8" i="18" s="1"/>
  <c r="I9" i="18"/>
  <c r="I10" i="18"/>
  <c r="J10" i="18"/>
  <c r="K10" i="18" s="1"/>
  <c r="I11" i="18"/>
  <c r="J11" i="18"/>
  <c r="K11" i="18" s="1"/>
  <c r="I12" i="18"/>
  <c r="I13" i="18"/>
  <c r="I14" i="18"/>
  <c r="I15" i="18"/>
  <c r="I16" i="18"/>
  <c r="J16" i="18"/>
  <c r="K16" i="18" s="1"/>
  <c r="I17" i="18"/>
  <c r="I18" i="18"/>
  <c r="I19" i="18"/>
  <c r="I20" i="18"/>
  <c r="I21" i="18"/>
  <c r="J21" i="18"/>
  <c r="K21" i="18" s="1"/>
  <c r="I22" i="18"/>
  <c r="I23" i="18"/>
  <c r="J23" i="18"/>
  <c r="K23" i="18" s="1"/>
  <c r="I24" i="18"/>
  <c r="I25" i="18"/>
  <c r="I26" i="18"/>
  <c r="J26" i="18"/>
  <c r="K26" i="18" s="1"/>
  <c r="I27" i="18"/>
  <c r="J27" i="18"/>
  <c r="K27" i="18" s="1"/>
  <c r="I28" i="18"/>
  <c r="I29" i="18"/>
  <c r="I30" i="18"/>
  <c r="J30" i="18"/>
  <c r="K30" i="18" s="1"/>
  <c r="I31" i="18"/>
  <c r="I32" i="18"/>
  <c r="I33" i="18"/>
  <c r="I34" i="18"/>
  <c r="J34" i="18"/>
  <c r="K34" i="18" s="1"/>
  <c r="I35" i="18"/>
  <c r="I36" i="18"/>
  <c r="I37" i="18"/>
  <c r="I38" i="18"/>
  <c r="I39" i="18"/>
  <c r="I40" i="18"/>
  <c r="J40" i="18"/>
  <c r="K40" i="18" s="1"/>
  <c r="I41" i="18"/>
  <c r="I42" i="18"/>
  <c r="I43" i="18"/>
  <c r="J43" i="18"/>
  <c r="K43" i="18" s="1"/>
  <c r="I44" i="18"/>
  <c r="I45" i="18"/>
  <c r="I46" i="18"/>
  <c r="I47" i="18"/>
  <c r="J47" i="18"/>
  <c r="K47" i="18" s="1"/>
  <c r="I48" i="18"/>
  <c r="J48" i="18"/>
  <c r="K48" i="18" s="1"/>
  <c r="I49" i="18"/>
  <c r="I50" i="18"/>
  <c r="I51" i="18"/>
  <c r="J51" i="18"/>
  <c r="K51" i="18" s="1"/>
  <c r="I52" i="18"/>
  <c r="I53" i="18"/>
  <c r="I54" i="18"/>
  <c r="J54" i="18"/>
  <c r="K54" i="18" s="1"/>
  <c r="I55" i="18"/>
  <c r="I56" i="18"/>
  <c r="I57" i="18"/>
  <c r="J57" i="18"/>
  <c r="K57" i="18" s="1"/>
  <c r="I58" i="18"/>
  <c r="I59" i="18"/>
  <c r="I60" i="18"/>
  <c r="I61" i="18"/>
  <c r="I62" i="18"/>
  <c r="J62" i="18"/>
  <c r="K62" i="18" s="1"/>
  <c r="I63" i="18"/>
  <c r="J63" i="18"/>
  <c r="K63" i="18" s="1"/>
  <c r="I64" i="18"/>
  <c r="I65" i="18"/>
  <c r="I66" i="18"/>
  <c r="I67" i="18"/>
  <c r="I68" i="18"/>
  <c r="I69" i="18"/>
  <c r="I70" i="18"/>
  <c r="I71" i="18"/>
  <c r="J71" i="18"/>
  <c r="K71" i="18" s="1"/>
  <c r="I72" i="18"/>
  <c r="I73" i="18"/>
  <c r="I74" i="18"/>
  <c r="J74" i="18"/>
  <c r="K74" i="18" s="1"/>
  <c r="I75" i="18"/>
  <c r="I76" i="18"/>
  <c r="I77" i="18"/>
  <c r="I78" i="18"/>
  <c r="I79" i="18"/>
  <c r="I80" i="18"/>
  <c r="I81" i="18"/>
  <c r="J81" i="18"/>
  <c r="K81" i="18" s="1"/>
  <c r="I82" i="18"/>
  <c r="I83" i="18"/>
  <c r="I84" i="18"/>
  <c r="I85" i="18"/>
  <c r="I86" i="18"/>
  <c r="I87" i="18"/>
  <c r="I88" i="18"/>
  <c r="J88" i="18"/>
  <c r="K88" i="18" s="1"/>
  <c r="I89" i="18"/>
  <c r="I90" i="18"/>
  <c r="I91" i="18"/>
  <c r="I92" i="18"/>
  <c r="I93" i="18"/>
  <c r="I94" i="18"/>
  <c r="I95" i="18"/>
  <c r="J95" i="18"/>
  <c r="K95" i="18" s="1"/>
  <c r="I96" i="18"/>
  <c r="I97" i="18"/>
  <c r="I98" i="18"/>
  <c r="I99" i="18"/>
  <c r="I100" i="18"/>
  <c r="I101" i="18"/>
  <c r="I102" i="18"/>
  <c r="J102" i="18"/>
  <c r="K102" i="18" s="1"/>
  <c r="I103" i="18"/>
  <c r="I104" i="18"/>
  <c r="I105" i="18"/>
  <c r="I106" i="18"/>
  <c r="J106" i="18"/>
  <c r="K106" i="18" s="1"/>
  <c r="I107" i="18"/>
  <c r="J107" i="18"/>
  <c r="K107" i="18" s="1"/>
  <c r="I108" i="18"/>
  <c r="I109" i="18"/>
  <c r="I110" i="18"/>
  <c r="I111" i="18"/>
  <c r="J111" i="18"/>
  <c r="K111" i="18" s="1"/>
  <c r="I112" i="18"/>
  <c r="I113" i="18"/>
  <c r="I114" i="18"/>
  <c r="J114" i="18"/>
  <c r="K114" i="18" s="1"/>
  <c r="I115" i="18"/>
  <c r="I116" i="18"/>
  <c r="I117" i="18"/>
  <c r="I118" i="18"/>
  <c r="I119" i="18"/>
  <c r="I120" i="18"/>
  <c r="J120" i="18"/>
  <c r="K120" i="18" s="1"/>
  <c r="I121" i="18"/>
  <c r="I122" i="18"/>
  <c r="I123" i="18"/>
  <c r="I124" i="18"/>
  <c r="J124" i="18"/>
  <c r="K124" i="18" s="1"/>
  <c r="I125" i="18"/>
  <c r="I126" i="18"/>
  <c r="I127" i="18"/>
  <c r="I128" i="18"/>
  <c r="J128" i="18"/>
  <c r="K128" i="18" s="1"/>
  <c r="I129" i="18"/>
  <c r="I130" i="18"/>
  <c r="I131" i="18"/>
  <c r="J131" i="18"/>
  <c r="K131" i="18" s="1"/>
  <c r="I132" i="18"/>
  <c r="J132" i="18"/>
  <c r="K132" i="18" s="1"/>
  <c r="I133" i="18"/>
  <c r="I134" i="18"/>
  <c r="J134" i="18"/>
  <c r="K134" i="18" s="1"/>
  <c r="I135" i="18"/>
  <c r="I136" i="18"/>
  <c r="I137" i="18"/>
  <c r="J137" i="18"/>
  <c r="K137" i="18" s="1"/>
  <c r="I138" i="18"/>
  <c r="I139" i="18"/>
  <c r="I140" i="18"/>
  <c r="I141" i="18"/>
  <c r="I142" i="18"/>
  <c r="I143" i="18"/>
  <c r="J143" i="18"/>
  <c r="K143" i="18" s="1"/>
  <c r="I144" i="18"/>
  <c r="I145" i="18"/>
  <c r="I146" i="18"/>
  <c r="I147" i="18"/>
  <c r="I148" i="18"/>
  <c r="J148" i="18"/>
  <c r="K148" i="18" s="1"/>
  <c r="I149" i="18"/>
  <c r="I150" i="18"/>
  <c r="J150" i="18"/>
  <c r="K150" i="18" s="1"/>
  <c r="I151" i="18"/>
  <c r="J151" i="18"/>
  <c r="K151" i="18" s="1"/>
  <c r="I152" i="18"/>
  <c r="I153" i="18"/>
  <c r="I154" i="18"/>
  <c r="I155" i="18"/>
  <c r="I156" i="18"/>
  <c r="J156" i="18"/>
  <c r="K156" i="18" s="1"/>
  <c r="I157" i="18"/>
  <c r="I158" i="18"/>
  <c r="I159" i="18"/>
  <c r="I160" i="18"/>
  <c r="I161" i="18"/>
  <c r="I162" i="18"/>
  <c r="I163" i="18"/>
  <c r="I164" i="18"/>
  <c r="J164" i="18"/>
  <c r="K164" i="18" s="1"/>
  <c r="I165" i="18"/>
  <c r="I166" i="18"/>
  <c r="I167" i="18"/>
  <c r="I168" i="18"/>
  <c r="I169" i="18"/>
  <c r="I170" i="18"/>
  <c r="I171" i="18"/>
  <c r="J171" i="18"/>
  <c r="K171" i="18" s="1"/>
  <c r="I172" i="18"/>
  <c r="I173" i="18"/>
  <c r="I174" i="18"/>
  <c r="I175" i="18"/>
  <c r="I176" i="18"/>
  <c r="I177" i="18"/>
  <c r="I178" i="18"/>
  <c r="J178" i="18"/>
  <c r="K178" i="18" s="1"/>
  <c r="I179" i="18"/>
  <c r="J179" i="18"/>
  <c r="K179" i="18" s="1"/>
  <c r="I180" i="18"/>
  <c r="I181" i="18"/>
  <c r="I182" i="18"/>
  <c r="I183" i="18"/>
  <c r="I184" i="18"/>
  <c r="J184" i="18"/>
  <c r="K184" i="18" s="1"/>
  <c r="I185" i="18"/>
  <c r="I186" i="18"/>
  <c r="I187" i="18"/>
  <c r="I188" i="18"/>
  <c r="I189" i="18"/>
  <c r="I190" i="18"/>
  <c r="I191" i="18"/>
  <c r="I192" i="18"/>
  <c r="J192" i="18"/>
  <c r="K192" i="18" s="1"/>
  <c r="I193" i="18"/>
  <c r="I194" i="18"/>
  <c r="I195" i="18"/>
  <c r="I196" i="18"/>
  <c r="I197" i="18"/>
  <c r="I198" i="18"/>
  <c r="I199" i="18"/>
  <c r="J199" i="18"/>
  <c r="K199" i="18" s="1"/>
  <c r="I200" i="18"/>
  <c r="I201" i="18"/>
  <c r="I202" i="18"/>
  <c r="I203" i="18"/>
  <c r="I204" i="18"/>
  <c r="I205" i="18"/>
  <c r="I206" i="18"/>
  <c r="J206" i="18"/>
  <c r="K206" i="18" s="1"/>
  <c r="I207" i="18"/>
  <c r="I208" i="18"/>
  <c r="I209" i="18"/>
  <c r="I210" i="18"/>
  <c r="I211" i="18"/>
  <c r="I212" i="18"/>
  <c r="I213" i="18"/>
  <c r="I214" i="18"/>
  <c r="I215" i="18"/>
  <c r="J215" i="18"/>
  <c r="K215" i="18" s="1"/>
  <c r="I216" i="18"/>
  <c r="I217" i="18"/>
  <c r="J217" i="18"/>
  <c r="K217" i="18" s="1"/>
  <c r="I218" i="18"/>
  <c r="J218" i="18"/>
  <c r="K218" i="18" s="1"/>
  <c r="I219" i="18"/>
  <c r="I220" i="18"/>
  <c r="J220" i="18"/>
  <c r="K220" i="18" s="1"/>
  <c r="I221" i="18"/>
  <c r="I222" i="18"/>
  <c r="I223" i="18"/>
  <c r="J223" i="18"/>
  <c r="K223" i="18" s="1"/>
  <c r="I224" i="18"/>
  <c r="I225" i="18"/>
  <c r="J225" i="18"/>
  <c r="K225" i="18" s="1"/>
  <c r="I226" i="18"/>
  <c r="J226" i="18"/>
  <c r="K226" i="18" s="1"/>
  <c r="I227" i="18"/>
  <c r="I228" i="18"/>
  <c r="I229" i="18"/>
  <c r="I230" i="18"/>
  <c r="J230" i="18"/>
  <c r="K230" i="18" s="1"/>
  <c r="I231" i="18"/>
  <c r="I232" i="18"/>
  <c r="I233" i="18"/>
  <c r="J233" i="18"/>
  <c r="K233" i="18" s="1"/>
  <c r="I234" i="18"/>
  <c r="I235" i="18"/>
  <c r="J235" i="18"/>
  <c r="K235" i="18" s="1"/>
  <c r="I236" i="18"/>
  <c r="I237" i="18"/>
  <c r="I238" i="18"/>
  <c r="I239" i="18"/>
  <c r="I240" i="18"/>
  <c r="I241" i="18"/>
  <c r="J241" i="18"/>
  <c r="K241" i="18" s="1"/>
  <c r="I242" i="18"/>
  <c r="I243" i="18"/>
  <c r="I244" i="18"/>
  <c r="I245" i="18"/>
  <c r="I246" i="18"/>
  <c r="J246" i="18"/>
  <c r="K246" i="18" s="1"/>
  <c r="I247" i="18"/>
  <c r="I248" i="18"/>
  <c r="I249" i="18"/>
  <c r="I250" i="18"/>
  <c r="I251" i="18"/>
  <c r="I252" i="18"/>
  <c r="I253" i="18"/>
  <c r="J253" i="18"/>
  <c r="K253" i="18" s="1"/>
  <c r="I254" i="18"/>
  <c r="I255" i="18"/>
  <c r="J255" i="18"/>
  <c r="K255" i="18" s="1"/>
  <c r="I256" i="18"/>
  <c r="J256" i="18"/>
  <c r="K256" i="18" s="1"/>
  <c r="I257" i="18"/>
  <c r="I258" i="18"/>
  <c r="I259" i="18"/>
  <c r="I260" i="18"/>
  <c r="I261" i="18"/>
  <c r="I262" i="18"/>
  <c r="I263" i="18"/>
  <c r="I264" i="18"/>
  <c r="I265" i="18"/>
  <c r="I266" i="18"/>
  <c r="I267" i="18"/>
  <c r="I268" i="18"/>
  <c r="I269" i="18"/>
  <c r="I270" i="18"/>
  <c r="I271" i="18"/>
  <c r="I272" i="18"/>
  <c r="I273" i="18"/>
  <c r="I274" i="18"/>
  <c r="I275" i="18"/>
  <c r="I276" i="18"/>
  <c r="I277" i="18"/>
  <c r="I278" i="18"/>
  <c r="I279" i="18"/>
  <c r="I280" i="18"/>
  <c r="I281" i="18"/>
  <c r="I282" i="18"/>
  <c r="I283" i="18"/>
  <c r="I284" i="18"/>
  <c r="I285" i="18"/>
  <c r="I286" i="18"/>
  <c r="J286" i="18"/>
  <c r="K286" i="18" s="1"/>
  <c r="I287" i="18"/>
  <c r="I288" i="18"/>
  <c r="I289" i="18"/>
  <c r="I290" i="18"/>
  <c r="I291" i="18"/>
  <c r="I292" i="18"/>
  <c r="I293" i="18"/>
  <c r="I294" i="18"/>
  <c r="I295" i="18"/>
  <c r="I296" i="18"/>
  <c r="I297" i="18"/>
  <c r="I298" i="18"/>
  <c r="I299" i="18"/>
  <c r="I300" i="18"/>
  <c r="I301" i="18"/>
  <c r="I302" i="18"/>
  <c r="I303" i="18"/>
  <c r="I304" i="18"/>
  <c r="I305" i="18"/>
  <c r="I306" i="18"/>
  <c r="J306" i="18"/>
  <c r="K306" i="18" s="1"/>
  <c r="I307" i="18"/>
  <c r="I308" i="18"/>
  <c r="I309" i="18"/>
  <c r="I310" i="18"/>
  <c r="I311" i="18"/>
  <c r="I312" i="18"/>
  <c r="I313" i="18"/>
  <c r="I314" i="18"/>
  <c r="I315" i="18"/>
  <c r="J315" i="18"/>
  <c r="K315" i="18" s="1"/>
  <c r="I316" i="18"/>
  <c r="I317" i="18"/>
  <c r="I318" i="18"/>
  <c r="I319" i="18"/>
  <c r="I320" i="18"/>
  <c r="I321" i="18"/>
  <c r="I322" i="18"/>
  <c r="I323" i="18"/>
  <c r="I324" i="18"/>
  <c r="I325" i="18"/>
  <c r="I326" i="18"/>
  <c r="I327" i="18"/>
  <c r="I328" i="18"/>
  <c r="I329" i="18"/>
  <c r="I330" i="18"/>
  <c r="J330" i="18"/>
  <c r="K330" i="18" s="1"/>
  <c r="I331" i="18"/>
  <c r="I332" i="18"/>
  <c r="I333" i="18"/>
  <c r="I334" i="18"/>
  <c r="I335" i="18"/>
  <c r="J335" i="18"/>
  <c r="K335" i="18" s="1"/>
  <c r="I336" i="18"/>
  <c r="I337" i="18"/>
  <c r="I338" i="18"/>
  <c r="I339" i="18"/>
  <c r="J339" i="18"/>
  <c r="K339" i="18" s="1"/>
  <c r="I340" i="18"/>
  <c r="J340" i="18"/>
  <c r="K340" i="18" s="1"/>
  <c r="I341" i="18"/>
  <c r="I342" i="18"/>
  <c r="I343" i="18"/>
  <c r="I344" i="18"/>
  <c r="I345" i="18"/>
  <c r="I346" i="18"/>
  <c r="I347" i="18"/>
  <c r="I348" i="18"/>
  <c r="I349" i="18"/>
  <c r="I350" i="18"/>
  <c r="I351" i="18"/>
  <c r="I352" i="18"/>
  <c r="I353" i="18"/>
  <c r="I354" i="18"/>
  <c r="J354" i="18"/>
  <c r="K354" i="18" s="1"/>
  <c r="I355" i="18"/>
  <c r="I356" i="18"/>
  <c r="I357" i="18"/>
  <c r="I358" i="18"/>
  <c r="I359" i="18"/>
  <c r="I360" i="18"/>
  <c r="I361" i="18"/>
  <c r="I362" i="18"/>
  <c r="I363" i="18"/>
  <c r="I364" i="18"/>
  <c r="I365" i="18"/>
  <c r="I366" i="18"/>
  <c r="I367" i="18"/>
  <c r="I368" i="18"/>
  <c r="I369" i="18"/>
  <c r="I370" i="18"/>
  <c r="J370" i="18"/>
  <c r="K370" i="18" s="1"/>
  <c r="I371" i="18"/>
  <c r="J371" i="18"/>
  <c r="K371" i="18" s="1"/>
  <c r="I372" i="18"/>
  <c r="I373" i="18"/>
  <c r="I374" i="18"/>
  <c r="I375" i="18"/>
  <c r="I376" i="18"/>
  <c r="I377" i="18"/>
  <c r="I378" i="18"/>
  <c r="I379" i="18"/>
  <c r="I380" i="18"/>
  <c r="I381" i="18"/>
  <c r="I382" i="18"/>
  <c r="I383" i="18"/>
  <c r="I384" i="18"/>
  <c r="I385" i="18"/>
  <c r="I386" i="18"/>
  <c r="I387" i="18"/>
  <c r="I388" i="18"/>
  <c r="J388" i="18"/>
  <c r="K388" i="18" s="1"/>
  <c r="I389" i="18"/>
  <c r="I390" i="18"/>
  <c r="I391" i="18"/>
  <c r="I392" i="18"/>
  <c r="I393" i="18"/>
  <c r="I394" i="18"/>
  <c r="J394" i="18"/>
  <c r="K394" i="18" s="1"/>
  <c r="I395" i="18"/>
  <c r="I396" i="18"/>
  <c r="I397" i="18"/>
  <c r="I398" i="18"/>
  <c r="I399" i="18"/>
  <c r="J399" i="18"/>
  <c r="K399" i="18" s="1"/>
  <c r="I400" i="18"/>
  <c r="J400" i="18"/>
  <c r="K400" i="18" s="1"/>
  <c r="I401" i="18"/>
  <c r="I402" i="18"/>
  <c r="I403" i="18"/>
  <c r="I404" i="18"/>
  <c r="I405" i="18"/>
  <c r="I406" i="18"/>
  <c r="I407" i="18"/>
  <c r="J407" i="18"/>
  <c r="K407" i="18" s="1"/>
  <c r="I408" i="18"/>
  <c r="I409" i="18"/>
  <c r="I410" i="18"/>
  <c r="J410" i="18"/>
  <c r="K410" i="18" s="1"/>
  <c r="I411" i="18"/>
  <c r="I412" i="18"/>
  <c r="I413" i="18"/>
  <c r="I414" i="18"/>
  <c r="I415" i="18"/>
  <c r="I416" i="18"/>
  <c r="I417" i="18"/>
  <c r="I418" i="18"/>
  <c r="I419" i="18"/>
  <c r="I420" i="18"/>
  <c r="I421" i="18"/>
  <c r="J421" i="18"/>
  <c r="K421" i="18" s="1"/>
  <c r="I422" i="18"/>
  <c r="I423" i="18"/>
  <c r="I424" i="18"/>
  <c r="I425" i="18"/>
  <c r="J425" i="18"/>
  <c r="K425" i="18" s="1"/>
  <c r="I426" i="18"/>
  <c r="I427" i="18"/>
  <c r="I428" i="18"/>
  <c r="I429" i="18"/>
  <c r="I430" i="18"/>
  <c r="I431" i="18"/>
  <c r="I432" i="18"/>
  <c r="I433" i="18"/>
  <c r="I434" i="18"/>
  <c r="I435" i="18"/>
  <c r="I436" i="18"/>
  <c r="I437" i="18"/>
  <c r="I438" i="18"/>
  <c r="I439" i="18"/>
  <c r="I440" i="18"/>
  <c r="I441" i="18"/>
  <c r="I442" i="18"/>
  <c r="J442" i="18"/>
  <c r="K442" i="18" s="1"/>
  <c r="I443" i="18"/>
  <c r="I444" i="18"/>
  <c r="I445" i="18"/>
  <c r="J445" i="18"/>
  <c r="K445" i="18" s="1"/>
  <c r="I446" i="18"/>
  <c r="I447" i="18"/>
  <c r="I448" i="18"/>
  <c r="I449" i="18"/>
  <c r="I450" i="18"/>
  <c r="I451" i="18"/>
  <c r="I452" i="18"/>
  <c r="I453" i="18"/>
  <c r="J453" i="18"/>
  <c r="K453" i="18" s="1"/>
  <c r="I454" i="18"/>
  <c r="I455" i="18"/>
  <c r="J455" i="18"/>
  <c r="K455" i="18" s="1"/>
  <c r="I456" i="18"/>
  <c r="I457" i="18"/>
  <c r="I458" i="18"/>
  <c r="I459" i="18"/>
  <c r="J459" i="18"/>
  <c r="K459" i="18" s="1"/>
  <c r="I460" i="18"/>
  <c r="I461" i="18"/>
  <c r="I462" i="18"/>
  <c r="I463" i="18"/>
  <c r="I464" i="18"/>
  <c r="I465" i="18"/>
  <c r="J465" i="18"/>
  <c r="K465" i="18" s="1"/>
  <c r="I466" i="18"/>
  <c r="I467" i="18"/>
  <c r="I468" i="18"/>
  <c r="I469" i="18"/>
  <c r="I470" i="18"/>
  <c r="I471" i="18"/>
  <c r="J471" i="18"/>
  <c r="K471" i="18" s="1"/>
  <c r="I472" i="18"/>
  <c r="I473" i="18"/>
  <c r="I474" i="18"/>
  <c r="J474" i="18"/>
  <c r="K474" i="18" s="1"/>
  <c r="I475" i="18"/>
  <c r="I476" i="18"/>
  <c r="I477" i="18"/>
  <c r="I478" i="18"/>
  <c r="I479" i="18"/>
  <c r="I480" i="18"/>
  <c r="I481" i="18"/>
  <c r="I482" i="18"/>
  <c r="I483" i="18"/>
  <c r="I484" i="18"/>
  <c r="I485" i="18"/>
  <c r="J485" i="18"/>
  <c r="K485" i="18" s="1"/>
  <c r="I486" i="18"/>
  <c r="I487" i="18"/>
  <c r="I488" i="18"/>
  <c r="I489" i="18"/>
  <c r="I490" i="18"/>
  <c r="I491" i="18"/>
  <c r="I492" i="18"/>
  <c r="I493" i="18"/>
  <c r="I494" i="18"/>
  <c r="I495" i="18"/>
  <c r="I496" i="18"/>
  <c r="I497" i="18"/>
  <c r="I498" i="18"/>
  <c r="J498" i="18"/>
  <c r="K498" i="18" s="1"/>
  <c r="I499" i="18"/>
  <c r="I500" i="18"/>
  <c r="J500" i="18"/>
  <c r="K500" i="18" s="1"/>
  <c r="I501" i="18"/>
  <c r="I502" i="18"/>
  <c r="I503" i="18"/>
  <c r="I504" i="18"/>
  <c r="I505" i="18"/>
  <c r="I506" i="18"/>
  <c r="J506" i="18"/>
  <c r="K506" i="18" s="1"/>
  <c r="I507" i="18"/>
  <c r="J507" i="18"/>
  <c r="K507" i="18" s="1"/>
  <c r="I508" i="18"/>
  <c r="I509" i="18"/>
  <c r="I510" i="18"/>
  <c r="I511" i="18"/>
  <c r="I512" i="18"/>
  <c r="I513" i="18"/>
  <c r="I514" i="18"/>
  <c r="I515" i="18"/>
  <c r="I516" i="18"/>
  <c r="I517" i="18"/>
  <c r="J517" i="18"/>
  <c r="K517" i="18" s="1"/>
  <c r="I518" i="18"/>
  <c r="J518" i="18"/>
  <c r="K518" i="18" s="1"/>
  <c r="I519" i="18"/>
  <c r="I520" i="18"/>
  <c r="I521" i="18"/>
  <c r="I522" i="18"/>
  <c r="I523" i="18"/>
  <c r="I524" i="18"/>
  <c r="I525" i="18"/>
  <c r="I526" i="18"/>
  <c r="I527" i="18"/>
  <c r="I528" i="18"/>
  <c r="I529" i="18"/>
  <c r="I530" i="18"/>
  <c r="I531" i="18"/>
  <c r="I532" i="18"/>
  <c r="I533" i="18"/>
  <c r="I534" i="18"/>
  <c r="J534" i="18"/>
  <c r="K534" i="18" s="1"/>
  <c r="I535" i="18"/>
  <c r="I536" i="18"/>
  <c r="I537" i="18"/>
  <c r="I538" i="18"/>
  <c r="I539" i="18"/>
  <c r="I540" i="18"/>
  <c r="I541" i="18"/>
  <c r="I542" i="18"/>
  <c r="I543" i="18"/>
  <c r="J543" i="18"/>
  <c r="K543" i="18" s="1"/>
  <c r="I544" i="18"/>
  <c r="I545" i="18"/>
  <c r="I546" i="18"/>
  <c r="I547" i="18"/>
  <c r="I548" i="18"/>
  <c r="I549" i="18"/>
  <c r="I550" i="18"/>
  <c r="I551" i="18"/>
  <c r="I552" i="18"/>
  <c r="J552" i="18"/>
  <c r="K552" i="18" s="1"/>
  <c r="I553" i="18"/>
  <c r="I554" i="18"/>
  <c r="I555" i="18"/>
  <c r="I556" i="18"/>
  <c r="I557" i="18"/>
  <c r="I558" i="18"/>
  <c r="I559" i="18"/>
  <c r="I560" i="18"/>
  <c r="I561" i="18"/>
  <c r="I562" i="18"/>
  <c r="I563" i="18"/>
  <c r="I564" i="18"/>
  <c r="I565" i="18"/>
  <c r="I566" i="18"/>
  <c r="I567" i="18"/>
  <c r="I568" i="18"/>
  <c r="I569" i="18"/>
  <c r="I570" i="18"/>
  <c r="I571" i="18"/>
  <c r="I572" i="18"/>
  <c r="I573" i="18"/>
  <c r="I574" i="18"/>
  <c r="I575" i="18"/>
  <c r="I576" i="18"/>
  <c r="I577" i="18"/>
  <c r="I578" i="18"/>
  <c r="I579" i="18"/>
  <c r="I580" i="18"/>
  <c r="I581" i="18"/>
  <c r="I582" i="18"/>
  <c r="I583" i="18"/>
  <c r="I584" i="18"/>
  <c r="I585" i="18"/>
  <c r="I586" i="18"/>
  <c r="I587" i="18"/>
  <c r="I588" i="18"/>
  <c r="I589" i="18"/>
  <c r="I590" i="18"/>
  <c r="J590" i="18"/>
  <c r="K590" i="18" s="1"/>
  <c r="I591" i="18"/>
  <c r="I592" i="18"/>
  <c r="I593" i="18"/>
  <c r="I594" i="18"/>
  <c r="I595" i="18"/>
  <c r="I596" i="18"/>
  <c r="I597" i="18"/>
  <c r="J597" i="18"/>
  <c r="K597" i="18" s="1"/>
  <c r="I598" i="18"/>
  <c r="I599" i="18"/>
  <c r="I600" i="18"/>
  <c r="I601" i="18"/>
  <c r="I602" i="18"/>
  <c r="I603" i="18"/>
  <c r="I604" i="18"/>
  <c r="I605" i="18"/>
  <c r="I606" i="18"/>
  <c r="I607" i="18"/>
  <c r="I608" i="18"/>
  <c r="I609" i="18"/>
  <c r="I610" i="18"/>
  <c r="I611" i="18"/>
  <c r="I612" i="18"/>
  <c r="J612" i="18"/>
  <c r="K612" i="18" s="1"/>
  <c r="I613" i="18"/>
  <c r="I614" i="18"/>
  <c r="I615" i="18"/>
  <c r="I616" i="18"/>
  <c r="I617" i="18"/>
  <c r="I618" i="18"/>
  <c r="J618" i="18"/>
  <c r="K618" i="18" s="1"/>
  <c r="I619" i="18"/>
  <c r="I620" i="18"/>
  <c r="I621" i="18"/>
  <c r="I622" i="18"/>
  <c r="I623" i="18"/>
  <c r="I624" i="18"/>
  <c r="I625" i="18"/>
  <c r="I626" i="18"/>
  <c r="I627" i="18"/>
  <c r="I628" i="18"/>
  <c r="I629" i="18"/>
  <c r="I630" i="18"/>
  <c r="J630" i="18"/>
  <c r="K630" i="18" s="1"/>
  <c r="I631" i="18"/>
  <c r="J631" i="18"/>
  <c r="K631" i="18" s="1"/>
  <c r="I632" i="18"/>
  <c r="I633" i="18"/>
  <c r="I634" i="18"/>
  <c r="I635" i="18"/>
  <c r="I636" i="18"/>
  <c r="J636" i="18"/>
  <c r="K636" i="18" s="1"/>
  <c r="I637" i="18"/>
  <c r="I638" i="18"/>
  <c r="J638" i="18"/>
  <c r="K638" i="18" s="1"/>
  <c r="I639" i="18"/>
  <c r="I640" i="18"/>
  <c r="I641" i="18"/>
  <c r="I642" i="18"/>
  <c r="I643" i="18"/>
  <c r="I644" i="18"/>
  <c r="I645" i="18"/>
  <c r="J645" i="18"/>
  <c r="K645" i="18" s="1"/>
  <c r="I646" i="18"/>
  <c r="I647" i="18"/>
  <c r="I648" i="18"/>
  <c r="I649" i="18"/>
  <c r="J649" i="18"/>
  <c r="K649" i="18" s="1"/>
  <c r="I650" i="18"/>
  <c r="I651" i="18"/>
  <c r="I652" i="18"/>
  <c r="I653" i="18"/>
  <c r="J653" i="18"/>
  <c r="K653" i="18" s="1"/>
  <c r="I654" i="18"/>
  <c r="I655" i="18"/>
  <c r="I656" i="18"/>
  <c r="I657" i="18"/>
  <c r="I658" i="18"/>
  <c r="I659" i="18"/>
  <c r="I660" i="18"/>
  <c r="I661" i="18"/>
  <c r="I662" i="18"/>
  <c r="I663" i="18"/>
  <c r="I664" i="18"/>
  <c r="I665" i="18"/>
  <c r="I666" i="18"/>
  <c r="J666" i="18"/>
  <c r="K666" i="18" s="1"/>
  <c r="I667" i="18"/>
  <c r="I668" i="18"/>
  <c r="I669" i="18"/>
  <c r="I670" i="18"/>
  <c r="I671" i="18"/>
  <c r="J671" i="18"/>
  <c r="K671" i="18" s="1"/>
  <c r="I672" i="18"/>
  <c r="I673" i="18"/>
  <c r="I674" i="18"/>
  <c r="J674" i="18"/>
  <c r="K674" i="18" s="1"/>
  <c r="I675" i="18"/>
  <c r="J675" i="18"/>
  <c r="K675" i="18" s="1"/>
  <c r="I676" i="18"/>
  <c r="I677" i="18"/>
  <c r="I678" i="18"/>
  <c r="I679" i="18"/>
  <c r="I680" i="18"/>
  <c r="I681" i="18"/>
  <c r="I682" i="18"/>
  <c r="I683" i="18"/>
  <c r="J683" i="18"/>
  <c r="K683" i="18" s="1"/>
  <c r="I684" i="18"/>
  <c r="I685" i="18"/>
  <c r="I686" i="18"/>
  <c r="I687" i="18"/>
  <c r="I688" i="18"/>
  <c r="I689" i="18"/>
  <c r="I690" i="18"/>
  <c r="I691" i="18"/>
  <c r="I692" i="18"/>
  <c r="I693" i="18"/>
  <c r="I694" i="18"/>
  <c r="J694" i="18"/>
  <c r="K694" i="18" s="1"/>
  <c r="I695" i="18"/>
  <c r="I696" i="18"/>
  <c r="I697" i="18"/>
  <c r="I698" i="18"/>
  <c r="I699" i="18"/>
  <c r="I700" i="18"/>
  <c r="I701" i="18"/>
  <c r="I702" i="18"/>
  <c r="I703" i="18"/>
  <c r="I704" i="18"/>
  <c r="I705" i="18"/>
  <c r="J705" i="18"/>
  <c r="K705" i="18" s="1"/>
  <c r="I706" i="18"/>
  <c r="I707" i="18"/>
  <c r="I708" i="18"/>
  <c r="I709" i="18"/>
  <c r="I710" i="18"/>
  <c r="I711" i="18"/>
  <c r="I712" i="18"/>
  <c r="I713" i="18"/>
  <c r="I714" i="18"/>
  <c r="J714" i="18"/>
  <c r="K714" i="18" s="1"/>
  <c r="I715" i="18"/>
  <c r="I716" i="18"/>
  <c r="I717" i="18"/>
  <c r="I718" i="18"/>
  <c r="I719" i="18"/>
  <c r="I720" i="18"/>
  <c r="I721" i="18"/>
  <c r="I722" i="18"/>
  <c r="I723" i="18"/>
  <c r="I4" i="18"/>
  <c r="F4" i="18"/>
  <c r="F5" i="18"/>
  <c r="J5" i="18" s="1"/>
  <c r="K5" i="18" s="1"/>
  <c r="F6" i="18"/>
  <c r="J6" i="18" s="1"/>
  <c r="K6" i="18" s="1"/>
  <c r="F7" i="18"/>
  <c r="J7" i="18" s="1"/>
  <c r="K7" i="18" s="1"/>
  <c r="F9" i="18"/>
  <c r="J9" i="18" s="1"/>
  <c r="K9" i="18" s="1"/>
  <c r="F12" i="18"/>
  <c r="J12" i="18" s="1"/>
  <c r="K12" i="18" s="1"/>
  <c r="F13" i="18"/>
  <c r="J13" i="18" s="1"/>
  <c r="K13" i="18" s="1"/>
  <c r="F14" i="18"/>
  <c r="J14" i="18" s="1"/>
  <c r="K14" i="18" s="1"/>
  <c r="F15" i="18"/>
  <c r="J15" i="18" s="1"/>
  <c r="K15" i="18" s="1"/>
  <c r="F17" i="18"/>
  <c r="J17" i="18" s="1"/>
  <c r="K17" i="18" s="1"/>
  <c r="F18" i="18"/>
  <c r="J18" i="18" s="1"/>
  <c r="K18" i="18" s="1"/>
  <c r="F19" i="18"/>
  <c r="J19" i="18" s="1"/>
  <c r="K19" i="18" s="1"/>
  <c r="F20" i="18"/>
  <c r="J20" i="18" s="1"/>
  <c r="K20" i="18" s="1"/>
  <c r="F22" i="18"/>
  <c r="J22" i="18" s="1"/>
  <c r="K22" i="18" s="1"/>
  <c r="F24" i="18"/>
  <c r="J24" i="18" s="1"/>
  <c r="K24" i="18" s="1"/>
  <c r="F25" i="18"/>
  <c r="J25" i="18" s="1"/>
  <c r="K25" i="18" s="1"/>
  <c r="F28" i="18"/>
  <c r="J28" i="18" s="1"/>
  <c r="K28" i="18" s="1"/>
  <c r="F29" i="18"/>
  <c r="J29" i="18" s="1"/>
  <c r="K29" i="18" s="1"/>
  <c r="F31" i="18"/>
  <c r="J31" i="18" s="1"/>
  <c r="K31" i="18" s="1"/>
  <c r="F32" i="18"/>
  <c r="J32" i="18" s="1"/>
  <c r="K32" i="18" s="1"/>
  <c r="F33" i="18"/>
  <c r="J33" i="18" s="1"/>
  <c r="K33" i="18" s="1"/>
  <c r="F35" i="18"/>
  <c r="J35" i="18" s="1"/>
  <c r="K35" i="18" s="1"/>
  <c r="F36" i="18"/>
  <c r="J36" i="18" s="1"/>
  <c r="K36" i="18" s="1"/>
  <c r="F37" i="18"/>
  <c r="J37" i="18" s="1"/>
  <c r="K37" i="18" s="1"/>
  <c r="F38" i="18"/>
  <c r="J38" i="18" s="1"/>
  <c r="K38" i="18" s="1"/>
  <c r="F39" i="18"/>
  <c r="J39" i="18" s="1"/>
  <c r="K39" i="18" s="1"/>
  <c r="F41" i="18"/>
  <c r="J41" i="18" s="1"/>
  <c r="K41" i="18" s="1"/>
  <c r="F42" i="18"/>
  <c r="J42" i="18" s="1"/>
  <c r="K42" i="18" s="1"/>
  <c r="F44" i="18"/>
  <c r="J44" i="18" s="1"/>
  <c r="K44" i="18" s="1"/>
  <c r="F45" i="18"/>
  <c r="J45" i="18" s="1"/>
  <c r="K45" i="18" s="1"/>
  <c r="F46" i="18"/>
  <c r="J46" i="18" s="1"/>
  <c r="K46" i="18" s="1"/>
  <c r="F49" i="18"/>
  <c r="J49" i="18" s="1"/>
  <c r="K49" i="18" s="1"/>
  <c r="F50" i="18"/>
  <c r="J50" i="18" s="1"/>
  <c r="K50" i="18" s="1"/>
  <c r="F52" i="18"/>
  <c r="J52" i="18" s="1"/>
  <c r="K52" i="18" s="1"/>
  <c r="F53" i="18"/>
  <c r="J53" i="18" s="1"/>
  <c r="K53" i="18" s="1"/>
  <c r="F55" i="18"/>
  <c r="J55" i="18" s="1"/>
  <c r="K55" i="18" s="1"/>
  <c r="F56" i="18"/>
  <c r="J56" i="18" s="1"/>
  <c r="K56" i="18" s="1"/>
  <c r="F58" i="18"/>
  <c r="J58" i="18" s="1"/>
  <c r="K58" i="18" s="1"/>
  <c r="F59" i="18"/>
  <c r="J59" i="18" s="1"/>
  <c r="K59" i="18" s="1"/>
  <c r="F60" i="18"/>
  <c r="J60" i="18" s="1"/>
  <c r="K60" i="18" s="1"/>
  <c r="F61" i="18"/>
  <c r="J61" i="18" s="1"/>
  <c r="K61" i="18" s="1"/>
  <c r="F64" i="18"/>
  <c r="J64" i="18" s="1"/>
  <c r="K64" i="18" s="1"/>
  <c r="F65" i="18"/>
  <c r="J65" i="18" s="1"/>
  <c r="K65" i="18" s="1"/>
  <c r="F66" i="18"/>
  <c r="J66" i="18" s="1"/>
  <c r="K66" i="18" s="1"/>
  <c r="F67" i="18"/>
  <c r="J67" i="18" s="1"/>
  <c r="K67" i="18" s="1"/>
  <c r="F68" i="18"/>
  <c r="J68" i="18" s="1"/>
  <c r="K68" i="18" s="1"/>
  <c r="F69" i="18"/>
  <c r="J69" i="18" s="1"/>
  <c r="K69" i="18" s="1"/>
  <c r="F70" i="18"/>
  <c r="J70" i="18" s="1"/>
  <c r="K70" i="18" s="1"/>
  <c r="F72" i="18"/>
  <c r="J72" i="18" s="1"/>
  <c r="K72" i="18" s="1"/>
  <c r="F73" i="18"/>
  <c r="J73" i="18" s="1"/>
  <c r="K73" i="18" s="1"/>
  <c r="F75" i="18"/>
  <c r="J75" i="18" s="1"/>
  <c r="K75" i="18" s="1"/>
  <c r="F76" i="18"/>
  <c r="J76" i="18" s="1"/>
  <c r="K76" i="18" s="1"/>
  <c r="F77" i="18"/>
  <c r="J77" i="18" s="1"/>
  <c r="K77" i="18" s="1"/>
  <c r="F78" i="18"/>
  <c r="J78" i="18" s="1"/>
  <c r="K78" i="18" s="1"/>
  <c r="F79" i="18"/>
  <c r="J79" i="18" s="1"/>
  <c r="K79" i="18" s="1"/>
  <c r="F80" i="18"/>
  <c r="J80" i="18" s="1"/>
  <c r="K80" i="18" s="1"/>
  <c r="F82" i="18"/>
  <c r="J82" i="18" s="1"/>
  <c r="K82" i="18" s="1"/>
  <c r="F83" i="18"/>
  <c r="J83" i="18" s="1"/>
  <c r="K83" i="18" s="1"/>
  <c r="F84" i="18"/>
  <c r="J84" i="18" s="1"/>
  <c r="K84" i="18" s="1"/>
  <c r="F85" i="18"/>
  <c r="J85" i="18" s="1"/>
  <c r="K85" i="18" s="1"/>
  <c r="F86" i="18"/>
  <c r="J86" i="18" s="1"/>
  <c r="K86" i="18" s="1"/>
  <c r="F87" i="18"/>
  <c r="J87" i="18" s="1"/>
  <c r="K87" i="18" s="1"/>
  <c r="F89" i="18"/>
  <c r="J89" i="18" s="1"/>
  <c r="K89" i="18" s="1"/>
  <c r="F90" i="18"/>
  <c r="J90" i="18" s="1"/>
  <c r="K90" i="18" s="1"/>
  <c r="F91" i="18"/>
  <c r="J91" i="18" s="1"/>
  <c r="K91" i="18" s="1"/>
  <c r="F92" i="18"/>
  <c r="J92" i="18" s="1"/>
  <c r="K92" i="18" s="1"/>
  <c r="F93" i="18"/>
  <c r="J93" i="18" s="1"/>
  <c r="K93" i="18" s="1"/>
  <c r="F94" i="18"/>
  <c r="J94" i="18" s="1"/>
  <c r="K94" i="18" s="1"/>
  <c r="F96" i="18"/>
  <c r="J96" i="18" s="1"/>
  <c r="K96" i="18" s="1"/>
  <c r="F97" i="18"/>
  <c r="J97" i="18" s="1"/>
  <c r="K97" i="18" s="1"/>
  <c r="F98" i="18"/>
  <c r="J98" i="18" s="1"/>
  <c r="K98" i="18" s="1"/>
  <c r="F99" i="18"/>
  <c r="J99" i="18" s="1"/>
  <c r="K99" i="18" s="1"/>
  <c r="F100" i="18"/>
  <c r="J100" i="18" s="1"/>
  <c r="K100" i="18" s="1"/>
  <c r="F101" i="18"/>
  <c r="J101" i="18" s="1"/>
  <c r="K101" i="18" s="1"/>
  <c r="F103" i="18"/>
  <c r="J103" i="18" s="1"/>
  <c r="K103" i="18" s="1"/>
  <c r="F104" i="18"/>
  <c r="J104" i="18" s="1"/>
  <c r="K104" i="18" s="1"/>
  <c r="F105" i="18"/>
  <c r="J105" i="18" s="1"/>
  <c r="K105" i="18" s="1"/>
  <c r="F108" i="18"/>
  <c r="J108" i="18" s="1"/>
  <c r="K108" i="18" s="1"/>
  <c r="F109" i="18"/>
  <c r="J109" i="18" s="1"/>
  <c r="K109" i="18" s="1"/>
  <c r="F110" i="18"/>
  <c r="J110" i="18" s="1"/>
  <c r="K110" i="18" s="1"/>
  <c r="F112" i="18"/>
  <c r="J112" i="18" s="1"/>
  <c r="K112" i="18" s="1"/>
  <c r="F113" i="18"/>
  <c r="J113" i="18" s="1"/>
  <c r="K113" i="18" s="1"/>
  <c r="F115" i="18"/>
  <c r="J115" i="18" s="1"/>
  <c r="K115" i="18" s="1"/>
  <c r="F116" i="18"/>
  <c r="J116" i="18" s="1"/>
  <c r="K116" i="18" s="1"/>
  <c r="F117" i="18"/>
  <c r="J117" i="18" s="1"/>
  <c r="K117" i="18" s="1"/>
  <c r="F118" i="18"/>
  <c r="J118" i="18" s="1"/>
  <c r="K118" i="18" s="1"/>
  <c r="F119" i="18"/>
  <c r="J119" i="18" s="1"/>
  <c r="K119" i="18" s="1"/>
  <c r="F121" i="18"/>
  <c r="J121" i="18" s="1"/>
  <c r="K121" i="18" s="1"/>
  <c r="F122" i="18"/>
  <c r="J122" i="18" s="1"/>
  <c r="K122" i="18" s="1"/>
  <c r="F123" i="18"/>
  <c r="J123" i="18" s="1"/>
  <c r="K123" i="18" s="1"/>
  <c r="F125" i="18"/>
  <c r="J125" i="18" s="1"/>
  <c r="K125" i="18" s="1"/>
  <c r="F126" i="18"/>
  <c r="J126" i="18" s="1"/>
  <c r="K126" i="18" s="1"/>
  <c r="F127" i="18"/>
  <c r="J127" i="18" s="1"/>
  <c r="K127" i="18" s="1"/>
  <c r="F129" i="18"/>
  <c r="J129" i="18" s="1"/>
  <c r="K129" i="18" s="1"/>
  <c r="F130" i="18"/>
  <c r="J130" i="18" s="1"/>
  <c r="K130" i="18" s="1"/>
  <c r="F133" i="18"/>
  <c r="J133" i="18" s="1"/>
  <c r="K133" i="18" s="1"/>
  <c r="F135" i="18"/>
  <c r="J135" i="18" s="1"/>
  <c r="K135" i="18" s="1"/>
  <c r="F136" i="18"/>
  <c r="J136" i="18" s="1"/>
  <c r="K136" i="18" s="1"/>
  <c r="F138" i="18"/>
  <c r="J138" i="18" s="1"/>
  <c r="K138" i="18" s="1"/>
  <c r="F139" i="18"/>
  <c r="J139" i="18" s="1"/>
  <c r="K139" i="18" s="1"/>
  <c r="F140" i="18"/>
  <c r="J140" i="18" s="1"/>
  <c r="K140" i="18" s="1"/>
  <c r="F141" i="18"/>
  <c r="J141" i="18" s="1"/>
  <c r="K141" i="18" s="1"/>
  <c r="F142" i="18"/>
  <c r="J142" i="18" s="1"/>
  <c r="K142" i="18" s="1"/>
  <c r="F144" i="18"/>
  <c r="J144" i="18" s="1"/>
  <c r="K144" i="18" s="1"/>
  <c r="F145" i="18"/>
  <c r="J145" i="18" s="1"/>
  <c r="K145" i="18" s="1"/>
  <c r="F146" i="18"/>
  <c r="J146" i="18" s="1"/>
  <c r="K146" i="18" s="1"/>
  <c r="F147" i="18"/>
  <c r="J147" i="18" s="1"/>
  <c r="K147" i="18" s="1"/>
  <c r="F149" i="18"/>
  <c r="J149" i="18" s="1"/>
  <c r="K149" i="18" s="1"/>
  <c r="F152" i="18"/>
  <c r="J152" i="18" s="1"/>
  <c r="K152" i="18" s="1"/>
  <c r="F153" i="18"/>
  <c r="J153" i="18" s="1"/>
  <c r="K153" i="18" s="1"/>
  <c r="F154" i="18"/>
  <c r="J154" i="18" s="1"/>
  <c r="K154" i="18" s="1"/>
  <c r="F155" i="18"/>
  <c r="J155" i="18" s="1"/>
  <c r="K155" i="18" s="1"/>
  <c r="F157" i="18"/>
  <c r="J157" i="18" s="1"/>
  <c r="K157" i="18" s="1"/>
  <c r="F158" i="18"/>
  <c r="J158" i="18" s="1"/>
  <c r="K158" i="18" s="1"/>
  <c r="F159" i="18"/>
  <c r="J159" i="18" s="1"/>
  <c r="K159" i="18" s="1"/>
  <c r="F160" i="18"/>
  <c r="J160" i="18" s="1"/>
  <c r="K160" i="18" s="1"/>
  <c r="F161" i="18"/>
  <c r="J161" i="18" s="1"/>
  <c r="K161" i="18" s="1"/>
  <c r="F162" i="18"/>
  <c r="J162" i="18" s="1"/>
  <c r="K162" i="18" s="1"/>
  <c r="F163" i="18"/>
  <c r="J163" i="18" s="1"/>
  <c r="K163" i="18" s="1"/>
  <c r="F165" i="18"/>
  <c r="J165" i="18" s="1"/>
  <c r="K165" i="18" s="1"/>
  <c r="F166" i="18"/>
  <c r="J166" i="18" s="1"/>
  <c r="K166" i="18" s="1"/>
  <c r="F167" i="18"/>
  <c r="J167" i="18" s="1"/>
  <c r="K167" i="18" s="1"/>
  <c r="F168" i="18"/>
  <c r="J168" i="18" s="1"/>
  <c r="K168" i="18" s="1"/>
  <c r="F169" i="18"/>
  <c r="J169" i="18" s="1"/>
  <c r="K169" i="18" s="1"/>
  <c r="F170" i="18"/>
  <c r="J170" i="18" s="1"/>
  <c r="K170" i="18" s="1"/>
  <c r="F172" i="18"/>
  <c r="J172" i="18" s="1"/>
  <c r="K172" i="18" s="1"/>
  <c r="F173" i="18"/>
  <c r="J173" i="18" s="1"/>
  <c r="K173" i="18" s="1"/>
  <c r="F174" i="18"/>
  <c r="J174" i="18" s="1"/>
  <c r="K174" i="18" s="1"/>
  <c r="F175" i="18"/>
  <c r="J175" i="18" s="1"/>
  <c r="K175" i="18" s="1"/>
  <c r="F176" i="18"/>
  <c r="J176" i="18" s="1"/>
  <c r="K176" i="18" s="1"/>
  <c r="F177" i="18"/>
  <c r="J177" i="18" s="1"/>
  <c r="K177" i="18" s="1"/>
  <c r="F180" i="18"/>
  <c r="J180" i="18" s="1"/>
  <c r="K180" i="18" s="1"/>
  <c r="F181" i="18"/>
  <c r="J181" i="18" s="1"/>
  <c r="K181" i="18" s="1"/>
  <c r="F182" i="18"/>
  <c r="J182" i="18" s="1"/>
  <c r="K182" i="18" s="1"/>
  <c r="F183" i="18"/>
  <c r="J183" i="18" s="1"/>
  <c r="K183" i="18" s="1"/>
  <c r="F185" i="18"/>
  <c r="J185" i="18" s="1"/>
  <c r="K185" i="18" s="1"/>
  <c r="F186" i="18"/>
  <c r="J186" i="18" s="1"/>
  <c r="K186" i="18" s="1"/>
  <c r="F187" i="18"/>
  <c r="J187" i="18" s="1"/>
  <c r="K187" i="18" s="1"/>
  <c r="F188" i="18"/>
  <c r="J188" i="18" s="1"/>
  <c r="K188" i="18" s="1"/>
  <c r="F189" i="18"/>
  <c r="J189" i="18" s="1"/>
  <c r="K189" i="18" s="1"/>
  <c r="F190" i="18"/>
  <c r="J190" i="18" s="1"/>
  <c r="K190" i="18" s="1"/>
  <c r="F191" i="18"/>
  <c r="J191" i="18" s="1"/>
  <c r="K191" i="18" s="1"/>
  <c r="F193" i="18"/>
  <c r="J193" i="18" s="1"/>
  <c r="K193" i="18" s="1"/>
  <c r="F194" i="18"/>
  <c r="J194" i="18" s="1"/>
  <c r="K194" i="18" s="1"/>
  <c r="F195" i="18"/>
  <c r="J195" i="18" s="1"/>
  <c r="K195" i="18" s="1"/>
  <c r="F196" i="18"/>
  <c r="J196" i="18" s="1"/>
  <c r="K196" i="18" s="1"/>
  <c r="F197" i="18"/>
  <c r="J197" i="18" s="1"/>
  <c r="K197" i="18" s="1"/>
  <c r="F198" i="18"/>
  <c r="J198" i="18" s="1"/>
  <c r="K198" i="18" s="1"/>
  <c r="F200" i="18"/>
  <c r="J200" i="18" s="1"/>
  <c r="K200" i="18" s="1"/>
  <c r="F201" i="18"/>
  <c r="J201" i="18" s="1"/>
  <c r="K201" i="18" s="1"/>
  <c r="F202" i="18"/>
  <c r="J202" i="18" s="1"/>
  <c r="K202" i="18" s="1"/>
  <c r="F203" i="18"/>
  <c r="J203" i="18" s="1"/>
  <c r="K203" i="18" s="1"/>
  <c r="F204" i="18"/>
  <c r="J204" i="18" s="1"/>
  <c r="K204" i="18" s="1"/>
  <c r="F205" i="18"/>
  <c r="J205" i="18" s="1"/>
  <c r="K205" i="18" s="1"/>
  <c r="F207" i="18"/>
  <c r="J207" i="18" s="1"/>
  <c r="K207" i="18" s="1"/>
  <c r="F208" i="18"/>
  <c r="J208" i="18" s="1"/>
  <c r="K208" i="18" s="1"/>
  <c r="F209" i="18"/>
  <c r="J209" i="18" s="1"/>
  <c r="K209" i="18" s="1"/>
  <c r="F210" i="18"/>
  <c r="J210" i="18" s="1"/>
  <c r="K210" i="18" s="1"/>
  <c r="F211" i="18"/>
  <c r="J211" i="18" s="1"/>
  <c r="K211" i="18" s="1"/>
  <c r="F212" i="18"/>
  <c r="J212" i="18" s="1"/>
  <c r="K212" i="18" s="1"/>
  <c r="F213" i="18"/>
  <c r="J213" i="18" s="1"/>
  <c r="K213" i="18" s="1"/>
  <c r="F214" i="18"/>
  <c r="J214" i="18" s="1"/>
  <c r="K214" i="18" s="1"/>
  <c r="F216" i="18"/>
  <c r="J216" i="18" s="1"/>
  <c r="K216" i="18" s="1"/>
  <c r="F219" i="18"/>
  <c r="J219" i="18" s="1"/>
  <c r="K219" i="18" s="1"/>
  <c r="F221" i="18"/>
  <c r="J221" i="18" s="1"/>
  <c r="K221" i="18" s="1"/>
  <c r="F222" i="18"/>
  <c r="J222" i="18" s="1"/>
  <c r="K222" i="18" s="1"/>
  <c r="F224" i="18"/>
  <c r="J224" i="18" s="1"/>
  <c r="K224" i="18" s="1"/>
  <c r="F227" i="18"/>
  <c r="J227" i="18" s="1"/>
  <c r="K227" i="18" s="1"/>
  <c r="F228" i="18"/>
  <c r="J228" i="18" s="1"/>
  <c r="K228" i="18" s="1"/>
  <c r="F229" i="18"/>
  <c r="J229" i="18" s="1"/>
  <c r="K229" i="18" s="1"/>
  <c r="F231" i="18"/>
  <c r="J231" i="18" s="1"/>
  <c r="K231" i="18" s="1"/>
  <c r="F232" i="18"/>
  <c r="J232" i="18" s="1"/>
  <c r="K232" i="18" s="1"/>
  <c r="F234" i="18"/>
  <c r="J234" i="18" s="1"/>
  <c r="K234" i="18" s="1"/>
  <c r="F236" i="18"/>
  <c r="J236" i="18" s="1"/>
  <c r="K236" i="18" s="1"/>
  <c r="F237" i="18"/>
  <c r="J237" i="18" s="1"/>
  <c r="K237" i="18" s="1"/>
  <c r="F238" i="18"/>
  <c r="J238" i="18" s="1"/>
  <c r="K238" i="18" s="1"/>
  <c r="F239" i="18"/>
  <c r="J239" i="18" s="1"/>
  <c r="K239" i="18" s="1"/>
  <c r="F240" i="18"/>
  <c r="J240" i="18" s="1"/>
  <c r="K240" i="18" s="1"/>
  <c r="F242" i="18"/>
  <c r="J242" i="18" s="1"/>
  <c r="K242" i="18" s="1"/>
  <c r="F243" i="18"/>
  <c r="J243" i="18" s="1"/>
  <c r="K243" i="18" s="1"/>
  <c r="F244" i="18"/>
  <c r="J244" i="18" s="1"/>
  <c r="K244" i="18" s="1"/>
  <c r="F245" i="18"/>
  <c r="J245" i="18" s="1"/>
  <c r="K245" i="18" s="1"/>
  <c r="F247" i="18"/>
  <c r="J247" i="18" s="1"/>
  <c r="K247" i="18" s="1"/>
  <c r="F248" i="18"/>
  <c r="J248" i="18" s="1"/>
  <c r="K248" i="18" s="1"/>
  <c r="F249" i="18"/>
  <c r="J249" i="18" s="1"/>
  <c r="K249" i="18" s="1"/>
  <c r="F250" i="18"/>
  <c r="J250" i="18" s="1"/>
  <c r="K250" i="18" s="1"/>
  <c r="F251" i="18"/>
  <c r="J251" i="18" s="1"/>
  <c r="K251" i="18" s="1"/>
  <c r="F252" i="18"/>
  <c r="J252" i="18" s="1"/>
  <c r="K252" i="18" s="1"/>
  <c r="F254" i="18"/>
  <c r="J254" i="18" s="1"/>
  <c r="K254" i="18" s="1"/>
  <c r="F257" i="18"/>
  <c r="J257" i="18" s="1"/>
  <c r="K257" i="18" s="1"/>
  <c r="F258" i="18"/>
  <c r="J258" i="18" s="1"/>
  <c r="K258" i="18" s="1"/>
  <c r="F259" i="18"/>
  <c r="J259" i="18" s="1"/>
  <c r="K259" i="18" s="1"/>
  <c r="F260" i="18"/>
  <c r="J260" i="18" s="1"/>
  <c r="K260" i="18" s="1"/>
  <c r="F261" i="18"/>
  <c r="J261" i="18" s="1"/>
  <c r="K261" i="18" s="1"/>
  <c r="F262" i="18"/>
  <c r="J262" i="18" s="1"/>
  <c r="K262" i="18" s="1"/>
  <c r="F263" i="18"/>
  <c r="J263" i="18" s="1"/>
  <c r="K263" i="18" s="1"/>
  <c r="F264" i="18"/>
  <c r="J264" i="18" s="1"/>
  <c r="K264" i="18" s="1"/>
  <c r="F265" i="18"/>
  <c r="J265" i="18" s="1"/>
  <c r="K265" i="18" s="1"/>
  <c r="F266" i="18"/>
  <c r="J266" i="18" s="1"/>
  <c r="K266" i="18" s="1"/>
  <c r="F267" i="18"/>
  <c r="J267" i="18" s="1"/>
  <c r="K267" i="18" s="1"/>
  <c r="F268" i="18"/>
  <c r="J268" i="18" s="1"/>
  <c r="K268" i="18" s="1"/>
  <c r="F269" i="18"/>
  <c r="J269" i="18" s="1"/>
  <c r="K269" i="18" s="1"/>
  <c r="F270" i="18"/>
  <c r="J270" i="18" s="1"/>
  <c r="K270" i="18" s="1"/>
  <c r="F271" i="18"/>
  <c r="J271" i="18" s="1"/>
  <c r="K271" i="18" s="1"/>
  <c r="F272" i="18"/>
  <c r="J272" i="18" s="1"/>
  <c r="K272" i="18" s="1"/>
  <c r="F273" i="18"/>
  <c r="J273" i="18" s="1"/>
  <c r="K273" i="18" s="1"/>
  <c r="F274" i="18"/>
  <c r="J274" i="18" s="1"/>
  <c r="K274" i="18" s="1"/>
  <c r="F275" i="18"/>
  <c r="J275" i="18" s="1"/>
  <c r="K275" i="18" s="1"/>
  <c r="F276" i="18"/>
  <c r="J276" i="18" s="1"/>
  <c r="K276" i="18" s="1"/>
  <c r="F277" i="18"/>
  <c r="J277" i="18" s="1"/>
  <c r="K277" i="18" s="1"/>
  <c r="F278" i="18"/>
  <c r="J278" i="18" s="1"/>
  <c r="K278" i="18" s="1"/>
  <c r="F279" i="18"/>
  <c r="J279" i="18" s="1"/>
  <c r="K279" i="18" s="1"/>
  <c r="F280" i="18"/>
  <c r="J280" i="18" s="1"/>
  <c r="K280" i="18" s="1"/>
  <c r="F281" i="18"/>
  <c r="J281" i="18" s="1"/>
  <c r="K281" i="18" s="1"/>
  <c r="F282" i="18"/>
  <c r="J282" i="18" s="1"/>
  <c r="K282" i="18" s="1"/>
  <c r="F283" i="18"/>
  <c r="J283" i="18" s="1"/>
  <c r="K283" i="18" s="1"/>
  <c r="F284" i="18"/>
  <c r="J284" i="18" s="1"/>
  <c r="K284" i="18" s="1"/>
  <c r="F285" i="18"/>
  <c r="J285" i="18" s="1"/>
  <c r="K285" i="18" s="1"/>
  <c r="F287" i="18"/>
  <c r="J287" i="18" s="1"/>
  <c r="K287" i="18" s="1"/>
  <c r="F288" i="18"/>
  <c r="J288" i="18" s="1"/>
  <c r="K288" i="18" s="1"/>
  <c r="F289" i="18"/>
  <c r="J289" i="18" s="1"/>
  <c r="K289" i="18" s="1"/>
  <c r="F290" i="18"/>
  <c r="J290" i="18" s="1"/>
  <c r="K290" i="18" s="1"/>
  <c r="F291" i="18"/>
  <c r="J291" i="18" s="1"/>
  <c r="K291" i="18" s="1"/>
  <c r="F292" i="18"/>
  <c r="J292" i="18" s="1"/>
  <c r="K292" i="18" s="1"/>
  <c r="F293" i="18"/>
  <c r="J293" i="18" s="1"/>
  <c r="K293" i="18" s="1"/>
  <c r="F294" i="18"/>
  <c r="J294" i="18" s="1"/>
  <c r="K294" i="18" s="1"/>
  <c r="F295" i="18"/>
  <c r="J295" i="18" s="1"/>
  <c r="K295" i="18" s="1"/>
  <c r="F296" i="18"/>
  <c r="J296" i="18" s="1"/>
  <c r="K296" i="18" s="1"/>
  <c r="F297" i="18"/>
  <c r="J297" i="18" s="1"/>
  <c r="K297" i="18" s="1"/>
  <c r="F298" i="18"/>
  <c r="J298" i="18" s="1"/>
  <c r="K298" i="18" s="1"/>
  <c r="F299" i="18"/>
  <c r="J299" i="18" s="1"/>
  <c r="K299" i="18" s="1"/>
  <c r="F300" i="18"/>
  <c r="J300" i="18" s="1"/>
  <c r="K300" i="18" s="1"/>
  <c r="F301" i="18"/>
  <c r="J301" i="18" s="1"/>
  <c r="K301" i="18" s="1"/>
  <c r="F302" i="18"/>
  <c r="J302" i="18" s="1"/>
  <c r="K302" i="18" s="1"/>
  <c r="F303" i="18"/>
  <c r="J303" i="18" s="1"/>
  <c r="K303" i="18" s="1"/>
  <c r="F304" i="18"/>
  <c r="J304" i="18" s="1"/>
  <c r="K304" i="18" s="1"/>
  <c r="F305" i="18"/>
  <c r="J305" i="18" s="1"/>
  <c r="K305" i="18" s="1"/>
  <c r="F307" i="18"/>
  <c r="J307" i="18" s="1"/>
  <c r="K307" i="18" s="1"/>
  <c r="F308" i="18"/>
  <c r="J308" i="18" s="1"/>
  <c r="K308" i="18" s="1"/>
  <c r="F309" i="18"/>
  <c r="J309" i="18" s="1"/>
  <c r="K309" i="18" s="1"/>
  <c r="F310" i="18"/>
  <c r="J310" i="18" s="1"/>
  <c r="K310" i="18" s="1"/>
  <c r="F311" i="18"/>
  <c r="J311" i="18" s="1"/>
  <c r="K311" i="18" s="1"/>
  <c r="F312" i="18"/>
  <c r="J312" i="18" s="1"/>
  <c r="K312" i="18" s="1"/>
  <c r="F313" i="18"/>
  <c r="J313" i="18" s="1"/>
  <c r="K313" i="18" s="1"/>
  <c r="F314" i="18"/>
  <c r="J314" i="18" s="1"/>
  <c r="K314" i="18" s="1"/>
  <c r="F316" i="18"/>
  <c r="J316" i="18" s="1"/>
  <c r="K316" i="18" s="1"/>
  <c r="F317" i="18"/>
  <c r="J317" i="18" s="1"/>
  <c r="K317" i="18" s="1"/>
  <c r="F318" i="18"/>
  <c r="J318" i="18" s="1"/>
  <c r="K318" i="18" s="1"/>
  <c r="F319" i="18"/>
  <c r="J319" i="18" s="1"/>
  <c r="K319" i="18" s="1"/>
  <c r="F320" i="18"/>
  <c r="J320" i="18" s="1"/>
  <c r="K320" i="18" s="1"/>
  <c r="F321" i="18"/>
  <c r="J321" i="18" s="1"/>
  <c r="K321" i="18" s="1"/>
  <c r="F322" i="18"/>
  <c r="J322" i="18" s="1"/>
  <c r="K322" i="18" s="1"/>
  <c r="F323" i="18"/>
  <c r="J323" i="18" s="1"/>
  <c r="K323" i="18" s="1"/>
  <c r="F324" i="18"/>
  <c r="J324" i="18" s="1"/>
  <c r="K324" i="18" s="1"/>
  <c r="F325" i="18"/>
  <c r="J325" i="18" s="1"/>
  <c r="K325" i="18" s="1"/>
  <c r="F326" i="18"/>
  <c r="J326" i="18" s="1"/>
  <c r="K326" i="18" s="1"/>
  <c r="F327" i="18"/>
  <c r="J327" i="18" s="1"/>
  <c r="K327" i="18" s="1"/>
  <c r="F328" i="18"/>
  <c r="J328" i="18" s="1"/>
  <c r="K328" i="18" s="1"/>
  <c r="F329" i="18"/>
  <c r="J329" i="18" s="1"/>
  <c r="K329" i="18" s="1"/>
  <c r="F331" i="18"/>
  <c r="J331" i="18" s="1"/>
  <c r="K331" i="18" s="1"/>
  <c r="F332" i="18"/>
  <c r="J332" i="18" s="1"/>
  <c r="K332" i="18" s="1"/>
  <c r="F333" i="18"/>
  <c r="J333" i="18" s="1"/>
  <c r="K333" i="18" s="1"/>
  <c r="F334" i="18"/>
  <c r="J334" i="18" s="1"/>
  <c r="K334" i="18" s="1"/>
  <c r="F336" i="18"/>
  <c r="J336" i="18" s="1"/>
  <c r="K336" i="18" s="1"/>
  <c r="F337" i="18"/>
  <c r="J337" i="18" s="1"/>
  <c r="K337" i="18" s="1"/>
  <c r="F338" i="18"/>
  <c r="J338" i="18" s="1"/>
  <c r="K338" i="18" s="1"/>
  <c r="F341" i="18"/>
  <c r="J341" i="18" s="1"/>
  <c r="K341" i="18" s="1"/>
  <c r="F342" i="18"/>
  <c r="J342" i="18" s="1"/>
  <c r="K342" i="18" s="1"/>
  <c r="F343" i="18"/>
  <c r="J343" i="18" s="1"/>
  <c r="K343" i="18" s="1"/>
  <c r="F344" i="18"/>
  <c r="J344" i="18" s="1"/>
  <c r="K344" i="18" s="1"/>
  <c r="F345" i="18"/>
  <c r="J345" i="18" s="1"/>
  <c r="K345" i="18" s="1"/>
  <c r="F346" i="18"/>
  <c r="J346" i="18" s="1"/>
  <c r="K346" i="18" s="1"/>
  <c r="F347" i="18"/>
  <c r="J347" i="18" s="1"/>
  <c r="K347" i="18" s="1"/>
  <c r="F348" i="18"/>
  <c r="J348" i="18" s="1"/>
  <c r="K348" i="18" s="1"/>
  <c r="F349" i="18"/>
  <c r="J349" i="18" s="1"/>
  <c r="K349" i="18" s="1"/>
  <c r="F350" i="18"/>
  <c r="J350" i="18" s="1"/>
  <c r="K350" i="18" s="1"/>
  <c r="F351" i="18"/>
  <c r="J351" i="18" s="1"/>
  <c r="K351" i="18" s="1"/>
  <c r="F352" i="18"/>
  <c r="J352" i="18" s="1"/>
  <c r="K352" i="18" s="1"/>
  <c r="F353" i="18"/>
  <c r="J353" i="18" s="1"/>
  <c r="K353" i="18" s="1"/>
  <c r="F355" i="18"/>
  <c r="J355" i="18" s="1"/>
  <c r="K355" i="18" s="1"/>
  <c r="F356" i="18"/>
  <c r="J356" i="18" s="1"/>
  <c r="K356" i="18" s="1"/>
  <c r="F357" i="18"/>
  <c r="J357" i="18" s="1"/>
  <c r="K357" i="18" s="1"/>
  <c r="F358" i="18"/>
  <c r="J358" i="18" s="1"/>
  <c r="K358" i="18" s="1"/>
  <c r="F359" i="18"/>
  <c r="J359" i="18" s="1"/>
  <c r="K359" i="18" s="1"/>
  <c r="F360" i="18"/>
  <c r="J360" i="18" s="1"/>
  <c r="K360" i="18" s="1"/>
  <c r="F361" i="18"/>
  <c r="J361" i="18" s="1"/>
  <c r="K361" i="18" s="1"/>
  <c r="F362" i="18"/>
  <c r="J362" i="18" s="1"/>
  <c r="K362" i="18" s="1"/>
  <c r="F363" i="18"/>
  <c r="J363" i="18" s="1"/>
  <c r="K363" i="18" s="1"/>
  <c r="F364" i="18"/>
  <c r="J364" i="18" s="1"/>
  <c r="K364" i="18" s="1"/>
  <c r="F365" i="18"/>
  <c r="J365" i="18" s="1"/>
  <c r="K365" i="18" s="1"/>
  <c r="F366" i="18"/>
  <c r="J366" i="18" s="1"/>
  <c r="K366" i="18" s="1"/>
  <c r="F367" i="18"/>
  <c r="J367" i="18" s="1"/>
  <c r="K367" i="18" s="1"/>
  <c r="F368" i="18"/>
  <c r="J368" i="18" s="1"/>
  <c r="K368" i="18" s="1"/>
  <c r="F369" i="18"/>
  <c r="J369" i="18" s="1"/>
  <c r="K369" i="18" s="1"/>
  <c r="F372" i="18"/>
  <c r="J372" i="18" s="1"/>
  <c r="K372" i="18" s="1"/>
  <c r="F373" i="18"/>
  <c r="J373" i="18" s="1"/>
  <c r="K373" i="18" s="1"/>
  <c r="F374" i="18"/>
  <c r="J374" i="18" s="1"/>
  <c r="K374" i="18" s="1"/>
  <c r="F375" i="18"/>
  <c r="J375" i="18" s="1"/>
  <c r="K375" i="18" s="1"/>
  <c r="F376" i="18"/>
  <c r="J376" i="18" s="1"/>
  <c r="K376" i="18" s="1"/>
  <c r="F377" i="18"/>
  <c r="J377" i="18" s="1"/>
  <c r="K377" i="18" s="1"/>
  <c r="F378" i="18"/>
  <c r="J378" i="18" s="1"/>
  <c r="K378" i="18" s="1"/>
  <c r="F379" i="18"/>
  <c r="J379" i="18" s="1"/>
  <c r="K379" i="18" s="1"/>
  <c r="F380" i="18"/>
  <c r="J380" i="18" s="1"/>
  <c r="K380" i="18" s="1"/>
  <c r="F381" i="18"/>
  <c r="J381" i="18" s="1"/>
  <c r="K381" i="18" s="1"/>
  <c r="F382" i="18"/>
  <c r="J382" i="18" s="1"/>
  <c r="K382" i="18" s="1"/>
  <c r="F383" i="18"/>
  <c r="J383" i="18" s="1"/>
  <c r="K383" i="18" s="1"/>
  <c r="F384" i="18"/>
  <c r="J384" i="18" s="1"/>
  <c r="K384" i="18" s="1"/>
  <c r="F385" i="18"/>
  <c r="J385" i="18" s="1"/>
  <c r="K385" i="18" s="1"/>
  <c r="F386" i="18"/>
  <c r="J386" i="18" s="1"/>
  <c r="K386" i="18" s="1"/>
  <c r="F387" i="18"/>
  <c r="J387" i="18" s="1"/>
  <c r="K387" i="18" s="1"/>
  <c r="F389" i="18"/>
  <c r="J389" i="18" s="1"/>
  <c r="K389" i="18" s="1"/>
  <c r="F390" i="18"/>
  <c r="J390" i="18" s="1"/>
  <c r="K390" i="18" s="1"/>
  <c r="F391" i="18"/>
  <c r="J391" i="18" s="1"/>
  <c r="K391" i="18" s="1"/>
  <c r="F392" i="18"/>
  <c r="J392" i="18" s="1"/>
  <c r="K392" i="18" s="1"/>
  <c r="F393" i="18"/>
  <c r="J393" i="18" s="1"/>
  <c r="K393" i="18" s="1"/>
  <c r="F395" i="18"/>
  <c r="J395" i="18" s="1"/>
  <c r="K395" i="18" s="1"/>
  <c r="F396" i="18"/>
  <c r="J396" i="18" s="1"/>
  <c r="K396" i="18" s="1"/>
  <c r="F397" i="18"/>
  <c r="J397" i="18" s="1"/>
  <c r="K397" i="18" s="1"/>
  <c r="F398" i="18"/>
  <c r="J398" i="18" s="1"/>
  <c r="K398" i="18" s="1"/>
  <c r="F401" i="18"/>
  <c r="J401" i="18" s="1"/>
  <c r="K401" i="18" s="1"/>
  <c r="F402" i="18"/>
  <c r="J402" i="18" s="1"/>
  <c r="K402" i="18" s="1"/>
  <c r="F403" i="18"/>
  <c r="J403" i="18" s="1"/>
  <c r="K403" i="18" s="1"/>
  <c r="F404" i="18"/>
  <c r="J404" i="18" s="1"/>
  <c r="K404" i="18" s="1"/>
  <c r="F405" i="18"/>
  <c r="J405" i="18" s="1"/>
  <c r="K405" i="18" s="1"/>
  <c r="F406" i="18"/>
  <c r="J406" i="18" s="1"/>
  <c r="K406" i="18" s="1"/>
  <c r="F408" i="18"/>
  <c r="J408" i="18" s="1"/>
  <c r="K408" i="18" s="1"/>
  <c r="F409" i="18"/>
  <c r="J409" i="18" s="1"/>
  <c r="K409" i="18" s="1"/>
  <c r="F411" i="18"/>
  <c r="J411" i="18" s="1"/>
  <c r="K411" i="18" s="1"/>
  <c r="F412" i="18"/>
  <c r="J412" i="18" s="1"/>
  <c r="K412" i="18" s="1"/>
  <c r="F413" i="18"/>
  <c r="J413" i="18" s="1"/>
  <c r="K413" i="18" s="1"/>
  <c r="F414" i="18"/>
  <c r="J414" i="18" s="1"/>
  <c r="K414" i="18" s="1"/>
  <c r="F415" i="18"/>
  <c r="J415" i="18" s="1"/>
  <c r="K415" i="18" s="1"/>
  <c r="F416" i="18"/>
  <c r="J416" i="18" s="1"/>
  <c r="K416" i="18" s="1"/>
  <c r="F417" i="18"/>
  <c r="J417" i="18" s="1"/>
  <c r="K417" i="18" s="1"/>
  <c r="F418" i="18"/>
  <c r="J418" i="18" s="1"/>
  <c r="K418" i="18" s="1"/>
  <c r="F419" i="18"/>
  <c r="J419" i="18" s="1"/>
  <c r="K419" i="18" s="1"/>
  <c r="F420" i="18"/>
  <c r="J420" i="18" s="1"/>
  <c r="K420" i="18" s="1"/>
  <c r="F422" i="18"/>
  <c r="J422" i="18" s="1"/>
  <c r="K422" i="18" s="1"/>
  <c r="F423" i="18"/>
  <c r="J423" i="18" s="1"/>
  <c r="K423" i="18" s="1"/>
  <c r="F424" i="18"/>
  <c r="J424" i="18" s="1"/>
  <c r="K424" i="18" s="1"/>
  <c r="F426" i="18"/>
  <c r="J426" i="18" s="1"/>
  <c r="K426" i="18" s="1"/>
  <c r="F427" i="18"/>
  <c r="J427" i="18" s="1"/>
  <c r="K427" i="18" s="1"/>
  <c r="F428" i="18"/>
  <c r="J428" i="18" s="1"/>
  <c r="K428" i="18" s="1"/>
  <c r="F429" i="18"/>
  <c r="J429" i="18" s="1"/>
  <c r="K429" i="18" s="1"/>
  <c r="F430" i="18"/>
  <c r="J430" i="18" s="1"/>
  <c r="K430" i="18" s="1"/>
  <c r="F431" i="18"/>
  <c r="J431" i="18" s="1"/>
  <c r="K431" i="18" s="1"/>
  <c r="F432" i="18"/>
  <c r="J432" i="18" s="1"/>
  <c r="K432" i="18" s="1"/>
  <c r="F433" i="18"/>
  <c r="J433" i="18" s="1"/>
  <c r="K433" i="18" s="1"/>
  <c r="F434" i="18"/>
  <c r="J434" i="18" s="1"/>
  <c r="K434" i="18" s="1"/>
  <c r="F435" i="18"/>
  <c r="J435" i="18" s="1"/>
  <c r="K435" i="18" s="1"/>
  <c r="F436" i="18"/>
  <c r="J436" i="18" s="1"/>
  <c r="K436" i="18" s="1"/>
  <c r="F437" i="18"/>
  <c r="J437" i="18" s="1"/>
  <c r="K437" i="18" s="1"/>
  <c r="F438" i="18"/>
  <c r="J438" i="18" s="1"/>
  <c r="K438" i="18" s="1"/>
  <c r="F439" i="18"/>
  <c r="J439" i="18" s="1"/>
  <c r="K439" i="18" s="1"/>
  <c r="F440" i="18"/>
  <c r="J440" i="18" s="1"/>
  <c r="K440" i="18" s="1"/>
  <c r="F441" i="18"/>
  <c r="J441" i="18" s="1"/>
  <c r="K441" i="18" s="1"/>
  <c r="F443" i="18"/>
  <c r="J443" i="18" s="1"/>
  <c r="K443" i="18" s="1"/>
  <c r="F444" i="18"/>
  <c r="J444" i="18" s="1"/>
  <c r="K444" i="18" s="1"/>
  <c r="F446" i="18"/>
  <c r="J446" i="18" s="1"/>
  <c r="K446" i="18" s="1"/>
  <c r="F447" i="18"/>
  <c r="J447" i="18" s="1"/>
  <c r="K447" i="18" s="1"/>
  <c r="F448" i="18"/>
  <c r="J448" i="18" s="1"/>
  <c r="K448" i="18" s="1"/>
  <c r="F449" i="18"/>
  <c r="J449" i="18" s="1"/>
  <c r="K449" i="18" s="1"/>
  <c r="F450" i="18"/>
  <c r="J450" i="18" s="1"/>
  <c r="K450" i="18" s="1"/>
  <c r="F451" i="18"/>
  <c r="J451" i="18" s="1"/>
  <c r="K451" i="18" s="1"/>
  <c r="F452" i="18"/>
  <c r="J452" i="18" s="1"/>
  <c r="K452" i="18" s="1"/>
  <c r="F454" i="18"/>
  <c r="J454" i="18" s="1"/>
  <c r="K454" i="18" s="1"/>
  <c r="F456" i="18"/>
  <c r="J456" i="18" s="1"/>
  <c r="K456" i="18" s="1"/>
  <c r="F457" i="18"/>
  <c r="J457" i="18" s="1"/>
  <c r="K457" i="18" s="1"/>
  <c r="F458" i="18"/>
  <c r="J458" i="18" s="1"/>
  <c r="K458" i="18" s="1"/>
  <c r="F460" i="18"/>
  <c r="J460" i="18" s="1"/>
  <c r="K460" i="18" s="1"/>
  <c r="F461" i="18"/>
  <c r="J461" i="18" s="1"/>
  <c r="K461" i="18" s="1"/>
  <c r="F462" i="18"/>
  <c r="J462" i="18" s="1"/>
  <c r="K462" i="18" s="1"/>
  <c r="F463" i="18"/>
  <c r="J463" i="18" s="1"/>
  <c r="K463" i="18" s="1"/>
  <c r="F464" i="18"/>
  <c r="J464" i="18" s="1"/>
  <c r="K464" i="18" s="1"/>
  <c r="F466" i="18"/>
  <c r="J466" i="18" s="1"/>
  <c r="K466" i="18" s="1"/>
  <c r="F467" i="18"/>
  <c r="J467" i="18" s="1"/>
  <c r="K467" i="18" s="1"/>
  <c r="F468" i="18"/>
  <c r="J468" i="18" s="1"/>
  <c r="K468" i="18" s="1"/>
  <c r="F469" i="18"/>
  <c r="J469" i="18" s="1"/>
  <c r="K469" i="18" s="1"/>
  <c r="F470" i="18"/>
  <c r="J470" i="18" s="1"/>
  <c r="K470" i="18" s="1"/>
  <c r="F472" i="18"/>
  <c r="J472" i="18" s="1"/>
  <c r="K472" i="18" s="1"/>
  <c r="F473" i="18"/>
  <c r="J473" i="18" s="1"/>
  <c r="K473" i="18" s="1"/>
  <c r="F475" i="18"/>
  <c r="J475" i="18" s="1"/>
  <c r="K475" i="18" s="1"/>
  <c r="F476" i="18"/>
  <c r="J476" i="18" s="1"/>
  <c r="K476" i="18" s="1"/>
  <c r="F477" i="18"/>
  <c r="J477" i="18" s="1"/>
  <c r="K477" i="18" s="1"/>
  <c r="F478" i="18"/>
  <c r="J478" i="18" s="1"/>
  <c r="K478" i="18" s="1"/>
  <c r="F479" i="18"/>
  <c r="J479" i="18" s="1"/>
  <c r="K479" i="18" s="1"/>
  <c r="F480" i="18"/>
  <c r="J480" i="18" s="1"/>
  <c r="K480" i="18" s="1"/>
  <c r="F481" i="18"/>
  <c r="J481" i="18" s="1"/>
  <c r="K481" i="18" s="1"/>
  <c r="F482" i="18"/>
  <c r="J482" i="18" s="1"/>
  <c r="K482" i="18" s="1"/>
  <c r="F483" i="18"/>
  <c r="J483" i="18" s="1"/>
  <c r="K483" i="18" s="1"/>
  <c r="F484" i="18"/>
  <c r="J484" i="18" s="1"/>
  <c r="K484" i="18" s="1"/>
  <c r="F486" i="18"/>
  <c r="J486" i="18" s="1"/>
  <c r="K486" i="18" s="1"/>
  <c r="F487" i="18"/>
  <c r="J487" i="18" s="1"/>
  <c r="K487" i="18" s="1"/>
  <c r="F488" i="18"/>
  <c r="J488" i="18" s="1"/>
  <c r="K488" i="18" s="1"/>
  <c r="F489" i="18"/>
  <c r="J489" i="18" s="1"/>
  <c r="K489" i="18" s="1"/>
  <c r="F490" i="18"/>
  <c r="J490" i="18" s="1"/>
  <c r="K490" i="18" s="1"/>
  <c r="F491" i="18"/>
  <c r="J491" i="18" s="1"/>
  <c r="K491" i="18" s="1"/>
  <c r="F492" i="18"/>
  <c r="J492" i="18" s="1"/>
  <c r="K492" i="18" s="1"/>
  <c r="F493" i="18"/>
  <c r="J493" i="18" s="1"/>
  <c r="K493" i="18" s="1"/>
  <c r="F494" i="18"/>
  <c r="J494" i="18" s="1"/>
  <c r="K494" i="18" s="1"/>
  <c r="F495" i="18"/>
  <c r="J495" i="18" s="1"/>
  <c r="K495" i="18" s="1"/>
  <c r="F496" i="18"/>
  <c r="J496" i="18" s="1"/>
  <c r="K496" i="18" s="1"/>
  <c r="F497" i="18"/>
  <c r="J497" i="18" s="1"/>
  <c r="K497" i="18" s="1"/>
  <c r="F499" i="18"/>
  <c r="J499" i="18" s="1"/>
  <c r="K499" i="18" s="1"/>
  <c r="F501" i="18"/>
  <c r="J501" i="18" s="1"/>
  <c r="K501" i="18" s="1"/>
  <c r="F502" i="18"/>
  <c r="J502" i="18" s="1"/>
  <c r="K502" i="18" s="1"/>
  <c r="F503" i="18"/>
  <c r="J503" i="18" s="1"/>
  <c r="K503" i="18" s="1"/>
  <c r="F504" i="18"/>
  <c r="J504" i="18" s="1"/>
  <c r="K504" i="18" s="1"/>
  <c r="F505" i="18"/>
  <c r="J505" i="18" s="1"/>
  <c r="K505" i="18" s="1"/>
  <c r="F508" i="18"/>
  <c r="J508" i="18" s="1"/>
  <c r="K508" i="18" s="1"/>
  <c r="F509" i="18"/>
  <c r="J509" i="18" s="1"/>
  <c r="K509" i="18" s="1"/>
  <c r="F510" i="18"/>
  <c r="J510" i="18" s="1"/>
  <c r="K510" i="18" s="1"/>
  <c r="F511" i="18"/>
  <c r="J511" i="18" s="1"/>
  <c r="K511" i="18" s="1"/>
  <c r="F512" i="18"/>
  <c r="J512" i="18" s="1"/>
  <c r="K512" i="18" s="1"/>
  <c r="F513" i="18"/>
  <c r="J513" i="18" s="1"/>
  <c r="K513" i="18" s="1"/>
  <c r="F514" i="18"/>
  <c r="J514" i="18" s="1"/>
  <c r="K514" i="18" s="1"/>
  <c r="F515" i="18"/>
  <c r="J515" i="18" s="1"/>
  <c r="K515" i="18" s="1"/>
  <c r="F516" i="18"/>
  <c r="J516" i="18" s="1"/>
  <c r="K516" i="18" s="1"/>
  <c r="F519" i="18"/>
  <c r="J519" i="18" s="1"/>
  <c r="K519" i="18" s="1"/>
  <c r="F520" i="18"/>
  <c r="J520" i="18" s="1"/>
  <c r="K520" i="18" s="1"/>
  <c r="F521" i="18"/>
  <c r="J521" i="18" s="1"/>
  <c r="K521" i="18" s="1"/>
  <c r="F522" i="18"/>
  <c r="J522" i="18" s="1"/>
  <c r="K522" i="18" s="1"/>
  <c r="F523" i="18"/>
  <c r="J523" i="18" s="1"/>
  <c r="K523" i="18" s="1"/>
  <c r="F524" i="18"/>
  <c r="J524" i="18" s="1"/>
  <c r="K524" i="18" s="1"/>
  <c r="F525" i="18"/>
  <c r="J525" i="18" s="1"/>
  <c r="K525" i="18" s="1"/>
  <c r="F526" i="18"/>
  <c r="J526" i="18" s="1"/>
  <c r="K526" i="18" s="1"/>
  <c r="F527" i="18"/>
  <c r="J527" i="18" s="1"/>
  <c r="K527" i="18" s="1"/>
  <c r="F528" i="18"/>
  <c r="J528" i="18" s="1"/>
  <c r="K528" i="18" s="1"/>
  <c r="F529" i="18"/>
  <c r="J529" i="18" s="1"/>
  <c r="K529" i="18" s="1"/>
  <c r="F530" i="18"/>
  <c r="J530" i="18" s="1"/>
  <c r="K530" i="18" s="1"/>
  <c r="F531" i="18"/>
  <c r="J531" i="18" s="1"/>
  <c r="K531" i="18" s="1"/>
  <c r="F532" i="18"/>
  <c r="J532" i="18" s="1"/>
  <c r="K532" i="18" s="1"/>
  <c r="F533" i="18"/>
  <c r="J533" i="18" s="1"/>
  <c r="K533" i="18" s="1"/>
  <c r="F535" i="18"/>
  <c r="J535" i="18" s="1"/>
  <c r="K535" i="18" s="1"/>
  <c r="F536" i="18"/>
  <c r="J536" i="18" s="1"/>
  <c r="K536" i="18" s="1"/>
  <c r="F537" i="18"/>
  <c r="J537" i="18" s="1"/>
  <c r="K537" i="18" s="1"/>
  <c r="F538" i="18"/>
  <c r="J538" i="18" s="1"/>
  <c r="K538" i="18" s="1"/>
  <c r="F539" i="18"/>
  <c r="J539" i="18" s="1"/>
  <c r="K539" i="18" s="1"/>
  <c r="F540" i="18"/>
  <c r="J540" i="18" s="1"/>
  <c r="K540" i="18" s="1"/>
  <c r="F541" i="18"/>
  <c r="J541" i="18" s="1"/>
  <c r="K541" i="18" s="1"/>
  <c r="F542" i="18"/>
  <c r="J542" i="18" s="1"/>
  <c r="K542" i="18" s="1"/>
  <c r="F544" i="18"/>
  <c r="J544" i="18" s="1"/>
  <c r="K544" i="18" s="1"/>
  <c r="F545" i="18"/>
  <c r="J545" i="18" s="1"/>
  <c r="K545" i="18" s="1"/>
  <c r="F546" i="18"/>
  <c r="J546" i="18" s="1"/>
  <c r="K546" i="18" s="1"/>
  <c r="F547" i="18"/>
  <c r="J547" i="18" s="1"/>
  <c r="K547" i="18" s="1"/>
  <c r="F548" i="18"/>
  <c r="J548" i="18" s="1"/>
  <c r="K548" i="18" s="1"/>
  <c r="F549" i="18"/>
  <c r="J549" i="18" s="1"/>
  <c r="K549" i="18" s="1"/>
  <c r="F550" i="18"/>
  <c r="J550" i="18" s="1"/>
  <c r="K550" i="18" s="1"/>
  <c r="F551" i="18"/>
  <c r="J551" i="18" s="1"/>
  <c r="K551" i="18" s="1"/>
  <c r="F553" i="18"/>
  <c r="J553" i="18" s="1"/>
  <c r="K553" i="18" s="1"/>
  <c r="F554" i="18"/>
  <c r="J554" i="18" s="1"/>
  <c r="K554" i="18" s="1"/>
  <c r="F555" i="18"/>
  <c r="J555" i="18" s="1"/>
  <c r="K555" i="18" s="1"/>
  <c r="F556" i="18"/>
  <c r="J556" i="18" s="1"/>
  <c r="K556" i="18" s="1"/>
  <c r="F557" i="18"/>
  <c r="J557" i="18" s="1"/>
  <c r="K557" i="18" s="1"/>
  <c r="F558" i="18"/>
  <c r="J558" i="18" s="1"/>
  <c r="K558" i="18" s="1"/>
  <c r="F559" i="18"/>
  <c r="J559" i="18" s="1"/>
  <c r="K559" i="18" s="1"/>
  <c r="F560" i="18"/>
  <c r="J560" i="18" s="1"/>
  <c r="K560" i="18" s="1"/>
  <c r="F561" i="18"/>
  <c r="J561" i="18" s="1"/>
  <c r="K561" i="18" s="1"/>
  <c r="F562" i="18"/>
  <c r="J562" i="18" s="1"/>
  <c r="K562" i="18" s="1"/>
  <c r="F563" i="18"/>
  <c r="J563" i="18" s="1"/>
  <c r="K563" i="18" s="1"/>
  <c r="F564" i="18"/>
  <c r="J564" i="18" s="1"/>
  <c r="K564" i="18" s="1"/>
  <c r="F565" i="18"/>
  <c r="J565" i="18" s="1"/>
  <c r="K565" i="18" s="1"/>
  <c r="F566" i="18"/>
  <c r="J566" i="18" s="1"/>
  <c r="K566" i="18" s="1"/>
  <c r="F567" i="18"/>
  <c r="J567" i="18" s="1"/>
  <c r="K567" i="18" s="1"/>
  <c r="F568" i="18"/>
  <c r="J568" i="18" s="1"/>
  <c r="K568" i="18" s="1"/>
  <c r="F569" i="18"/>
  <c r="J569" i="18" s="1"/>
  <c r="K569" i="18" s="1"/>
  <c r="F570" i="18"/>
  <c r="J570" i="18" s="1"/>
  <c r="K570" i="18" s="1"/>
  <c r="F571" i="18"/>
  <c r="J571" i="18" s="1"/>
  <c r="K571" i="18" s="1"/>
  <c r="F572" i="18"/>
  <c r="J572" i="18" s="1"/>
  <c r="K572" i="18" s="1"/>
  <c r="F573" i="18"/>
  <c r="J573" i="18" s="1"/>
  <c r="K573" i="18" s="1"/>
  <c r="F574" i="18"/>
  <c r="J574" i="18" s="1"/>
  <c r="K574" i="18" s="1"/>
  <c r="F575" i="18"/>
  <c r="J575" i="18" s="1"/>
  <c r="K575" i="18" s="1"/>
  <c r="F576" i="18"/>
  <c r="J576" i="18" s="1"/>
  <c r="K576" i="18" s="1"/>
  <c r="F577" i="18"/>
  <c r="J577" i="18" s="1"/>
  <c r="K577" i="18" s="1"/>
  <c r="F578" i="18"/>
  <c r="J578" i="18" s="1"/>
  <c r="K578" i="18" s="1"/>
  <c r="F579" i="18"/>
  <c r="J579" i="18" s="1"/>
  <c r="K579" i="18" s="1"/>
  <c r="F580" i="18"/>
  <c r="J580" i="18" s="1"/>
  <c r="K580" i="18" s="1"/>
  <c r="F581" i="18"/>
  <c r="J581" i="18" s="1"/>
  <c r="K581" i="18" s="1"/>
  <c r="F582" i="18"/>
  <c r="J582" i="18" s="1"/>
  <c r="K582" i="18" s="1"/>
  <c r="F583" i="18"/>
  <c r="J583" i="18" s="1"/>
  <c r="K583" i="18" s="1"/>
  <c r="F584" i="18"/>
  <c r="J584" i="18" s="1"/>
  <c r="K584" i="18" s="1"/>
  <c r="F585" i="18"/>
  <c r="J585" i="18" s="1"/>
  <c r="K585" i="18" s="1"/>
  <c r="F586" i="18"/>
  <c r="J586" i="18" s="1"/>
  <c r="K586" i="18" s="1"/>
  <c r="F587" i="18"/>
  <c r="J587" i="18" s="1"/>
  <c r="K587" i="18" s="1"/>
  <c r="F588" i="18"/>
  <c r="J588" i="18" s="1"/>
  <c r="K588" i="18" s="1"/>
  <c r="F589" i="18"/>
  <c r="J589" i="18" s="1"/>
  <c r="K589" i="18" s="1"/>
  <c r="F591" i="18"/>
  <c r="J591" i="18" s="1"/>
  <c r="K591" i="18" s="1"/>
  <c r="F592" i="18"/>
  <c r="J592" i="18" s="1"/>
  <c r="K592" i="18" s="1"/>
  <c r="F593" i="18"/>
  <c r="J593" i="18" s="1"/>
  <c r="K593" i="18" s="1"/>
  <c r="F594" i="18"/>
  <c r="J594" i="18" s="1"/>
  <c r="K594" i="18" s="1"/>
  <c r="F595" i="18"/>
  <c r="J595" i="18" s="1"/>
  <c r="K595" i="18" s="1"/>
  <c r="F596" i="18"/>
  <c r="J596" i="18" s="1"/>
  <c r="K596" i="18" s="1"/>
  <c r="F598" i="18"/>
  <c r="J598" i="18" s="1"/>
  <c r="K598" i="18" s="1"/>
  <c r="F599" i="18"/>
  <c r="J599" i="18" s="1"/>
  <c r="K599" i="18" s="1"/>
  <c r="F600" i="18"/>
  <c r="J600" i="18" s="1"/>
  <c r="K600" i="18" s="1"/>
  <c r="F601" i="18"/>
  <c r="J601" i="18" s="1"/>
  <c r="K601" i="18" s="1"/>
  <c r="F602" i="18"/>
  <c r="J602" i="18" s="1"/>
  <c r="K602" i="18" s="1"/>
  <c r="F603" i="18"/>
  <c r="J603" i="18" s="1"/>
  <c r="K603" i="18" s="1"/>
  <c r="F604" i="18"/>
  <c r="J604" i="18" s="1"/>
  <c r="K604" i="18" s="1"/>
  <c r="F605" i="18"/>
  <c r="J605" i="18" s="1"/>
  <c r="K605" i="18" s="1"/>
  <c r="F606" i="18"/>
  <c r="J606" i="18" s="1"/>
  <c r="K606" i="18" s="1"/>
  <c r="F607" i="18"/>
  <c r="J607" i="18" s="1"/>
  <c r="K607" i="18" s="1"/>
  <c r="F608" i="18"/>
  <c r="J608" i="18" s="1"/>
  <c r="K608" i="18" s="1"/>
  <c r="F609" i="18"/>
  <c r="J609" i="18" s="1"/>
  <c r="K609" i="18" s="1"/>
  <c r="F610" i="18"/>
  <c r="J610" i="18" s="1"/>
  <c r="K610" i="18" s="1"/>
  <c r="F611" i="18"/>
  <c r="J611" i="18" s="1"/>
  <c r="K611" i="18" s="1"/>
  <c r="F613" i="18"/>
  <c r="J613" i="18" s="1"/>
  <c r="K613" i="18" s="1"/>
  <c r="F614" i="18"/>
  <c r="J614" i="18" s="1"/>
  <c r="K614" i="18" s="1"/>
  <c r="F615" i="18"/>
  <c r="J615" i="18" s="1"/>
  <c r="K615" i="18" s="1"/>
  <c r="F616" i="18"/>
  <c r="J616" i="18" s="1"/>
  <c r="K616" i="18" s="1"/>
  <c r="F617" i="18"/>
  <c r="J617" i="18" s="1"/>
  <c r="K617" i="18" s="1"/>
  <c r="F619" i="18"/>
  <c r="J619" i="18" s="1"/>
  <c r="K619" i="18" s="1"/>
  <c r="F620" i="18"/>
  <c r="J620" i="18" s="1"/>
  <c r="K620" i="18" s="1"/>
  <c r="F621" i="18"/>
  <c r="J621" i="18" s="1"/>
  <c r="K621" i="18" s="1"/>
  <c r="F622" i="18"/>
  <c r="J622" i="18" s="1"/>
  <c r="K622" i="18" s="1"/>
  <c r="F623" i="18"/>
  <c r="J623" i="18" s="1"/>
  <c r="K623" i="18" s="1"/>
  <c r="F624" i="18"/>
  <c r="J624" i="18" s="1"/>
  <c r="K624" i="18" s="1"/>
  <c r="F625" i="18"/>
  <c r="J625" i="18" s="1"/>
  <c r="K625" i="18" s="1"/>
  <c r="F626" i="18"/>
  <c r="J626" i="18" s="1"/>
  <c r="K626" i="18" s="1"/>
  <c r="F627" i="18"/>
  <c r="J627" i="18" s="1"/>
  <c r="K627" i="18" s="1"/>
  <c r="F628" i="18"/>
  <c r="J628" i="18" s="1"/>
  <c r="K628" i="18" s="1"/>
  <c r="F629" i="18"/>
  <c r="J629" i="18" s="1"/>
  <c r="K629" i="18" s="1"/>
  <c r="F632" i="18"/>
  <c r="J632" i="18" s="1"/>
  <c r="K632" i="18" s="1"/>
  <c r="F633" i="18"/>
  <c r="J633" i="18" s="1"/>
  <c r="K633" i="18" s="1"/>
  <c r="F634" i="18"/>
  <c r="J634" i="18" s="1"/>
  <c r="K634" i="18" s="1"/>
  <c r="F635" i="18"/>
  <c r="J635" i="18" s="1"/>
  <c r="K635" i="18" s="1"/>
  <c r="F637" i="18"/>
  <c r="J637" i="18" s="1"/>
  <c r="K637" i="18" s="1"/>
  <c r="F639" i="18"/>
  <c r="J639" i="18" s="1"/>
  <c r="K639" i="18" s="1"/>
  <c r="F640" i="18"/>
  <c r="J640" i="18" s="1"/>
  <c r="K640" i="18" s="1"/>
  <c r="F641" i="18"/>
  <c r="J641" i="18" s="1"/>
  <c r="K641" i="18" s="1"/>
  <c r="F642" i="18"/>
  <c r="J642" i="18" s="1"/>
  <c r="K642" i="18" s="1"/>
  <c r="F643" i="18"/>
  <c r="J643" i="18" s="1"/>
  <c r="K643" i="18" s="1"/>
  <c r="F644" i="18"/>
  <c r="J644" i="18" s="1"/>
  <c r="K644" i="18" s="1"/>
  <c r="F646" i="18"/>
  <c r="J646" i="18" s="1"/>
  <c r="K646" i="18" s="1"/>
  <c r="F647" i="18"/>
  <c r="J647" i="18" s="1"/>
  <c r="K647" i="18" s="1"/>
  <c r="F648" i="18"/>
  <c r="J648" i="18" s="1"/>
  <c r="K648" i="18" s="1"/>
  <c r="F650" i="18"/>
  <c r="J650" i="18" s="1"/>
  <c r="K650" i="18" s="1"/>
  <c r="F651" i="18"/>
  <c r="J651" i="18" s="1"/>
  <c r="K651" i="18" s="1"/>
  <c r="F652" i="18"/>
  <c r="J652" i="18" s="1"/>
  <c r="K652" i="18" s="1"/>
  <c r="F654" i="18"/>
  <c r="J654" i="18" s="1"/>
  <c r="K654" i="18" s="1"/>
  <c r="F655" i="18"/>
  <c r="J655" i="18" s="1"/>
  <c r="K655" i="18" s="1"/>
  <c r="F656" i="18"/>
  <c r="J656" i="18" s="1"/>
  <c r="K656" i="18" s="1"/>
  <c r="F657" i="18"/>
  <c r="J657" i="18" s="1"/>
  <c r="K657" i="18" s="1"/>
  <c r="F658" i="18"/>
  <c r="J658" i="18" s="1"/>
  <c r="K658" i="18" s="1"/>
  <c r="F659" i="18"/>
  <c r="J659" i="18" s="1"/>
  <c r="K659" i="18" s="1"/>
  <c r="F660" i="18"/>
  <c r="J660" i="18" s="1"/>
  <c r="K660" i="18" s="1"/>
  <c r="F661" i="18"/>
  <c r="J661" i="18" s="1"/>
  <c r="K661" i="18" s="1"/>
  <c r="F662" i="18"/>
  <c r="J662" i="18" s="1"/>
  <c r="K662" i="18" s="1"/>
  <c r="F663" i="18"/>
  <c r="J663" i="18" s="1"/>
  <c r="K663" i="18" s="1"/>
  <c r="F664" i="18"/>
  <c r="J664" i="18" s="1"/>
  <c r="K664" i="18" s="1"/>
  <c r="F665" i="18"/>
  <c r="J665" i="18" s="1"/>
  <c r="K665" i="18" s="1"/>
  <c r="F667" i="18"/>
  <c r="J667" i="18" s="1"/>
  <c r="K667" i="18" s="1"/>
  <c r="F668" i="18"/>
  <c r="J668" i="18" s="1"/>
  <c r="K668" i="18" s="1"/>
  <c r="F669" i="18"/>
  <c r="J669" i="18" s="1"/>
  <c r="K669" i="18" s="1"/>
  <c r="F670" i="18"/>
  <c r="J670" i="18" s="1"/>
  <c r="K670" i="18" s="1"/>
  <c r="F672" i="18"/>
  <c r="J672" i="18" s="1"/>
  <c r="K672" i="18" s="1"/>
  <c r="F673" i="18"/>
  <c r="J673" i="18" s="1"/>
  <c r="K673" i="18" s="1"/>
  <c r="F676" i="18"/>
  <c r="J676" i="18" s="1"/>
  <c r="K676" i="18" s="1"/>
  <c r="F677" i="18"/>
  <c r="J677" i="18" s="1"/>
  <c r="K677" i="18" s="1"/>
  <c r="F678" i="18"/>
  <c r="J678" i="18" s="1"/>
  <c r="K678" i="18" s="1"/>
  <c r="F679" i="18"/>
  <c r="J679" i="18" s="1"/>
  <c r="K679" i="18" s="1"/>
  <c r="F680" i="18"/>
  <c r="J680" i="18" s="1"/>
  <c r="K680" i="18" s="1"/>
  <c r="F681" i="18"/>
  <c r="J681" i="18" s="1"/>
  <c r="K681" i="18" s="1"/>
  <c r="F682" i="18"/>
  <c r="J682" i="18" s="1"/>
  <c r="K682" i="18" s="1"/>
  <c r="F684" i="18"/>
  <c r="J684" i="18" s="1"/>
  <c r="K684" i="18" s="1"/>
  <c r="F685" i="18"/>
  <c r="J685" i="18" s="1"/>
  <c r="K685" i="18" s="1"/>
  <c r="F686" i="18"/>
  <c r="J686" i="18" s="1"/>
  <c r="K686" i="18" s="1"/>
  <c r="F687" i="18"/>
  <c r="J687" i="18" s="1"/>
  <c r="K687" i="18" s="1"/>
  <c r="F688" i="18"/>
  <c r="J688" i="18" s="1"/>
  <c r="K688" i="18" s="1"/>
  <c r="F689" i="18"/>
  <c r="J689" i="18" s="1"/>
  <c r="K689" i="18" s="1"/>
  <c r="F690" i="18"/>
  <c r="J690" i="18" s="1"/>
  <c r="K690" i="18" s="1"/>
  <c r="F691" i="18"/>
  <c r="J691" i="18" s="1"/>
  <c r="K691" i="18" s="1"/>
  <c r="F692" i="18"/>
  <c r="J692" i="18" s="1"/>
  <c r="K692" i="18" s="1"/>
  <c r="F693" i="18"/>
  <c r="J693" i="18" s="1"/>
  <c r="K693" i="18" s="1"/>
  <c r="F695" i="18"/>
  <c r="J695" i="18" s="1"/>
  <c r="K695" i="18" s="1"/>
  <c r="F696" i="18"/>
  <c r="J696" i="18" s="1"/>
  <c r="K696" i="18" s="1"/>
  <c r="F697" i="18"/>
  <c r="J697" i="18" s="1"/>
  <c r="K697" i="18" s="1"/>
  <c r="F698" i="18"/>
  <c r="J698" i="18" s="1"/>
  <c r="K698" i="18" s="1"/>
  <c r="F699" i="18"/>
  <c r="J699" i="18" s="1"/>
  <c r="K699" i="18" s="1"/>
  <c r="F700" i="18"/>
  <c r="J700" i="18" s="1"/>
  <c r="K700" i="18" s="1"/>
  <c r="F701" i="18"/>
  <c r="J701" i="18" s="1"/>
  <c r="K701" i="18" s="1"/>
  <c r="F702" i="18"/>
  <c r="J702" i="18" s="1"/>
  <c r="K702" i="18" s="1"/>
  <c r="F703" i="18"/>
  <c r="J703" i="18" s="1"/>
  <c r="K703" i="18" s="1"/>
  <c r="F704" i="18"/>
  <c r="J704" i="18" s="1"/>
  <c r="K704" i="18" s="1"/>
  <c r="F706" i="18"/>
  <c r="J706" i="18" s="1"/>
  <c r="K706" i="18" s="1"/>
  <c r="F707" i="18"/>
  <c r="J707" i="18" s="1"/>
  <c r="K707" i="18" s="1"/>
  <c r="F708" i="18"/>
  <c r="J708" i="18" s="1"/>
  <c r="K708" i="18" s="1"/>
  <c r="F709" i="18"/>
  <c r="J709" i="18" s="1"/>
  <c r="K709" i="18" s="1"/>
  <c r="F710" i="18"/>
  <c r="J710" i="18" s="1"/>
  <c r="K710" i="18" s="1"/>
  <c r="F711" i="18"/>
  <c r="J711" i="18" s="1"/>
  <c r="K711" i="18" s="1"/>
  <c r="F712" i="18"/>
  <c r="J712" i="18" s="1"/>
  <c r="K712" i="18" s="1"/>
  <c r="F713" i="18"/>
  <c r="J713" i="18" s="1"/>
  <c r="K713" i="18" s="1"/>
  <c r="F715" i="18"/>
  <c r="J715" i="18" s="1"/>
  <c r="K715" i="18" s="1"/>
  <c r="F716" i="18"/>
  <c r="J716" i="18" s="1"/>
  <c r="K716" i="18" s="1"/>
  <c r="F717" i="18"/>
  <c r="J717" i="18" s="1"/>
  <c r="K717" i="18" s="1"/>
  <c r="F718" i="18"/>
  <c r="J718" i="18" s="1"/>
  <c r="K718" i="18" s="1"/>
  <c r="F719" i="18"/>
  <c r="J719" i="18" s="1"/>
  <c r="K719" i="18" s="1"/>
  <c r="F720" i="18"/>
  <c r="J720" i="18" s="1"/>
  <c r="K720" i="18" s="1"/>
  <c r="F721" i="18"/>
  <c r="J721" i="18" s="1"/>
  <c r="K721" i="18" s="1"/>
  <c r="F722" i="18"/>
  <c r="J722" i="18" s="1"/>
  <c r="K722" i="18" s="1"/>
  <c r="F723" i="18"/>
  <c r="J723" i="18" s="1"/>
  <c r="K723" i="18" s="1"/>
  <c r="I722" i="17"/>
  <c r="J722" i="17"/>
  <c r="J727" i="17"/>
  <c r="I724" i="17"/>
  <c r="I726" i="17" s="1"/>
  <c r="F8" i="17"/>
  <c r="F10" i="17"/>
  <c r="F11" i="17"/>
  <c r="F16" i="17"/>
  <c r="F21" i="17"/>
  <c r="F23" i="17"/>
  <c r="F26" i="17"/>
  <c r="F27" i="17"/>
  <c r="F30" i="17"/>
  <c r="F34" i="17"/>
  <c r="F40" i="17"/>
  <c r="F43" i="17"/>
  <c r="F47" i="17"/>
  <c r="F48" i="17"/>
  <c r="F51" i="17"/>
  <c r="F54" i="17"/>
  <c r="F57" i="17"/>
  <c r="F62" i="17"/>
  <c r="F63" i="17"/>
  <c r="F71" i="17"/>
  <c r="F74" i="17"/>
  <c r="F81" i="17"/>
  <c r="F88" i="17"/>
  <c r="F95" i="17"/>
  <c r="F102" i="17"/>
  <c r="F106" i="17"/>
  <c r="F107" i="17"/>
  <c r="F111" i="17"/>
  <c r="F114" i="17"/>
  <c r="F120" i="17"/>
  <c r="F124" i="17"/>
  <c r="F128" i="17"/>
  <c r="F131" i="17"/>
  <c r="F132" i="17"/>
  <c r="F134" i="17"/>
  <c r="F137" i="17"/>
  <c r="F143" i="17"/>
  <c r="F148" i="17"/>
  <c r="F150" i="17"/>
  <c r="F151" i="17"/>
  <c r="F156" i="17"/>
  <c r="F164" i="17"/>
  <c r="F171" i="17"/>
  <c r="F178" i="17"/>
  <c r="F179" i="17"/>
  <c r="F184" i="17"/>
  <c r="F192" i="17"/>
  <c r="F199" i="17"/>
  <c r="F206" i="17"/>
  <c r="F215" i="17"/>
  <c r="F217" i="17"/>
  <c r="F218" i="17"/>
  <c r="F220" i="17"/>
  <c r="F223" i="17"/>
  <c r="F225" i="17"/>
  <c r="F226" i="17"/>
  <c r="F230" i="17"/>
  <c r="F233" i="17"/>
  <c r="F235" i="17"/>
  <c r="F241" i="17"/>
  <c r="F246" i="17"/>
  <c r="F253" i="17"/>
  <c r="F255" i="17"/>
  <c r="F256" i="17"/>
  <c r="F286" i="17"/>
  <c r="F306" i="17"/>
  <c r="F315" i="17"/>
  <c r="F330" i="17"/>
  <c r="F335" i="17"/>
  <c r="F339" i="17"/>
  <c r="F340" i="17"/>
  <c r="F354" i="17"/>
  <c r="F370" i="17"/>
  <c r="F371" i="17"/>
  <c r="F388" i="17"/>
  <c r="F394" i="17"/>
  <c r="F399" i="17"/>
  <c r="F400" i="17"/>
  <c r="F407" i="17"/>
  <c r="F410" i="17"/>
  <c r="F421" i="17"/>
  <c r="F425" i="17"/>
  <c r="F442" i="17"/>
  <c r="F445" i="17"/>
  <c r="F453" i="17"/>
  <c r="F455" i="17"/>
  <c r="F459" i="17"/>
  <c r="F465" i="17"/>
  <c r="F471" i="17"/>
  <c r="F474" i="17"/>
  <c r="F485" i="17"/>
  <c r="F498" i="17"/>
  <c r="F500" i="17"/>
  <c r="F506" i="17"/>
  <c r="F507" i="17"/>
  <c r="F534" i="17"/>
  <c r="F543" i="17"/>
  <c r="F552" i="17"/>
  <c r="F590" i="17"/>
  <c r="F597" i="17"/>
  <c r="F612" i="17"/>
  <c r="F618" i="17"/>
  <c r="F630" i="17"/>
  <c r="F631" i="17"/>
  <c r="F636" i="17"/>
  <c r="F638" i="17"/>
  <c r="F645" i="17"/>
  <c r="F649" i="17"/>
  <c r="F653" i="17"/>
  <c r="F666" i="17"/>
  <c r="F671" i="17"/>
  <c r="F674" i="17"/>
  <c r="F675" i="17"/>
  <c r="F683" i="17"/>
  <c r="F694" i="17"/>
  <c r="F705" i="17"/>
  <c r="F724" i="18" l="1"/>
  <c r="J4" i="18"/>
  <c r="K4" i="18" s="1"/>
  <c r="K725" i="18" s="1"/>
  <c r="F725" i="18"/>
  <c r="F726" i="18"/>
  <c r="F727" i="18"/>
  <c r="F729" i="18" s="1"/>
  <c r="F17" i="12"/>
  <c r="H17" i="12"/>
  <c r="F22" i="12"/>
  <c r="H22" i="12" s="1"/>
  <c r="I733" i="9"/>
  <c r="F723" i="15"/>
  <c r="F722" i="15"/>
  <c r="F721" i="15"/>
  <c r="F720" i="15"/>
  <c r="F719" i="15"/>
  <c r="F718" i="15"/>
  <c r="F717" i="15"/>
  <c r="F716" i="15"/>
  <c r="F715" i="15"/>
  <c r="F713" i="15"/>
  <c r="F712" i="15"/>
  <c r="F711" i="15"/>
  <c r="F710" i="15"/>
  <c r="F709" i="15"/>
  <c r="F708" i="15"/>
  <c r="F707" i="15"/>
  <c r="F706" i="15"/>
  <c r="F704" i="15"/>
  <c r="F703" i="15"/>
  <c r="F702" i="15"/>
  <c r="F701" i="15"/>
  <c r="F700" i="15"/>
  <c r="F699" i="15"/>
  <c r="F698" i="15"/>
  <c r="F697" i="15"/>
  <c r="F696" i="15"/>
  <c r="F695" i="15"/>
  <c r="F693" i="15"/>
  <c r="F692" i="15"/>
  <c r="F691" i="15"/>
  <c r="F690" i="15"/>
  <c r="F689" i="15"/>
  <c r="F688" i="15"/>
  <c r="F687" i="15"/>
  <c r="F686" i="15"/>
  <c r="F685" i="15"/>
  <c r="F684" i="15"/>
  <c r="F682" i="15"/>
  <c r="F681" i="15"/>
  <c r="F680" i="15"/>
  <c r="F679" i="15"/>
  <c r="F678" i="15"/>
  <c r="F677" i="15"/>
  <c r="F676" i="15"/>
  <c r="F673" i="15"/>
  <c r="F672" i="15"/>
  <c r="F670" i="15"/>
  <c r="F669" i="15"/>
  <c r="F668" i="15"/>
  <c r="F667" i="15"/>
  <c r="F665" i="15"/>
  <c r="F664" i="15"/>
  <c r="F663" i="15"/>
  <c r="F662" i="15"/>
  <c r="F661" i="15"/>
  <c r="F660" i="15"/>
  <c r="F659" i="15"/>
  <c r="F658" i="15"/>
  <c r="F657" i="15"/>
  <c r="F656" i="15"/>
  <c r="F655" i="15"/>
  <c r="F654" i="15"/>
  <c r="F652" i="15"/>
  <c r="F651" i="15"/>
  <c r="F650" i="15"/>
  <c r="F648" i="15"/>
  <c r="F647" i="15"/>
  <c r="F646" i="15"/>
  <c r="F644" i="15"/>
  <c r="F643" i="15"/>
  <c r="F642" i="15"/>
  <c r="F641" i="15"/>
  <c r="F640" i="15"/>
  <c r="F639" i="15"/>
  <c r="F637" i="15"/>
  <c r="F635" i="15"/>
  <c r="F634" i="15"/>
  <c r="F633" i="15"/>
  <c r="F632" i="15"/>
  <c r="F629" i="15"/>
  <c r="F628" i="15"/>
  <c r="F627" i="15"/>
  <c r="F626" i="15"/>
  <c r="F625" i="15"/>
  <c r="F624" i="15"/>
  <c r="F623" i="15"/>
  <c r="F622" i="15"/>
  <c r="F621" i="15"/>
  <c r="F620" i="15"/>
  <c r="F619" i="15"/>
  <c r="F617" i="15"/>
  <c r="F616" i="15"/>
  <c r="F615" i="15"/>
  <c r="F614" i="15"/>
  <c r="F613" i="15"/>
  <c r="F611" i="15"/>
  <c r="F610" i="15"/>
  <c r="F609" i="15"/>
  <c r="F608" i="15"/>
  <c r="F607" i="15"/>
  <c r="F606" i="15"/>
  <c r="F605" i="15"/>
  <c r="F604" i="15"/>
  <c r="F603" i="15"/>
  <c r="F602" i="15"/>
  <c r="F601" i="15"/>
  <c r="F600" i="15"/>
  <c r="F599" i="15"/>
  <c r="F598" i="15"/>
  <c r="F596" i="15"/>
  <c r="F595" i="15"/>
  <c r="F594" i="15"/>
  <c r="F593" i="15"/>
  <c r="F592" i="15"/>
  <c r="F591" i="15"/>
  <c r="F589" i="15"/>
  <c r="F588" i="15"/>
  <c r="F587" i="15"/>
  <c r="F586" i="15"/>
  <c r="F585" i="15"/>
  <c r="F584" i="15"/>
  <c r="F583" i="15"/>
  <c r="F582" i="15"/>
  <c r="F581" i="15"/>
  <c r="F580" i="15"/>
  <c r="F579" i="15"/>
  <c r="F578" i="15"/>
  <c r="F577" i="15"/>
  <c r="F576" i="15"/>
  <c r="F575" i="15"/>
  <c r="F574" i="15"/>
  <c r="F573" i="15"/>
  <c r="F572" i="15"/>
  <c r="F571" i="15"/>
  <c r="F570" i="15"/>
  <c r="F569" i="15"/>
  <c r="F568" i="15"/>
  <c r="F567" i="15"/>
  <c r="F566" i="15"/>
  <c r="F565" i="15"/>
  <c r="F564" i="15"/>
  <c r="F563" i="15"/>
  <c r="F562" i="15"/>
  <c r="F561" i="15"/>
  <c r="F560" i="15"/>
  <c r="F559" i="15"/>
  <c r="F558" i="15"/>
  <c r="F557" i="15"/>
  <c r="F556" i="15"/>
  <c r="F555" i="15"/>
  <c r="F554" i="15"/>
  <c r="F553" i="15"/>
  <c r="F551" i="15"/>
  <c r="F550" i="15"/>
  <c r="F549" i="15"/>
  <c r="F548" i="15"/>
  <c r="F547" i="15"/>
  <c r="F546" i="15"/>
  <c r="F545" i="15"/>
  <c r="F544" i="15"/>
  <c r="F542" i="15"/>
  <c r="F541" i="15"/>
  <c r="F540" i="15"/>
  <c r="F539" i="15"/>
  <c r="F538" i="15"/>
  <c r="F537" i="15"/>
  <c r="F536" i="15"/>
  <c r="F535" i="15"/>
  <c r="F533" i="15"/>
  <c r="F532" i="15"/>
  <c r="F531" i="15"/>
  <c r="F530" i="15"/>
  <c r="F529" i="15"/>
  <c r="F528" i="15"/>
  <c r="F527" i="15"/>
  <c r="F526" i="15"/>
  <c r="F525" i="15"/>
  <c r="F524" i="15"/>
  <c r="F523" i="15"/>
  <c r="F522" i="15"/>
  <c r="F521" i="15"/>
  <c r="F520" i="15"/>
  <c r="F519" i="15"/>
  <c r="F516" i="15"/>
  <c r="F515" i="15"/>
  <c r="F514" i="15"/>
  <c r="F513" i="15"/>
  <c r="F512" i="15"/>
  <c r="F511" i="15"/>
  <c r="F510" i="15"/>
  <c r="F509" i="15"/>
  <c r="F508" i="15"/>
  <c r="F505" i="15"/>
  <c r="F504" i="15"/>
  <c r="F503" i="15"/>
  <c r="F502" i="15"/>
  <c r="F501" i="15"/>
  <c r="F499" i="15"/>
  <c r="F497" i="15"/>
  <c r="F496" i="15"/>
  <c r="F495" i="15"/>
  <c r="F494" i="15"/>
  <c r="F493" i="15"/>
  <c r="F492" i="15"/>
  <c r="F491" i="15"/>
  <c r="F490" i="15"/>
  <c r="F489" i="15"/>
  <c r="F488" i="15"/>
  <c r="F487" i="15"/>
  <c r="F486" i="15"/>
  <c r="F484" i="15"/>
  <c r="F483" i="15"/>
  <c r="F482" i="15"/>
  <c r="F481" i="15"/>
  <c r="F480" i="15"/>
  <c r="F479" i="15"/>
  <c r="F478" i="15"/>
  <c r="F477" i="15"/>
  <c r="F476" i="15"/>
  <c r="F475" i="15"/>
  <c r="F473" i="15"/>
  <c r="F472" i="15"/>
  <c r="F470" i="15"/>
  <c r="F469" i="15"/>
  <c r="F468" i="15"/>
  <c r="F467" i="15"/>
  <c r="F466" i="15"/>
  <c r="F464" i="15"/>
  <c r="F463" i="15"/>
  <c r="F462" i="15"/>
  <c r="F461" i="15"/>
  <c r="F460" i="15"/>
  <c r="F458" i="15"/>
  <c r="F457" i="15"/>
  <c r="F456" i="15"/>
  <c r="F454" i="15"/>
  <c r="F452" i="15"/>
  <c r="F451" i="15"/>
  <c r="F450" i="15"/>
  <c r="F449" i="15"/>
  <c r="F448" i="15"/>
  <c r="F447" i="15"/>
  <c r="F446" i="15"/>
  <c r="F444" i="15"/>
  <c r="F443" i="15"/>
  <c r="F441" i="15"/>
  <c r="F440" i="15"/>
  <c r="F439" i="15"/>
  <c r="F438" i="15"/>
  <c r="F437" i="15"/>
  <c r="F436" i="15"/>
  <c r="F435" i="15"/>
  <c r="F434" i="15"/>
  <c r="F433" i="15"/>
  <c r="F432" i="15"/>
  <c r="F431" i="15"/>
  <c r="F430" i="15"/>
  <c r="F429" i="15"/>
  <c r="F428" i="15"/>
  <c r="F427" i="15"/>
  <c r="F426" i="15"/>
  <c r="F424" i="15"/>
  <c r="F423" i="15"/>
  <c r="F422" i="15"/>
  <c r="F420" i="15"/>
  <c r="F419" i="15"/>
  <c r="F418" i="15"/>
  <c r="F417" i="15"/>
  <c r="F416" i="15"/>
  <c r="F415" i="15"/>
  <c r="F414" i="15"/>
  <c r="F413" i="15"/>
  <c r="F412" i="15"/>
  <c r="F411" i="15"/>
  <c r="F409" i="15"/>
  <c r="F408" i="15"/>
  <c r="F406" i="15"/>
  <c r="F405" i="15"/>
  <c r="F404" i="15"/>
  <c r="F403" i="15"/>
  <c r="F402" i="15"/>
  <c r="F401" i="15"/>
  <c r="F398" i="15"/>
  <c r="F397" i="15"/>
  <c r="F396" i="15"/>
  <c r="F395" i="15"/>
  <c r="F393" i="15"/>
  <c r="F392" i="15"/>
  <c r="F391" i="15"/>
  <c r="F390" i="15"/>
  <c r="F389" i="15"/>
  <c r="F387" i="15"/>
  <c r="F386" i="15"/>
  <c r="F385" i="15"/>
  <c r="F384" i="15"/>
  <c r="F383" i="15"/>
  <c r="F382" i="15"/>
  <c r="F381" i="15"/>
  <c r="F380" i="15"/>
  <c r="F379" i="15"/>
  <c r="F378" i="15"/>
  <c r="F377" i="15"/>
  <c r="F376" i="15"/>
  <c r="F375" i="15"/>
  <c r="F374" i="15"/>
  <c r="F373" i="15"/>
  <c r="F372" i="15"/>
  <c r="F369" i="15"/>
  <c r="F368" i="15"/>
  <c r="F367" i="15"/>
  <c r="F366" i="15"/>
  <c r="F365" i="15"/>
  <c r="F364" i="15"/>
  <c r="F363" i="15"/>
  <c r="F362" i="15"/>
  <c r="F361" i="15"/>
  <c r="F360" i="15"/>
  <c r="F359" i="15"/>
  <c r="F358" i="15"/>
  <c r="F357" i="15"/>
  <c r="F356" i="15"/>
  <c r="F355" i="15"/>
  <c r="F353" i="15"/>
  <c r="F352" i="15"/>
  <c r="F351" i="15"/>
  <c r="F350" i="15"/>
  <c r="F349" i="15"/>
  <c r="F348" i="15"/>
  <c r="F347" i="15"/>
  <c r="F346" i="15"/>
  <c r="F345" i="15"/>
  <c r="F344" i="15"/>
  <c r="F343" i="15"/>
  <c r="F342" i="15"/>
  <c r="F341" i="15"/>
  <c r="F338" i="15"/>
  <c r="F337" i="15"/>
  <c r="F336" i="15"/>
  <c r="F334" i="15"/>
  <c r="F333" i="15"/>
  <c r="F332" i="15"/>
  <c r="F331" i="15"/>
  <c r="F329" i="15"/>
  <c r="F328" i="15"/>
  <c r="F327" i="15"/>
  <c r="F326" i="15"/>
  <c r="F325" i="15"/>
  <c r="F324" i="15"/>
  <c r="F323" i="15"/>
  <c r="F322" i="15"/>
  <c r="F321" i="15"/>
  <c r="F320" i="15"/>
  <c r="F319" i="15"/>
  <c r="F318" i="15"/>
  <c r="F317" i="15"/>
  <c r="F316" i="15"/>
  <c r="F314" i="15"/>
  <c r="F313" i="15"/>
  <c r="F312" i="15"/>
  <c r="F311" i="15"/>
  <c r="F310" i="15"/>
  <c r="F309" i="15"/>
  <c r="F308" i="15"/>
  <c r="F307" i="15"/>
  <c r="F305" i="15"/>
  <c r="F304" i="15"/>
  <c r="F303" i="15"/>
  <c r="F302" i="15"/>
  <c r="F301" i="15"/>
  <c r="F300" i="15"/>
  <c r="F299" i="15"/>
  <c r="F298" i="15"/>
  <c r="F297" i="15"/>
  <c r="F296" i="15"/>
  <c r="F295" i="15"/>
  <c r="F294" i="15"/>
  <c r="F293" i="15"/>
  <c r="F292" i="15"/>
  <c r="F291" i="15"/>
  <c r="F290" i="15"/>
  <c r="F289" i="15"/>
  <c r="F288" i="15"/>
  <c r="F287" i="15"/>
  <c r="F285" i="15"/>
  <c r="F284" i="15"/>
  <c r="F283" i="15"/>
  <c r="F282" i="15"/>
  <c r="F281" i="15"/>
  <c r="F280" i="15"/>
  <c r="F279" i="15"/>
  <c r="F278" i="15"/>
  <c r="F277" i="15"/>
  <c r="F276" i="15"/>
  <c r="F275" i="15"/>
  <c r="F274" i="15"/>
  <c r="F273" i="15"/>
  <c r="F272" i="15"/>
  <c r="F271" i="15"/>
  <c r="F270" i="15"/>
  <c r="F269" i="15"/>
  <c r="F268" i="15"/>
  <c r="F267" i="15"/>
  <c r="F266" i="15"/>
  <c r="F265" i="15"/>
  <c r="F264" i="15"/>
  <c r="F263" i="15"/>
  <c r="F262" i="15"/>
  <c r="F261" i="15"/>
  <c r="F260" i="15"/>
  <c r="F259" i="15"/>
  <c r="F258" i="15"/>
  <c r="F257" i="15"/>
  <c r="F254" i="15"/>
  <c r="F252" i="15"/>
  <c r="F251" i="15"/>
  <c r="F250" i="15"/>
  <c r="F249" i="15"/>
  <c r="F248" i="15"/>
  <c r="F247" i="15"/>
  <c r="F245" i="15"/>
  <c r="F244" i="15"/>
  <c r="F243" i="15"/>
  <c r="F242" i="15"/>
  <c r="F240" i="15"/>
  <c r="F239" i="15"/>
  <c r="F238" i="15"/>
  <c r="F237" i="15"/>
  <c r="F236" i="15"/>
  <c r="F234" i="15"/>
  <c r="F232" i="15"/>
  <c r="F231" i="15"/>
  <c r="F229" i="15"/>
  <c r="F228" i="15"/>
  <c r="F227" i="15"/>
  <c r="F224" i="15"/>
  <c r="F222" i="15"/>
  <c r="F221" i="15"/>
  <c r="F219" i="15"/>
  <c r="F216" i="15"/>
  <c r="F214" i="15"/>
  <c r="F213" i="15"/>
  <c r="F212" i="15"/>
  <c r="F211" i="15"/>
  <c r="F210" i="15"/>
  <c r="F209" i="15"/>
  <c r="F208" i="15"/>
  <c r="F207" i="15"/>
  <c r="F205" i="15"/>
  <c r="F204" i="15"/>
  <c r="F203" i="15"/>
  <c r="F202" i="15"/>
  <c r="F201" i="15"/>
  <c r="F200" i="15"/>
  <c r="F198" i="15"/>
  <c r="F197" i="15"/>
  <c r="F196" i="15"/>
  <c r="F195" i="15"/>
  <c r="F194" i="15"/>
  <c r="F193" i="15"/>
  <c r="F191" i="15"/>
  <c r="F190" i="15"/>
  <c r="F189" i="15"/>
  <c r="F188" i="15"/>
  <c r="F187" i="15"/>
  <c r="F186" i="15"/>
  <c r="F185" i="15"/>
  <c r="F183" i="15"/>
  <c r="F182" i="15"/>
  <c r="F181" i="15"/>
  <c r="F180" i="15"/>
  <c r="F177" i="15"/>
  <c r="F176" i="15"/>
  <c r="F175" i="15"/>
  <c r="F174" i="15"/>
  <c r="F173" i="15"/>
  <c r="F172" i="15"/>
  <c r="F170" i="15"/>
  <c r="F169" i="15"/>
  <c r="F168" i="15"/>
  <c r="F167" i="15"/>
  <c r="F166" i="15"/>
  <c r="F165" i="15"/>
  <c r="F163" i="15"/>
  <c r="F162" i="15"/>
  <c r="F161" i="15"/>
  <c r="F160" i="15"/>
  <c r="F159" i="15"/>
  <c r="F158" i="15"/>
  <c r="F157" i="15"/>
  <c r="F155" i="15"/>
  <c r="F154" i="15"/>
  <c r="F153" i="15"/>
  <c r="F152" i="15"/>
  <c r="F149" i="15"/>
  <c r="F147" i="15"/>
  <c r="F146" i="15"/>
  <c r="F145" i="15"/>
  <c r="F144" i="15"/>
  <c r="F142" i="15"/>
  <c r="F141" i="15"/>
  <c r="F140" i="15"/>
  <c r="F139" i="15"/>
  <c r="F138" i="15"/>
  <c r="F136" i="15"/>
  <c r="F135" i="15"/>
  <c r="F133" i="15"/>
  <c r="F130" i="15"/>
  <c r="F129" i="15"/>
  <c r="F127" i="15"/>
  <c r="F126" i="15"/>
  <c r="F125" i="15"/>
  <c r="F123" i="15"/>
  <c r="F122" i="15"/>
  <c r="F121" i="15"/>
  <c r="F119" i="15"/>
  <c r="F118" i="15"/>
  <c r="F117" i="15"/>
  <c r="F116" i="15"/>
  <c r="F115" i="15"/>
  <c r="F113" i="15"/>
  <c r="F112" i="15"/>
  <c r="F110" i="15"/>
  <c r="F109" i="15"/>
  <c r="F108" i="15"/>
  <c r="F105" i="15"/>
  <c r="F104" i="15"/>
  <c r="F103" i="15"/>
  <c r="F101" i="15"/>
  <c r="F100" i="15"/>
  <c r="F99" i="15"/>
  <c r="F98" i="15"/>
  <c r="F97" i="15"/>
  <c r="F96" i="15"/>
  <c r="F94" i="15"/>
  <c r="F93" i="15"/>
  <c r="F92" i="15"/>
  <c r="F91" i="15"/>
  <c r="F90" i="15"/>
  <c r="F89" i="15"/>
  <c r="F87" i="15"/>
  <c r="F86" i="15"/>
  <c r="F85" i="15"/>
  <c r="F84" i="15"/>
  <c r="F83" i="15"/>
  <c r="F82" i="15"/>
  <c r="F80" i="15"/>
  <c r="F79" i="15"/>
  <c r="F78" i="15"/>
  <c r="F77" i="15"/>
  <c r="F76" i="15"/>
  <c r="F75" i="15"/>
  <c r="F73" i="15"/>
  <c r="F72" i="15"/>
  <c r="F70" i="15"/>
  <c r="F69" i="15"/>
  <c r="F68" i="15"/>
  <c r="F67" i="15"/>
  <c r="F66" i="15"/>
  <c r="F65" i="15"/>
  <c r="F64" i="15"/>
  <c r="F61" i="15"/>
  <c r="F60" i="15"/>
  <c r="F59" i="15"/>
  <c r="F58" i="15"/>
  <c r="F56" i="15"/>
  <c r="F55" i="15"/>
  <c r="F53" i="15"/>
  <c r="F52" i="15"/>
  <c r="F50" i="15"/>
  <c r="F49" i="15"/>
  <c r="F46" i="15"/>
  <c r="F45" i="15"/>
  <c r="F44" i="15"/>
  <c r="F42" i="15"/>
  <c r="F41" i="15"/>
  <c r="F39" i="15"/>
  <c r="F38" i="15"/>
  <c r="F37" i="15"/>
  <c r="F36" i="15"/>
  <c r="F35" i="15"/>
  <c r="F33" i="15"/>
  <c r="F32" i="15"/>
  <c r="F31" i="15"/>
  <c r="F29" i="15"/>
  <c r="F28" i="15"/>
  <c r="F25" i="15"/>
  <c r="F24" i="15"/>
  <c r="F22" i="15"/>
  <c r="F20" i="15"/>
  <c r="F19" i="15"/>
  <c r="F18" i="15"/>
  <c r="F17" i="15"/>
  <c r="F15" i="15"/>
  <c r="F14" i="15"/>
  <c r="F13" i="15"/>
  <c r="F12" i="15"/>
  <c r="F9" i="15"/>
  <c r="F7" i="15"/>
  <c r="F6" i="15"/>
  <c r="F5" i="15"/>
  <c r="F4" i="15"/>
  <c r="K758" i="14"/>
  <c r="I738" i="14" s="1"/>
  <c r="M754" i="14"/>
  <c r="M755" i="14" s="1"/>
  <c r="I743" i="14"/>
  <c r="L741" i="14"/>
  <c r="M731" i="14"/>
  <c r="G730" i="14"/>
  <c r="I730" i="14" s="1"/>
  <c r="G729" i="14"/>
  <c r="I729" i="14" s="1"/>
  <c r="G728" i="14"/>
  <c r="I728" i="14" s="1"/>
  <c r="G727" i="14"/>
  <c r="I727" i="14" s="1"/>
  <c r="G726" i="14"/>
  <c r="I726" i="14" s="1"/>
  <c r="G725" i="14"/>
  <c r="I725" i="14" s="1"/>
  <c r="G724" i="14"/>
  <c r="I724" i="14" s="1"/>
  <c r="G723" i="14"/>
  <c r="I723" i="14" s="1"/>
  <c r="G722" i="14"/>
  <c r="I722" i="14" s="1"/>
  <c r="R720" i="14"/>
  <c r="Q720" i="14"/>
  <c r="K720" i="14"/>
  <c r="L720" i="14" s="1"/>
  <c r="F720" i="14"/>
  <c r="G720" i="14" s="1"/>
  <c r="I720" i="14" s="1"/>
  <c r="R719" i="14"/>
  <c r="Q719" i="14"/>
  <c r="K719" i="14"/>
  <c r="S719" i="14" s="1"/>
  <c r="F719" i="14"/>
  <c r="G719" i="14" s="1"/>
  <c r="I719" i="14" s="1"/>
  <c r="R718" i="14"/>
  <c r="Q718" i="14"/>
  <c r="K718" i="14"/>
  <c r="L718" i="14" s="1"/>
  <c r="F718" i="14"/>
  <c r="G718" i="14" s="1"/>
  <c r="I718" i="14" s="1"/>
  <c r="R717" i="14"/>
  <c r="Q717" i="14"/>
  <c r="K717" i="14"/>
  <c r="F717" i="14"/>
  <c r="G717" i="14" s="1"/>
  <c r="I717" i="14" s="1"/>
  <c r="R716" i="14"/>
  <c r="Q716" i="14"/>
  <c r="K716" i="14"/>
  <c r="F716" i="14"/>
  <c r="G716" i="14" s="1"/>
  <c r="I716" i="14" s="1"/>
  <c r="R715" i="14"/>
  <c r="Q715" i="14"/>
  <c r="K715" i="14"/>
  <c r="F715" i="14"/>
  <c r="G715" i="14" s="1"/>
  <c r="I715" i="14" s="1"/>
  <c r="R714" i="14"/>
  <c r="Q714" i="14"/>
  <c r="K714" i="14"/>
  <c r="L714" i="14" s="1"/>
  <c r="F714" i="14"/>
  <c r="G714" i="14" s="1"/>
  <c r="I714" i="14" s="1"/>
  <c r="R713" i="14"/>
  <c r="Q713" i="14"/>
  <c r="K713" i="14"/>
  <c r="S713" i="14" s="1"/>
  <c r="F713" i="14"/>
  <c r="G713" i="14" s="1"/>
  <c r="I713" i="14" s="1"/>
  <c r="R712" i="14"/>
  <c r="Q712" i="14"/>
  <c r="K712" i="14"/>
  <c r="L712" i="14" s="1"/>
  <c r="R711" i="14"/>
  <c r="Q711" i="14"/>
  <c r="K711" i="14"/>
  <c r="L711" i="14" s="1"/>
  <c r="F711" i="14"/>
  <c r="G711" i="14" s="1"/>
  <c r="I711" i="14" s="1"/>
  <c r="K710" i="14"/>
  <c r="L710" i="14" s="1"/>
  <c r="K709" i="14"/>
  <c r="L709" i="14" s="1"/>
  <c r="K708" i="14"/>
  <c r="L708" i="14" s="1"/>
  <c r="K707" i="14"/>
  <c r="L707" i="14" s="1"/>
  <c r="K706" i="14"/>
  <c r="L706" i="14" s="1"/>
  <c r="K705" i="14"/>
  <c r="L705" i="14" s="1"/>
  <c r="K704" i="14"/>
  <c r="L704" i="14" s="1"/>
  <c r="K703" i="14"/>
  <c r="L703" i="14" s="1"/>
  <c r="K702" i="14"/>
  <c r="L702" i="14" s="1"/>
  <c r="K701" i="14"/>
  <c r="L701" i="14" s="1"/>
  <c r="K700" i="14"/>
  <c r="L700" i="14" s="1"/>
  <c r="R699" i="14"/>
  <c r="Q699" i="14"/>
  <c r="K699" i="14"/>
  <c r="F699" i="14"/>
  <c r="G699" i="14" s="1"/>
  <c r="I699" i="14" s="1"/>
  <c r="R698" i="14"/>
  <c r="Q698" i="14"/>
  <c r="K698" i="14"/>
  <c r="F698" i="14"/>
  <c r="G698" i="14" s="1"/>
  <c r="I698" i="14" s="1"/>
  <c r="R697" i="14"/>
  <c r="Q697" i="14"/>
  <c r="K697" i="14"/>
  <c r="S697" i="14" s="1"/>
  <c r="F697" i="14"/>
  <c r="G697" i="14" s="1"/>
  <c r="I697" i="14" s="1"/>
  <c r="R696" i="14"/>
  <c r="Q696" i="14"/>
  <c r="K696" i="14"/>
  <c r="F696" i="14"/>
  <c r="G696" i="14" s="1"/>
  <c r="I696" i="14" s="1"/>
  <c r="R695" i="14"/>
  <c r="Q695" i="14"/>
  <c r="K695" i="14"/>
  <c r="S695" i="14" s="1"/>
  <c r="F695" i="14"/>
  <c r="G695" i="14" s="1"/>
  <c r="I695" i="14" s="1"/>
  <c r="R694" i="14"/>
  <c r="Q694" i="14"/>
  <c r="K694" i="14"/>
  <c r="L694" i="14" s="1"/>
  <c r="F694" i="14"/>
  <c r="G694" i="14" s="1"/>
  <c r="I694" i="14" s="1"/>
  <c r="R693" i="14"/>
  <c r="Q693" i="14"/>
  <c r="K693" i="14"/>
  <c r="L693" i="14" s="1"/>
  <c r="F693" i="14"/>
  <c r="G693" i="14" s="1"/>
  <c r="I693" i="14" s="1"/>
  <c r="R692" i="14"/>
  <c r="Q692" i="14"/>
  <c r="K692" i="14"/>
  <c r="L692" i="14" s="1"/>
  <c r="F692" i="14"/>
  <c r="G692" i="14" s="1"/>
  <c r="I692" i="14" s="1"/>
  <c r="R691" i="14"/>
  <c r="Q691" i="14"/>
  <c r="K691" i="14"/>
  <c r="F691" i="14"/>
  <c r="G691" i="14" s="1"/>
  <c r="I691" i="14" s="1"/>
  <c r="R690" i="14"/>
  <c r="Q690" i="14"/>
  <c r="K690" i="14"/>
  <c r="L690" i="14" s="1"/>
  <c r="F690" i="14"/>
  <c r="G690" i="14" s="1"/>
  <c r="I690" i="14" s="1"/>
  <c r="R689" i="14"/>
  <c r="Q689" i="14"/>
  <c r="K689" i="14"/>
  <c r="L689" i="14" s="1"/>
  <c r="R688" i="14"/>
  <c r="Q688" i="14"/>
  <c r="K688" i="14"/>
  <c r="L688" i="14" s="1"/>
  <c r="F688" i="14"/>
  <c r="G688" i="14" s="1"/>
  <c r="I688" i="14" s="1"/>
  <c r="R687" i="14"/>
  <c r="Q687" i="14"/>
  <c r="K687" i="14"/>
  <c r="S687" i="14" s="1"/>
  <c r="F687" i="14"/>
  <c r="G687" i="14" s="1"/>
  <c r="I687" i="14" s="1"/>
  <c r="R686" i="14"/>
  <c r="Q686" i="14"/>
  <c r="K686" i="14"/>
  <c r="S686" i="14" s="1"/>
  <c r="F686" i="14"/>
  <c r="G686" i="14" s="1"/>
  <c r="I686" i="14" s="1"/>
  <c r="R685" i="14"/>
  <c r="Q685" i="14"/>
  <c r="K685" i="14"/>
  <c r="L685" i="14" s="1"/>
  <c r="F685" i="14"/>
  <c r="G685" i="14" s="1"/>
  <c r="I685" i="14" s="1"/>
  <c r="R684" i="14"/>
  <c r="Q684" i="14"/>
  <c r="K684" i="14"/>
  <c r="F684" i="14"/>
  <c r="G684" i="14" s="1"/>
  <c r="I684" i="14" s="1"/>
  <c r="R683" i="14"/>
  <c r="Q683" i="14"/>
  <c r="K683" i="14"/>
  <c r="L683" i="14" s="1"/>
  <c r="F683" i="14"/>
  <c r="G683" i="14" s="1"/>
  <c r="I683" i="14" s="1"/>
  <c r="R682" i="14"/>
  <c r="Q682" i="14"/>
  <c r="K682" i="14"/>
  <c r="F682" i="14"/>
  <c r="G682" i="14" s="1"/>
  <c r="I682" i="14" s="1"/>
  <c r="R681" i="14"/>
  <c r="Q681" i="14"/>
  <c r="K681" i="14"/>
  <c r="L681" i="14" s="1"/>
  <c r="K680" i="14"/>
  <c r="L680" i="14" s="1"/>
  <c r="K679" i="14"/>
  <c r="L679" i="14" s="1"/>
  <c r="K678" i="14"/>
  <c r="L678" i="14" s="1"/>
  <c r="K677" i="14"/>
  <c r="L677" i="14" s="1"/>
  <c r="K676" i="14"/>
  <c r="L676" i="14" s="1"/>
  <c r="K675" i="14"/>
  <c r="K674" i="14"/>
  <c r="L674" i="14" s="1"/>
  <c r="K673" i="14"/>
  <c r="L673" i="14" s="1"/>
  <c r="K672" i="14"/>
  <c r="L672" i="14" s="1"/>
  <c r="K671" i="14"/>
  <c r="L671" i="14" s="1"/>
  <c r="K670" i="14"/>
  <c r="L670" i="14" s="1"/>
  <c r="K669" i="14"/>
  <c r="L669" i="14" s="1"/>
  <c r="K668" i="14"/>
  <c r="L668" i="14" s="1"/>
  <c r="K667" i="14"/>
  <c r="L667" i="14" s="1"/>
  <c r="K666" i="14"/>
  <c r="L666" i="14" s="1"/>
  <c r="K665" i="14"/>
  <c r="L665" i="14" s="1"/>
  <c r="K664" i="14"/>
  <c r="L664" i="14" s="1"/>
  <c r="K663" i="14"/>
  <c r="L663" i="14" s="1"/>
  <c r="K662" i="14"/>
  <c r="L662" i="14" s="1"/>
  <c r="K661" i="14"/>
  <c r="L661" i="14" s="1"/>
  <c r="K660" i="14"/>
  <c r="L660" i="14" s="1"/>
  <c r="K659" i="14"/>
  <c r="L659" i="14" s="1"/>
  <c r="K658" i="14"/>
  <c r="L658" i="14" s="1"/>
  <c r="K657" i="14"/>
  <c r="K656" i="14"/>
  <c r="L656" i="14" s="1"/>
  <c r="K655" i="14"/>
  <c r="L655" i="14" s="1"/>
  <c r="K654" i="14"/>
  <c r="L654" i="14" s="1"/>
  <c r="K653" i="14"/>
  <c r="L653" i="14" s="1"/>
  <c r="K652" i="14"/>
  <c r="L652" i="14" s="1"/>
  <c r="K651" i="14"/>
  <c r="K650" i="14"/>
  <c r="L650" i="14" s="1"/>
  <c r="K649" i="14"/>
  <c r="L649" i="14" s="1"/>
  <c r="K648" i="14"/>
  <c r="L648" i="14" s="1"/>
  <c r="K647" i="14"/>
  <c r="L647" i="14" s="1"/>
  <c r="K646" i="14"/>
  <c r="L646" i="14" s="1"/>
  <c r="K645" i="14"/>
  <c r="L645" i="14" s="1"/>
  <c r="K644" i="14"/>
  <c r="L644" i="14" s="1"/>
  <c r="K643" i="14"/>
  <c r="L643" i="14" s="1"/>
  <c r="K642" i="14"/>
  <c r="L642" i="14" s="1"/>
  <c r="K641" i="14"/>
  <c r="L641" i="14" s="1"/>
  <c r="K640" i="14"/>
  <c r="L640" i="14" s="1"/>
  <c r="K639" i="14"/>
  <c r="L639" i="14" s="1"/>
  <c r="K638" i="14"/>
  <c r="L638" i="14" s="1"/>
  <c r="K637" i="14"/>
  <c r="L637" i="14" s="1"/>
  <c r="K636" i="14"/>
  <c r="L636" i="14" s="1"/>
  <c r="R635" i="14"/>
  <c r="Q635" i="14"/>
  <c r="K635" i="14"/>
  <c r="S635" i="14" s="1"/>
  <c r="F635" i="14"/>
  <c r="G635" i="14" s="1"/>
  <c r="I635" i="14" s="1"/>
  <c r="K634" i="14"/>
  <c r="L634" i="14" s="1"/>
  <c r="K633" i="14"/>
  <c r="L633" i="14" s="1"/>
  <c r="R632" i="14"/>
  <c r="Q632" i="14"/>
  <c r="K632" i="14"/>
  <c r="F632" i="14"/>
  <c r="G632" i="14" s="1"/>
  <c r="I632" i="14" s="1"/>
  <c r="R631" i="14"/>
  <c r="Q631" i="14"/>
  <c r="K631" i="14"/>
  <c r="L631" i="14" s="1"/>
  <c r="F631" i="14"/>
  <c r="G631" i="14" s="1"/>
  <c r="I631" i="14" s="1"/>
  <c r="R630" i="14"/>
  <c r="Q630" i="14"/>
  <c r="K630" i="14"/>
  <c r="F630" i="14"/>
  <c r="G630" i="14" s="1"/>
  <c r="I630" i="14" s="1"/>
  <c r="K629" i="14"/>
  <c r="K628" i="14"/>
  <c r="K627" i="14"/>
  <c r="L627" i="14" s="1"/>
  <c r="K626" i="14"/>
  <c r="L626" i="14" s="1"/>
  <c r="R625" i="14"/>
  <c r="Q625" i="14"/>
  <c r="K625" i="14"/>
  <c r="S625" i="14" s="1"/>
  <c r="F625" i="14"/>
  <c r="G625" i="14" s="1"/>
  <c r="I625" i="14" s="1"/>
  <c r="K624" i="14"/>
  <c r="L624" i="14" s="1"/>
  <c r="K623" i="14"/>
  <c r="L623" i="14" s="1"/>
  <c r="K622" i="14"/>
  <c r="L622" i="14" s="1"/>
  <c r="K621" i="14"/>
  <c r="L621" i="14" s="1"/>
  <c r="R620" i="14"/>
  <c r="Q620" i="14"/>
  <c r="K620" i="14"/>
  <c r="F620" i="14"/>
  <c r="G620" i="14" s="1"/>
  <c r="I620" i="14" s="1"/>
  <c r="R619" i="14"/>
  <c r="Q619" i="14"/>
  <c r="K619" i="14"/>
  <c r="F619" i="14"/>
  <c r="G619" i="14" s="1"/>
  <c r="I619" i="14" s="1"/>
  <c r="K618" i="14"/>
  <c r="L618" i="14" s="1"/>
  <c r="K617" i="14"/>
  <c r="L617" i="14" s="1"/>
  <c r="K616" i="14"/>
  <c r="L616" i="14" s="1"/>
  <c r="K615" i="14"/>
  <c r="L615" i="14" s="1"/>
  <c r="K614" i="14"/>
  <c r="L614" i="14" s="1"/>
  <c r="K613" i="14"/>
  <c r="L613" i="14" s="1"/>
  <c r="K612" i="14"/>
  <c r="L612" i="14" s="1"/>
  <c r="K611" i="14"/>
  <c r="L611" i="14" s="1"/>
  <c r="K610" i="14"/>
  <c r="K609" i="14"/>
  <c r="L609" i="14" s="1"/>
  <c r="K608" i="14"/>
  <c r="L608" i="14" s="1"/>
  <c r="K607" i="14"/>
  <c r="L607" i="14" s="1"/>
  <c r="K606" i="14"/>
  <c r="L606" i="14" s="1"/>
  <c r="K605" i="14"/>
  <c r="L605" i="14" s="1"/>
  <c r="K604" i="14"/>
  <c r="L604" i="14" s="1"/>
  <c r="K603" i="14"/>
  <c r="L603" i="14" s="1"/>
  <c r="K602" i="14"/>
  <c r="L602" i="14" s="1"/>
  <c r="K601" i="14"/>
  <c r="L601" i="14" s="1"/>
  <c r="K600" i="14"/>
  <c r="K599" i="14"/>
  <c r="L599" i="14" s="1"/>
  <c r="K598" i="14"/>
  <c r="L598" i="14" s="1"/>
  <c r="K597" i="14"/>
  <c r="L597" i="14" s="1"/>
  <c r="K596" i="14"/>
  <c r="L596" i="14" s="1"/>
  <c r="K595" i="14"/>
  <c r="L595" i="14" s="1"/>
  <c r="K594" i="14"/>
  <c r="L594" i="14" s="1"/>
  <c r="K593" i="14"/>
  <c r="L593" i="14" s="1"/>
  <c r="K592" i="14"/>
  <c r="K591" i="14"/>
  <c r="L591" i="14" s="1"/>
  <c r="K590" i="14"/>
  <c r="L590" i="14" s="1"/>
  <c r="K589" i="14"/>
  <c r="L589" i="14" s="1"/>
  <c r="K588" i="14"/>
  <c r="L588" i="14" s="1"/>
  <c r="K587" i="14"/>
  <c r="L587" i="14" s="1"/>
  <c r="K586" i="14"/>
  <c r="K585" i="14"/>
  <c r="L585" i="14" s="1"/>
  <c r="K584" i="14"/>
  <c r="L584" i="14" s="1"/>
  <c r="K583" i="14"/>
  <c r="L583" i="14" s="1"/>
  <c r="K582" i="14"/>
  <c r="L582" i="14" s="1"/>
  <c r="K581" i="14"/>
  <c r="L581" i="14" s="1"/>
  <c r="K580" i="14"/>
  <c r="L580" i="14" s="1"/>
  <c r="K579" i="14"/>
  <c r="L579" i="14" s="1"/>
  <c r="K578" i="14"/>
  <c r="L578" i="14" s="1"/>
  <c r="K577" i="14"/>
  <c r="L577" i="14" s="1"/>
  <c r="K576" i="14"/>
  <c r="L576" i="14" s="1"/>
  <c r="K575" i="14"/>
  <c r="L575" i="14" s="1"/>
  <c r="K574" i="14"/>
  <c r="L574" i="14" s="1"/>
  <c r="R573" i="14"/>
  <c r="Q573" i="14"/>
  <c r="K573" i="14"/>
  <c r="F573" i="14"/>
  <c r="G573" i="14" s="1"/>
  <c r="I573" i="14" s="1"/>
  <c r="R572" i="14"/>
  <c r="Q572" i="14"/>
  <c r="K572" i="14"/>
  <c r="S572" i="14" s="1"/>
  <c r="F572" i="14"/>
  <c r="G572" i="14" s="1"/>
  <c r="I572" i="14" s="1"/>
  <c r="K571" i="14"/>
  <c r="L571" i="14" s="1"/>
  <c r="K570" i="14"/>
  <c r="L570" i="14" s="1"/>
  <c r="K569" i="14"/>
  <c r="L569" i="14" s="1"/>
  <c r="K568" i="14"/>
  <c r="L568" i="14" s="1"/>
  <c r="K567" i="14"/>
  <c r="L567" i="14" s="1"/>
  <c r="K566" i="14"/>
  <c r="L566" i="14" s="1"/>
  <c r="K565" i="14"/>
  <c r="K564" i="14"/>
  <c r="L564" i="14" s="1"/>
  <c r="K563" i="14"/>
  <c r="L563" i="14" s="1"/>
  <c r="K562" i="14"/>
  <c r="K561" i="14"/>
  <c r="L561" i="14" s="1"/>
  <c r="K560" i="14"/>
  <c r="L560" i="14" s="1"/>
  <c r="K559" i="14"/>
  <c r="L559" i="14" s="1"/>
  <c r="K558" i="14"/>
  <c r="L558" i="14" s="1"/>
  <c r="K557" i="14"/>
  <c r="L557" i="14" s="1"/>
  <c r="K556" i="14"/>
  <c r="L556" i="14" s="1"/>
  <c r="K555" i="14"/>
  <c r="L555" i="14" s="1"/>
  <c r="K554" i="14"/>
  <c r="L554" i="14" s="1"/>
  <c r="K553" i="14"/>
  <c r="K552" i="14"/>
  <c r="L552" i="14" s="1"/>
  <c r="K551" i="14"/>
  <c r="L551" i="14" s="1"/>
  <c r="K550" i="14"/>
  <c r="L550" i="14" s="1"/>
  <c r="K549" i="14"/>
  <c r="L549" i="14" s="1"/>
  <c r="K548" i="14"/>
  <c r="L548" i="14" s="1"/>
  <c r="K547" i="14"/>
  <c r="K546" i="14"/>
  <c r="L546" i="14" s="1"/>
  <c r="K545" i="14"/>
  <c r="K544" i="14"/>
  <c r="L544" i="14" s="1"/>
  <c r="K543" i="14"/>
  <c r="L543" i="14" s="1"/>
  <c r="K542" i="14"/>
  <c r="L542" i="14" s="1"/>
  <c r="K541" i="14"/>
  <c r="L541" i="14" s="1"/>
  <c r="K540" i="14"/>
  <c r="L540" i="14" s="1"/>
  <c r="R539" i="14"/>
  <c r="Q539" i="14"/>
  <c r="K539" i="14"/>
  <c r="F539" i="14"/>
  <c r="G539" i="14" s="1"/>
  <c r="I539" i="14" s="1"/>
  <c r="R538" i="14"/>
  <c r="Q538" i="14"/>
  <c r="K538" i="14"/>
  <c r="F538" i="14"/>
  <c r="G538" i="14" s="1"/>
  <c r="I538" i="14" s="1"/>
  <c r="R537" i="14"/>
  <c r="Q537" i="14"/>
  <c r="K537" i="14"/>
  <c r="S537" i="14" s="1"/>
  <c r="F537" i="14"/>
  <c r="G537" i="14" s="1"/>
  <c r="I537" i="14" s="1"/>
  <c r="R536" i="14"/>
  <c r="Q536" i="14"/>
  <c r="K536" i="14"/>
  <c r="F536" i="14"/>
  <c r="G536" i="14" s="1"/>
  <c r="I536" i="14" s="1"/>
  <c r="R535" i="14"/>
  <c r="Q535" i="14"/>
  <c r="K535" i="14"/>
  <c r="L535" i="14" s="1"/>
  <c r="F535" i="14"/>
  <c r="G535" i="14" s="1"/>
  <c r="I535" i="14" s="1"/>
  <c r="R534" i="14"/>
  <c r="Q534" i="14"/>
  <c r="K534" i="14"/>
  <c r="S534" i="14" s="1"/>
  <c r="F534" i="14"/>
  <c r="G534" i="14" s="1"/>
  <c r="I534" i="14" s="1"/>
  <c r="R533" i="14"/>
  <c r="Q533" i="14"/>
  <c r="K533" i="14"/>
  <c r="F533" i="14"/>
  <c r="G533" i="14" s="1"/>
  <c r="I533" i="14" s="1"/>
  <c r="R532" i="14"/>
  <c r="Q532" i="14"/>
  <c r="K532" i="14"/>
  <c r="S532" i="14" s="1"/>
  <c r="F532" i="14"/>
  <c r="G532" i="14" s="1"/>
  <c r="I532" i="14" s="1"/>
  <c r="R531" i="14"/>
  <c r="Q531" i="14"/>
  <c r="K531" i="14"/>
  <c r="F531" i="14"/>
  <c r="G531" i="14" s="1"/>
  <c r="I531" i="14" s="1"/>
  <c r="R530" i="14"/>
  <c r="Q530" i="14"/>
  <c r="K530" i="14"/>
  <c r="L530" i="14" s="1"/>
  <c r="F530" i="14"/>
  <c r="G530" i="14" s="1"/>
  <c r="I530" i="14" s="1"/>
  <c r="R529" i="14"/>
  <c r="Q529" i="14"/>
  <c r="K529" i="14"/>
  <c r="S529" i="14" s="1"/>
  <c r="F529" i="14"/>
  <c r="G529" i="14" s="1"/>
  <c r="I529" i="14" s="1"/>
  <c r="R528" i="14"/>
  <c r="Q528" i="14"/>
  <c r="K528" i="14"/>
  <c r="F528" i="14"/>
  <c r="G528" i="14" s="1"/>
  <c r="I528" i="14" s="1"/>
  <c r="R527" i="14"/>
  <c r="Q527" i="14"/>
  <c r="K527" i="14"/>
  <c r="S527" i="14" s="1"/>
  <c r="F527" i="14"/>
  <c r="G527" i="14" s="1"/>
  <c r="I527" i="14" s="1"/>
  <c r="R526" i="14"/>
  <c r="Q526" i="14"/>
  <c r="K526" i="14"/>
  <c r="F526" i="14"/>
  <c r="G526" i="14" s="1"/>
  <c r="I526" i="14" s="1"/>
  <c r="R525" i="14"/>
  <c r="Q525" i="14"/>
  <c r="K525" i="14"/>
  <c r="S525" i="14" s="1"/>
  <c r="F525" i="14"/>
  <c r="G525" i="14" s="1"/>
  <c r="I525" i="14" s="1"/>
  <c r="R524" i="14"/>
  <c r="Q524" i="14"/>
  <c r="K524" i="14"/>
  <c r="L524" i="14" s="1"/>
  <c r="K523" i="14"/>
  <c r="L523" i="14" s="1"/>
  <c r="K522" i="14"/>
  <c r="L522" i="14" s="1"/>
  <c r="K521" i="14"/>
  <c r="L521" i="14" s="1"/>
  <c r="K520" i="14"/>
  <c r="L520" i="14" s="1"/>
  <c r="K519" i="14"/>
  <c r="L519" i="14" s="1"/>
  <c r="K518" i="14"/>
  <c r="L518" i="14" s="1"/>
  <c r="K517" i="14"/>
  <c r="L517" i="14" s="1"/>
  <c r="K516" i="14"/>
  <c r="L516" i="14" s="1"/>
  <c r="K515" i="14"/>
  <c r="L515" i="14" s="1"/>
  <c r="K514" i="14"/>
  <c r="L514" i="14" s="1"/>
  <c r="K513" i="14"/>
  <c r="L513" i="14" s="1"/>
  <c r="K512" i="14"/>
  <c r="L512" i="14" s="1"/>
  <c r="R511" i="14"/>
  <c r="Q511" i="14"/>
  <c r="K511" i="14"/>
  <c r="S511" i="14" s="1"/>
  <c r="F511" i="14"/>
  <c r="G511" i="14" s="1"/>
  <c r="I511" i="14" s="1"/>
  <c r="R510" i="14"/>
  <c r="Q510" i="14"/>
  <c r="K510" i="14"/>
  <c r="L510" i="14" s="1"/>
  <c r="J510" i="14"/>
  <c r="F510" i="14"/>
  <c r="G510" i="14" s="1"/>
  <c r="I510" i="14" s="1"/>
  <c r="R509" i="14"/>
  <c r="Q509" i="14"/>
  <c r="K509" i="14"/>
  <c r="L509" i="14" s="1"/>
  <c r="J509" i="14"/>
  <c r="F509" i="14"/>
  <c r="G509" i="14" s="1"/>
  <c r="I509" i="14" s="1"/>
  <c r="R508" i="14"/>
  <c r="Q508" i="14"/>
  <c r="K508" i="14"/>
  <c r="L508" i="14" s="1"/>
  <c r="J508" i="14"/>
  <c r="F508" i="14"/>
  <c r="G508" i="14" s="1"/>
  <c r="I508" i="14" s="1"/>
  <c r="R507" i="14"/>
  <c r="Q507" i="14"/>
  <c r="K507" i="14"/>
  <c r="S507" i="14" s="1"/>
  <c r="F507" i="14"/>
  <c r="G507" i="14" s="1"/>
  <c r="I507" i="14" s="1"/>
  <c r="R506" i="14"/>
  <c r="Q506" i="14"/>
  <c r="K506" i="14"/>
  <c r="S506" i="14" s="1"/>
  <c r="R505" i="14"/>
  <c r="Q505" i="14"/>
  <c r="K505" i="14"/>
  <c r="S505" i="14" s="1"/>
  <c r="F505" i="14"/>
  <c r="G505" i="14" s="1"/>
  <c r="I505" i="14" s="1"/>
  <c r="R504" i="14"/>
  <c r="Q504" i="14"/>
  <c r="K504" i="14"/>
  <c r="R503" i="14"/>
  <c r="Q503" i="14"/>
  <c r="K503" i="14"/>
  <c r="F503" i="14"/>
  <c r="G503" i="14" s="1"/>
  <c r="I503" i="14" s="1"/>
  <c r="R502" i="14"/>
  <c r="Q502" i="14"/>
  <c r="K502" i="14"/>
  <c r="S502" i="14" s="1"/>
  <c r="F502" i="14"/>
  <c r="G502" i="14" s="1"/>
  <c r="I502" i="14" s="1"/>
  <c r="R501" i="14"/>
  <c r="Q501" i="14"/>
  <c r="K501" i="14"/>
  <c r="L501" i="14" s="1"/>
  <c r="F501" i="14"/>
  <c r="G501" i="14" s="1"/>
  <c r="I501" i="14" s="1"/>
  <c r="R500" i="14"/>
  <c r="Q500" i="14"/>
  <c r="K500" i="14"/>
  <c r="L500" i="14" s="1"/>
  <c r="F500" i="14"/>
  <c r="G500" i="14" s="1"/>
  <c r="I500" i="14" s="1"/>
  <c r="R499" i="14"/>
  <c r="Q499" i="14"/>
  <c r="K499" i="14"/>
  <c r="S499" i="14" s="1"/>
  <c r="F499" i="14"/>
  <c r="G499" i="14" s="1"/>
  <c r="I499" i="14" s="1"/>
  <c r="R498" i="14"/>
  <c r="Q498" i="14"/>
  <c r="K498" i="14"/>
  <c r="L498" i="14" s="1"/>
  <c r="F498" i="14"/>
  <c r="G498" i="14" s="1"/>
  <c r="I498" i="14" s="1"/>
  <c r="R497" i="14"/>
  <c r="Q497" i="14"/>
  <c r="K497" i="14"/>
  <c r="L497" i="14" s="1"/>
  <c r="F497" i="14"/>
  <c r="G497" i="14" s="1"/>
  <c r="I497" i="14" s="1"/>
  <c r="R496" i="14"/>
  <c r="Q496" i="14"/>
  <c r="K496" i="14"/>
  <c r="F496" i="14"/>
  <c r="G496" i="14" s="1"/>
  <c r="I496" i="14" s="1"/>
  <c r="R495" i="14"/>
  <c r="Q495" i="14"/>
  <c r="K495" i="14"/>
  <c r="F495" i="14"/>
  <c r="G495" i="14" s="1"/>
  <c r="I495" i="14" s="1"/>
  <c r="R494" i="14"/>
  <c r="Q494" i="14"/>
  <c r="K494" i="14"/>
  <c r="F494" i="14"/>
  <c r="G494" i="14" s="1"/>
  <c r="I494" i="14" s="1"/>
  <c r="R493" i="14"/>
  <c r="Q493" i="14"/>
  <c r="K493" i="14"/>
  <c r="L493" i="14" s="1"/>
  <c r="F493" i="14"/>
  <c r="G493" i="14" s="1"/>
  <c r="I493" i="14" s="1"/>
  <c r="R492" i="14"/>
  <c r="Q492" i="14"/>
  <c r="K492" i="14"/>
  <c r="F492" i="14"/>
  <c r="G492" i="14" s="1"/>
  <c r="I492" i="14" s="1"/>
  <c r="R491" i="14"/>
  <c r="Q491" i="14"/>
  <c r="K491" i="14"/>
  <c r="K490" i="14"/>
  <c r="L490" i="14" s="1"/>
  <c r="K489" i="14"/>
  <c r="L489" i="14" s="1"/>
  <c r="K488" i="14"/>
  <c r="L488" i="14" s="1"/>
  <c r="K487" i="14"/>
  <c r="L487" i="14" s="1"/>
  <c r="K486" i="14"/>
  <c r="L486" i="14" s="1"/>
  <c r="K485" i="14"/>
  <c r="L485" i="14" s="1"/>
  <c r="K484" i="14"/>
  <c r="L484" i="14" s="1"/>
  <c r="K483" i="14"/>
  <c r="L483" i="14" s="1"/>
  <c r="K482" i="14"/>
  <c r="L482" i="14" s="1"/>
  <c r="K481" i="14"/>
  <c r="L481" i="14" s="1"/>
  <c r="K480" i="14"/>
  <c r="K479" i="14"/>
  <c r="L479" i="14" s="1"/>
  <c r="K478" i="14"/>
  <c r="L478" i="14" s="1"/>
  <c r="K477" i="14"/>
  <c r="L477" i="14" s="1"/>
  <c r="K476" i="14"/>
  <c r="L476" i="14" s="1"/>
  <c r="K475" i="14"/>
  <c r="L475" i="14" s="1"/>
  <c r="K474" i="14"/>
  <c r="L474" i="14" s="1"/>
  <c r="K473" i="14"/>
  <c r="K472" i="14"/>
  <c r="K471" i="14"/>
  <c r="L471" i="14" s="1"/>
  <c r="K470" i="14"/>
  <c r="L470" i="14" s="1"/>
  <c r="K469" i="14"/>
  <c r="L469" i="14" s="1"/>
  <c r="K468" i="14"/>
  <c r="L468" i="14" s="1"/>
  <c r="K467" i="14"/>
  <c r="L467" i="14" s="1"/>
  <c r="K466" i="14"/>
  <c r="L466" i="14" s="1"/>
  <c r="K465" i="14"/>
  <c r="L465" i="14" s="1"/>
  <c r="K464" i="14"/>
  <c r="L464" i="14" s="1"/>
  <c r="K463" i="14"/>
  <c r="L463" i="14" s="1"/>
  <c r="K462" i="14"/>
  <c r="L462" i="14" s="1"/>
  <c r="K461" i="14"/>
  <c r="L461" i="14" s="1"/>
  <c r="K460" i="14"/>
  <c r="L460" i="14" s="1"/>
  <c r="K459" i="14"/>
  <c r="L459" i="14" s="1"/>
  <c r="K458" i="14"/>
  <c r="L458" i="14" s="1"/>
  <c r="K457" i="14"/>
  <c r="L457" i="14" s="1"/>
  <c r="K456" i="14"/>
  <c r="L456" i="14" s="1"/>
  <c r="K455" i="14"/>
  <c r="L455" i="14" s="1"/>
  <c r="K454" i="14"/>
  <c r="L454" i="14" s="1"/>
  <c r="K453" i="14"/>
  <c r="L453" i="14" s="1"/>
  <c r="K452" i="14"/>
  <c r="L452" i="14" s="1"/>
  <c r="K451" i="14"/>
  <c r="K450" i="14"/>
  <c r="L450" i="14" s="1"/>
  <c r="K449" i="14"/>
  <c r="K448" i="14"/>
  <c r="L448" i="14" s="1"/>
  <c r="K447" i="14"/>
  <c r="L447" i="14" s="1"/>
  <c r="R446" i="14"/>
  <c r="Q446" i="14"/>
  <c r="K446" i="14"/>
  <c r="L446" i="14" s="1"/>
  <c r="F446" i="14"/>
  <c r="G446" i="14" s="1"/>
  <c r="I446" i="14" s="1"/>
  <c r="R445" i="14"/>
  <c r="Q445" i="14"/>
  <c r="K445" i="14"/>
  <c r="F445" i="14"/>
  <c r="G445" i="14" s="1"/>
  <c r="I445" i="14" s="1"/>
  <c r="R444" i="14"/>
  <c r="Q444" i="14"/>
  <c r="K444" i="14"/>
  <c r="F444" i="14"/>
  <c r="G444" i="14" s="1"/>
  <c r="I444" i="14" s="1"/>
  <c r="R443" i="14"/>
  <c r="Q443" i="14"/>
  <c r="K443" i="14"/>
  <c r="F443" i="14"/>
  <c r="G443" i="14" s="1"/>
  <c r="I443" i="14" s="1"/>
  <c r="K442" i="14"/>
  <c r="L442" i="14" s="1"/>
  <c r="K441" i="14"/>
  <c r="L441" i="14" s="1"/>
  <c r="K440" i="14"/>
  <c r="K439" i="14"/>
  <c r="L439" i="14" s="1"/>
  <c r="K438" i="14"/>
  <c r="L438" i="14" s="1"/>
  <c r="K437" i="14"/>
  <c r="L437" i="14" s="1"/>
  <c r="K436" i="14"/>
  <c r="L436" i="14" s="1"/>
  <c r="K435" i="14"/>
  <c r="L435" i="14" s="1"/>
  <c r="K434" i="14"/>
  <c r="L434" i="14" s="1"/>
  <c r="K433" i="14"/>
  <c r="L433" i="14" s="1"/>
  <c r="K432" i="14"/>
  <c r="L432" i="14" s="1"/>
  <c r="K431" i="14"/>
  <c r="L431" i="14" s="1"/>
  <c r="K430" i="14"/>
  <c r="L430" i="14" s="1"/>
  <c r="K429" i="14"/>
  <c r="L429" i="14" s="1"/>
  <c r="K428" i="14"/>
  <c r="L428" i="14" s="1"/>
  <c r="K427" i="14"/>
  <c r="L427" i="14" s="1"/>
  <c r="K426" i="14"/>
  <c r="L426" i="14" s="1"/>
  <c r="K425" i="14"/>
  <c r="L425" i="14" s="1"/>
  <c r="K424" i="14"/>
  <c r="L424" i="14" s="1"/>
  <c r="K423" i="14"/>
  <c r="L423" i="14" s="1"/>
  <c r="K422" i="14"/>
  <c r="L422" i="14" s="1"/>
  <c r="K421" i="14"/>
  <c r="L421" i="14" s="1"/>
  <c r="K420" i="14"/>
  <c r="L420" i="14" s="1"/>
  <c r="K419" i="14"/>
  <c r="L419" i="14" s="1"/>
  <c r="K418" i="14"/>
  <c r="L418" i="14" s="1"/>
  <c r="K417" i="14"/>
  <c r="L417" i="14" s="1"/>
  <c r="K416" i="14"/>
  <c r="L416" i="14" s="1"/>
  <c r="K415" i="14"/>
  <c r="L415" i="14" s="1"/>
  <c r="K414" i="14"/>
  <c r="L414" i="14" s="1"/>
  <c r="K413" i="14"/>
  <c r="K412" i="14"/>
  <c r="L412" i="14" s="1"/>
  <c r="K411" i="14"/>
  <c r="L411" i="14" s="1"/>
  <c r="K410" i="14"/>
  <c r="L410" i="14" s="1"/>
  <c r="K409" i="14"/>
  <c r="L409" i="14" s="1"/>
  <c r="K408" i="14"/>
  <c r="L408" i="14" s="1"/>
  <c r="K407" i="14"/>
  <c r="L407" i="14" s="1"/>
  <c r="K406" i="14"/>
  <c r="L406" i="14" s="1"/>
  <c r="K405" i="14"/>
  <c r="L405" i="14" s="1"/>
  <c r="K404" i="14"/>
  <c r="L404" i="14" s="1"/>
  <c r="K403" i="14"/>
  <c r="L403" i="14" s="1"/>
  <c r="K402" i="14"/>
  <c r="L402" i="14" s="1"/>
  <c r="K401" i="14"/>
  <c r="L401" i="14" s="1"/>
  <c r="K400" i="14"/>
  <c r="L400" i="14" s="1"/>
  <c r="K399" i="14"/>
  <c r="L399" i="14" s="1"/>
  <c r="K398" i="14"/>
  <c r="L398" i="14" s="1"/>
  <c r="K397" i="14"/>
  <c r="L397" i="14" s="1"/>
  <c r="K396" i="14"/>
  <c r="L396" i="14" s="1"/>
  <c r="K395" i="14"/>
  <c r="L395" i="14" s="1"/>
  <c r="K394" i="14"/>
  <c r="L394" i="14" s="1"/>
  <c r="K393" i="14"/>
  <c r="L393" i="14" s="1"/>
  <c r="K392" i="14"/>
  <c r="L392" i="14" s="1"/>
  <c r="K391" i="14"/>
  <c r="L391" i="14" s="1"/>
  <c r="K390" i="14"/>
  <c r="L390" i="14" s="1"/>
  <c r="K389" i="14"/>
  <c r="L389" i="14" s="1"/>
  <c r="K388" i="14"/>
  <c r="L388" i="14" s="1"/>
  <c r="K387" i="14"/>
  <c r="L387" i="14" s="1"/>
  <c r="K386" i="14"/>
  <c r="L386" i="14" s="1"/>
  <c r="K385" i="14"/>
  <c r="L385" i="14" s="1"/>
  <c r="K384" i="14"/>
  <c r="L384" i="14" s="1"/>
  <c r="K383" i="14"/>
  <c r="L383" i="14" s="1"/>
  <c r="K382" i="14"/>
  <c r="L382" i="14" s="1"/>
  <c r="K381" i="14"/>
  <c r="K380" i="14"/>
  <c r="L380" i="14" s="1"/>
  <c r="K379" i="14"/>
  <c r="L379" i="14" s="1"/>
  <c r="K378" i="14"/>
  <c r="L378" i="14" s="1"/>
  <c r="K377" i="14"/>
  <c r="L377" i="14" s="1"/>
  <c r="K376" i="14"/>
  <c r="L376" i="14" s="1"/>
  <c r="K375" i="14"/>
  <c r="L375" i="14" s="1"/>
  <c r="K374" i="14"/>
  <c r="K373" i="14"/>
  <c r="L373" i="14" s="1"/>
  <c r="K372" i="14"/>
  <c r="L372" i="14" s="1"/>
  <c r="K371" i="14"/>
  <c r="L371" i="14" s="1"/>
  <c r="K370" i="14"/>
  <c r="L370" i="14" s="1"/>
  <c r="K369" i="14"/>
  <c r="K368" i="14"/>
  <c r="L368" i="14" s="1"/>
  <c r="K367" i="14"/>
  <c r="L367" i="14" s="1"/>
  <c r="K366" i="14"/>
  <c r="K365" i="14"/>
  <c r="L365" i="14" s="1"/>
  <c r="K364" i="14"/>
  <c r="L364" i="14" s="1"/>
  <c r="K363" i="14"/>
  <c r="L363" i="14" s="1"/>
  <c r="K362" i="14"/>
  <c r="L362" i="14" s="1"/>
  <c r="K361" i="14"/>
  <c r="L361" i="14" s="1"/>
  <c r="K360" i="14"/>
  <c r="L360" i="14" s="1"/>
  <c r="K359" i="14"/>
  <c r="L359" i="14" s="1"/>
  <c r="K358" i="14"/>
  <c r="L358" i="14" s="1"/>
  <c r="K357" i="14"/>
  <c r="L357" i="14" s="1"/>
  <c r="J357" i="14"/>
  <c r="K356" i="14"/>
  <c r="L356" i="14" s="1"/>
  <c r="J356" i="14"/>
  <c r="K355" i="14"/>
  <c r="L355" i="14" s="1"/>
  <c r="J355" i="14"/>
  <c r="K354" i="14"/>
  <c r="L354" i="14" s="1"/>
  <c r="J354" i="14"/>
  <c r="K353" i="14"/>
  <c r="J353" i="14"/>
  <c r="K352" i="14"/>
  <c r="L352" i="14" s="1"/>
  <c r="J352" i="14"/>
  <c r="K351" i="14"/>
  <c r="L351" i="14" s="1"/>
  <c r="J351" i="14"/>
  <c r="K350" i="14"/>
  <c r="L350" i="14" s="1"/>
  <c r="J350" i="14"/>
  <c r="K349" i="14"/>
  <c r="L349" i="14" s="1"/>
  <c r="J349" i="14"/>
  <c r="K348" i="14"/>
  <c r="L348" i="14" s="1"/>
  <c r="J348" i="14"/>
  <c r="K347" i="14"/>
  <c r="L347" i="14" s="1"/>
  <c r="J347" i="14"/>
  <c r="K346" i="14"/>
  <c r="L346" i="14" s="1"/>
  <c r="K345" i="14"/>
  <c r="L345" i="14" s="1"/>
  <c r="K344" i="14"/>
  <c r="L344" i="14" s="1"/>
  <c r="K343" i="14"/>
  <c r="L343" i="14" s="1"/>
  <c r="K342" i="14"/>
  <c r="L342" i="14" s="1"/>
  <c r="K341" i="14"/>
  <c r="L341" i="14" s="1"/>
  <c r="K340" i="14"/>
  <c r="L340" i="14" s="1"/>
  <c r="K339" i="14"/>
  <c r="L339" i="14" s="1"/>
  <c r="K338" i="14"/>
  <c r="K337" i="14"/>
  <c r="L337" i="14" s="1"/>
  <c r="K336" i="14"/>
  <c r="K335" i="14"/>
  <c r="L335" i="14" s="1"/>
  <c r="K334" i="14"/>
  <c r="L334" i="14" s="1"/>
  <c r="K333" i="14"/>
  <c r="L333" i="14" s="1"/>
  <c r="K332" i="14"/>
  <c r="L332" i="14" s="1"/>
  <c r="K331" i="14"/>
  <c r="L331" i="14" s="1"/>
  <c r="K330" i="14"/>
  <c r="L330" i="14" s="1"/>
  <c r="K329" i="14"/>
  <c r="K328" i="14"/>
  <c r="L328" i="14" s="1"/>
  <c r="K327" i="14"/>
  <c r="K326" i="14"/>
  <c r="L326" i="14" s="1"/>
  <c r="K325" i="14"/>
  <c r="L325" i="14" s="1"/>
  <c r="K324" i="14"/>
  <c r="K323" i="14"/>
  <c r="L323" i="14" s="1"/>
  <c r="K322" i="14"/>
  <c r="L322" i="14" s="1"/>
  <c r="K321" i="14"/>
  <c r="L321" i="14" s="1"/>
  <c r="K320" i="14"/>
  <c r="K319" i="14"/>
  <c r="L319" i="14" s="1"/>
  <c r="K318" i="14"/>
  <c r="L318" i="14" s="1"/>
  <c r="K317" i="14"/>
  <c r="L317" i="14" s="1"/>
  <c r="K316" i="14"/>
  <c r="L316" i="14" s="1"/>
  <c r="K315" i="14"/>
  <c r="K314" i="14"/>
  <c r="L314" i="14" s="1"/>
  <c r="K313" i="14"/>
  <c r="L313" i="14" s="1"/>
  <c r="K312" i="14"/>
  <c r="L312" i="14" s="1"/>
  <c r="K311" i="14"/>
  <c r="L311" i="14" s="1"/>
  <c r="K310" i="14"/>
  <c r="L310" i="14" s="1"/>
  <c r="K309" i="14"/>
  <c r="K308" i="14"/>
  <c r="L308" i="14" s="1"/>
  <c r="K307" i="14"/>
  <c r="L307" i="14" s="1"/>
  <c r="K306" i="14"/>
  <c r="L306" i="14" s="1"/>
  <c r="K305" i="14"/>
  <c r="L305" i="14" s="1"/>
  <c r="K304" i="14"/>
  <c r="L304" i="14" s="1"/>
  <c r="K303" i="14"/>
  <c r="L303" i="14" s="1"/>
  <c r="K302" i="14"/>
  <c r="L302" i="14" s="1"/>
  <c r="K301" i="14"/>
  <c r="L301" i="14" s="1"/>
  <c r="K300" i="14"/>
  <c r="L300" i="14" s="1"/>
  <c r="K299" i="14"/>
  <c r="K298" i="14"/>
  <c r="L298" i="14" s="1"/>
  <c r="K297" i="14"/>
  <c r="L297" i="14" s="1"/>
  <c r="K296" i="14"/>
  <c r="L296" i="14" s="1"/>
  <c r="K295" i="14"/>
  <c r="L295" i="14" s="1"/>
  <c r="K294" i="14"/>
  <c r="L294" i="14" s="1"/>
  <c r="K293" i="14"/>
  <c r="L293" i="14" s="1"/>
  <c r="K292" i="14"/>
  <c r="L292" i="14" s="1"/>
  <c r="K291" i="14"/>
  <c r="L291" i="14" s="1"/>
  <c r="K290" i="14"/>
  <c r="L290" i="14" s="1"/>
  <c r="K289" i="14"/>
  <c r="L289" i="14" s="1"/>
  <c r="K288" i="14"/>
  <c r="L288" i="14" s="1"/>
  <c r="K287" i="14"/>
  <c r="L287" i="14" s="1"/>
  <c r="K286" i="14"/>
  <c r="L286" i="14" s="1"/>
  <c r="K285" i="14"/>
  <c r="L285" i="14" s="1"/>
  <c r="K284" i="14"/>
  <c r="L284" i="14" s="1"/>
  <c r="K283" i="14"/>
  <c r="L283" i="14" s="1"/>
  <c r="K282" i="14"/>
  <c r="K281" i="14"/>
  <c r="L281" i="14" s="1"/>
  <c r="K280" i="14"/>
  <c r="L280" i="14" s="1"/>
  <c r="K279" i="14"/>
  <c r="L279" i="14" s="1"/>
  <c r="K278" i="14"/>
  <c r="L278" i="14" s="1"/>
  <c r="K277" i="14"/>
  <c r="L277" i="14" s="1"/>
  <c r="K276" i="14"/>
  <c r="K275" i="14"/>
  <c r="L275" i="14" s="1"/>
  <c r="K274" i="14"/>
  <c r="K273" i="14"/>
  <c r="L273" i="14" s="1"/>
  <c r="K272" i="14"/>
  <c r="L272" i="14" s="1"/>
  <c r="K271" i="14"/>
  <c r="L271" i="14" s="1"/>
  <c r="K270" i="14"/>
  <c r="L270" i="14" s="1"/>
  <c r="K269" i="14"/>
  <c r="L269" i="14" s="1"/>
  <c r="K268" i="14"/>
  <c r="L268" i="14" s="1"/>
  <c r="K267" i="14"/>
  <c r="K266" i="14"/>
  <c r="K265" i="14"/>
  <c r="L265" i="14" s="1"/>
  <c r="K264" i="14"/>
  <c r="L264" i="14" s="1"/>
  <c r="K263" i="14"/>
  <c r="L263" i="14" s="1"/>
  <c r="K262" i="14"/>
  <c r="L262" i="14" s="1"/>
  <c r="K261" i="14"/>
  <c r="L261" i="14" s="1"/>
  <c r="R260" i="14"/>
  <c r="Q260" i="14"/>
  <c r="K260" i="14"/>
  <c r="L260" i="14" s="1"/>
  <c r="F260" i="14"/>
  <c r="G260" i="14" s="1"/>
  <c r="I260" i="14" s="1"/>
  <c r="R259" i="14"/>
  <c r="Q259" i="14"/>
  <c r="K259" i="14"/>
  <c r="R258" i="14"/>
  <c r="Q258" i="14"/>
  <c r="K258" i="14"/>
  <c r="F258" i="14"/>
  <c r="G258" i="14" s="1"/>
  <c r="I258" i="14" s="1"/>
  <c r="R257" i="14"/>
  <c r="Q257" i="14"/>
  <c r="K257" i="14"/>
  <c r="S257" i="14" s="1"/>
  <c r="F257" i="14"/>
  <c r="G257" i="14" s="1"/>
  <c r="I257" i="14" s="1"/>
  <c r="R256" i="14"/>
  <c r="Q256" i="14"/>
  <c r="K256" i="14"/>
  <c r="L256" i="14" s="1"/>
  <c r="F256" i="14"/>
  <c r="G256" i="14" s="1"/>
  <c r="I256" i="14" s="1"/>
  <c r="R255" i="14"/>
  <c r="Q255" i="14"/>
  <c r="K255" i="14"/>
  <c r="F255" i="14"/>
  <c r="G255" i="14" s="1"/>
  <c r="I255" i="14" s="1"/>
  <c r="R254" i="14"/>
  <c r="Q254" i="14"/>
  <c r="K254" i="14"/>
  <c r="L254" i="14" s="1"/>
  <c r="F254" i="14"/>
  <c r="G254" i="14" s="1"/>
  <c r="I254" i="14" s="1"/>
  <c r="R253" i="14"/>
  <c r="Q253" i="14"/>
  <c r="K253" i="14"/>
  <c r="S253" i="14" s="1"/>
  <c r="F253" i="14"/>
  <c r="G253" i="14" s="1"/>
  <c r="I253" i="14" s="1"/>
  <c r="R252" i="14"/>
  <c r="Q252" i="14"/>
  <c r="K252" i="14"/>
  <c r="L252" i="14" s="1"/>
  <c r="R251" i="14"/>
  <c r="Q251" i="14"/>
  <c r="K251" i="14"/>
  <c r="F251" i="14"/>
  <c r="G251" i="14" s="1"/>
  <c r="I251" i="14" s="1"/>
  <c r="R250" i="14"/>
  <c r="Q250" i="14"/>
  <c r="K250" i="14"/>
  <c r="F250" i="14"/>
  <c r="G250" i="14" s="1"/>
  <c r="I250" i="14" s="1"/>
  <c r="R249" i="14"/>
  <c r="Q249" i="14"/>
  <c r="K249" i="14"/>
  <c r="F249" i="14"/>
  <c r="G249" i="14" s="1"/>
  <c r="I249" i="14" s="1"/>
  <c r="R248" i="14"/>
  <c r="Q248" i="14"/>
  <c r="K248" i="14"/>
  <c r="L248" i="14" s="1"/>
  <c r="F248" i="14"/>
  <c r="G248" i="14" s="1"/>
  <c r="I248" i="14" s="1"/>
  <c r="R247" i="14"/>
  <c r="Q247" i="14"/>
  <c r="K247" i="14"/>
  <c r="L247" i="14" s="1"/>
  <c r="R246" i="14"/>
  <c r="Q246" i="14"/>
  <c r="K246" i="14"/>
  <c r="S246" i="14" s="1"/>
  <c r="F246" i="14"/>
  <c r="G246" i="14" s="1"/>
  <c r="I246" i="14" s="1"/>
  <c r="R245" i="14"/>
  <c r="Q245" i="14"/>
  <c r="K245" i="14"/>
  <c r="S245" i="14" s="1"/>
  <c r="F245" i="14"/>
  <c r="G245" i="14" s="1"/>
  <c r="I245" i="14" s="1"/>
  <c r="R244" i="14"/>
  <c r="Q244" i="14"/>
  <c r="K244" i="14"/>
  <c r="F244" i="14"/>
  <c r="G244" i="14" s="1"/>
  <c r="I244" i="14" s="1"/>
  <c r="R243" i="14"/>
  <c r="Q243" i="14"/>
  <c r="K243" i="14"/>
  <c r="F243" i="14"/>
  <c r="G243" i="14" s="1"/>
  <c r="I243" i="14" s="1"/>
  <c r="R242" i="14"/>
  <c r="Q242" i="14"/>
  <c r="K242" i="14"/>
  <c r="F242" i="14"/>
  <c r="G242" i="14" s="1"/>
  <c r="I242" i="14" s="1"/>
  <c r="R241" i="14"/>
  <c r="Q241" i="14"/>
  <c r="K241" i="14"/>
  <c r="R240" i="14"/>
  <c r="Q240" i="14"/>
  <c r="K240" i="14"/>
  <c r="F240" i="14"/>
  <c r="G240" i="14" s="1"/>
  <c r="I240" i="14" s="1"/>
  <c r="R239" i="14"/>
  <c r="Q239" i="14"/>
  <c r="K239" i="14"/>
  <c r="R238" i="14"/>
  <c r="Q238" i="14"/>
  <c r="K238" i="14"/>
  <c r="F238" i="14"/>
  <c r="G238" i="14" s="1"/>
  <c r="I238" i="14" s="1"/>
  <c r="R237" i="14"/>
  <c r="Q237" i="14"/>
  <c r="K237" i="14"/>
  <c r="S237" i="14" s="1"/>
  <c r="F237" i="14"/>
  <c r="G237" i="14" s="1"/>
  <c r="I237" i="14" s="1"/>
  <c r="R236" i="14"/>
  <c r="Q236" i="14"/>
  <c r="K236" i="14"/>
  <c r="L236" i="14" s="1"/>
  <c r="R235" i="14"/>
  <c r="Q235" i="14"/>
  <c r="K235" i="14"/>
  <c r="L235" i="14" s="1"/>
  <c r="F235" i="14"/>
  <c r="G235" i="14" s="1"/>
  <c r="I235" i="14" s="1"/>
  <c r="R234" i="14"/>
  <c r="Q234" i="14"/>
  <c r="K234" i="14"/>
  <c r="S234" i="14" s="1"/>
  <c r="F234" i="14"/>
  <c r="G234" i="14" s="1"/>
  <c r="I234" i="14" s="1"/>
  <c r="R233" i="14"/>
  <c r="Q233" i="14"/>
  <c r="K233" i="14"/>
  <c r="L233" i="14" s="1"/>
  <c r="F233" i="14"/>
  <c r="G233" i="14" s="1"/>
  <c r="I233" i="14" s="1"/>
  <c r="R232" i="14"/>
  <c r="Q232" i="14"/>
  <c r="K232" i="14"/>
  <c r="S232" i="14" s="1"/>
  <c r="R231" i="14"/>
  <c r="Q231" i="14"/>
  <c r="K231" i="14"/>
  <c r="L231" i="14" s="1"/>
  <c r="K230" i="14"/>
  <c r="L230" i="14" s="1"/>
  <c r="K229" i="14"/>
  <c r="L229" i="14" s="1"/>
  <c r="K228" i="14"/>
  <c r="L228" i="14" s="1"/>
  <c r="K227" i="14"/>
  <c r="L227" i="14" s="1"/>
  <c r="K226" i="14"/>
  <c r="L226" i="14" s="1"/>
  <c r="R225" i="14"/>
  <c r="Q225" i="14"/>
  <c r="K225" i="14"/>
  <c r="F225" i="14"/>
  <c r="G225" i="14" s="1"/>
  <c r="I225" i="14" s="1"/>
  <c r="R224" i="14"/>
  <c r="Q224" i="14"/>
  <c r="K224" i="14"/>
  <c r="K223" i="14"/>
  <c r="L223" i="14" s="1"/>
  <c r="R222" i="14"/>
  <c r="Q222" i="14"/>
  <c r="K222" i="14"/>
  <c r="L222" i="14" s="1"/>
  <c r="F222" i="14"/>
  <c r="G222" i="14" s="1"/>
  <c r="I222" i="14" s="1"/>
  <c r="R221" i="14"/>
  <c r="Q221" i="14"/>
  <c r="K221" i="14"/>
  <c r="S221" i="14" s="1"/>
  <c r="R220" i="14"/>
  <c r="Q220" i="14"/>
  <c r="K220" i="14"/>
  <c r="S220" i="14" s="1"/>
  <c r="F220" i="14"/>
  <c r="G220" i="14" s="1"/>
  <c r="I220" i="14" s="1"/>
  <c r="R219" i="14"/>
  <c r="Q219" i="14"/>
  <c r="K219" i="14"/>
  <c r="J219" i="14"/>
  <c r="F219" i="14"/>
  <c r="G219" i="14" s="1"/>
  <c r="I219" i="14" s="1"/>
  <c r="R218" i="14"/>
  <c r="Q218" i="14"/>
  <c r="K218" i="14"/>
  <c r="F218" i="14"/>
  <c r="G218" i="14" s="1"/>
  <c r="I218" i="14" s="1"/>
  <c r="R217" i="14"/>
  <c r="Q217" i="14"/>
  <c r="K217" i="14"/>
  <c r="F217" i="14"/>
  <c r="G217" i="14" s="1"/>
  <c r="I217" i="14" s="1"/>
  <c r="R216" i="14"/>
  <c r="Q216" i="14"/>
  <c r="K216" i="14"/>
  <c r="F216" i="14"/>
  <c r="G216" i="14" s="1"/>
  <c r="I216" i="14" s="1"/>
  <c r="R215" i="14"/>
  <c r="Q215" i="14"/>
  <c r="K215" i="14"/>
  <c r="S215" i="14" s="1"/>
  <c r="F215" i="14"/>
  <c r="G215" i="14" s="1"/>
  <c r="I215" i="14" s="1"/>
  <c r="R214" i="14"/>
  <c r="Q214" i="14"/>
  <c r="K214" i="14"/>
  <c r="S214" i="14" s="1"/>
  <c r="J214" i="14"/>
  <c r="F214" i="14"/>
  <c r="G214" i="14" s="1"/>
  <c r="I214" i="14" s="1"/>
  <c r="R213" i="14"/>
  <c r="Q213" i="14"/>
  <c r="K213" i="14"/>
  <c r="F213" i="14"/>
  <c r="G213" i="14" s="1"/>
  <c r="I213" i="14" s="1"/>
  <c r="R212" i="14"/>
  <c r="Q212" i="14"/>
  <c r="K212" i="14"/>
  <c r="R211" i="14"/>
  <c r="Q211" i="14"/>
  <c r="K211" i="14"/>
  <c r="F211" i="14"/>
  <c r="G211" i="14" s="1"/>
  <c r="I211" i="14" s="1"/>
  <c r="R210" i="14"/>
  <c r="Q210" i="14"/>
  <c r="K210" i="14"/>
  <c r="L210" i="14" s="1"/>
  <c r="F210" i="14"/>
  <c r="G210" i="14" s="1"/>
  <c r="I210" i="14" s="1"/>
  <c r="R209" i="14"/>
  <c r="Q209" i="14"/>
  <c r="K209" i="14"/>
  <c r="F209" i="14"/>
  <c r="G209" i="14" s="1"/>
  <c r="I209" i="14" s="1"/>
  <c r="R208" i="14"/>
  <c r="Q208" i="14"/>
  <c r="K208" i="14"/>
  <c r="S208" i="14" s="1"/>
  <c r="F208" i="14"/>
  <c r="G208" i="14" s="1"/>
  <c r="I208" i="14" s="1"/>
  <c r="R207" i="14"/>
  <c r="Q207" i="14"/>
  <c r="K207" i="14"/>
  <c r="J207" i="14"/>
  <c r="F207" i="14"/>
  <c r="G207" i="14" s="1"/>
  <c r="I207" i="14" s="1"/>
  <c r="R206" i="14"/>
  <c r="Q206" i="14"/>
  <c r="K206" i="14"/>
  <c r="F206" i="14"/>
  <c r="G206" i="14" s="1"/>
  <c r="I206" i="14" s="1"/>
  <c r="R205" i="14"/>
  <c r="Q205" i="14"/>
  <c r="K205" i="14"/>
  <c r="K204" i="14"/>
  <c r="L204" i="14" s="1"/>
  <c r="K203" i="14"/>
  <c r="L203" i="14" s="1"/>
  <c r="K202" i="14"/>
  <c r="K201" i="14"/>
  <c r="L201" i="14" s="1"/>
  <c r="K200" i="14"/>
  <c r="L200" i="14" s="1"/>
  <c r="J200" i="14"/>
  <c r="K199" i="14"/>
  <c r="L199" i="14" s="1"/>
  <c r="K198" i="14"/>
  <c r="L198" i="14" s="1"/>
  <c r="K197" i="14"/>
  <c r="L197" i="14" s="1"/>
  <c r="K196" i="14"/>
  <c r="L196" i="14" s="1"/>
  <c r="K195" i="14"/>
  <c r="L195" i="14" s="1"/>
  <c r="K194" i="14"/>
  <c r="L194" i="14" s="1"/>
  <c r="K193" i="14"/>
  <c r="L193" i="14" s="1"/>
  <c r="K192" i="14"/>
  <c r="L192" i="14" s="1"/>
  <c r="K191" i="14"/>
  <c r="L191" i="14" s="1"/>
  <c r="K190" i="14"/>
  <c r="K189" i="14"/>
  <c r="K188" i="14"/>
  <c r="L188" i="14" s="1"/>
  <c r="K187" i="14"/>
  <c r="L187" i="14" s="1"/>
  <c r="K186" i="14"/>
  <c r="L186" i="14" s="1"/>
  <c r="K185" i="14"/>
  <c r="L185" i="14" s="1"/>
  <c r="K184" i="14"/>
  <c r="L184" i="14" s="1"/>
  <c r="R183" i="14"/>
  <c r="Q183" i="14"/>
  <c r="K183" i="14"/>
  <c r="S183" i="14" s="1"/>
  <c r="F183" i="14"/>
  <c r="G183" i="14" s="1"/>
  <c r="I183" i="14" s="1"/>
  <c r="R182" i="14"/>
  <c r="Q182" i="14"/>
  <c r="K182" i="14"/>
  <c r="S182" i="14" s="1"/>
  <c r="F182" i="14"/>
  <c r="G182" i="14" s="1"/>
  <c r="I182" i="14" s="1"/>
  <c r="R181" i="14"/>
  <c r="Q181" i="14"/>
  <c r="K181" i="14"/>
  <c r="F181" i="14"/>
  <c r="G181" i="14" s="1"/>
  <c r="I181" i="14" s="1"/>
  <c r="R180" i="14"/>
  <c r="Q180" i="14"/>
  <c r="K180" i="14"/>
  <c r="F180" i="14"/>
  <c r="G180" i="14" s="1"/>
  <c r="I180" i="14" s="1"/>
  <c r="R179" i="14"/>
  <c r="Q179" i="14"/>
  <c r="K179" i="14"/>
  <c r="S179" i="14" s="1"/>
  <c r="F179" i="14"/>
  <c r="G179" i="14" s="1"/>
  <c r="I179" i="14" s="1"/>
  <c r="R178" i="14"/>
  <c r="Q178" i="14"/>
  <c r="K178" i="14"/>
  <c r="S178" i="14" s="1"/>
  <c r="F178" i="14"/>
  <c r="G178" i="14" s="1"/>
  <c r="I178" i="14" s="1"/>
  <c r="R177" i="14"/>
  <c r="Q177" i="14"/>
  <c r="K177" i="14"/>
  <c r="S177" i="14" s="1"/>
  <c r="R176" i="14"/>
  <c r="Q176" i="14"/>
  <c r="K176" i="14"/>
  <c r="S176" i="14" s="1"/>
  <c r="F176" i="14"/>
  <c r="G176" i="14" s="1"/>
  <c r="I176" i="14" s="1"/>
  <c r="R175" i="14"/>
  <c r="Q175" i="14"/>
  <c r="K175" i="14"/>
  <c r="L175" i="14" s="1"/>
  <c r="F175" i="14"/>
  <c r="G175" i="14" s="1"/>
  <c r="I175" i="14" s="1"/>
  <c r="R174" i="14"/>
  <c r="Q174" i="14"/>
  <c r="K174" i="14"/>
  <c r="S174" i="14" s="1"/>
  <c r="F174" i="14"/>
  <c r="G174" i="14" s="1"/>
  <c r="I174" i="14" s="1"/>
  <c r="R173" i="14"/>
  <c r="Q173" i="14"/>
  <c r="K173" i="14"/>
  <c r="L173" i="14" s="1"/>
  <c r="F173" i="14"/>
  <c r="G173" i="14" s="1"/>
  <c r="I173" i="14" s="1"/>
  <c r="R172" i="14"/>
  <c r="Q172" i="14"/>
  <c r="K172" i="14"/>
  <c r="S172" i="14" s="1"/>
  <c r="F172" i="14"/>
  <c r="G172" i="14" s="1"/>
  <c r="I172" i="14" s="1"/>
  <c r="R171" i="14"/>
  <c r="Q171" i="14"/>
  <c r="K171" i="14"/>
  <c r="S171" i="14" s="1"/>
  <c r="F171" i="14"/>
  <c r="G171" i="14" s="1"/>
  <c r="I171" i="14" s="1"/>
  <c r="R170" i="14"/>
  <c r="Q170" i="14"/>
  <c r="K170" i="14"/>
  <c r="K169" i="14"/>
  <c r="L169" i="14" s="1"/>
  <c r="K168" i="14"/>
  <c r="K167" i="14"/>
  <c r="L167" i="14" s="1"/>
  <c r="K166" i="14"/>
  <c r="L166" i="14" s="1"/>
  <c r="K165" i="14"/>
  <c r="L165" i="14" s="1"/>
  <c r="K164" i="14"/>
  <c r="L164" i="14" s="1"/>
  <c r="K163" i="14"/>
  <c r="L163" i="14" s="1"/>
  <c r="K162" i="14"/>
  <c r="L162" i="14" s="1"/>
  <c r="K161" i="14"/>
  <c r="K160" i="14"/>
  <c r="L160" i="14" s="1"/>
  <c r="K159" i="14"/>
  <c r="K158" i="14"/>
  <c r="L158" i="14" s="1"/>
  <c r="K157" i="14"/>
  <c r="L157" i="14" s="1"/>
  <c r="K156" i="14"/>
  <c r="L156" i="14" s="1"/>
  <c r="R155" i="14"/>
  <c r="Q155" i="14"/>
  <c r="K155" i="14"/>
  <c r="L155" i="14" s="1"/>
  <c r="F155" i="14"/>
  <c r="G155" i="14" s="1"/>
  <c r="I155" i="14" s="1"/>
  <c r="R154" i="14"/>
  <c r="Q154" i="14"/>
  <c r="K154" i="14"/>
  <c r="S154" i="14" s="1"/>
  <c r="R153" i="14"/>
  <c r="Q153" i="14"/>
  <c r="K153" i="14"/>
  <c r="F153" i="14"/>
  <c r="G153" i="14" s="1"/>
  <c r="I153" i="14" s="1"/>
  <c r="R152" i="14"/>
  <c r="Q152" i="14"/>
  <c r="K152" i="14"/>
  <c r="F152" i="14"/>
  <c r="G152" i="14" s="1"/>
  <c r="I152" i="14" s="1"/>
  <c r="R151" i="14"/>
  <c r="Q151" i="14"/>
  <c r="K151" i="14"/>
  <c r="L151" i="14" s="1"/>
  <c r="F151" i="14"/>
  <c r="G151" i="14" s="1"/>
  <c r="I151" i="14" s="1"/>
  <c r="R150" i="14"/>
  <c r="Q150" i="14"/>
  <c r="K150" i="14"/>
  <c r="F150" i="14"/>
  <c r="G150" i="14" s="1"/>
  <c r="I150" i="14" s="1"/>
  <c r="R149" i="14"/>
  <c r="Q149" i="14"/>
  <c r="K149" i="14"/>
  <c r="S149" i="14" s="1"/>
  <c r="K148" i="14"/>
  <c r="L148" i="14" s="1"/>
  <c r="K147" i="14"/>
  <c r="K146" i="14"/>
  <c r="L146" i="14" s="1"/>
  <c r="K145" i="14"/>
  <c r="L145" i="14" s="1"/>
  <c r="K144" i="14"/>
  <c r="L144" i="14" s="1"/>
  <c r="K143" i="14"/>
  <c r="L143" i="14" s="1"/>
  <c r="K142" i="14"/>
  <c r="L142" i="14" s="1"/>
  <c r="K141" i="14"/>
  <c r="L141" i="14" s="1"/>
  <c r="K140" i="14"/>
  <c r="L140" i="14" s="1"/>
  <c r="K139" i="14"/>
  <c r="L139" i="14" s="1"/>
  <c r="K138" i="14"/>
  <c r="L138" i="14" s="1"/>
  <c r="K137" i="14"/>
  <c r="L137" i="14" s="1"/>
  <c r="R136" i="14"/>
  <c r="Q136" i="14"/>
  <c r="K136" i="14"/>
  <c r="S136" i="14" s="1"/>
  <c r="F136" i="14"/>
  <c r="G136" i="14" s="1"/>
  <c r="I136" i="14" s="1"/>
  <c r="R135" i="14"/>
  <c r="Q135" i="14"/>
  <c r="K135" i="14"/>
  <c r="F135" i="14"/>
  <c r="G135" i="14" s="1"/>
  <c r="I135" i="14" s="1"/>
  <c r="R134" i="14"/>
  <c r="Q134" i="14"/>
  <c r="K134" i="14"/>
  <c r="R133" i="14"/>
  <c r="Q133" i="14"/>
  <c r="K133" i="14"/>
  <c r="S133" i="14" s="1"/>
  <c r="F133" i="14"/>
  <c r="G133" i="14" s="1"/>
  <c r="I133" i="14" s="1"/>
  <c r="R132" i="14"/>
  <c r="Q132" i="14"/>
  <c r="K132" i="14"/>
  <c r="L132" i="14" s="1"/>
  <c r="F132" i="14"/>
  <c r="G132" i="14" s="1"/>
  <c r="I132" i="14" s="1"/>
  <c r="R131" i="14"/>
  <c r="Q131" i="14"/>
  <c r="K131" i="14"/>
  <c r="S131" i="14" s="1"/>
  <c r="F131" i="14"/>
  <c r="G131" i="14" s="1"/>
  <c r="I131" i="14" s="1"/>
  <c r="R130" i="14"/>
  <c r="Q130" i="14"/>
  <c r="K130" i="14"/>
  <c r="K129" i="14"/>
  <c r="L129" i="14" s="1"/>
  <c r="K128" i="14"/>
  <c r="L128" i="14" s="1"/>
  <c r="K127" i="14"/>
  <c r="L127" i="14" s="1"/>
  <c r="K126" i="14"/>
  <c r="L126" i="14" s="1"/>
  <c r="K125" i="14"/>
  <c r="L125" i="14" s="1"/>
  <c r="K124" i="14"/>
  <c r="K123" i="14"/>
  <c r="L123" i="14" s="1"/>
  <c r="K122" i="14"/>
  <c r="L122" i="14" s="1"/>
  <c r="K121" i="14"/>
  <c r="L121" i="14" s="1"/>
  <c r="K120" i="14"/>
  <c r="L120" i="14" s="1"/>
  <c r="K119" i="14"/>
  <c r="L119" i="14" s="1"/>
  <c r="K118" i="14"/>
  <c r="L118" i="14" s="1"/>
  <c r="K117" i="14"/>
  <c r="L117" i="14" s="1"/>
  <c r="K116" i="14"/>
  <c r="L116" i="14" s="1"/>
  <c r="K115" i="14"/>
  <c r="L115" i="14" s="1"/>
  <c r="K114" i="14"/>
  <c r="K113" i="14"/>
  <c r="L113" i="14" s="1"/>
  <c r="K112" i="14"/>
  <c r="L112" i="14" s="1"/>
  <c r="R111" i="14"/>
  <c r="Q111" i="14"/>
  <c r="K111" i="14"/>
  <c r="F111" i="14"/>
  <c r="G111" i="14" s="1"/>
  <c r="I111" i="14" s="1"/>
  <c r="R110" i="14"/>
  <c r="Q110" i="14"/>
  <c r="K110" i="14"/>
  <c r="L110" i="14" s="1"/>
  <c r="F110" i="14"/>
  <c r="G110" i="14" s="1"/>
  <c r="I110" i="14" s="1"/>
  <c r="R109" i="14"/>
  <c r="Q109" i="14"/>
  <c r="K109" i="14"/>
  <c r="F109" i="14"/>
  <c r="G109" i="14" s="1"/>
  <c r="I109" i="14" s="1"/>
  <c r="R108" i="14"/>
  <c r="Q108" i="14"/>
  <c r="K108" i="14"/>
  <c r="R107" i="14"/>
  <c r="Q107" i="14"/>
  <c r="K107" i="14"/>
  <c r="F107" i="14"/>
  <c r="G107" i="14" s="1"/>
  <c r="I107" i="14" s="1"/>
  <c r="R106" i="14"/>
  <c r="Q106" i="14"/>
  <c r="K106" i="14"/>
  <c r="F106" i="14"/>
  <c r="G106" i="14" s="1"/>
  <c r="I106" i="14" s="1"/>
  <c r="R105" i="14"/>
  <c r="Q105" i="14"/>
  <c r="K105" i="14"/>
  <c r="S105" i="14" s="1"/>
  <c r="F105" i="14"/>
  <c r="G105" i="14" s="1"/>
  <c r="I105" i="14" s="1"/>
  <c r="R104" i="14"/>
  <c r="Q104" i="14"/>
  <c r="K104" i="14"/>
  <c r="S104" i="14" s="1"/>
  <c r="F104" i="14"/>
  <c r="G104" i="14" s="1"/>
  <c r="I104" i="14" s="1"/>
  <c r="R103" i="14"/>
  <c r="Q103" i="14"/>
  <c r="K103" i="14"/>
  <c r="L103" i="14" s="1"/>
  <c r="F103" i="14"/>
  <c r="G103" i="14" s="1"/>
  <c r="I103" i="14" s="1"/>
  <c r="R102" i="14"/>
  <c r="Q102" i="14"/>
  <c r="K102" i="14"/>
  <c r="S102" i="14" s="1"/>
  <c r="F102" i="14"/>
  <c r="G102" i="14" s="1"/>
  <c r="I102" i="14" s="1"/>
  <c r="R101" i="14"/>
  <c r="Q101" i="14"/>
  <c r="K101" i="14"/>
  <c r="L101" i="14" s="1"/>
  <c r="R100" i="14"/>
  <c r="Q100" i="14"/>
  <c r="K100" i="14"/>
  <c r="F100" i="14"/>
  <c r="G100" i="14" s="1"/>
  <c r="I100" i="14" s="1"/>
  <c r="R99" i="14"/>
  <c r="Q99" i="14"/>
  <c r="K99" i="14"/>
  <c r="S99" i="14" s="1"/>
  <c r="F99" i="14"/>
  <c r="G99" i="14" s="1"/>
  <c r="I99" i="14" s="1"/>
  <c r="R98" i="14"/>
  <c r="Q98" i="14"/>
  <c r="K98" i="14"/>
  <c r="S98" i="14" s="1"/>
  <c r="F98" i="14"/>
  <c r="G98" i="14" s="1"/>
  <c r="I98" i="14" s="1"/>
  <c r="R97" i="14"/>
  <c r="Q97" i="14"/>
  <c r="K97" i="14"/>
  <c r="L97" i="14" s="1"/>
  <c r="F97" i="14"/>
  <c r="G97" i="14" s="1"/>
  <c r="I97" i="14" s="1"/>
  <c r="R96" i="14"/>
  <c r="Q96" i="14"/>
  <c r="K96" i="14"/>
  <c r="F96" i="14"/>
  <c r="G96" i="14" s="1"/>
  <c r="I96" i="14" s="1"/>
  <c r="R95" i="14"/>
  <c r="Q95" i="14"/>
  <c r="K95" i="14"/>
  <c r="L95" i="14" s="1"/>
  <c r="F95" i="14"/>
  <c r="G95" i="14" s="1"/>
  <c r="I95" i="14" s="1"/>
  <c r="R94" i="14"/>
  <c r="Q94" i="14"/>
  <c r="K94" i="14"/>
  <c r="L94" i="14" s="1"/>
  <c r="K93" i="14"/>
  <c r="L93" i="14" s="1"/>
  <c r="K92" i="14"/>
  <c r="L92" i="14" s="1"/>
  <c r="K91" i="14"/>
  <c r="L91" i="14" s="1"/>
  <c r="K90" i="14"/>
  <c r="L90" i="14" s="1"/>
  <c r="K89" i="14"/>
  <c r="L89" i="14" s="1"/>
  <c r="K88" i="14"/>
  <c r="L88" i="14" s="1"/>
  <c r="K87" i="14"/>
  <c r="L87" i="14" s="1"/>
  <c r="K86" i="14"/>
  <c r="L86" i="14" s="1"/>
  <c r="K85" i="14"/>
  <c r="L85" i="14" s="1"/>
  <c r="K84" i="14"/>
  <c r="L84" i="14" s="1"/>
  <c r="K83" i="14"/>
  <c r="L83" i="14" s="1"/>
  <c r="K82" i="14"/>
  <c r="L82" i="14" s="1"/>
  <c r="K81" i="14"/>
  <c r="K80" i="14"/>
  <c r="L80" i="14" s="1"/>
  <c r="K79" i="14"/>
  <c r="L79" i="14" s="1"/>
  <c r="K78" i="14"/>
  <c r="L78" i="14" s="1"/>
  <c r="K77" i="14"/>
  <c r="K76" i="14"/>
  <c r="L76" i="14" s="1"/>
  <c r="K75" i="14"/>
  <c r="L75" i="14" s="1"/>
  <c r="K74" i="14"/>
  <c r="K73" i="14"/>
  <c r="L73" i="14" s="1"/>
  <c r="K72" i="14"/>
  <c r="L72" i="14" s="1"/>
  <c r="K71" i="14"/>
  <c r="L71" i="14" s="1"/>
  <c r="K70" i="14"/>
  <c r="L70" i="14" s="1"/>
  <c r="K69" i="14"/>
  <c r="L69" i="14" s="1"/>
  <c r="K68" i="14"/>
  <c r="L68" i="14" s="1"/>
  <c r="R67" i="14"/>
  <c r="Q67" i="14"/>
  <c r="K67" i="14"/>
  <c r="L67" i="14" s="1"/>
  <c r="F67" i="14"/>
  <c r="G67" i="14" s="1"/>
  <c r="I67" i="14" s="1"/>
  <c r="R66" i="14"/>
  <c r="Q66" i="14"/>
  <c r="K66" i="14"/>
  <c r="L66" i="14" s="1"/>
  <c r="F66" i="14"/>
  <c r="G66" i="14" s="1"/>
  <c r="I66" i="14" s="1"/>
  <c r="R65" i="14"/>
  <c r="Q65" i="14"/>
  <c r="K65" i="14"/>
  <c r="L65" i="14" s="1"/>
  <c r="F65" i="14"/>
  <c r="G65" i="14" s="1"/>
  <c r="I65" i="14" s="1"/>
  <c r="R64" i="14"/>
  <c r="Q64" i="14"/>
  <c r="K64" i="14"/>
  <c r="L64" i="14" s="1"/>
  <c r="F64" i="14"/>
  <c r="G64" i="14" s="1"/>
  <c r="I64" i="14" s="1"/>
  <c r="R63" i="14"/>
  <c r="Q63" i="14"/>
  <c r="K63" i="14"/>
  <c r="S63" i="14" s="1"/>
  <c r="R62" i="14"/>
  <c r="Q62" i="14"/>
  <c r="K62" i="14"/>
  <c r="S62" i="14" s="1"/>
  <c r="F62" i="14"/>
  <c r="G62" i="14" s="1"/>
  <c r="I62" i="14" s="1"/>
  <c r="R61" i="14"/>
  <c r="Q61" i="14"/>
  <c r="K61" i="14"/>
  <c r="L61" i="14" s="1"/>
  <c r="F61" i="14"/>
  <c r="G61" i="14" s="1"/>
  <c r="I61" i="14" s="1"/>
  <c r="R60" i="14"/>
  <c r="Q60" i="14"/>
  <c r="K60" i="14"/>
  <c r="S60" i="14" s="1"/>
  <c r="R59" i="14"/>
  <c r="Q59" i="14"/>
  <c r="K59" i="14"/>
  <c r="S59" i="14" s="1"/>
  <c r="F59" i="14"/>
  <c r="G59" i="14" s="1"/>
  <c r="I59" i="14" s="1"/>
  <c r="R58" i="14"/>
  <c r="Q58" i="14"/>
  <c r="K58" i="14"/>
  <c r="S58" i="14" s="1"/>
  <c r="F58" i="14"/>
  <c r="G58" i="14" s="1"/>
  <c r="I58" i="14" s="1"/>
  <c r="R57" i="14"/>
  <c r="Q57" i="14"/>
  <c r="K57" i="14"/>
  <c r="K56" i="14"/>
  <c r="L56" i="14" s="1"/>
  <c r="K55" i="14"/>
  <c r="L55" i="14" s="1"/>
  <c r="K54" i="14"/>
  <c r="L54" i="14" s="1"/>
  <c r="K53" i="14"/>
  <c r="L53" i="14" s="1"/>
  <c r="K52" i="14"/>
  <c r="L52" i="14" s="1"/>
  <c r="K51" i="14"/>
  <c r="J51" i="14"/>
  <c r="K50" i="14"/>
  <c r="J50" i="14"/>
  <c r="K49" i="14"/>
  <c r="L49" i="14" s="1"/>
  <c r="K48" i="14"/>
  <c r="L48" i="14" s="1"/>
  <c r="K47" i="14"/>
  <c r="L47" i="14" s="1"/>
  <c r="K46" i="14"/>
  <c r="L46" i="14" s="1"/>
  <c r="K45" i="14"/>
  <c r="L45" i="14" s="1"/>
  <c r="J45" i="14"/>
  <c r="K44" i="14"/>
  <c r="L44" i="14" s="1"/>
  <c r="K43" i="14"/>
  <c r="L43" i="14" s="1"/>
  <c r="K42" i="14"/>
  <c r="L42" i="14" s="1"/>
  <c r="K41" i="14"/>
  <c r="L41" i="14" s="1"/>
  <c r="K40" i="14"/>
  <c r="L40" i="14" s="1"/>
  <c r="K39" i="14"/>
  <c r="L39" i="14" s="1"/>
  <c r="K38" i="14"/>
  <c r="L38" i="14" s="1"/>
  <c r="K37" i="14"/>
  <c r="K36" i="14"/>
  <c r="L36" i="14" s="1"/>
  <c r="K35" i="14"/>
  <c r="L35" i="14" s="1"/>
  <c r="K34" i="14"/>
  <c r="L34" i="14" s="1"/>
  <c r="K33" i="14"/>
  <c r="L33" i="14" s="1"/>
  <c r="K32" i="14"/>
  <c r="L32" i="14" s="1"/>
  <c r="K31" i="14"/>
  <c r="L31" i="14" s="1"/>
  <c r="K30" i="14"/>
  <c r="L30" i="14" s="1"/>
  <c r="K29" i="14"/>
  <c r="L29" i="14" s="1"/>
  <c r="K28" i="14"/>
  <c r="L28" i="14" s="1"/>
  <c r="K27" i="14"/>
  <c r="L27" i="14" s="1"/>
  <c r="K26" i="14"/>
  <c r="L26" i="14" s="1"/>
  <c r="K25" i="14"/>
  <c r="L25" i="14" s="1"/>
  <c r="K24" i="14"/>
  <c r="K23" i="14"/>
  <c r="L23" i="14" s="1"/>
  <c r="K22" i="14"/>
  <c r="L22" i="14" s="1"/>
  <c r="K21" i="14"/>
  <c r="L21" i="14" s="1"/>
  <c r="K20" i="14"/>
  <c r="L20" i="14" s="1"/>
  <c r="K19" i="14"/>
  <c r="L19" i="14" s="1"/>
  <c r="K18" i="14"/>
  <c r="L18" i="14" s="1"/>
  <c r="K17" i="14"/>
  <c r="L17" i="14" s="1"/>
  <c r="K16" i="14"/>
  <c r="L16" i="14" s="1"/>
  <c r="K15" i="14"/>
  <c r="L15" i="14" s="1"/>
  <c r="K14" i="14"/>
  <c r="L14" i="14" s="1"/>
  <c r="K13" i="14"/>
  <c r="R12" i="14"/>
  <c r="Q12" i="14"/>
  <c r="K12" i="14"/>
  <c r="S12" i="14" s="1"/>
  <c r="F12" i="14"/>
  <c r="G12" i="14" s="1"/>
  <c r="I12" i="14" s="1"/>
  <c r="R11" i="14"/>
  <c r="Q11" i="14"/>
  <c r="K11" i="14"/>
  <c r="L11" i="14" s="1"/>
  <c r="F11" i="14"/>
  <c r="G11" i="14" s="1"/>
  <c r="I11" i="14" s="1"/>
  <c r="K10" i="14"/>
  <c r="L10" i="14" s="1"/>
  <c r="K9" i="14"/>
  <c r="L9" i="14" s="1"/>
  <c r="R8" i="14"/>
  <c r="Q8" i="14"/>
  <c r="K8" i="14"/>
  <c r="L8" i="14" s="1"/>
  <c r="F8" i="14"/>
  <c r="G8" i="14" s="1"/>
  <c r="I8" i="14" s="1"/>
  <c r="R7" i="14"/>
  <c r="Q7" i="14"/>
  <c r="K7" i="14"/>
  <c r="S7" i="14" s="1"/>
  <c r="F7" i="14"/>
  <c r="G7" i="14" s="1"/>
  <c r="I7" i="14" s="1"/>
  <c r="K6" i="14"/>
  <c r="L6" i="14" s="1"/>
  <c r="F722" i="12"/>
  <c r="H722" i="12" s="1"/>
  <c r="F723" i="12"/>
  <c r="H723" i="12" s="1"/>
  <c r="F724" i="12"/>
  <c r="H724" i="12" s="1"/>
  <c r="F725" i="12"/>
  <c r="H725" i="12" s="1"/>
  <c r="F726" i="12"/>
  <c r="H726" i="12" s="1"/>
  <c r="F727" i="12"/>
  <c r="H727" i="12" s="1"/>
  <c r="F728" i="12"/>
  <c r="H728" i="12" s="1"/>
  <c r="F729" i="12"/>
  <c r="H729" i="12" s="1"/>
  <c r="F721" i="12"/>
  <c r="H721" i="12" s="1"/>
  <c r="F719" i="12"/>
  <c r="H719" i="12" s="1"/>
  <c r="F718" i="12"/>
  <c r="H718" i="12" s="1"/>
  <c r="F717" i="12"/>
  <c r="H717" i="12" s="1"/>
  <c r="F716" i="12"/>
  <c r="H716" i="12" s="1"/>
  <c r="F715" i="12"/>
  <c r="H715" i="12" s="1"/>
  <c r="F714" i="12"/>
  <c r="H714" i="12" s="1"/>
  <c r="F713" i="12"/>
  <c r="H713" i="12" s="1"/>
  <c r="F712" i="12"/>
  <c r="H712" i="12" s="1"/>
  <c r="F710" i="12"/>
  <c r="H710" i="12" s="1"/>
  <c r="F698" i="12"/>
  <c r="H698" i="12" s="1"/>
  <c r="F697" i="12"/>
  <c r="H697" i="12" s="1"/>
  <c r="F696" i="12"/>
  <c r="H696" i="12" s="1"/>
  <c r="F695" i="12"/>
  <c r="H695" i="12" s="1"/>
  <c r="F694" i="12"/>
  <c r="H694" i="12" s="1"/>
  <c r="F693" i="12"/>
  <c r="H693" i="12" s="1"/>
  <c r="F692" i="12"/>
  <c r="H692" i="12" s="1"/>
  <c r="F691" i="12"/>
  <c r="H691" i="12" s="1"/>
  <c r="F690" i="12"/>
  <c r="H690" i="12" s="1"/>
  <c r="F689" i="12"/>
  <c r="H689" i="12" s="1"/>
  <c r="F687" i="12"/>
  <c r="H687" i="12" s="1"/>
  <c r="F686" i="12"/>
  <c r="H686" i="12" s="1"/>
  <c r="F685" i="12"/>
  <c r="H685" i="12" s="1"/>
  <c r="F684" i="12"/>
  <c r="H684" i="12" s="1"/>
  <c r="F683" i="12"/>
  <c r="H683" i="12" s="1"/>
  <c r="F682" i="12"/>
  <c r="H682" i="12" s="1"/>
  <c r="F681" i="12"/>
  <c r="H681" i="12" s="1"/>
  <c r="F634" i="12"/>
  <c r="H634" i="12" s="1"/>
  <c r="F631" i="12"/>
  <c r="H631" i="12" s="1"/>
  <c r="F630" i="12"/>
  <c r="H630" i="12" s="1"/>
  <c r="F629" i="12"/>
  <c r="H629" i="12" s="1"/>
  <c r="F624" i="12"/>
  <c r="H624" i="12" s="1"/>
  <c r="F619" i="12"/>
  <c r="H619" i="12" s="1"/>
  <c r="F618" i="12"/>
  <c r="H618" i="12" s="1"/>
  <c r="F572" i="12"/>
  <c r="H572" i="12" s="1"/>
  <c r="F571" i="12"/>
  <c r="H571" i="12" s="1"/>
  <c r="F538" i="12"/>
  <c r="H538" i="12" s="1"/>
  <c r="F537" i="12"/>
  <c r="H537" i="12" s="1"/>
  <c r="F536" i="12"/>
  <c r="H536" i="12" s="1"/>
  <c r="F535" i="12"/>
  <c r="H535" i="12" s="1"/>
  <c r="F534" i="12"/>
  <c r="H534" i="12" s="1"/>
  <c r="F533" i="12"/>
  <c r="H533" i="12" s="1"/>
  <c r="F532" i="12"/>
  <c r="H532" i="12" s="1"/>
  <c r="F531" i="12"/>
  <c r="H531" i="12" s="1"/>
  <c r="F530" i="12"/>
  <c r="H530" i="12" s="1"/>
  <c r="F529" i="12"/>
  <c r="H529" i="12" s="1"/>
  <c r="F528" i="12"/>
  <c r="H528" i="12" s="1"/>
  <c r="F527" i="12"/>
  <c r="H527" i="12" s="1"/>
  <c r="F526" i="12"/>
  <c r="H526" i="12" s="1"/>
  <c r="F525" i="12"/>
  <c r="H525" i="12" s="1"/>
  <c r="F524" i="12"/>
  <c r="H524" i="12" s="1"/>
  <c r="F510" i="12"/>
  <c r="H510" i="12" s="1"/>
  <c r="F509" i="12"/>
  <c r="H509" i="12" s="1"/>
  <c r="F508" i="12"/>
  <c r="H508" i="12" s="1"/>
  <c r="F507" i="12"/>
  <c r="H507" i="12" s="1"/>
  <c r="F506" i="12"/>
  <c r="H506" i="12" s="1"/>
  <c r="F504" i="12"/>
  <c r="H504" i="12" s="1"/>
  <c r="F502" i="12"/>
  <c r="H502" i="12" s="1"/>
  <c r="F501" i="12"/>
  <c r="H501" i="12" s="1"/>
  <c r="F500" i="12"/>
  <c r="H500" i="12" s="1"/>
  <c r="F499" i="12"/>
  <c r="H499" i="12" s="1"/>
  <c r="F498" i="12"/>
  <c r="H498" i="12" s="1"/>
  <c r="F497" i="12"/>
  <c r="H497" i="12" s="1"/>
  <c r="F496" i="12"/>
  <c r="H496" i="12" s="1"/>
  <c r="F495" i="12"/>
  <c r="H495" i="12" s="1"/>
  <c r="F494" i="12"/>
  <c r="H494" i="12" s="1"/>
  <c r="F493" i="12"/>
  <c r="H493" i="12" s="1"/>
  <c r="F492" i="12"/>
  <c r="H492" i="12" s="1"/>
  <c r="F491" i="12"/>
  <c r="H491" i="12" s="1"/>
  <c r="F445" i="12"/>
  <c r="H445" i="12" s="1"/>
  <c r="F444" i="12"/>
  <c r="H444" i="12" s="1"/>
  <c r="F443" i="12"/>
  <c r="H443" i="12" s="1"/>
  <c r="F442" i="12"/>
  <c r="H442" i="12" s="1"/>
  <c r="F259" i="12"/>
  <c r="H259" i="12" s="1"/>
  <c r="F257" i="12"/>
  <c r="H257" i="12" s="1"/>
  <c r="F256" i="12"/>
  <c r="H256" i="12" s="1"/>
  <c r="F255" i="12"/>
  <c r="H255" i="12" s="1"/>
  <c r="F254" i="12"/>
  <c r="H254" i="12" s="1"/>
  <c r="F253" i="12"/>
  <c r="H253" i="12" s="1"/>
  <c r="F252" i="12"/>
  <c r="H252" i="12" s="1"/>
  <c r="F250" i="12"/>
  <c r="H250" i="12" s="1"/>
  <c r="F249" i="12"/>
  <c r="H249" i="12" s="1"/>
  <c r="F248" i="12"/>
  <c r="H248" i="12" s="1"/>
  <c r="F247" i="12"/>
  <c r="H247" i="12" s="1"/>
  <c r="F245" i="12"/>
  <c r="H245" i="12" s="1"/>
  <c r="F244" i="12"/>
  <c r="H244" i="12" s="1"/>
  <c r="F243" i="12"/>
  <c r="H243" i="12" s="1"/>
  <c r="F242" i="12"/>
  <c r="H242" i="12" s="1"/>
  <c r="F241" i="12"/>
  <c r="H241" i="12" s="1"/>
  <c r="F239" i="12"/>
  <c r="H239" i="12" s="1"/>
  <c r="F237" i="12"/>
  <c r="H237" i="12" s="1"/>
  <c r="F236" i="12"/>
  <c r="H236" i="12" s="1"/>
  <c r="F234" i="12"/>
  <c r="H234" i="12" s="1"/>
  <c r="F233" i="12"/>
  <c r="H233" i="12" s="1"/>
  <c r="F232" i="12"/>
  <c r="H232" i="12" s="1"/>
  <c r="F224" i="12"/>
  <c r="H224" i="12" s="1"/>
  <c r="F221" i="12"/>
  <c r="H221" i="12" s="1"/>
  <c r="F219" i="12"/>
  <c r="H219" i="12" s="1"/>
  <c r="F218" i="12"/>
  <c r="H218" i="12" s="1"/>
  <c r="F217" i="12"/>
  <c r="H217" i="12" s="1"/>
  <c r="F216" i="12"/>
  <c r="H216" i="12" s="1"/>
  <c r="F215" i="12"/>
  <c r="H215" i="12" s="1"/>
  <c r="F214" i="12"/>
  <c r="H214" i="12" s="1"/>
  <c r="F213" i="12"/>
  <c r="H213" i="12" s="1"/>
  <c r="F212" i="12"/>
  <c r="H212" i="12" s="1"/>
  <c r="F210" i="12"/>
  <c r="H210" i="12" s="1"/>
  <c r="F209" i="12"/>
  <c r="H209" i="12" s="1"/>
  <c r="F208" i="12"/>
  <c r="H208" i="12" s="1"/>
  <c r="F207" i="12"/>
  <c r="H207" i="12" s="1"/>
  <c r="F206" i="12"/>
  <c r="H206" i="12" s="1"/>
  <c r="F205" i="12"/>
  <c r="H205" i="12" s="1"/>
  <c r="F182" i="12"/>
  <c r="H182" i="12" s="1"/>
  <c r="F181" i="12"/>
  <c r="H181" i="12" s="1"/>
  <c r="F180" i="12"/>
  <c r="H180" i="12" s="1"/>
  <c r="F179" i="12"/>
  <c r="H179" i="12" s="1"/>
  <c r="F178" i="12"/>
  <c r="H178" i="12" s="1"/>
  <c r="F177" i="12"/>
  <c r="H177" i="12" s="1"/>
  <c r="F175" i="12"/>
  <c r="H175" i="12" s="1"/>
  <c r="F174" i="12"/>
  <c r="H174" i="12" s="1"/>
  <c r="F173" i="12"/>
  <c r="H173" i="12" s="1"/>
  <c r="F172" i="12"/>
  <c r="H172" i="12" s="1"/>
  <c r="F171" i="12"/>
  <c r="H171" i="12" s="1"/>
  <c r="F170" i="12"/>
  <c r="H170" i="12" s="1"/>
  <c r="F154" i="12"/>
  <c r="H154" i="12" s="1"/>
  <c r="F152" i="12"/>
  <c r="H152" i="12" s="1"/>
  <c r="F151" i="12"/>
  <c r="H151" i="12" s="1"/>
  <c r="F150" i="12"/>
  <c r="H150" i="12" s="1"/>
  <c r="F149" i="12"/>
  <c r="H149" i="12" s="1"/>
  <c r="F135" i="12"/>
  <c r="H135" i="12" s="1"/>
  <c r="F134" i="12"/>
  <c r="H134" i="12" s="1"/>
  <c r="F132" i="12"/>
  <c r="H132" i="12" s="1"/>
  <c r="F131" i="12"/>
  <c r="H131" i="12" s="1"/>
  <c r="F130" i="12"/>
  <c r="H130" i="12" s="1"/>
  <c r="F110" i="12"/>
  <c r="H110" i="12" s="1"/>
  <c r="F109" i="12"/>
  <c r="H109" i="12" s="1"/>
  <c r="F108" i="12"/>
  <c r="H108" i="12" s="1"/>
  <c r="F106" i="12"/>
  <c r="H106" i="12" s="1"/>
  <c r="F105" i="12"/>
  <c r="H105" i="12" s="1"/>
  <c r="F104" i="12"/>
  <c r="F103" i="12"/>
  <c r="H103" i="12" s="1"/>
  <c r="F102" i="12"/>
  <c r="H102" i="12" s="1"/>
  <c r="F101" i="12"/>
  <c r="H101" i="12" s="1"/>
  <c r="F99" i="12"/>
  <c r="H99" i="12" s="1"/>
  <c r="F98" i="12"/>
  <c r="H98" i="12" s="1"/>
  <c r="F97" i="12"/>
  <c r="H97" i="12" s="1"/>
  <c r="F96" i="12"/>
  <c r="H96" i="12" s="1"/>
  <c r="F95" i="12"/>
  <c r="H95" i="12" s="1"/>
  <c r="F94" i="12"/>
  <c r="H94" i="12" s="1"/>
  <c r="F66" i="12"/>
  <c r="H66" i="12" s="1"/>
  <c r="F65" i="12"/>
  <c r="H65" i="12" s="1"/>
  <c r="F64" i="12"/>
  <c r="H64" i="12" s="1"/>
  <c r="F63" i="12"/>
  <c r="H63" i="12" s="1"/>
  <c r="F61" i="12"/>
  <c r="H61" i="12" s="1"/>
  <c r="F60" i="12"/>
  <c r="H60" i="12" s="1"/>
  <c r="F58" i="12"/>
  <c r="H58" i="12" s="1"/>
  <c r="F57" i="12"/>
  <c r="H57" i="12" s="1"/>
  <c r="F11" i="12"/>
  <c r="H11" i="12" s="1"/>
  <c r="F10" i="12"/>
  <c r="H10" i="12" s="1"/>
  <c r="F6" i="12"/>
  <c r="H6" i="12" s="1"/>
  <c r="F7" i="12"/>
  <c r="H7" i="12" s="1"/>
  <c r="O1" i="13"/>
  <c r="O2" i="13"/>
  <c r="O3" i="13"/>
  <c r="O4" i="13"/>
  <c r="O5" i="13"/>
  <c r="G6" i="13"/>
  <c r="O6" i="13"/>
  <c r="G7" i="13"/>
  <c r="O7" i="13"/>
  <c r="G8" i="13"/>
  <c r="O8" i="13"/>
  <c r="G9" i="13"/>
  <c r="O9" i="13"/>
  <c r="G10" i="13"/>
  <c r="N10" i="13"/>
  <c r="G11" i="13"/>
  <c r="N11" i="13"/>
  <c r="G12" i="13"/>
  <c r="N12" i="13"/>
  <c r="G13" i="13"/>
  <c r="N13" i="13"/>
  <c r="G14" i="13"/>
  <c r="N14" i="13"/>
  <c r="G15" i="13"/>
  <c r="N15" i="13"/>
  <c r="G16" i="13"/>
  <c r="N16" i="13"/>
  <c r="G17" i="13"/>
  <c r="N17" i="13"/>
  <c r="G18" i="13"/>
  <c r="N18" i="13"/>
  <c r="G19" i="13"/>
  <c r="N19" i="13"/>
  <c r="G20" i="13"/>
  <c r="N20" i="13"/>
  <c r="G21" i="13"/>
  <c r="N21" i="13"/>
  <c r="G22" i="13"/>
  <c r="N22" i="13"/>
  <c r="G23" i="13"/>
  <c r="N23" i="13"/>
  <c r="G24" i="13"/>
  <c r="N24" i="13"/>
  <c r="G25" i="13"/>
  <c r="N25" i="13"/>
  <c r="G26" i="13"/>
  <c r="N26" i="13"/>
  <c r="G27" i="13"/>
  <c r="N27" i="13"/>
  <c r="G28" i="13"/>
  <c r="N28" i="13"/>
  <c r="G29" i="13"/>
  <c r="N29" i="13"/>
  <c r="G30" i="13"/>
  <c r="N30" i="13"/>
  <c r="G31" i="13"/>
  <c r="N31" i="13"/>
  <c r="G32" i="13"/>
  <c r="N32" i="13"/>
  <c r="G33" i="13"/>
  <c r="N33" i="13"/>
  <c r="G34" i="13"/>
  <c r="N34" i="13"/>
  <c r="G35" i="13"/>
  <c r="N35" i="13"/>
  <c r="G36" i="13"/>
  <c r="N36" i="13"/>
  <c r="G37" i="13"/>
  <c r="N37" i="13"/>
  <c r="G38" i="13"/>
  <c r="N38" i="13"/>
  <c r="G39" i="13"/>
  <c r="N39" i="13"/>
  <c r="G40" i="13"/>
  <c r="N40" i="13"/>
  <c r="G41" i="13"/>
  <c r="N41" i="13"/>
  <c r="G42" i="13"/>
  <c r="N42" i="13"/>
  <c r="G43" i="13"/>
  <c r="N43" i="13"/>
  <c r="G44" i="13"/>
  <c r="N44" i="13"/>
  <c r="G45" i="13"/>
  <c r="N45" i="13"/>
  <c r="G46" i="13"/>
  <c r="N46" i="13"/>
  <c r="G47" i="13"/>
  <c r="N47" i="13"/>
  <c r="G48" i="13"/>
  <c r="N48" i="13"/>
  <c r="G49" i="13"/>
  <c r="N49" i="13"/>
  <c r="G50" i="13"/>
  <c r="N50" i="13"/>
  <c r="G51" i="13"/>
  <c r="N51" i="13"/>
  <c r="G52" i="13"/>
  <c r="N52" i="13"/>
  <c r="G53" i="13"/>
  <c r="N53" i="13"/>
  <c r="G54" i="13"/>
  <c r="N54" i="13"/>
  <c r="G55" i="13"/>
  <c r="N55" i="13"/>
  <c r="G56" i="13"/>
  <c r="N56" i="13"/>
  <c r="G57" i="13"/>
  <c r="N57" i="13"/>
  <c r="G58" i="13"/>
  <c r="N58" i="13"/>
  <c r="G59" i="13"/>
  <c r="N59" i="13"/>
  <c r="G60" i="13"/>
  <c r="N60" i="13"/>
  <c r="G61" i="13"/>
  <c r="N61" i="13"/>
  <c r="G62" i="13"/>
  <c r="N62" i="13"/>
  <c r="G63" i="13"/>
  <c r="N63" i="13"/>
  <c r="G64" i="13"/>
  <c r="N64" i="13"/>
  <c r="G65" i="13"/>
  <c r="N65" i="13"/>
  <c r="G66" i="13"/>
  <c r="N66" i="13"/>
  <c r="G67" i="13"/>
  <c r="N67" i="13"/>
  <c r="G68" i="13"/>
  <c r="N68" i="13"/>
  <c r="G69" i="13"/>
  <c r="N69" i="13"/>
  <c r="G70" i="13"/>
  <c r="N70" i="13"/>
  <c r="G71" i="13"/>
  <c r="N71" i="13"/>
  <c r="G72" i="13"/>
  <c r="N72" i="13"/>
  <c r="G73" i="13"/>
  <c r="N73" i="13"/>
  <c r="G74" i="13"/>
  <c r="N74" i="13"/>
  <c r="G75" i="13"/>
  <c r="N75" i="13"/>
  <c r="G76" i="13"/>
  <c r="N76" i="13"/>
  <c r="G77" i="13"/>
  <c r="N77" i="13"/>
  <c r="G78" i="13"/>
  <c r="N78" i="13"/>
  <c r="G79" i="13"/>
  <c r="N79" i="13"/>
  <c r="G80" i="13"/>
  <c r="N80" i="13"/>
  <c r="G81" i="13"/>
  <c r="N81" i="13"/>
  <c r="G82" i="13"/>
  <c r="N82" i="13"/>
  <c r="G83" i="13"/>
  <c r="N83" i="13"/>
  <c r="G84" i="13"/>
  <c r="N84" i="13"/>
  <c r="G85" i="13"/>
  <c r="N85" i="13"/>
  <c r="G86" i="13"/>
  <c r="N86" i="13"/>
  <c r="G87" i="13"/>
  <c r="N87" i="13"/>
  <c r="G88" i="13"/>
  <c r="N88" i="13"/>
  <c r="G89" i="13"/>
  <c r="N89" i="13"/>
  <c r="G90" i="13"/>
  <c r="N90" i="13"/>
  <c r="G91" i="13"/>
  <c r="N91" i="13"/>
  <c r="G92" i="13"/>
  <c r="N92" i="13"/>
  <c r="G93" i="13"/>
  <c r="N93" i="13"/>
  <c r="G94" i="13"/>
  <c r="N94" i="13"/>
  <c r="G95" i="13"/>
  <c r="N95" i="13"/>
  <c r="G96" i="13"/>
  <c r="N96" i="13"/>
  <c r="G97" i="13"/>
  <c r="N97" i="13"/>
  <c r="G98" i="13"/>
  <c r="N98" i="13"/>
  <c r="G99" i="13"/>
  <c r="N99" i="13"/>
  <c r="G100" i="13"/>
  <c r="N100" i="13"/>
  <c r="G101" i="13"/>
  <c r="N101" i="13"/>
  <c r="G102" i="13"/>
  <c r="N102" i="13"/>
  <c r="G103" i="13"/>
  <c r="N103" i="13"/>
  <c r="G104" i="13"/>
  <c r="N104" i="13"/>
  <c r="G105" i="13"/>
  <c r="N105" i="13"/>
  <c r="G106" i="13"/>
  <c r="N106" i="13"/>
  <c r="G107" i="13"/>
  <c r="N107" i="13"/>
  <c r="G108" i="13"/>
  <c r="N108" i="13"/>
  <c r="G109" i="13"/>
  <c r="N109" i="13"/>
  <c r="G110" i="13"/>
  <c r="N110" i="13"/>
  <c r="G111" i="13"/>
  <c r="N111" i="13"/>
  <c r="G112" i="13"/>
  <c r="N112" i="13"/>
  <c r="G113" i="13"/>
  <c r="N113" i="13"/>
  <c r="G114" i="13"/>
  <c r="N114" i="13"/>
  <c r="G115" i="13"/>
  <c r="N115" i="13"/>
  <c r="G116" i="13"/>
  <c r="N116" i="13"/>
  <c r="G117" i="13"/>
  <c r="N117" i="13"/>
  <c r="G118" i="13"/>
  <c r="N118" i="13"/>
  <c r="G119" i="13"/>
  <c r="N119" i="13"/>
  <c r="G120" i="13"/>
  <c r="N120" i="13"/>
  <c r="G121" i="13"/>
  <c r="N121" i="13"/>
  <c r="G122" i="13"/>
  <c r="N122" i="13"/>
  <c r="G123" i="13"/>
  <c r="N123" i="13"/>
  <c r="G124" i="13"/>
  <c r="N124" i="13"/>
  <c r="G125" i="13"/>
  <c r="N125" i="13"/>
  <c r="G126" i="13"/>
  <c r="N126" i="13"/>
  <c r="G127" i="13"/>
  <c r="N127" i="13"/>
  <c r="G128" i="13"/>
  <c r="N128" i="13"/>
  <c r="G129" i="13"/>
  <c r="N129" i="13"/>
  <c r="G130" i="13"/>
  <c r="N130" i="13"/>
  <c r="G131" i="13"/>
  <c r="N131" i="13"/>
  <c r="G132" i="13"/>
  <c r="N132" i="13"/>
  <c r="G133" i="13"/>
  <c r="N133" i="13"/>
  <c r="G134" i="13"/>
  <c r="N134" i="13"/>
  <c r="G135" i="13"/>
  <c r="N135" i="13"/>
  <c r="G136" i="13"/>
  <c r="N136" i="13"/>
  <c r="G137" i="13"/>
  <c r="N137" i="13"/>
  <c r="G138" i="13"/>
  <c r="N138" i="13"/>
  <c r="G139" i="13"/>
  <c r="N139" i="13"/>
  <c r="G140" i="13"/>
  <c r="N140" i="13"/>
  <c r="G141" i="13"/>
  <c r="N141" i="13"/>
  <c r="G142" i="13"/>
  <c r="N142" i="13"/>
  <c r="G143" i="13"/>
  <c r="N143" i="13"/>
  <c r="G144" i="13"/>
  <c r="N144" i="13"/>
  <c r="G145" i="13"/>
  <c r="N145" i="13"/>
  <c r="G146" i="13"/>
  <c r="N146" i="13"/>
  <c r="G147" i="13"/>
  <c r="N147" i="13"/>
  <c r="G148" i="13"/>
  <c r="N148" i="13"/>
  <c r="G149" i="13"/>
  <c r="N149" i="13"/>
  <c r="G150" i="13"/>
  <c r="N150" i="13"/>
  <c r="G151" i="13"/>
  <c r="N151" i="13"/>
  <c r="G152" i="13"/>
  <c r="N152" i="13"/>
  <c r="G153" i="13"/>
  <c r="N153" i="13"/>
  <c r="G154" i="13"/>
  <c r="N154" i="13"/>
  <c r="G155" i="13"/>
  <c r="N155" i="13"/>
  <c r="G156" i="13"/>
  <c r="N156" i="13"/>
  <c r="G157" i="13"/>
  <c r="N157" i="13"/>
  <c r="G158" i="13"/>
  <c r="N158" i="13"/>
  <c r="G159" i="13"/>
  <c r="N159" i="13"/>
  <c r="G160" i="13"/>
  <c r="N160" i="13"/>
  <c r="G161" i="13"/>
  <c r="N161" i="13"/>
  <c r="G162" i="13"/>
  <c r="N162" i="13"/>
  <c r="G163" i="13"/>
  <c r="N163" i="13"/>
  <c r="G164" i="13"/>
  <c r="N164" i="13"/>
  <c r="G165" i="13"/>
  <c r="N165" i="13"/>
  <c r="G166" i="13"/>
  <c r="N166" i="13"/>
  <c r="G167" i="13"/>
  <c r="N167" i="13"/>
  <c r="G168" i="13"/>
  <c r="N168" i="13"/>
  <c r="G169" i="13"/>
  <c r="N169" i="13"/>
  <c r="G170" i="13"/>
  <c r="N170" i="13"/>
  <c r="G171" i="13"/>
  <c r="N171" i="13"/>
  <c r="G172" i="13"/>
  <c r="N172" i="13"/>
  <c r="G173" i="13"/>
  <c r="N173" i="13"/>
  <c r="G174" i="13"/>
  <c r="N174" i="13"/>
  <c r="G175" i="13"/>
  <c r="N175" i="13"/>
  <c r="G176" i="13"/>
  <c r="N176" i="13"/>
  <c r="G177" i="13"/>
  <c r="N177" i="13"/>
  <c r="G178" i="13"/>
  <c r="N178" i="13"/>
  <c r="G179" i="13"/>
  <c r="N179" i="13"/>
  <c r="G180" i="13"/>
  <c r="N180" i="13"/>
  <c r="G181" i="13"/>
  <c r="N181" i="13"/>
  <c r="G182" i="13"/>
  <c r="N182" i="13"/>
  <c r="G183" i="13"/>
  <c r="N183" i="13"/>
  <c r="G184" i="13"/>
  <c r="N184" i="13"/>
  <c r="G185" i="13"/>
  <c r="N185" i="13"/>
  <c r="G186" i="13"/>
  <c r="N186" i="13"/>
  <c r="G187" i="13"/>
  <c r="N187" i="13"/>
  <c r="G188" i="13"/>
  <c r="N188" i="13"/>
  <c r="G189" i="13"/>
  <c r="N189" i="13"/>
  <c r="G190" i="13"/>
  <c r="N190" i="13"/>
  <c r="G191" i="13"/>
  <c r="N191" i="13"/>
  <c r="G192" i="13"/>
  <c r="N192" i="13"/>
  <c r="G193" i="13"/>
  <c r="N193" i="13"/>
  <c r="G194" i="13"/>
  <c r="N194" i="13"/>
  <c r="G195" i="13"/>
  <c r="N195" i="13"/>
  <c r="G196" i="13"/>
  <c r="N196" i="13"/>
  <c r="G197" i="13"/>
  <c r="N197" i="13"/>
  <c r="G198" i="13"/>
  <c r="N198" i="13"/>
  <c r="G199" i="13"/>
  <c r="N199" i="13"/>
  <c r="G200" i="13"/>
  <c r="N200" i="13"/>
  <c r="G201" i="13"/>
  <c r="N201" i="13"/>
  <c r="G202" i="13"/>
  <c r="N202" i="13"/>
  <c r="G203" i="13"/>
  <c r="N203" i="13"/>
  <c r="G204" i="13"/>
  <c r="N204" i="13"/>
  <c r="G205" i="13"/>
  <c r="N205" i="13"/>
  <c r="G206" i="13"/>
  <c r="N206" i="13"/>
  <c r="G207" i="13"/>
  <c r="N207" i="13"/>
  <c r="G208" i="13"/>
  <c r="N208" i="13"/>
  <c r="G209" i="13"/>
  <c r="N209" i="13"/>
  <c r="G210" i="13"/>
  <c r="N210" i="13"/>
  <c r="G211" i="13"/>
  <c r="N211" i="13"/>
  <c r="G212" i="13"/>
  <c r="N212" i="13"/>
  <c r="G213" i="13"/>
  <c r="N213" i="13"/>
  <c r="G214" i="13"/>
  <c r="N214" i="13"/>
  <c r="G215" i="13"/>
  <c r="N215" i="13"/>
  <c r="G216" i="13"/>
  <c r="N216" i="13"/>
  <c r="G217" i="13"/>
  <c r="N217" i="13"/>
  <c r="G218" i="13"/>
  <c r="N218" i="13"/>
  <c r="G219" i="13"/>
  <c r="N219" i="13"/>
  <c r="G220" i="13"/>
  <c r="N220" i="13"/>
  <c r="G221" i="13"/>
  <c r="N221" i="13"/>
  <c r="G222" i="13"/>
  <c r="N222" i="13"/>
  <c r="G223" i="13"/>
  <c r="N223" i="13"/>
  <c r="G224" i="13"/>
  <c r="N224" i="13"/>
  <c r="G225" i="13"/>
  <c r="N225" i="13"/>
  <c r="G226" i="13"/>
  <c r="N226" i="13"/>
  <c r="G227" i="13"/>
  <c r="N227" i="13"/>
  <c r="G228" i="13"/>
  <c r="N228" i="13"/>
  <c r="G229" i="13"/>
  <c r="N229" i="13"/>
  <c r="G230" i="13"/>
  <c r="N230" i="13"/>
  <c r="G231" i="13"/>
  <c r="N231" i="13"/>
  <c r="G232" i="13"/>
  <c r="N232" i="13"/>
  <c r="G233" i="13"/>
  <c r="N233" i="13"/>
  <c r="G234" i="13"/>
  <c r="N234" i="13"/>
  <c r="G235" i="13"/>
  <c r="N235" i="13"/>
  <c r="G236" i="13"/>
  <c r="N236" i="13"/>
  <c r="G237" i="13"/>
  <c r="N237" i="13"/>
  <c r="G238" i="13"/>
  <c r="N238" i="13"/>
  <c r="G239" i="13"/>
  <c r="N239" i="13"/>
  <c r="G240" i="13"/>
  <c r="N240" i="13"/>
  <c r="G241" i="13"/>
  <c r="N241" i="13"/>
  <c r="G242" i="13"/>
  <c r="N242" i="13"/>
  <c r="G243" i="13"/>
  <c r="N243" i="13"/>
  <c r="G244" i="13"/>
  <c r="N244" i="13"/>
  <c r="G245" i="13"/>
  <c r="N245" i="13"/>
  <c r="G246" i="13"/>
  <c r="N246" i="13"/>
  <c r="G247" i="13"/>
  <c r="N247" i="13"/>
  <c r="G248" i="13"/>
  <c r="N248" i="13"/>
  <c r="G249" i="13"/>
  <c r="N249" i="13"/>
  <c r="G250" i="13"/>
  <c r="N250" i="13"/>
  <c r="G251" i="13"/>
  <c r="N251" i="13"/>
  <c r="G252" i="13"/>
  <c r="N252" i="13"/>
  <c r="G253" i="13"/>
  <c r="N253" i="13"/>
  <c r="G254" i="13"/>
  <c r="N254" i="13"/>
  <c r="G255" i="13"/>
  <c r="N255" i="13"/>
  <c r="G256" i="13"/>
  <c r="N256" i="13"/>
  <c r="G257" i="13"/>
  <c r="N257" i="13"/>
  <c r="G258" i="13"/>
  <c r="N258" i="13"/>
  <c r="G259" i="13"/>
  <c r="N259" i="13"/>
  <c r="G260" i="13"/>
  <c r="N260" i="13"/>
  <c r="G261" i="13"/>
  <c r="N261" i="13"/>
  <c r="G262" i="13"/>
  <c r="N262" i="13"/>
  <c r="G263" i="13"/>
  <c r="N263" i="13"/>
  <c r="G264" i="13"/>
  <c r="N264" i="13"/>
  <c r="G265" i="13"/>
  <c r="N265" i="13"/>
  <c r="G266" i="13"/>
  <c r="N266" i="13"/>
  <c r="G267" i="13"/>
  <c r="N267" i="13"/>
  <c r="G268" i="13"/>
  <c r="N268" i="13"/>
  <c r="G269" i="13"/>
  <c r="N269" i="13"/>
  <c r="G270" i="13"/>
  <c r="N270" i="13"/>
  <c r="G271" i="13"/>
  <c r="N271" i="13"/>
  <c r="G272" i="13"/>
  <c r="N272" i="13"/>
  <c r="G273" i="13"/>
  <c r="N273" i="13"/>
  <c r="G274" i="13"/>
  <c r="N274" i="13"/>
  <c r="G275" i="13"/>
  <c r="N275" i="13"/>
  <c r="G276" i="13"/>
  <c r="N276" i="13"/>
  <c r="G277" i="13"/>
  <c r="N277" i="13"/>
  <c r="G278" i="13"/>
  <c r="N278" i="13"/>
  <c r="G279" i="13"/>
  <c r="N279" i="13"/>
  <c r="G280" i="13"/>
  <c r="N280" i="13"/>
  <c r="G281" i="13"/>
  <c r="N281" i="13"/>
  <c r="G282" i="13"/>
  <c r="N282" i="13"/>
  <c r="G283" i="13"/>
  <c r="N283" i="13"/>
  <c r="G284" i="13"/>
  <c r="N284" i="13"/>
  <c r="G285" i="13"/>
  <c r="N285" i="13"/>
  <c r="G286" i="13"/>
  <c r="N286" i="13"/>
  <c r="G287" i="13"/>
  <c r="N287" i="13"/>
  <c r="G288" i="13"/>
  <c r="N288" i="13"/>
  <c r="G289" i="13"/>
  <c r="N289" i="13"/>
  <c r="G290" i="13"/>
  <c r="N290" i="13"/>
  <c r="G291" i="13"/>
  <c r="N291" i="13"/>
  <c r="G292" i="13"/>
  <c r="N292" i="13"/>
  <c r="G293" i="13"/>
  <c r="N293" i="13"/>
  <c r="G294" i="13"/>
  <c r="N294" i="13"/>
  <c r="G295" i="13"/>
  <c r="N295" i="13"/>
  <c r="G296" i="13"/>
  <c r="N296" i="13"/>
  <c r="G297" i="13"/>
  <c r="N297" i="13"/>
  <c r="G298" i="13"/>
  <c r="N298" i="13"/>
  <c r="G299" i="13"/>
  <c r="N299" i="13"/>
  <c r="G300" i="13"/>
  <c r="N300" i="13"/>
  <c r="G301" i="13"/>
  <c r="N301" i="13"/>
  <c r="G302" i="13"/>
  <c r="N302" i="13"/>
  <c r="G303" i="13"/>
  <c r="N303" i="13"/>
  <c r="G304" i="13"/>
  <c r="N304" i="13"/>
  <c r="G305" i="13"/>
  <c r="N305" i="13"/>
  <c r="G306" i="13"/>
  <c r="N306" i="13"/>
  <c r="G307" i="13"/>
  <c r="N307" i="13"/>
  <c r="G308" i="13"/>
  <c r="N308" i="13"/>
  <c r="G309" i="13"/>
  <c r="N309" i="13"/>
  <c r="G310" i="13"/>
  <c r="N310" i="13"/>
  <c r="G311" i="13"/>
  <c r="N311" i="13"/>
  <c r="G312" i="13"/>
  <c r="N312" i="13"/>
  <c r="G313" i="13"/>
  <c r="N313" i="13"/>
  <c r="G314" i="13"/>
  <c r="N314" i="13"/>
  <c r="G315" i="13"/>
  <c r="N315" i="13"/>
  <c r="G316" i="13"/>
  <c r="N316" i="13"/>
  <c r="G317" i="13"/>
  <c r="N317" i="13"/>
  <c r="G318" i="13"/>
  <c r="N318" i="13"/>
  <c r="G319" i="13"/>
  <c r="N319" i="13"/>
  <c r="G320" i="13"/>
  <c r="N320" i="13"/>
  <c r="G321" i="13"/>
  <c r="N321" i="13"/>
  <c r="G322" i="13"/>
  <c r="N322" i="13"/>
  <c r="G323" i="13"/>
  <c r="N323" i="13"/>
  <c r="G324" i="13"/>
  <c r="N324" i="13"/>
  <c r="G325" i="13"/>
  <c r="N325" i="13"/>
  <c r="G326" i="13"/>
  <c r="N326" i="13"/>
  <c r="G327" i="13"/>
  <c r="N327" i="13"/>
  <c r="G328" i="13"/>
  <c r="N328" i="13"/>
  <c r="G329" i="13"/>
  <c r="N329" i="13"/>
  <c r="G330" i="13"/>
  <c r="N330" i="13"/>
  <c r="G331" i="13"/>
  <c r="N331" i="13"/>
  <c r="G332" i="13"/>
  <c r="N332" i="13"/>
  <c r="G333" i="13"/>
  <c r="N333" i="13"/>
  <c r="G334" i="13"/>
  <c r="N334" i="13"/>
  <c r="G335" i="13"/>
  <c r="N335" i="13"/>
  <c r="G336" i="13"/>
  <c r="N336" i="13"/>
  <c r="G337" i="13"/>
  <c r="N337" i="13"/>
  <c r="G338" i="13"/>
  <c r="N338" i="13"/>
  <c r="G339" i="13"/>
  <c r="N339" i="13"/>
  <c r="G340" i="13"/>
  <c r="N340" i="13"/>
  <c r="G341" i="13"/>
  <c r="N341" i="13"/>
  <c r="G342" i="13"/>
  <c r="N342" i="13"/>
  <c r="G343" i="13"/>
  <c r="N343" i="13"/>
  <c r="G344" i="13"/>
  <c r="N344" i="13"/>
  <c r="G345" i="13"/>
  <c r="N345" i="13"/>
  <c r="G346" i="13"/>
  <c r="N346" i="13"/>
  <c r="G347" i="13"/>
  <c r="N347" i="13"/>
  <c r="G348" i="13"/>
  <c r="N348" i="13"/>
  <c r="G349" i="13"/>
  <c r="N349" i="13"/>
  <c r="G350" i="13"/>
  <c r="N350" i="13"/>
  <c r="G351" i="13"/>
  <c r="N351" i="13"/>
  <c r="G352" i="13"/>
  <c r="N352" i="13"/>
  <c r="G353" i="13"/>
  <c r="N353" i="13"/>
  <c r="G354" i="13"/>
  <c r="N354" i="13"/>
  <c r="G355" i="13"/>
  <c r="N355" i="13"/>
  <c r="G356" i="13"/>
  <c r="N356" i="13"/>
  <c r="G357" i="13"/>
  <c r="N357" i="13"/>
  <c r="G358" i="13"/>
  <c r="N358" i="13"/>
  <c r="G359" i="13"/>
  <c r="N359" i="13"/>
  <c r="G360" i="13"/>
  <c r="N360" i="13"/>
  <c r="G361" i="13"/>
  <c r="N361" i="13"/>
  <c r="G362" i="13"/>
  <c r="N362" i="13"/>
  <c r="G363" i="13"/>
  <c r="N363" i="13"/>
  <c r="G364" i="13"/>
  <c r="N364" i="13"/>
  <c r="G365" i="13"/>
  <c r="N365" i="13"/>
  <c r="G366" i="13"/>
  <c r="N366" i="13"/>
  <c r="G367" i="13"/>
  <c r="N367" i="13"/>
  <c r="G368" i="13"/>
  <c r="N368" i="13"/>
  <c r="G369" i="13"/>
  <c r="N369" i="13"/>
  <c r="G370" i="13"/>
  <c r="N370" i="13"/>
  <c r="G371" i="13"/>
  <c r="N371" i="13"/>
  <c r="G372" i="13"/>
  <c r="N372" i="13"/>
  <c r="G373" i="13"/>
  <c r="N373" i="13"/>
  <c r="G374" i="13"/>
  <c r="N374" i="13"/>
  <c r="G375" i="13"/>
  <c r="N375" i="13"/>
  <c r="G376" i="13"/>
  <c r="N376" i="13"/>
  <c r="G377" i="13"/>
  <c r="N377" i="13"/>
  <c r="G378" i="13"/>
  <c r="N378" i="13"/>
  <c r="G379" i="13"/>
  <c r="N379" i="13"/>
  <c r="G380" i="13"/>
  <c r="N380" i="13"/>
  <c r="G381" i="13"/>
  <c r="N381" i="13"/>
  <c r="G382" i="13"/>
  <c r="N382" i="13"/>
  <c r="G383" i="13"/>
  <c r="N383" i="13"/>
  <c r="G384" i="13"/>
  <c r="N384" i="13"/>
  <c r="G385" i="13"/>
  <c r="N385" i="13"/>
  <c r="G386" i="13"/>
  <c r="N386" i="13"/>
  <c r="G387" i="13"/>
  <c r="N387" i="13"/>
  <c r="G388" i="13"/>
  <c r="N388" i="13"/>
  <c r="G389" i="13"/>
  <c r="N389" i="13"/>
  <c r="G390" i="13"/>
  <c r="N390" i="13"/>
  <c r="G391" i="13"/>
  <c r="N391" i="13"/>
  <c r="G392" i="13"/>
  <c r="N392" i="13"/>
  <c r="G393" i="13"/>
  <c r="N393" i="13"/>
  <c r="G394" i="13"/>
  <c r="N394" i="13"/>
  <c r="G395" i="13"/>
  <c r="N395" i="13"/>
  <c r="G396" i="13"/>
  <c r="N396" i="13"/>
  <c r="G397" i="13"/>
  <c r="N397" i="13"/>
  <c r="G398" i="13"/>
  <c r="N398" i="13"/>
  <c r="G399" i="13"/>
  <c r="N399" i="13"/>
  <c r="G400" i="13"/>
  <c r="N400" i="13"/>
  <c r="G401" i="13"/>
  <c r="N401" i="13"/>
  <c r="G402" i="13"/>
  <c r="N402" i="13"/>
  <c r="G403" i="13"/>
  <c r="N403" i="13"/>
  <c r="G404" i="13"/>
  <c r="N404" i="13"/>
  <c r="G405" i="13"/>
  <c r="N405" i="13"/>
  <c r="G406" i="13"/>
  <c r="N406" i="13"/>
  <c r="G407" i="13"/>
  <c r="N407" i="13"/>
  <c r="G408" i="13"/>
  <c r="N408" i="13"/>
  <c r="G409" i="13"/>
  <c r="N409" i="13"/>
  <c r="G410" i="13"/>
  <c r="N410" i="13"/>
  <c r="G411" i="13"/>
  <c r="N411" i="13"/>
  <c r="G412" i="13"/>
  <c r="N412" i="13"/>
  <c r="G413" i="13"/>
  <c r="N413" i="13"/>
  <c r="G414" i="13"/>
  <c r="N414" i="13"/>
  <c r="G415" i="13"/>
  <c r="N415" i="13"/>
  <c r="G416" i="13"/>
  <c r="N416" i="13"/>
  <c r="G417" i="13"/>
  <c r="N417" i="13"/>
  <c r="G418" i="13"/>
  <c r="N418" i="13"/>
  <c r="G419" i="13"/>
  <c r="N419" i="13"/>
  <c r="G420" i="13"/>
  <c r="N420" i="13"/>
  <c r="G421" i="13"/>
  <c r="N421" i="13"/>
  <c r="G422" i="13"/>
  <c r="N422" i="13"/>
  <c r="G423" i="13"/>
  <c r="N423" i="13"/>
  <c r="G424" i="13"/>
  <c r="N424" i="13"/>
  <c r="G425" i="13"/>
  <c r="N425" i="13"/>
  <c r="G426" i="13"/>
  <c r="N426" i="13"/>
  <c r="G427" i="13"/>
  <c r="N427" i="13"/>
  <c r="G428" i="13"/>
  <c r="N428" i="13"/>
  <c r="G429" i="13"/>
  <c r="N429" i="13"/>
  <c r="G430" i="13"/>
  <c r="N430" i="13"/>
  <c r="G431" i="13"/>
  <c r="N431" i="13"/>
  <c r="G432" i="13"/>
  <c r="N432" i="13"/>
  <c r="G433" i="13"/>
  <c r="N433" i="13"/>
  <c r="G434" i="13"/>
  <c r="N434" i="13"/>
  <c r="G435" i="13"/>
  <c r="N435" i="13"/>
  <c r="G436" i="13"/>
  <c r="N436" i="13"/>
  <c r="G437" i="13"/>
  <c r="N437" i="13"/>
  <c r="G438" i="13"/>
  <c r="N438" i="13"/>
  <c r="G439" i="13"/>
  <c r="N439" i="13"/>
  <c r="G440" i="13"/>
  <c r="N440" i="13"/>
  <c r="G441" i="13"/>
  <c r="N441" i="13"/>
  <c r="G442" i="13"/>
  <c r="N442" i="13"/>
  <c r="G443" i="13"/>
  <c r="N443" i="13"/>
  <c r="G444" i="13"/>
  <c r="N444" i="13"/>
  <c r="G445" i="13"/>
  <c r="N445" i="13"/>
  <c r="G446" i="13"/>
  <c r="N446" i="13"/>
  <c r="G447" i="13"/>
  <c r="N447" i="13"/>
  <c r="G448" i="13"/>
  <c r="N448" i="13"/>
  <c r="G449" i="13"/>
  <c r="N449" i="13"/>
  <c r="G450" i="13"/>
  <c r="N450" i="13"/>
  <c r="G451" i="13"/>
  <c r="N451" i="13"/>
  <c r="G452" i="13"/>
  <c r="N452" i="13"/>
  <c r="G453" i="13"/>
  <c r="N453" i="13"/>
  <c r="G454" i="13"/>
  <c r="N454" i="13"/>
  <c r="G455" i="13"/>
  <c r="N455" i="13"/>
  <c r="G456" i="13"/>
  <c r="N456" i="13"/>
  <c r="G457" i="13"/>
  <c r="N457" i="13"/>
  <c r="G458" i="13"/>
  <c r="N458" i="13"/>
  <c r="G459" i="13"/>
  <c r="N459" i="13"/>
  <c r="G460" i="13"/>
  <c r="N460" i="13"/>
  <c r="G461" i="13"/>
  <c r="N461" i="13"/>
  <c r="G462" i="13"/>
  <c r="N462" i="13"/>
  <c r="G463" i="13"/>
  <c r="N463" i="13"/>
  <c r="G464" i="13"/>
  <c r="N464" i="13"/>
  <c r="G465" i="13"/>
  <c r="N465" i="13"/>
  <c r="G466" i="13"/>
  <c r="N466" i="13"/>
  <c r="G467" i="13"/>
  <c r="N467" i="13"/>
  <c r="G468" i="13"/>
  <c r="N468" i="13"/>
  <c r="G469" i="13"/>
  <c r="N469" i="13"/>
  <c r="G470" i="13"/>
  <c r="N470" i="13"/>
  <c r="G471" i="13"/>
  <c r="N471" i="13"/>
  <c r="G472" i="13"/>
  <c r="N472" i="13"/>
  <c r="G473" i="13"/>
  <c r="N473" i="13"/>
  <c r="G474" i="13"/>
  <c r="N474" i="13"/>
  <c r="G475" i="13"/>
  <c r="N475" i="13"/>
  <c r="G476" i="13"/>
  <c r="N476" i="13"/>
  <c r="G477" i="13"/>
  <c r="N477" i="13"/>
  <c r="G478" i="13"/>
  <c r="N478" i="13"/>
  <c r="G479" i="13"/>
  <c r="N479" i="13"/>
  <c r="G480" i="13"/>
  <c r="N480" i="13"/>
  <c r="G481" i="13"/>
  <c r="N481" i="13"/>
  <c r="G482" i="13"/>
  <c r="N482" i="13"/>
  <c r="G483" i="13"/>
  <c r="N483" i="13"/>
  <c r="G484" i="13"/>
  <c r="N484" i="13"/>
  <c r="G485" i="13"/>
  <c r="N485" i="13"/>
  <c r="G486" i="13"/>
  <c r="N486" i="13"/>
  <c r="G487" i="13"/>
  <c r="N487" i="13"/>
  <c r="G488" i="13"/>
  <c r="N488" i="13"/>
  <c r="G489" i="13"/>
  <c r="N489" i="13"/>
  <c r="G490" i="13"/>
  <c r="N490" i="13"/>
  <c r="G491" i="13"/>
  <c r="N491" i="13"/>
  <c r="G492" i="13"/>
  <c r="N492" i="13"/>
  <c r="G493" i="13"/>
  <c r="N493" i="13"/>
  <c r="G494" i="13"/>
  <c r="N494" i="13"/>
  <c r="G495" i="13"/>
  <c r="N495" i="13"/>
  <c r="G496" i="13"/>
  <c r="N496" i="13"/>
  <c r="G497" i="13"/>
  <c r="N497" i="13"/>
  <c r="G498" i="13"/>
  <c r="N498" i="13"/>
  <c r="G499" i="13"/>
  <c r="N499" i="13"/>
  <c r="G500" i="13"/>
  <c r="N500" i="13"/>
  <c r="G501" i="13"/>
  <c r="N501" i="13"/>
  <c r="G502" i="13"/>
  <c r="N502" i="13"/>
  <c r="G503" i="13"/>
  <c r="N503" i="13"/>
  <c r="G504" i="13"/>
  <c r="N504" i="13"/>
  <c r="G505" i="13"/>
  <c r="N505" i="13"/>
  <c r="G506" i="13"/>
  <c r="N506" i="13"/>
  <c r="G507" i="13"/>
  <c r="N507" i="13"/>
  <c r="G508" i="13"/>
  <c r="N508" i="13"/>
  <c r="G509" i="13"/>
  <c r="N509" i="13"/>
  <c r="G510" i="13"/>
  <c r="N510" i="13"/>
  <c r="G511" i="13"/>
  <c r="N511" i="13"/>
  <c r="G512" i="13"/>
  <c r="N512" i="13"/>
  <c r="G513" i="13"/>
  <c r="N513" i="13"/>
  <c r="G514" i="13"/>
  <c r="N514" i="13"/>
  <c r="G515" i="13"/>
  <c r="N515" i="13"/>
  <c r="G516" i="13"/>
  <c r="N516" i="13"/>
  <c r="G517" i="13"/>
  <c r="N517" i="13"/>
  <c r="G518" i="13"/>
  <c r="N518" i="13"/>
  <c r="G519" i="13"/>
  <c r="N519" i="13"/>
  <c r="G520" i="13"/>
  <c r="N520" i="13"/>
  <c r="G521" i="13"/>
  <c r="N521" i="13"/>
  <c r="G522" i="13"/>
  <c r="N522" i="13"/>
  <c r="G523" i="13"/>
  <c r="N523" i="13"/>
  <c r="G524" i="13"/>
  <c r="N524" i="13"/>
  <c r="G525" i="13"/>
  <c r="N525" i="13"/>
  <c r="G526" i="13"/>
  <c r="N526" i="13"/>
  <c r="G527" i="13"/>
  <c r="N527" i="13"/>
  <c r="G528" i="13"/>
  <c r="N528" i="13"/>
  <c r="G529" i="13"/>
  <c r="N529" i="13"/>
  <c r="G530" i="13"/>
  <c r="N530" i="13"/>
  <c r="G531" i="13"/>
  <c r="L531" i="13"/>
  <c r="M531" i="13"/>
  <c r="N531" i="13"/>
  <c r="G532" i="13"/>
  <c r="L532" i="13"/>
  <c r="M532" i="13" s="1"/>
  <c r="N532" i="13"/>
  <c r="O532" i="13"/>
  <c r="G533" i="13"/>
  <c r="L533" i="13"/>
  <c r="M533" i="13" s="1"/>
  <c r="N533" i="13"/>
  <c r="G534" i="13"/>
  <c r="L534" i="13"/>
  <c r="M534" i="13"/>
  <c r="N534" i="13"/>
  <c r="G535" i="13"/>
  <c r="L535" i="13"/>
  <c r="M535" i="13" s="1"/>
  <c r="N535" i="13"/>
  <c r="G536" i="13"/>
  <c r="L536" i="13"/>
  <c r="M536" i="13" s="1"/>
  <c r="N536" i="13"/>
  <c r="G537" i="13"/>
  <c r="L537" i="13"/>
  <c r="M537" i="13"/>
  <c r="N537" i="13"/>
  <c r="O537" i="13"/>
  <c r="G538" i="13"/>
  <c r="L538" i="13"/>
  <c r="M538" i="13"/>
  <c r="N538" i="13"/>
  <c r="G539" i="13"/>
  <c r="L539" i="13"/>
  <c r="M539" i="13" s="1"/>
  <c r="N539" i="13"/>
  <c r="G540" i="13"/>
  <c r="L540" i="13"/>
  <c r="M540" i="13" s="1"/>
  <c r="N540" i="13"/>
  <c r="O540" i="13"/>
  <c r="I548" i="13"/>
  <c r="F49" i="12"/>
  <c r="H49" i="12" s="1"/>
  <c r="F81" i="12"/>
  <c r="H81" i="12" s="1"/>
  <c r="F113" i="12"/>
  <c r="H113" i="12" s="1"/>
  <c r="F141" i="12"/>
  <c r="H141" i="12" s="1"/>
  <c r="F145" i="12"/>
  <c r="H145" i="12" s="1"/>
  <c r="F262" i="12"/>
  <c r="H262" i="12" s="1"/>
  <c r="F265" i="12"/>
  <c r="H265" i="12" s="1"/>
  <c r="F266" i="12"/>
  <c r="H266" i="12" s="1"/>
  <c r="F273" i="12"/>
  <c r="H273" i="12" s="1"/>
  <c r="F277" i="12"/>
  <c r="H277" i="12" s="1"/>
  <c r="F282" i="12"/>
  <c r="H282" i="12" s="1"/>
  <c r="F289" i="12"/>
  <c r="H289" i="12" s="1"/>
  <c r="F293" i="12"/>
  <c r="H293" i="12" s="1"/>
  <c r="F298" i="12"/>
  <c r="H298" i="12" s="1"/>
  <c r="F305" i="12"/>
  <c r="H305" i="12" s="1"/>
  <c r="F309" i="12"/>
  <c r="H309" i="12" s="1"/>
  <c r="F314" i="12"/>
  <c r="H314" i="12" s="1"/>
  <c r="F321" i="12"/>
  <c r="H321" i="12" s="1"/>
  <c r="F325" i="12"/>
  <c r="H325" i="12" s="1"/>
  <c r="F330" i="12"/>
  <c r="H330" i="12" s="1"/>
  <c r="F337" i="12"/>
  <c r="H337" i="12" s="1"/>
  <c r="F341" i="12"/>
  <c r="H341" i="12" s="1"/>
  <c r="F342" i="12"/>
  <c r="H342" i="12" s="1"/>
  <c r="F346" i="12"/>
  <c r="H346" i="12" s="1"/>
  <c r="F369" i="12"/>
  <c r="H369" i="12" s="1"/>
  <c r="F378" i="12"/>
  <c r="H378" i="12" s="1"/>
  <c r="F387" i="12"/>
  <c r="H387" i="12" s="1"/>
  <c r="F401" i="12"/>
  <c r="H401" i="12" s="1"/>
  <c r="F402" i="12"/>
  <c r="H402" i="12" s="1"/>
  <c r="F423" i="12"/>
  <c r="H423" i="12" s="1"/>
  <c r="F425" i="12"/>
  <c r="H425" i="12" s="1"/>
  <c r="F434" i="12"/>
  <c r="H434" i="12" s="1"/>
  <c r="F437" i="12"/>
  <c r="H437" i="12" s="1"/>
  <c r="F446" i="12"/>
  <c r="H446" i="12" s="1"/>
  <c r="F455" i="12"/>
  <c r="H455" i="12" s="1"/>
  <c r="F457" i="12"/>
  <c r="H457" i="12" s="1"/>
  <c r="F466" i="12"/>
  <c r="H466" i="12" s="1"/>
  <c r="F469" i="12"/>
  <c r="H469" i="12" s="1"/>
  <c r="F475" i="12"/>
  <c r="H475" i="12" s="1"/>
  <c r="F487" i="12"/>
  <c r="H487" i="12" s="1"/>
  <c r="F518" i="12"/>
  <c r="H518" i="12" s="1"/>
  <c r="F519" i="12"/>
  <c r="H519" i="12" s="1"/>
  <c r="F542" i="12"/>
  <c r="H542" i="12" s="1"/>
  <c r="F550" i="12"/>
  <c r="H550" i="12" s="1"/>
  <c r="F551" i="12"/>
  <c r="H551" i="12" s="1"/>
  <c r="F559" i="12"/>
  <c r="H559" i="12" s="1"/>
  <c r="F562" i="12"/>
  <c r="H562" i="12" s="1"/>
  <c r="F565" i="12"/>
  <c r="H565" i="12" s="1"/>
  <c r="F574" i="12"/>
  <c r="H574" i="12" s="1"/>
  <c r="F582" i="12"/>
  <c r="H582" i="12" s="1"/>
  <c r="F583" i="12"/>
  <c r="H583" i="12" s="1"/>
  <c r="F585" i="12"/>
  <c r="H585" i="12" s="1"/>
  <c r="F604" i="12"/>
  <c r="H604" i="12" s="1"/>
  <c r="F605" i="12"/>
  <c r="H605" i="12" s="1"/>
  <c r="F609" i="12"/>
  <c r="H609" i="12" s="1"/>
  <c r="F612" i="12"/>
  <c r="H612" i="12" s="1"/>
  <c r="F616" i="12"/>
  <c r="H616" i="12" s="1"/>
  <c r="F620" i="12"/>
  <c r="H620" i="12" s="1"/>
  <c r="F625" i="12"/>
  <c r="H625" i="12" s="1"/>
  <c r="F628" i="12"/>
  <c r="H628" i="12" s="1"/>
  <c r="F632" i="12"/>
  <c r="H632" i="12" s="1"/>
  <c r="F637" i="12"/>
  <c r="H637" i="12" s="1"/>
  <c r="F640" i="12"/>
  <c r="H640" i="12" s="1"/>
  <c r="F644" i="12"/>
  <c r="H644" i="12" s="1"/>
  <c r="F645" i="12"/>
  <c r="H645" i="12" s="1"/>
  <c r="F649" i="12"/>
  <c r="H649" i="12" s="1"/>
  <c r="F653" i="12"/>
  <c r="H653" i="12" s="1"/>
  <c r="F665" i="12"/>
  <c r="H665" i="12" s="1"/>
  <c r="F669" i="12"/>
  <c r="H669" i="12" s="1"/>
  <c r="F673" i="12"/>
  <c r="H673" i="12" s="1"/>
  <c r="F677" i="12"/>
  <c r="H677" i="12" s="1"/>
  <c r="F701" i="12"/>
  <c r="H701" i="12" s="1"/>
  <c r="F705" i="12"/>
  <c r="H705" i="12" s="1"/>
  <c r="H104" i="12"/>
  <c r="G617" i="11"/>
  <c r="G616" i="11"/>
  <c r="G482" i="11"/>
  <c r="G483" i="11"/>
  <c r="G484" i="11"/>
  <c r="G485" i="11"/>
  <c r="G486" i="11"/>
  <c r="I486" i="11" s="1"/>
  <c r="G487" i="11"/>
  <c r="G488" i="11"/>
  <c r="G489" i="11"/>
  <c r="I489" i="11" s="1"/>
  <c r="G490" i="11"/>
  <c r="G481" i="11"/>
  <c r="G479" i="11"/>
  <c r="G478" i="11"/>
  <c r="I478" i="11" s="1"/>
  <c r="G473" i="11"/>
  <c r="G474" i="11"/>
  <c r="G475" i="11"/>
  <c r="G476" i="11"/>
  <c r="G472" i="11"/>
  <c r="G467" i="11"/>
  <c r="G468" i="11"/>
  <c r="G469" i="11"/>
  <c r="G470" i="11"/>
  <c r="G466" i="11"/>
  <c r="G463" i="11"/>
  <c r="G464" i="11"/>
  <c r="G462" i="11"/>
  <c r="G460" i="11"/>
  <c r="G450" i="11"/>
  <c r="G449" i="11"/>
  <c r="I449" i="11" s="1"/>
  <c r="G433" i="11"/>
  <c r="I433" i="11" s="1"/>
  <c r="G434" i="11"/>
  <c r="G435" i="11"/>
  <c r="G436" i="11"/>
  <c r="I436" i="11" s="1"/>
  <c r="G437" i="11"/>
  <c r="G438" i="11"/>
  <c r="G439" i="11"/>
  <c r="I439" i="11" s="1"/>
  <c r="G440" i="11"/>
  <c r="I440" i="11" s="1"/>
  <c r="G441" i="11"/>
  <c r="G442" i="11"/>
  <c r="G443" i="11"/>
  <c r="G444" i="11"/>
  <c r="I444" i="11" s="1"/>
  <c r="G445" i="11"/>
  <c r="G446" i="11"/>
  <c r="G447" i="11"/>
  <c r="I447" i="11" s="1"/>
  <c r="G432" i="11"/>
  <c r="I432" i="11" s="1"/>
  <c r="G428" i="11"/>
  <c r="G430" i="11"/>
  <c r="I430" i="11" s="1"/>
  <c r="G429" i="11"/>
  <c r="G418" i="11"/>
  <c r="G419" i="11"/>
  <c r="G420" i="11"/>
  <c r="G421" i="11"/>
  <c r="G422" i="11"/>
  <c r="I422" i="11" s="1"/>
  <c r="G423" i="11"/>
  <c r="G424" i="11"/>
  <c r="G425" i="11"/>
  <c r="I425" i="11" s="1"/>
  <c r="G426" i="11"/>
  <c r="G417" i="11"/>
  <c r="G410" i="11"/>
  <c r="I410" i="11"/>
  <c r="G407" i="11"/>
  <c r="G343" i="11"/>
  <c r="I343" i="11" s="1"/>
  <c r="G342" i="11"/>
  <c r="G189" i="11"/>
  <c r="I189" i="11" s="1"/>
  <c r="G147" i="11"/>
  <c r="I147" i="11" s="1"/>
  <c r="G142" i="11"/>
  <c r="I142" i="11" s="1"/>
  <c r="G139" i="11"/>
  <c r="G37" i="11"/>
  <c r="G15" i="11"/>
  <c r="I15" i="11" s="1"/>
  <c r="I7" i="11"/>
  <c r="I8" i="11"/>
  <c r="I9" i="11"/>
  <c r="I11" i="11"/>
  <c r="I12" i="11"/>
  <c r="I14" i="11"/>
  <c r="I18" i="11"/>
  <c r="I19" i="11"/>
  <c r="I20" i="11"/>
  <c r="I21"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9" i="11"/>
  <c r="I141" i="11"/>
  <c r="I144" i="11"/>
  <c r="I145" i="11"/>
  <c r="I146" i="11"/>
  <c r="I148" i="11"/>
  <c r="I150" i="11"/>
  <c r="I151" i="11"/>
  <c r="I152" i="11"/>
  <c r="I153" i="11"/>
  <c r="I155" i="11"/>
  <c r="I158" i="11"/>
  <c r="I159" i="11"/>
  <c r="I160" i="11"/>
  <c r="I161" i="11"/>
  <c r="I163" i="11"/>
  <c r="I164" i="11"/>
  <c r="I165" i="11"/>
  <c r="I166" i="11"/>
  <c r="I167" i="11"/>
  <c r="I168" i="11"/>
  <c r="I169" i="11"/>
  <c r="I171" i="11"/>
  <c r="I172" i="11"/>
  <c r="I173" i="11"/>
  <c r="I174" i="11"/>
  <c r="I175" i="11"/>
  <c r="I176" i="11"/>
  <c r="I178" i="11"/>
  <c r="I179" i="11"/>
  <c r="I180" i="11"/>
  <c r="I181" i="11"/>
  <c r="I182" i="11"/>
  <c r="I183" i="11"/>
  <c r="I186" i="11"/>
  <c r="I187" i="11"/>
  <c r="I188" i="11"/>
  <c r="I191" i="11"/>
  <c r="I192" i="11"/>
  <c r="I193" i="11"/>
  <c r="I194" i="11"/>
  <c r="I195" i="11"/>
  <c r="I196" i="11"/>
  <c r="I197" i="11"/>
  <c r="I199" i="11"/>
  <c r="I200" i="11"/>
  <c r="I201" i="11"/>
  <c r="I202" i="11"/>
  <c r="I203" i="11"/>
  <c r="I204" i="11"/>
  <c r="I206" i="11"/>
  <c r="I207" i="11"/>
  <c r="I208" i="11"/>
  <c r="I209" i="11"/>
  <c r="I210" i="11"/>
  <c r="I211" i="11"/>
  <c r="I213" i="11"/>
  <c r="I214" i="11"/>
  <c r="I215" i="11"/>
  <c r="I216" i="11"/>
  <c r="I217" i="11"/>
  <c r="I218" i="11"/>
  <c r="I219" i="11"/>
  <c r="I220" i="11"/>
  <c r="I222" i="11"/>
  <c r="I225" i="11"/>
  <c r="I227" i="11"/>
  <c r="I228" i="11"/>
  <c r="I230" i="11"/>
  <c r="I233" i="11"/>
  <c r="I234" i="11"/>
  <c r="I235" i="11"/>
  <c r="I237" i="11"/>
  <c r="I238" i="11"/>
  <c r="I240" i="11"/>
  <c r="I242" i="11"/>
  <c r="I243" i="11"/>
  <c r="I244" i="11"/>
  <c r="I245" i="11"/>
  <c r="I246" i="11"/>
  <c r="I248" i="11"/>
  <c r="I249" i="11"/>
  <c r="I250" i="11"/>
  <c r="I251" i="11"/>
  <c r="I253" i="11"/>
  <c r="I254" i="11"/>
  <c r="I255" i="11"/>
  <c r="I256" i="11"/>
  <c r="I257" i="11"/>
  <c r="I258" i="11"/>
  <c r="I260" i="11"/>
  <c r="I263" i="11"/>
  <c r="I264" i="11"/>
  <c r="I265" i="11"/>
  <c r="I266" i="11"/>
  <c r="I267"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306" i="11"/>
  <c r="I307" i="11"/>
  <c r="I308" i="11"/>
  <c r="I309" i="11"/>
  <c r="I310" i="11"/>
  <c r="I311" i="11"/>
  <c r="I313" i="11"/>
  <c r="I314" i="11"/>
  <c r="I315" i="11"/>
  <c r="I316" i="11"/>
  <c r="I317" i="11"/>
  <c r="I318" i="11"/>
  <c r="I319" i="11"/>
  <c r="I320" i="11"/>
  <c r="I322" i="11"/>
  <c r="I323" i="11"/>
  <c r="I324" i="11"/>
  <c r="I325" i="11"/>
  <c r="I326" i="11"/>
  <c r="I327" i="11"/>
  <c r="I328" i="11"/>
  <c r="I329" i="11"/>
  <c r="I330" i="11"/>
  <c r="I331" i="11"/>
  <c r="I332" i="11"/>
  <c r="I333" i="11"/>
  <c r="I334" i="11"/>
  <c r="I335" i="11"/>
  <c r="I337" i="11"/>
  <c r="I338" i="11"/>
  <c r="I339" i="11"/>
  <c r="I340" i="11"/>
  <c r="I342" i="11"/>
  <c r="I344" i="11"/>
  <c r="I347" i="11"/>
  <c r="I348" i="11"/>
  <c r="I349" i="11"/>
  <c r="I350" i="11"/>
  <c r="I351" i="11"/>
  <c r="I352" i="11"/>
  <c r="I353" i="11"/>
  <c r="I354" i="11"/>
  <c r="I355" i="11"/>
  <c r="I356" i="11"/>
  <c r="I357" i="11"/>
  <c r="I358" i="11"/>
  <c r="I359" i="11"/>
  <c r="I361" i="11"/>
  <c r="I362" i="11"/>
  <c r="I363" i="11"/>
  <c r="I364" i="11"/>
  <c r="I365" i="11"/>
  <c r="I366" i="11"/>
  <c r="I367" i="11"/>
  <c r="I368" i="11"/>
  <c r="I369" i="11"/>
  <c r="I370" i="11"/>
  <c r="I371" i="11"/>
  <c r="I372" i="11"/>
  <c r="I373" i="11"/>
  <c r="I374" i="11"/>
  <c r="I375" i="11"/>
  <c r="I378" i="11"/>
  <c r="I379" i="11"/>
  <c r="I380" i="11"/>
  <c r="I381" i="11"/>
  <c r="I382" i="11"/>
  <c r="I383" i="11"/>
  <c r="I384" i="11"/>
  <c r="I385" i="11"/>
  <c r="I386" i="11"/>
  <c r="I387" i="11"/>
  <c r="I388" i="11"/>
  <c r="I389" i="11"/>
  <c r="I390" i="11"/>
  <c r="I391" i="11"/>
  <c r="I392" i="11"/>
  <c r="I393" i="11"/>
  <c r="I395" i="11"/>
  <c r="I396" i="11"/>
  <c r="I397" i="11"/>
  <c r="I398" i="11"/>
  <c r="I399" i="11"/>
  <c r="I401" i="11"/>
  <c r="I402" i="11"/>
  <c r="I403" i="11"/>
  <c r="I404" i="11"/>
  <c r="I407" i="11"/>
  <c r="I408" i="11"/>
  <c r="I409" i="11"/>
  <c r="I411" i="11"/>
  <c r="I412" i="11"/>
  <c r="I414" i="11"/>
  <c r="I415" i="11"/>
  <c r="I417" i="11"/>
  <c r="I418" i="11"/>
  <c r="I419" i="11"/>
  <c r="I420" i="11"/>
  <c r="I421" i="11"/>
  <c r="I423" i="11"/>
  <c r="I424" i="11"/>
  <c r="I426" i="11"/>
  <c r="I428" i="11"/>
  <c r="I429" i="11"/>
  <c r="I434" i="11"/>
  <c r="I435" i="11"/>
  <c r="I437" i="11"/>
  <c r="I438" i="11"/>
  <c r="I441" i="11"/>
  <c r="I442" i="11"/>
  <c r="I443" i="11"/>
  <c r="I445" i="11"/>
  <c r="I446" i="11"/>
  <c r="I450" i="11"/>
  <c r="I452" i="11"/>
  <c r="I453" i="11"/>
  <c r="I454" i="11"/>
  <c r="I455" i="11"/>
  <c r="I456" i="11"/>
  <c r="I457" i="11"/>
  <c r="I458" i="11"/>
  <c r="I460" i="11"/>
  <c r="I462" i="11"/>
  <c r="I463" i="11"/>
  <c r="I464" i="11"/>
  <c r="I466" i="11"/>
  <c r="I467" i="11"/>
  <c r="I468" i="11"/>
  <c r="I469" i="11"/>
  <c r="I470" i="11"/>
  <c r="I472" i="11"/>
  <c r="I473" i="11"/>
  <c r="I474" i="11"/>
  <c r="I475" i="11"/>
  <c r="I476" i="11"/>
  <c r="I479" i="11"/>
  <c r="I481" i="11"/>
  <c r="I482" i="11"/>
  <c r="I483" i="11"/>
  <c r="I484" i="11"/>
  <c r="I485" i="11"/>
  <c r="I487" i="11"/>
  <c r="I488" i="11"/>
  <c r="I490" i="11"/>
  <c r="I492" i="11"/>
  <c r="I493" i="11"/>
  <c r="I494" i="11"/>
  <c r="I495" i="11"/>
  <c r="I496" i="11"/>
  <c r="I497" i="11"/>
  <c r="I498" i="11"/>
  <c r="I499" i="11"/>
  <c r="I500" i="11"/>
  <c r="I501" i="11"/>
  <c r="I502" i="11"/>
  <c r="I503" i="11"/>
  <c r="I505" i="11"/>
  <c r="I507" i="11"/>
  <c r="I508" i="11"/>
  <c r="I509" i="11"/>
  <c r="I510" i="11"/>
  <c r="I511" i="11"/>
  <c r="I514" i="11"/>
  <c r="I515" i="11"/>
  <c r="I516" i="11"/>
  <c r="I517" i="11"/>
  <c r="I518" i="11"/>
  <c r="I519" i="11"/>
  <c r="I520" i="11"/>
  <c r="I521" i="11"/>
  <c r="I522" i="11"/>
  <c r="I525" i="11"/>
  <c r="I526" i="11"/>
  <c r="I527" i="11"/>
  <c r="I528" i="11"/>
  <c r="I529" i="11"/>
  <c r="I530" i="11"/>
  <c r="I531" i="11"/>
  <c r="I532" i="11"/>
  <c r="I533" i="11"/>
  <c r="I534" i="11"/>
  <c r="I535" i="11"/>
  <c r="I536" i="11"/>
  <c r="I537" i="11"/>
  <c r="I538" i="11"/>
  <c r="I539" i="11"/>
  <c r="I541" i="11"/>
  <c r="I542" i="11"/>
  <c r="I543" i="11"/>
  <c r="I544" i="11"/>
  <c r="I545" i="11"/>
  <c r="I546" i="11"/>
  <c r="I547" i="11"/>
  <c r="I548" i="11"/>
  <c r="I550" i="11"/>
  <c r="I551" i="11"/>
  <c r="I552" i="11"/>
  <c r="I553" i="11"/>
  <c r="I554" i="11"/>
  <c r="I555" i="11"/>
  <c r="I556" i="11"/>
  <c r="I557" i="11"/>
  <c r="I559" i="11"/>
  <c r="I560" i="11"/>
  <c r="I561" i="11"/>
  <c r="I562" i="11"/>
  <c r="I563" i="11"/>
  <c r="I564" i="11"/>
  <c r="I565" i="11"/>
  <c r="I566" i="11"/>
  <c r="I567" i="11"/>
  <c r="I568" i="11"/>
  <c r="I569" i="11"/>
  <c r="I570" i="11"/>
  <c r="I571" i="11"/>
  <c r="I572" i="11"/>
  <c r="I573" i="11"/>
  <c r="I574" i="11"/>
  <c r="I575" i="11"/>
  <c r="I576" i="11"/>
  <c r="I577" i="11"/>
  <c r="I578" i="11"/>
  <c r="I579" i="11"/>
  <c r="I580" i="11"/>
  <c r="I581" i="11"/>
  <c r="I582" i="11"/>
  <c r="I583" i="11"/>
  <c r="I584" i="11"/>
  <c r="I585" i="11"/>
  <c r="I586" i="11"/>
  <c r="I587" i="11"/>
  <c r="I588" i="11"/>
  <c r="I589" i="11"/>
  <c r="I590" i="11"/>
  <c r="I591" i="11"/>
  <c r="I592" i="11"/>
  <c r="I593" i="11"/>
  <c r="I594" i="11"/>
  <c r="I595" i="11"/>
  <c r="I597" i="11"/>
  <c r="I598" i="11"/>
  <c r="I599" i="11"/>
  <c r="I600" i="11"/>
  <c r="I601" i="11"/>
  <c r="I602" i="11"/>
  <c r="I604" i="11"/>
  <c r="I605" i="11"/>
  <c r="I606" i="11"/>
  <c r="I607" i="11"/>
  <c r="I608" i="11"/>
  <c r="I609" i="11"/>
  <c r="I610" i="11"/>
  <c r="I611" i="11"/>
  <c r="I612" i="11"/>
  <c r="I613" i="11"/>
  <c r="I614" i="11"/>
  <c r="I615" i="11"/>
  <c r="I616" i="11"/>
  <c r="I617" i="11"/>
  <c r="I619" i="11"/>
  <c r="I620" i="11"/>
  <c r="I621" i="11"/>
  <c r="I622" i="11"/>
  <c r="I623" i="11"/>
  <c r="I625" i="11"/>
  <c r="I626" i="11"/>
  <c r="I627" i="11"/>
  <c r="I628" i="11"/>
  <c r="I629" i="11"/>
  <c r="I630" i="11"/>
  <c r="I631" i="11"/>
  <c r="I632" i="11"/>
  <c r="I633" i="11"/>
  <c r="I634" i="11"/>
  <c r="I635" i="11"/>
  <c r="I638" i="11"/>
  <c r="I639" i="11"/>
  <c r="I640" i="11"/>
  <c r="I641" i="11"/>
  <c r="I643" i="11"/>
  <c r="I645" i="11"/>
  <c r="I646" i="11"/>
  <c r="I647" i="11"/>
  <c r="I648" i="11"/>
  <c r="I649" i="11"/>
  <c r="I650" i="11"/>
  <c r="I652" i="11"/>
  <c r="I653" i="11"/>
  <c r="I654" i="11"/>
  <c r="I656" i="11"/>
  <c r="I657" i="11"/>
  <c r="I658" i="11"/>
  <c r="I660" i="11"/>
  <c r="I661" i="11"/>
  <c r="I662" i="11"/>
  <c r="I663" i="11"/>
  <c r="I664" i="11"/>
  <c r="I665" i="11"/>
  <c r="I666" i="11"/>
  <c r="I667" i="11"/>
  <c r="I668" i="11"/>
  <c r="I669" i="11"/>
  <c r="I670" i="11"/>
  <c r="I671" i="11"/>
  <c r="I673" i="11"/>
  <c r="I674" i="11"/>
  <c r="I675" i="11"/>
  <c r="I676" i="11"/>
  <c r="I678" i="11"/>
  <c r="I679" i="11"/>
  <c r="I682" i="11"/>
  <c r="I683" i="11"/>
  <c r="I684" i="11"/>
  <c r="I685" i="11"/>
  <c r="I686" i="11"/>
  <c r="I687" i="11"/>
  <c r="I688" i="11"/>
  <c r="I690" i="11"/>
  <c r="I691" i="11"/>
  <c r="I692" i="11"/>
  <c r="I693" i="11"/>
  <c r="I694" i="11"/>
  <c r="I695" i="11"/>
  <c r="I696" i="11"/>
  <c r="I697" i="11"/>
  <c r="I698" i="11"/>
  <c r="I699" i="11"/>
  <c r="I701" i="11"/>
  <c r="I702" i="11"/>
  <c r="I703" i="11"/>
  <c r="I704" i="11"/>
  <c r="I705" i="11"/>
  <c r="I706" i="11"/>
  <c r="I707" i="11"/>
  <c r="I708" i="11"/>
  <c r="I709" i="11"/>
  <c r="I710" i="11"/>
  <c r="I711" i="11"/>
  <c r="I713" i="11"/>
  <c r="I714" i="11"/>
  <c r="I715" i="11"/>
  <c r="I716" i="11"/>
  <c r="I717" i="11"/>
  <c r="I718" i="11"/>
  <c r="I719" i="11"/>
  <c r="I720" i="11"/>
  <c r="I6" i="11"/>
  <c r="O539" i="13" l="1"/>
  <c r="O538" i="13"/>
  <c r="O536" i="13"/>
  <c r="O535" i="13"/>
  <c r="O531" i="13"/>
  <c r="G541" i="13"/>
  <c r="L57" i="14"/>
  <c r="S57" i="14"/>
  <c r="L96" i="14"/>
  <c r="S96" i="14"/>
  <c r="L100" i="14"/>
  <c r="S100" i="14"/>
  <c r="T102" i="14"/>
  <c r="S111" i="14"/>
  <c r="L111" i="14"/>
  <c r="L150" i="14"/>
  <c r="S150" i="14"/>
  <c r="S153" i="14"/>
  <c r="L153" i="14"/>
  <c r="L209" i="14"/>
  <c r="S209" i="14"/>
  <c r="S251" i="14"/>
  <c r="L251" i="14"/>
  <c r="L503" i="14"/>
  <c r="S503" i="14"/>
  <c r="S504" i="14"/>
  <c r="L504" i="14"/>
  <c r="T525" i="14"/>
  <c r="L533" i="14"/>
  <c r="S533" i="14"/>
  <c r="T534" i="14"/>
  <c r="S715" i="14"/>
  <c r="L715" i="14"/>
  <c r="F728" i="18"/>
  <c r="F730" i="18" s="1"/>
  <c r="F732" i="18" s="1"/>
  <c r="F724" i="15"/>
  <c r="S64" i="14"/>
  <c r="T64" i="14" s="1"/>
  <c r="L237" i="14"/>
  <c r="L253" i="14"/>
  <c r="T533" i="14"/>
  <c r="L686" i="14"/>
  <c r="S714" i="14"/>
  <c r="T714" i="14" s="1"/>
  <c r="T63" i="14"/>
  <c r="T133" i="14"/>
  <c r="L625" i="14"/>
  <c r="L635" i="14"/>
  <c r="T237" i="14"/>
  <c r="T253" i="14"/>
  <c r="S498" i="14"/>
  <c r="S524" i="14"/>
  <c r="L183" i="14"/>
  <c r="S222" i="14"/>
  <c r="L246" i="14"/>
  <c r="L257" i="14"/>
  <c r="T635" i="14"/>
  <c r="T697" i="14"/>
  <c r="L502" i="14"/>
  <c r="L131" i="14"/>
  <c r="L178" i="14"/>
  <c r="L687" i="14"/>
  <c r="T150" i="14"/>
  <c r="L232" i="14"/>
  <c r="T529" i="14"/>
  <c r="S8" i="14"/>
  <c r="L220" i="14"/>
  <c r="S446" i="14"/>
  <c r="T507" i="14"/>
  <c r="L525" i="14"/>
  <c r="L537" i="14"/>
  <c r="L697" i="14"/>
  <c r="T172" i="14"/>
  <c r="T58" i="14"/>
  <c r="S65" i="14"/>
  <c r="T506" i="14"/>
  <c r="T511" i="14"/>
  <c r="L59" i="14"/>
  <c r="T8" i="14"/>
  <c r="T12" i="14"/>
  <c r="S61" i="14"/>
  <c r="T61" i="14" s="1"/>
  <c r="L215" i="14"/>
  <c r="S95" i="14"/>
  <c r="L245" i="14"/>
  <c r="L329" i="14"/>
  <c r="S110" i="14"/>
  <c r="L136" i="14"/>
  <c r="L149" i="14"/>
  <c r="L154" i="14"/>
  <c r="L171" i="14"/>
  <c r="S173" i="14"/>
  <c r="L176" i="14"/>
  <c r="T177" i="14"/>
  <c r="S495" i="14"/>
  <c r="T495" i="14" s="1"/>
  <c r="L495" i="14"/>
  <c r="L374" i="14"/>
  <c r="T179" i="14"/>
  <c r="S236" i="14"/>
  <c r="S248" i="14"/>
  <c r="T57" i="14"/>
  <c r="T104" i="14"/>
  <c r="S151" i="14"/>
  <c r="T151" i="14" s="1"/>
  <c r="L208" i="14"/>
  <c r="L327" i="14"/>
  <c r="L336" i="14"/>
  <c r="S255" i="14"/>
  <c r="L255" i="14"/>
  <c r="S494" i="14"/>
  <c r="L494" i="14"/>
  <c r="S219" i="14"/>
  <c r="T219" i="14" s="1"/>
  <c r="L219" i="14"/>
  <c r="S242" i="14"/>
  <c r="L242" i="14"/>
  <c r="S696" i="14"/>
  <c r="L696" i="14"/>
  <c r="T95" i="14"/>
  <c r="S132" i="14"/>
  <c r="L214" i="14"/>
  <c r="L315" i="14"/>
  <c r="S444" i="14"/>
  <c r="T444" i="14" s="1"/>
  <c r="L444" i="14"/>
  <c r="T446" i="14"/>
  <c r="S688" i="14"/>
  <c r="T688" i="14" s="1"/>
  <c r="S693" i="14"/>
  <c r="T693" i="14" s="1"/>
  <c r="L695" i="14"/>
  <c r="S235" i="14"/>
  <c r="S256" i="14"/>
  <c r="T256" i="14" s="1"/>
  <c r="T503" i="14"/>
  <c r="T572" i="14"/>
  <c r="T537" i="14"/>
  <c r="L276" i="14"/>
  <c r="S134" i="14"/>
  <c r="T134" i="14" s="1"/>
  <c r="L134" i="14"/>
  <c r="L161" i="14"/>
  <c r="S170" i="14"/>
  <c r="L170" i="14"/>
  <c r="L37" i="14"/>
  <c r="L60" i="14"/>
  <c r="L81" i="14"/>
  <c r="S109" i="14"/>
  <c r="T109" i="14" s="1"/>
  <c r="L109" i="14"/>
  <c r="S224" i="14"/>
  <c r="L224" i="14"/>
  <c r="L324" i="14"/>
  <c r="L24" i="14"/>
  <c r="L63" i="14"/>
  <c r="L77" i="14"/>
  <c r="T96" i="14"/>
  <c r="L190" i="14"/>
  <c r="L207" i="14"/>
  <c r="S207" i="14"/>
  <c r="T207" i="14" s="1"/>
  <c r="L244" i="14"/>
  <c r="S244" i="14"/>
  <c r="T244" i="14" s="1"/>
  <c r="T7" i="14"/>
  <c r="L13" i="14"/>
  <c r="S101" i="14"/>
  <c r="T101" i="14" s="1"/>
  <c r="S103" i="14"/>
  <c r="T103" i="14" s="1"/>
  <c r="L106" i="14"/>
  <c r="S106" i="14"/>
  <c r="T106" i="14" s="1"/>
  <c r="L133" i="14"/>
  <c r="L174" i="14"/>
  <c r="L180" i="14"/>
  <c r="S180" i="14"/>
  <c r="T180" i="14" s="1"/>
  <c r="T183" i="14"/>
  <c r="S216" i="14"/>
  <c r="L216" i="14"/>
  <c r="T60" i="14"/>
  <c r="T62" i="14"/>
  <c r="T99" i="14"/>
  <c r="T105" i="14"/>
  <c r="S205" i="14"/>
  <c r="T205" i="14" s="1"/>
  <c r="L205" i="14"/>
  <c r="S243" i="14"/>
  <c r="T243" i="14" s="1"/>
  <c r="L243" i="14"/>
  <c r="L12" i="14"/>
  <c r="L105" i="14"/>
  <c r="L179" i="14"/>
  <c r="L50" i="14"/>
  <c r="L58" i="14"/>
  <c r="T65" i="14"/>
  <c r="S67" i="14"/>
  <c r="T67" i="14" s="1"/>
  <c r="L74" i="14"/>
  <c r="L102" i="14"/>
  <c r="L104" i="14"/>
  <c r="L320" i="14"/>
  <c r="T248" i="14"/>
  <c r="L413" i="14"/>
  <c r="S97" i="14"/>
  <c r="T97" i="14" s="1"/>
  <c r="T136" i="14"/>
  <c r="S155" i="14"/>
  <c r="T222" i="14"/>
  <c r="T232" i="14"/>
  <c r="T234" i="14"/>
  <c r="T257" i="14"/>
  <c r="L451" i="14"/>
  <c r="L539" i="14"/>
  <c r="S539" i="14"/>
  <c r="S231" i="14"/>
  <c r="T231" i="14" s="1"/>
  <c r="S233" i="14"/>
  <c r="T233" i="14" s="1"/>
  <c r="S252" i="14"/>
  <c r="T252" i="14" s="1"/>
  <c r="L440" i="14"/>
  <c r="L189" i="14"/>
  <c r="S210" i="14"/>
  <c r="T210" i="14" s="1"/>
  <c r="T242" i="14"/>
  <c r="T251" i="14"/>
  <c r="L282" i="14"/>
  <c r="L309" i="14"/>
  <c r="L443" i="14"/>
  <c r="S443" i="14"/>
  <c r="T443" i="14" s="1"/>
  <c r="T100" i="14"/>
  <c r="T132" i="14"/>
  <c r="T174" i="14"/>
  <c r="T176" i="14"/>
  <c r="T208" i="14"/>
  <c r="T245" i="14"/>
  <c r="S254" i="14"/>
  <c r="T254" i="14" s="1"/>
  <c r="L266" i="14"/>
  <c r="L274" i="14"/>
  <c r="L299" i="14"/>
  <c r="T170" i="14"/>
  <c r="T216" i="14"/>
  <c r="L338" i="14"/>
  <c r="T111" i="14"/>
  <c r="T131" i="14"/>
  <c r="T149" i="14"/>
  <c r="T171" i="14"/>
  <c r="L177" i="14"/>
  <c r="L182" i="14"/>
  <c r="L202" i="14"/>
  <c r="L221" i="14"/>
  <c r="L353" i="14"/>
  <c r="L369" i="14"/>
  <c r="S496" i="14"/>
  <c r="T496" i="14" s="1"/>
  <c r="L496" i="14"/>
  <c r="L506" i="14"/>
  <c r="L531" i="14"/>
  <c r="S531" i="14"/>
  <c r="L480" i="14"/>
  <c r="S491" i="14"/>
  <c r="T491" i="14" s="1"/>
  <c r="L491" i="14"/>
  <c r="L586" i="14"/>
  <c r="L600" i="14"/>
  <c r="L620" i="14"/>
  <c r="S620" i="14"/>
  <c r="T620" i="14" s="1"/>
  <c r="L545" i="14"/>
  <c r="L547" i="14"/>
  <c r="S497" i="14"/>
  <c r="T497" i="14" s="1"/>
  <c r="S526" i="14"/>
  <c r="L526" i="14"/>
  <c r="S535" i="14"/>
  <c r="T535" i="14" s="1"/>
  <c r="T539" i="14"/>
  <c r="L716" i="14"/>
  <c r="S716" i="14"/>
  <c r="L529" i="14"/>
  <c r="L619" i="14"/>
  <c r="S619" i="14"/>
  <c r="T619" i="14" s="1"/>
  <c r="L630" i="14"/>
  <c r="S630" i="14"/>
  <c r="T630" i="14" s="1"/>
  <c r="L684" i="14"/>
  <c r="S684" i="14"/>
  <c r="T684" i="14" s="1"/>
  <c r="L528" i="14"/>
  <c r="S528" i="14"/>
  <c r="T528" i="14" s="1"/>
  <c r="L629" i="14"/>
  <c r="L499" i="14"/>
  <c r="L536" i="14"/>
  <c r="S536" i="14"/>
  <c r="T536" i="14" s="1"/>
  <c r="L698" i="14"/>
  <c r="S698" i="14"/>
  <c r="T698" i="14" s="1"/>
  <c r="T524" i="14"/>
  <c r="T686" i="14"/>
  <c r="S689" i="14"/>
  <c r="T689" i="14" s="1"/>
  <c r="L713" i="14"/>
  <c r="L675" i="14"/>
  <c r="S692" i="14"/>
  <c r="T692" i="14" s="1"/>
  <c r="T505" i="14"/>
  <c r="T695" i="14"/>
  <c r="T696" i="14"/>
  <c r="T713" i="14"/>
  <c r="T498" i="14"/>
  <c r="T502" i="14"/>
  <c r="L505" i="14"/>
  <c r="L511" i="14"/>
  <c r="L527" i="14"/>
  <c r="L534" i="14"/>
  <c r="L572" i="14"/>
  <c r="T716" i="14"/>
  <c r="T494" i="14"/>
  <c r="T504" i="14"/>
  <c r="T532" i="14"/>
  <c r="L657" i="14"/>
  <c r="S683" i="14"/>
  <c r="T683" i="14" s="1"/>
  <c r="T687" i="14"/>
  <c r="T59" i="14"/>
  <c r="S11" i="14"/>
  <c r="T11" i="14" s="1"/>
  <c r="L152" i="14"/>
  <c r="S152" i="14"/>
  <c r="T152" i="14" s="1"/>
  <c r="S259" i="14"/>
  <c r="T259" i="14" s="1"/>
  <c r="L259" i="14"/>
  <c r="L130" i="14"/>
  <c r="S130" i="14"/>
  <c r="T130" i="14" s="1"/>
  <c r="L7" i="14"/>
  <c r="L51" i="14"/>
  <c r="L62" i="14"/>
  <c r="L108" i="14"/>
  <c r="S108" i="14"/>
  <c r="T108" i="14" s="1"/>
  <c r="T110" i="14"/>
  <c r="L114" i="14"/>
  <c r="T153" i="14"/>
  <c r="L168" i="14"/>
  <c r="L267" i="14"/>
  <c r="T98" i="14"/>
  <c r="L147" i="14"/>
  <c r="S66" i="14"/>
  <c r="T66" i="14" s="1"/>
  <c r="L107" i="14"/>
  <c r="S107" i="14"/>
  <c r="T107" i="14" s="1"/>
  <c r="L124" i="14"/>
  <c r="T155" i="14"/>
  <c r="S181" i="14"/>
  <c r="T181" i="14" s="1"/>
  <c r="L181" i="14"/>
  <c r="L135" i="14"/>
  <c r="S135" i="14"/>
  <c r="T135" i="14" s="1"/>
  <c r="L159" i="14"/>
  <c r="S94" i="14"/>
  <c r="T94" i="14" s="1"/>
  <c r="L98" i="14"/>
  <c r="L99" i="14"/>
  <c r="T154" i="14"/>
  <c r="L172" i="14"/>
  <c r="S206" i="14"/>
  <c r="T206" i="14" s="1"/>
  <c r="L206" i="14"/>
  <c r="T214" i="14"/>
  <c r="L234" i="14"/>
  <c r="S247" i="14"/>
  <c r="T247" i="14" s="1"/>
  <c r="S175" i="14"/>
  <c r="T175" i="14" s="1"/>
  <c r="T178" i="14"/>
  <c r="T220" i="14"/>
  <c r="T236" i="14"/>
  <c r="T246" i="14"/>
  <c r="S225" i="14"/>
  <c r="T225" i="14" s="1"/>
  <c r="L225" i="14"/>
  <c r="S258" i="14"/>
  <c r="T258" i="14" s="1"/>
  <c r="L258" i="14"/>
  <c r="S212" i="14"/>
  <c r="T212" i="14" s="1"/>
  <c r="L212" i="14"/>
  <c r="L213" i="14"/>
  <c r="S213" i="14"/>
  <c r="T213" i="14" s="1"/>
  <c r="T235" i="14"/>
  <c r="L241" i="14"/>
  <c r="S241" i="14"/>
  <c r="T241" i="14" s="1"/>
  <c r="T173" i="14"/>
  <c r="L250" i="14"/>
  <c r="S250" i="14"/>
  <c r="T250" i="14" s="1"/>
  <c r="T209" i="14"/>
  <c r="S211" i="14"/>
  <c r="T211" i="14" s="1"/>
  <c r="L211" i="14"/>
  <c r="S217" i="14"/>
  <c r="T217" i="14" s="1"/>
  <c r="L217" i="14"/>
  <c r="L218" i="14"/>
  <c r="S218" i="14"/>
  <c r="T218" i="14" s="1"/>
  <c r="T224" i="14"/>
  <c r="S239" i="14"/>
  <c r="T239" i="14" s="1"/>
  <c r="L239" i="14"/>
  <c r="L240" i="14"/>
  <c r="S240" i="14"/>
  <c r="T240" i="14" s="1"/>
  <c r="S249" i="14"/>
  <c r="T249" i="14" s="1"/>
  <c r="L249" i="14"/>
  <c r="T182" i="14"/>
  <c r="T215" i="14"/>
  <c r="T221" i="14"/>
  <c r="S238" i="14"/>
  <c r="T238" i="14" s="1"/>
  <c r="L238" i="14"/>
  <c r="T255" i="14"/>
  <c r="S260" i="14"/>
  <c r="T260" i="14" s="1"/>
  <c r="L366" i="14"/>
  <c r="L553" i="14"/>
  <c r="L473" i="14"/>
  <c r="L381" i="14"/>
  <c r="L449" i="14"/>
  <c r="L472" i="14"/>
  <c r="L445" i="14"/>
  <c r="S445" i="14"/>
  <c r="T445" i="14" s="1"/>
  <c r="L492" i="14"/>
  <c r="S492" i="14"/>
  <c r="T492" i="14" s="1"/>
  <c r="L507" i="14"/>
  <c r="S509" i="14"/>
  <c r="T509" i="14" s="1"/>
  <c r="T527" i="14"/>
  <c r="S538" i="14"/>
  <c r="T538" i="14" s="1"/>
  <c r="L538" i="14"/>
  <c r="T499" i="14"/>
  <c r="S500" i="14"/>
  <c r="T500" i="14" s="1"/>
  <c r="L532" i="14"/>
  <c r="L565" i="14"/>
  <c r="L573" i="14"/>
  <c r="S573" i="14"/>
  <c r="T573" i="14" s="1"/>
  <c r="L610" i="14"/>
  <c r="S530" i="14"/>
  <c r="T530" i="14" s="1"/>
  <c r="S493" i="14"/>
  <c r="T493" i="14" s="1"/>
  <c r="S501" i="14"/>
  <c r="T501" i="14" s="1"/>
  <c r="S508" i="14"/>
  <c r="T508" i="14" s="1"/>
  <c r="S510" i="14"/>
  <c r="T510" i="14" s="1"/>
  <c r="T531" i="14"/>
  <c r="L562" i="14"/>
  <c r="T526" i="14"/>
  <c r="L592" i="14"/>
  <c r="T625" i="14"/>
  <c r="L628" i="14"/>
  <c r="S632" i="14"/>
  <c r="T632" i="14" s="1"/>
  <c r="L632" i="14"/>
  <c r="S699" i="14"/>
  <c r="T699" i="14" s="1"/>
  <c r="L699" i="14"/>
  <c r="S682" i="14"/>
  <c r="T682" i="14" s="1"/>
  <c r="L682" i="14"/>
  <c r="T715" i="14"/>
  <c r="T719" i="14"/>
  <c r="S631" i="14"/>
  <c r="T631" i="14" s="1"/>
  <c r="S717" i="14"/>
  <c r="T717" i="14" s="1"/>
  <c r="L717" i="14"/>
  <c r="L651" i="14"/>
  <c r="S691" i="14"/>
  <c r="T691" i="14" s="1"/>
  <c r="L691" i="14"/>
  <c r="S685" i="14"/>
  <c r="T685" i="14" s="1"/>
  <c r="S694" i="14"/>
  <c r="T694" i="14" s="1"/>
  <c r="S711" i="14"/>
  <c r="T711" i="14" s="1"/>
  <c r="S712" i="14"/>
  <c r="T712" i="14" s="1"/>
  <c r="L719" i="14"/>
  <c r="S720" i="14"/>
  <c r="T720" i="14" s="1"/>
  <c r="S718" i="14"/>
  <c r="T718" i="14" s="1"/>
  <c r="S681" i="14"/>
  <c r="T681" i="14" s="1"/>
  <c r="S690" i="14"/>
  <c r="T690" i="14" s="1"/>
  <c r="F20" i="12"/>
  <c r="H20" i="12" s="1"/>
  <c r="F573" i="12"/>
  <c r="H573" i="12" s="1"/>
  <c r="F594" i="12"/>
  <c r="H594" i="12" s="1"/>
  <c r="F601" i="12"/>
  <c r="H601" i="12" s="1"/>
  <c r="F75" i="12"/>
  <c r="H75" i="12" s="1"/>
  <c r="F324" i="12"/>
  <c r="H324" i="12" s="1"/>
  <c r="F19" i="12"/>
  <c r="H19" i="12" s="1"/>
  <c r="F568" i="12"/>
  <c r="H568" i="12" s="1"/>
  <c r="F483" i="12"/>
  <c r="H483" i="12" s="1"/>
  <c r="F586" i="12"/>
  <c r="H586" i="12" s="1"/>
  <c r="F581" i="12"/>
  <c r="H581" i="12" s="1"/>
  <c r="F462" i="12"/>
  <c r="H462" i="12" s="1"/>
  <c r="F448" i="12"/>
  <c r="H448" i="12" s="1"/>
  <c r="F435" i="12"/>
  <c r="H435" i="12" s="1"/>
  <c r="F428" i="12"/>
  <c r="H428" i="12" s="1"/>
  <c r="F414" i="12"/>
  <c r="H414" i="12" s="1"/>
  <c r="F323" i="12"/>
  <c r="H323" i="12" s="1"/>
  <c r="F316" i="12"/>
  <c r="H316" i="12" s="1"/>
  <c r="F303" i="12"/>
  <c r="H303" i="12" s="1"/>
  <c r="F296" i="12"/>
  <c r="H296" i="12" s="1"/>
  <c r="F657" i="12"/>
  <c r="H657" i="12" s="1"/>
  <c r="F639" i="12"/>
  <c r="H639" i="12" s="1"/>
  <c r="F622" i="12"/>
  <c r="H622" i="12" s="1"/>
  <c r="F611" i="12"/>
  <c r="H611" i="12" s="1"/>
  <c r="F600" i="12"/>
  <c r="H600" i="12" s="1"/>
  <c r="F593" i="12"/>
  <c r="H593" i="12" s="1"/>
  <c r="F541" i="12"/>
  <c r="H541" i="12" s="1"/>
  <c r="F517" i="12"/>
  <c r="H517" i="12" s="1"/>
  <c r="F489" i="12"/>
  <c r="H489" i="12" s="1"/>
  <c r="F482" i="12"/>
  <c r="H482" i="12" s="1"/>
  <c r="F468" i="12"/>
  <c r="H468" i="12" s="1"/>
  <c r="F461" i="12"/>
  <c r="H461" i="12" s="1"/>
  <c r="F441" i="12"/>
  <c r="H441" i="12" s="1"/>
  <c r="F427" i="12"/>
  <c r="H427" i="12" s="1"/>
  <c r="F421" i="12"/>
  <c r="H421" i="12" s="1"/>
  <c r="F329" i="12"/>
  <c r="H329" i="12" s="1"/>
  <c r="F322" i="12"/>
  <c r="H322" i="12" s="1"/>
  <c r="F315" i="12"/>
  <c r="H315" i="12" s="1"/>
  <c r="F302" i="12"/>
  <c r="H302" i="12" s="1"/>
  <c r="F295" i="12"/>
  <c r="H295" i="12" s="1"/>
  <c r="F275" i="12"/>
  <c r="H275" i="12" s="1"/>
  <c r="F268" i="12"/>
  <c r="H268" i="12" s="1"/>
  <c r="F704" i="12"/>
  <c r="H704" i="12" s="1"/>
  <c r="F663" i="12"/>
  <c r="H663" i="12" s="1"/>
  <c r="F656" i="12"/>
  <c r="H656" i="12" s="1"/>
  <c r="F638" i="12"/>
  <c r="H638" i="12" s="1"/>
  <c r="F633" i="12"/>
  <c r="H633" i="12" s="1"/>
  <c r="F610" i="12"/>
  <c r="H610" i="12" s="1"/>
  <c r="F599" i="12"/>
  <c r="H599" i="12" s="1"/>
  <c r="F553" i="12"/>
  <c r="H553" i="12" s="1"/>
  <c r="F547" i="12"/>
  <c r="H547" i="12" s="1"/>
  <c r="F540" i="12"/>
  <c r="H540" i="12" s="1"/>
  <c r="F516" i="12"/>
  <c r="H516" i="12" s="1"/>
  <c r="F488" i="12"/>
  <c r="H488" i="12" s="1"/>
  <c r="F481" i="12"/>
  <c r="H481" i="12" s="1"/>
  <c r="F355" i="12"/>
  <c r="H355" i="12" s="1"/>
  <c r="F347" i="12"/>
  <c r="H347" i="12" s="1"/>
  <c r="F328" i="12"/>
  <c r="H328" i="12" s="1"/>
  <c r="F294" i="12"/>
  <c r="H294" i="12" s="1"/>
  <c r="F288" i="12"/>
  <c r="H288" i="12" s="1"/>
  <c r="F281" i="12"/>
  <c r="H281" i="12" s="1"/>
  <c r="F162" i="12"/>
  <c r="H162" i="12" s="1"/>
  <c r="F675" i="12"/>
  <c r="H675" i="12" s="1"/>
  <c r="F662" i="12"/>
  <c r="H662" i="12" s="1"/>
  <c r="F655" i="12"/>
  <c r="H655" i="12" s="1"/>
  <c r="F627" i="12"/>
  <c r="H627" i="12" s="1"/>
  <c r="F621" i="12"/>
  <c r="H621" i="12" s="1"/>
  <c r="F591" i="12"/>
  <c r="H591" i="12" s="1"/>
  <c r="F584" i="12"/>
  <c r="H584" i="12" s="1"/>
  <c r="F578" i="12"/>
  <c r="H578" i="12" s="1"/>
  <c r="F552" i="12"/>
  <c r="H552" i="12" s="1"/>
  <c r="F546" i="12"/>
  <c r="H546" i="12" s="1"/>
  <c r="F521" i="12"/>
  <c r="H521" i="12" s="1"/>
  <c r="F515" i="12"/>
  <c r="H515" i="12" s="1"/>
  <c r="F411" i="12"/>
  <c r="H411" i="12" s="1"/>
  <c r="F398" i="12"/>
  <c r="H398" i="12" s="1"/>
  <c r="F391" i="12"/>
  <c r="H391" i="12" s="1"/>
  <c r="F384" i="12"/>
  <c r="H384" i="12" s="1"/>
  <c r="F377" i="12"/>
  <c r="H377" i="12" s="1"/>
  <c r="F362" i="12"/>
  <c r="H362" i="12" s="1"/>
  <c r="F354" i="12"/>
  <c r="H354" i="12" s="1"/>
  <c r="F334" i="12"/>
  <c r="H334" i="12" s="1"/>
  <c r="F327" i="12"/>
  <c r="H327" i="12" s="1"/>
  <c r="F307" i="12"/>
  <c r="H307" i="12" s="1"/>
  <c r="F300" i="12"/>
  <c r="H300" i="12" s="1"/>
  <c r="F199" i="12"/>
  <c r="H199" i="12" s="1"/>
  <c r="F191" i="12"/>
  <c r="H191" i="12" s="1"/>
  <c r="F124" i="12"/>
  <c r="H124" i="12" s="1"/>
  <c r="F5" i="12"/>
  <c r="H5" i="12" s="1"/>
  <c r="F709" i="12"/>
  <c r="H709" i="12" s="1"/>
  <c r="F702" i="12"/>
  <c r="H702" i="12" s="1"/>
  <c r="F674" i="12"/>
  <c r="H674" i="12" s="1"/>
  <c r="F668" i="12"/>
  <c r="H668" i="12" s="1"/>
  <c r="F648" i="12"/>
  <c r="H648" i="12" s="1"/>
  <c r="F642" i="12"/>
  <c r="H642" i="12" s="1"/>
  <c r="F626" i="12"/>
  <c r="H626" i="12" s="1"/>
  <c r="F615" i="12"/>
  <c r="H615" i="12" s="1"/>
  <c r="F597" i="12"/>
  <c r="H597" i="12" s="1"/>
  <c r="F590" i="12"/>
  <c r="H590" i="12" s="1"/>
  <c r="F577" i="12"/>
  <c r="H577" i="12" s="1"/>
  <c r="F545" i="12"/>
  <c r="H545" i="12" s="1"/>
  <c r="F520" i="12"/>
  <c r="H520" i="12" s="1"/>
  <c r="F514" i="12"/>
  <c r="H514" i="12" s="1"/>
  <c r="F410" i="12"/>
  <c r="H410" i="12" s="1"/>
  <c r="F403" i="12"/>
  <c r="H403" i="12" s="1"/>
  <c r="F397" i="12"/>
  <c r="H397" i="12" s="1"/>
  <c r="F390" i="12"/>
  <c r="H390" i="12" s="1"/>
  <c r="F383" i="12"/>
  <c r="H383" i="12" s="1"/>
  <c r="F361" i="12"/>
  <c r="H361" i="12" s="1"/>
  <c r="F353" i="12"/>
  <c r="H353" i="12" s="1"/>
  <c r="F333" i="12"/>
  <c r="H333" i="12" s="1"/>
  <c r="F326" i="12"/>
  <c r="H326" i="12" s="1"/>
  <c r="F313" i="12"/>
  <c r="H313" i="12" s="1"/>
  <c r="F227" i="12"/>
  <c r="H227" i="12" s="1"/>
  <c r="F198" i="12"/>
  <c r="H198" i="12" s="1"/>
  <c r="F190" i="12"/>
  <c r="H190" i="12" s="1"/>
  <c r="F168" i="12"/>
  <c r="H168" i="12" s="1"/>
  <c r="F160" i="12"/>
  <c r="H160" i="12" s="1"/>
  <c r="F708" i="12"/>
  <c r="H708" i="12" s="1"/>
  <c r="F667" i="12"/>
  <c r="H667" i="12" s="1"/>
  <c r="F661" i="12"/>
  <c r="H661" i="12" s="1"/>
  <c r="F647" i="12"/>
  <c r="H647" i="12" s="1"/>
  <c r="F614" i="12"/>
  <c r="H614" i="12" s="1"/>
  <c r="F608" i="12"/>
  <c r="H608" i="12" s="1"/>
  <c r="F596" i="12"/>
  <c r="H596" i="12" s="1"/>
  <c r="F589" i="12"/>
  <c r="H589" i="12" s="1"/>
  <c r="F576" i="12"/>
  <c r="H576" i="12" s="1"/>
  <c r="F564" i="12"/>
  <c r="H564" i="12" s="1"/>
  <c r="F558" i="12"/>
  <c r="H558" i="12" s="1"/>
  <c r="F544" i="12"/>
  <c r="H544" i="12" s="1"/>
  <c r="F513" i="12"/>
  <c r="H513" i="12" s="1"/>
  <c r="F478" i="12"/>
  <c r="H478" i="12" s="1"/>
  <c r="F471" i="12"/>
  <c r="H471" i="12" s="1"/>
  <c r="F465" i="12"/>
  <c r="H465" i="12" s="1"/>
  <c r="F451" i="12"/>
  <c r="H451" i="12" s="1"/>
  <c r="F431" i="12"/>
  <c r="H431" i="12" s="1"/>
  <c r="F424" i="12"/>
  <c r="H424" i="12" s="1"/>
  <c r="F417" i="12"/>
  <c r="H417" i="12" s="1"/>
  <c r="F409" i="12"/>
  <c r="H409" i="12" s="1"/>
  <c r="F396" i="12"/>
  <c r="H396" i="12" s="1"/>
  <c r="F389" i="12"/>
  <c r="H389" i="12" s="1"/>
  <c r="F382" i="12"/>
  <c r="H382" i="12" s="1"/>
  <c r="F368" i="12"/>
  <c r="H368" i="12" s="1"/>
  <c r="F360" i="12"/>
  <c r="H360" i="12" s="1"/>
  <c r="F278" i="12"/>
  <c r="H278" i="12" s="1"/>
  <c r="F272" i="12"/>
  <c r="H272" i="12" s="1"/>
  <c r="F226" i="12"/>
  <c r="H226" i="12" s="1"/>
  <c r="F122" i="12"/>
  <c r="H122" i="12" s="1"/>
  <c r="F666" i="12"/>
  <c r="H666" i="12" s="1"/>
  <c r="F660" i="12"/>
  <c r="H660" i="12" s="1"/>
  <c r="F646" i="12"/>
  <c r="H646" i="12" s="1"/>
  <c r="F613" i="12"/>
  <c r="H613" i="12" s="1"/>
  <c r="F607" i="12"/>
  <c r="H607" i="12" s="1"/>
  <c r="F588" i="12"/>
  <c r="H588" i="12" s="1"/>
  <c r="F575" i="12"/>
  <c r="H575" i="12" s="1"/>
  <c r="F570" i="12"/>
  <c r="H570" i="12" s="1"/>
  <c r="F563" i="12"/>
  <c r="H563" i="12" s="1"/>
  <c r="F543" i="12"/>
  <c r="H543" i="12" s="1"/>
  <c r="F485" i="12"/>
  <c r="H485" i="12" s="1"/>
  <c r="F477" i="12"/>
  <c r="H477" i="12" s="1"/>
  <c r="F416" i="12"/>
  <c r="H416" i="12" s="1"/>
  <c r="F351" i="12"/>
  <c r="H351" i="12" s="1"/>
  <c r="F338" i="12"/>
  <c r="H338" i="12" s="1"/>
  <c r="F331" i="12"/>
  <c r="H331" i="12" s="1"/>
  <c r="F284" i="12"/>
  <c r="H284" i="12" s="1"/>
  <c r="F271" i="12"/>
  <c r="H271" i="12" s="1"/>
  <c r="F166" i="12"/>
  <c r="H166" i="12" s="1"/>
  <c r="F158" i="12"/>
  <c r="H158" i="12" s="1"/>
  <c r="F144" i="12"/>
  <c r="H144" i="12" s="1"/>
  <c r="F707" i="12"/>
  <c r="H707" i="12" s="1"/>
  <c r="F706" i="12"/>
  <c r="H706" i="12" s="1"/>
  <c r="F700" i="12"/>
  <c r="H700" i="12" s="1"/>
  <c r="F678" i="12"/>
  <c r="H678" i="12" s="1"/>
  <c r="F672" i="12"/>
  <c r="H672" i="12" s="1"/>
  <c r="F659" i="12"/>
  <c r="H659" i="12" s="1"/>
  <c r="F652" i="12"/>
  <c r="H652" i="12" s="1"/>
  <c r="F606" i="12"/>
  <c r="H606" i="12" s="1"/>
  <c r="F587" i="12"/>
  <c r="H587" i="12" s="1"/>
  <c r="F569" i="12"/>
  <c r="H569" i="12" s="1"/>
  <c r="F556" i="12"/>
  <c r="H556" i="12" s="1"/>
  <c r="F484" i="12"/>
  <c r="H484" i="12" s="1"/>
  <c r="F463" i="12"/>
  <c r="H463" i="12" s="1"/>
  <c r="F456" i="12"/>
  <c r="H456" i="12" s="1"/>
  <c r="F449" i="12"/>
  <c r="H449" i="12" s="1"/>
  <c r="F436" i="12"/>
  <c r="H436" i="12" s="1"/>
  <c r="F429" i="12"/>
  <c r="H429" i="12" s="1"/>
  <c r="F407" i="12"/>
  <c r="H407" i="12" s="1"/>
  <c r="F394" i="12"/>
  <c r="H394" i="12" s="1"/>
  <c r="F380" i="12"/>
  <c r="H380" i="12" s="1"/>
  <c r="F373" i="12"/>
  <c r="H373" i="12" s="1"/>
  <c r="F366" i="12"/>
  <c r="H366" i="12" s="1"/>
  <c r="F358" i="12"/>
  <c r="H358" i="12" s="1"/>
  <c r="F310" i="12"/>
  <c r="H310" i="12" s="1"/>
  <c r="F304" i="12"/>
  <c r="H304" i="12" s="1"/>
  <c r="F297" i="12"/>
  <c r="H297" i="12" s="1"/>
  <c r="F290" i="12"/>
  <c r="H290" i="12" s="1"/>
  <c r="F283" i="12"/>
  <c r="H283" i="12" s="1"/>
  <c r="F270" i="12"/>
  <c r="H270" i="12" s="1"/>
  <c r="F264" i="12"/>
  <c r="H264" i="12" s="1"/>
  <c r="F203" i="12"/>
  <c r="H203" i="12" s="1"/>
  <c r="F195" i="12"/>
  <c r="H195" i="12" s="1"/>
  <c r="F187" i="12"/>
  <c r="H187" i="12" s="1"/>
  <c r="F87" i="12"/>
  <c r="H87" i="12" s="1"/>
  <c r="F80" i="12"/>
  <c r="H80" i="12" s="1"/>
  <c r="F72" i="12"/>
  <c r="H72" i="12" s="1"/>
  <c r="F42" i="12"/>
  <c r="H42" i="12" s="1"/>
  <c r="F34" i="12"/>
  <c r="H34" i="12" s="1"/>
  <c r="F18" i="12"/>
  <c r="H18" i="12" s="1"/>
  <c r="F186" i="12"/>
  <c r="H186" i="12" s="1"/>
  <c r="F422" i="12"/>
  <c r="H422" i="12" s="1"/>
  <c r="F408" i="12"/>
  <c r="H408" i="12" s="1"/>
  <c r="F395" i="12"/>
  <c r="H395" i="12" s="1"/>
  <c r="F388" i="12"/>
  <c r="H388" i="12" s="1"/>
  <c r="F381" i="12"/>
  <c r="H381" i="12" s="1"/>
  <c r="F374" i="12"/>
  <c r="H374" i="12" s="1"/>
  <c r="F367" i="12"/>
  <c r="H367" i="12" s="1"/>
  <c r="F352" i="12"/>
  <c r="H352" i="12" s="1"/>
  <c r="F339" i="12"/>
  <c r="H339" i="12" s="1"/>
  <c r="F332" i="12"/>
  <c r="H332" i="12" s="1"/>
  <c r="F308" i="12"/>
  <c r="H308" i="12" s="1"/>
  <c r="F301" i="12"/>
  <c r="H301" i="12" s="1"/>
  <c r="F276" i="12"/>
  <c r="H276" i="12" s="1"/>
  <c r="F269" i="12"/>
  <c r="H269" i="12" s="1"/>
  <c r="F263" i="12"/>
  <c r="H263" i="12" s="1"/>
  <c r="F196" i="12"/>
  <c r="H196" i="12" s="1"/>
  <c r="F188" i="12"/>
  <c r="H188" i="12" s="1"/>
  <c r="F167" i="12"/>
  <c r="H167" i="12" s="1"/>
  <c r="F159" i="12"/>
  <c r="H159" i="12" s="1"/>
  <c r="F138" i="12"/>
  <c r="H138" i="12" s="1"/>
  <c r="F123" i="12"/>
  <c r="H123" i="12" s="1"/>
  <c r="F115" i="12"/>
  <c r="H115" i="12" s="1"/>
  <c r="F71" i="12"/>
  <c r="H71" i="12" s="1"/>
  <c r="F41" i="12"/>
  <c r="H41" i="12" s="1"/>
  <c r="F33" i="12"/>
  <c r="H33" i="12" s="1"/>
  <c r="F25" i="12"/>
  <c r="H25" i="12" s="1"/>
  <c r="F194" i="12"/>
  <c r="H194" i="12" s="1"/>
  <c r="F114" i="12"/>
  <c r="H114" i="12" s="1"/>
  <c r="F85" i="12"/>
  <c r="H85" i="12" s="1"/>
  <c r="F78" i="12"/>
  <c r="H78" i="12" s="1"/>
  <c r="F70" i="12"/>
  <c r="H70" i="12" s="1"/>
  <c r="F55" i="12"/>
  <c r="H55" i="12" s="1"/>
  <c r="F24" i="12"/>
  <c r="H24" i="12" s="1"/>
  <c r="F201" i="12"/>
  <c r="H201" i="12" s="1"/>
  <c r="F336" i="12"/>
  <c r="H336" i="12" s="1"/>
  <c r="F554" i="12"/>
  <c r="H554" i="12" s="1"/>
  <c r="F651" i="12"/>
  <c r="H651" i="12" s="1"/>
  <c r="F555" i="12"/>
  <c r="H555" i="12" s="1"/>
  <c r="F480" i="12"/>
  <c r="H480" i="12" s="1"/>
  <c r="F474" i="12"/>
  <c r="H474" i="12" s="1"/>
  <c r="F467" i="12"/>
  <c r="H467" i="12" s="1"/>
  <c r="F454" i="12"/>
  <c r="H454" i="12" s="1"/>
  <c r="F440" i="12"/>
  <c r="H440" i="12" s="1"/>
  <c r="F420" i="12"/>
  <c r="H420" i="12" s="1"/>
  <c r="F413" i="12"/>
  <c r="H413" i="12" s="1"/>
  <c r="F406" i="12"/>
  <c r="H406" i="12" s="1"/>
  <c r="F379" i="12"/>
  <c r="H379" i="12" s="1"/>
  <c r="F372" i="12"/>
  <c r="H372" i="12" s="1"/>
  <c r="F365" i="12"/>
  <c r="H365" i="12" s="1"/>
  <c r="F357" i="12"/>
  <c r="H357" i="12" s="1"/>
  <c r="F350" i="12"/>
  <c r="H350" i="12" s="1"/>
  <c r="F343" i="12"/>
  <c r="H343" i="12" s="1"/>
  <c r="F319" i="12"/>
  <c r="H319" i="12" s="1"/>
  <c r="F312" i="12"/>
  <c r="H312" i="12" s="1"/>
  <c r="F306" i="12"/>
  <c r="H306" i="12" s="1"/>
  <c r="F299" i="12"/>
  <c r="H299" i="12" s="1"/>
  <c r="F287" i="12"/>
  <c r="H287" i="12" s="1"/>
  <c r="F280" i="12"/>
  <c r="H280" i="12" s="1"/>
  <c r="F274" i="12"/>
  <c r="H274" i="12" s="1"/>
  <c r="F267" i="12"/>
  <c r="H267" i="12" s="1"/>
  <c r="F202" i="12"/>
  <c r="H202" i="12" s="1"/>
  <c r="F165" i="12"/>
  <c r="H165" i="12" s="1"/>
  <c r="F157" i="12"/>
  <c r="H157" i="12" s="1"/>
  <c r="F143" i="12"/>
  <c r="H143" i="12" s="1"/>
  <c r="F121" i="12"/>
  <c r="H121" i="12" s="1"/>
  <c r="F92" i="12"/>
  <c r="H92" i="12" s="1"/>
  <c r="F84" i="12"/>
  <c r="H84" i="12" s="1"/>
  <c r="F77" i="12"/>
  <c r="H77" i="12" s="1"/>
  <c r="F54" i="12"/>
  <c r="H54" i="12" s="1"/>
  <c r="F47" i="12"/>
  <c r="H47" i="12" s="1"/>
  <c r="F23" i="12"/>
  <c r="H23" i="12" s="1"/>
  <c r="F8" i="12"/>
  <c r="H8" i="12" s="1"/>
  <c r="F29" i="12"/>
  <c r="H29" i="12" s="1"/>
  <c r="F140" i="12"/>
  <c r="H140" i="12" s="1"/>
  <c r="F603" i="12"/>
  <c r="H603" i="12" s="1"/>
  <c r="F598" i="12"/>
  <c r="H598" i="12" s="1"/>
  <c r="F592" i="12"/>
  <c r="H592" i="12" s="1"/>
  <c r="F580" i="12"/>
  <c r="H580" i="12" s="1"/>
  <c r="F567" i="12"/>
  <c r="H567" i="12" s="1"/>
  <c r="F561" i="12"/>
  <c r="H561" i="12" s="1"/>
  <c r="F549" i="12"/>
  <c r="H549" i="12" s="1"/>
  <c r="F473" i="12"/>
  <c r="H473" i="12" s="1"/>
  <c r="F459" i="12"/>
  <c r="H459" i="12" s="1"/>
  <c r="F453" i="12"/>
  <c r="H453" i="12" s="1"/>
  <c r="F439" i="12"/>
  <c r="H439" i="12" s="1"/>
  <c r="F433" i="12"/>
  <c r="H433" i="12" s="1"/>
  <c r="F419" i="12"/>
  <c r="H419" i="12" s="1"/>
  <c r="F400" i="12"/>
  <c r="H400" i="12" s="1"/>
  <c r="F386" i="12"/>
  <c r="H386" i="12" s="1"/>
  <c r="F371" i="12"/>
  <c r="H371" i="12" s="1"/>
  <c r="F364" i="12"/>
  <c r="H364" i="12" s="1"/>
  <c r="F356" i="12"/>
  <c r="H356" i="12" s="1"/>
  <c r="F349" i="12"/>
  <c r="H349" i="12" s="1"/>
  <c r="F318" i="12"/>
  <c r="H318" i="12" s="1"/>
  <c r="F286" i="12"/>
  <c r="H286" i="12" s="1"/>
  <c r="F279" i="12"/>
  <c r="H279" i="12" s="1"/>
  <c r="F229" i="12"/>
  <c r="H229" i="12" s="1"/>
  <c r="F193" i="12"/>
  <c r="H193" i="12" s="1"/>
  <c r="F185" i="12"/>
  <c r="H185" i="12" s="1"/>
  <c r="F164" i="12"/>
  <c r="H164" i="12" s="1"/>
  <c r="F91" i="12"/>
  <c r="H91" i="12" s="1"/>
  <c r="F83" i="12"/>
  <c r="H83" i="12" s="1"/>
  <c r="F46" i="12"/>
  <c r="H46" i="12" s="1"/>
  <c r="F38" i="12"/>
  <c r="H38" i="12" s="1"/>
  <c r="F30" i="12"/>
  <c r="H30" i="12" s="1"/>
  <c r="F40" i="12"/>
  <c r="H40" i="12" s="1"/>
  <c r="F120" i="12"/>
  <c r="H120" i="12" s="1"/>
  <c r="F452" i="12"/>
  <c r="H452" i="12" s="1"/>
  <c r="F664" i="12"/>
  <c r="H664" i="12" s="1"/>
  <c r="F703" i="12"/>
  <c r="H703" i="12" s="1"/>
  <c r="F670" i="12"/>
  <c r="H670" i="12" s="1"/>
  <c r="F579" i="12"/>
  <c r="H579" i="12" s="1"/>
  <c r="F566" i="12"/>
  <c r="H566" i="12" s="1"/>
  <c r="F560" i="12"/>
  <c r="H560" i="12" s="1"/>
  <c r="F486" i="12"/>
  <c r="H486" i="12" s="1"/>
  <c r="F472" i="12"/>
  <c r="H472" i="12" s="1"/>
  <c r="F438" i="12"/>
  <c r="H438" i="12" s="1"/>
  <c r="F432" i="12"/>
  <c r="H432" i="12" s="1"/>
  <c r="F418" i="12"/>
  <c r="H418" i="12" s="1"/>
  <c r="F392" i="12"/>
  <c r="H392" i="12" s="1"/>
  <c r="F385" i="12"/>
  <c r="H385" i="12" s="1"/>
  <c r="F370" i="12"/>
  <c r="H370" i="12" s="1"/>
  <c r="F348" i="12"/>
  <c r="H348" i="12" s="1"/>
  <c r="F292" i="12"/>
  <c r="H292" i="12" s="1"/>
  <c r="F285" i="12"/>
  <c r="H285" i="12" s="1"/>
  <c r="F200" i="12"/>
  <c r="H200" i="12" s="1"/>
  <c r="F192" i="12"/>
  <c r="H192" i="12" s="1"/>
  <c r="F163" i="12"/>
  <c r="H163" i="12" s="1"/>
  <c r="F127" i="12"/>
  <c r="H127" i="12" s="1"/>
  <c r="F90" i="12"/>
  <c r="H90" i="12" s="1"/>
  <c r="F82" i="12"/>
  <c r="H82" i="12" s="1"/>
  <c r="F37" i="12"/>
  <c r="H37" i="12" s="1"/>
  <c r="F14" i="12"/>
  <c r="H14" i="12" s="1"/>
  <c r="F128" i="12"/>
  <c r="H128" i="12" s="1"/>
  <c r="F363" i="12"/>
  <c r="H363" i="12" s="1"/>
  <c r="F147" i="12"/>
  <c r="H147" i="12" s="1"/>
  <c r="F126" i="12"/>
  <c r="H126" i="12" s="1"/>
  <c r="F118" i="12"/>
  <c r="H118" i="12" s="1"/>
  <c r="F89" i="12"/>
  <c r="H89" i="12" s="1"/>
  <c r="F74" i="12"/>
  <c r="H74" i="12" s="1"/>
  <c r="F51" i="12"/>
  <c r="H51" i="12" s="1"/>
  <c r="F44" i="12"/>
  <c r="H44" i="12" s="1"/>
  <c r="F146" i="12"/>
  <c r="H146" i="12" s="1"/>
  <c r="F117" i="12"/>
  <c r="H117" i="12" s="1"/>
  <c r="F88" i="12"/>
  <c r="H88" i="12" s="1"/>
  <c r="F73" i="12"/>
  <c r="H73" i="12" s="1"/>
  <c r="F50" i="12"/>
  <c r="H50" i="12" s="1"/>
  <c r="F69" i="12"/>
  <c r="H69" i="12" s="1"/>
  <c r="F317" i="12"/>
  <c r="H317" i="12" s="1"/>
  <c r="F13" i="12"/>
  <c r="H13" i="12" s="1"/>
  <c r="F43" i="12"/>
  <c r="H43" i="12" s="1"/>
  <c r="F36" i="12"/>
  <c r="H36" i="12" s="1"/>
  <c r="F27" i="12"/>
  <c r="H27" i="12" s="1"/>
  <c r="G543" i="13"/>
  <c r="G544" i="13"/>
  <c r="I542" i="13"/>
  <c r="G545" i="13"/>
  <c r="G547" i="13" s="1"/>
  <c r="O533" i="13"/>
  <c r="O534" i="13"/>
  <c r="I721" i="11"/>
  <c r="F727" i="15" l="1"/>
  <c r="F729" i="15" s="1"/>
  <c r="F726" i="15"/>
  <c r="F725" i="15"/>
  <c r="L731" i="14"/>
  <c r="H730" i="12"/>
  <c r="H732" i="12" s="1"/>
  <c r="G542" i="13"/>
  <c r="G546" i="13" s="1"/>
  <c r="G548" i="13" s="1"/>
  <c r="F728" i="15" l="1"/>
  <c r="F730" i="15" s="1"/>
  <c r="F732" i="15" s="1"/>
  <c r="H731" i="12"/>
  <c r="H733" i="12"/>
  <c r="H735" i="12" s="1"/>
  <c r="I551" i="13"/>
  <c r="I546" i="13"/>
  <c r="H734" i="12" l="1"/>
  <c r="H736" i="12" s="1"/>
  <c r="H738" i="12" s="1"/>
  <c r="K745" i="11" l="1"/>
  <c r="M741" i="11"/>
  <c r="M742" i="11" s="1"/>
  <c r="I730" i="11"/>
  <c r="L728" i="11"/>
  <c r="M721" i="11"/>
  <c r="R720" i="11"/>
  <c r="Q720" i="11"/>
  <c r="K720" i="11"/>
  <c r="L720" i="11" s="1"/>
  <c r="R719" i="11"/>
  <c r="Q719" i="11"/>
  <c r="K719" i="11"/>
  <c r="L719" i="11" s="1"/>
  <c r="K718" i="11"/>
  <c r="L718" i="11" s="1"/>
  <c r="K717" i="11"/>
  <c r="L717" i="11" s="1"/>
  <c r="R716" i="11"/>
  <c r="Q716" i="11"/>
  <c r="K716" i="11"/>
  <c r="R715" i="11"/>
  <c r="Q715" i="11"/>
  <c r="K715" i="11"/>
  <c r="R714" i="11"/>
  <c r="Q714" i="11"/>
  <c r="K714" i="11"/>
  <c r="L714" i="11" s="1"/>
  <c r="R713" i="11"/>
  <c r="Q713" i="11"/>
  <c r="K713" i="11"/>
  <c r="L713" i="11" s="1"/>
  <c r="R712" i="11"/>
  <c r="Q712" i="11"/>
  <c r="K712" i="11"/>
  <c r="L712" i="11" s="1"/>
  <c r="R711" i="11"/>
  <c r="Q711" i="11"/>
  <c r="K711" i="11"/>
  <c r="L711" i="11" s="1"/>
  <c r="K710" i="11"/>
  <c r="L710" i="11" s="1"/>
  <c r="K709" i="11"/>
  <c r="L709" i="11" s="1"/>
  <c r="K708" i="11"/>
  <c r="L708" i="11" s="1"/>
  <c r="K707" i="11"/>
  <c r="L707" i="11" s="1"/>
  <c r="K706" i="11"/>
  <c r="L706" i="11" s="1"/>
  <c r="K705" i="11"/>
  <c r="L705" i="11" s="1"/>
  <c r="K704" i="11"/>
  <c r="L704" i="11" s="1"/>
  <c r="K703" i="11"/>
  <c r="L703" i="11" s="1"/>
  <c r="K702" i="11"/>
  <c r="L702" i="11" s="1"/>
  <c r="K701" i="11"/>
  <c r="L701" i="11" s="1"/>
  <c r="K700" i="11"/>
  <c r="L700" i="11" s="1"/>
  <c r="R699" i="11"/>
  <c r="Q699" i="11"/>
  <c r="K699" i="11"/>
  <c r="S699" i="11" s="1"/>
  <c r="R698" i="11"/>
  <c r="Q698" i="11"/>
  <c r="K698" i="11"/>
  <c r="L698" i="11" s="1"/>
  <c r="R697" i="11"/>
  <c r="Q697" i="11"/>
  <c r="K697" i="11"/>
  <c r="R696" i="11"/>
  <c r="Q696" i="11"/>
  <c r="K696" i="11"/>
  <c r="L696" i="11" s="1"/>
  <c r="K695" i="11"/>
  <c r="L695" i="11" s="1"/>
  <c r="R694" i="11"/>
  <c r="Q694" i="11"/>
  <c r="K694" i="11"/>
  <c r="L694" i="11" s="1"/>
  <c r="R693" i="11"/>
  <c r="Q693" i="11"/>
  <c r="K693" i="11"/>
  <c r="S693" i="11" s="1"/>
  <c r="R692" i="11"/>
  <c r="Q692" i="11"/>
  <c r="K692" i="11"/>
  <c r="L692" i="11" s="1"/>
  <c r="R691" i="11"/>
  <c r="Q691" i="11"/>
  <c r="K691" i="11"/>
  <c r="S691" i="11" s="1"/>
  <c r="R690" i="11"/>
  <c r="Q690" i="11"/>
  <c r="K690" i="11"/>
  <c r="L690" i="11" s="1"/>
  <c r="R689" i="11"/>
  <c r="Q689" i="11"/>
  <c r="K689" i="11"/>
  <c r="R688" i="11"/>
  <c r="Q688" i="11"/>
  <c r="K688" i="11"/>
  <c r="R687" i="11"/>
  <c r="Q687" i="11"/>
  <c r="K687" i="11"/>
  <c r="S687" i="11" s="1"/>
  <c r="R686" i="11"/>
  <c r="Q686" i="11"/>
  <c r="K686" i="11"/>
  <c r="L686" i="11" s="1"/>
  <c r="R685" i="11"/>
  <c r="Q685" i="11"/>
  <c r="K685" i="11"/>
  <c r="S685" i="11" s="1"/>
  <c r="R684" i="11"/>
  <c r="Q684" i="11"/>
  <c r="K684" i="11"/>
  <c r="S684" i="11" s="1"/>
  <c r="T684" i="11" s="1"/>
  <c r="R683" i="11"/>
  <c r="Q683" i="11"/>
  <c r="K683" i="11"/>
  <c r="L683" i="11" s="1"/>
  <c r="R682" i="11"/>
  <c r="Q682" i="11"/>
  <c r="K682" i="11"/>
  <c r="S682" i="11" s="1"/>
  <c r="R681" i="11"/>
  <c r="Q681" i="11"/>
  <c r="K681" i="11"/>
  <c r="S681" i="11" s="1"/>
  <c r="K680" i="11"/>
  <c r="L680" i="11" s="1"/>
  <c r="K679" i="11"/>
  <c r="L679" i="11" s="1"/>
  <c r="K678" i="11"/>
  <c r="K677" i="11"/>
  <c r="L677" i="11" s="1"/>
  <c r="K676" i="11"/>
  <c r="L676" i="11" s="1"/>
  <c r="K675" i="11"/>
  <c r="L675" i="11" s="1"/>
  <c r="K674" i="11"/>
  <c r="L674" i="11" s="1"/>
  <c r="K673" i="11"/>
  <c r="L673" i="11" s="1"/>
  <c r="K672" i="11"/>
  <c r="L672" i="11" s="1"/>
  <c r="K671" i="11"/>
  <c r="L671" i="11" s="1"/>
  <c r="K670" i="11"/>
  <c r="L670" i="11" s="1"/>
  <c r="K669" i="11"/>
  <c r="L669" i="11" s="1"/>
  <c r="K668" i="11"/>
  <c r="K667" i="11"/>
  <c r="L667" i="11" s="1"/>
  <c r="K666" i="11"/>
  <c r="L666" i="11" s="1"/>
  <c r="K665" i="11"/>
  <c r="L665" i="11" s="1"/>
  <c r="K664" i="11"/>
  <c r="L664" i="11" s="1"/>
  <c r="K663" i="11"/>
  <c r="L663" i="11" s="1"/>
  <c r="K662" i="11"/>
  <c r="L662" i="11" s="1"/>
  <c r="K661" i="11"/>
  <c r="L661" i="11" s="1"/>
  <c r="K660" i="11"/>
  <c r="K659" i="11"/>
  <c r="L659" i="11" s="1"/>
  <c r="K658" i="11"/>
  <c r="L658" i="11" s="1"/>
  <c r="K657" i="11"/>
  <c r="L657" i="11" s="1"/>
  <c r="K656" i="11"/>
  <c r="L656" i="11" s="1"/>
  <c r="K655" i="11"/>
  <c r="L655" i="11" s="1"/>
  <c r="K654" i="11"/>
  <c r="L654" i="11" s="1"/>
  <c r="K653" i="11"/>
  <c r="L653" i="11" s="1"/>
  <c r="K652" i="11"/>
  <c r="L652" i="11" s="1"/>
  <c r="K651" i="11"/>
  <c r="L651" i="11" s="1"/>
  <c r="K650" i="11"/>
  <c r="L650" i="11" s="1"/>
  <c r="K649" i="11"/>
  <c r="K648" i="11"/>
  <c r="L648" i="11" s="1"/>
  <c r="K647" i="11"/>
  <c r="L647" i="11" s="1"/>
  <c r="K646" i="11"/>
  <c r="L646" i="11" s="1"/>
  <c r="K645" i="11"/>
  <c r="L645" i="11" s="1"/>
  <c r="K644" i="11"/>
  <c r="L644" i="11" s="1"/>
  <c r="K643" i="11"/>
  <c r="L643" i="11" s="1"/>
  <c r="K642" i="11"/>
  <c r="L642" i="11" s="1"/>
  <c r="K641" i="11"/>
  <c r="L641" i="11" s="1"/>
  <c r="K640" i="11"/>
  <c r="L640" i="11" s="1"/>
  <c r="K639" i="11"/>
  <c r="K638" i="11"/>
  <c r="L638" i="11" s="1"/>
  <c r="K637" i="11"/>
  <c r="L637" i="11" s="1"/>
  <c r="K636" i="11"/>
  <c r="L636" i="11" s="1"/>
  <c r="R635" i="11"/>
  <c r="Q635" i="11"/>
  <c r="K635" i="11"/>
  <c r="L635" i="11" s="1"/>
  <c r="K634" i="11"/>
  <c r="L634" i="11" s="1"/>
  <c r="K633" i="11"/>
  <c r="L633" i="11" s="1"/>
  <c r="R632" i="11"/>
  <c r="Q632" i="11"/>
  <c r="K632" i="11"/>
  <c r="R631" i="11"/>
  <c r="Q631" i="11"/>
  <c r="K631" i="11"/>
  <c r="L631" i="11" s="1"/>
  <c r="R630" i="11"/>
  <c r="Q630" i="11"/>
  <c r="K630" i="11"/>
  <c r="S630" i="11" s="1"/>
  <c r="K629" i="11"/>
  <c r="K628" i="11"/>
  <c r="K627" i="11"/>
  <c r="L627" i="11" s="1"/>
  <c r="K626" i="11"/>
  <c r="R625" i="11"/>
  <c r="Q625" i="11"/>
  <c r="K625" i="11"/>
  <c r="K624" i="11"/>
  <c r="L624" i="11" s="1"/>
  <c r="K623" i="11"/>
  <c r="L623" i="11" s="1"/>
  <c r="K622" i="11"/>
  <c r="L622" i="11" s="1"/>
  <c r="K621" i="11"/>
  <c r="L621" i="11" s="1"/>
  <c r="R620" i="11"/>
  <c r="Q620" i="11"/>
  <c r="K620" i="11"/>
  <c r="L620" i="11" s="1"/>
  <c r="R619" i="11"/>
  <c r="Q619" i="11"/>
  <c r="K619" i="11"/>
  <c r="L619" i="11" s="1"/>
  <c r="K618" i="11"/>
  <c r="R617" i="11"/>
  <c r="Q617" i="11"/>
  <c r="K617" i="11"/>
  <c r="R616" i="11"/>
  <c r="Q616" i="11"/>
  <c r="K616" i="11"/>
  <c r="S616" i="11" s="1"/>
  <c r="K615" i="11"/>
  <c r="L615" i="11" s="1"/>
  <c r="K614" i="11"/>
  <c r="L614" i="11" s="1"/>
  <c r="K613" i="11"/>
  <c r="L613" i="11" s="1"/>
  <c r="K612" i="11"/>
  <c r="L612" i="11" s="1"/>
  <c r="K611" i="11"/>
  <c r="K610" i="11"/>
  <c r="L610" i="11" s="1"/>
  <c r="K609" i="11"/>
  <c r="K608" i="11"/>
  <c r="K607" i="11"/>
  <c r="L607" i="11" s="1"/>
  <c r="K606" i="11"/>
  <c r="L606" i="11" s="1"/>
  <c r="K605" i="11"/>
  <c r="L605" i="11" s="1"/>
  <c r="K604" i="11"/>
  <c r="L604" i="11" s="1"/>
  <c r="K603" i="11"/>
  <c r="K602" i="11"/>
  <c r="L602" i="11" s="1"/>
  <c r="K601" i="11"/>
  <c r="L601" i="11" s="1"/>
  <c r="K600" i="11"/>
  <c r="L600" i="11" s="1"/>
  <c r="K599" i="11"/>
  <c r="K598" i="11"/>
  <c r="L598" i="11" s="1"/>
  <c r="K597" i="11"/>
  <c r="L597" i="11" s="1"/>
  <c r="K596" i="11"/>
  <c r="L596" i="11" s="1"/>
  <c r="K595" i="11"/>
  <c r="L595" i="11" s="1"/>
  <c r="K594" i="11"/>
  <c r="L594" i="11" s="1"/>
  <c r="K593" i="11"/>
  <c r="L593" i="11" s="1"/>
  <c r="K592" i="11"/>
  <c r="L592" i="11" s="1"/>
  <c r="K591" i="11"/>
  <c r="L591" i="11" s="1"/>
  <c r="K590" i="11"/>
  <c r="L590" i="11" s="1"/>
  <c r="K589" i="11"/>
  <c r="L589" i="11" s="1"/>
  <c r="K588" i="11"/>
  <c r="L588" i="11" s="1"/>
  <c r="K587" i="11"/>
  <c r="L587" i="11" s="1"/>
  <c r="K586" i="11"/>
  <c r="L586" i="11" s="1"/>
  <c r="K585" i="11"/>
  <c r="L585" i="11" s="1"/>
  <c r="K584" i="11"/>
  <c r="K583" i="11"/>
  <c r="L583" i="11" s="1"/>
  <c r="K582" i="11"/>
  <c r="L582" i="11" s="1"/>
  <c r="K581" i="11"/>
  <c r="K580" i="11"/>
  <c r="L580" i="11" s="1"/>
  <c r="K579" i="11"/>
  <c r="L579" i="11" s="1"/>
  <c r="K578" i="11"/>
  <c r="L578" i="11" s="1"/>
  <c r="K577" i="11"/>
  <c r="L577" i="11" s="1"/>
  <c r="K576" i="11"/>
  <c r="K575" i="11"/>
  <c r="L575" i="11" s="1"/>
  <c r="K574" i="11"/>
  <c r="L574" i="11" s="1"/>
  <c r="R573" i="11"/>
  <c r="Q573" i="11"/>
  <c r="K573" i="11"/>
  <c r="L573" i="11" s="1"/>
  <c r="R572" i="11"/>
  <c r="Q572" i="11"/>
  <c r="K572" i="11"/>
  <c r="L572" i="11" s="1"/>
  <c r="K571" i="11"/>
  <c r="L571" i="11" s="1"/>
  <c r="K570" i="11"/>
  <c r="L570" i="11" s="1"/>
  <c r="K569" i="11"/>
  <c r="L569" i="11" s="1"/>
  <c r="K568" i="11"/>
  <c r="K567" i="11"/>
  <c r="L567" i="11" s="1"/>
  <c r="K566" i="11"/>
  <c r="L566" i="11" s="1"/>
  <c r="K565" i="11"/>
  <c r="L565" i="11" s="1"/>
  <c r="K564" i="11"/>
  <c r="L564" i="11" s="1"/>
  <c r="K563" i="11"/>
  <c r="L563" i="11" s="1"/>
  <c r="K562" i="11"/>
  <c r="L562" i="11" s="1"/>
  <c r="K561" i="11"/>
  <c r="L561" i="11" s="1"/>
  <c r="K560" i="11"/>
  <c r="K559" i="11"/>
  <c r="L559" i="11" s="1"/>
  <c r="R558" i="11"/>
  <c r="Q558" i="11"/>
  <c r="K558" i="11"/>
  <c r="K557" i="11"/>
  <c r="L557" i="11" s="1"/>
  <c r="K556" i="11"/>
  <c r="L556" i="11" s="1"/>
  <c r="K555" i="11"/>
  <c r="L555" i="11" s="1"/>
  <c r="K554" i="11"/>
  <c r="L554" i="11" s="1"/>
  <c r="K553" i="11"/>
  <c r="L553" i="11" s="1"/>
  <c r="K552" i="11"/>
  <c r="L552" i="11" s="1"/>
  <c r="K551" i="11"/>
  <c r="K550" i="11"/>
  <c r="L550" i="11" s="1"/>
  <c r="R549" i="11"/>
  <c r="Q549" i="11"/>
  <c r="K549" i="11"/>
  <c r="S549" i="11" s="1"/>
  <c r="K548" i="11"/>
  <c r="L548" i="11" s="1"/>
  <c r="K547" i="11"/>
  <c r="L547" i="11" s="1"/>
  <c r="K546" i="11"/>
  <c r="L546" i="11" s="1"/>
  <c r="K545" i="11"/>
  <c r="L545" i="11" s="1"/>
  <c r="K544" i="11"/>
  <c r="L544" i="11" s="1"/>
  <c r="K543" i="11"/>
  <c r="L543" i="11" s="1"/>
  <c r="K542" i="11"/>
  <c r="L542" i="11" s="1"/>
  <c r="K541" i="11"/>
  <c r="L541" i="11" s="1"/>
  <c r="K540" i="11"/>
  <c r="L540" i="11" s="1"/>
  <c r="R539" i="11"/>
  <c r="Q539" i="11"/>
  <c r="K539" i="11"/>
  <c r="R538" i="11"/>
  <c r="Q538" i="11"/>
  <c r="K538" i="11"/>
  <c r="R537" i="11"/>
  <c r="Q537" i="11"/>
  <c r="K537" i="11"/>
  <c r="S537" i="11" s="1"/>
  <c r="R536" i="11"/>
  <c r="Q536" i="11"/>
  <c r="K536" i="11"/>
  <c r="L536" i="11" s="1"/>
  <c r="R535" i="11"/>
  <c r="Q535" i="11"/>
  <c r="K535" i="11"/>
  <c r="S535" i="11" s="1"/>
  <c r="T535" i="11" s="1"/>
  <c r="R534" i="11"/>
  <c r="Q534" i="11"/>
  <c r="K534" i="11"/>
  <c r="S534" i="11" s="1"/>
  <c r="T534" i="11" s="1"/>
  <c r="R533" i="11"/>
  <c r="Q533" i="11"/>
  <c r="K533" i="11"/>
  <c r="S533" i="11" s="1"/>
  <c r="R532" i="11"/>
  <c r="Q532" i="11"/>
  <c r="K532" i="11"/>
  <c r="L532" i="11" s="1"/>
  <c r="R531" i="11"/>
  <c r="Q531" i="11"/>
  <c r="K531" i="11"/>
  <c r="S531" i="11" s="1"/>
  <c r="R530" i="11"/>
  <c r="Q530" i="11"/>
  <c r="K530" i="11"/>
  <c r="L530" i="11" s="1"/>
  <c r="R529" i="11"/>
  <c r="Q529" i="11"/>
  <c r="K529" i="11"/>
  <c r="R528" i="11"/>
  <c r="Q528" i="11"/>
  <c r="K528" i="11"/>
  <c r="R527" i="11"/>
  <c r="Q527" i="11"/>
  <c r="K527" i="11"/>
  <c r="S527" i="11" s="1"/>
  <c r="R526" i="11"/>
  <c r="Q526" i="11"/>
  <c r="K526" i="11"/>
  <c r="S526" i="11" s="1"/>
  <c r="R525" i="11"/>
  <c r="Q525" i="11"/>
  <c r="K525" i="11"/>
  <c r="R524" i="11"/>
  <c r="Q524" i="11"/>
  <c r="K524" i="11"/>
  <c r="K523" i="11"/>
  <c r="L523" i="11" s="1"/>
  <c r="K522" i="11"/>
  <c r="L522" i="11" s="1"/>
  <c r="K521" i="11"/>
  <c r="L521" i="11" s="1"/>
  <c r="K520" i="11"/>
  <c r="L520" i="11" s="1"/>
  <c r="K519" i="11"/>
  <c r="L519" i="11" s="1"/>
  <c r="K518" i="11"/>
  <c r="L518" i="11" s="1"/>
  <c r="K517" i="11"/>
  <c r="K516" i="11"/>
  <c r="K515" i="11"/>
  <c r="K514" i="11"/>
  <c r="K513" i="11"/>
  <c r="L513" i="11" s="1"/>
  <c r="K512" i="11"/>
  <c r="L512" i="11" s="1"/>
  <c r="R511" i="11"/>
  <c r="Q511" i="11"/>
  <c r="K511" i="11"/>
  <c r="S511" i="11" s="1"/>
  <c r="R510" i="11"/>
  <c r="Q510" i="11"/>
  <c r="K510" i="11"/>
  <c r="L510" i="11" s="1"/>
  <c r="J510" i="11"/>
  <c r="R509" i="11"/>
  <c r="Q509" i="11"/>
  <c r="K509" i="11"/>
  <c r="L509" i="11" s="1"/>
  <c r="J509" i="11"/>
  <c r="R508" i="11"/>
  <c r="Q508" i="11"/>
  <c r="K508" i="11"/>
  <c r="J508" i="11"/>
  <c r="R507" i="11"/>
  <c r="Q507" i="11"/>
  <c r="K507" i="11"/>
  <c r="S507" i="11" s="1"/>
  <c r="R506" i="11"/>
  <c r="Q506" i="11"/>
  <c r="K506" i="11"/>
  <c r="S506" i="11" s="1"/>
  <c r="R505" i="11"/>
  <c r="Q505" i="11"/>
  <c r="K505" i="11"/>
  <c r="R504" i="11"/>
  <c r="Q504" i="11"/>
  <c r="K504" i="11"/>
  <c r="L504" i="11" s="1"/>
  <c r="R503" i="11"/>
  <c r="Q503" i="11"/>
  <c r="K503" i="11"/>
  <c r="R502" i="11"/>
  <c r="Q502" i="11"/>
  <c r="K502" i="11"/>
  <c r="L502" i="11" s="1"/>
  <c r="R501" i="11"/>
  <c r="Q501" i="11"/>
  <c r="K501" i="11"/>
  <c r="R500" i="11"/>
  <c r="Q500" i="11"/>
  <c r="K500" i="11"/>
  <c r="S500" i="11" s="1"/>
  <c r="R499" i="11"/>
  <c r="Q499" i="11"/>
  <c r="K499" i="11"/>
  <c r="S499" i="11" s="1"/>
  <c r="R498" i="11"/>
  <c r="Q498" i="11"/>
  <c r="K498" i="11"/>
  <c r="L498" i="11" s="1"/>
  <c r="R497" i="11"/>
  <c r="Q497" i="11"/>
  <c r="K497" i="11"/>
  <c r="L497" i="11" s="1"/>
  <c r="R496" i="11"/>
  <c r="Q496" i="11"/>
  <c r="K496" i="11"/>
  <c r="S496" i="11" s="1"/>
  <c r="R495" i="11"/>
  <c r="Q495" i="11"/>
  <c r="K495" i="11"/>
  <c r="L495" i="11" s="1"/>
  <c r="R494" i="11"/>
  <c r="Q494" i="11"/>
  <c r="K494" i="11"/>
  <c r="R493" i="11"/>
  <c r="Q493" i="11"/>
  <c r="K493" i="11"/>
  <c r="R492" i="11"/>
  <c r="Q492" i="11"/>
  <c r="K492" i="11"/>
  <c r="R491" i="11"/>
  <c r="Q491" i="11"/>
  <c r="K491" i="11"/>
  <c r="L491" i="11" s="1"/>
  <c r="R490" i="11"/>
  <c r="Q490" i="11"/>
  <c r="K490" i="11"/>
  <c r="L490" i="11" s="1"/>
  <c r="K489" i="11"/>
  <c r="L489" i="11" s="1"/>
  <c r="K488" i="11"/>
  <c r="K487" i="11"/>
  <c r="L487" i="11" s="1"/>
  <c r="K486" i="11"/>
  <c r="L486" i="11" s="1"/>
  <c r="R485" i="11"/>
  <c r="Q485" i="11"/>
  <c r="K485" i="11"/>
  <c r="L485" i="11" s="1"/>
  <c r="R484" i="11"/>
  <c r="Q484" i="11"/>
  <c r="K484" i="11"/>
  <c r="L484" i="11" s="1"/>
  <c r="K483" i="11"/>
  <c r="L483" i="11" s="1"/>
  <c r="K482" i="11"/>
  <c r="L482" i="11" s="1"/>
  <c r="K481" i="11"/>
  <c r="L481" i="11" s="1"/>
  <c r="K480" i="11"/>
  <c r="R479" i="11"/>
  <c r="Q479" i="11"/>
  <c r="K479" i="11"/>
  <c r="K478" i="11"/>
  <c r="L478" i="11" s="1"/>
  <c r="K477" i="11"/>
  <c r="L477" i="11" s="1"/>
  <c r="R476" i="11"/>
  <c r="Q476" i="11"/>
  <c r="K476" i="11"/>
  <c r="L476" i="11" s="1"/>
  <c r="R475" i="11"/>
  <c r="Q475" i="11"/>
  <c r="K475" i="11"/>
  <c r="S475" i="11" s="1"/>
  <c r="K474" i="11"/>
  <c r="K473" i="11"/>
  <c r="L473" i="11" s="1"/>
  <c r="K472" i="11"/>
  <c r="K471" i="11"/>
  <c r="L471" i="11" s="1"/>
  <c r="R470" i="11"/>
  <c r="Q470" i="11"/>
  <c r="K470" i="11"/>
  <c r="S470" i="11" s="1"/>
  <c r="R469" i="11"/>
  <c r="Q469" i="11"/>
  <c r="K469" i="11"/>
  <c r="R468" i="11"/>
  <c r="Q468" i="11"/>
  <c r="K468" i="11"/>
  <c r="L468" i="11" s="1"/>
  <c r="R467" i="11"/>
  <c r="Q467" i="11"/>
  <c r="K467" i="11"/>
  <c r="S467" i="11" s="1"/>
  <c r="K466" i="11"/>
  <c r="L466" i="11" s="1"/>
  <c r="K465" i="11"/>
  <c r="L465" i="11" s="1"/>
  <c r="R464" i="11"/>
  <c r="Q464" i="11"/>
  <c r="K464" i="11"/>
  <c r="L464" i="11" s="1"/>
  <c r="R463" i="11"/>
  <c r="Q463" i="11"/>
  <c r="K463" i="11"/>
  <c r="R462" i="11"/>
  <c r="Q462" i="11"/>
  <c r="K462" i="11"/>
  <c r="K461" i="11"/>
  <c r="L461" i="11" s="1"/>
  <c r="R460" i="11"/>
  <c r="Q460" i="11"/>
  <c r="K460" i="11"/>
  <c r="L460" i="11" s="1"/>
  <c r="R459" i="11"/>
  <c r="Q459" i="11"/>
  <c r="K459" i="11"/>
  <c r="L459" i="11" s="1"/>
  <c r="K458" i="11"/>
  <c r="L458" i="11" s="1"/>
  <c r="K457" i="11"/>
  <c r="L457" i="11" s="1"/>
  <c r="K456" i="11"/>
  <c r="L456" i="11" s="1"/>
  <c r="K455" i="11"/>
  <c r="L455" i="11" s="1"/>
  <c r="K454" i="11"/>
  <c r="L454" i="11" s="1"/>
  <c r="K453" i="11"/>
  <c r="L453" i="11" s="1"/>
  <c r="K452" i="11"/>
  <c r="L452" i="11" s="1"/>
  <c r="K451" i="11"/>
  <c r="L451" i="11" s="1"/>
  <c r="R450" i="11"/>
  <c r="Q450" i="11"/>
  <c r="K450" i="11"/>
  <c r="L450" i="11" s="1"/>
  <c r="K449" i="11"/>
  <c r="L449" i="11" s="1"/>
  <c r="K448" i="11"/>
  <c r="L448" i="11" s="1"/>
  <c r="R447" i="11"/>
  <c r="Q447" i="11"/>
  <c r="K447" i="11"/>
  <c r="R446" i="11"/>
  <c r="Q446" i="11"/>
  <c r="K446" i="11"/>
  <c r="L446" i="11" s="1"/>
  <c r="R445" i="11"/>
  <c r="Q445" i="11"/>
  <c r="K445" i="11"/>
  <c r="L445" i="11" s="1"/>
  <c r="R444" i="11"/>
  <c r="Q444" i="11"/>
  <c r="K444" i="11"/>
  <c r="R443" i="11"/>
  <c r="Q443" i="11"/>
  <c r="K443" i="11"/>
  <c r="K442" i="11"/>
  <c r="L442" i="11" s="1"/>
  <c r="K441" i="11"/>
  <c r="L441" i="11" s="1"/>
  <c r="K440" i="11"/>
  <c r="L440" i="11" s="1"/>
  <c r="K439" i="11"/>
  <c r="L439" i="11" s="1"/>
  <c r="K438" i="11"/>
  <c r="K437" i="11"/>
  <c r="L437" i="11" s="1"/>
  <c r="K436" i="11"/>
  <c r="L436" i="11" s="1"/>
  <c r="K435" i="11"/>
  <c r="K434" i="11"/>
  <c r="K433" i="11"/>
  <c r="L433" i="11" s="1"/>
  <c r="K432" i="11"/>
  <c r="L432" i="11" s="1"/>
  <c r="K431" i="11"/>
  <c r="L431" i="11" s="1"/>
  <c r="R430" i="11"/>
  <c r="Q430" i="11"/>
  <c r="K430" i="11"/>
  <c r="L430" i="11" s="1"/>
  <c r="R429" i="11"/>
  <c r="Q429" i="11"/>
  <c r="K429" i="11"/>
  <c r="K428" i="11"/>
  <c r="L428" i="11" s="1"/>
  <c r="K427" i="11"/>
  <c r="L427" i="11" s="1"/>
  <c r="K426" i="11"/>
  <c r="L426" i="11" s="1"/>
  <c r="R425" i="11"/>
  <c r="Q425" i="11"/>
  <c r="K425" i="11"/>
  <c r="K424" i="11"/>
  <c r="L424" i="11" s="1"/>
  <c r="R423" i="11"/>
  <c r="Q423" i="11"/>
  <c r="K423" i="11"/>
  <c r="S423" i="11" s="1"/>
  <c r="K422" i="11"/>
  <c r="L422" i="11" s="1"/>
  <c r="K421" i="11"/>
  <c r="L421" i="11" s="1"/>
  <c r="R420" i="11"/>
  <c r="Q420" i="11"/>
  <c r="K420" i="11"/>
  <c r="L420" i="11" s="1"/>
  <c r="K419" i="11"/>
  <c r="L419" i="11" s="1"/>
  <c r="K418" i="11"/>
  <c r="K417" i="11"/>
  <c r="L417" i="11" s="1"/>
  <c r="K416" i="11"/>
  <c r="L416" i="11" s="1"/>
  <c r="K415" i="11"/>
  <c r="L415" i="11" s="1"/>
  <c r="K414" i="11"/>
  <c r="L414" i="11" s="1"/>
  <c r="K413" i="11"/>
  <c r="L413" i="11" s="1"/>
  <c r="K412" i="11"/>
  <c r="L412" i="11" s="1"/>
  <c r="K411" i="11"/>
  <c r="L411" i="11" s="1"/>
  <c r="R410" i="11"/>
  <c r="Q410" i="11"/>
  <c r="K410" i="11"/>
  <c r="K409" i="11"/>
  <c r="L409" i="11" s="1"/>
  <c r="K408" i="11"/>
  <c r="R407" i="11"/>
  <c r="Q407" i="11"/>
  <c r="K407" i="11"/>
  <c r="S407" i="11" s="1"/>
  <c r="K406" i="11"/>
  <c r="L406" i="11" s="1"/>
  <c r="K405" i="11"/>
  <c r="L405" i="11" s="1"/>
  <c r="K404" i="11"/>
  <c r="L404" i="11" s="1"/>
  <c r="K403" i="11"/>
  <c r="L403" i="11" s="1"/>
  <c r="K402" i="11"/>
  <c r="L402" i="11" s="1"/>
  <c r="K401" i="11"/>
  <c r="L401" i="11" s="1"/>
  <c r="K400" i="11"/>
  <c r="L400" i="11" s="1"/>
  <c r="K399" i="11"/>
  <c r="L399" i="11" s="1"/>
  <c r="K398" i="11"/>
  <c r="K397" i="11"/>
  <c r="L397" i="11" s="1"/>
  <c r="K396" i="11"/>
  <c r="L396" i="11" s="1"/>
  <c r="K395" i="11"/>
  <c r="L395" i="11" s="1"/>
  <c r="K394" i="11"/>
  <c r="L394" i="11" s="1"/>
  <c r="K393" i="11"/>
  <c r="L393" i="11" s="1"/>
  <c r="K392" i="11"/>
  <c r="L392" i="11" s="1"/>
  <c r="K391" i="11"/>
  <c r="L391" i="11" s="1"/>
  <c r="K390" i="11"/>
  <c r="L390" i="11" s="1"/>
  <c r="K389" i="11"/>
  <c r="K388" i="11"/>
  <c r="L388" i="11" s="1"/>
  <c r="K387" i="11"/>
  <c r="L387" i="11" s="1"/>
  <c r="K386" i="11"/>
  <c r="L386" i="11" s="1"/>
  <c r="K385" i="11"/>
  <c r="L385" i="11" s="1"/>
  <c r="K384" i="11"/>
  <c r="L384" i="11" s="1"/>
  <c r="K383" i="11"/>
  <c r="L383" i="11" s="1"/>
  <c r="K382" i="11"/>
  <c r="L382" i="11" s="1"/>
  <c r="K381" i="11"/>
  <c r="K380" i="11"/>
  <c r="L380" i="11" s="1"/>
  <c r="K379" i="11"/>
  <c r="L379" i="11" s="1"/>
  <c r="K378" i="11"/>
  <c r="L378" i="11" s="1"/>
  <c r="K377" i="11"/>
  <c r="L377" i="11" s="1"/>
  <c r="K376" i="11"/>
  <c r="L376" i="11" s="1"/>
  <c r="K375" i="11"/>
  <c r="L375" i="11" s="1"/>
  <c r="K374" i="11"/>
  <c r="L374" i="11" s="1"/>
  <c r="K373" i="11"/>
  <c r="L373" i="11" s="1"/>
  <c r="K372" i="11"/>
  <c r="L372" i="11" s="1"/>
  <c r="K371" i="11"/>
  <c r="K370" i="11"/>
  <c r="K369" i="11"/>
  <c r="L369" i="11" s="1"/>
  <c r="K368" i="11"/>
  <c r="L368" i="11" s="1"/>
  <c r="K367" i="11"/>
  <c r="L367" i="11" s="1"/>
  <c r="K366" i="11"/>
  <c r="L366" i="11" s="1"/>
  <c r="K365" i="11"/>
  <c r="L365" i="11" s="1"/>
  <c r="K364" i="11"/>
  <c r="L364" i="11" s="1"/>
  <c r="K363" i="11"/>
  <c r="L363" i="11" s="1"/>
  <c r="K362" i="11"/>
  <c r="L362" i="11" s="1"/>
  <c r="K361" i="11"/>
  <c r="L361" i="11" s="1"/>
  <c r="K360" i="11"/>
  <c r="L360" i="11" s="1"/>
  <c r="K359" i="11"/>
  <c r="L359" i="11" s="1"/>
  <c r="K358" i="11"/>
  <c r="L358" i="11" s="1"/>
  <c r="K357" i="11"/>
  <c r="L357" i="11" s="1"/>
  <c r="J357" i="11"/>
  <c r="K356" i="11"/>
  <c r="L356" i="11" s="1"/>
  <c r="J356" i="11"/>
  <c r="K355" i="11"/>
  <c r="L355" i="11" s="1"/>
  <c r="J355" i="11"/>
  <c r="K354" i="11"/>
  <c r="L354" i="11" s="1"/>
  <c r="J354" i="11"/>
  <c r="K353" i="11"/>
  <c r="J353" i="11"/>
  <c r="K352" i="11"/>
  <c r="L352" i="11" s="1"/>
  <c r="J352" i="11"/>
  <c r="K351" i="11"/>
  <c r="L351" i="11" s="1"/>
  <c r="J351" i="11"/>
  <c r="K350" i="11"/>
  <c r="L350" i="11" s="1"/>
  <c r="J350" i="11"/>
  <c r="K349" i="11"/>
  <c r="L349" i="11" s="1"/>
  <c r="J349" i="11"/>
  <c r="K348" i="11"/>
  <c r="L348" i="11" s="1"/>
  <c r="J348" i="11"/>
  <c r="K347" i="11"/>
  <c r="L347" i="11" s="1"/>
  <c r="J347" i="11"/>
  <c r="K346" i="11"/>
  <c r="L346" i="11" s="1"/>
  <c r="K345" i="11"/>
  <c r="L345" i="11" s="1"/>
  <c r="K344" i="11"/>
  <c r="L344" i="11" s="1"/>
  <c r="R343" i="11"/>
  <c r="Q343" i="11"/>
  <c r="K343" i="11"/>
  <c r="R342" i="11"/>
  <c r="Q342" i="11"/>
  <c r="K342" i="11"/>
  <c r="K341" i="11"/>
  <c r="L341" i="11" s="1"/>
  <c r="K340" i="11"/>
  <c r="L340" i="11" s="1"/>
  <c r="K339" i="11"/>
  <c r="L339" i="11" s="1"/>
  <c r="K338" i="11"/>
  <c r="L338" i="11" s="1"/>
  <c r="R337" i="11"/>
  <c r="Q337" i="11"/>
  <c r="K337" i="11"/>
  <c r="K336" i="11"/>
  <c r="K335" i="11"/>
  <c r="L335" i="11" s="1"/>
  <c r="K334" i="11"/>
  <c r="K333" i="11"/>
  <c r="L333" i="11" s="1"/>
  <c r="K332" i="11"/>
  <c r="L332" i="11" s="1"/>
  <c r="K331" i="11"/>
  <c r="L331" i="11" s="1"/>
  <c r="K330" i="11"/>
  <c r="L330" i="11" s="1"/>
  <c r="K329" i="11"/>
  <c r="L329" i="11" s="1"/>
  <c r="K328" i="11"/>
  <c r="L328" i="11" s="1"/>
  <c r="K327" i="11"/>
  <c r="L327" i="11" s="1"/>
  <c r="K326" i="11"/>
  <c r="L326" i="11" s="1"/>
  <c r="K325" i="11"/>
  <c r="L325" i="11" s="1"/>
  <c r="K324" i="11"/>
  <c r="K323" i="11"/>
  <c r="L323" i="11" s="1"/>
  <c r="K322" i="11"/>
  <c r="L322" i="11" s="1"/>
  <c r="K321" i="11"/>
  <c r="L321" i="11" s="1"/>
  <c r="K320" i="11"/>
  <c r="K319" i="11"/>
  <c r="L319" i="11" s="1"/>
  <c r="K318" i="11"/>
  <c r="L318" i="11" s="1"/>
  <c r="K317" i="11"/>
  <c r="L317" i="11" s="1"/>
  <c r="K316" i="11"/>
  <c r="L316" i="11" s="1"/>
  <c r="K315" i="11"/>
  <c r="L315" i="11" s="1"/>
  <c r="K314" i="11"/>
  <c r="L314" i="11" s="1"/>
  <c r="K313" i="11"/>
  <c r="L313" i="11" s="1"/>
  <c r="K312" i="11"/>
  <c r="L312" i="11" s="1"/>
  <c r="K311" i="11"/>
  <c r="L311" i="11" s="1"/>
  <c r="K310" i="11"/>
  <c r="L310" i="11" s="1"/>
  <c r="K309" i="11"/>
  <c r="L309" i="11" s="1"/>
  <c r="K308" i="11"/>
  <c r="L308" i="11" s="1"/>
  <c r="K307" i="11"/>
  <c r="L307" i="11" s="1"/>
  <c r="K306" i="11"/>
  <c r="L306" i="11" s="1"/>
  <c r="K305" i="11"/>
  <c r="L305" i="11" s="1"/>
  <c r="K304" i="11"/>
  <c r="L304" i="11" s="1"/>
  <c r="K303" i="11"/>
  <c r="L303" i="11" s="1"/>
  <c r="K302" i="11"/>
  <c r="L302" i="11" s="1"/>
  <c r="K301" i="11"/>
  <c r="L301" i="11" s="1"/>
  <c r="K300" i="11"/>
  <c r="K299" i="11"/>
  <c r="L299" i="11" s="1"/>
  <c r="K298" i="11"/>
  <c r="L298" i="11" s="1"/>
  <c r="K297" i="11"/>
  <c r="L297" i="11" s="1"/>
  <c r="K296" i="11"/>
  <c r="L296" i="11" s="1"/>
  <c r="K295" i="11"/>
  <c r="L295" i="11" s="1"/>
  <c r="K294" i="11"/>
  <c r="L294" i="11" s="1"/>
  <c r="K293" i="11"/>
  <c r="L293" i="11" s="1"/>
  <c r="K292" i="11"/>
  <c r="L292" i="11" s="1"/>
  <c r="K291" i="11"/>
  <c r="L291" i="11" s="1"/>
  <c r="K290" i="11"/>
  <c r="L290" i="11" s="1"/>
  <c r="K289" i="11"/>
  <c r="L289" i="11" s="1"/>
  <c r="K288" i="11"/>
  <c r="L288" i="11" s="1"/>
  <c r="K287" i="11"/>
  <c r="L287" i="11" s="1"/>
  <c r="K286" i="11"/>
  <c r="L286" i="11" s="1"/>
  <c r="K285" i="11"/>
  <c r="L285" i="11" s="1"/>
  <c r="K284" i="11"/>
  <c r="L284" i="11" s="1"/>
  <c r="K283" i="11"/>
  <c r="L283" i="11" s="1"/>
  <c r="K282" i="11"/>
  <c r="L282" i="11" s="1"/>
  <c r="K281" i="11"/>
  <c r="L281" i="11" s="1"/>
  <c r="K280" i="11"/>
  <c r="L280" i="11" s="1"/>
  <c r="K279" i="11"/>
  <c r="L279" i="11" s="1"/>
  <c r="K278" i="11"/>
  <c r="L278" i="11" s="1"/>
  <c r="K277" i="11"/>
  <c r="L277" i="11" s="1"/>
  <c r="K276" i="11"/>
  <c r="K275" i="11"/>
  <c r="L275" i="11" s="1"/>
  <c r="K274" i="11"/>
  <c r="L274" i="11" s="1"/>
  <c r="K273" i="11"/>
  <c r="K272" i="11"/>
  <c r="L272" i="11" s="1"/>
  <c r="K271" i="11"/>
  <c r="L271" i="11" s="1"/>
  <c r="K270" i="11"/>
  <c r="L270" i="11" s="1"/>
  <c r="K269" i="11"/>
  <c r="L269" i="11" s="1"/>
  <c r="K268" i="11"/>
  <c r="K267" i="11"/>
  <c r="L267" i="11" s="1"/>
  <c r="K266" i="11"/>
  <c r="L266" i="11" s="1"/>
  <c r="K265" i="11"/>
  <c r="L265" i="11" s="1"/>
  <c r="K264" i="11"/>
  <c r="L264" i="11" s="1"/>
  <c r="K263" i="11"/>
  <c r="L263" i="11" s="1"/>
  <c r="K262" i="11"/>
  <c r="L262" i="11" s="1"/>
  <c r="K261" i="11"/>
  <c r="L261" i="11" s="1"/>
  <c r="R260" i="11"/>
  <c r="Q260" i="11"/>
  <c r="K260" i="11"/>
  <c r="L260" i="11" s="1"/>
  <c r="R259" i="11"/>
  <c r="Q259" i="11"/>
  <c r="K259" i="11"/>
  <c r="L259" i="11" s="1"/>
  <c r="R258" i="11"/>
  <c r="Q258" i="11"/>
  <c r="K258" i="11"/>
  <c r="L258" i="11" s="1"/>
  <c r="R257" i="11"/>
  <c r="Q257" i="11"/>
  <c r="K257" i="11"/>
  <c r="R256" i="11"/>
  <c r="Q256" i="11"/>
  <c r="K256" i="11"/>
  <c r="S256" i="11" s="1"/>
  <c r="T256" i="11" s="1"/>
  <c r="R255" i="11"/>
  <c r="Q255" i="11"/>
  <c r="K255" i="11"/>
  <c r="R254" i="11"/>
  <c r="Q254" i="11"/>
  <c r="K254" i="11"/>
  <c r="L254" i="11" s="1"/>
  <c r="R253" i="11"/>
  <c r="Q253" i="11"/>
  <c r="K253" i="11"/>
  <c r="R252" i="11"/>
  <c r="Q252" i="11"/>
  <c r="K252" i="11"/>
  <c r="S252" i="11" s="1"/>
  <c r="R251" i="11"/>
  <c r="Q251" i="11"/>
  <c r="K251" i="11"/>
  <c r="R250" i="11"/>
  <c r="Q250" i="11"/>
  <c r="K250" i="11"/>
  <c r="S250" i="11" s="1"/>
  <c r="R249" i="11"/>
  <c r="Q249" i="11"/>
  <c r="K249" i="11"/>
  <c r="L249" i="11" s="1"/>
  <c r="R248" i="11"/>
  <c r="Q248" i="11"/>
  <c r="K248" i="11"/>
  <c r="L248" i="11" s="1"/>
  <c r="R247" i="11"/>
  <c r="Q247" i="11"/>
  <c r="K247" i="11"/>
  <c r="S247" i="11" s="1"/>
  <c r="R246" i="11"/>
  <c r="Q246" i="11"/>
  <c r="K246" i="11"/>
  <c r="R245" i="11"/>
  <c r="Q245" i="11"/>
  <c r="K245" i="11"/>
  <c r="K244" i="11"/>
  <c r="L244" i="11" s="1"/>
  <c r="R243" i="11"/>
  <c r="Q243" i="11"/>
  <c r="K243" i="11"/>
  <c r="R242" i="11"/>
  <c r="Q242" i="11"/>
  <c r="K242" i="11"/>
  <c r="R241" i="11"/>
  <c r="Q241" i="11"/>
  <c r="K241" i="11"/>
  <c r="S241" i="11" s="1"/>
  <c r="R240" i="11"/>
  <c r="Q240" i="11"/>
  <c r="K240" i="11"/>
  <c r="K239" i="11"/>
  <c r="L239" i="11" s="1"/>
  <c r="R238" i="11"/>
  <c r="Q238" i="11"/>
  <c r="K238" i="11"/>
  <c r="R237" i="11"/>
  <c r="Q237" i="11"/>
  <c r="K237" i="11"/>
  <c r="L237" i="11" s="1"/>
  <c r="K236" i="11"/>
  <c r="L236" i="11" s="1"/>
  <c r="R235" i="11"/>
  <c r="Q235" i="11"/>
  <c r="K235" i="11"/>
  <c r="K234" i="11"/>
  <c r="L234" i="11" s="1"/>
  <c r="R233" i="11"/>
  <c r="Q233" i="11"/>
  <c r="K233" i="11"/>
  <c r="S233" i="11" s="1"/>
  <c r="R232" i="11"/>
  <c r="Q232" i="11"/>
  <c r="K232" i="11"/>
  <c r="R231" i="11"/>
  <c r="Q231" i="11"/>
  <c r="K231" i="11"/>
  <c r="S231" i="11" s="1"/>
  <c r="K230" i="11"/>
  <c r="L230" i="11" s="1"/>
  <c r="K229" i="11"/>
  <c r="L229" i="11" s="1"/>
  <c r="K228" i="11"/>
  <c r="L228" i="11" s="1"/>
  <c r="K227" i="11"/>
  <c r="L227" i="11" s="1"/>
  <c r="K226" i="11"/>
  <c r="L226" i="11" s="1"/>
  <c r="R225" i="11"/>
  <c r="Q225" i="11"/>
  <c r="K225" i="11"/>
  <c r="R224" i="11"/>
  <c r="Q224" i="11"/>
  <c r="K224" i="11"/>
  <c r="L224" i="11" s="1"/>
  <c r="K223" i="11"/>
  <c r="K222" i="11"/>
  <c r="L222" i="11" s="1"/>
  <c r="R221" i="11"/>
  <c r="Q221" i="11"/>
  <c r="K221" i="11"/>
  <c r="S221" i="11" s="1"/>
  <c r="K220" i="11"/>
  <c r="L220" i="11" s="1"/>
  <c r="K219" i="11"/>
  <c r="L219" i="11" s="1"/>
  <c r="J219" i="11"/>
  <c r="R218" i="11"/>
  <c r="Q218" i="11"/>
  <c r="K218" i="11"/>
  <c r="S218" i="11" s="1"/>
  <c r="K217" i="11"/>
  <c r="L217" i="11" s="1"/>
  <c r="K216" i="11"/>
  <c r="L216" i="11" s="1"/>
  <c r="K215" i="11"/>
  <c r="L215" i="11" s="1"/>
  <c r="K214" i="11"/>
  <c r="L214" i="11" s="1"/>
  <c r="J214" i="11"/>
  <c r="K213" i="11"/>
  <c r="L213" i="11" s="1"/>
  <c r="R212" i="11"/>
  <c r="Q212" i="11"/>
  <c r="K212" i="11"/>
  <c r="S212" i="11" s="1"/>
  <c r="K211" i="11"/>
  <c r="L211" i="11" s="1"/>
  <c r="K210" i="11"/>
  <c r="L210" i="11" s="1"/>
  <c r="K209" i="11"/>
  <c r="L209" i="11" s="1"/>
  <c r="K208" i="11"/>
  <c r="L208" i="11" s="1"/>
  <c r="K207" i="11"/>
  <c r="L207" i="11" s="1"/>
  <c r="J207" i="11"/>
  <c r="K206" i="11"/>
  <c r="L206" i="11" s="1"/>
  <c r="R205" i="11"/>
  <c r="Q205" i="11"/>
  <c r="K205" i="11"/>
  <c r="K204" i="11"/>
  <c r="L204" i="11" s="1"/>
  <c r="K203" i="11"/>
  <c r="K202" i="11"/>
  <c r="L202" i="11" s="1"/>
  <c r="K201" i="11"/>
  <c r="L201" i="11" s="1"/>
  <c r="K200" i="11"/>
  <c r="L200" i="11" s="1"/>
  <c r="J200" i="11"/>
  <c r="K199" i="11"/>
  <c r="L199" i="11" s="1"/>
  <c r="K198" i="11"/>
  <c r="L198" i="11" s="1"/>
  <c r="K197" i="11"/>
  <c r="L197" i="11" s="1"/>
  <c r="K196" i="11"/>
  <c r="L196" i="11" s="1"/>
  <c r="K195" i="11"/>
  <c r="L195" i="11" s="1"/>
  <c r="K194" i="11"/>
  <c r="L194" i="11" s="1"/>
  <c r="K193" i="11"/>
  <c r="K192" i="11"/>
  <c r="L192" i="11" s="1"/>
  <c r="K191" i="11"/>
  <c r="L191" i="11" s="1"/>
  <c r="K190" i="11"/>
  <c r="L190" i="11" s="1"/>
  <c r="R189" i="11"/>
  <c r="Q189" i="11"/>
  <c r="K189" i="11"/>
  <c r="S189" i="11" s="1"/>
  <c r="T189" i="11" s="1"/>
  <c r="K188" i="11"/>
  <c r="L188" i="11" s="1"/>
  <c r="K187" i="11"/>
  <c r="L187" i="11" s="1"/>
  <c r="K186" i="11"/>
  <c r="L186" i="11" s="1"/>
  <c r="K185" i="11"/>
  <c r="L185" i="11" s="1"/>
  <c r="K184" i="11"/>
  <c r="L184" i="11" s="1"/>
  <c r="K183" i="11"/>
  <c r="L183" i="11" s="1"/>
  <c r="K182" i="11"/>
  <c r="L182" i="11" s="1"/>
  <c r="K181" i="11"/>
  <c r="L181" i="11" s="1"/>
  <c r="K180" i="11"/>
  <c r="L180" i="11" s="1"/>
  <c r="R179" i="11"/>
  <c r="Q179" i="11"/>
  <c r="K179" i="11"/>
  <c r="K178" i="11"/>
  <c r="R177" i="11"/>
  <c r="Q177" i="11"/>
  <c r="K177" i="11"/>
  <c r="L177" i="11" s="1"/>
  <c r="R176" i="11"/>
  <c r="Q176" i="11"/>
  <c r="K176" i="11"/>
  <c r="L176" i="11" s="1"/>
  <c r="K175" i="11"/>
  <c r="L175" i="11" s="1"/>
  <c r="K174" i="11"/>
  <c r="L174" i="11" s="1"/>
  <c r="K173" i="11"/>
  <c r="L173" i="11" s="1"/>
  <c r="R172" i="11"/>
  <c r="Q172" i="11"/>
  <c r="K172" i="11"/>
  <c r="K171" i="11"/>
  <c r="L171" i="11" s="1"/>
  <c r="R170" i="11"/>
  <c r="Q170" i="11"/>
  <c r="K170" i="11"/>
  <c r="K169" i="11"/>
  <c r="L169" i="11" s="1"/>
  <c r="K168" i="11"/>
  <c r="K167" i="11"/>
  <c r="L167" i="11" s="1"/>
  <c r="K166" i="11"/>
  <c r="L166" i="11" s="1"/>
  <c r="K165" i="11"/>
  <c r="L165" i="11" s="1"/>
  <c r="K164" i="11"/>
  <c r="L164" i="11" s="1"/>
  <c r="K163" i="11"/>
  <c r="L163" i="11" s="1"/>
  <c r="K162" i="11"/>
  <c r="L162" i="11" s="1"/>
  <c r="K161" i="11"/>
  <c r="L161" i="11" s="1"/>
  <c r="K160" i="11"/>
  <c r="L160" i="11" s="1"/>
  <c r="K159" i="11"/>
  <c r="K158" i="11"/>
  <c r="L158" i="11" s="1"/>
  <c r="K157" i="11"/>
  <c r="L157" i="11" s="1"/>
  <c r="K156" i="11"/>
  <c r="L156" i="11" s="1"/>
  <c r="K155" i="11"/>
  <c r="L155" i="11" s="1"/>
  <c r="R154" i="11"/>
  <c r="Q154" i="11"/>
  <c r="K154" i="11"/>
  <c r="K153" i="11"/>
  <c r="L153" i="11" s="1"/>
  <c r="K152" i="11"/>
  <c r="L152" i="11" s="1"/>
  <c r="K151" i="11"/>
  <c r="L151" i="11" s="1"/>
  <c r="K150" i="11"/>
  <c r="L150" i="11" s="1"/>
  <c r="R149" i="11"/>
  <c r="Q149" i="11"/>
  <c r="K149" i="11"/>
  <c r="K148" i="11"/>
  <c r="L148" i="11" s="1"/>
  <c r="R147" i="11"/>
  <c r="Q147" i="11"/>
  <c r="K147" i="11"/>
  <c r="S147" i="11" s="1"/>
  <c r="K146" i="11"/>
  <c r="L146" i="11" s="1"/>
  <c r="K145" i="11"/>
  <c r="L145" i="11" s="1"/>
  <c r="K144" i="11"/>
  <c r="L144" i="11" s="1"/>
  <c r="K143" i="11"/>
  <c r="L143" i="11" s="1"/>
  <c r="R142" i="11"/>
  <c r="Q142" i="11"/>
  <c r="K142" i="11"/>
  <c r="S142" i="11" s="1"/>
  <c r="K141" i="11"/>
  <c r="L141" i="11" s="1"/>
  <c r="K140" i="11"/>
  <c r="L140" i="11" s="1"/>
  <c r="R139" i="11"/>
  <c r="Q139" i="11"/>
  <c r="K139" i="11"/>
  <c r="S139" i="11" s="1"/>
  <c r="K138" i="11"/>
  <c r="L138" i="11" s="1"/>
  <c r="K137" i="11"/>
  <c r="L137" i="11" s="1"/>
  <c r="K136" i="11"/>
  <c r="L136" i="11" s="1"/>
  <c r="K135" i="11"/>
  <c r="L135" i="11" s="1"/>
  <c r="R134" i="11"/>
  <c r="Q134" i="11"/>
  <c r="K134" i="11"/>
  <c r="S134" i="11" s="1"/>
  <c r="T134" i="11" s="1"/>
  <c r="K133" i="11"/>
  <c r="L133" i="11" s="1"/>
  <c r="K132" i="11"/>
  <c r="L132" i="11" s="1"/>
  <c r="K131" i="11"/>
  <c r="L131" i="11" s="1"/>
  <c r="R130" i="11"/>
  <c r="Q130" i="11"/>
  <c r="K130" i="11"/>
  <c r="K129" i="11"/>
  <c r="L129" i="11" s="1"/>
  <c r="K128" i="11"/>
  <c r="L128" i="11" s="1"/>
  <c r="K127" i="11"/>
  <c r="L127" i="11" s="1"/>
  <c r="K126" i="11"/>
  <c r="L126" i="11" s="1"/>
  <c r="K125" i="11"/>
  <c r="L125" i="11" s="1"/>
  <c r="K124" i="11"/>
  <c r="K123" i="11"/>
  <c r="K122" i="11"/>
  <c r="L122" i="11" s="1"/>
  <c r="K121" i="11"/>
  <c r="L121" i="11" s="1"/>
  <c r="K120" i="11"/>
  <c r="L120" i="11" s="1"/>
  <c r="K119" i="11"/>
  <c r="L119" i="11" s="1"/>
  <c r="K118" i="11"/>
  <c r="L118" i="11" s="1"/>
  <c r="K117" i="11"/>
  <c r="L117" i="11" s="1"/>
  <c r="K116" i="11"/>
  <c r="L116" i="11" s="1"/>
  <c r="K115" i="11"/>
  <c r="L115" i="11" s="1"/>
  <c r="K114" i="11"/>
  <c r="L114" i="11" s="1"/>
  <c r="K113" i="11"/>
  <c r="K112" i="11"/>
  <c r="L112" i="11" s="1"/>
  <c r="K111" i="11"/>
  <c r="L111" i="11" s="1"/>
  <c r="K110" i="11"/>
  <c r="L110" i="11" s="1"/>
  <c r="R109" i="11"/>
  <c r="Q109" i="11"/>
  <c r="K109" i="11"/>
  <c r="R108" i="11"/>
  <c r="Q108" i="11"/>
  <c r="K108" i="11"/>
  <c r="L108" i="11" s="1"/>
  <c r="K107" i="11"/>
  <c r="L107" i="11" s="1"/>
  <c r="K106" i="11"/>
  <c r="L106" i="11" s="1"/>
  <c r="K105" i="11"/>
  <c r="L105" i="11" s="1"/>
  <c r="K104" i="11"/>
  <c r="L104" i="11" s="1"/>
  <c r="K103" i="11"/>
  <c r="L103" i="11" s="1"/>
  <c r="K102" i="11"/>
  <c r="L102" i="11" s="1"/>
  <c r="R101" i="11"/>
  <c r="Q101" i="11"/>
  <c r="K101" i="11"/>
  <c r="S101" i="11" s="1"/>
  <c r="K100" i="11"/>
  <c r="L100" i="11" s="1"/>
  <c r="K99" i="11"/>
  <c r="L99" i="11" s="1"/>
  <c r="K98" i="11"/>
  <c r="L98" i="11" s="1"/>
  <c r="K97" i="11"/>
  <c r="L97" i="11" s="1"/>
  <c r="K96" i="11"/>
  <c r="L96" i="11" s="1"/>
  <c r="K95" i="11"/>
  <c r="L95" i="11" s="1"/>
  <c r="R94" i="11"/>
  <c r="Q94" i="11"/>
  <c r="K94" i="11"/>
  <c r="L94" i="11" s="1"/>
  <c r="K93" i="11"/>
  <c r="L93" i="11" s="1"/>
  <c r="K92" i="11"/>
  <c r="L92" i="11" s="1"/>
  <c r="K91" i="11"/>
  <c r="L91" i="11" s="1"/>
  <c r="K90" i="11"/>
  <c r="L90" i="11" s="1"/>
  <c r="K89" i="11"/>
  <c r="L89" i="11" s="1"/>
  <c r="K88" i="11"/>
  <c r="K87" i="11"/>
  <c r="L87" i="11" s="1"/>
  <c r="K86" i="11"/>
  <c r="L86" i="11" s="1"/>
  <c r="K85" i="11"/>
  <c r="L85" i="11" s="1"/>
  <c r="K84" i="11"/>
  <c r="L84" i="11" s="1"/>
  <c r="K83" i="11"/>
  <c r="L83" i="11" s="1"/>
  <c r="K82" i="11"/>
  <c r="L82" i="11" s="1"/>
  <c r="K81" i="11"/>
  <c r="L81" i="11" s="1"/>
  <c r="K80" i="11"/>
  <c r="L80" i="11" s="1"/>
  <c r="R79" i="11"/>
  <c r="Q79" i="11"/>
  <c r="K79" i="11"/>
  <c r="R78" i="11"/>
  <c r="Q78" i="11"/>
  <c r="K78" i="11"/>
  <c r="L78" i="11" s="1"/>
  <c r="K77" i="11"/>
  <c r="L77" i="11" s="1"/>
  <c r="K76" i="11"/>
  <c r="L76" i="11" s="1"/>
  <c r="K75" i="11"/>
  <c r="L75" i="11" s="1"/>
  <c r="K74" i="11"/>
  <c r="L74" i="11" s="1"/>
  <c r="K73" i="11"/>
  <c r="L73" i="11" s="1"/>
  <c r="K72" i="11"/>
  <c r="L72" i="11" s="1"/>
  <c r="K71" i="11"/>
  <c r="L71" i="11" s="1"/>
  <c r="K70" i="11"/>
  <c r="L70" i="11" s="1"/>
  <c r="K69" i="11"/>
  <c r="L69" i="11" s="1"/>
  <c r="K68" i="11"/>
  <c r="L68" i="11" s="1"/>
  <c r="R67" i="11"/>
  <c r="Q67" i="11"/>
  <c r="K67" i="11"/>
  <c r="L67" i="11" s="1"/>
  <c r="R66" i="11"/>
  <c r="Q66" i="11"/>
  <c r="K66" i="11"/>
  <c r="L66" i="11" s="1"/>
  <c r="K65" i="11"/>
  <c r="L65" i="11" s="1"/>
  <c r="K64" i="11"/>
  <c r="L64" i="11" s="1"/>
  <c r="R63" i="11"/>
  <c r="Q63" i="11"/>
  <c r="K63" i="11"/>
  <c r="L63" i="11" s="1"/>
  <c r="K62" i="11"/>
  <c r="L62" i="11" s="1"/>
  <c r="K61" i="11"/>
  <c r="L61" i="11" s="1"/>
  <c r="R60" i="11"/>
  <c r="Q60" i="11"/>
  <c r="K60" i="11"/>
  <c r="K59" i="11"/>
  <c r="L59" i="11" s="1"/>
  <c r="K58" i="11"/>
  <c r="L58" i="11" s="1"/>
  <c r="R57" i="11"/>
  <c r="Q57" i="11"/>
  <c r="K57" i="11"/>
  <c r="L57" i="11" s="1"/>
  <c r="K56" i="11"/>
  <c r="L56" i="11" s="1"/>
  <c r="R55" i="11"/>
  <c r="Q55" i="11"/>
  <c r="K55" i="11"/>
  <c r="S55" i="11" s="1"/>
  <c r="K54" i="11"/>
  <c r="K53" i="11"/>
  <c r="L53" i="11" s="1"/>
  <c r="K52" i="11"/>
  <c r="L52" i="11" s="1"/>
  <c r="K51" i="11"/>
  <c r="L51" i="11" s="1"/>
  <c r="J51" i="11"/>
  <c r="K50" i="11"/>
  <c r="L50" i="11" s="1"/>
  <c r="J50" i="11"/>
  <c r="K49" i="11"/>
  <c r="L49" i="11" s="1"/>
  <c r="K48" i="11"/>
  <c r="L48" i="11" s="1"/>
  <c r="K47" i="11"/>
  <c r="L47" i="11" s="1"/>
  <c r="K46" i="11"/>
  <c r="L46" i="11" s="1"/>
  <c r="K45" i="11"/>
  <c r="L45" i="11" s="1"/>
  <c r="J45" i="11"/>
  <c r="K44" i="11"/>
  <c r="K43" i="11"/>
  <c r="L43" i="11" s="1"/>
  <c r="K42" i="11"/>
  <c r="L42" i="11" s="1"/>
  <c r="K41" i="11"/>
  <c r="L41" i="11" s="1"/>
  <c r="K40" i="11"/>
  <c r="L40" i="11" s="1"/>
  <c r="K39" i="11"/>
  <c r="L39" i="11" s="1"/>
  <c r="K38" i="11"/>
  <c r="L38" i="11" s="1"/>
  <c r="R37" i="11"/>
  <c r="Q37" i="11"/>
  <c r="K37" i="11"/>
  <c r="S37" i="11" s="1"/>
  <c r="K36" i="11"/>
  <c r="L36" i="11" s="1"/>
  <c r="K35" i="11"/>
  <c r="L35" i="11" s="1"/>
  <c r="K34" i="11"/>
  <c r="K33" i="11"/>
  <c r="L33" i="11" s="1"/>
  <c r="K32" i="11"/>
  <c r="L32" i="11" s="1"/>
  <c r="K30" i="11"/>
  <c r="L30" i="11" s="1"/>
  <c r="K29" i="11"/>
  <c r="L29" i="11" s="1"/>
  <c r="K28" i="11"/>
  <c r="L28" i="11" s="1"/>
  <c r="K27" i="11"/>
  <c r="L27" i="11" s="1"/>
  <c r="K26" i="11"/>
  <c r="L26" i="11" s="1"/>
  <c r="K25" i="11"/>
  <c r="K24" i="11"/>
  <c r="L24" i="11" s="1"/>
  <c r="K23" i="11"/>
  <c r="K22" i="11"/>
  <c r="L22" i="11" s="1"/>
  <c r="K21" i="11"/>
  <c r="L21" i="11" s="1"/>
  <c r="K20" i="11"/>
  <c r="L20" i="11" s="1"/>
  <c r="K19" i="11"/>
  <c r="L19" i="11" s="1"/>
  <c r="K18" i="11"/>
  <c r="L18" i="11" s="1"/>
  <c r="K17" i="11"/>
  <c r="L17" i="11" s="1"/>
  <c r="K16" i="11"/>
  <c r="L16" i="11" s="1"/>
  <c r="R15" i="11"/>
  <c r="Q15" i="11"/>
  <c r="K15" i="11"/>
  <c r="S15" i="11" s="1"/>
  <c r="R14" i="11"/>
  <c r="Q14" i="11"/>
  <c r="K14" i="11"/>
  <c r="S14" i="11" s="1"/>
  <c r="K13" i="11"/>
  <c r="L13" i="11" s="1"/>
  <c r="R12" i="11"/>
  <c r="Q12" i="11"/>
  <c r="K12" i="11"/>
  <c r="S12" i="11" s="1"/>
  <c r="R11" i="11"/>
  <c r="Q11" i="11"/>
  <c r="K11" i="11"/>
  <c r="L11" i="11" s="1"/>
  <c r="K10" i="11"/>
  <c r="L10" i="11" s="1"/>
  <c r="K9" i="11"/>
  <c r="L9" i="11" s="1"/>
  <c r="R8" i="11"/>
  <c r="Q8" i="11"/>
  <c r="K8" i="11"/>
  <c r="L8" i="11" s="1"/>
  <c r="R7" i="11"/>
  <c r="Q7" i="11"/>
  <c r="K7" i="11"/>
  <c r="S7" i="11" s="1"/>
  <c r="K6" i="11"/>
  <c r="L6" i="11" s="1"/>
  <c r="I745" i="9"/>
  <c r="K741" i="9"/>
  <c r="K742" i="9" s="1"/>
  <c r="I738" i="9" s="1"/>
  <c r="J728" i="9"/>
  <c r="F48" i="9"/>
  <c r="I47" i="9"/>
  <c r="I30" i="9"/>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8" i="6"/>
  <c r="H519" i="6"/>
  <c r="H520" i="6"/>
  <c r="H521" i="6"/>
  <c r="H522" i="6"/>
  <c r="H523" i="6"/>
  <c r="H524" i="6"/>
  <c r="H525" i="6"/>
  <c r="H526" i="6"/>
  <c r="H527" i="6"/>
  <c r="H528" i="6"/>
  <c r="H529" i="6"/>
  <c r="H530" i="6"/>
  <c r="H531" i="6"/>
  <c r="H532" i="6"/>
  <c r="H533" i="6"/>
  <c r="H534" i="6"/>
  <c r="H535" i="6"/>
  <c r="H536" i="6"/>
  <c r="H537" i="6"/>
  <c r="H538" i="6"/>
  <c r="H539" i="6"/>
  <c r="H540" i="6"/>
  <c r="H6" i="6"/>
  <c r="G730" i="9"/>
  <c r="I548" i="10"/>
  <c r="N540" i="10"/>
  <c r="L540" i="10"/>
  <c r="M540" i="10" s="1"/>
  <c r="O540" i="10" s="1"/>
  <c r="G540" i="10"/>
  <c r="N539" i="10"/>
  <c r="L539" i="10"/>
  <c r="M539" i="10" s="1"/>
  <c r="O539" i="10" s="1"/>
  <c r="G539" i="10"/>
  <c r="N538" i="10"/>
  <c r="L538" i="10"/>
  <c r="M538" i="10" s="1"/>
  <c r="O538" i="10" s="1"/>
  <c r="G538" i="10"/>
  <c r="N537" i="10"/>
  <c r="L537" i="10"/>
  <c r="M537" i="10" s="1"/>
  <c r="O537" i="10" s="1"/>
  <c r="G537" i="10"/>
  <c r="N536" i="10"/>
  <c r="L536" i="10"/>
  <c r="M536" i="10" s="1"/>
  <c r="O536" i="10" s="1"/>
  <c r="G536" i="10"/>
  <c r="N535" i="10"/>
  <c r="L535" i="10"/>
  <c r="M535" i="10" s="1"/>
  <c r="O535" i="10" s="1"/>
  <c r="G535" i="10"/>
  <c r="N534" i="10"/>
  <c r="L534" i="10"/>
  <c r="M534" i="10" s="1"/>
  <c r="O534" i="10" s="1"/>
  <c r="G534" i="10"/>
  <c r="N533" i="10"/>
  <c r="L533" i="10"/>
  <c r="M533" i="10" s="1"/>
  <c r="O533" i="10" s="1"/>
  <c r="G533" i="10"/>
  <c r="N532" i="10"/>
  <c r="L532" i="10"/>
  <c r="M532" i="10" s="1"/>
  <c r="O532" i="10" s="1"/>
  <c r="G532" i="10"/>
  <c r="N531" i="10"/>
  <c r="L531" i="10"/>
  <c r="M531" i="10" s="1"/>
  <c r="O531" i="10" s="1"/>
  <c r="G531" i="10"/>
  <c r="N530" i="10"/>
  <c r="G530" i="10"/>
  <c r="N529" i="10"/>
  <c r="G529" i="10"/>
  <c r="N528" i="10"/>
  <c r="G528" i="10"/>
  <c r="N527" i="10"/>
  <c r="G527" i="10"/>
  <c r="N526" i="10"/>
  <c r="G526" i="10"/>
  <c r="N525" i="10"/>
  <c r="G525" i="10"/>
  <c r="N524" i="10"/>
  <c r="G524" i="10"/>
  <c r="N523" i="10"/>
  <c r="G523" i="10"/>
  <c r="N522" i="10"/>
  <c r="G522" i="10"/>
  <c r="N521" i="10"/>
  <c r="G521" i="10"/>
  <c r="N520" i="10"/>
  <c r="G520" i="10"/>
  <c r="N519" i="10"/>
  <c r="G519" i="10"/>
  <c r="N518" i="10"/>
  <c r="G518" i="10"/>
  <c r="N517" i="10"/>
  <c r="G517" i="10"/>
  <c r="N516" i="10"/>
  <c r="G516" i="10"/>
  <c r="N515" i="10"/>
  <c r="G515" i="10"/>
  <c r="N514" i="10"/>
  <c r="G514" i="10"/>
  <c r="N513" i="10"/>
  <c r="G513" i="10"/>
  <c r="N512" i="10"/>
  <c r="G512" i="10"/>
  <c r="N511" i="10"/>
  <c r="G511" i="10"/>
  <c r="N510" i="10"/>
  <c r="G510" i="10"/>
  <c r="N509" i="10"/>
  <c r="G509" i="10"/>
  <c r="N508" i="10"/>
  <c r="G508" i="10"/>
  <c r="N507" i="10"/>
  <c r="G507" i="10"/>
  <c r="N506" i="10"/>
  <c r="G506" i="10"/>
  <c r="N505" i="10"/>
  <c r="G505" i="10"/>
  <c r="N504" i="10"/>
  <c r="G504" i="10"/>
  <c r="N503" i="10"/>
  <c r="G503" i="10"/>
  <c r="N502" i="10"/>
  <c r="G502" i="10"/>
  <c r="N501" i="10"/>
  <c r="G501" i="10"/>
  <c r="N500" i="10"/>
  <c r="G500" i="10"/>
  <c r="N499" i="10"/>
  <c r="G499" i="10"/>
  <c r="N498" i="10"/>
  <c r="G498" i="10"/>
  <c r="N497" i="10"/>
  <c r="G497" i="10"/>
  <c r="N496" i="10"/>
  <c r="G496" i="10"/>
  <c r="N495" i="10"/>
  <c r="G495" i="10"/>
  <c r="N494" i="10"/>
  <c r="G494" i="10"/>
  <c r="N493" i="10"/>
  <c r="G493" i="10"/>
  <c r="N492" i="10"/>
  <c r="G492" i="10"/>
  <c r="N491" i="10"/>
  <c r="G491" i="10"/>
  <c r="N490" i="10"/>
  <c r="G490" i="10"/>
  <c r="N489" i="10"/>
  <c r="G489" i="10"/>
  <c r="N488" i="10"/>
  <c r="G488" i="10"/>
  <c r="N487" i="10"/>
  <c r="G487" i="10"/>
  <c r="N486" i="10"/>
  <c r="G486" i="10"/>
  <c r="N485" i="10"/>
  <c r="G485" i="10"/>
  <c r="N484" i="10"/>
  <c r="G484" i="10"/>
  <c r="N483" i="10"/>
  <c r="G483" i="10"/>
  <c r="N482" i="10"/>
  <c r="G482" i="10"/>
  <c r="N481" i="10"/>
  <c r="G481" i="10"/>
  <c r="N480" i="10"/>
  <c r="G480" i="10"/>
  <c r="N479" i="10"/>
  <c r="G479" i="10"/>
  <c r="N478" i="10"/>
  <c r="G478" i="10"/>
  <c r="N477" i="10"/>
  <c r="G477" i="10"/>
  <c r="N476" i="10"/>
  <c r="G476" i="10"/>
  <c r="N475" i="10"/>
  <c r="G475" i="10"/>
  <c r="N474" i="10"/>
  <c r="G474" i="10"/>
  <c r="N473" i="10"/>
  <c r="G473" i="10"/>
  <c r="N472" i="10"/>
  <c r="G472" i="10"/>
  <c r="N471" i="10"/>
  <c r="G471" i="10"/>
  <c r="N470" i="10"/>
  <c r="G470" i="10"/>
  <c r="N469" i="10"/>
  <c r="G469" i="10"/>
  <c r="N468" i="10"/>
  <c r="G468" i="10"/>
  <c r="N467" i="10"/>
  <c r="G467" i="10"/>
  <c r="N466" i="10"/>
  <c r="G466" i="10"/>
  <c r="N465" i="10"/>
  <c r="G465" i="10"/>
  <c r="N464" i="10"/>
  <c r="G464" i="10"/>
  <c r="N463" i="10"/>
  <c r="L463" i="10"/>
  <c r="M463" i="10" s="1"/>
  <c r="O463" i="10" s="1"/>
  <c r="G463" i="10"/>
  <c r="N462" i="10"/>
  <c r="L462" i="10"/>
  <c r="M462" i="10" s="1"/>
  <c r="O462" i="10" s="1"/>
  <c r="G462" i="10"/>
  <c r="N461" i="10"/>
  <c r="G461" i="10"/>
  <c r="N460" i="10"/>
  <c r="G460" i="10"/>
  <c r="N459" i="10"/>
  <c r="G459" i="10"/>
  <c r="N458" i="10"/>
  <c r="G458" i="10"/>
  <c r="N457" i="10"/>
  <c r="G457" i="10"/>
  <c r="N456" i="10"/>
  <c r="G456" i="10"/>
  <c r="N455" i="10"/>
  <c r="G455" i="10"/>
  <c r="N454" i="10"/>
  <c r="G454" i="10"/>
  <c r="N453" i="10"/>
  <c r="G453" i="10"/>
  <c r="N452" i="10"/>
  <c r="G452" i="10"/>
  <c r="N451" i="10"/>
  <c r="G451" i="10"/>
  <c r="N450" i="10"/>
  <c r="G450" i="10"/>
  <c r="N449" i="10"/>
  <c r="G449" i="10"/>
  <c r="N448" i="10"/>
  <c r="G448" i="10"/>
  <c r="N447" i="10"/>
  <c r="G447" i="10"/>
  <c r="N446" i="10"/>
  <c r="G446" i="10"/>
  <c r="N445" i="10"/>
  <c r="G445" i="10"/>
  <c r="N444" i="10"/>
  <c r="G444" i="10"/>
  <c r="N443" i="10"/>
  <c r="G443" i="10"/>
  <c r="N442" i="10"/>
  <c r="G442" i="10"/>
  <c r="N441" i="10"/>
  <c r="G441" i="10"/>
  <c r="N440" i="10"/>
  <c r="G440" i="10"/>
  <c r="N439" i="10"/>
  <c r="G439" i="10"/>
  <c r="N438" i="10"/>
  <c r="G438" i="10"/>
  <c r="N437" i="10"/>
  <c r="G437" i="10"/>
  <c r="N436" i="10"/>
  <c r="G436" i="10"/>
  <c r="N435" i="10"/>
  <c r="G435" i="10"/>
  <c r="N434" i="10"/>
  <c r="G434" i="10"/>
  <c r="N433" i="10"/>
  <c r="G433" i="10"/>
  <c r="N432" i="10"/>
  <c r="G432" i="10"/>
  <c r="N431" i="10"/>
  <c r="G431" i="10"/>
  <c r="N430" i="10"/>
  <c r="G430" i="10"/>
  <c r="N429" i="10"/>
  <c r="G429" i="10"/>
  <c r="N428" i="10"/>
  <c r="G428" i="10"/>
  <c r="N427" i="10"/>
  <c r="G427" i="10"/>
  <c r="N426" i="10"/>
  <c r="G426" i="10"/>
  <c r="N425" i="10"/>
  <c r="G425" i="10"/>
  <c r="N424" i="10"/>
  <c r="G424" i="10"/>
  <c r="N423" i="10"/>
  <c r="G423" i="10"/>
  <c r="N422" i="10"/>
  <c r="G422" i="10"/>
  <c r="N421" i="10"/>
  <c r="G421" i="10"/>
  <c r="N420" i="10"/>
  <c r="G420" i="10"/>
  <c r="N419" i="10"/>
  <c r="G419" i="10"/>
  <c r="N418" i="10"/>
  <c r="G418" i="10"/>
  <c r="N417" i="10"/>
  <c r="G417" i="10"/>
  <c r="N416" i="10"/>
  <c r="G416" i="10"/>
  <c r="N415" i="10"/>
  <c r="G415" i="10"/>
  <c r="N414" i="10"/>
  <c r="G414" i="10"/>
  <c r="N413" i="10"/>
  <c r="G413" i="10"/>
  <c r="N412" i="10"/>
  <c r="G412" i="10"/>
  <c r="N411" i="10"/>
  <c r="G411" i="10"/>
  <c r="N410" i="10"/>
  <c r="G410" i="10"/>
  <c r="N409" i="10"/>
  <c r="G409" i="10"/>
  <c r="N408" i="10"/>
  <c r="G408" i="10"/>
  <c r="N407" i="10"/>
  <c r="G407" i="10"/>
  <c r="N406" i="10"/>
  <c r="L406" i="10"/>
  <c r="M406" i="10" s="1"/>
  <c r="O406" i="10" s="1"/>
  <c r="G406" i="10"/>
  <c r="N405" i="10"/>
  <c r="G405" i="10"/>
  <c r="N404" i="10"/>
  <c r="G404" i="10"/>
  <c r="N403" i="10"/>
  <c r="G403" i="10"/>
  <c r="N402" i="10"/>
  <c r="G402" i="10"/>
  <c r="N401" i="10"/>
  <c r="G401" i="10"/>
  <c r="N400" i="10"/>
  <c r="G400" i="10"/>
  <c r="N399" i="10"/>
  <c r="G399" i="10"/>
  <c r="N398" i="10"/>
  <c r="G398" i="10"/>
  <c r="N397" i="10"/>
  <c r="L397" i="10"/>
  <c r="M397" i="10" s="1"/>
  <c r="O397" i="10" s="1"/>
  <c r="G397" i="10"/>
  <c r="N396" i="10"/>
  <c r="G396" i="10"/>
  <c r="N395" i="10"/>
  <c r="G395" i="10"/>
  <c r="N394" i="10"/>
  <c r="G394" i="10"/>
  <c r="N393" i="10"/>
  <c r="G393" i="10"/>
  <c r="N392" i="10"/>
  <c r="G392" i="10"/>
  <c r="N391" i="10"/>
  <c r="G391" i="10"/>
  <c r="N390" i="10"/>
  <c r="G390" i="10"/>
  <c r="N389" i="10"/>
  <c r="G389" i="10"/>
  <c r="N388" i="10"/>
  <c r="G388" i="10"/>
  <c r="N387" i="10"/>
  <c r="G387" i="10"/>
  <c r="N386" i="10"/>
  <c r="G386" i="10"/>
  <c r="N385" i="10"/>
  <c r="G385" i="10"/>
  <c r="N384" i="10"/>
  <c r="G384" i="10"/>
  <c r="N383" i="10"/>
  <c r="G383" i="10"/>
  <c r="N382" i="10"/>
  <c r="G382" i="10"/>
  <c r="N381" i="10"/>
  <c r="G381" i="10"/>
  <c r="N380" i="10"/>
  <c r="G380" i="10"/>
  <c r="N379" i="10"/>
  <c r="G379" i="10"/>
  <c r="N378" i="10"/>
  <c r="G378" i="10"/>
  <c r="N377" i="10"/>
  <c r="G377" i="10"/>
  <c r="N376" i="10"/>
  <c r="G376" i="10"/>
  <c r="N375" i="10"/>
  <c r="L375" i="10"/>
  <c r="M375" i="10" s="1"/>
  <c r="O375" i="10" s="1"/>
  <c r="G375" i="10"/>
  <c r="N374" i="10"/>
  <c r="G374" i="10"/>
  <c r="N373" i="10"/>
  <c r="G373" i="10"/>
  <c r="N372" i="10"/>
  <c r="G372" i="10"/>
  <c r="N371" i="10"/>
  <c r="G371" i="10"/>
  <c r="N370" i="10"/>
  <c r="L370" i="10"/>
  <c r="M370" i="10" s="1"/>
  <c r="O370" i="10" s="1"/>
  <c r="G370" i="10"/>
  <c r="N369" i="10"/>
  <c r="L369" i="10"/>
  <c r="M369" i="10" s="1"/>
  <c r="O369" i="10" s="1"/>
  <c r="G369" i="10"/>
  <c r="N368" i="10"/>
  <c r="G368" i="10"/>
  <c r="N367" i="10"/>
  <c r="G367" i="10"/>
  <c r="N366" i="10"/>
  <c r="G366" i="10"/>
  <c r="N365" i="10"/>
  <c r="G365" i="10"/>
  <c r="N364" i="10"/>
  <c r="L364" i="10"/>
  <c r="M364" i="10" s="1"/>
  <c r="O364" i="10" s="1"/>
  <c r="G364" i="10"/>
  <c r="N363" i="10"/>
  <c r="G363" i="10"/>
  <c r="N362" i="10"/>
  <c r="G362" i="10"/>
  <c r="N361" i="10"/>
  <c r="L361" i="10"/>
  <c r="M361" i="10" s="1"/>
  <c r="O361" i="10" s="1"/>
  <c r="G361" i="10"/>
  <c r="N360" i="10"/>
  <c r="L360" i="10"/>
  <c r="M360" i="10" s="1"/>
  <c r="O360" i="10" s="1"/>
  <c r="G360" i="10"/>
  <c r="N359" i="10"/>
  <c r="G359" i="10"/>
  <c r="N358" i="10"/>
  <c r="G358" i="10"/>
  <c r="N357" i="10"/>
  <c r="G357" i="10"/>
  <c r="N356" i="10"/>
  <c r="G356" i="10"/>
  <c r="N355" i="10"/>
  <c r="L355" i="10"/>
  <c r="M355" i="10" s="1"/>
  <c r="O355" i="10" s="1"/>
  <c r="G355" i="10"/>
  <c r="N354" i="10"/>
  <c r="L354" i="10"/>
  <c r="M354" i="10" s="1"/>
  <c r="O354" i="10" s="1"/>
  <c r="G354" i="10"/>
  <c r="N353" i="10"/>
  <c r="L353" i="10"/>
  <c r="M353" i="10" s="1"/>
  <c r="O353" i="10" s="1"/>
  <c r="G353" i="10"/>
  <c r="N352" i="10"/>
  <c r="L352" i="10"/>
  <c r="M352" i="10" s="1"/>
  <c r="O352" i="10" s="1"/>
  <c r="G352" i="10"/>
  <c r="N351" i="10"/>
  <c r="G351" i="10"/>
  <c r="N350" i="10"/>
  <c r="G350" i="10"/>
  <c r="N349" i="10"/>
  <c r="L349" i="10"/>
  <c r="M349" i="10" s="1"/>
  <c r="O349" i="10" s="1"/>
  <c r="G349" i="10"/>
  <c r="N348" i="10"/>
  <c r="L348" i="10"/>
  <c r="M348" i="10" s="1"/>
  <c r="O348" i="10" s="1"/>
  <c r="G348" i="10"/>
  <c r="N347" i="10"/>
  <c r="L347" i="10"/>
  <c r="M347" i="10" s="1"/>
  <c r="O347" i="10" s="1"/>
  <c r="G347" i="10"/>
  <c r="N346" i="10"/>
  <c r="G346" i="10"/>
  <c r="N345" i="10"/>
  <c r="L345" i="10"/>
  <c r="M345" i="10" s="1"/>
  <c r="O345" i="10" s="1"/>
  <c r="G345" i="10"/>
  <c r="N344" i="10"/>
  <c r="L344" i="10"/>
  <c r="M344" i="10" s="1"/>
  <c r="O344" i="10" s="1"/>
  <c r="G344" i="10"/>
  <c r="N343" i="10"/>
  <c r="G343" i="10"/>
  <c r="N342" i="10"/>
  <c r="G342" i="10"/>
  <c r="N341" i="10"/>
  <c r="G341" i="10"/>
  <c r="N340" i="10"/>
  <c r="G340" i="10"/>
  <c r="N339" i="10"/>
  <c r="G339" i="10"/>
  <c r="N338" i="10"/>
  <c r="G338" i="10"/>
  <c r="N337" i="10"/>
  <c r="G337" i="10"/>
  <c r="N336" i="10"/>
  <c r="G336" i="10"/>
  <c r="N335" i="10"/>
  <c r="L335" i="10"/>
  <c r="M335" i="10" s="1"/>
  <c r="O335" i="10" s="1"/>
  <c r="G335" i="10"/>
  <c r="N334" i="10"/>
  <c r="G334" i="10"/>
  <c r="N333" i="10"/>
  <c r="G333" i="10"/>
  <c r="N332" i="10"/>
  <c r="L332" i="10"/>
  <c r="M332" i="10" s="1"/>
  <c r="O332" i="10" s="1"/>
  <c r="G332" i="10"/>
  <c r="N331" i="10"/>
  <c r="G331" i="10"/>
  <c r="N330" i="10"/>
  <c r="G330" i="10"/>
  <c r="N329" i="10"/>
  <c r="G329" i="10"/>
  <c r="N328" i="10"/>
  <c r="G328" i="10"/>
  <c r="N327" i="10"/>
  <c r="G327" i="10"/>
  <c r="N326" i="10"/>
  <c r="G326" i="10"/>
  <c r="N325" i="10"/>
  <c r="G325" i="10"/>
  <c r="N324" i="10"/>
  <c r="G324" i="10"/>
  <c r="N323" i="10"/>
  <c r="G323" i="10"/>
  <c r="N322" i="10"/>
  <c r="G322" i="10"/>
  <c r="N321" i="10"/>
  <c r="G321" i="10"/>
  <c r="N320" i="10"/>
  <c r="G320" i="10"/>
  <c r="N319" i="10"/>
  <c r="L319" i="10"/>
  <c r="M319" i="10" s="1"/>
  <c r="O319" i="10" s="1"/>
  <c r="G319" i="10"/>
  <c r="N318" i="10"/>
  <c r="L318" i="10"/>
  <c r="M318" i="10" s="1"/>
  <c r="O318" i="10" s="1"/>
  <c r="G318" i="10"/>
  <c r="N317" i="10"/>
  <c r="G317" i="10"/>
  <c r="N316" i="10"/>
  <c r="G316" i="10"/>
  <c r="N315" i="10"/>
  <c r="G315" i="10"/>
  <c r="N314" i="10"/>
  <c r="L314" i="10"/>
  <c r="M314" i="10" s="1"/>
  <c r="O314" i="10" s="1"/>
  <c r="G314" i="10"/>
  <c r="N313" i="10"/>
  <c r="G313" i="10"/>
  <c r="N312" i="10"/>
  <c r="L312" i="10"/>
  <c r="M312" i="10" s="1"/>
  <c r="O312" i="10" s="1"/>
  <c r="G312" i="10"/>
  <c r="N311" i="10"/>
  <c r="G311" i="10"/>
  <c r="N310" i="10"/>
  <c r="G310" i="10"/>
  <c r="N309" i="10"/>
  <c r="L309" i="10"/>
  <c r="M309" i="10" s="1"/>
  <c r="O309" i="10" s="1"/>
  <c r="G309" i="10"/>
  <c r="N308" i="10"/>
  <c r="G308" i="10"/>
  <c r="N307" i="10"/>
  <c r="G307" i="10"/>
  <c r="N306" i="10"/>
  <c r="G306" i="10"/>
  <c r="N305" i="10"/>
  <c r="G305" i="10"/>
  <c r="N304" i="10"/>
  <c r="G304" i="10"/>
  <c r="N303" i="10"/>
  <c r="G303" i="10"/>
  <c r="N302" i="10"/>
  <c r="G302" i="10"/>
  <c r="N301" i="10"/>
  <c r="G301" i="10"/>
  <c r="N300" i="10"/>
  <c r="G300" i="10"/>
  <c r="N299" i="10"/>
  <c r="L299" i="10"/>
  <c r="M299" i="10" s="1"/>
  <c r="O299" i="10" s="1"/>
  <c r="G299" i="10"/>
  <c r="N298" i="10"/>
  <c r="G298" i="10"/>
  <c r="N297" i="10"/>
  <c r="G297" i="10"/>
  <c r="N296" i="10"/>
  <c r="L296" i="10"/>
  <c r="M296" i="10" s="1"/>
  <c r="O296" i="10" s="1"/>
  <c r="G296" i="10"/>
  <c r="N295" i="10"/>
  <c r="G295" i="10"/>
  <c r="N294" i="10"/>
  <c r="G294" i="10"/>
  <c r="N293" i="10"/>
  <c r="G293" i="10"/>
  <c r="N292" i="10"/>
  <c r="G292" i="10"/>
  <c r="N291" i="10"/>
  <c r="G291" i="10"/>
  <c r="N290" i="10"/>
  <c r="G290" i="10"/>
  <c r="N289" i="10"/>
  <c r="G289" i="10"/>
  <c r="N288" i="10"/>
  <c r="G288" i="10"/>
  <c r="N287" i="10"/>
  <c r="G287" i="10"/>
  <c r="N286" i="10"/>
  <c r="G286" i="10"/>
  <c r="N285" i="10"/>
  <c r="G285" i="10"/>
  <c r="N284" i="10"/>
  <c r="G284" i="10"/>
  <c r="N283" i="10"/>
  <c r="G283" i="10"/>
  <c r="N282" i="10"/>
  <c r="G282" i="10"/>
  <c r="N281" i="10"/>
  <c r="G281" i="10"/>
  <c r="N280" i="10"/>
  <c r="G280" i="10"/>
  <c r="N279" i="10"/>
  <c r="G279" i="10"/>
  <c r="N278" i="10"/>
  <c r="G278" i="10"/>
  <c r="N277" i="10"/>
  <c r="G277" i="10"/>
  <c r="N276" i="10"/>
  <c r="G276" i="10"/>
  <c r="N275" i="10"/>
  <c r="G275" i="10"/>
  <c r="N274" i="10"/>
  <c r="G274" i="10"/>
  <c r="N273" i="10"/>
  <c r="G273" i="10"/>
  <c r="N272" i="10"/>
  <c r="G272" i="10"/>
  <c r="N271" i="10"/>
  <c r="G271" i="10"/>
  <c r="N270" i="10"/>
  <c r="G270" i="10"/>
  <c r="N269" i="10"/>
  <c r="G269" i="10"/>
  <c r="N268" i="10"/>
  <c r="G268" i="10"/>
  <c r="N267" i="10"/>
  <c r="G267" i="10"/>
  <c r="N266" i="10"/>
  <c r="G266" i="10"/>
  <c r="N265" i="10"/>
  <c r="G265" i="10"/>
  <c r="N264" i="10"/>
  <c r="G264" i="10"/>
  <c r="N263" i="10"/>
  <c r="G263" i="10"/>
  <c r="N262" i="10"/>
  <c r="G262" i="10"/>
  <c r="N261" i="10"/>
  <c r="G261" i="10"/>
  <c r="N260" i="10"/>
  <c r="G260" i="10"/>
  <c r="N259" i="10"/>
  <c r="G259" i="10"/>
  <c r="N258" i="10"/>
  <c r="G258" i="10"/>
  <c r="N257" i="10"/>
  <c r="G257" i="10"/>
  <c r="N256" i="10"/>
  <c r="G256" i="10"/>
  <c r="N255" i="10"/>
  <c r="G255" i="10"/>
  <c r="N254" i="10"/>
  <c r="G254" i="10"/>
  <c r="N253" i="10"/>
  <c r="G253" i="10"/>
  <c r="N252" i="10"/>
  <c r="G252" i="10"/>
  <c r="N251" i="10"/>
  <c r="G251" i="10"/>
  <c r="N250" i="10"/>
  <c r="G250" i="10"/>
  <c r="N249" i="10"/>
  <c r="G249" i="10"/>
  <c r="N248" i="10"/>
  <c r="G248" i="10"/>
  <c r="N247" i="10"/>
  <c r="G247" i="10"/>
  <c r="N246" i="10"/>
  <c r="G246" i="10"/>
  <c r="N245" i="10"/>
  <c r="G245" i="10"/>
  <c r="N244" i="10"/>
  <c r="G244" i="10"/>
  <c r="N243" i="10"/>
  <c r="G243" i="10"/>
  <c r="N242" i="10"/>
  <c r="G242" i="10"/>
  <c r="N241" i="10"/>
  <c r="G241" i="10"/>
  <c r="N240" i="10"/>
  <c r="G240" i="10"/>
  <c r="N239" i="10"/>
  <c r="G239" i="10"/>
  <c r="N238" i="10"/>
  <c r="G238" i="10"/>
  <c r="N237" i="10"/>
  <c r="G237" i="10"/>
  <c r="N236" i="10"/>
  <c r="G236" i="10"/>
  <c r="N235" i="10"/>
  <c r="G235" i="10"/>
  <c r="N234" i="10"/>
  <c r="G234" i="10"/>
  <c r="N233" i="10"/>
  <c r="G233" i="10"/>
  <c r="N232" i="10"/>
  <c r="L232" i="10"/>
  <c r="M232" i="10" s="1"/>
  <c r="O232" i="10" s="1"/>
  <c r="G232" i="10"/>
  <c r="N231" i="10"/>
  <c r="L231" i="10"/>
  <c r="M231" i="10" s="1"/>
  <c r="O231" i="10" s="1"/>
  <c r="G231" i="10"/>
  <c r="N230" i="10"/>
  <c r="G230" i="10"/>
  <c r="N229" i="10"/>
  <c r="G229" i="10"/>
  <c r="N228" i="10"/>
  <c r="G228" i="10"/>
  <c r="N227" i="10"/>
  <c r="G227" i="10"/>
  <c r="N226" i="10"/>
  <c r="G226" i="10"/>
  <c r="N225" i="10"/>
  <c r="G225" i="10"/>
  <c r="N224" i="10"/>
  <c r="G224" i="10"/>
  <c r="N223" i="10"/>
  <c r="G223" i="10"/>
  <c r="N222" i="10"/>
  <c r="G222" i="10"/>
  <c r="N221" i="10"/>
  <c r="G221" i="10"/>
  <c r="N220" i="10"/>
  <c r="G220" i="10"/>
  <c r="N219" i="10"/>
  <c r="G219" i="10"/>
  <c r="N218" i="10"/>
  <c r="G218" i="10"/>
  <c r="N217" i="10"/>
  <c r="G217" i="10"/>
  <c r="N216" i="10"/>
  <c r="G216" i="10"/>
  <c r="N215" i="10"/>
  <c r="G215" i="10"/>
  <c r="N214" i="10"/>
  <c r="G214" i="10"/>
  <c r="N213" i="10"/>
  <c r="G213" i="10"/>
  <c r="N212" i="10"/>
  <c r="G212" i="10"/>
  <c r="N211" i="10"/>
  <c r="G211" i="10"/>
  <c r="N210" i="10"/>
  <c r="G210" i="10"/>
  <c r="N209" i="10"/>
  <c r="G209" i="10"/>
  <c r="N208" i="10"/>
  <c r="G208" i="10"/>
  <c r="N207" i="10"/>
  <c r="G207" i="10"/>
  <c r="N206" i="10"/>
  <c r="G206" i="10"/>
  <c r="N205" i="10"/>
  <c r="G205" i="10"/>
  <c r="N204" i="10"/>
  <c r="G204" i="10"/>
  <c r="N203" i="10"/>
  <c r="G203" i="10"/>
  <c r="N202" i="10"/>
  <c r="G202" i="10"/>
  <c r="N201" i="10"/>
  <c r="G201" i="10"/>
  <c r="N200" i="10"/>
  <c r="G200" i="10"/>
  <c r="N199" i="10"/>
  <c r="G199" i="10"/>
  <c r="N198" i="10"/>
  <c r="G198" i="10"/>
  <c r="N197" i="10"/>
  <c r="G197" i="10"/>
  <c r="N196" i="10"/>
  <c r="G196" i="10"/>
  <c r="N195" i="10"/>
  <c r="G195" i="10"/>
  <c r="N194" i="10"/>
  <c r="G194" i="10"/>
  <c r="N193" i="10"/>
  <c r="G193" i="10"/>
  <c r="N192" i="10"/>
  <c r="G192" i="10"/>
  <c r="N191" i="10"/>
  <c r="G191" i="10"/>
  <c r="N190" i="10"/>
  <c r="G190" i="10"/>
  <c r="N189" i="10"/>
  <c r="G189" i="10"/>
  <c r="N188" i="10"/>
  <c r="G188" i="10"/>
  <c r="N187" i="10"/>
  <c r="G187" i="10"/>
  <c r="N186" i="10"/>
  <c r="G186" i="10"/>
  <c r="N185" i="10"/>
  <c r="G185" i="10"/>
  <c r="N184" i="10"/>
  <c r="G184" i="10"/>
  <c r="N183" i="10"/>
  <c r="G183" i="10"/>
  <c r="N182" i="10"/>
  <c r="G182" i="10"/>
  <c r="N181" i="10"/>
  <c r="G181" i="10"/>
  <c r="N180" i="10"/>
  <c r="G180" i="10"/>
  <c r="N179" i="10"/>
  <c r="G179" i="10"/>
  <c r="N178" i="10"/>
  <c r="G178" i="10"/>
  <c r="N177" i="10"/>
  <c r="G177" i="10"/>
  <c r="N176" i="10"/>
  <c r="G176" i="10"/>
  <c r="N175" i="10"/>
  <c r="G175" i="10"/>
  <c r="N174" i="10"/>
  <c r="G174" i="10"/>
  <c r="N173" i="10"/>
  <c r="G173" i="10"/>
  <c r="N172" i="10"/>
  <c r="G172" i="10"/>
  <c r="N171" i="10"/>
  <c r="G171" i="10"/>
  <c r="N170" i="10"/>
  <c r="G170" i="10"/>
  <c r="N169" i="10"/>
  <c r="G169" i="10"/>
  <c r="N168" i="10"/>
  <c r="G168" i="10"/>
  <c r="N167" i="10"/>
  <c r="G167" i="10"/>
  <c r="N166" i="10"/>
  <c r="G166" i="10"/>
  <c r="N165" i="10"/>
  <c r="G165" i="10"/>
  <c r="N164" i="10"/>
  <c r="G164" i="10"/>
  <c r="N163" i="10"/>
  <c r="G163" i="10"/>
  <c r="N162" i="10"/>
  <c r="G162" i="10"/>
  <c r="N161" i="10"/>
  <c r="G161" i="10"/>
  <c r="N160" i="10"/>
  <c r="G160" i="10"/>
  <c r="N159" i="10"/>
  <c r="G159" i="10"/>
  <c r="N158" i="10"/>
  <c r="G158" i="10"/>
  <c r="N157" i="10"/>
  <c r="G157" i="10"/>
  <c r="N156" i="10"/>
  <c r="G156" i="10"/>
  <c r="N155" i="10"/>
  <c r="G155" i="10"/>
  <c r="N154" i="10"/>
  <c r="G154" i="10"/>
  <c r="N153" i="10"/>
  <c r="G153" i="10"/>
  <c r="N152" i="10"/>
  <c r="G152" i="10"/>
  <c r="N151" i="10"/>
  <c r="G151" i="10"/>
  <c r="N150" i="10"/>
  <c r="G150" i="10"/>
  <c r="N149" i="10"/>
  <c r="G149" i="10"/>
  <c r="N148" i="10"/>
  <c r="G148" i="10"/>
  <c r="N147" i="10"/>
  <c r="G147" i="10"/>
  <c r="N146" i="10"/>
  <c r="G146" i="10"/>
  <c r="N145" i="10"/>
  <c r="G145" i="10"/>
  <c r="N144" i="10"/>
  <c r="G144" i="10"/>
  <c r="N143" i="10"/>
  <c r="G143" i="10"/>
  <c r="N142" i="10"/>
  <c r="G142" i="10"/>
  <c r="N141" i="10"/>
  <c r="G141" i="10"/>
  <c r="N140" i="10"/>
  <c r="G140" i="10"/>
  <c r="N139" i="10"/>
  <c r="G139" i="10"/>
  <c r="N138" i="10"/>
  <c r="G138" i="10"/>
  <c r="N137" i="10"/>
  <c r="G137" i="10"/>
  <c r="N136" i="10"/>
  <c r="G136" i="10"/>
  <c r="N135" i="10"/>
  <c r="G135" i="10"/>
  <c r="N134" i="10"/>
  <c r="G134" i="10"/>
  <c r="N133" i="10"/>
  <c r="G133" i="10"/>
  <c r="N132" i="10"/>
  <c r="G132" i="10"/>
  <c r="N131" i="10"/>
  <c r="G131" i="10"/>
  <c r="N130" i="10"/>
  <c r="G130" i="10"/>
  <c r="N129" i="10"/>
  <c r="G129" i="10"/>
  <c r="N128" i="10"/>
  <c r="L128" i="10"/>
  <c r="M128" i="10" s="1"/>
  <c r="O128" i="10" s="1"/>
  <c r="G128" i="10"/>
  <c r="N127" i="10"/>
  <c r="G127" i="10"/>
  <c r="N126" i="10"/>
  <c r="G126" i="10"/>
  <c r="N125" i="10"/>
  <c r="G125" i="10"/>
  <c r="N124" i="10"/>
  <c r="G124" i="10"/>
  <c r="N123" i="10"/>
  <c r="G123" i="10"/>
  <c r="N122" i="10"/>
  <c r="G122" i="10"/>
  <c r="N121" i="10"/>
  <c r="G121" i="10"/>
  <c r="N120" i="10"/>
  <c r="G120" i="10"/>
  <c r="N119" i="10"/>
  <c r="G119" i="10"/>
  <c r="N118" i="10"/>
  <c r="G118" i="10"/>
  <c r="N117" i="10"/>
  <c r="G117" i="10"/>
  <c r="N116" i="10"/>
  <c r="G116" i="10"/>
  <c r="N115" i="10"/>
  <c r="G115" i="10"/>
  <c r="N114" i="10"/>
  <c r="G114" i="10"/>
  <c r="N113" i="10"/>
  <c r="G113" i="10"/>
  <c r="N112" i="10"/>
  <c r="G112" i="10"/>
  <c r="N111" i="10"/>
  <c r="G111" i="10"/>
  <c r="N110" i="10"/>
  <c r="G110" i="10"/>
  <c r="N109" i="10"/>
  <c r="G109" i="10"/>
  <c r="N108" i="10"/>
  <c r="G108" i="10"/>
  <c r="N107" i="10"/>
  <c r="L107" i="10"/>
  <c r="M107" i="10" s="1"/>
  <c r="O107" i="10" s="1"/>
  <c r="G107" i="10"/>
  <c r="N106" i="10"/>
  <c r="G106" i="10"/>
  <c r="N105" i="10"/>
  <c r="G105" i="10"/>
  <c r="N104" i="10"/>
  <c r="G104" i="10"/>
  <c r="N103" i="10"/>
  <c r="G103" i="10"/>
  <c r="N102" i="10"/>
  <c r="L102" i="10"/>
  <c r="M102" i="10" s="1"/>
  <c r="O102" i="10" s="1"/>
  <c r="G102" i="10"/>
  <c r="N101" i="10"/>
  <c r="G101" i="10"/>
  <c r="N100" i="10"/>
  <c r="G100" i="10"/>
  <c r="N99" i="10"/>
  <c r="L99" i="10"/>
  <c r="M99" i="10" s="1"/>
  <c r="O99" i="10" s="1"/>
  <c r="G99" i="10"/>
  <c r="N98" i="10"/>
  <c r="G98" i="10"/>
  <c r="N97" i="10"/>
  <c r="G97" i="10"/>
  <c r="N96" i="10"/>
  <c r="G96" i="10"/>
  <c r="N95" i="10"/>
  <c r="G95" i="10"/>
  <c r="N94" i="10"/>
  <c r="G94" i="10"/>
  <c r="N93" i="10"/>
  <c r="G93" i="10"/>
  <c r="N92" i="10"/>
  <c r="G92" i="10"/>
  <c r="N91" i="10"/>
  <c r="G91" i="10"/>
  <c r="N90" i="10"/>
  <c r="G90" i="10"/>
  <c r="N89" i="10"/>
  <c r="G89" i="10"/>
  <c r="N88" i="10"/>
  <c r="G88" i="10"/>
  <c r="N87" i="10"/>
  <c r="G87" i="10"/>
  <c r="N86" i="10"/>
  <c r="G86" i="10"/>
  <c r="N85" i="10"/>
  <c r="G85" i="10"/>
  <c r="N84" i="10"/>
  <c r="G84" i="10"/>
  <c r="N83" i="10"/>
  <c r="G83" i="10"/>
  <c r="N82" i="10"/>
  <c r="G82" i="10"/>
  <c r="N81" i="10"/>
  <c r="G81" i="10"/>
  <c r="N80" i="10"/>
  <c r="G80" i="10"/>
  <c r="N79" i="10"/>
  <c r="G79" i="10"/>
  <c r="N78" i="10"/>
  <c r="G78" i="10"/>
  <c r="N77" i="10"/>
  <c r="G77" i="10"/>
  <c r="N76" i="10"/>
  <c r="G76" i="10"/>
  <c r="N75" i="10"/>
  <c r="G75" i="10"/>
  <c r="N74" i="10"/>
  <c r="G74" i="10"/>
  <c r="N73" i="10"/>
  <c r="G73" i="10"/>
  <c r="N72" i="10"/>
  <c r="G72" i="10"/>
  <c r="N71" i="10"/>
  <c r="G71" i="10"/>
  <c r="N70" i="10"/>
  <c r="G70" i="10"/>
  <c r="N69" i="10"/>
  <c r="G69" i="10"/>
  <c r="N68" i="10"/>
  <c r="G68" i="10"/>
  <c r="N67" i="10"/>
  <c r="G67" i="10"/>
  <c r="N66" i="10"/>
  <c r="G66" i="10"/>
  <c r="N65" i="10"/>
  <c r="G65" i="10"/>
  <c r="N64" i="10"/>
  <c r="G64" i="10"/>
  <c r="N63" i="10"/>
  <c r="G63" i="10"/>
  <c r="N62" i="10"/>
  <c r="G62" i="10"/>
  <c r="N61" i="10"/>
  <c r="G61" i="10"/>
  <c r="N60" i="10"/>
  <c r="G60" i="10"/>
  <c r="N59" i="10"/>
  <c r="G59" i="10"/>
  <c r="N58" i="10"/>
  <c r="G58" i="10"/>
  <c r="N57" i="10"/>
  <c r="G57" i="10"/>
  <c r="N56" i="10"/>
  <c r="G56" i="10"/>
  <c r="N55" i="10"/>
  <c r="G55" i="10"/>
  <c r="N54" i="10"/>
  <c r="G54" i="10"/>
  <c r="N53" i="10"/>
  <c r="G53" i="10"/>
  <c r="N52" i="10"/>
  <c r="G52" i="10"/>
  <c r="N51" i="10"/>
  <c r="G51" i="10"/>
  <c r="N50" i="10"/>
  <c r="G50" i="10"/>
  <c r="N49" i="10"/>
  <c r="G49" i="10"/>
  <c r="N48" i="10"/>
  <c r="G48" i="10"/>
  <c r="N47" i="10"/>
  <c r="G47" i="10"/>
  <c r="N46" i="10"/>
  <c r="G46" i="10"/>
  <c r="N45" i="10"/>
  <c r="G45" i="10"/>
  <c r="N44" i="10"/>
  <c r="G44" i="10"/>
  <c r="N43" i="10"/>
  <c r="G43" i="10"/>
  <c r="N42" i="10"/>
  <c r="G42" i="10"/>
  <c r="N41" i="10"/>
  <c r="G41" i="10"/>
  <c r="N40" i="10"/>
  <c r="G40" i="10"/>
  <c r="N39" i="10"/>
  <c r="G39" i="10"/>
  <c r="N38" i="10"/>
  <c r="G38" i="10"/>
  <c r="N37" i="10"/>
  <c r="G37" i="10"/>
  <c r="N36" i="10"/>
  <c r="G36" i="10"/>
  <c r="N35" i="10"/>
  <c r="G35" i="10"/>
  <c r="N34" i="10"/>
  <c r="G34" i="10"/>
  <c r="N33" i="10"/>
  <c r="L33" i="10"/>
  <c r="M33" i="10" s="1"/>
  <c r="O33" i="10" s="1"/>
  <c r="G33" i="10"/>
  <c r="N32" i="10"/>
  <c r="G32" i="10"/>
  <c r="N31" i="10"/>
  <c r="G31" i="10"/>
  <c r="N30" i="10"/>
  <c r="G30" i="10"/>
  <c r="N29" i="10"/>
  <c r="G29" i="10"/>
  <c r="N28" i="10"/>
  <c r="G28" i="10"/>
  <c r="N27" i="10"/>
  <c r="G27" i="10"/>
  <c r="N26" i="10"/>
  <c r="G26" i="10"/>
  <c r="N25" i="10"/>
  <c r="G25" i="10"/>
  <c r="N24" i="10"/>
  <c r="G24" i="10"/>
  <c r="N23" i="10"/>
  <c r="G23" i="10"/>
  <c r="N22" i="10"/>
  <c r="G22" i="10"/>
  <c r="N21" i="10"/>
  <c r="G21" i="10"/>
  <c r="N20" i="10"/>
  <c r="G20" i="10"/>
  <c r="N19" i="10"/>
  <c r="G19" i="10"/>
  <c r="N18" i="10"/>
  <c r="G18" i="10"/>
  <c r="N17" i="10"/>
  <c r="G17" i="10"/>
  <c r="N16" i="10"/>
  <c r="G16" i="10"/>
  <c r="N15" i="10"/>
  <c r="G15" i="10"/>
  <c r="N14" i="10"/>
  <c r="G14" i="10"/>
  <c r="N13" i="10"/>
  <c r="L13" i="10"/>
  <c r="M13" i="10" s="1"/>
  <c r="O13" i="10" s="1"/>
  <c r="G13" i="10"/>
  <c r="N12" i="10"/>
  <c r="L12" i="10"/>
  <c r="M12" i="10" s="1"/>
  <c r="O12" i="10" s="1"/>
  <c r="G12" i="10"/>
  <c r="N11" i="10"/>
  <c r="L11" i="10"/>
  <c r="M11" i="10" s="1"/>
  <c r="O11" i="10" s="1"/>
  <c r="G11" i="10"/>
  <c r="N10" i="10"/>
  <c r="L10" i="10"/>
  <c r="M10" i="10" s="1"/>
  <c r="O10" i="10" s="1"/>
  <c r="G10" i="10"/>
  <c r="O9" i="10"/>
  <c r="G9" i="10"/>
  <c r="O8" i="10"/>
  <c r="G8" i="10"/>
  <c r="O7" i="10"/>
  <c r="G7" i="10"/>
  <c r="O6" i="10"/>
  <c r="G6" i="10"/>
  <c r="O5" i="10"/>
  <c r="O4" i="10"/>
  <c r="O3" i="10"/>
  <c r="O2" i="10"/>
  <c r="O1" i="10"/>
  <c r="I720" i="9"/>
  <c r="I7" i="9"/>
  <c r="I8" i="9"/>
  <c r="I9" i="9"/>
  <c r="I10" i="9"/>
  <c r="I11" i="9"/>
  <c r="I12" i="9"/>
  <c r="I13" i="9"/>
  <c r="I14" i="9"/>
  <c r="I15" i="9"/>
  <c r="I16" i="9"/>
  <c r="I17" i="9"/>
  <c r="I18" i="9"/>
  <c r="I19" i="9"/>
  <c r="I20" i="9"/>
  <c r="I21" i="9"/>
  <c r="I22" i="9"/>
  <c r="I23" i="9"/>
  <c r="I24" i="9"/>
  <c r="I25" i="9"/>
  <c r="I26" i="9"/>
  <c r="I27" i="9"/>
  <c r="I28" i="9"/>
  <c r="I29" i="9"/>
  <c r="I32" i="9"/>
  <c r="I33" i="9"/>
  <c r="I34" i="9"/>
  <c r="I35" i="9"/>
  <c r="I36" i="9"/>
  <c r="I37" i="9"/>
  <c r="I38" i="9"/>
  <c r="I39" i="9"/>
  <c r="I40" i="9"/>
  <c r="I41" i="9"/>
  <c r="I42" i="9"/>
  <c r="I43" i="9"/>
  <c r="I44" i="9"/>
  <c r="I45" i="9"/>
  <c r="I46" i="9"/>
  <c r="I49" i="9"/>
  <c r="I50" i="9"/>
  <c r="I51" i="9"/>
  <c r="I52" i="9"/>
  <c r="I53" i="9"/>
  <c r="I54" i="9"/>
  <c r="I55" i="9"/>
  <c r="I56" i="9"/>
  <c r="I57" i="9"/>
  <c r="I58" i="9"/>
  <c r="I59" i="9"/>
  <c r="I60" i="9"/>
  <c r="I61" i="9"/>
  <c r="I62" i="9"/>
  <c r="I63" i="9"/>
  <c r="I64" i="9"/>
  <c r="I65" i="9"/>
  <c r="I66" i="9"/>
  <c r="I67" i="9"/>
  <c r="I68" i="9"/>
  <c r="I69" i="9"/>
  <c r="I70" i="9"/>
  <c r="I71" i="9"/>
  <c r="I72" i="9"/>
  <c r="I73" i="9"/>
  <c r="I74" i="9"/>
  <c r="I75" i="9"/>
  <c r="I76" i="9"/>
  <c r="I77" i="9"/>
  <c r="I78" i="9"/>
  <c r="I79" i="9"/>
  <c r="I80" i="9"/>
  <c r="I81" i="9"/>
  <c r="I82" i="9"/>
  <c r="I83" i="9"/>
  <c r="I84" i="9"/>
  <c r="I85" i="9"/>
  <c r="I86" i="9"/>
  <c r="I87" i="9"/>
  <c r="I88" i="9"/>
  <c r="I89" i="9"/>
  <c r="I90" i="9"/>
  <c r="I91" i="9"/>
  <c r="I92" i="9"/>
  <c r="I93" i="9"/>
  <c r="I94" i="9"/>
  <c r="I95" i="9"/>
  <c r="I96" i="9"/>
  <c r="I97" i="9"/>
  <c r="I98" i="9"/>
  <c r="I99" i="9"/>
  <c r="I100" i="9"/>
  <c r="I101" i="9"/>
  <c r="I102" i="9"/>
  <c r="I103" i="9"/>
  <c r="I104" i="9"/>
  <c r="I105" i="9"/>
  <c r="I106" i="9"/>
  <c r="I107" i="9"/>
  <c r="I108" i="9"/>
  <c r="I109" i="9"/>
  <c r="I110" i="9"/>
  <c r="I111" i="9"/>
  <c r="I112" i="9"/>
  <c r="I113" i="9"/>
  <c r="I114" i="9"/>
  <c r="I115" i="9"/>
  <c r="I116" i="9"/>
  <c r="I117" i="9"/>
  <c r="I118" i="9"/>
  <c r="I119" i="9"/>
  <c r="I120" i="9"/>
  <c r="I121" i="9"/>
  <c r="I122" i="9"/>
  <c r="I123" i="9"/>
  <c r="I124" i="9"/>
  <c r="I125" i="9"/>
  <c r="I126" i="9"/>
  <c r="I127" i="9"/>
  <c r="I128" i="9"/>
  <c r="I129" i="9"/>
  <c r="I130" i="9"/>
  <c r="I131" i="9"/>
  <c r="I132" i="9"/>
  <c r="I133" i="9"/>
  <c r="I134" i="9"/>
  <c r="I135" i="9"/>
  <c r="I136" i="9"/>
  <c r="I137" i="9"/>
  <c r="I138" i="9"/>
  <c r="I139" i="9"/>
  <c r="I140" i="9"/>
  <c r="I141" i="9"/>
  <c r="I142" i="9"/>
  <c r="I143" i="9"/>
  <c r="I144" i="9"/>
  <c r="I145" i="9"/>
  <c r="I146" i="9"/>
  <c r="I147" i="9"/>
  <c r="I148" i="9"/>
  <c r="I149" i="9"/>
  <c r="I150" i="9"/>
  <c r="I151" i="9"/>
  <c r="I152" i="9"/>
  <c r="I153" i="9"/>
  <c r="I154" i="9"/>
  <c r="I155" i="9"/>
  <c r="I156" i="9"/>
  <c r="I157" i="9"/>
  <c r="I158" i="9"/>
  <c r="I159" i="9"/>
  <c r="I160" i="9"/>
  <c r="I161" i="9"/>
  <c r="I162" i="9"/>
  <c r="I163" i="9"/>
  <c r="I164" i="9"/>
  <c r="I165" i="9"/>
  <c r="I166" i="9"/>
  <c r="I167" i="9"/>
  <c r="I168" i="9"/>
  <c r="I169" i="9"/>
  <c r="I170" i="9"/>
  <c r="I171" i="9"/>
  <c r="I172" i="9"/>
  <c r="I173" i="9"/>
  <c r="I174" i="9"/>
  <c r="I175" i="9"/>
  <c r="I176" i="9"/>
  <c r="I177" i="9"/>
  <c r="I178" i="9"/>
  <c r="I179" i="9"/>
  <c r="I180" i="9"/>
  <c r="I181" i="9"/>
  <c r="I182" i="9"/>
  <c r="I183" i="9"/>
  <c r="I184" i="9"/>
  <c r="I185" i="9"/>
  <c r="I186" i="9"/>
  <c r="I187" i="9"/>
  <c r="I188" i="9"/>
  <c r="I189" i="9"/>
  <c r="I190" i="9"/>
  <c r="I191" i="9"/>
  <c r="I192" i="9"/>
  <c r="I193" i="9"/>
  <c r="I194" i="9"/>
  <c r="I195" i="9"/>
  <c r="I196" i="9"/>
  <c r="I197" i="9"/>
  <c r="I198" i="9"/>
  <c r="I199" i="9"/>
  <c r="I200" i="9"/>
  <c r="I201" i="9"/>
  <c r="I202" i="9"/>
  <c r="I203" i="9"/>
  <c r="I204" i="9"/>
  <c r="I205" i="9"/>
  <c r="I206" i="9"/>
  <c r="I207" i="9"/>
  <c r="I208" i="9"/>
  <c r="I209" i="9"/>
  <c r="I210" i="9"/>
  <c r="I211" i="9"/>
  <c r="I212" i="9"/>
  <c r="I213" i="9"/>
  <c r="I214" i="9"/>
  <c r="I215" i="9"/>
  <c r="I216" i="9"/>
  <c r="I217" i="9"/>
  <c r="I218" i="9"/>
  <c r="I219" i="9"/>
  <c r="I220" i="9"/>
  <c r="I221" i="9"/>
  <c r="I222" i="9"/>
  <c r="I223" i="9"/>
  <c r="I224" i="9"/>
  <c r="I225" i="9"/>
  <c r="I226" i="9"/>
  <c r="I227" i="9"/>
  <c r="I228" i="9"/>
  <c r="I229" i="9"/>
  <c r="I230" i="9"/>
  <c r="I231" i="9"/>
  <c r="I232" i="9"/>
  <c r="I233" i="9"/>
  <c r="I234" i="9"/>
  <c r="I235" i="9"/>
  <c r="I236" i="9"/>
  <c r="I237" i="9"/>
  <c r="I238" i="9"/>
  <c r="I239" i="9"/>
  <c r="I240" i="9"/>
  <c r="I241" i="9"/>
  <c r="I242" i="9"/>
  <c r="I243" i="9"/>
  <c r="I244" i="9"/>
  <c r="I245" i="9"/>
  <c r="I246" i="9"/>
  <c r="I247" i="9"/>
  <c r="I248" i="9"/>
  <c r="I249" i="9"/>
  <c r="I250" i="9"/>
  <c r="I251" i="9"/>
  <c r="I252" i="9"/>
  <c r="I253" i="9"/>
  <c r="I254" i="9"/>
  <c r="I255" i="9"/>
  <c r="I256" i="9"/>
  <c r="I257" i="9"/>
  <c r="I258" i="9"/>
  <c r="I259" i="9"/>
  <c r="I260" i="9"/>
  <c r="I261" i="9"/>
  <c r="I262" i="9"/>
  <c r="I263" i="9"/>
  <c r="I264" i="9"/>
  <c r="I265" i="9"/>
  <c r="I266" i="9"/>
  <c r="I267" i="9"/>
  <c r="I268" i="9"/>
  <c r="I269" i="9"/>
  <c r="I270" i="9"/>
  <c r="I271" i="9"/>
  <c r="I272" i="9"/>
  <c r="I273" i="9"/>
  <c r="I274" i="9"/>
  <c r="I275" i="9"/>
  <c r="I276" i="9"/>
  <c r="I277" i="9"/>
  <c r="I278" i="9"/>
  <c r="I279" i="9"/>
  <c r="I280" i="9"/>
  <c r="I281" i="9"/>
  <c r="I282" i="9"/>
  <c r="I283" i="9"/>
  <c r="I284" i="9"/>
  <c r="I285" i="9"/>
  <c r="I286" i="9"/>
  <c r="I287" i="9"/>
  <c r="I288" i="9"/>
  <c r="I289" i="9"/>
  <c r="I290" i="9"/>
  <c r="I291" i="9"/>
  <c r="I292" i="9"/>
  <c r="I293" i="9"/>
  <c r="I294" i="9"/>
  <c r="I295" i="9"/>
  <c r="I296" i="9"/>
  <c r="I297" i="9"/>
  <c r="I298" i="9"/>
  <c r="I299" i="9"/>
  <c r="I300" i="9"/>
  <c r="I301" i="9"/>
  <c r="I302" i="9"/>
  <c r="I303" i="9"/>
  <c r="I304" i="9"/>
  <c r="I305" i="9"/>
  <c r="I306" i="9"/>
  <c r="I307" i="9"/>
  <c r="I308" i="9"/>
  <c r="I309" i="9"/>
  <c r="I310" i="9"/>
  <c r="I311" i="9"/>
  <c r="I312" i="9"/>
  <c r="I313" i="9"/>
  <c r="I314" i="9"/>
  <c r="I315" i="9"/>
  <c r="I316" i="9"/>
  <c r="I317" i="9"/>
  <c r="I318" i="9"/>
  <c r="I319" i="9"/>
  <c r="I320" i="9"/>
  <c r="I321" i="9"/>
  <c r="I322" i="9"/>
  <c r="I323" i="9"/>
  <c r="I324" i="9"/>
  <c r="I325" i="9"/>
  <c r="I326" i="9"/>
  <c r="I327" i="9"/>
  <c r="I328" i="9"/>
  <c r="I329" i="9"/>
  <c r="I330" i="9"/>
  <c r="I331" i="9"/>
  <c r="I332" i="9"/>
  <c r="I333" i="9"/>
  <c r="I334" i="9"/>
  <c r="I335" i="9"/>
  <c r="I336" i="9"/>
  <c r="I337" i="9"/>
  <c r="I338" i="9"/>
  <c r="I339" i="9"/>
  <c r="I340" i="9"/>
  <c r="I341" i="9"/>
  <c r="I342" i="9"/>
  <c r="I343" i="9"/>
  <c r="I344" i="9"/>
  <c r="I345" i="9"/>
  <c r="I346" i="9"/>
  <c r="I347" i="9"/>
  <c r="I348" i="9"/>
  <c r="I349" i="9"/>
  <c r="I350" i="9"/>
  <c r="I351" i="9"/>
  <c r="I352" i="9"/>
  <c r="I353" i="9"/>
  <c r="I354" i="9"/>
  <c r="I355" i="9"/>
  <c r="I356" i="9"/>
  <c r="I357" i="9"/>
  <c r="I358" i="9"/>
  <c r="I359" i="9"/>
  <c r="I360" i="9"/>
  <c r="I361" i="9"/>
  <c r="I362" i="9"/>
  <c r="I363" i="9"/>
  <c r="I364" i="9"/>
  <c r="I365" i="9"/>
  <c r="I366" i="9"/>
  <c r="I367" i="9"/>
  <c r="I368" i="9"/>
  <c r="I369" i="9"/>
  <c r="I370" i="9"/>
  <c r="I371" i="9"/>
  <c r="I372" i="9"/>
  <c r="I373" i="9"/>
  <c r="I374" i="9"/>
  <c r="I375" i="9"/>
  <c r="I376" i="9"/>
  <c r="I377" i="9"/>
  <c r="I378" i="9"/>
  <c r="I379" i="9"/>
  <c r="I380" i="9"/>
  <c r="I381" i="9"/>
  <c r="I382" i="9"/>
  <c r="I383" i="9"/>
  <c r="I384" i="9"/>
  <c r="I385" i="9"/>
  <c r="I386" i="9"/>
  <c r="I387" i="9"/>
  <c r="I388" i="9"/>
  <c r="I389" i="9"/>
  <c r="I390" i="9"/>
  <c r="I391" i="9"/>
  <c r="I392" i="9"/>
  <c r="I393" i="9"/>
  <c r="I394" i="9"/>
  <c r="I395" i="9"/>
  <c r="I396" i="9"/>
  <c r="I397" i="9"/>
  <c r="I398" i="9"/>
  <c r="I399" i="9"/>
  <c r="I400" i="9"/>
  <c r="I401" i="9"/>
  <c r="I402" i="9"/>
  <c r="I403" i="9"/>
  <c r="I404" i="9"/>
  <c r="I405" i="9"/>
  <c r="I406" i="9"/>
  <c r="I407" i="9"/>
  <c r="I408" i="9"/>
  <c r="I409" i="9"/>
  <c r="I410" i="9"/>
  <c r="I411" i="9"/>
  <c r="I412" i="9"/>
  <c r="I413" i="9"/>
  <c r="I414" i="9"/>
  <c r="I415" i="9"/>
  <c r="I416" i="9"/>
  <c r="I417" i="9"/>
  <c r="I418" i="9"/>
  <c r="I419" i="9"/>
  <c r="I420" i="9"/>
  <c r="I421" i="9"/>
  <c r="I422" i="9"/>
  <c r="I423" i="9"/>
  <c r="I424" i="9"/>
  <c r="I425" i="9"/>
  <c r="I426" i="9"/>
  <c r="I427" i="9"/>
  <c r="I428" i="9"/>
  <c r="I429" i="9"/>
  <c r="I430" i="9"/>
  <c r="I431" i="9"/>
  <c r="I432" i="9"/>
  <c r="I433" i="9"/>
  <c r="I434" i="9"/>
  <c r="I435" i="9"/>
  <c r="I436" i="9"/>
  <c r="I437" i="9"/>
  <c r="I438" i="9"/>
  <c r="I439" i="9"/>
  <c r="I440" i="9"/>
  <c r="I441" i="9"/>
  <c r="I442" i="9"/>
  <c r="I443" i="9"/>
  <c r="I444" i="9"/>
  <c r="I445" i="9"/>
  <c r="I446" i="9"/>
  <c r="I447" i="9"/>
  <c r="I448" i="9"/>
  <c r="I449" i="9"/>
  <c r="I450" i="9"/>
  <c r="I451" i="9"/>
  <c r="I452" i="9"/>
  <c r="I453" i="9"/>
  <c r="I454" i="9"/>
  <c r="I455" i="9"/>
  <c r="I456" i="9"/>
  <c r="I457" i="9"/>
  <c r="I458" i="9"/>
  <c r="I459" i="9"/>
  <c r="I460" i="9"/>
  <c r="I461" i="9"/>
  <c r="I462" i="9"/>
  <c r="I463" i="9"/>
  <c r="I464" i="9"/>
  <c r="I465" i="9"/>
  <c r="I466" i="9"/>
  <c r="I467" i="9"/>
  <c r="I468" i="9"/>
  <c r="I469" i="9"/>
  <c r="I470" i="9"/>
  <c r="I471" i="9"/>
  <c r="I472" i="9"/>
  <c r="I473" i="9"/>
  <c r="I474" i="9"/>
  <c r="I475" i="9"/>
  <c r="I476" i="9"/>
  <c r="I477" i="9"/>
  <c r="I478" i="9"/>
  <c r="I479" i="9"/>
  <c r="I480" i="9"/>
  <c r="I481" i="9"/>
  <c r="I482" i="9"/>
  <c r="I483" i="9"/>
  <c r="I484" i="9"/>
  <c r="I485" i="9"/>
  <c r="I486" i="9"/>
  <c r="I487" i="9"/>
  <c r="I488" i="9"/>
  <c r="I489" i="9"/>
  <c r="I490" i="9"/>
  <c r="I491" i="9"/>
  <c r="I492" i="9"/>
  <c r="I493" i="9"/>
  <c r="I494" i="9"/>
  <c r="I495" i="9"/>
  <c r="I496" i="9"/>
  <c r="I497" i="9"/>
  <c r="I498" i="9"/>
  <c r="I499" i="9"/>
  <c r="I500" i="9"/>
  <c r="I501" i="9"/>
  <c r="I502" i="9"/>
  <c r="I503" i="9"/>
  <c r="I504" i="9"/>
  <c r="I505" i="9"/>
  <c r="I506" i="9"/>
  <c r="I507" i="9"/>
  <c r="I508" i="9"/>
  <c r="I509" i="9"/>
  <c r="I510" i="9"/>
  <c r="I511" i="9"/>
  <c r="I512" i="9"/>
  <c r="I513" i="9"/>
  <c r="I514" i="9"/>
  <c r="I515" i="9"/>
  <c r="I516" i="9"/>
  <c r="I517" i="9"/>
  <c r="I518" i="9"/>
  <c r="I519" i="9"/>
  <c r="I520" i="9"/>
  <c r="I521" i="9"/>
  <c r="I522" i="9"/>
  <c r="I523" i="9"/>
  <c r="I524" i="9"/>
  <c r="I525" i="9"/>
  <c r="I526" i="9"/>
  <c r="I527" i="9"/>
  <c r="I528" i="9"/>
  <c r="I529" i="9"/>
  <c r="I530" i="9"/>
  <c r="I531" i="9"/>
  <c r="I532" i="9"/>
  <c r="I533" i="9"/>
  <c r="I534" i="9"/>
  <c r="I535" i="9"/>
  <c r="I536" i="9"/>
  <c r="I537" i="9"/>
  <c r="I538" i="9"/>
  <c r="I539" i="9"/>
  <c r="I540" i="9"/>
  <c r="I541" i="9"/>
  <c r="I542" i="9"/>
  <c r="I543" i="9"/>
  <c r="I544" i="9"/>
  <c r="I545" i="9"/>
  <c r="I546" i="9"/>
  <c r="I547" i="9"/>
  <c r="I548" i="9"/>
  <c r="I549" i="9"/>
  <c r="I550" i="9"/>
  <c r="I551" i="9"/>
  <c r="I552" i="9"/>
  <c r="I553" i="9"/>
  <c r="I554" i="9"/>
  <c r="I555" i="9"/>
  <c r="I556" i="9"/>
  <c r="I557" i="9"/>
  <c r="I558" i="9"/>
  <c r="I559" i="9"/>
  <c r="I560" i="9"/>
  <c r="I561" i="9"/>
  <c r="I562" i="9"/>
  <c r="I563" i="9"/>
  <c r="I564" i="9"/>
  <c r="I565" i="9"/>
  <c r="I566" i="9"/>
  <c r="I567" i="9"/>
  <c r="I568" i="9"/>
  <c r="I569" i="9"/>
  <c r="I570" i="9"/>
  <c r="I571" i="9"/>
  <c r="I572" i="9"/>
  <c r="I573" i="9"/>
  <c r="I574" i="9"/>
  <c r="I575" i="9"/>
  <c r="I576" i="9"/>
  <c r="I577" i="9"/>
  <c r="I578" i="9"/>
  <c r="I579" i="9"/>
  <c r="I580" i="9"/>
  <c r="I581" i="9"/>
  <c r="I582" i="9"/>
  <c r="I583" i="9"/>
  <c r="I584" i="9"/>
  <c r="I585" i="9"/>
  <c r="I586" i="9"/>
  <c r="I587" i="9"/>
  <c r="I588" i="9"/>
  <c r="I589" i="9"/>
  <c r="I590" i="9"/>
  <c r="I591" i="9"/>
  <c r="I592" i="9"/>
  <c r="I593" i="9"/>
  <c r="I594" i="9"/>
  <c r="I595" i="9"/>
  <c r="I596" i="9"/>
  <c r="I597" i="9"/>
  <c r="I598" i="9"/>
  <c r="I599" i="9"/>
  <c r="I600" i="9"/>
  <c r="I601" i="9"/>
  <c r="I602" i="9"/>
  <c r="I603" i="9"/>
  <c r="I604" i="9"/>
  <c r="I605" i="9"/>
  <c r="I606" i="9"/>
  <c r="I607" i="9"/>
  <c r="I608" i="9"/>
  <c r="I609" i="9"/>
  <c r="I610" i="9"/>
  <c r="I611" i="9"/>
  <c r="I612" i="9"/>
  <c r="I613" i="9"/>
  <c r="I614" i="9"/>
  <c r="I615" i="9"/>
  <c r="I616" i="9"/>
  <c r="I617" i="9"/>
  <c r="I618" i="9"/>
  <c r="I619" i="9"/>
  <c r="I620" i="9"/>
  <c r="I621" i="9"/>
  <c r="I622" i="9"/>
  <c r="I623" i="9"/>
  <c r="I624" i="9"/>
  <c r="I625" i="9"/>
  <c r="I626" i="9"/>
  <c r="I627" i="9"/>
  <c r="I628" i="9"/>
  <c r="I629" i="9"/>
  <c r="I630" i="9"/>
  <c r="I631" i="9"/>
  <c r="I632" i="9"/>
  <c r="I633" i="9"/>
  <c r="I634" i="9"/>
  <c r="I635" i="9"/>
  <c r="I636" i="9"/>
  <c r="I637" i="9"/>
  <c r="I638" i="9"/>
  <c r="I639" i="9"/>
  <c r="I640" i="9"/>
  <c r="I641" i="9"/>
  <c r="I642" i="9"/>
  <c r="I643" i="9"/>
  <c r="I644" i="9"/>
  <c r="I645" i="9"/>
  <c r="I646" i="9"/>
  <c r="I647" i="9"/>
  <c r="I648" i="9"/>
  <c r="I649" i="9"/>
  <c r="I650" i="9"/>
  <c r="I651" i="9"/>
  <c r="I652" i="9"/>
  <c r="I653" i="9"/>
  <c r="I654" i="9"/>
  <c r="I655" i="9"/>
  <c r="I656" i="9"/>
  <c r="I657" i="9"/>
  <c r="I658" i="9"/>
  <c r="I659" i="9"/>
  <c r="I660" i="9"/>
  <c r="I661" i="9"/>
  <c r="I662" i="9"/>
  <c r="I663" i="9"/>
  <c r="I664" i="9"/>
  <c r="I665" i="9"/>
  <c r="I666" i="9"/>
  <c r="I667" i="9"/>
  <c r="I668" i="9"/>
  <c r="I669" i="9"/>
  <c r="I670" i="9"/>
  <c r="I671" i="9"/>
  <c r="I672" i="9"/>
  <c r="I673" i="9"/>
  <c r="I674" i="9"/>
  <c r="I675" i="9"/>
  <c r="I676" i="9"/>
  <c r="I677" i="9"/>
  <c r="I678" i="9"/>
  <c r="I679" i="9"/>
  <c r="I680" i="9"/>
  <c r="I681" i="9"/>
  <c r="I682" i="9"/>
  <c r="I683" i="9"/>
  <c r="I684" i="9"/>
  <c r="I685" i="9"/>
  <c r="I686" i="9"/>
  <c r="I687" i="9"/>
  <c r="I688" i="9"/>
  <c r="I689" i="9"/>
  <c r="I690" i="9"/>
  <c r="I691" i="9"/>
  <c r="I692" i="9"/>
  <c r="I693" i="9"/>
  <c r="I694" i="9"/>
  <c r="I695" i="9"/>
  <c r="I696" i="9"/>
  <c r="I697" i="9"/>
  <c r="I698" i="9"/>
  <c r="I699" i="9"/>
  <c r="I700" i="9"/>
  <c r="I701" i="9"/>
  <c r="I702" i="9"/>
  <c r="I703" i="9"/>
  <c r="I704" i="9"/>
  <c r="I705" i="9"/>
  <c r="I706" i="9"/>
  <c r="I707" i="9"/>
  <c r="I708" i="9"/>
  <c r="I709" i="9"/>
  <c r="I710" i="9"/>
  <c r="I711" i="9"/>
  <c r="I712" i="9"/>
  <c r="I713" i="9"/>
  <c r="I714" i="9"/>
  <c r="I715" i="9"/>
  <c r="I716" i="9"/>
  <c r="I717" i="9"/>
  <c r="I718" i="9"/>
  <c r="I719" i="9"/>
  <c r="I6" i="9"/>
  <c r="K721" i="9"/>
  <c r="P720" i="9"/>
  <c r="O720" i="9"/>
  <c r="G720" i="9"/>
  <c r="P719" i="9"/>
  <c r="O719" i="9"/>
  <c r="G719" i="9"/>
  <c r="G718" i="9"/>
  <c r="G717" i="9"/>
  <c r="P716" i="9"/>
  <c r="O716" i="9"/>
  <c r="G716" i="9"/>
  <c r="P715" i="9"/>
  <c r="O715" i="9"/>
  <c r="G715" i="9"/>
  <c r="P714" i="9"/>
  <c r="O714" i="9"/>
  <c r="G714" i="9"/>
  <c r="P713" i="9"/>
  <c r="O713" i="9"/>
  <c r="G713" i="9"/>
  <c r="P712" i="9"/>
  <c r="O712" i="9"/>
  <c r="P711" i="9"/>
  <c r="O711" i="9"/>
  <c r="G711" i="9"/>
  <c r="G710" i="9"/>
  <c r="G709" i="9"/>
  <c r="G708" i="9"/>
  <c r="G707" i="9"/>
  <c r="G706" i="9"/>
  <c r="G705" i="9"/>
  <c r="G704" i="9"/>
  <c r="G703" i="9"/>
  <c r="G702" i="9"/>
  <c r="G701" i="9"/>
  <c r="P699" i="9"/>
  <c r="O699" i="9"/>
  <c r="G699" i="9"/>
  <c r="P698" i="9"/>
  <c r="O698" i="9"/>
  <c r="G698" i="9"/>
  <c r="P697" i="9"/>
  <c r="O697" i="9"/>
  <c r="G697" i="9"/>
  <c r="P696" i="9"/>
  <c r="O696" i="9"/>
  <c r="G696" i="9"/>
  <c r="G695" i="9"/>
  <c r="P694" i="9"/>
  <c r="O694" i="9"/>
  <c r="G694" i="9"/>
  <c r="P693" i="9"/>
  <c r="O693" i="9"/>
  <c r="G693" i="9"/>
  <c r="P692" i="9"/>
  <c r="O692" i="9"/>
  <c r="G692" i="9"/>
  <c r="P691" i="9"/>
  <c r="O691" i="9"/>
  <c r="G691" i="9"/>
  <c r="P690" i="9"/>
  <c r="O690" i="9"/>
  <c r="G690" i="9"/>
  <c r="P689" i="9"/>
  <c r="O689" i="9"/>
  <c r="P688" i="9"/>
  <c r="O688" i="9"/>
  <c r="G688" i="9"/>
  <c r="P687" i="9"/>
  <c r="O687" i="9"/>
  <c r="G687" i="9"/>
  <c r="P686" i="9"/>
  <c r="O686" i="9"/>
  <c r="G686" i="9"/>
  <c r="P685" i="9"/>
  <c r="O685" i="9"/>
  <c r="G685" i="9"/>
  <c r="P684" i="9"/>
  <c r="O684" i="9"/>
  <c r="G684" i="9"/>
  <c r="P683" i="9"/>
  <c r="O683" i="9"/>
  <c r="G683" i="9"/>
  <c r="P682" i="9"/>
  <c r="O682" i="9"/>
  <c r="G682" i="9"/>
  <c r="P681" i="9"/>
  <c r="O681" i="9"/>
  <c r="G679" i="9"/>
  <c r="G678" i="9"/>
  <c r="G676" i="9"/>
  <c r="G675" i="9"/>
  <c r="G674" i="9"/>
  <c r="G673" i="9"/>
  <c r="G671" i="9"/>
  <c r="G670" i="9"/>
  <c r="G669" i="9"/>
  <c r="G668" i="9"/>
  <c r="G667" i="9"/>
  <c r="G666" i="9"/>
  <c r="G665" i="9"/>
  <c r="G664" i="9"/>
  <c r="G663" i="9"/>
  <c r="G662" i="9"/>
  <c r="G661" i="9"/>
  <c r="G660" i="9"/>
  <c r="G658" i="9"/>
  <c r="G657" i="9"/>
  <c r="G656" i="9"/>
  <c r="G654" i="9"/>
  <c r="G653" i="9"/>
  <c r="G652" i="9"/>
  <c r="G650" i="9"/>
  <c r="G649" i="9"/>
  <c r="G648" i="9"/>
  <c r="G647" i="9"/>
  <c r="G646" i="9"/>
  <c r="G645" i="9"/>
  <c r="G643" i="9"/>
  <c r="G641" i="9"/>
  <c r="G640" i="9"/>
  <c r="G639" i="9"/>
  <c r="G638" i="9"/>
  <c r="P635" i="9"/>
  <c r="O635" i="9"/>
  <c r="G635" i="9"/>
  <c r="G634" i="9"/>
  <c r="G633" i="9"/>
  <c r="P632" i="9"/>
  <c r="O632" i="9"/>
  <c r="G632" i="9"/>
  <c r="P631" i="9"/>
  <c r="O631" i="9"/>
  <c r="G631" i="9"/>
  <c r="P630" i="9"/>
  <c r="O630" i="9"/>
  <c r="G630" i="9"/>
  <c r="G629" i="9"/>
  <c r="G628" i="9"/>
  <c r="G627" i="9"/>
  <c r="G626" i="9"/>
  <c r="P625" i="9"/>
  <c r="O625" i="9"/>
  <c r="G625" i="9"/>
  <c r="G623" i="9"/>
  <c r="G622" i="9"/>
  <c r="G621" i="9"/>
  <c r="P620" i="9"/>
  <c r="O620" i="9"/>
  <c r="G620" i="9"/>
  <c r="P619" i="9"/>
  <c r="O619" i="9"/>
  <c r="G619" i="9"/>
  <c r="P617" i="9"/>
  <c r="O617" i="9"/>
  <c r="G617" i="9"/>
  <c r="P616" i="9"/>
  <c r="O616" i="9"/>
  <c r="G616" i="9"/>
  <c r="G615" i="9"/>
  <c r="G614" i="9"/>
  <c r="G613" i="9"/>
  <c r="G612" i="9"/>
  <c r="G611" i="9"/>
  <c r="G610" i="9"/>
  <c r="G609" i="9"/>
  <c r="G608" i="9"/>
  <c r="G607" i="9"/>
  <c r="G606" i="9"/>
  <c r="G605" i="9"/>
  <c r="G604" i="9"/>
  <c r="G602" i="9"/>
  <c r="G601" i="9"/>
  <c r="G600" i="9"/>
  <c r="G599" i="9"/>
  <c r="G598" i="9"/>
  <c r="G597" i="9"/>
  <c r="G595" i="9"/>
  <c r="G594" i="9"/>
  <c r="G593" i="9"/>
  <c r="G592" i="9"/>
  <c r="G591" i="9"/>
  <c r="G590" i="9"/>
  <c r="G589" i="9"/>
  <c r="G588" i="9"/>
  <c r="G587" i="9"/>
  <c r="G586" i="9"/>
  <c r="G585" i="9"/>
  <c r="G584" i="9"/>
  <c r="G583" i="9"/>
  <c r="G582" i="9"/>
  <c r="G581" i="9"/>
  <c r="G580" i="9"/>
  <c r="G579" i="9"/>
  <c r="G578" i="9"/>
  <c r="G577" i="9"/>
  <c r="G576" i="9"/>
  <c r="G575" i="9"/>
  <c r="G574" i="9"/>
  <c r="P573" i="9"/>
  <c r="O573" i="9"/>
  <c r="G573" i="9"/>
  <c r="P572" i="9"/>
  <c r="O572" i="9"/>
  <c r="G572" i="9"/>
  <c r="G571" i="9"/>
  <c r="G570" i="9"/>
  <c r="G569" i="9"/>
  <c r="G568" i="9"/>
  <c r="G567" i="9"/>
  <c r="G566" i="9"/>
  <c r="G565" i="9"/>
  <c r="G564" i="9"/>
  <c r="G563" i="9"/>
  <c r="G562" i="9"/>
  <c r="G561" i="9"/>
  <c r="G560" i="9"/>
  <c r="G559" i="9"/>
  <c r="P558" i="9"/>
  <c r="O558" i="9"/>
  <c r="G557" i="9"/>
  <c r="G556" i="9"/>
  <c r="G555" i="9"/>
  <c r="G554" i="9"/>
  <c r="G553" i="9"/>
  <c r="G552" i="9"/>
  <c r="G551" i="9"/>
  <c r="G550" i="9"/>
  <c r="P549" i="9"/>
  <c r="O549" i="9"/>
  <c r="G548" i="9"/>
  <c r="G547" i="9"/>
  <c r="G546" i="9"/>
  <c r="G545" i="9"/>
  <c r="G544" i="9"/>
  <c r="G543" i="9"/>
  <c r="G542" i="9"/>
  <c r="G541" i="9"/>
  <c r="P539" i="9"/>
  <c r="O539" i="9"/>
  <c r="G539" i="9"/>
  <c r="P538" i="9"/>
  <c r="O538" i="9"/>
  <c r="G538" i="9"/>
  <c r="P537" i="9"/>
  <c r="O537" i="9"/>
  <c r="G537" i="9"/>
  <c r="P536" i="9"/>
  <c r="O536" i="9"/>
  <c r="G536" i="9"/>
  <c r="P535" i="9"/>
  <c r="O535" i="9"/>
  <c r="G535" i="9"/>
  <c r="P534" i="9"/>
  <c r="O534" i="9"/>
  <c r="G534" i="9"/>
  <c r="P533" i="9"/>
  <c r="O533" i="9"/>
  <c r="G533" i="9"/>
  <c r="P532" i="9"/>
  <c r="O532" i="9"/>
  <c r="G532" i="9"/>
  <c r="P531" i="9"/>
  <c r="O531" i="9"/>
  <c r="G531" i="9"/>
  <c r="P530" i="9"/>
  <c r="O530" i="9"/>
  <c r="G530" i="9"/>
  <c r="P529" i="9"/>
  <c r="O529" i="9"/>
  <c r="G529" i="9"/>
  <c r="P528" i="9"/>
  <c r="O528" i="9"/>
  <c r="G528" i="9"/>
  <c r="P527" i="9"/>
  <c r="O527" i="9"/>
  <c r="G527" i="9"/>
  <c r="P526" i="9"/>
  <c r="O526" i="9"/>
  <c r="G526" i="9"/>
  <c r="P525" i="9"/>
  <c r="O525" i="9"/>
  <c r="G525" i="9"/>
  <c r="P524" i="9"/>
  <c r="O524" i="9"/>
  <c r="G522" i="9"/>
  <c r="G521" i="9"/>
  <c r="G520" i="9"/>
  <c r="G519" i="9"/>
  <c r="G518" i="9"/>
  <c r="G517" i="9"/>
  <c r="G516" i="9"/>
  <c r="G515" i="9"/>
  <c r="G514" i="9"/>
  <c r="P511" i="9"/>
  <c r="O511" i="9"/>
  <c r="G511" i="9"/>
  <c r="P510" i="9"/>
  <c r="O510" i="9"/>
  <c r="H510" i="9"/>
  <c r="G510" i="9"/>
  <c r="P509" i="9"/>
  <c r="O509" i="9"/>
  <c r="H509" i="9"/>
  <c r="G509" i="9"/>
  <c r="P508" i="9"/>
  <c r="O508" i="9"/>
  <c r="H508" i="9"/>
  <c r="G508" i="9"/>
  <c r="P507" i="9"/>
  <c r="O507" i="9"/>
  <c r="G507" i="9"/>
  <c r="P506" i="9"/>
  <c r="O506" i="9"/>
  <c r="P505" i="9"/>
  <c r="O505" i="9"/>
  <c r="G505" i="9"/>
  <c r="P504" i="9"/>
  <c r="O504" i="9"/>
  <c r="P503" i="9"/>
  <c r="O503" i="9"/>
  <c r="G503" i="9"/>
  <c r="P502" i="9"/>
  <c r="O502" i="9"/>
  <c r="G502" i="9"/>
  <c r="P501" i="9"/>
  <c r="O501" i="9"/>
  <c r="G501" i="9"/>
  <c r="P500" i="9"/>
  <c r="O500" i="9"/>
  <c r="G500" i="9"/>
  <c r="P499" i="9"/>
  <c r="O499" i="9"/>
  <c r="G499" i="9"/>
  <c r="P498" i="9"/>
  <c r="O498" i="9"/>
  <c r="G498" i="9"/>
  <c r="P497" i="9"/>
  <c r="O497" i="9"/>
  <c r="G497" i="9"/>
  <c r="P496" i="9"/>
  <c r="O496" i="9"/>
  <c r="G496" i="9"/>
  <c r="P495" i="9"/>
  <c r="O495" i="9"/>
  <c r="G495" i="9"/>
  <c r="P494" i="9"/>
  <c r="O494" i="9"/>
  <c r="G494" i="9"/>
  <c r="P493" i="9"/>
  <c r="O493" i="9"/>
  <c r="G493" i="9"/>
  <c r="P492" i="9"/>
  <c r="O492" i="9"/>
  <c r="G492" i="9"/>
  <c r="P491" i="9"/>
  <c r="O491" i="9"/>
  <c r="P490" i="9"/>
  <c r="O490" i="9"/>
  <c r="G490" i="9"/>
  <c r="G489" i="9"/>
  <c r="G488" i="9"/>
  <c r="G487" i="9"/>
  <c r="G486" i="9"/>
  <c r="P485" i="9"/>
  <c r="O485" i="9"/>
  <c r="G485" i="9"/>
  <c r="P484" i="9"/>
  <c r="O484" i="9"/>
  <c r="G484" i="9"/>
  <c r="G483" i="9"/>
  <c r="G482" i="9"/>
  <c r="G481" i="9"/>
  <c r="G480" i="9"/>
  <c r="P479" i="9"/>
  <c r="O479" i="9"/>
  <c r="G479" i="9"/>
  <c r="G478" i="9"/>
  <c r="G477" i="9"/>
  <c r="P476" i="9"/>
  <c r="O476" i="9"/>
  <c r="G476" i="9"/>
  <c r="P475" i="9"/>
  <c r="O475" i="9"/>
  <c r="G475" i="9"/>
  <c r="G474" i="9"/>
  <c r="G473" i="9"/>
  <c r="G472" i="9"/>
  <c r="G471" i="9"/>
  <c r="P470" i="9"/>
  <c r="O470" i="9"/>
  <c r="G470" i="9"/>
  <c r="P469" i="9"/>
  <c r="O469" i="9"/>
  <c r="G469" i="9"/>
  <c r="P468" i="9"/>
  <c r="O468" i="9"/>
  <c r="G468" i="9"/>
  <c r="P467" i="9"/>
  <c r="O467" i="9"/>
  <c r="G467" i="9"/>
  <c r="G466" i="9"/>
  <c r="G465" i="9"/>
  <c r="P464" i="9"/>
  <c r="O464" i="9"/>
  <c r="G464" i="9"/>
  <c r="G463" i="9"/>
  <c r="P462" i="9"/>
  <c r="O462" i="9"/>
  <c r="G462" i="9"/>
  <c r="P460" i="9"/>
  <c r="O460" i="9"/>
  <c r="G460" i="9"/>
  <c r="P459" i="9"/>
  <c r="O459" i="9"/>
  <c r="G459" i="9"/>
  <c r="G458" i="9"/>
  <c r="G457" i="9"/>
  <c r="G456" i="9"/>
  <c r="G455" i="9"/>
  <c r="G454" i="9"/>
  <c r="G453" i="9"/>
  <c r="G452" i="9"/>
  <c r="P450" i="9"/>
  <c r="O450" i="9"/>
  <c r="G450" i="9"/>
  <c r="G449" i="9"/>
  <c r="G448" i="9"/>
  <c r="P447" i="9"/>
  <c r="O447" i="9"/>
  <c r="G447" i="9"/>
  <c r="P446" i="9"/>
  <c r="O446" i="9"/>
  <c r="G446" i="9"/>
  <c r="P445" i="9"/>
  <c r="O445" i="9"/>
  <c r="G445" i="9"/>
  <c r="P444" i="9"/>
  <c r="O444" i="9"/>
  <c r="G444" i="9"/>
  <c r="P443" i="9"/>
  <c r="O443" i="9"/>
  <c r="G443" i="9"/>
  <c r="G442" i="9"/>
  <c r="G441" i="9"/>
  <c r="G440" i="9"/>
  <c r="G439" i="9"/>
  <c r="G438" i="9"/>
  <c r="G437" i="9"/>
  <c r="G436" i="9"/>
  <c r="G435" i="9"/>
  <c r="G434" i="9"/>
  <c r="G433" i="9"/>
  <c r="G432" i="9"/>
  <c r="P430" i="9"/>
  <c r="O430" i="9"/>
  <c r="G430" i="9"/>
  <c r="P429" i="9"/>
  <c r="O429" i="9"/>
  <c r="G429" i="9"/>
  <c r="G428" i="9"/>
  <c r="G427" i="9"/>
  <c r="G426" i="9"/>
  <c r="P425" i="9"/>
  <c r="O425" i="9"/>
  <c r="G425" i="9"/>
  <c r="G424" i="9"/>
  <c r="P423" i="9"/>
  <c r="O423" i="9"/>
  <c r="G423" i="9"/>
  <c r="G422" i="9"/>
  <c r="G421" i="9"/>
  <c r="P420" i="9"/>
  <c r="O420" i="9"/>
  <c r="G420" i="9"/>
  <c r="G419" i="9"/>
  <c r="G418" i="9"/>
  <c r="G417" i="9"/>
  <c r="G415" i="9"/>
  <c r="G414" i="9"/>
  <c r="G412" i="9"/>
  <c r="G411" i="9"/>
  <c r="G410" i="9"/>
  <c r="G409" i="9"/>
  <c r="G408" i="9"/>
  <c r="O407" i="9"/>
  <c r="G407" i="9"/>
  <c r="G404" i="9"/>
  <c r="G403" i="9"/>
  <c r="G402" i="9"/>
  <c r="G401" i="9"/>
  <c r="G399" i="9"/>
  <c r="G398" i="9"/>
  <c r="G397" i="9"/>
  <c r="G396" i="9"/>
  <c r="G395" i="9"/>
  <c r="G393" i="9"/>
  <c r="G392" i="9"/>
  <c r="G391" i="9"/>
  <c r="G390" i="9"/>
  <c r="G389" i="9"/>
  <c r="G388" i="9"/>
  <c r="G387" i="9"/>
  <c r="G386" i="9"/>
  <c r="G385" i="9"/>
  <c r="G384" i="9"/>
  <c r="G383" i="9"/>
  <c r="G382" i="9"/>
  <c r="G381" i="9"/>
  <c r="G380" i="9"/>
  <c r="G379" i="9"/>
  <c r="G378" i="9"/>
  <c r="G375" i="9"/>
  <c r="G374" i="9"/>
  <c r="G373" i="9"/>
  <c r="G372" i="9"/>
  <c r="G371" i="9"/>
  <c r="G370" i="9"/>
  <c r="G369" i="9"/>
  <c r="G368" i="9"/>
  <c r="G367" i="9"/>
  <c r="G366" i="9"/>
  <c r="G365" i="9"/>
  <c r="G364" i="9"/>
  <c r="G363" i="9"/>
  <c r="G362" i="9"/>
  <c r="G361" i="9"/>
  <c r="G359" i="9"/>
  <c r="G358" i="9"/>
  <c r="H357" i="9"/>
  <c r="G357" i="9"/>
  <c r="H356" i="9"/>
  <c r="G356" i="9"/>
  <c r="H355" i="9"/>
  <c r="G355" i="9"/>
  <c r="H354" i="9"/>
  <c r="G354" i="9"/>
  <c r="H353" i="9"/>
  <c r="G353" i="9"/>
  <c r="H352" i="9"/>
  <c r="G352" i="9"/>
  <c r="H351" i="9"/>
  <c r="G351" i="9"/>
  <c r="H350" i="9"/>
  <c r="G350" i="9"/>
  <c r="H349" i="9"/>
  <c r="G349" i="9"/>
  <c r="H348" i="9"/>
  <c r="G348" i="9"/>
  <c r="H347" i="9"/>
  <c r="G347" i="9"/>
  <c r="G344" i="9"/>
  <c r="P343" i="9"/>
  <c r="O343" i="9"/>
  <c r="G343" i="9"/>
  <c r="P342" i="9"/>
  <c r="O342" i="9"/>
  <c r="G342" i="9"/>
  <c r="G341" i="9"/>
  <c r="G340" i="9"/>
  <c r="G339" i="9"/>
  <c r="G338" i="9"/>
  <c r="P337" i="9"/>
  <c r="O337" i="9"/>
  <c r="G337" i="9"/>
  <c r="G336" i="9"/>
  <c r="G335" i="9"/>
  <c r="G334" i="9"/>
  <c r="G333" i="9"/>
  <c r="G332" i="9"/>
  <c r="G331" i="9"/>
  <c r="G330" i="9"/>
  <c r="G329" i="9"/>
  <c r="G328" i="9"/>
  <c r="G327" i="9"/>
  <c r="G326" i="9"/>
  <c r="G325" i="9"/>
  <c r="G324" i="9"/>
  <c r="G323" i="9"/>
  <c r="G322" i="9"/>
  <c r="G320" i="9"/>
  <c r="G319" i="9"/>
  <c r="G318" i="9"/>
  <c r="G317" i="9"/>
  <c r="G316" i="9"/>
  <c r="G315" i="9"/>
  <c r="G314" i="9"/>
  <c r="G313" i="9"/>
  <c r="G311" i="9"/>
  <c r="G310" i="9"/>
  <c r="G309" i="9"/>
  <c r="G308" i="9"/>
  <c r="G307" i="9"/>
  <c r="G306" i="9"/>
  <c r="G305" i="9"/>
  <c r="G304" i="9"/>
  <c r="G303" i="9"/>
  <c r="G302" i="9"/>
  <c r="G301" i="9"/>
  <c r="G300" i="9"/>
  <c r="G299" i="9"/>
  <c r="G298" i="9"/>
  <c r="G297" i="9"/>
  <c r="G296" i="9"/>
  <c r="G295" i="9"/>
  <c r="G294" i="9"/>
  <c r="G293" i="9"/>
  <c r="G291" i="9"/>
  <c r="G290" i="9"/>
  <c r="G289" i="9"/>
  <c r="G288" i="9"/>
  <c r="G287" i="9"/>
  <c r="G286" i="9"/>
  <c r="G285" i="9"/>
  <c r="G284" i="9"/>
  <c r="G283" i="9"/>
  <c r="G282" i="9"/>
  <c r="G281" i="9"/>
  <c r="G280" i="9"/>
  <c r="G279" i="9"/>
  <c r="G278" i="9"/>
  <c r="G277" i="9"/>
  <c r="G276" i="9"/>
  <c r="G275" i="9"/>
  <c r="G274" i="9"/>
  <c r="G273" i="9"/>
  <c r="G272" i="9"/>
  <c r="G271" i="9"/>
  <c r="G270" i="9"/>
  <c r="G269" i="9"/>
  <c r="G268" i="9"/>
  <c r="G267" i="9"/>
  <c r="G266" i="9"/>
  <c r="G265" i="9"/>
  <c r="G264" i="9"/>
  <c r="G263" i="9"/>
  <c r="P260" i="9"/>
  <c r="O260" i="9"/>
  <c r="G260" i="9"/>
  <c r="P259" i="9"/>
  <c r="O259" i="9"/>
  <c r="P258" i="9"/>
  <c r="O258" i="9"/>
  <c r="G258" i="9"/>
  <c r="P257" i="9"/>
  <c r="O257" i="9"/>
  <c r="G257" i="9"/>
  <c r="P256" i="9"/>
  <c r="O256" i="9"/>
  <c r="G256" i="9"/>
  <c r="P255" i="9"/>
  <c r="O255" i="9"/>
  <c r="G255" i="9"/>
  <c r="P254" i="9"/>
  <c r="O254" i="9"/>
  <c r="G254" i="9"/>
  <c r="P253" i="9"/>
  <c r="O253" i="9"/>
  <c r="G253" i="9"/>
  <c r="P252" i="9"/>
  <c r="O252" i="9"/>
  <c r="P251" i="9"/>
  <c r="O251" i="9"/>
  <c r="G251" i="9"/>
  <c r="P250" i="9"/>
  <c r="O250" i="9"/>
  <c r="G250" i="9"/>
  <c r="P249" i="9"/>
  <c r="O249" i="9"/>
  <c r="G249" i="9"/>
  <c r="P248" i="9"/>
  <c r="O248" i="9"/>
  <c r="G248" i="9"/>
  <c r="P247" i="9"/>
  <c r="O247" i="9"/>
  <c r="P246" i="9"/>
  <c r="O246" i="9"/>
  <c r="G246" i="9"/>
  <c r="P245" i="9"/>
  <c r="O245" i="9"/>
  <c r="G245" i="9"/>
  <c r="G244" i="9"/>
  <c r="P243" i="9"/>
  <c r="O243" i="9"/>
  <c r="G243" i="9"/>
  <c r="P242" i="9"/>
  <c r="O242" i="9"/>
  <c r="G242" i="9"/>
  <c r="P241" i="9"/>
  <c r="O241" i="9"/>
  <c r="P240" i="9"/>
  <c r="O240" i="9"/>
  <c r="G240" i="9"/>
  <c r="P238" i="9"/>
  <c r="O238" i="9"/>
  <c r="G238" i="9"/>
  <c r="P237" i="9"/>
  <c r="O237" i="9"/>
  <c r="G237" i="9"/>
  <c r="P235" i="9"/>
  <c r="O235" i="9"/>
  <c r="G235" i="9"/>
  <c r="G234" i="9"/>
  <c r="P233" i="9"/>
  <c r="O233" i="9"/>
  <c r="G233" i="9"/>
  <c r="P232" i="9"/>
  <c r="O232" i="9"/>
  <c r="P231" i="9"/>
  <c r="O231" i="9"/>
  <c r="G230" i="9"/>
  <c r="G228" i="9"/>
  <c r="G227" i="9"/>
  <c r="P225" i="9"/>
  <c r="O225" i="9"/>
  <c r="G225" i="9"/>
  <c r="P224" i="9"/>
  <c r="O224" i="9"/>
  <c r="G222" i="9"/>
  <c r="P221" i="9"/>
  <c r="O221" i="9"/>
  <c r="G220" i="9"/>
  <c r="H219" i="9"/>
  <c r="G219" i="9"/>
  <c r="P218" i="9"/>
  <c r="O218" i="9"/>
  <c r="G218" i="9"/>
  <c r="G217" i="9"/>
  <c r="G216" i="9"/>
  <c r="G215" i="9"/>
  <c r="H214" i="9"/>
  <c r="G214" i="9"/>
  <c r="G213" i="9"/>
  <c r="P212" i="9"/>
  <c r="O212" i="9"/>
  <c r="G211" i="9"/>
  <c r="G210" i="9"/>
  <c r="G209" i="9"/>
  <c r="G208" i="9"/>
  <c r="H207" i="9"/>
  <c r="G207" i="9"/>
  <c r="G206" i="9"/>
  <c r="P205" i="9"/>
  <c r="O205" i="9"/>
  <c r="G204" i="9"/>
  <c r="G203" i="9"/>
  <c r="G202" i="9"/>
  <c r="G201" i="9"/>
  <c r="H200" i="9"/>
  <c r="G200" i="9"/>
  <c r="G199" i="9"/>
  <c r="G197" i="9"/>
  <c r="G196" i="9"/>
  <c r="G195" i="9"/>
  <c r="G194" i="9"/>
  <c r="G193" i="9"/>
  <c r="G192" i="9"/>
  <c r="G191" i="9"/>
  <c r="G190" i="9"/>
  <c r="P189" i="9"/>
  <c r="O189" i="9"/>
  <c r="G189" i="9"/>
  <c r="G188" i="9"/>
  <c r="G187" i="9"/>
  <c r="G186" i="9"/>
  <c r="G185" i="9"/>
  <c r="G183" i="9"/>
  <c r="G182" i="9"/>
  <c r="G181" i="9"/>
  <c r="G180" i="9"/>
  <c r="P179" i="9"/>
  <c r="O179" i="9"/>
  <c r="G179" i="9"/>
  <c r="G178" i="9"/>
  <c r="P177" i="9"/>
  <c r="O177" i="9"/>
  <c r="P176" i="9"/>
  <c r="O176" i="9"/>
  <c r="G176" i="9"/>
  <c r="G175" i="9"/>
  <c r="G174" i="9"/>
  <c r="G173" i="9"/>
  <c r="P172" i="9"/>
  <c r="O172" i="9"/>
  <c r="G172" i="9"/>
  <c r="G171" i="9"/>
  <c r="P170" i="9"/>
  <c r="O170" i="9"/>
  <c r="G169" i="9"/>
  <c r="G168" i="9"/>
  <c r="G167" i="9"/>
  <c r="G166" i="9"/>
  <c r="G165" i="9"/>
  <c r="G164" i="9"/>
  <c r="G163" i="9"/>
  <c r="G161" i="9"/>
  <c r="G160" i="9"/>
  <c r="G159" i="9"/>
  <c r="G158" i="9"/>
  <c r="G155" i="9"/>
  <c r="P154" i="9"/>
  <c r="O154" i="9"/>
  <c r="G153" i="9"/>
  <c r="G152" i="9"/>
  <c r="G151" i="9"/>
  <c r="G150" i="9"/>
  <c r="P149" i="9"/>
  <c r="O149" i="9"/>
  <c r="G148" i="9"/>
  <c r="P147" i="9"/>
  <c r="O147" i="9"/>
  <c r="G147" i="9"/>
  <c r="G146" i="9"/>
  <c r="G145" i="9"/>
  <c r="G144" i="9"/>
  <c r="G143" i="9"/>
  <c r="P142" i="9"/>
  <c r="O142" i="9"/>
  <c r="G142" i="9"/>
  <c r="G141" i="9"/>
  <c r="G140" i="9"/>
  <c r="P139" i="9"/>
  <c r="O139" i="9"/>
  <c r="G139" i="9"/>
  <c r="G138" i="9"/>
  <c r="G136" i="9"/>
  <c r="G135" i="9"/>
  <c r="P134" i="9"/>
  <c r="O134" i="9"/>
  <c r="G133" i="9"/>
  <c r="G132" i="9"/>
  <c r="G131" i="9"/>
  <c r="P130" i="9"/>
  <c r="O130" i="9"/>
  <c r="G129" i="9"/>
  <c r="G128" i="9"/>
  <c r="G127" i="9"/>
  <c r="G125" i="9"/>
  <c r="G124" i="9"/>
  <c r="G123" i="9"/>
  <c r="G122" i="9"/>
  <c r="G121" i="9"/>
  <c r="G119" i="9"/>
  <c r="G118" i="9"/>
  <c r="G116" i="9"/>
  <c r="G115" i="9"/>
  <c r="G114" i="9"/>
  <c r="G113" i="9"/>
  <c r="G111" i="9"/>
  <c r="G110" i="9"/>
  <c r="P109" i="9"/>
  <c r="O109" i="9"/>
  <c r="G109" i="9"/>
  <c r="P108" i="9"/>
  <c r="O108" i="9"/>
  <c r="G107" i="9"/>
  <c r="G106" i="9"/>
  <c r="G105" i="9"/>
  <c r="G104" i="9"/>
  <c r="G103" i="9"/>
  <c r="G102" i="9"/>
  <c r="P101" i="9"/>
  <c r="O101" i="9"/>
  <c r="G100" i="9"/>
  <c r="G99" i="9"/>
  <c r="G98" i="9"/>
  <c r="G97" i="9"/>
  <c r="G96" i="9"/>
  <c r="G95" i="9"/>
  <c r="P94" i="9"/>
  <c r="O94" i="9"/>
  <c r="G93" i="9"/>
  <c r="G92" i="9"/>
  <c r="G91" i="9"/>
  <c r="G90" i="9"/>
  <c r="G89" i="9"/>
  <c r="G88" i="9"/>
  <c r="G86" i="9"/>
  <c r="G85" i="9"/>
  <c r="G84" i="9"/>
  <c r="G83" i="9"/>
  <c r="G82" i="9"/>
  <c r="G81" i="9"/>
  <c r="P79" i="9"/>
  <c r="O79" i="9"/>
  <c r="G79" i="9"/>
  <c r="P78" i="9"/>
  <c r="O78" i="9"/>
  <c r="G78" i="9"/>
  <c r="G77" i="9"/>
  <c r="G76" i="9"/>
  <c r="G75" i="9"/>
  <c r="G74" i="9"/>
  <c r="G73" i="9"/>
  <c r="G72" i="9"/>
  <c r="G71" i="9"/>
  <c r="G70" i="9"/>
  <c r="P67" i="9"/>
  <c r="O67" i="9"/>
  <c r="G67" i="9"/>
  <c r="P66" i="9"/>
  <c r="O66" i="9"/>
  <c r="G66" i="9"/>
  <c r="G65" i="9"/>
  <c r="G64" i="9"/>
  <c r="P63" i="9"/>
  <c r="O63" i="9"/>
  <c r="G62" i="9"/>
  <c r="G61" i="9"/>
  <c r="P60" i="9"/>
  <c r="O60" i="9"/>
  <c r="G59" i="9"/>
  <c r="G58" i="9"/>
  <c r="P57" i="9"/>
  <c r="O57" i="9"/>
  <c r="G56" i="9"/>
  <c r="P55" i="9"/>
  <c r="O55" i="9"/>
  <c r="G55" i="9"/>
  <c r="G54" i="9"/>
  <c r="G52" i="9"/>
  <c r="H51" i="9"/>
  <c r="G51" i="9"/>
  <c r="H50" i="9"/>
  <c r="G50" i="9"/>
  <c r="G47" i="9"/>
  <c r="H45" i="9"/>
  <c r="G45" i="9"/>
  <c r="G44" i="9"/>
  <c r="G43" i="9"/>
  <c r="G42" i="9"/>
  <c r="G41" i="9"/>
  <c r="G39" i="9"/>
  <c r="G38" i="9"/>
  <c r="P37" i="9"/>
  <c r="O37" i="9"/>
  <c r="G37" i="9"/>
  <c r="G35" i="9"/>
  <c r="G34" i="9"/>
  <c r="F31" i="9"/>
  <c r="G30" i="9"/>
  <c r="G28" i="9"/>
  <c r="G26" i="9"/>
  <c r="G25" i="9"/>
  <c r="G24" i="9"/>
  <c r="G23" i="9"/>
  <c r="G21" i="9"/>
  <c r="G20" i="9"/>
  <c r="G19" i="9"/>
  <c r="G18" i="9"/>
  <c r="P15" i="9"/>
  <c r="O15" i="9"/>
  <c r="G15" i="9"/>
  <c r="P14" i="9"/>
  <c r="O14" i="9"/>
  <c r="G14" i="9"/>
  <c r="G13" i="9"/>
  <c r="P12" i="9"/>
  <c r="O12" i="9"/>
  <c r="G12" i="9"/>
  <c r="P11" i="9"/>
  <c r="O11" i="9"/>
  <c r="G11" i="9"/>
  <c r="G10" i="9"/>
  <c r="G9" i="9"/>
  <c r="P8" i="9"/>
  <c r="O8" i="9"/>
  <c r="G8" i="9"/>
  <c r="P7" i="9"/>
  <c r="O7" i="9"/>
  <c r="G7" i="9"/>
  <c r="G6" i="9"/>
  <c r="K548" i="8"/>
  <c r="N540" i="8"/>
  <c r="O540" i="8" s="1"/>
  <c r="G540" i="8"/>
  <c r="N539" i="8"/>
  <c r="O539" i="8" s="1"/>
  <c r="G539" i="8"/>
  <c r="N538" i="8"/>
  <c r="O538" i="8" s="1"/>
  <c r="G538" i="8"/>
  <c r="N537" i="8"/>
  <c r="O537" i="8" s="1"/>
  <c r="G537" i="8"/>
  <c r="N536" i="8"/>
  <c r="O536" i="8" s="1"/>
  <c r="G536" i="8"/>
  <c r="N535" i="8"/>
  <c r="O535" i="8" s="1"/>
  <c r="G535" i="8"/>
  <c r="N534" i="8"/>
  <c r="O534" i="8" s="1"/>
  <c r="G534" i="8"/>
  <c r="N533" i="8"/>
  <c r="O533" i="8" s="1"/>
  <c r="G533" i="8"/>
  <c r="N532" i="8"/>
  <c r="O532" i="8" s="1"/>
  <c r="G532" i="8"/>
  <c r="N531" i="8"/>
  <c r="O531" i="8" s="1"/>
  <c r="G531" i="8"/>
  <c r="G530" i="8"/>
  <c r="G529" i="8"/>
  <c r="G528" i="8"/>
  <c r="G527" i="8"/>
  <c r="G526" i="8"/>
  <c r="G525" i="8"/>
  <c r="G524" i="8"/>
  <c r="G523" i="8"/>
  <c r="G522" i="8"/>
  <c r="G521" i="8"/>
  <c r="G520" i="8"/>
  <c r="G519" i="8"/>
  <c r="G518" i="8"/>
  <c r="G516" i="8"/>
  <c r="G515" i="8"/>
  <c r="G514" i="8"/>
  <c r="G513" i="8"/>
  <c r="G512" i="8"/>
  <c r="G511" i="8"/>
  <c r="G510" i="8"/>
  <c r="G509" i="8"/>
  <c r="G508" i="8"/>
  <c r="G507" i="8"/>
  <c r="G506" i="8"/>
  <c r="G505" i="8"/>
  <c r="G504" i="8"/>
  <c r="G503" i="8"/>
  <c r="G502" i="8"/>
  <c r="G501" i="8"/>
  <c r="G500" i="8"/>
  <c r="G499" i="8"/>
  <c r="G498" i="8"/>
  <c r="G497" i="8"/>
  <c r="G496" i="8"/>
  <c r="G495" i="8"/>
  <c r="G494" i="8"/>
  <c r="G493" i="8"/>
  <c r="G492" i="8"/>
  <c r="G491" i="8"/>
  <c r="G490" i="8"/>
  <c r="G489" i="8"/>
  <c r="G488" i="8"/>
  <c r="G487" i="8"/>
  <c r="G486" i="8"/>
  <c r="G485" i="8"/>
  <c r="G484" i="8"/>
  <c r="G483" i="8"/>
  <c r="G482" i="8"/>
  <c r="G481" i="8"/>
  <c r="G480" i="8"/>
  <c r="G479" i="8"/>
  <c r="G478" i="8"/>
  <c r="G477" i="8"/>
  <c r="G476" i="8"/>
  <c r="G475" i="8"/>
  <c r="G474" i="8"/>
  <c r="G473" i="8"/>
  <c r="G472" i="8"/>
  <c r="G471" i="8"/>
  <c r="G470" i="8"/>
  <c r="G469" i="8"/>
  <c r="G468" i="8"/>
  <c r="G467" i="8"/>
  <c r="G466" i="8"/>
  <c r="G465" i="8"/>
  <c r="G464" i="8"/>
  <c r="N463" i="8"/>
  <c r="O463" i="8" s="1"/>
  <c r="G463" i="8"/>
  <c r="N462" i="8"/>
  <c r="O462" i="8" s="1"/>
  <c r="G462" i="8"/>
  <c r="G461" i="8"/>
  <c r="G460" i="8"/>
  <c r="G459" i="8"/>
  <c r="G458" i="8"/>
  <c r="G457" i="8"/>
  <c r="G456" i="8"/>
  <c r="G455" i="8"/>
  <c r="G454" i="8"/>
  <c r="G453" i="8"/>
  <c r="G452" i="8"/>
  <c r="G451" i="8"/>
  <c r="G450" i="8"/>
  <c r="G449" i="8"/>
  <c r="G448" i="8"/>
  <c r="G447" i="8"/>
  <c r="G446" i="8"/>
  <c r="G445" i="8"/>
  <c r="G444" i="8"/>
  <c r="G443" i="8"/>
  <c r="G442" i="8"/>
  <c r="G441" i="8"/>
  <c r="G440" i="8"/>
  <c r="G439" i="8"/>
  <c r="G438" i="8"/>
  <c r="G437" i="8"/>
  <c r="G436" i="8"/>
  <c r="G435" i="8"/>
  <c r="G434" i="8"/>
  <c r="G433" i="8"/>
  <c r="G432" i="8"/>
  <c r="G431" i="8"/>
  <c r="G430" i="8"/>
  <c r="G429" i="8"/>
  <c r="G428" i="8"/>
  <c r="G427" i="8"/>
  <c r="G426" i="8"/>
  <c r="G425" i="8"/>
  <c r="G424" i="8"/>
  <c r="G423" i="8"/>
  <c r="G422" i="8"/>
  <c r="G421" i="8"/>
  <c r="G420" i="8"/>
  <c r="G419" i="8"/>
  <c r="G418" i="8"/>
  <c r="G417" i="8"/>
  <c r="G416" i="8"/>
  <c r="G415" i="8"/>
  <c r="G414" i="8"/>
  <c r="G413" i="8"/>
  <c r="G412" i="8"/>
  <c r="G411" i="8"/>
  <c r="G410" i="8"/>
  <c r="G409" i="8"/>
  <c r="G408" i="8"/>
  <c r="G407" i="8"/>
  <c r="N406" i="8"/>
  <c r="O406" i="8" s="1"/>
  <c r="G406" i="8"/>
  <c r="G405" i="8"/>
  <c r="G404" i="8"/>
  <c r="G403" i="8"/>
  <c r="G402" i="8"/>
  <c r="G401" i="8"/>
  <c r="G400" i="8"/>
  <c r="G399" i="8"/>
  <c r="G398" i="8"/>
  <c r="N397" i="8"/>
  <c r="O397" i="8" s="1"/>
  <c r="G397" i="8"/>
  <c r="G396" i="8"/>
  <c r="G395" i="8"/>
  <c r="G394" i="8"/>
  <c r="G393" i="8"/>
  <c r="G392" i="8"/>
  <c r="G391" i="8"/>
  <c r="G390" i="8"/>
  <c r="G389" i="8"/>
  <c r="G388" i="8"/>
  <c r="G387" i="8"/>
  <c r="G386" i="8"/>
  <c r="G385" i="8"/>
  <c r="G384" i="8"/>
  <c r="G383" i="8"/>
  <c r="G382" i="8"/>
  <c r="G381" i="8"/>
  <c r="G380" i="8"/>
  <c r="G379" i="8"/>
  <c r="G378" i="8"/>
  <c r="G377" i="8"/>
  <c r="G376" i="8"/>
  <c r="N375" i="8"/>
  <c r="O375" i="8" s="1"/>
  <c r="G375" i="8"/>
  <c r="G374" i="8"/>
  <c r="G373" i="8"/>
  <c r="G372" i="8"/>
  <c r="G371" i="8"/>
  <c r="N370" i="8"/>
  <c r="O370" i="8" s="1"/>
  <c r="G370" i="8"/>
  <c r="N369" i="8"/>
  <c r="O369" i="8" s="1"/>
  <c r="G369" i="8"/>
  <c r="G368" i="8"/>
  <c r="G367" i="8"/>
  <c r="G366" i="8"/>
  <c r="G365" i="8"/>
  <c r="N364" i="8"/>
  <c r="O364" i="8" s="1"/>
  <c r="G364" i="8"/>
  <c r="G363" i="8"/>
  <c r="G362" i="8"/>
  <c r="N361" i="8"/>
  <c r="O361" i="8" s="1"/>
  <c r="G361" i="8"/>
  <c r="N360" i="8"/>
  <c r="O360" i="8" s="1"/>
  <c r="G360" i="8"/>
  <c r="G359" i="8"/>
  <c r="G358" i="8"/>
  <c r="G357" i="8"/>
  <c r="G356" i="8"/>
  <c r="N355" i="8"/>
  <c r="O355" i="8" s="1"/>
  <c r="G355" i="8"/>
  <c r="N354" i="8"/>
  <c r="O354" i="8" s="1"/>
  <c r="G354" i="8"/>
  <c r="N353" i="8"/>
  <c r="O353" i="8" s="1"/>
  <c r="G353" i="8"/>
  <c r="N352" i="8"/>
  <c r="O352" i="8" s="1"/>
  <c r="G352" i="8"/>
  <c r="G351" i="8"/>
  <c r="G350" i="8"/>
  <c r="N349" i="8"/>
  <c r="O349" i="8" s="1"/>
  <c r="G349" i="8"/>
  <c r="N348" i="8"/>
  <c r="O348" i="8" s="1"/>
  <c r="G348" i="8"/>
  <c r="N347" i="8"/>
  <c r="O347" i="8" s="1"/>
  <c r="G347" i="8"/>
  <c r="G346" i="8"/>
  <c r="N345" i="8"/>
  <c r="O345" i="8" s="1"/>
  <c r="G345" i="8"/>
  <c r="N344" i="8"/>
  <c r="O344" i="8" s="1"/>
  <c r="G344" i="8"/>
  <c r="G343" i="8"/>
  <c r="G342" i="8"/>
  <c r="G341" i="8"/>
  <c r="G340" i="8"/>
  <c r="G339" i="8"/>
  <c r="G338" i="8"/>
  <c r="G337" i="8"/>
  <c r="G336" i="8"/>
  <c r="N335" i="8"/>
  <c r="O335" i="8" s="1"/>
  <c r="G335" i="8"/>
  <c r="G334" i="8"/>
  <c r="G333" i="8"/>
  <c r="N332" i="8"/>
  <c r="O332" i="8" s="1"/>
  <c r="G332" i="8"/>
  <c r="G331" i="8"/>
  <c r="G330" i="8"/>
  <c r="G329" i="8"/>
  <c r="G328" i="8"/>
  <c r="G327" i="8"/>
  <c r="G326" i="8"/>
  <c r="G325" i="8"/>
  <c r="G324" i="8"/>
  <c r="G323" i="8"/>
  <c r="G322" i="8"/>
  <c r="G321" i="8"/>
  <c r="G320" i="8"/>
  <c r="N319" i="8"/>
  <c r="O319" i="8" s="1"/>
  <c r="G319" i="8"/>
  <c r="N318" i="8"/>
  <c r="O318" i="8" s="1"/>
  <c r="G318" i="8"/>
  <c r="G317" i="8"/>
  <c r="G316" i="8"/>
  <c r="G315" i="8"/>
  <c r="N314" i="8"/>
  <c r="O314" i="8" s="1"/>
  <c r="G314" i="8"/>
  <c r="G313" i="8"/>
  <c r="N312" i="8"/>
  <c r="O312" i="8" s="1"/>
  <c r="G312" i="8"/>
  <c r="G311" i="8"/>
  <c r="G310" i="8"/>
  <c r="N309" i="8"/>
  <c r="O309" i="8" s="1"/>
  <c r="G309" i="8"/>
  <c r="G308" i="8"/>
  <c r="G307" i="8"/>
  <c r="G306" i="8"/>
  <c r="G305" i="8"/>
  <c r="G304" i="8"/>
  <c r="G303" i="8"/>
  <c r="G302" i="8"/>
  <c r="G301" i="8"/>
  <c r="G300" i="8"/>
  <c r="N299" i="8"/>
  <c r="O299" i="8" s="1"/>
  <c r="G299" i="8"/>
  <c r="G298" i="8"/>
  <c r="G297" i="8"/>
  <c r="N296" i="8"/>
  <c r="O296" i="8" s="1"/>
  <c r="G296" i="8"/>
  <c r="G295" i="8"/>
  <c r="G294" i="8"/>
  <c r="G293" i="8"/>
  <c r="G292" i="8"/>
  <c r="G291" i="8"/>
  <c r="G290" i="8"/>
  <c r="G289" i="8"/>
  <c r="G288" i="8"/>
  <c r="G287" i="8"/>
  <c r="G286" i="8"/>
  <c r="G285" i="8"/>
  <c r="G284" i="8"/>
  <c r="G283" i="8"/>
  <c r="G282" i="8"/>
  <c r="G281" i="8"/>
  <c r="G280" i="8"/>
  <c r="G279" i="8"/>
  <c r="G278" i="8"/>
  <c r="G277" i="8"/>
  <c r="G276" i="8"/>
  <c r="G275" i="8"/>
  <c r="G274" i="8"/>
  <c r="G273" i="8"/>
  <c r="G272" i="8"/>
  <c r="G271" i="8"/>
  <c r="G270" i="8"/>
  <c r="G269" i="8"/>
  <c r="G268" i="8"/>
  <c r="G267" i="8"/>
  <c r="G266" i="8"/>
  <c r="G265" i="8"/>
  <c r="G264" i="8"/>
  <c r="G263" i="8"/>
  <c r="G262" i="8"/>
  <c r="G261" i="8"/>
  <c r="G260" i="8"/>
  <c r="G259" i="8"/>
  <c r="G258" i="8"/>
  <c r="G257" i="8"/>
  <c r="G256" i="8"/>
  <c r="G255" i="8"/>
  <c r="G254" i="8"/>
  <c r="G253" i="8"/>
  <c r="G252" i="8"/>
  <c r="G251" i="8"/>
  <c r="G250" i="8"/>
  <c r="G249" i="8"/>
  <c r="G248" i="8"/>
  <c r="G247" i="8"/>
  <c r="G246" i="8"/>
  <c r="G245" i="8"/>
  <c r="G244" i="8"/>
  <c r="G243" i="8"/>
  <c r="G242" i="8"/>
  <c r="G241" i="8"/>
  <c r="G240" i="8"/>
  <c r="G239" i="8"/>
  <c r="G238" i="8"/>
  <c r="G237" i="8"/>
  <c r="G236" i="8"/>
  <c r="G235" i="8"/>
  <c r="G234" i="8"/>
  <c r="G233" i="8"/>
  <c r="N232" i="8"/>
  <c r="O232" i="8" s="1"/>
  <c r="G232" i="8"/>
  <c r="N231" i="8"/>
  <c r="O231" i="8" s="1"/>
  <c r="G231" i="8"/>
  <c r="G230" i="8"/>
  <c r="G229" i="8"/>
  <c r="G228" i="8"/>
  <c r="G227" i="8"/>
  <c r="G226" i="8"/>
  <c r="G225" i="8"/>
  <c r="G224" i="8"/>
  <c r="G223" i="8"/>
  <c r="G222" i="8"/>
  <c r="G221" i="8"/>
  <c r="G220" i="8"/>
  <c r="G219" i="8"/>
  <c r="G218" i="8"/>
  <c r="G217" i="8"/>
  <c r="G216" i="8"/>
  <c r="G215" i="8"/>
  <c r="G214" i="8"/>
  <c r="G213" i="8"/>
  <c r="G212" i="8"/>
  <c r="G211" i="8"/>
  <c r="G210" i="8"/>
  <c r="G209" i="8"/>
  <c r="G208" i="8"/>
  <c r="G207" i="8"/>
  <c r="G206" i="8"/>
  <c r="G205" i="8"/>
  <c r="G204" i="8"/>
  <c r="G203" i="8"/>
  <c r="G202" i="8"/>
  <c r="G201" i="8"/>
  <c r="G200" i="8"/>
  <c r="G199" i="8"/>
  <c r="G198" i="8"/>
  <c r="G197" i="8"/>
  <c r="G196" i="8"/>
  <c r="G195" i="8"/>
  <c r="G194" i="8"/>
  <c r="G193" i="8"/>
  <c r="G192" i="8"/>
  <c r="G191" i="8"/>
  <c r="G190" i="8"/>
  <c r="G189" i="8"/>
  <c r="G188" i="8"/>
  <c r="G187" i="8"/>
  <c r="G186" i="8"/>
  <c r="G185" i="8"/>
  <c r="G184" i="8"/>
  <c r="G183" i="8"/>
  <c r="G182" i="8"/>
  <c r="G181" i="8"/>
  <c r="G180" i="8"/>
  <c r="G179" i="8"/>
  <c r="G178" i="8"/>
  <c r="G177" i="8"/>
  <c r="G176" i="8"/>
  <c r="G175" i="8"/>
  <c r="G174" i="8"/>
  <c r="G173" i="8"/>
  <c r="G172" i="8"/>
  <c r="G171" i="8"/>
  <c r="G170" i="8"/>
  <c r="G169" i="8"/>
  <c r="G168" i="8"/>
  <c r="G167" i="8"/>
  <c r="G166" i="8"/>
  <c r="G165" i="8"/>
  <c r="G164" i="8"/>
  <c r="G163" i="8"/>
  <c r="G162" i="8"/>
  <c r="G161" i="8"/>
  <c r="G160" i="8"/>
  <c r="G159" i="8"/>
  <c r="G158" i="8"/>
  <c r="G157" i="8"/>
  <c r="G156" i="8"/>
  <c r="G155" i="8"/>
  <c r="G154" i="8"/>
  <c r="G153" i="8"/>
  <c r="G152" i="8"/>
  <c r="G151" i="8"/>
  <c r="G150" i="8"/>
  <c r="G149" i="8"/>
  <c r="G148" i="8"/>
  <c r="G147" i="8"/>
  <c r="G146" i="8"/>
  <c r="G145" i="8"/>
  <c r="G144" i="8"/>
  <c r="G143" i="8"/>
  <c r="G142" i="8"/>
  <c r="G141" i="8"/>
  <c r="G140" i="8"/>
  <c r="G139" i="8"/>
  <c r="G138" i="8"/>
  <c r="G137" i="8"/>
  <c r="G136" i="8"/>
  <c r="G135" i="8"/>
  <c r="G134" i="8"/>
  <c r="G133" i="8"/>
  <c r="G132" i="8"/>
  <c r="G131" i="8"/>
  <c r="G130" i="8"/>
  <c r="G129" i="8"/>
  <c r="N128" i="8"/>
  <c r="O128" i="8" s="1"/>
  <c r="G128" i="8"/>
  <c r="G127" i="8"/>
  <c r="G126" i="8"/>
  <c r="G125" i="8"/>
  <c r="G124" i="8"/>
  <c r="G123" i="8"/>
  <c r="G122" i="8"/>
  <c r="G121" i="8"/>
  <c r="G120" i="8"/>
  <c r="G119" i="8"/>
  <c r="G118" i="8"/>
  <c r="G117" i="8"/>
  <c r="G116" i="8"/>
  <c r="G115" i="8"/>
  <c r="G114" i="8"/>
  <c r="G113" i="8"/>
  <c r="G112" i="8"/>
  <c r="G111" i="8"/>
  <c r="G110" i="8"/>
  <c r="G109" i="8"/>
  <c r="G108" i="8"/>
  <c r="N107" i="8"/>
  <c r="O107" i="8" s="1"/>
  <c r="G107" i="8"/>
  <c r="G106" i="8"/>
  <c r="G105" i="8"/>
  <c r="G104" i="8"/>
  <c r="G103" i="8"/>
  <c r="N102" i="8"/>
  <c r="O102" i="8" s="1"/>
  <c r="G102" i="8"/>
  <c r="G101" i="8"/>
  <c r="G100" i="8"/>
  <c r="N99" i="8"/>
  <c r="O99" i="8" s="1"/>
  <c r="G99" i="8"/>
  <c r="G98" i="8"/>
  <c r="G97" i="8"/>
  <c r="G96" i="8"/>
  <c r="G95" i="8"/>
  <c r="G94" i="8"/>
  <c r="G93" i="8"/>
  <c r="G92" i="8"/>
  <c r="G91" i="8"/>
  <c r="G90" i="8"/>
  <c r="G89" i="8"/>
  <c r="G88" i="8"/>
  <c r="G87" i="8"/>
  <c r="G86" i="8"/>
  <c r="G85" i="8"/>
  <c r="G84" i="8"/>
  <c r="G83" i="8"/>
  <c r="G82" i="8"/>
  <c r="G81" i="8"/>
  <c r="G80" i="8"/>
  <c r="G79" i="8"/>
  <c r="G78" i="8"/>
  <c r="G77" i="8"/>
  <c r="G76" i="8"/>
  <c r="G75" i="8"/>
  <c r="G74" i="8"/>
  <c r="G73" i="8"/>
  <c r="G72" i="8"/>
  <c r="G71" i="8"/>
  <c r="G70" i="8"/>
  <c r="G69" i="8"/>
  <c r="G68" i="8"/>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N33" i="8"/>
  <c r="O33" i="8" s="1"/>
  <c r="G33" i="8"/>
  <c r="G32" i="8"/>
  <c r="G31" i="8"/>
  <c r="G30" i="8"/>
  <c r="G29" i="8"/>
  <c r="G28" i="8"/>
  <c r="G27" i="8"/>
  <c r="G26" i="8"/>
  <c r="G25" i="8"/>
  <c r="G24" i="8"/>
  <c r="G23" i="8"/>
  <c r="G22" i="8"/>
  <c r="G21" i="8"/>
  <c r="G20" i="8"/>
  <c r="G19" i="8"/>
  <c r="G18" i="8"/>
  <c r="G17" i="8"/>
  <c r="G16" i="8"/>
  <c r="G15" i="8"/>
  <c r="G14" i="8"/>
  <c r="N13" i="8"/>
  <c r="O13" i="8" s="1"/>
  <c r="G13" i="8"/>
  <c r="N12" i="8"/>
  <c r="O12" i="8" s="1"/>
  <c r="G12" i="8"/>
  <c r="N11" i="8"/>
  <c r="O11" i="8" s="1"/>
  <c r="G11" i="8"/>
  <c r="N10" i="8"/>
  <c r="O10" i="8" s="1"/>
  <c r="G10" i="8"/>
  <c r="N9" i="8"/>
  <c r="O9" i="8" s="1"/>
  <c r="G9" i="8"/>
  <c r="N8" i="8"/>
  <c r="O8" i="8" s="1"/>
  <c r="G8" i="8"/>
  <c r="G7" i="8"/>
  <c r="G6" i="8"/>
  <c r="I721" i="7"/>
  <c r="O720" i="7"/>
  <c r="N720" i="7"/>
  <c r="P720" i="7" s="1"/>
  <c r="M720" i="7"/>
  <c r="G720" i="7"/>
  <c r="O719" i="7"/>
  <c r="N719" i="7"/>
  <c r="P719" i="7" s="1"/>
  <c r="M719" i="7"/>
  <c r="G719" i="7"/>
  <c r="G718" i="7"/>
  <c r="G717" i="7"/>
  <c r="O716" i="7"/>
  <c r="N716" i="7"/>
  <c r="P716" i="7" s="1"/>
  <c r="M716" i="7"/>
  <c r="G716" i="7"/>
  <c r="O715" i="7"/>
  <c r="N715" i="7"/>
  <c r="M715" i="7"/>
  <c r="G715" i="7"/>
  <c r="O714" i="7"/>
  <c r="N714" i="7"/>
  <c r="P714" i="7" s="1"/>
  <c r="M714" i="7"/>
  <c r="G714" i="7"/>
  <c r="O713" i="7"/>
  <c r="N713" i="7"/>
  <c r="P713" i="7" s="1"/>
  <c r="M713" i="7"/>
  <c r="G713" i="7"/>
  <c r="O712" i="7"/>
  <c r="N712" i="7"/>
  <c r="P712" i="7" s="1"/>
  <c r="M712" i="7"/>
  <c r="O711" i="7"/>
  <c r="N711" i="7"/>
  <c r="M711" i="7"/>
  <c r="G711" i="7"/>
  <c r="G710" i="7"/>
  <c r="G709" i="7"/>
  <c r="G708" i="7"/>
  <c r="G707" i="7"/>
  <c r="G706" i="7"/>
  <c r="G705" i="7"/>
  <c r="G704" i="7"/>
  <c r="G703" i="7"/>
  <c r="G702" i="7"/>
  <c r="G701" i="7"/>
  <c r="O699" i="7"/>
  <c r="N699" i="7"/>
  <c r="P699" i="7" s="1"/>
  <c r="M699" i="7"/>
  <c r="G699" i="7"/>
  <c r="O698" i="7"/>
  <c r="N698" i="7"/>
  <c r="P698" i="7" s="1"/>
  <c r="M698" i="7"/>
  <c r="G698" i="7"/>
  <c r="O697" i="7"/>
  <c r="N697" i="7"/>
  <c r="P697" i="7" s="1"/>
  <c r="M697" i="7"/>
  <c r="G697" i="7"/>
  <c r="O696" i="7"/>
  <c r="N696" i="7"/>
  <c r="M696" i="7"/>
  <c r="G696" i="7"/>
  <c r="G695" i="7"/>
  <c r="O694" i="7"/>
  <c r="N694" i="7"/>
  <c r="P694" i="7" s="1"/>
  <c r="M694" i="7"/>
  <c r="G694" i="7"/>
  <c r="O693" i="7"/>
  <c r="N693" i="7"/>
  <c r="P693" i="7" s="1"/>
  <c r="M693" i="7"/>
  <c r="G693" i="7"/>
  <c r="O692" i="7"/>
  <c r="N692" i="7"/>
  <c r="P692" i="7" s="1"/>
  <c r="M692" i="7"/>
  <c r="G692" i="7"/>
  <c r="O691" i="7"/>
  <c r="N691" i="7"/>
  <c r="P691" i="7" s="1"/>
  <c r="M691" i="7"/>
  <c r="G691" i="7"/>
  <c r="O690" i="7"/>
  <c r="N690" i="7"/>
  <c r="P690" i="7" s="1"/>
  <c r="M690" i="7"/>
  <c r="G690" i="7"/>
  <c r="O689" i="7"/>
  <c r="N689" i="7"/>
  <c r="P689" i="7" s="1"/>
  <c r="M689" i="7"/>
  <c r="O688" i="7"/>
  <c r="N688" i="7"/>
  <c r="P688" i="7" s="1"/>
  <c r="M688" i="7"/>
  <c r="G688" i="7"/>
  <c r="O687" i="7"/>
  <c r="N687" i="7"/>
  <c r="P687" i="7" s="1"/>
  <c r="M687" i="7"/>
  <c r="G687" i="7"/>
  <c r="O686" i="7"/>
  <c r="N686" i="7"/>
  <c r="P686" i="7" s="1"/>
  <c r="M686" i="7"/>
  <c r="G686" i="7"/>
  <c r="O685" i="7"/>
  <c r="N685" i="7"/>
  <c r="P685" i="7" s="1"/>
  <c r="M685" i="7"/>
  <c r="G685" i="7"/>
  <c r="O684" i="7"/>
  <c r="N684" i="7"/>
  <c r="P684" i="7" s="1"/>
  <c r="M684" i="7"/>
  <c r="G684" i="7"/>
  <c r="O683" i="7"/>
  <c r="N683" i="7"/>
  <c r="P683" i="7" s="1"/>
  <c r="M683" i="7"/>
  <c r="G683" i="7"/>
  <c r="O682" i="7"/>
  <c r="N682" i="7"/>
  <c r="P682" i="7" s="1"/>
  <c r="M682" i="7"/>
  <c r="G682" i="7"/>
  <c r="O681" i="7"/>
  <c r="N681" i="7"/>
  <c r="M681" i="7"/>
  <c r="G679" i="7"/>
  <c r="G678" i="7"/>
  <c r="G676" i="7"/>
  <c r="G675" i="7"/>
  <c r="G674" i="7"/>
  <c r="G673" i="7"/>
  <c r="G671" i="7"/>
  <c r="G670" i="7"/>
  <c r="G669" i="7"/>
  <c r="G668" i="7"/>
  <c r="G667" i="7"/>
  <c r="G666" i="7"/>
  <c r="G665" i="7"/>
  <c r="G664" i="7"/>
  <c r="G663" i="7"/>
  <c r="G662" i="7"/>
  <c r="G661" i="7"/>
  <c r="G660" i="7"/>
  <c r="G658" i="7"/>
  <c r="G657" i="7"/>
  <c r="G656" i="7"/>
  <c r="G654" i="7"/>
  <c r="G653" i="7"/>
  <c r="G652" i="7"/>
  <c r="G650" i="7"/>
  <c r="G649" i="7"/>
  <c r="G648" i="7"/>
  <c r="G647" i="7"/>
  <c r="G646" i="7"/>
  <c r="G645" i="7"/>
  <c r="G643" i="7"/>
  <c r="G641" i="7"/>
  <c r="G640" i="7"/>
  <c r="G639" i="7"/>
  <c r="G638" i="7"/>
  <c r="O635" i="7"/>
  <c r="N635" i="7"/>
  <c r="P635" i="7" s="1"/>
  <c r="M635" i="7"/>
  <c r="G635" i="7"/>
  <c r="G634" i="7"/>
  <c r="G633" i="7"/>
  <c r="O632" i="7"/>
  <c r="N632" i="7"/>
  <c r="P632" i="7" s="1"/>
  <c r="M632" i="7"/>
  <c r="G632" i="7"/>
  <c r="O631" i="7"/>
  <c r="N631" i="7"/>
  <c r="P631" i="7" s="1"/>
  <c r="M631" i="7"/>
  <c r="G631" i="7"/>
  <c r="O630" i="7"/>
  <c r="N630" i="7"/>
  <c r="P630" i="7" s="1"/>
  <c r="M630" i="7"/>
  <c r="G630" i="7"/>
  <c r="G629" i="7"/>
  <c r="G628" i="7"/>
  <c r="G627" i="7"/>
  <c r="G626" i="7"/>
  <c r="O625" i="7"/>
  <c r="N625" i="7"/>
  <c r="P625" i="7" s="1"/>
  <c r="M625" i="7"/>
  <c r="G625" i="7"/>
  <c r="G623" i="7"/>
  <c r="G622" i="7"/>
  <c r="G621" i="7"/>
  <c r="O620" i="7"/>
  <c r="N620" i="7"/>
  <c r="P620" i="7" s="1"/>
  <c r="M620" i="7"/>
  <c r="G620" i="7"/>
  <c r="O619" i="7"/>
  <c r="N619" i="7"/>
  <c r="P619" i="7" s="1"/>
  <c r="M619" i="7"/>
  <c r="G619" i="7"/>
  <c r="O617" i="7"/>
  <c r="N617" i="7"/>
  <c r="P617" i="7" s="1"/>
  <c r="M617" i="7"/>
  <c r="G617" i="7"/>
  <c r="O616" i="7"/>
  <c r="N616" i="7"/>
  <c r="P616" i="7" s="1"/>
  <c r="M616" i="7"/>
  <c r="G616" i="7"/>
  <c r="G615" i="7"/>
  <c r="G614" i="7"/>
  <c r="G613" i="7"/>
  <c r="G612" i="7"/>
  <c r="G611" i="7"/>
  <c r="G610" i="7"/>
  <c r="G609" i="7"/>
  <c r="G608" i="7"/>
  <c r="G607" i="7"/>
  <c r="G606" i="7"/>
  <c r="G605" i="7"/>
  <c r="G604" i="7"/>
  <c r="G602" i="7"/>
  <c r="G601" i="7"/>
  <c r="G600" i="7"/>
  <c r="G599" i="7"/>
  <c r="G598" i="7"/>
  <c r="G597" i="7"/>
  <c r="G595" i="7"/>
  <c r="G594" i="7"/>
  <c r="G593" i="7"/>
  <c r="G592" i="7"/>
  <c r="G591" i="7"/>
  <c r="G590" i="7"/>
  <c r="G589" i="7"/>
  <c r="G588" i="7"/>
  <c r="G587" i="7"/>
  <c r="G586" i="7"/>
  <c r="G585" i="7"/>
  <c r="G584" i="7"/>
  <c r="G583" i="7"/>
  <c r="G582" i="7"/>
  <c r="G581" i="7"/>
  <c r="G580" i="7"/>
  <c r="G579" i="7"/>
  <c r="G578" i="7"/>
  <c r="G577" i="7"/>
  <c r="G576" i="7"/>
  <c r="G575" i="7"/>
  <c r="G574" i="7"/>
  <c r="O573" i="7"/>
  <c r="N573" i="7"/>
  <c r="M573" i="7"/>
  <c r="G573" i="7"/>
  <c r="O572" i="7"/>
  <c r="N572" i="7"/>
  <c r="P572" i="7" s="1"/>
  <c r="M572" i="7"/>
  <c r="G572" i="7"/>
  <c r="G571" i="7"/>
  <c r="G570" i="7"/>
  <c r="G569" i="7"/>
  <c r="G568" i="7"/>
  <c r="G567" i="7"/>
  <c r="G566" i="7"/>
  <c r="G565" i="7"/>
  <c r="G564" i="7"/>
  <c r="G563" i="7"/>
  <c r="G562" i="7"/>
  <c r="G561" i="7"/>
  <c r="G560" i="7"/>
  <c r="G559" i="7"/>
  <c r="O558" i="7"/>
  <c r="N558" i="7"/>
  <c r="P558" i="7" s="1"/>
  <c r="M558" i="7"/>
  <c r="G557" i="7"/>
  <c r="G556" i="7"/>
  <c r="G555" i="7"/>
  <c r="G554" i="7"/>
  <c r="G553" i="7"/>
  <c r="G552" i="7"/>
  <c r="G551" i="7"/>
  <c r="G550" i="7"/>
  <c r="O549" i="7"/>
  <c r="N549" i="7"/>
  <c r="P549" i="7" s="1"/>
  <c r="M549" i="7"/>
  <c r="G548" i="7"/>
  <c r="G547" i="7"/>
  <c r="G546" i="7"/>
  <c r="G545" i="7"/>
  <c r="G544" i="7"/>
  <c r="G543" i="7"/>
  <c r="G542" i="7"/>
  <c r="G541" i="7"/>
  <c r="O539" i="7"/>
  <c r="N539" i="7"/>
  <c r="P539" i="7" s="1"/>
  <c r="M539" i="7"/>
  <c r="G539" i="7"/>
  <c r="O538" i="7"/>
  <c r="N538" i="7"/>
  <c r="P538" i="7" s="1"/>
  <c r="M538" i="7"/>
  <c r="G538" i="7"/>
  <c r="O537" i="7"/>
  <c r="N537" i="7"/>
  <c r="P537" i="7" s="1"/>
  <c r="M537" i="7"/>
  <c r="G537" i="7"/>
  <c r="O536" i="7"/>
  <c r="N536" i="7"/>
  <c r="P536" i="7" s="1"/>
  <c r="M536" i="7"/>
  <c r="G536" i="7"/>
  <c r="O535" i="7"/>
  <c r="N535" i="7"/>
  <c r="P535" i="7" s="1"/>
  <c r="M535" i="7"/>
  <c r="G535" i="7"/>
  <c r="O534" i="7"/>
  <c r="N534" i="7"/>
  <c r="P534" i="7" s="1"/>
  <c r="M534" i="7"/>
  <c r="G534" i="7"/>
  <c r="O533" i="7"/>
  <c r="N533" i="7"/>
  <c r="P533" i="7" s="1"/>
  <c r="M533" i="7"/>
  <c r="G533" i="7"/>
  <c r="O532" i="7"/>
  <c r="N532" i="7"/>
  <c r="P532" i="7" s="1"/>
  <c r="M532" i="7"/>
  <c r="G532" i="7"/>
  <c r="O531" i="7"/>
  <c r="N531" i="7"/>
  <c r="P531" i="7" s="1"/>
  <c r="M531" i="7"/>
  <c r="G531" i="7"/>
  <c r="O530" i="7"/>
  <c r="N530" i="7"/>
  <c r="M530" i="7"/>
  <c r="G530" i="7"/>
  <c r="O529" i="7"/>
  <c r="N529" i="7"/>
  <c r="P529" i="7" s="1"/>
  <c r="M529" i="7"/>
  <c r="G529" i="7"/>
  <c r="O528" i="7"/>
  <c r="N528" i="7"/>
  <c r="P528" i="7" s="1"/>
  <c r="M528" i="7"/>
  <c r="G528" i="7"/>
  <c r="O527" i="7"/>
  <c r="N527" i="7"/>
  <c r="P527" i="7" s="1"/>
  <c r="M527" i="7"/>
  <c r="G527" i="7"/>
  <c r="O526" i="7"/>
  <c r="N526" i="7"/>
  <c r="P526" i="7" s="1"/>
  <c r="M526" i="7"/>
  <c r="G526" i="7"/>
  <c r="O525" i="7"/>
  <c r="N525" i="7"/>
  <c r="P525" i="7" s="1"/>
  <c r="M525" i="7"/>
  <c r="G525" i="7"/>
  <c r="O524" i="7"/>
  <c r="N524" i="7"/>
  <c r="P524" i="7" s="1"/>
  <c r="M524" i="7"/>
  <c r="G522" i="7"/>
  <c r="G521" i="7"/>
  <c r="G520" i="7"/>
  <c r="G519" i="7"/>
  <c r="G518" i="7"/>
  <c r="G517" i="7"/>
  <c r="G516" i="7"/>
  <c r="G515" i="7"/>
  <c r="G514" i="7"/>
  <c r="O511" i="7"/>
  <c r="N511" i="7"/>
  <c r="P511" i="7" s="1"/>
  <c r="M511" i="7"/>
  <c r="G511" i="7"/>
  <c r="O510" i="7"/>
  <c r="N510" i="7"/>
  <c r="P510" i="7" s="1"/>
  <c r="M510" i="7"/>
  <c r="H510" i="7"/>
  <c r="G510" i="7"/>
  <c r="O509" i="7"/>
  <c r="N509" i="7"/>
  <c r="P509" i="7" s="1"/>
  <c r="M509" i="7"/>
  <c r="H509" i="7"/>
  <c r="G509" i="7"/>
  <c r="O508" i="7"/>
  <c r="N508" i="7"/>
  <c r="M508" i="7"/>
  <c r="H508" i="7"/>
  <c r="G508" i="7"/>
  <c r="O507" i="7"/>
  <c r="N507" i="7"/>
  <c r="M507" i="7"/>
  <c r="G507" i="7"/>
  <c r="O506" i="7"/>
  <c r="N506" i="7"/>
  <c r="P506" i="7" s="1"/>
  <c r="M506" i="7"/>
  <c r="O505" i="7"/>
  <c r="N505" i="7"/>
  <c r="M505" i="7"/>
  <c r="G505" i="7"/>
  <c r="O504" i="7"/>
  <c r="N504" i="7"/>
  <c r="P504" i="7" s="1"/>
  <c r="M504" i="7"/>
  <c r="O503" i="7"/>
  <c r="N503" i="7"/>
  <c r="P503" i="7" s="1"/>
  <c r="M503" i="7"/>
  <c r="G503" i="7"/>
  <c r="O502" i="7"/>
  <c r="N502" i="7"/>
  <c r="P502" i="7" s="1"/>
  <c r="M502" i="7"/>
  <c r="G502" i="7"/>
  <c r="O501" i="7"/>
  <c r="N501" i="7"/>
  <c r="P501" i="7" s="1"/>
  <c r="M501" i="7"/>
  <c r="G501" i="7"/>
  <c r="O500" i="7"/>
  <c r="N500" i="7"/>
  <c r="P500" i="7" s="1"/>
  <c r="M500" i="7"/>
  <c r="G500" i="7"/>
  <c r="O499" i="7"/>
  <c r="N499" i="7"/>
  <c r="P499" i="7" s="1"/>
  <c r="M499" i="7"/>
  <c r="G499" i="7"/>
  <c r="O498" i="7"/>
  <c r="N498" i="7"/>
  <c r="M498" i="7"/>
  <c r="G498" i="7"/>
  <c r="O497" i="7"/>
  <c r="N497" i="7"/>
  <c r="P497" i="7" s="1"/>
  <c r="M497" i="7"/>
  <c r="G497" i="7"/>
  <c r="O496" i="7"/>
  <c r="N496" i="7"/>
  <c r="P496" i="7" s="1"/>
  <c r="M496" i="7"/>
  <c r="G496" i="7"/>
  <c r="O495" i="7"/>
  <c r="N495" i="7"/>
  <c r="P495" i="7" s="1"/>
  <c r="M495" i="7"/>
  <c r="G495" i="7"/>
  <c r="O494" i="7"/>
  <c r="N494" i="7"/>
  <c r="P494" i="7" s="1"/>
  <c r="M494" i="7"/>
  <c r="G494" i="7"/>
  <c r="O493" i="7"/>
  <c r="N493" i="7"/>
  <c r="M493" i="7"/>
  <c r="G493" i="7"/>
  <c r="O492" i="7"/>
  <c r="N492" i="7"/>
  <c r="P492" i="7" s="1"/>
  <c r="M492" i="7"/>
  <c r="G492" i="7"/>
  <c r="O491" i="7"/>
  <c r="N491" i="7"/>
  <c r="P491" i="7" s="1"/>
  <c r="M491" i="7"/>
  <c r="O490" i="7"/>
  <c r="N490" i="7"/>
  <c r="P490" i="7" s="1"/>
  <c r="M490" i="7"/>
  <c r="G490" i="7"/>
  <c r="G489" i="7"/>
  <c r="G488" i="7"/>
  <c r="G487" i="7"/>
  <c r="G486" i="7"/>
  <c r="O485" i="7"/>
  <c r="N485" i="7"/>
  <c r="P485" i="7" s="1"/>
  <c r="M485" i="7"/>
  <c r="G485" i="7"/>
  <c r="O484" i="7"/>
  <c r="N484" i="7"/>
  <c r="P484" i="7" s="1"/>
  <c r="M484" i="7"/>
  <c r="G484" i="7"/>
  <c r="G483" i="7"/>
  <c r="G482" i="7"/>
  <c r="G481" i="7"/>
  <c r="G480" i="7"/>
  <c r="O479" i="7"/>
  <c r="N479" i="7"/>
  <c r="P479" i="7" s="1"/>
  <c r="M479" i="7"/>
  <c r="G479" i="7"/>
  <c r="G478" i="7"/>
  <c r="G477" i="7"/>
  <c r="O476" i="7"/>
  <c r="N476" i="7"/>
  <c r="P476" i="7" s="1"/>
  <c r="M476" i="7"/>
  <c r="G476" i="7"/>
  <c r="O475" i="7"/>
  <c r="N475" i="7"/>
  <c r="M475" i="7"/>
  <c r="G475" i="7"/>
  <c r="G474" i="7"/>
  <c r="G473" i="7"/>
  <c r="G472" i="7"/>
  <c r="G471" i="7"/>
  <c r="O470" i="7"/>
  <c r="N470" i="7"/>
  <c r="M470" i="7"/>
  <c r="G470" i="7"/>
  <c r="O469" i="7"/>
  <c r="N469" i="7"/>
  <c r="P469" i="7" s="1"/>
  <c r="M469" i="7"/>
  <c r="G469" i="7"/>
  <c r="O468" i="7"/>
  <c r="N468" i="7"/>
  <c r="P468" i="7" s="1"/>
  <c r="M468" i="7"/>
  <c r="G468" i="7"/>
  <c r="O467" i="7"/>
  <c r="N467" i="7"/>
  <c r="M467" i="7"/>
  <c r="G467" i="7"/>
  <c r="G466" i="7"/>
  <c r="G465" i="7"/>
  <c r="O464" i="7"/>
  <c r="N464" i="7"/>
  <c r="P464" i="7" s="1"/>
  <c r="M464" i="7"/>
  <c r="G464" i="7"/>
  <c r="G463" i="7"/>
  <c r="O462" i="7"/>
  <c r="N462" i="7"/>
  <c r="P462" i="7" s="1"/>
  <c r="M462" i="7"/>
  <c r="G462" i="7"/>
  <c r="O460" i="7"/>
  <c r="N460" i="7"/>
  <c r="M460" i="7"/>
  <c r="G460" i="7"/>
  <c r="O459" i="7"/>
  <c r="N459" i="7"/>
  <c r="P459" i="7" s="1"/>
  <c r="M459" i="7"/>
  <c r="G459" i="7"/>
  <c r="G458" i="7"/>
  <c r="G457" i="7"/>
  <c r="G456" i="7"/>
  <c r="G455" i="7"/>
  <c r="G454" i="7"/>
  <c r="G453" i="7"/>
  <c r="G452" i="7"/>
  <c r="O450" i="7"/>
  <c r="N450" i="7"/>
  <c r="M450" i="7"/>
  <c r="G450" i="7"/>
  <c r="G449" i="7"/>
  <c r="G448" i="7"/>
  <c r="O447" i="7"/>
  <c r="N447" i="7"/>
  <c r="P447" i="7" s="1"/>
  <c r="M447" i="7"/>
  <c r="G447" i="7"/>
  <c r="O446" i="7"/>
  <c r="N446" i="7"/>
  <c r="P446" i="7" s="1"/>
  <c r="M446" i="7"/>
  <c r="G446" i="7"/>
  <c r="O445" i="7"/>
  <c r="N445" i="7"/>
  <c r="M445" i="7"/>
  <c r="G445" i="7"/>
  <c r="O444" i="7"/>
  <c r="N444" i="7"/>
  <c r="P444" i="7" s="1"/>
  <c r="M444" i="7"/>
  <c r="G444" i="7"/>
  <c r="O443" i="7"/>
  <c r="N443" i="7"/>
  <c r="P443" i="7" s="1"/>
  <c r="M443" i="7"/>
  <c r="G443" i="7"/>
  <c r="G442" i="7"/>
  <c r="G441" i="7"/>
  <c r="G440" i="7"/>
  <c r="G439" i="7"/>
  <c r="G438" i="7"/>
  <c r="G437" i="7"/>
  <c r="G436" i="7"/>
  <c r="G435" i="7"/>
  <c r="G434" i="7"/>
  <c r="G433" i="7"/>
  <c r="G432" i="7"/>
  <c r="O430" i="7"/>
  <c r="N430" i="7"/>
  <c r="M430" i="7"/>
  <c r="G430" i="7"/>
  <c r="O429" i="7"/>
  <c r="N429" i="7"/>
  <c r="M429" i="7"/>
  <c r="G429" i="7"/>
  <c r="G428" i="7"/>
  <c r="G427" i="7"/>
  <c r="G426" i="7"/>
  <c r="O425" i="7"/>
  <c r="N425" i="7"/>
  <c r="P425" i="7" s="1"/>
  <c r="M425" i="7"/>
  <c r="G425" i="7"/>
  <c r="G424" i="7"/>
  <c r="O423" i="7"/>
  <c r="N423" i="7"/>
  <c r="P423" i="7" s="1"/>
  <c r="M423" i="7"/>
  <c r="G423" i="7"/>
  <c r="G422" i="7"/>
  <c r="G421" i="7"/>
  <c r="O420" i="7"/>
  <c r="N420" i="7"/>
  <c r="P420" i="7" s="1"/>
  <c r="M420" i="7"/>
  <c r="G420" i="7"/>
  <c r="G419" i="7"/>
  <c r="G418" i="7"/>
  <c r="G417" i="7"/>
  <c r="G415" i="7"/>
  <c r="G414" i="7"/>
  <c r="G412" i="7"/>
  <c r="G411" i="7"/>
  <c r="G410" i="7"/>
  <c r="G409" i="7"/>
  <c r="G408" i="7"/>
  <c r="O407" i="7"/>
  <c r="N407" i="7"/>
  <c r="M407" i="7"/>
  <c r="G407" i="7"/>
  <c r="G404" i="7"/>
  <c r="G403" i="7"/>
  <c r="G402" i="7"/>
  <c r="G401" i="7"/>
  <c r="G399" i="7"/>
  <c r="G398" i="7"/>
  <c r="G397" i="7"/>
  <c r="G396" i="7"/>
  <c r="G395" i="7"/>
  <c r="G393" i="7"/>
  <c r="G392" i="7"/>
  <c r="G391" i="7"/>
  <c r="G390" i="7"/>
  <c r="G389" i="7"/>
  <c r="G388" i="7"/>
  <c r="G387" i="7"/>
  <c r="G386" i="7"/>
  <c r="G385" i="7"/>
  <c r="G384" i="7"/>
  <c r="G383" i="7"/>
  <c r="G382" i="7"/>
  <c r="G381" i="7"/>
  <c r="G380" i="7"/>
  <c r="G379" i="7"/>
  <c r="G378" i="7"/>
  <c r="G375" i="7"/>
  <c r="G374" i="7"/>
  <c r="G373" i="7"/>
  <c r="G372" i="7"/>
  <c r="G371" i="7"/>
  <c r="G370" i="7"/>
  <c r="G369" i="7"/>
  <c r="G368" i="7"/>
  <c r="G367" i="7"/>
  <c r="G366" i="7"/>
  <c r="G365" i="7"/>
  <c r="G364" i="7"/>
  <c r="G363" i="7"/>
  <c r="G362" i="7"/>
  <c r="G361" i="7"/>
  <c r="G359" i="7"/>
  <c r="G358" i="7"/>
  <c r="H357" i="7"/>
  <c r="G357" i="7"/>
  <c r="H356" i="7"/>
  <c r="G356" i="7"/>
  <c r="H355" i="7"/>
  <c r="G355" i="7"/>
  <c r="H354" i="7"/>
  <c r="G354" i="7"/>
  <c r="H353" i="7"/>
  <c r="G353" i="7"/>
  <c r="H352" i="7"/>
  <c r="G352" i="7"/>
  <c r="H351" i="7"/>
  <c r="G351" i="7"/>
  <c r="H350" i="7"/>
  <c r="G350" i="7"/>
  <c r="H349" i="7"/>
  <c r="G349" i="7"/>
  <c r="H348" i="7"/>
  <c r="G348" i="7"/>
  <c r="H347" i="7"/>
  <c r="G347" i="7"/>
  <c r="G344" i="7"/>
  <c r="O343" i="7"/>
  <c r="N343" i="7"/>
  <c r="P343" i="7" s="1"/>
  <c r="M343" i="7"/>
  <c r="G343" i="7"/>
  <c r="O342" i="7"/>
  <c r="N342" i="7"/>
  <c r="M342" i="7"/>
  <c r="G342" i="7"/>
  <c r="G341" i="7"/>
  <c r="G340" i="7"/>
  <c r="G339" i="7"/>
  <c r="G338" i="7"/>
  <c r="O337" i="7"/>
  <c r="N337" i="7"/>
  <c r="M337" i="7"/>
  <c r="G337" i="7"/>
  <c r="G336" i="7"/>
  <c r="G335" i="7"/>
  <c r="G334" i="7"/>
  <c r="G333" i="7"/>
  <c r="G332" i="7"/>
  <c r="G331" i="7"/>
  <c r="G330" i="7"/>
  <c r="G329" i="7"/>
  <c r="G328" i="7"/>
  <c r="G327" i="7"/>
  <c r="G326" i="7"/>
  <c r="G325" i="7"/>
  <c r="G324" i="7"/>
  <c r="G323" i="7"/>
  <c r="G322" i="7"/>
  <c r="G320" i="7"/>
  <c r="G319" i="7"/>
  <c r="G318" i="7"/>
  <c r="G317" i="7"/>
  <c r="G316" i="7"/>
  <c r="G315" i="7"/>
  <c r="G314" i="7"/>
  <c r="G313" i="7"/>
  <c r="G311" i="7"/>
  <c r="G310" i="7"/>
  <c r="G309" i="7"/>
  <c r="G308" i="7"/>
  <c r="G307" i="7"/>
  <c r="G306" i="7"/>
  <c r="G305" i="7"/>
  <c r="G304" i="7"/>
  <c r="G303" i="7"/>
  <c r="G302" i="7"/>
  <c r="G301" i="7"/>
  <c r="G300" i="7"/>
  <c r="G299" i="7"/>
  <c r="G298" i="7"/>
  <c r="G297" i="7"/>
  <c r="G296" i="7"/>
  <c r="G295" i="7"/>
  <c r="G294" i="7"/>
  <c r="G293" i="7"/>
  <c r="G291" i="7"/>
  <c r="G290" i="7"/>
  <c r="G289" i="7"/>
  <c r="G288" i="7"/>
  <c r="G287" i="7"/>
  <c r="G286" i="7"/>
  <c r="G285" i="7"/>
  <c r="G284" i="7"/>
  <c r="G283" i="7"/>
  <c r="G282" i="7"/>
  <c r="G281" i="7"/>
  <c r="G280" i="7"/>
  <c r="G279" i="7"/>
  <c r="G278" i="7"/>
  <c r="G277" i="7"/>
  <c r="G276" i="7"/>
  <c r="G275" i="7"/>
  <c r="G274" i="7"/>
  <c r="G273" i="7"/>
  <c r="G272" i="7"/>
  <c r="G271" i="7"/>
  <c r="G270" i="7"/>
  <c r="G269" i="7"/>
  <c r="G268" i="7"/>
  <c r="G267" i="7"/>
  <c r="G266" i="7"/>
  <c r="G265" i="7"/>
  <c r="G264" i="7"/>
  <c r="G263" i="7"/>
  <c r="O260" i="7"/>
  <c r="N260" i="7"/>
  <c r="M260" i="7"/>
  <c r="G260" i="7"/>
  <c r="O259" i="7"/>
  <c r="N259" i="7"/>
  <c r="P259" i="7" s="1"/>
  <c r="M259" i="7"/>
  <c r="O258" i="7"/>
  <c r="N258" i="7"/>
  <c r="M258" i="7"/>
  <c r="G258" i="7"/>
  <c r="O257" i="7"/>
  <c r="N257" i="7"/>
  <c r="P257" i="7" s="1"/>
  <c r="M257" i="7"/>
  <c r="G257" i="7"/>
  <c r="O256" i="7"/>
  <c r="N256" i="7"/>
  <c r="P256" i="7" s="1"/>
  <c r="M256" i="7"/>
  <c r="G256" i="7"/>
  <c r="O255" i="7"/>
  <c r="N255" i="7"/>
  <c r="P255" i="7" s="1"/>
  <c r="M255" i="7"/>
  <c r="G255" i="7"/>
  <c r="O254" i="7"/>
  <c r="N254" i="7"/>
  <c r="P254" i="7" s="1"/>
  <c r="M254" i="7"/>
  <c r="G254" i="7"/>
  <c r="O253" i="7"/>
  <c r="N253" i="7"/>
  <c r="M253" i="7"/>
  <c r="G253" i="7"/>
  <c r="O252" i="7"/>
  <c r="N252" i="7"/>
  <c r="P252" i="7" s="1"/>
  <c r="M252" i="7"/>
  <c r="O251" i="7"/>
  <c r="N251" i="7"/>
  <c r="M251" i="7"/>
  <c r="G251" i="7"/>
  <c r="O250" i="7"/>
  <c r="N250" i="7"/>
  <c r="P250" i="7" s="1"/>
  <c r="M250" i="7"/>
  <c r="G250" i="7"/>
  <c r="O249" i="7"/>
  <c r="N249" i="7"/>
  <c r="P249" i="7" s="1"/>
  <c r="M249" i="7"/>
  <c r="G249" i="7"/>
  <c r="O248" i="7"/>
  <c r="N248" i="7"/>
  <c r="P248" i="7" s="1"/>
  <c r="M248" i="7"/>
  <c r="G248" i="7"/>
  <c r="O247" i="7"/>
  <c r="N247" i="7"/>
  <c r="P247" i="7" s="1"/>
  <c r="M247" i="7"/>
  <c r="O246" i="7"/>
  <c r="N246" i="7"/>
  <c r="P246" i="7" s="1"/>
  <c r="M246" i="7"/>
  <c r="G246" i="7"/>
  <c r="O245" i="7"/>
  <c r="N245" i="7"/>
  <c r="P245" i="7" s="1"/>
  <c r="M245" i="7"/>
  <c r="G245" i="7"/>
  <c r="G244" i="7"/>
  <c r="O243" i="7"/>
  <c r="N243" i="7"/>
  <c r="P243" i="7" s="1"/>
  <c r="M243" i="7"/>
  <c r="G243" i="7"/>
  <c r="O242" i="7"/>
  <c r="N242" i="7"/>
  <c r="P242" i="7" s="1"/>
  <c r="M242" i="7"/>
  <c r="G242" i="7"/>
  <c r="O241" i="7"/>
  <c r="N241" i="7"/>
  <c r="P241" i="7" s="1"/>
  <c r="M241" i="7"/>
  <c r="O240" i="7"/>
  <c r="N240" i="7"/>
  <c r="M240" i="7"/>
  <c r="G240" i="7"/>
  <c r="O238" i="7"/>
  <c r="N238" i="7"/>
  <c r="P238" i="7" s="1"/>
  <c r="M238" i="7"/>
  <c r="G238" i="7"/>
  <c r="O237" i="7"/>
  <c r="N237" i="7"/>
  <c r="P237" i="7" s="1"/>
  <c r="M237" i="7"/>
  <c r="G237" i="7"/>
  <c r="O235" i="7"/>
  <c r="N235" i="7"/>
  <c r="P235" i="7" s="1"/>
  <c r="M235" i="7"/>
  <c r="G235" i="7"/>
  <c r="G234" i="7"/>
  <c r="O233" i="7"/>
  <c r="N233" i="7"/>
  <c r="M233" i="7"/>
  <c r="G233" i="7"/>
  <c r="O232" i="7"/>
  <c r="N232" i="7"/>
  <c r="P232" i="7" s="1"/>
  <c r="M232" i="7"/>
  <c r="O231" i="7"/>
  <c r="N231" i="7"/>
  <c r="P231" i="7" s="1"/>
  <c r="M231" i="7"/>
  <c r="G230" i="7"/>
  <c r="G228" i="7"/>
  <c r="G227" i="7"/>
  <c r="O225" i="7"/>
  <c r="N225" i="7"/>
  <c r="P225" i="7" s="1"/>
  <c r="M225" i="7"/>
  <c r="G225" i="7"/>
  <c r="O224" i="7"/>
  <c r="N224" i="7"/>
  <c r="P224" i="7" s="1"/>
  <c r="M224" i="7"/>
  <c r="G222" i="7"/>
  <c r="O221" i="7"/>
  <c r="N221" i="7"/>
  <c r="P221" i="7" s="1"/>
  <c r="M221" i="7"/>
  <c r="G220" i="7"/>
  <c r="H219" i="7"/>
  <c r="G219" i="7"/>
  <c r="O218" i="7"/>
  <c r="N218" i="7"/>
  <c r="P218" i="7" s="1"/>
  <c r="M218" i="7"/>
  <c r="G218" i="7"/>
  <c r="G217" i="7"/>
  <c r="G216" i="7"/>
  <c r="G215" i="7"/>
  <c r="H214" i="7"/>
  <c r="G214" i="7"/>
  <c r="G213" i="7"/>
  <c r="O212" i="7"/>
  <c r="N212" i="7"/>
  <c r="P212" i="7" s="1"/>
  <c r="M212" i="7"/>
  <c r="G211" i="7"/>
  <c r="G210" i="7"/>
  <c r="G209" i="7"/>
  <c r="G208" i="7"/>
  <c r="H207" i="7"/>
  <c r="G207" i="7"/>
  <c r="G206" i="7"/>
  <c r="O205" i="7"/>
  <c r="N205" i="7"/>
  <c r="P205" i="7" s="1"/>
  <c r="M205" i="7"/>
  <c r="G204" i="7"/>
  <c r="G203" i="7"/>
  <c r="G202" i="7"/>
  <c r="G201" i="7"/>
  <c r="H200" i="7"/>
  <c r="G200" i="7"/>
  <c r="G199" i="7"/>
  <c r="G197" i="7"/>
  <c r="G196" i="7"/>
  <c r="G195" i="7"/>
  <c r="G194" i="7"/>
  <c r="G193" i="7"/>
  <c r="G192" i="7"/>
  <c r="G191" i="7"/>
  <c r="G190" i="7"/>
  <c r="O189" i="7"/>
  <c r="N189" i="7"/>
  <c r="P189" i="7" s="1"/>
  <c r="M189" i="7"/>
  <c r="G189" i="7"/>
  <c r="G188" i="7"/>
  <c r="G187" i="7"/>
  <c r="G186" i="7"/>
  <c r="G185" i="7"/>
  <c r="G183" i="7"/>
  <c r="G182" i="7"/>
  <c r="G181" i="7"/>
  <c r="G180" i="7"/>
  <c r="O179" i="7"/>
  <c r="N179" i="7"/>
  <c r="P179" i="7" s="1"/>
  <c r="M179" i="7"/>
  <c r="G179" i="7"/>
  <c r="G178" i="7"/>
  <c r="O177" i="7"/>
  <c r="N177" i="7"/>
  <c r="P177" i="7" s="1"/>
  <c r="M177" i="7"/>
  <c r="O176" i="7"/>
  <c r="N176" i="7"/>
  <c r="P176" i="7" s="1"/>
  <c r="M176" i="7"/>
  <c r="G176" i="7"/>
  <c r="G175" i="7"/>
  <c r="G174" i="7"/>
  <c r="G173" i="7"/>
  <c r="O172" i="7"/>
  <c r="N172" i="7"/>
  <c r="P172" i="7" s="1"/>
  <c r="M172" i="7"/>
  <c r="G172" i="7"/>
  <c r="G171" i="7"/>
  <c r="O170" i="7"/>
  <c r="N170" i="7"/>
  <c r="P170" i="7" s="1"/>
  <c r="M170" i="7"/>
  <c r="G169" i="7"/>
  <c r="G168" i="7"/>
  <c r="G167" i="7"/>
  <c r="G166" i="7"/>
  <c r="G165" i="7"/>
  <c r="G164" i="7"/>
  <c r="G163" i="7"/>
  <c r="G161" i="7"/>
  <c r="G160" i="7"/>
  <c r="G159" i="7"/>
  <c r="G158" i="7"/>
  <c r="G155" i="7"/>
  <c r="O154" i="7"/>
  <c r="N154" i="7"/>
  <c r="P154" i="7" s="1"/>
  <c r="M154" i="7"/>
  <c r="G153" i="7"/>
  <c r="G152" i="7"/>
  <c r="G151" i="7"/>
  <c r="G150" i="7"/>
  <c r="O149" i="7"/>
  <c r="N149" i="7"/>
  <c r="P149" i="7" s="1"/>
  <c r="M149" i="7"/>
  <c r="G148" i="7"/>
  <c r="O147" i="7"/>
  <c r="N147" i="7"/>
  <c r="P147" i="7" s="1"/>
  <c r="M147" i="7"/>
  <c r="G147" i="7"/>
  <c r="G146" i="7"/>
  <c r="G145" i="7"/>
  <c r="G144" i="7"/>
  <c r="G143" i="7"/>
  <c r="O142" i="7"/>
  <c r="N142" i="7"/>
  <c r="P142" i="7" s="1"/>
  <c r="M142" i="7"/>
  <c r="G142" i="7"/>
  <c r="G141" i="7"/>
  <c r="G140" i="7"/>
  <c r="O139" i="7"/>
  <c r="N139" i="7"/>
  <c r="P139" i="7" s="1"/>
  <c r="M139" i="7"/>
  <c r="G139" i="7"/>
  <c r="G138" i="7"/>
  <c r="G136" i="7"/>
  <c r="G135" i="7"/>
  <c r="O134" i="7"/>
  <c r="N134" i="7"/>
  <c r="M134" i="7"/>
  <c r="G133" i="7"/>
  <c r="G132" i="7"/>
  <c r="G131" i="7"/>
  <c r="O130" i="7"/>
  <c r="N130" i="7"/>
  <c r="P130" i="7" s="1"/>
  <c r="M130" i="7"/>
  <c r="G129" i="7"/>
  <c r="G128" i="7"/>
  <c r="G127" i="7"/>
  <c r="G125" i="7"/>
  <c r="G124" i="7"/>
  <c r="G123" i="7"/>
  <c r="G122" i="7"/>
  <c r="G121" i="7"/>
  <c r="G119" i="7"/>
  <c r="G118" i="7"/>
  <c r="G116" i="7"/>
  <c r="G115" i="7"/>
  <c r="G114" i="7"/>
  <c r="G113" i="7"/>
  <c r="G111" i="7"/>
  <c r="G110" i="7"/>
  <c r="O109" i="7"/>
  <c r="N109" i="7"/>
  <c r="P109" i="7" s="1"/>
  <c r="M109" i="7"/>
  <c r="G109" i="7"/>
  <c r="O108" i="7"/>
  <c r="N108" i="7"/>
  <c r="M108" i="7"/>
  <c r="G107" i="7"/>
  <c r="G106" i="7"/>
  <c r="G105" i="7"/>
  <c r="G104" i="7"/>
  <c r="G103" i="7"/>
  <c r="G102" i="7"/>
  <c r="O101" i="7"/>
  <c r="N101" i="7"/>
  <c r="P101" i="7" s="1"/>
  <c r="M101" i="7"/>
  <c r="G100" i="7"/>
  <c r="G99" i="7"/>
  <c r="G98" i="7"/>
  <c r="G97" i="7"/>
  <c r="G96" i="7"/>
  <c r="G95" i="7"/>
  <c r="O94" i="7"/>
  <c r="N94" i="7"/>
  <c r="P94" i="7" s="1"/>
  <c r="M94" i="7"/>
  <c r="G93" i="7"/>
  <c r="G92" i="7"/>
  <c r="G91" i="7"/>
  <c r="G90" i="7"/>
  <c r="G89" i="7"/>
  <c r="G88" i="7"/>
  <c r="G86" i="7"/>
  <c r="G85" i="7"/>
  <c r="G84" i="7"/>
  <c r="G83" i="7"/>
  <c r="G82" i="7"/>
  <c r="G81" i="7"/>
  <c r="O79" i="7"/>
  <c r="N79" i="7"/>
  <c r="M79" i="7"/>
  <c r="G79" i="7"/>
  <c r="O78" i="7"/>
  <c r="N78" i="7"/>
  <c r="P78" i="7" s="1"/>
  <c r="M78" i="7"/>
  <c r="G78" i="7"/>
  <c r="G77" i="7"/>
  <c r="G76" i="7"/>
  <c r="G75" i="7"/>
  <c r="G74" i="7"/>
  <c r="G73" i="7"/>
  <c r="G72" i="7"/>
  <c r="G71" i="7"/>
  <c r="G70" i="7"/>
  <c r="O67" i="7"/>
  <c r="N67" i="7"/>
  <c r="P67" i="7" s="1"/>
  <c r="M67" i="7"/>
  <c r="G67" i="7"/>
  <c r="O66" i="7"/>
  <c r="N66" i="7"/>
  <c r="P66" i="7" s="1"/>
  <c r="M66" i="7"/>
  <c r="G66" i="7"/>
  <c r="G65" i="7"/>
  <c r="G64" i="7"/>
  <c r="O63" i="7"/>
  <c r="N63" i="7"/>
  <c r="P63" i="7" s="1"/>
  <c r="M63" i="7"/>
  <c r="G62" i="7"/>
  <c r="G61" i="7"/>
  <c r="O60" i="7"/>
  <c r="N60" i="7"/>
  <c r="M60" i="7"/>
  <c r="G59" i="7"/>
  <c r="G58" i="7"/>
  <c r="O57" i="7"/>
  <c r="N57" i="7"/>
  <c r="P57" i="7" s="1"/>
  <c r="M57" i="7"/>
  <c r="G56" i="7"/>
  <c r="O55" i="7"/>
  <c r="N55" i="7"/>
  <c r="P55" i="7" s="1"/>
  <c r="M55" i="7"/>
  <c r="G55" i="7"/>
  <c r="G54" i="7"/>
  <c r="G52" i="7"/>
  <c r="H51" i="7"/>
  <c r="G51" i="7"/>
  <c r="H50" i="7"/>
  <c r="G50" i="7"/>
  <c r="G47" i="7"/>
  <c r="H45" i="7"/>
  <c r="G45" i="7"/>
  <c r="G44" i="7"/>
  <c r="G43" i="7"/>
  <c r="G42" i="7"/>
  <c r="G41" i="7"/>
  <c r="G39" i="7"/>
  <c r="G38" i="7"/>
  <c r="O37" i="7"/>
  <c r="N37" i="7"/>
  <c r="M37" i="7"/>
  <c r="G37" i="7"/>
  <c r="G35" i="7"/>
  <c r="G34" i="7"/>
  <c r="F31" i="7"/>
  <c r="G30" i="7"/>
  <c r="G28" i="7"/>
  <c r="G26" i="7"/>
  <c r="G25" i="7"/>
  <c r="G24" i="7"/>
  <c r="G23" i="7"/>
  <c r="G21" i="7"/>
  <c r="G20" i="7"/>
  <c r="G19" i="7"/>
  <c r="G18" i="7"/>
  <c r="O15" i="7"/>
  <c r="N15" i="7"/>
  <c r="M15" i="7"/>
  <c r="G15" i="7"/>
  <c r="O14" i="7"/>
  <c r="N14" i="7"/>
  <c r="P14" i="7" s="1"/>
  <c r="M14" i="7"/>
  <c r="G14" i="7"/>
  <c r="G13" i="7"/>
  <c r="O12" i="7"/>
  <c r="N12" i="7"/>
  <c r="M12" i="7"/>
  <c r="G12" i="7"/>
  <c r="O11" i="7"/>
  <c r="N11" i="7"/>
  <c r="P11" i="7" s="1"/>
  <c r="M11" i="7"/>
  <c r="G11" i="7"/>
  <c r="G10" i="7"/>
  <c r="G9" i="7"/>
  <c r="O8" i="7"/>
  <c r="N8" i="7"/>
  <c r="P8" i="7" s="1"/>
  <c r="M8" i="7"/>
  <c r="G8" i="7"/>
  <c r="O7" i="7"/>
  <c r="N7" i="7"/>
  <c r="M7" i="7"/>
  <c r="G7" i="7"/>
  <c r="G6" i="7"/>
  <c r="I44"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8" i="6"/>
  <c r="I519" i="6"/>
  <c r="I520" i="6"/>
  <c r="I521" i="6"/>
  <c r="I522" i="6"/>
  <c r="I523" i="6"/>
  <c r="I524" i="6"/>
  <c r="I525" i="6"/>
  <c r="I526" i="6"/>
  <c r="I527" i="6"/>
  <c r="I528" i="6"/>
  <c r="I529" i="6"/>
  <c r="I530" i="6"/>
  <c r="I531" i="6"/>
  <c r="I532" i="6"/>
  <c r="I533" i="6"/>
  <c r="I534" i="6"/>
  <c r="I535" i="6"/>
  <c r="I536" i="6"/>
  <c r="I537" i="6"/>
  <c r="I538" i="6"/>
  <c r="I539" i="6"/>
  <c r="I540" i="6"/>
  <c r="I6" i="6"/>
  <c r="K548" i="6"/>
  <c r="N540" i="6"/>
  <c r="O540" i="6" s="1"/>
  <c r="G540" i="6"/>
  <c r="N539" i="6"/>
  <c r="O539" i="6" s="1"/>
  <c r="G539" i="6"/>
  <c r="N538" i="6"/>
  <c r="O538" i="6" s="1"/>
  <c r="G538" i="6"/>
  <c r="N537" i="6"/>
  <c r="O537" i="6" s="1"/>
  <c r="G537" i="6"/>
  <c r="N536" i="6"/>
  <c r="O536" i="6" s="1"/>
  <c r="G536" i="6"/>
  <c r="N535" i="6"/>
  <c r="O535" i="6" s="1"/>
  <c r="G535" i="6"/>
  <c r="N534" i="6"/>
  <c r="O534" i="6" s="1"/>
  <c r="G534" i="6"/>
  <c r="N533" i="6"/>
  <c r="O533" i="6" s="1"/>
  <c r="G533" i="6"/>
  <c r="N532" i="6"/>
  <c r="O532" i="6" s="1"/>
  <c r="G532" i="6"/>
  <c r="N531" i="6"/>
  <c r="O531" i="6" s="1"/>
  <c r="G531" i="6"/>
  <c r="G530" i="6"/>
  <c r="G529" i="6"/>
  <c r="G528" i="6"/>
  <c r="G527" i="6"/>
  <c r="G526" i="6"/>
  <c r="G525" i="6"/>
  <c r="G524" i="6"/>
  <c r="G523" i="6"/>
  <c r="G522" i="6"/>
  <c r="G521" i="6"/>
  <c r="G520" i="6"/>
  <c r="G519" i="6"/>
  <c r="G518" i="6"/>
  <c r="F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N463" i="6"/>
  <c r="O463" i="6" s="1"/>
  <c r="G463" i="6"/>
  <c r="N462" i="6"/>
  <c r="O462" i="6" s="1"/>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N406" i="6"/>
  <c r="O406" i="6" s="1"/>
  <c r="G406" i="6"/>
  <c r="G405" i="6"/>
  <c r="G404" i="6"/>
  <c r="G403" i="6"/>
  <c r="G402" i="6"/>
  <c r="G401" i="6"/>
  <c r="G400" i="6"/>
  <c r="G399" i="6"/>
  <c r="G398" i="6"/>
  <c r="N397" i="6"/>
  <c r="O397" i="6" s="1"/>
  <c r="G397" i="6"/>
  <c r="G396" i="6"/>
  <c r="G395" i="6"/>
  <c r="G394" i="6"/>
  <c r="G393" i="6"/>
  <c r="G392" i="6"/>
  <c r="G391" i="6"/>
  <c r="G390" i="6"/>
  <c r="G389" i="6"/>
  <c r="G388" i="6"/>
  <c r="G387" i="6"/>
  <c r="G386" i="6"/>
  <c r="G385" i="6"/>
  <c r="G384" i="6"/>
  <c r="G383" i="6"/>
  <c r="G382" i="6"/>
  <c r="G381" i="6"/>
  <c r="G380" i="6"/>
  <c r="G379" i="6"/>
  <c r="G378" i="6"/>
  <c r="G377" i="6"/>
  <c r="G376" i="6"/>
  <c r="N375" i="6"/>
  <c r="O375" i="6" s="1"/>
  <c r="G375" i="6"/>
  <c r="G374" i="6"/>
  <c r="G373" i="6"/>
  <c r="G372" i="6"/>
  <c r="G371" i="6"/>
  <c r="N370" i="6"/>
  <c r="O370" i="6" s="1"/>
  <c r="G370" i="6"/>
  <c r="N369" i="6"/>
  <c r="O369" i="6" s="1"/>
  <c r="G369" i="6"/>
  <c r="G368" i="6"/>
  <c r="G367" i="6"/>
  <c r="G366" i="6"/>
  <c r="G365" i="6"/>
  <c r="N364" i="6"/>
  <c r="O364" i="6" s="1"/>
  <c r="G364" i="6"/>
  <c r="G363" i="6"/>
  <c r="G362" i="6"/>
  <c r="N361" i="6"/>
  <c r="O361" i="6" s="1"/>
  <c r="G361" i="6"/>
  <c r="N360" i="6"/>
  <c r="O360" i="6" s="1"/>
  <c r="G360" i="6"/>
  <c r="G359" i="6"/>
  <c r="G358" i="6"/>
  <c r="G357" i="6"/>
  <c r="G356" i="6"/>
  <c r="N355" i="6"/>
  <c r="O355" i="6" s="1"/>
  <c r="G355" i="6"/>
  <c r="N354" i="6"/>
  <c r="O354" i="6" s="1"/>
  <c r="G354" i="6"/>
  <c r="N353" i="6"/>
  <c r="O353" i="6" s="1"/>
  <c r="G353" i="6"/>
  <c r="N352" i="6"/>
  <c r="O352" i="6" s="1"/>
  <c r="G352" i="6"/>
  <c r="G351" i="6"/>
  <c r="G350" i="6"/>
  <c r="N349" i="6"/>
  <c r="O349" i="6" s="1"/>
  <c r="G349" i="6"/>
  <c r="N348" i="6"/>
  <c r="O348" i="6" s="1"/>
  <c r="G348" i="6"/>
  <c r="N347" i="6"/>
  <c r="O347" i="6" s="1"/>
  <c r="G347" i="6"/>
  <c r="G346" i="6"/>
  <c r="N345" i="6"/>
  <c r="O345" i="6" s="1"/>
  <c r="G345" i="6"/>
  <c r="N344" i="6"/>
  <c r="O344" i="6" s="1"/>
  <c r="G344" i="6"/>
  <c r="G343" i="6"/>
  <c r="G342" i="6"/>
  <c r="G341" i="6"/>
  <c r="G340" i="6"/>
  <c r="G339" i="6"/>
  <c r="G338" i="6"/>
  <c r="G337" i="6"/>
  <c r="G336" i="6"/>
  <c r="N335" i="6"/>
  <c r="O335" i="6" s="1"/>
  <c r="G335" i="6"/>
  <c r="G334" i="6"/>
  <c r="G333" i="6"/>
  <c r="N332" i="6"/>
  <c r="O332" i="6" s="1"/>
  <c r="G332" i="6"/>
  <c r="G331" i="6"/>
  <c r="G330" i="6"/>
  <c r="G329" i="6"/>
  <c r="G328" i="6"/>
  <c r="G327" i="6"/>
  <c r="G326" i="6"/>
  <c r="G325" i="6"/>
  <c r="G324" i="6"/>
  <c r="G323" i="6"/>
  <c r="G322" i="6"/>
  <c r="G321" i="6"/>
  <c r="G320" i="6"/>
  <c r="N319" i="6"/>
  <c r="O319" i="6" s="1"/>
  <c r="G319" i="6"/>
  <c r="N318" i="6"/>
  <c r="O318" i="6" s="1"/>
  <c r="G318" i="6"/>
  <c r="G317" i="6"/>
  <c r="G316" i="6"/>
  <c r="G315" i="6"/>
  <c r="N314" i="6"/>
  <c r="O314" i="6" s="1"/>
  <c r="G314" i="6"/>
  <c r="G313" i="6"/>
  <c r="N312" i="6"/>
  <c r="O312" i="6" s="1"/>
  <c r="G312" i="6"/>
  <c r="G311" i="6"/>
  <c r="G310" i="6"/>
  <c r="N309" i="6"/>
  <c r="O309" i="6" s="1"/>
  <c r="G309" i="6"/>
  <c r="G308" i="6"/>
  <c r="G307" i="6"/>
  <c r="G306" i="6"/>
  <c r="G305" i="6"/>
  <c r="G304" i="6"/>
  <c r="G303" i="6"/>
  <c r="G302" i="6"/>
  <c r="G301" i="6"/>
  <c r="G300" i="6"/>
  <c r="N299" i="6"/>
  <c r="O299" i="6" s="1"/>
  <c r="G299" i="6"/>
  <c r="G298" i="6"/>
  <c r="G297" i="6"/>
  <c r="N296" i="6"/>
  <c r="O296" i="6" s="1"/>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N232" i="6"/>
  <c r="O232" i="6" s="1"/>
  <c r="G232" i="6"/>
  <c r="N231" i="6"/>
  <c r="O231" i="6" s="1"/>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N128" i="6"/>
  <c r="O128" i="6" s="1"/>
  <c r="G128" i="6"/>
  <c r="G127" i="6"/>
  <c r="G126" i="6"/>
  <c r="G125" i="6"/>
  <c r="G124" i="6"/>
  <c r="G123" i="6"/>
  <c r="G122" i="6"/>
  <c r="G121" i="6"/>
  <c r="G120" i="6"/>
  <c r="G119" i="6"/>
  <c r="G118" i="6"/>
  <c r="G117" i="6"/>
  <c r="G116" i="6"/>
  <c r="G115" i="6"/>
  <c r="G114" i="6"/>
  <c r="G113" i="6"/>
  <c r="G112" i="6"/>
  <c r="G111" i="6"/>
  <c r="G110" i="6"/>
  <c r="G109" i="6"/>
  <c r="G108" i="6"/>
  <c r="N107" i="6"/>
  <c r="O107" i="6" s="1"/>
  <c r="G107" i="6"/>
  <c r="G106" i="6"/>
  <c r="G105" i="6"/>
  <c r="G104" i="6"/>
  <c r="G103" i="6"/>
  <c r="N102" i="6"/>
  <c r="O102" i="6" s="1"/>
  <c r="G102" i="6"/>
  <c r="G101" i="6"/>
  <c r="G100" i="6"/>
  <c r="N99" i="6"/>
  <c r="O99" i="6" s="1"/>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N33" i="6"/>
  <c r="O33" i="6" s="1"/>
  <c r="G33" i="6"/>
  <c r="G32" i="6"/>
  <c r="G31" i="6"/>
  <c r="G30" i="6"/>
  <c r="G29" i="6"/>
  <c r="G28" i="6"/>
  <c r="G27" i="6"/>
  <c r="G26" i="6"/>
  <c r="G25" i="6"/>
  <c r="G24" i="6"/>
  <c r="G23" i="6"/>
  <c r="G22" i="6"/>
  <c r="G21" i="6"/>
  <c r="G20" i="6"/>
  <c r="G19" i="6"/>
  <c r="G18" i="6"/>
  <c r="G17" i="6"/>
  <c r="G16" i="6"/>
  <c r="G15" i="6"/>
  <c r="G14" i="6"/>
  <c r="N13" i="6"/>
  <c r="O13" i="6" s="1"/>
  <c r="G13" i="6"/>
  <c r="N12" i="6"/>
  <c r="O12" i="6" s="1"/>
  <c r="G12" i="6"/>
  <c r="N11" i="6"/>
  <c r="O11" i="6" s="1"/>
  <c r="G11" i="6"/>
  <c r="N10" i="6"/>
  <c r="O10" i="6" s="1"/>
  <c r="G10" i="6"/>
  <c r="N9" i="6"/>
  <c r="O9" i="6" s="1"/>
  <c r="G9" i="6"/>
  <c r="N8" i="6"/>
  <c r="O8" i="6" s="1"/>
  <c r="G8" i="6"/>
  <c r="G7" i="6"/>
  <c r="G6" i="6"/>
  <c r="Z40" i="4"/>
  <c r="I721" i="5"/>
  <c r="O720" i="5"/>
  <c r="N720" i="5"/>
  <c r="P720" i="5" s="1"/>
  <c r="M720" i="5"/>
  <c r="G720" i="5"/>
  <c r="O719" i="5"/>
  <c r="N719" i="5"/>
  <c r="P719" i="5" s="1"/>
  <c r="M719" i="5"/>
  <c r="G719" i="5"/>
  <c r="G718" i="5"/>
  <c r="G717" i="5"/>
  <c r="O716" i="5"/>
  <c r="N716" i="5"/>
  <c r="P716" i="5" s="1"/>
  <c r="M716" i="5"/>
  <c r="G716" i="5"/>
  <c r="O715" i="5"/>
  <c r="N715" i="5"/>
  <c r="P715" i="5" s="1"/>
  <c r="M715" i="5"/>
  <c r="G715" i="5"/>
  <c r="O714" i="5"/>
  <c r="N714" i="5"/>
  <c r="P714" i="5" s="1"/>
  <c r="M714" i="5"/>
  <c r="G714" i="5"/>
  <c r="O713" i="5"/>
  <c r="N713" i="5"/>
  <c r="P713" i="5" s="1"/>
  <c r="M713" i="5"/>
  <c r="G713" i="5"/>
  <c r="O712" i="5"/>
  <c r="N712" i="5"/>
  <c r="P712" i="5" s="1"/>
  <c r="M712" i="5"/>
  <c r="O711" i="5"/>
  <c r="N711" i="5"/>
  <c r="M711" i="5"/>
  <c r="G711" i="5"/>
  <c r="G710" i="5"/>
  <c r="G709" i="5"/>
  <c r="G708" i="5"/>
  <c r="G707" i="5"/>
  <c r="G706" i="5"/>
  <c r="G705" i="5"/>
  <c r="G704" i="5"/>
  <c r="G703" i="5"/>
  <c r="G702" i="5"/>
  <c r="G701" i="5"/>
  <c r="O699" i="5"/>
  <c r="N699" i="5"/>
  <c r="P699" i="5" s="1"/>
  <c r="M699" i="5"/>
  <c r="G699" i="5"/>
  <c r="O698" i="5"/>
  <c r="N698" i="5"/>
  <c r="P698" i="5" s="1"/>
  <c r="M698" i="5"/>
  <c r="G698" i="5"/>
  <c r="O697" i="5"/>
  <c r="N697" i="5"/>
  <c r="P697" i="5" s="1"/>
  <c r="M697" i="5"/>
  <c r="G697" i="5"/>
  <c r="O696" i="5"/>
  <c r="N696" i="5"/>
  <c r="P696" i="5" s="1"/>
  <c r="M696" i="5"/>
  <c r="G696" i="5"/>
  <c r="G695" i="5"/>
  <c r="O694" i="5"/>
  <c r="N694" i="5"/>
  <c r="M694" i="5"/>
  <c r="G694" i="5"/>
  <c r="O693" i="5"/>
  <c r="N693" i="5"/>
  <c r="P693" i="5" s="1"/>
  <c r="M693" i="5"/>
  <c r="G693" i="5"/>
  <c r="O692" i="5"/>
  <c r="N692" i="5"/>
  <c r="P692" i="5" s="1"/>
  <c r="M692" i="5"/>
  <c r="G692" i="5"/>
  <c r="O691" i="5"/>
  <c r="N691" i="5"/>
  <c r="P691" i="5" s="1"/>
  <c r="M691" i="5"/>
  <c r="G691" i="5"/>
  <c r="O690" i="5"/>
  <c r="N690" i="5"/>
  <c r="P690" i="5" s="1"/>
  <c r="M690" i="5"/>
  <c r="G690" i="5"/>
  <c r="O689" i="5"/>
  <c r="N689" i="5"/>
  <c r="P689" i="5" s="1"/>
  <c r="M689" i="5"/>
  <c r="O688" i="5"/>
  <c r="N688" i="5"/>
  <c r="P688" i="5" s="1"/>
  <c r="M688" i="5"/>
  <c r="G688" i="5"/>
  <c r="O687" i="5"/>
  <c r="N687" i="5"/>
  <c r="M687" i="5"/>
  <c r="G687" i="5"/>
  <c r="O686" i="5"/>
  <c r="N686" i="5"/>
  <c r="P686" i="5" s="1"/>
  <c r="M686" i="5"/>
  <c r="G686" i="5"/>
  <c r="O685" i="5"/>
  <c r="N685" i="5"/>
  <c r="P685" i="5" s="1"/>
  <c r="M685" i="5"/>
  <c r="G685" i="5"/>
  <c r="O684" i="5"/>
  <c r="N684" i="5"/>
  <c r="P684" i="5" s="1"/>
  <c r="M684" i="5"/>
  <c r="G684" i="5"/>
  <c r="O683" i="5"/>
  <c r="N683" i="5"/>
  <c r="P683" i="5" s="1"/>
  <c r="M683" i="5"/>
  <c r="G683" i="5"/>
  <c r="O682" i="5"/>
  <c r="N682" i="5"/>
  <c r="P682" i="5" s="1"/>
  <c r="M682" i="5"/>
  <c r="G682" i="5"/>
  <c r="O681" i="5"/>
  <c r="N681" i="5"/>
  <c r="P681" i="5" s="1"/>
  <c r="M681" i="5"/>
  <c r="G679" i="5"/>
  <c r="G678" i="5"/>
  <c r="G676" i="5"/>
  <c r="G675" i="5"/>
  <c r="G674" i="5"/>
  <c r="G673" i="5"/>
  <c r="G671" i="5"/>
  <c r="G670" i="5"/>
  <c r="G669" i="5"/>
  <c r="G668" i="5"/>
  <c r="G667" i="5"/>
  <c r="G666" i="5"/>
  <c r="G665" i="5"/>
  <c r="G664" i="5"/>
  <c r="G663" i="5"/>
  <c r="G662" i="5"/>
  <c r="G661" i="5"/>
  <c r="G660" i="5"/>
  <c r="G658" i="5"/>
  <c r="G657" i="5"/>
  <c r="G656" i="5"/>
  <c r="G654" i="5"/>
  <c r="G653" i="5"/>
  <c r="G652" i="5"/>
  <c r="G650" i="5"/>
  <c r="G649" i="5"/>
  <c r="G648" i="5"/>
  <c r="G647" i="5"/>
  <c r="G646" i="5"/>
  <c r="G645" i="5"/>
  <c r="G643" i="5"/>
  <c r="G641" i="5"/>
  <c r="G640" i="5"/>
  <c r="G639" i="5"/>
  <c r="G638" i="5"/>
  <c r="O635" i="5"/>
  <c r="N635" i="5"/>
  <c r="P635" i="5" s="1"/>
  <c r="M635" i="5"/>
  <c r="G635" i="5"/>
  <c r="G634" i="5"/>
  <c r="G633" i="5"/>
  <c r="O632" i="5"/>
  <c r="N632" i="5"/>
  <c r="P632" i="5" s="1"/>
  <c r="M632" i="5"/>
  <c r="G632" i="5"/>
  <c r="O631" i="5"/>
  <c r="N631" i="5"/>
  <c r="P631" i="5" s="1"/>
  <c r="M631" i="5"/>
  <c r="G631" i="5"/>
  <c r="O630" i="5"/>
  <c r="N630" i="5"/>
  <c r="P630" i="5" s="1"/>
  <c r="M630" i="5"/>
  <c r="G630" i="5"/>
  <c r="G629" i="5"/>
  <c r="G628" i="5"/>
  <c r="G627" i="5"/>
  <c r="G626" i="5"/>
  <c r="O625" i="5"/>
  <c r="N625" i="5"/>
  <c r="P625" i="5" s="1"/>
  <c r="M625" i="5"/>
  <c r="G625" i="5"/>
  <c r="G623" i="5"/>
  <c r="G622" i="5"/>
  <c r="G621" i="5"/>
  <c r="O620" i="5"/>
  <c r="N620" i="5"/>
  <c r="P620" i="5" s="1"/>
  <c r="M620" i="5"/>
  <c r="G620" i="5"/>
  <c r="O619" i="5"/>
  <c r="N619" i="5"/>
  <c r="M619" i="5"/>
  <c r="G619" i="5"/>
  <c r="O617" i="5"/>
  <c r="N617" i="5"/>
  <c r="P617" i="5" s="1"/>
  <c r="M617" i="5"/>
  <c r="G617" i="5"/>
  <c r="O616" i="5"/>
  <c r="N616" i="5"/>
  <c r="P616" i="5" s="1"/>
  <c r="M616" i="5"/>
  <c r="G616" i="5"/>
  <c r="G615" i="5"/>
  <c r="G614" i="5"/>
  <c r="G613" i="5"/>
  <c r="G612" i="5"/>
  <c r="G611" i="5"/>
  <c r="G610" i="5"/>
  <c r="G609" i="5"/>
  <c r="G608" i="5"/>
  <c r="G607" i="5"/>
  <c r="G606" i="5"/>
  <c r="G605" i="5"/>
  <c r="G604" i="5"/>
  <c r="G602" i="5"/>
  <c r="G601" i="5"/>
  <c r="G600" i="5"/>
  <c r="G599" i="5"/>
  <c r="G598" i="5"/>
  <c r="G597" i="5"/>
  <c r="G595" i="5"/>
  <c r="G594" i="5"/>
  <c r="G593" i="5"/>
  <c r="G592" i="5"/>
  <c r="G591" i="5"/>
  <c r="G590" i="5"/>
  <c r="G589" i="5"/>
  <c r="G588" i="5"/>
  <c r="G587" i="5"/>
  <c r="G586" i="5"/>
  <c r="G585" i="5"/>
  <c r="G584" i="5"/>
  <c r="G583" i="5"/>
  <c r="G582" i="5"/>
  <c r="G581" i="5"/>
  <c r="G580" i="5"/>
  <c r="G579" i="5"/>
  <c r="G578" i="5"/>
  <c r="G577" i="5"/>
  <c r="G576" i="5"/>
  <c r="G575" i="5"/>
  <c r="G574" i="5"/>
  <c r="O573" i="5"/>
  <c r="N573" i="5"/>
  <c r="M573" i="5"/>
  <c r="G573" i="5"/>
  <c r="O572" i="5"/>
  <c r="N572" i="5"/>
  <c r="P572" i="5" s="1"/>
  <c r="M572" i="5"/>
  <c r="G572" i="5"/>
  <c r="G571" i="5"/>
  <c r="G570" i="5"/>
  <c r="G569" i="5"/>
  <c r="G568" i="5"/>
  <c r="G567" i="5"/>
  <c r="G566" i="5"/>
  <c r="G565" i="5"/>
  <c r="G564" i="5"/>
  <c r="G563" i="5"/>
  <c r="G562" i="5"/>
  <c r="G561" i="5"/>
  <c r="G560" i="5"/>
  <c r="G559" i="5"/>
  <c r="O558" i="5"/>
  <c r="N558" i="5"/>
  <c r="M558" i="5"/>
  <c r="G557" i="5"/>
  <c r="G556" i="5"/>
  <c r="G555" i="5"/>
  <c r="G554" i="5"/>
  <c r="G553" i="5"/>
  <c r="G552" i="5"/>
  <c r="G551" i="5"/>
  <c r="G550" i="5"/>
  <c r="O549" i="5"/>
  <c r="N549" i="5"/>
  <c r="P549" i="5" s="1"/>
  <c r="M549" i="5"/>
  <c r="G548" i="5"/>
  <c r="G547" i="5"/>
  <c r="G546" i="5"/>
  <c r="G545" i="5"/>
  <c r="G544" i="5"/>
  <c r="G543" i="5"/>
  <c r="G542" i="5"/>
  <c r="G541" i="5"/>
  <c r="O539" i="5"/>
  <c r="N539" i="5"/>
  <c r="P539" i="5" s="1"/>
  <c r="M539" i="5"/>
  <c r="G539" i="5"/>
  <c r="O538" i="5"/>
  <c r="N538" i="5"/>
  <c r="P538" i="5" s="1"/>
  <c r="M538" i="5"/>
  <c r="G538" i="5"/>
  <c r="O537" i="5"/>
  <c r="N537" i="5"/>
  <c r="M537" i="5"/>
  <c r="G537" i="5"/>
  <c r="O536" i="5"/>
  <c r="N536" i="5"/>
  <c r="P536" i="5" s="1"/>
  <c r="M536" i="5"/>
  <c r="G536" i="5"/>
  <c r="O535" i="5"/>
  <c r="N535" i="5"/>
  <c r="P535" i="5" s="1"/>
  <c r="M535" i="5"/>
  <c r="G535" i="5"/>
  <c r="O534" i="5"/>
  <c r="N534" i="5"/>
  <c r="P534" i="5" s="1"/>
  <c r="M534" i="5"/>
  <c r="G534" i="5"/>
  <c r="O533" i="5"/>
  <c r="N533" i="5"/>
  <c r="P533" i="5" s="1"/>
  <c r="M533" i="5"/>
  <c r="G533" i="5"/>
  <c r="O532" i="5"/>
  <c r="N532" i="5"/>
  <c r="P532" i="5" s="1"/>
  <c r="M532" i="5"/>
  <c r="G532" i="5"/>
  <c r="O531" i="5"/>
  <c r="N531" i="5"/>
  <c r="P531" i="5" s="1"/>
  <c r="M531" i="5"/>
  <c r="G531" i="5"/>
  <c r="O530" i="5"/>
  <c r="N530" i="5"/>
  <c r="P530" i="5" s="1"/>
  <c r="M530" i="5"/>
  <c r="G530" i="5"/>
  <c r="O529" i="5"/>
  <c r="N529" i="5"/>
  <c r="M529" i="5"/>
  <c r="G529" i="5"/>
  <c r="O528" i="5"/>
  <c r="N528" i="5"/>
  <c r="P528" i="5" s="1"/>
  <c r="M528" i="5"/>
  <c r="G528" i="5"/>
  <c r="O527" i="5"/>
  <c r="N527" i="5"/>
  <c r="P527" i="5" s="1"/>
  <c r="M527" i="5"/>
  <c r="G527" i="5"/>
  <c r="O526" i="5"/>
  <c r="N526" i="5"/>
  <c r="P526" i="5" s="1"/>
  <c r="M526" i="5"/>
  <c r="G526" i="5"/>
  <c r="O525" i="5"/>
  <c r="N525" i="5"/>
  <c r="P525" i="5" s="1"/>
  <c r="M525" i="5"/>
  <c r="G525" i="5"/>
  <c r="O524" i="5"/>
  <c r="N524" i="5"/>
  <c r="P524" i="5" s="1"/>
  <c r="M524" i="5"/>
  <c r="G522" i="5"/>
  <c r="G521" i="5"/>
  <c r="G520" i="5"/>
  <c r="G519" i="5"/>
  <c r="G518" i="5"/>
  <c r="G517" i="5"/>
  <c r="G516" i="5"/>
  <c r="G515" i="5"/>
  <c r="G514" i="5"/>
  <c r="O511" i="5"/>
  <c r="N511" i="5"/>
  <c r="P511" i="5" s="1"/>
  <c r="M511" i="5"/>
  <c r="G511" i="5"/>
  <c r="O510" i="5"/>
  <c r="N510" i="5"/>
  <c r="P510" i="5" s="1"/>
  <c r="M510" i="5"/>
  <c r="H510" i="5"/>
  <c r="G510" i="5"/>
  <c r="O509" i="5"/>
  <c r="N509" i="5"/>
  <c r="P509" i="5" s="1"/>
  <c r="M509" i="5"/>
  <c r="H509" i="5"/>
  <c r="G509" i="5"/>
  <c r="O508" i="5"/>
  <c r="N508" i="5"/>
  <c r="P508" i="5" s="1"/>
  <c r="M508" i="5"/>
  <c r="H508" i="5"/>
  <c r="G508" i="5"/>
  <c r="O507" i="5"/>
  <c r="N507" i="5"/>
  <c r="P507" i="5" s="1"/>
  <c r="M507" i="5"/>
  <c r="G507" i="5"/>
  <c r="O506" i="5"/>
  <c r="N506" i="5"/>
  <c r="M506" i="5"/>
  <c r="O505" i="5"/>
  <c r="N505" i="5"/>
  <c r="P505" i="5" s="1"/>
  <c r="M505" i="5"/>
  <c r="G505" i="5"/>
  <c r="O504" i="5"/>
  <c r="N504" i="5"/>
  <c r="M504" i="5"/>
  <c r="O503" i="5"/>
  <c r="N503" i="5"/>
  <c r="P503" i="5" s="1"/>
  <c r="M503" i="5"/>
  <c r="G503" i="5"/>
  <c r="O502" i="5"/>
  <c r="N502" i="5"/>
  <c r="P502" i="5" s="1"/>
  <c r="M502" i="5"/>
  <c r="G502" i="5"/>
  <c r="O501" i="5"/>
  <c r="N501" i="5"/>
  <c r="P501" i="5" s="1"/>
  <c r="M501" i="5"/>
  <c r="G501" i="5"/>
  <c r="O500" i="5"/>
  <c r="N500" i="5"/>
  <c r="M500" i="5"/>
  <c r="G500" i="5"/>
  <c r="O499" i="5"/>
  <c r="N499" i="5"/>
  <c r="P499" i="5" s="1"/>
  <c r="M499" i="5"/>
  <c r="G499" i="5"/>
  <c r="O498" i="5"/>
  <c r="N498" i="5"/>
  <c r="P498" i="5" s="1"/>
  <c r="M498" i="5"/>
  <c r="G498" i="5"/>
  <c r="O497" i="5"/>
  <c r="N497" i="5"/>
  <c r="M497" i="5"/>
  <c r="G497" i="5"/>
  <c r="O496" i="5"/>
  <c r="N496" i="5"/>
  <c r="P496" i="5" s="1"/>
  <c r="M496" i="5"/>
  <c r="G496" i="5"/>
  <c r="O495" i="5"/>
  <c r="N495" i="5"/>
  <c r="P495" i="5" s="1"/>
  <c r="M495" i="5"/>
  <c r="G495" i="5"/>
  <c r="O494" i="5"/>
  <c r="N494" i="5"/>
  <c r="P494" i="5" s="1"/>
  <c r="M494" i="5"/>
  <c r="G494" i="5"/>
  <c r="O493" i="5"/>
  <c r="N493" i="5"/>
  <c r="P493" i="5" s="1"/>
  <c r="M493" i="5"/>
  <c r="G493" i="5"/>
  <c r="O492" i="5"/>
  <c r="N492" i="5"/>
  <c r="M492" i="5"/>
  <c r="G492" i="5"/>
  <c r="O491" i="5"/>
  <c r="N491" i="5"/>
  <c r="P491" i="5" s="1"/>
  <c r="M491" i="5"/>
  <c r="O490" i="5"/>
  <c r="N490" i="5"/>
  <c r="M490" i="5"/>
  <c r="G490" i="5"/>
  <c r="G489" i="5"/>
  <c r="G488" i="5"/>
  <c r="G487" i="5"/>
  <c r="G486" i="5"/>
  <c r="O485" i="5"/>
  <c r="N485" i="5"/>
  <c r="M485" i="5"/>
  <c r="G485" i="5"/>
  <c r="O484" i="5"/>
  <c r="N484" i="5"/>
  <c r="P484" i="5" s="1"/>
  <c r="M484" i="5"/>
  <c r="G484" i="5"/>
  <c r="G483" i="5"/>
  <c r="G482" i="5"/>
  <c r="G481" i="5"/>
  <c r="G480" i="5"/>
  <c r="O479" i="5"/>
  <c r="N479" i="5"/>
  <c r="P479" i="5" s="1"/>
  <c r="M479" i="5"/>
  <c r="G479" i="5"/>
  <c r="G478" i="5"/>
  <c r="G477" i="5"/>
  <c r="O476" i="5"/>
  <c r="N476" i="5"/>
  <c r="P476" i="5" s="1"/>
  <c r="M476" i="5"/>
  <c r="G476" i="5"/>
  <c r="O475" i="5"/>
  <c r="N475" i="5"/>
  <c r="P475" i="5" s="1"/>
  <c r="M475" i="5"/>
  <c r="G475" i="5"/>
  <c r="G474" i="5"/>
  <c r="G473" i="5"/>
  <c r="G472" i="5"/>
  <c r="G471" i="5"/>
  <c r="O470" i="5"/>
  <c r="N470" i="5"/>
  <c r="P470" i="5" s="1"/>
  <c r="M470" i="5"/>
  <c r="G470" i="5"/>
  <c r="O469" i="5"/>
  <c r="N469" i="5"/>
  <c r="M469" i="5"/>
  <c r="G469" i="5"/>
  <c r="O468" i="5"/>
  <c r="N468" i="5"/>
  <c r="P468" i="5" s="1"/>
  <c r="M468" i="5"/>
  <c r="G468" i="5"/>
  <c r="O467" i="5"/>
  <c r="N467" i="5"/>
  <c r="P467" i="5" s="1"/>
  <c r="M467" i="5"/>
  <c r="G467" i="5"/>
  <c r="G466" i="5"/>
  <c r="G465" i="5"/>
  <c r="O464" i="5"/>
  <c r="N464" i="5"/>
  <c r="P464" i="5" s="1"/>
  <c r="M464" i="5"/>
  <c r="G464" i="5"/>
  <c r="O463" i="5"/>
  <c r="N463" i="5"/>
  <c r="P463" i="5" s="1"/>
  <c r="M463" i="5"/>
  <c r="G463" i="5"/>
  <c r="O462" i="5"/>
  <c r="N462" i="5"/>
  <c r="P462" i="5" s="1"/>
  <c r="M462" i="5"/>
  <c r="G462" i="5"/>
  <c r="O460" i="5"/>
  <c r="N460" i="5"/>
  <c r="P460" i="5" s="1"/>
  <c r="M460" i="5"/>
  <c r="G460" i="5"/>
  <c r="O459" i="5"/>
  <c r="N459" i="5"/>
  <c r="M459" i="5"/>
  <c r="G459" i="5"/>
  <c r="G458" i="5"/>
  <c r="G457" i="5"/>
  <c r="G456" i="5"/>
  <c r="G455" i="5"/>
  <c r="G454" i="5"/>
  <c r="G453" i="5"/>
  <c r="G452" i="5"/>
  <c r="O450" i="5"/>
  <c r="N450" i="5"/>
  <c r="P450" i="5" s="1"/>
  <c r="M450" i="5"/>
  <c r="G450" i="5"/>
  <c r="G449" i="5"/>
  <c r="G448" i="5"/>
  <c r="O447" i="5"/>
  <c r="N447" i="5"/>
  <c r="M447" i="5"/>
  <c r="G447" i="5"/>
  <c r="O446" i="5"/>
  <c r="N446" i="5"/>
  <c r="P446" i="5" s="1"/>
  <c r="M446" i="5"/>
  <c r="G446" i="5"/>
  <c r="O445" i="5"/>
  <c r="N445" i="5"/>
  <c r="P445" i="5" s="1"/>
  <c r="M445" i="5"/>
  <c r="G445" i="5"/>
  <c r="O444" i="5"/>
  <c r="N444" i="5"/>
  <c r="P444" i="5" s="1"/>
  <c r="M444" i="5"/>
  <c r="G444" i="5"/>
  <c r="O443" i="5"/>
  <c r="N443" i="5"/>
  <c r="P443" i="5" s="1"/>
  <c r="M443" i="5"/>
  <c r="G443" i="5"/>
  <c r="G442" i="5"/>
  <c r="G441" i="5"/>
  <c r="G440" i="5"/>
  <c r="G439" i="5"/>
  <c r="G438" i="5"/>
  <c r="G437" i="5"/>
  <c r="G436" i="5"/>
  <c r="G435" i="5"/>
  <c r="G434" i="5"/>
  <c r="G433" i="5"/>
  <c r="G432" i="5"/>
  <c r="O430" i="5"/>
  <c r="N430" i="5"/>
  <c r="P430" i="5" s="1"/>
  <c r="M430" i="5"/>
  <c r="G430" i="5"/>
  <c r="O429" i="5"/>
  <c r="N429" i="5"/>
  <c r="M429" i="5"/>
  <c r="G429" i="5"/>
  <c r="G428" i="5"/>
  <c r="G427" i="5"/>
  <c r="G426" i="5"/>
  <c r="O425" i="5"/>
  <c r="N425" i="5"/>
  <c r="P425" i="5" s="1"/>
  <c r="M425" i="5"/>
  <c r="G425" i="5"/>
  <c r="G424" i="5"/>
  <c r="O423" i="5"/>
  <c r="N423" i="5"/>
  <c r="P423" i="5" s="1"/>
  <c r="M423" i="5"/>
  <c r="G423" i="5"/>
  <c r="G422" i="5"/>
  <c r="G421" i="5"/>
  <c r="O420" i="5"/>
  <c r="N420" i="5"/>
  <c r="P420" i="5" s="1"/>
  <c r="M420" i="5"/>
  <c r="G420" i="5"/>
  <c r="G419" i="5"/>
  <c r="G418" i="5"/>
  <c r="G417" i="5"/>
  <c r="G415" i="5"/>
  <c r="G414" i="5"/>
  <c r="G412" i="5"/>
  <c r="G411" i="5"/>
  <c r="O410" i="5"/>
  <c r="N410" i="5"/>
  <c r="P410" i="5" s="1"/>
  <c r="M410" i="5"/>
  <c r="G410" i="5"/>
  <c r="G409" i="5"/>
  <c r="G408" i="5"/>
  <c r="O407" i="5"/>
  <c r="N407" i="5"/>
  <c r="M407" i="5"/>
  <c r="G407" i="5"/>
  <c r="G404" i="5"/>
  <c r="G403" i="5"/>
  <c r="G402" i="5"/>
  <c r="G401" i="5"/>
  <c r="G399" i="5"/>
  <c r="G398" i="5"/>
  <c r="G397" i="5"/>
  <c r="G396" i="5"/>
  <c r="G395" i="5"/>
  <c r="G393" i="5"/>
  <c r="G392" i="5"/>
  <c r="G391" i="5"/>
  <c r="G390" i="5"/>
  <c r="G389" i="5"/>
  <c r="G388" i="5"/>
  <c r="G387" i="5"/>
  <c r="G386" i="5"/>
  <c r="G385" i="5"/>
  <c r="G384" i="5"/>
  <c r="G383" i="5"/>
  <c r="G382" i="5"/>
  <c r="G381" i="5"/>
  <c r="G380" i="5"/>
  <c r="G379" i="5"/>
  <c r="G378" i="5"/>
  <c r="G375" i="5"/>
  <c r="G374" i="5"/>
  <c r="G373" i="5"/>
  <c r="G372" i="5"/>
  <c r="G371" i="5"/>
  <c r="G370" i="5"/>
  <c r="G369" i="5"/>
  <c r="G368" i="5"/>
  <c r="G367" i="5"/>
  <c r="G366" i="5"/>
  <c r="G365" i="5"/>
  <c r="G364" i="5"/>
  <c r="G363" i="5"/>
  <c r="G362" i="5"/>
  <c r="G361" i="5"/>
  <c r="G359" i="5"/>
  <c r="G358" i="5"/>
  <c r="H357" i="5"/>
  <c r="G357" i="5"/>
  <c r="H356" i="5"/>
  <c r="G356" i="5"/>
  <c r="H355" i="5"/>
  <c r="G355" i="5"/>
  <c r="H354" i="5"/>
  <c r="G354" i="5"/>
  <c r="H353" i="5"/>
  <c r="G353" i="5"/>
  <c r="H352" i="5"/>
  <c r="G352" i="5"/>
  <c r="H351" i="5"/>
  <c r="G351" i="5"/>
  <c r="H350" i="5"/>
  <c r="G350" i="5"/>
  <c r="H349" i="5"/>
  <c r="G349" i="5"/>
  <c r="H348" i="5"/>
  <c r="G348" i="5"/>
  <c r="H347" i="5"/>
  <c r="G347" i="5"/>
  <c r="O346" i="5"/>
  <c r="N346" i="5"/>
  <c r="P346" i="5" s="1"/>
  <c r="M346" i="5"/>
  <c r="O345" i="5"/>
  <c r="N345" i="5"/>
  <c r="P345" i="5" s="1"/>
  <c r="M345" i="5"/>
  <c r="G344" i="5"/>
  <c r="O343" i="5"/>
  <c r="N343" i="5"/>
  <c r="M343" i="5"/>
  <c r="G343" i="5"/>
  <c r="O342" i="5"/>
  <c r="N342" i="5"/>
  <c r="M342" i="5"/>
  <c r="G342" i="5"/>
  <c r="G341" i="5"/>
  <c r="G340" i="5"/>
  <c r="G339" i="5"/>
  <c r="G338" i="5"/>
  <c r="O337" i="5"/>
  <c r="N337" i="5"/>
  <c r="M337" i="5"/>
  <c r="G337" i="5"/>
  <c r="G336" i="5"/>
  <c r="G335" i="5"/>
  <c r="G334" i="5"/>
  <c r="G333" i="5"/>
  <c r="G332" i="5"/>
  <c r="G331" i="5"/>
  <c r="G330" i="5"/>
  <c r="G329" i="5"/>
  <c r="G328" i="5"/>
  <c r="G327" i="5"/>
  <c r="G326" i="5"/>
  <c r="G325" i="5"/>
  <c r="G324" i="5"/>
  <c r="G323" i="5"/>
  <c r="G322" i="5"/>
  <c r="G320" i="5"/>
  <c r="G319" i="5"/>
  <c r="G318" i="5"/>
  <c r="G317" i="5"/>
  <c r="G316" i="5"/>
  <c r="G315" i="5"/>
  <c r="G314" i="5"/>
  <c r="G313" i="5"/>
  <c r="G311" i="5"/>
  <c r="G310" i="5"/>
  <c r="G309" i="5"/>
  <c r="G308" i="5"/>
  <c r="G307" i="5"/>
  <c r="G306" i="5"/>
  <c r="G305" i="5"/>
  <c r="G304" i="5"/>
  <c r="G303" i="5"/>
  <c r="G302" i="5"/>
  <c r="G301" i="5"/>
  <c r="G300" i="5"/>
  <c r="G299" i="5"/>
  <c r="G298" i="5"/>
  <c r="G297" i="5"/>
  <c r="G296" i="5"/>
  <c r="G295" i="5"/>
  <c r="G294" i="5"/>
  <c r="G293" i="5"/>
  <c r="G291" i="5"/>
  <c r="G290" i="5"/>
  <c r="G289" i="5"/>
  <c r="G288" i="5"/>
  <c r="G287" i="5"/>
  <c r="G286" i="5"/>
  <c r="G285" i="5"/>
  <c r="G284" i="5"/>
  <c r="G283" i="5"/>
  <c r="G282" i="5"/>
  <c r="G281" i="5"/>
  <c r="G280" i="5"/>
  <c r="G279" i="5"/>
  <c r="G278" i="5"/>
  <c r="G277" i="5"/>
  <c r="G276" i="5"/>
  <c r="G275" i="5"/>
  <c r="G274" i="5"/>
  <c r="G273" i="5"/>
  <c r="G272" i="5"/>
  <c r="G271" i="5"/>
  <c r="G270" i="5"/>
  <c r="G269" i="5"/>
  <c r="G268" i="5"/>
  <c r="G267" i="5"/>
  <c r="G266" i="5"/>
  <c r="G265" i="5"/>
  <c r="G264" i="5"/>
  <c r="G263" i="5"/>
  <c r="O262" i="5"/>
  <c r="N262" i="5"/>
  <c r="P262" i="5" s="1"/>
  <c r="M262" i="5"/>
  <c r="O261" i="5"/>
  <c r="N261" i="5"/>
  <c r="M261" i="5"/>
  <c r="O260" i="5"/>
  <c r="N260" i="5"/>
  <c r="P260" i="5" s="1"/>
  <c r="M260" i="5"/>
  <c r="G260" i="5"/>
  <c r="O259" i="5"/>
  <c r="N259" i="5"/>
  <c r="M259" i="5"/>
  <c r="O258" i="5"/>
  <c r="N258" i="5"/>
  <c r="P258" i="5" s="1"/>
  <c r="M258" i="5"/>
  <c r="G258" i="5"/>
  <c r="O257" i="5"/>
  <c r="N257" i="5"/>
  <c r="M257" i="5"/>
  <c r="G257" i="5"/>
  <c r="O256" i="5"/>
  <c r="N256" i="5"/>
  <c r="P256" i="5" s="1"/>
  <c r="M256" i="5"/>
  <c r="G256" i="5"/>
  <c r="O255" i="5"/>
  <c r="N255" i="5"/>
  <c r="P255" i="5" s="1"/>
  <c r="M255" i="5"/>
  <c r="G255" i="5"/>
  <c r="O254" i="5"/>
  <c r="N254" i="5"/>
  <c r="P254" i="5" s="1"/>
  <c r="M254" i="5"/>
  <c r="G254" i="5"/>
  <c r="O253" i="5"/>
  <c r="N253" i="5"/>
  <c r="P253" i="5" s="1"/>
  <c r="M253" i="5"/>
  <c r="G253" i="5"/>
  <c r="O252" i="5"/>
  <c r="N252" i="5"/>
  <c r="M252" i="5"/>
  <c r="O251" i="5"/>
  <c r="N251" i="5"/>
  <c r="P251" i="5" s="1"/>
  <c r="M251" i="5"/>
  <c r="G251" i="5"/>
  <c r="O250" i="5"/>
  <c r="N250" i="5"/>
  <c r="M250" i="5"/>
  <c r="G250" i="5"/>
  <c r="O249" i="5"/>
  <c r="N249" i="5"/>
  <c r="P249" i="5" s="1"/>
  <c r="M249" i="5"/>
  <c r="G249" i="5"/>
  <c r="O248" i="5"/>
  <c r="N248" i="5"/>
  <c r="P248" i="5" s="1"/>
  <c r="M248" i="5"/>
  <c r="G248" i="5"/>
  <c r="O247" i="5"/>
  <c r="N247" i="5"/>
  <c r="P247" i="5" s="1"/>
  <c r="M247" i="5"/>
  <c r="O246" i="5"/>
  <c r="N246" i="5"/>
  <c r="M246" i="5"/>
  <c r="G246" i="5"/>
  <c r="O245" i="5"/>
  <c r="N245" i="5"/>
  <c r="P245" i="5" s="1"/>
  <c r="M245" i="5"/>
  <c r="G245" i="5"/>
  <c r="G244" i="5"/>
  <c r="O243" i="5"/>
  <c r="N243" i="5"/>
  <c r="M243" i="5"/>
  <c r="G243" i="5"/>
  <c r="O242" i="5"/>
  <c r="N242" i="5"/>
  <c r="P242" i="5" s="1"/>
  <c r="M242" i="5"/>
  <c r="G242" i="5"/>
  <c r="O241" i="5"/>
  <c r="N241" i="5"/>
  <c r="P241" i="5" s="1"/>
  <c r="M241" i="5"/>
  <c r="O240" i="5"/>
  <c r="N240" i="5"/>
  <c r="P240" i="5" s="1"/>
  <c r="M240" i="5"/>
  <c r="G240" i="5"/>
  <c r="O238" i="5"/>
  <c r="N238" i="5"/>
  <c r="P238" i="5" s="1"/>
  <c r="M238" i="5"/>
  <c r="G238" i="5"/>
  <c r="O237" i="5"/>
  <c r="N237" i="5"/>
  <c r="P237" i="5" s="1"/>
  <c r="M237" i="5"/>
  <c r="G237" i="5"/>
  <c r="O235" i="5"/>
  <c r="N235" i="5"/>
  <c r="P235" i="5" s="1"/>
  <c r="M235" i="5"/>
  <c r="G235" i="5"/>
  <c r="G234" i="5"/>
  <c r="O233" i="5"/>
  <c r="N233" i="5"/>
  <c r="P233" i="5" s="1"/>
  <c r="M233" i="5"/>
  <c r="G233" i="5"/>
  <c r="O232" i="5"/>
  <c r="N232" i="5"/>
  <c r="P232" i="5" s="1"/>
  <c r="M232" i="5"/>
  <c r="O231" i="5"/>
  <c r="N231" i="5"/>
  <c r="M231" i="5"/>
  <c r="G230" i="5"/>
  <c r="G228" i="5"/>
  <c r="G227" i="5"/>
  <c r="O225" i="5"/>
  <c r="N225" i="5"/>
  <c r="P225" i="5" s="1"/>
  <c r="M225" i="5"/>
  <c r="G225" i="5"/>
  <c r="O224" i="5"/>
  <c r="N224" i="5"/>
  <c r="P224" i="5" s="1"/>
  <c r="M224" i="5"/>
  <c r="G222" i="5"/>
  <c r="O221" i="5"/>
  <c r="N221" i="5"/>
  <c r="P221" i="5" s="1"/>
  <c r="M221" i="5"/>
  <c r="G220" i="5"/>
  <c r="H219" i="5"/>
  <c r="G219" i="5"/>
  <c r="O218" i="5"/>
  <c r="N218" i="5"/>
  <c r="M218" i="5"/>
  <c r="G218" i="5"/>
  <c r="G217" i="5"/>
  <c r="G216" i="5"/>
  <c r="G215" i="5"/>
  <c r="H214" i="5"/>
  <c r="G214" i="5"/>
  <c r="G213" i="5"/>
  <c r="O212" i="5"/>
  <c r="N212" i="5"/>
  <c r="P212" i="5" s="1"/>
  <c r="M212" i="5"/>
  <c r="G211" i="5"/>
  <c r="G210" i="5"/>
  <c r="G209" i="5"/>
  <c r="G208" i="5"/>
  <c r="H207" i="5"/>
  <c r="G207" i="5"/>
  <c r="G206" i="5"/>
  <c r="O205" i="5"/>
  <c r="N205" i="5"/>
  <c r="M205" i="5"/>
  <c r="G204" i="5"/>
  <c r="G203" i="5"/>
  <c r="G202" i="5"/>
  <c r="G201" i="5"/>
  <c r="H200" i="5"/>
  <c r="G200" i="5"/>
  <c r="G199" i="5"/>
  <c r="O198" i="5"/>
  <c r="N198" i="5"/>
  <c r="M198" i="5"/>
  <c r="O197" i="5"/>
  <c r="N197" i="5"/>
  <c r="P197" i="5" s="1"/>
  <c r="M197" i="5"/>
  <c r="G197" i="5"/>
  <c r="O196" i="5"/>
  <c r="N196" i="5"/>
  <c r="P196" i="5" s="1"/>
  <c r="M196" i="5"/>
  <c r="G196" i="5"/>
  <c r="O195" i="5"/>
  <c r="N195" i="5"/>
  <c r="M195" i="5"/>
  <c r="G195" i="5"/>
  <c r="O194" i="5"/>
  <c r="N194" i="5"/>
  <c r="P194" i="5" s="1"/>
  <c r="M194" i="5"/>
  <c r="G194" i="5"/>
  <c r="O193" i="5"/>
  <c r="N193" i="5"/>
  <c r="M193" i="5"/>
  <c r="G193" i="5"/>
  <c r="O192" i="5"/>
  <c r="N192" i="5"/>
  <c r="M192" i="5"/>
  <c r="G192" i="5"/>
  <c r="O191" i="5"/>
  <c r="N191" i="5"/>
  <c r="P191" i="5" s="1"/>
  <c r="M191" i="5"/>
  <c r="G191" i="5"/>
  <c r="O190" i="5"/>
  <c r="N190" i="5"/>
  <c r="M190" i="5"/>
  <c r="G190" i="5"/>
  <c r="O189" i="5"/>
  <c r="N189" i="5"/>
  <c r="P189" i="5" s="1"/>
  <c r="M189" i="5"/>
  <c r="G189" i="5"/>
  <c r="O188" i="5"/>
  <c r="N188" i="5"/>
  <c r="M188" i="5"/>
  <c r="G188" i="5"/>
  <c r="O187" i="5"/>
  <c r="N187" i="5"/>
  <c r="P187" i="5" s="1"/>
  <c r="M187" i="5"/>
  <c r="G187" i="5"/>
  <c r="O186" i="5"/>
  <c r="N186" i="5"/>
  <c r="M186" i="5"/>
  <c r="G186" i="5"/>
  <c r="O185" i="5"/>
  <c r="N185" i="5"/>
  <c r="P185" i="5" s="1"/>
  <c r="M185" i="5"/>
  <c r="G185" i="5"/>
  <c r="O184" i="5"/>
  <c r="N184" i="5"/>
  <c r="P184" i="5" s="1"/>
  <c r="M184" i="5"/>
  <c r="G183" i="5"/>
  <c r="G182" i="5"/>
  <c r="G181" i="5"/>
  <c r="G180" i="5"/>
  <c r="O179" i="5"/>
  <c r="N179" i="5"/>
  <c r="P179" i="5" s="1"/>
  <c r="M179" i="5"/>
  <c r="G179" i="5"/>
  <c r="G178" i="5"/>
  <c r="O177" i="5"/>
  <c r="N177" i="5"/>
  <c r="P177" i="5" s="1"/>
  <c r="M177" i="5"/>
  <c r="O176" i="5"/>
  <c r="N176" i="5"/>
  <c r="P176" i="5" s="1"/>
  <c r="M176" i="5"/>
  <c r="G176" i="5"/>
  <c r="G175" i="5"/>
  <c r="G174" i="5"/>
  <c r="G173" i="5"/>
  <c r="O172" i="5"/>
  <c r="N172" i="5"/>
  <c r="P172" i="5" s="1"/>
  <c r="M172" i="5"/>
  <c r="G172" i="5"/>
  <c r="G171" i="5"/>
  <c r="O170" i="5"/>
  <c r="N170" i="5"/>
  <c r="P170" i="5" s="1"/>
  <c r="M170" i="5"/>
  <c r="G169" i="5"/>
  <c r="G168" i="5"/>
  <c r="G167" i="5"/>
  <c r="G166" i="5"/>
  <c r="G165" i="5"/>
  <c r="G164" i="5"/>
  <c r="G163" i="5"/>
  <c r="O162" i="5"/>
  <c r="N162" i="5"/>
  <c r="M162" i="5"/>
  <c r="G161" i="5"/>
  <c r="G160" i="5"/>
  <c r="G159" i="5"/>
  <c r="G158" i="5"/>
  <c r="O157" i="5"/>
  <c r="N157" i="5"/>
  <c r="M157" i="5"/>
  <c r="O156" i="5"/>
  <c r="N156" i="5"/>
  <c r="P156" i="5" s="1"/>
  <c r="M156" i="5"/>
  <c r="G155" i="5"/>
  <c r="O154" i="5"/>
  <c r="N154" i="5"/>
  <c r="P154" i="5" s="1"/>
  <c r="M154" i="5"/>
  <c r="G153" i="5"/>
  <c r="G152" i="5"/>
  <c r="G151" i="5"/>
  <c r="G150" i="5"/>
  <c r="O149" i="5"/>
  <c r="N149" i="5"/>
  <c r="P149" i="5" s="1"/>
  <c r="M149" i="5"/>
  <c r="G148" i="5"/>
  <c r="O147" i="5"/>
  <c r="N147" i="5"/>
  <c r="M147" i="5"/>
  <c r="G147" i="5"/>
  <c r="G146" i="5"/>
  <c r="G145" i="5"/>
  <c r="G144" i="5"/>
  <c r="G143" i="5"/>
  <c r="O142" i="5"/>
  <c r="N142" i="5"/>
  <c r="P142" i="5" s="1"/>
  <c r="M142" i="5"/>
  <c r="G142" i="5"/>
  <c r="G141" i="5"/>
  <c r="G140" i="5"/>
  <c r="O139" i="5"/>
  <c r="N139" i="5"/>
  <c r="M139" i="5"/>
  <c r="G139" i="5"/>
  <c r="G138" i="5"/>
  <c r="O137" i="5"/>
  <c r="N137" i="5"/>
  <c r="P137" i="5" s="1"/>
  <c r="M137" i="5"/>
  <c r="G136" i="5"/>
  <c r="G135" i="5"/>
  <c r="O134" i="5"/>
  <c r="N134" i="5"/>
  <c r="M134" i="5"/>
  <c r="G133" i="5"/>
  <c r="G132" i="5"/>
  <c r="G131" i="5"/>
  <c r="O130" i="5"/>
  <c r="N130" i="5"/>
  <c r="P130" i="5" s="1"/>
  <c r="M130" i="5"/>
  <c r="G129" i="5"/>
  <c r="G128" i="5"/>
  <c r="G127" i="5"/>
  <c r="O126" i="5"/>
  <c r="N126" i="5"/>
  <c r="P126" i="5" s="1"/>
  <c r="M126" i="5"/>
  <c r="G125" i="5"/>
  <c r="G124" i="5"/>
  <c r="G123" i="5"/>
  <c r="G122" i="5"/>
  <c r="G121" i="5"/>
  <c r="O120" i="5"/>
  <c r="N120" i="5"/>
  <c r="P120" i="5" s="1"/>
  <c r="M120" i="5"/>
  <c r="G119" i="5"/>
  <c r="G118" i="5"/>
  <c r="O117" i="5"/>
  <c r="N117" i="5"/>
  <c r="P117" i="5" s="1"/>
  <c r="M117" i="5"/>
  <c r="G116" i="5"/>
  <c r="G115" i="5"/>
  <c r="G114" i="5"/>
  <c r="G113" i="5"/>
  <c r="O112" i="5"/>
  <c r="N112" i="5"/>
  <c r="P112" i="5" s="1"/>
  <c r="M112" i="5"/>
  <c r="G111" i="5"/>
  <c r="G110" i="5"/>
  <c r="O109" i="5"/>
  <c r="N109" i="5"/>
  <c r="P109" i="5" s="1"/>
  <c r="M109" i="5"/>
  <c r="G109" i="5"/>
  <c r="O108" i="5"/>
  <c r="N108" i="5"/>
  <c r="M108" i="5"/>
  <c r="G107" i="5"/>
  <c r="G106" i="5"/>
  <c r="G105" i="5"/>
  <c r="G104" i="5"/>
  <c r="G103" i="5"/>
  <c r="G102" i="5"/>
  <c r="O101" i="5"/>
  <c r="N101" i="5"/>
  <c r="M101" i="5"/>
  <c r="G100" i="5"/>
  <c r="G99" i="5"/>
  <c r="G98" i="5"/>
  <c r="G97" i="5"/>
  <c r="G96" i="5"/>
  <c r="G95" i="5"/>
  <c r="O94" i="5"/>
  <c r="N94" i="5"/>
  <c r="P94" i="5" s="1"/>
  <c r="M94" i="5"/>
  <c r="G93" i="5"/>
  <c r="G92" i="5"/>
  <c r="G91" i="5"/>
  <c r="G90" i="5"/>
  <c r="G89" i="5"/>
  <c r="G88" i="5"/>
  <c r="O87" i="5"/>
  <c r="N87" i="5"/>
  <c r="P87" i="5" s="1"/>
  <c r="M87" i="5"/>
  <c r="G86" i="5"/>
  <c r="G85" i="5"/>
  <c r="G84" i="5"/>
  <c r="G83" i="5"/>
  <c r="G82" i="5"/>
  <c r="G81" i="5"/>
  <c r="O80" i="5"/>
  <c r="N80" i="5"/>
  <c r="P80" i="5" s="1"/>
  <c r="M80" i="5"/>
  <c r="O79" i="5"/>
  <c r="N79" i="5"/>
  <c r="M79" i="5"/>
  <c r="G79" i="5"/>
  <c r="O78" i="5"/>
  <c r="N78" i="5"/>
  <c r="P78" i="5" s="1"/>
  <c r="M78" i="5"/>
  <c r="G78" i="5"/>
  <c r="G77" i="5"/>
  <c r="G76" i="5"/>
  <c r="G75" i="5"/>
  <c r="G74" i="5"/>
  <c r="G73" i="5"/>
  <c r="G72" i="5"/>
  <c r="G71" i="5"/>
  <c r="G70" i="5"/>
  <c r="O69" i="5"/>
  <c r="N69" i="5"/>
  <c r="P69" i="5" s="1"/>
  <c r="M69" i="5"/>
  <c r="O68" i="5"/>
  <c r="N68" i="5"/>
  <c r="M68" i="5"/>
  <c r="O67" i="5"/>
  <c r="N67" i="5"/>
  <c r="M67" i="5"/>
  <c r="G67" i="5"/>
  <c r="O66" i="5"/>
  <c r="N66" i="5"/>
  <c r="M66" i="5"/>
  <c r="G66" i="5"/>
  <c r="G65" i="5"/>
  <c r="G64" i="5"/>
  <c r="O63" i="5"/>
  <c r="N63" i="5"/>
  <c r="P63" i="5" s="1"/>
  <c r="M63" i="5"/>
  <c r="G62" i="5"/>
  <c r="G61" i="5"/>
  <c r="O60" i="5"/>
  <c r="N60" i="5"/>
  <c r="P60" i="5" s="1"/>
  <c r="M60" i="5"/>
  <c r="G59" i="5"/>
  <c r="G58" i="5"/>
  <c r="O57" i="5"/>
  <c r="N57" i="5"/>
  <c r="P57" i="5" s="1"/>
  <c r="M57" i="5"/>
  <c r="G56" i="5"/>
  <c r="O55" i="5"/>
  <c r="N55" i="5"/>
  <c r="P55" i="5" s="1"/>
  <c r="M55" i="5"/>
  <c r="G55" i="5"/>
  <c r="G54" i="5"/>
  <c r="O53" i="5"/>
  <c r="N53" i="5"/>
  <c r="P53" i="5" s="1"/>
  <c r="M53" i="5"/>
  <c r="G52" i="5"/>
  <c r="H51" i="5"/>
  <c r="G51" i="5"/>
  <c r="H50" i="5"/>
  <c r="G50" i="5"/>
  <c r="O49" i="5"/>
  <c r="N49" i="5"/>
  <c r="P49" i="5" s="1"/>
  <c r="M49" i="5"/>
  <c r="G47" i="5"/>
  <c r="O46" i="5"/>
  <c r="N46" i="5"/>
  <c r="P46" i="5" s="1"/>
  <c r="M46" i="5"/>
  <c r="H45" i="5"/>
  <c r="G45" i="5"/>
  <c r="G44" i="5"/>
  <c r="G43" i="5"/>
  <c r="G42" i="5"/>
  <c r="G41" i="5"/>
  <c r="O40" i="5"/>
  <c r="N40" i="5"/>
  <c r="P40" i="5" s="1"/>
  <c r="M40" i="5"/>
  <c r="G39" i="5"/>
  <c r="G38" i="5"/>
  <c r="O37" i="5"/>
  <c r="N37" i="5"/>
  <c r="P37" i="5" s="1"/>
  <c r="M37" i="5"/>
  <c r="G37" i="5"/>
  <c r="O36" i="5"/>
  <c r="N36" i="5"/>
  <c r="P36" i="5" s="1"/>
  <c r="M36" i="5"/>
  <c r="G35" i="5"/>
  <c r="G34" i="5"/>
  <c r="O33" i="5"/>
  <c r="N33" i="5"/>
  <c r="P33" i="5" s="1"/>
  <c r="M33" i="5"/>
  <c r="O32" i="5"/>
  <c r="N32" i="5"/>
  <c r="P32" i="5" s="1"/>
  <c r="M32" i="5"/>
  <c r="F31" i="5"/>
  <c r="G30" i="5"/>
  <c r="O29" i="5"/>
  <c r="N29" i="5"/>
  <c r="P29" i="5" s="1"/>
  <c r="M29" i="5"/>
  <c r="G28" i="5"/>
  <c r="O27" i="5"/>
  <c r="N27" i="5"/>
  <c r="P27" i="5" s="1"/>
  <c r="M27" i="5"/>
  <c r="G26" i="5"/>
  <c r="G25" i="5"/>
  <c r="G24" i="5"/>
  <c r="G23" i="5"/>
  <c r="O22" i="5"/>
  <c r="N22" i="5"/>
  <c r="P22" i="5" s="1"/>
  <c r="M22" i="5"/>
  <c r="G21" i="5"/>
  <c r="G20" i="5"/>
  <c r="G19" i="5"/>
  <c r="G18" i="5"/>
  <c r="O17" i="5"/>
  <c r="N17" i="5"/>
  <c r="P17" i="5" s="1"/>
  <c r="M17" i="5"/>
  <c r="O16" i="5"/>
  <c r="N16" i="5"/>
  <c r="P16" i="5" s="1"/>
  <c r="M16" i="5"/>
  <c r="O15" i="5"/>
  <c r="N15" i="5"/>
  <c r="P15" i="5" s="1"/>
  <c r="M15" i="5"/>
  <c r="G15" i="5"/>
  <c r="O14" i="5"/>
  <c r="N14" i="5"/>
  <c r="P14" i="5" s="1"/>
  <c r="M14" i="5"/>
  <c r="G14" i="5"/>
  <c r="G13" i="5"/>
  <c r="O12" i="5"/>
  <c r="N12" i="5"/>
  <c r="P12" i="5" s="1"/>
  <c r="M12" i="5"/>
  <c r="G12" i="5"/>
  <c r="O11" i="5"/>
  <c r="N11" i="5"/>
  <c r="P11" i="5" s="1"/>
  <c r="M11" i="5"/>
  <c r="G11" i="5"/>
  <c r="G10" i="5"/>
  <c r="G9" i="5"/>
  <c r="O8" i="5"/>
  <c r="N8" i="5"/>
  <c r="P8" i="5" s="1"/>
  <c r="M8" i="5"/>
  <c r="G8" i="5"/>
  <c r="O7" i="5"/>
  <c r="N7" i="5"/>
  <c r="P7" i="5" s="1"/>
  <c r="M7" i="5"/>
  <c r="G7" i="5"/>
  <c r="G6" i="5"/>
  <c r="N40" i="4"/>
  <c r="T40" i="4" s="1"/>
  <c r="T43" i="4" s="1"/>
  <c r="T27" i="4"/>
  <c r="T26" i="4"/>
  <c r="E627" i="17"/>
  <c r="D76" i="17"/>
  <c r="D651" i="17"/>
  <c r="E664" i="17"/>
  <c r="E613" i="17"/>
  <c r="D655" i="17"/>
  <c r="E576" i="17"/>
  <c r="E403" i="17"/>
  <c r="D504" i="17"/>
  <c r="E412" i="17"/>
  <c r="E531" i="17"/>
  <c r="E238" i="17"/>
  <c r="E269" i="17"/>
  <c r="D229" i="17"/>
  <c r="E261" i="17"/>
  <c r="D332" i="17"/>
  <c r="D348" i="17"/>
  <c r="D92" i="17"/>
  <c r="D73" i="17"/>
  <c r="E447" i="17"/>
  <c r="E259" i="17"/>
  <c r="D250" i="17"/>
  <c r="H64" i="13" a="1"/>
  <c r="E680" i="17"/>
  <c r="D375" i="17"/>
  <c r="E232" i="17"/>
  <c r="M242" i="14" a="1"/>
  <c r="E36" i="17"/>
  <c r="E7" i="17"/>
  <c r="E12" i="17"/>
  <c r="D571" i="17"/>
  <c r="D600" i="17"/>
  <c r="D343" i="17"/>
  <c r="E609" i="17"/>
  <c r="D360" i="17"/>
  <c r="E483" i="17"/>
  <c r="E4" i="17"/>
  <c r="E473" i="17"/>
  <c r="E688" i="17"/>
  <c r="D551" i="17"/>
  <c r="E426" i="17"/>
  <c r="D569" i="17"/>
  <c r="E460" i="17"/>
  <c r="D7" i="17"/>
  <c r="H503" i="13" a="1"/>
  <c r="M712" i="14" a="1"/>
  <c r="H487" i="13" a="1"/>
  <c r="D469" i="17"/>
  <c r="E491" i="17"/>
  <c r="M382" i="14" a="1"/>
  <c r="M684" i="14" a="1"/>
  <c r="M629" i="14" a="1"/>
  <c r="H483" i="13" a="1"/>
  <c r="E318" i="17"/>
  <c r="D194" i="17"/>
  <c r="D566" i="17"/>
  <c r="D295" i="17"/>
  <c r="D320" i="17"/>
  <c r="E260" i="17"/>
  <c r="M669" i="14" a="1"/>
  <c r="D187" i="17"/>
  <c r="D405" i="17"/>
  <c r="D644" i="17"/>
  <c r="E472" i="17"/>
  <c r="D300" i="17"/>
  <c r="D489" i="17"/>
  <c r="E311" i="17"/>
  <c r="M694" i="14" a="1"/>
  <c r="D157" i="17"/>
  <c r="M679" i="14" a="1"/>
  <c r="D641" i="17"/>
  <c r="D535" i="17"/>
  <c r="D650" i="17"/>
  <c r="E551" i="17"/>
  <c r="D667" i="17"/>
  <c r="D426" i="17"/>
  <c r="E658" i="17"/>
  <c r="E381" i="17"/>
  <c r="E494" i="17"/>
  <c r="D505" i="17"/>
  <c r="E684" i="17"/>
  <c r="E648" i="17"/>
  <c r="D364" i="17"/>
  <c r="D378" i="17"/>
  <c r="E86" i="17"/>
  <c r="H386" i="13" a="1"/>
  <c r="E454" i="17"/>
  <c r="D130" i="17"/>
  <c r="E522" i="17"/>
  <c r="D525" i="17"/>
  <c r="D452" i="17"/>
  <c r="E404" i="17"/>
  <c r="M59" i="14" a="1"/>
  <c r="E717" i="17"/>
  <c r="D135" i="17"/>
  <c r="E677" i="17"/>
  <c r="E579" i="17"/>
  <c r="D685" i="17"/>
  <c r="E599" i="17"/>
  <c r="D710" i="17"/>
  <c r="M702" i="14" a="1"/>
  <c r="E692" i="17"/>
  <c r="E710" i="17"/>
  <c r="D621" i="17"/>
  <c r="D719" i="17"/>
  <c r="E663" i="17"/>
  <c r="E586" i="17"/>
  <c r="D133" i="17"/>
  <c r="D578" i="17"/>
  <c r="E122" i="17"/>
  <c r="E508" i="17"/>
  <c r="D520" i="17"/>
  <c r="D491" i="17"/>
  <c r="E475" i="17"/>
  <c r="D517" i="17"/>
  <c r="E119" i="17"/>
  <c r="D475" i="17"/>
  <c r="M486" i="14" a="1"/>
  <c r="D473" i="17"/>
  <c r="D575" i="17"/>
  <c r="D447" i="17"/>
  <c r="E629" i="17"/>
  <c r="E5" i="17"/>
  <c r="E44" i="17"/>
  <c r="H198" i="13" a="1"/>
  <c r="E15" i="17"/>
  <c r="M670" i="14" a="1"/>
  <c r="E532" i="17"/>
  <c r="D533" i="17"/>
  <c r="D541" i="17"/>
  <c r="D550" i="17"/>
  <c r="D661" i="17"/>
  <c r="E181" i="17"/>
  <c r="E652" i="17"/>
  <c r="E169" i="17"/>
  <c r="E561" i="17"/>
  <c r="D585" i="17"/>
  <c r="D568" i="17"/>
  <c r="D624" i="17"/>
  <c r="E227" i="17"/>
  <c r="M192" i="14" a="1"/>
  <c r="E210" i="17"/>
  <c r="M181" i="14" a="1"/>
  <c r="E228" i="17"/>
  <c r="D238" i="17"/>
  <c r="E73" i="17"/>
  <c r="D146" i="17"/>
  <c r="E248" i="17"/>
  <c r="M173" i="14" a="1"/>
  <c r="M423" i="14" a="1"/>
  <c r="H434" i="13" a="1"/>
  <c r="E656" i="17"/>
  <c r="D620" i="17"/>
  <c r="D682" i="17"/>
  <c r="E600" i="17"/>
  <c r="D144" i="17"/>
  <c r="D222" i="17"/>
  <c r="E359" i="17"/>
  <c r="D155" i="17"/>
  <c r="D436" i="17"/>
  <c r="D629" i="17"/>
  <c r="E444" i="17"/>
  <c r="D665" i="17"/>
  <c r="E314" i="17"/>
  <c r="D303" i="17"/>
  <c r="E302" i="17"/>
  <c r="E295" i="17"/>
  <c r="E395" i="17"/>
  <c r="E258" i="17"/>
  <c r="D414" i="17"/>
  <c r="D429" i="17"/>
  <c r="D173" i="17"/>
  <c r="D419" i="17"/>
  <c r="E155" i="17"/>
  <c r="D676" i="17"/>
  <c r="E685" i="17"/>
  <c r="D523" i="17"/>
  <c r="E515" i="17"/>
  <c r="D382" i="17"/>
  <c r="D154" i="17"/>
  <c r="E296" i="17"/>
  <c r="M298" i="14" a="1"/>
  <c r="E634" i="17"/>
  <c r="E603" i="17"/>
  <c r="E329" i="17"/>
  <c r="E651" i="17"/>
  <c r="E376" i="17"/>
  <c r="D244" i="17"/>
  <c r="M71" i="14" a="1"/>
  <c r="D385" i="17"/>
  <c r="D283" i="17"/>
  <c r="D613" i="17"/>
  <c r="E640" i="17"/>
  <c r="E633" i="17"/>
  <c r="E709" i="17"/>
  <c r="D66" i="17"/>
  <c r="M21" i="14" a="1"/>
  <c r="D55" i="17"/>
  <c r="E375" i="17"/>
  <c r="E202" i="17"/>
  <c r="D383" i="17"/>
  <c r="D212" i="17"/>
  <c r="D586" i="17"/>
  <c r="E144" i="17"/>
  <c r="E569" i="17"/>
  <c r="D129" i="17"/>
  <c r="D493" i="17"/>
  <c r="E503" i="17"/>
  <c r="M627" i="14" a="1"/>
  <c r="E691" i="17"/>
  <c r="D201" i="17"/>
  <c r="E126" i="17"/>
  <c r="E676" i="17"/>
  <c r="M178" i="14" a="1"/>
  <c r="E451" i="17"/>
  <c r="E574" i="17"/>
  <c r="E557" i="17"/>
  <c r="E214" i="17"/>
  <c r="E231" i="17"/>
  <c r="D183" i="17"/>
  <c r="M457" i="14" a="1"/>
  <c r="M710" i="14" a="1"/>
  <c r="H531" i="13" a="1"/>
  <c r="D413" i="17"/>
  <c r="D237" i="17"/>
  <c r="E422" i="17"/>
  <c r="D248" i="17"/>
  <c r="D433" i="17"/>
  <c r="D537" i="17"/>
  <c r="D409" i="17"/>
  <c r="E565" i="17"/>
  <c r="D45" i="17"/>
  <c r="E578" i="17"/>
  <c r="D58" i="17"/>
  <c r="D322" i="17"/>
  <c r="E493" i="17"/>
  <c r="E715" i="17"/>
  <c r="E469" i="17"/>
  <c r="D503" i="17"/>
  <c r="D516" i="17"/>
  <c r="E541" i="17"/>
  <c r="D720" i="17"/>
  <c r="E308" i="17"/>
  <c r="D466" i="17"/>
  <c r="D191" i="17"/>
  <c r="H326" i="13" a="1"/>
  <c r="E470" i="17"/>
  <c r="E464" i="17"/>
  <c r="D377" i="17"/>
  <c r="M691" i="14" a="1"/>
  <c r="D287" i="17"/>
  <c r="D457" i="17"/>
  <c r="D279" i="17"/>
  <c r="M272" i="14" a="1"/>
  <c r="D633" i="17"/>
  <c r="D87" i="17"/>
  <c r="E655" i="17"/>
  <c r="D97" i="17"/>
  <c r="D478" i="17"/>
  <c r="E617" i="17"/>
  <c r="E458" i="17"/>
  <c r="D587" i="17"/>
  <c r="E401" i="17"/>
  <c r="E476" i="17"/>
  <c r="D411" i="17"/>
  <c r="D404" i="17"/>
  <c r="E523" i="17"/>
  <c r="E393" i="17"/>
  <c r="D483" i="17"/>
  <c r="E699" i="17"/>
  <c r="D706" i="17"/>
  <c r="D692" i="17"/>
  <c r="D658" i="17"/>
  <c r="D557" i="17"/>
  <c r="E477" i="17"/>
  <c r="D83" i="17"/>
  <c r="E22" i="17"/>
  <c r="E716" i="17"/>
  <c r="D707" i="17"/>
  <c r="E284" i="17"/>
  <c r="D152" i="17"/>
  <c r="M641" i="14" a="1"/>
  <c r="D488" i="17"/>
  <c r="M397" i="14" a="1"/>
  <c r="D450" i="17"/>
  <c r="D536" i="17"/>
  <c r="D598" i="17"/>
  <c r="D316" i="17"/>
  <c r="E607" i="17"/>
  <c r="E334" i="17"/>
  <c r="E300" i="17"/>
  <c r="M260" i="14" a="1"/>
  <c r="D293" i="17"/>
  <c r="D556" i="17"/>
  <c r="D477" i="17"/>
  <c r="E572" i="17"/>
  <c r="D513" i="17"/>
  <c r="D427" i="17"/>
  <c r="E303" i="17"/>
  <c r="E417" i="17"/>
  <c r="D294" i="17"/>
  <c r="D672" i="17"/>
  <c r="E682" i="17"/>
  <c r="E468" i="17"/>
  <c r="D449" i="17"/>
  <c r="E706" i="17"/>
  <c r="D292" i="17"/>
  <c r="D93" i="17"/>
  <c r="D9" i="17"/>
  <c r="E632" i="17"/>
  <c r="E385" i="17"/>
  <c r="D690" i="17"/>
  <c r="E219" i="17"/>
  <c r="E461" i="17"/>
  <c r="E138" i="17"/>
  <c r="H255" i="13" a="1"/>
  <c r="E312" i="17"/>
  <c r="M212" i="14" a="1"/>
  <c r="D468" i="17"/>
  <c r="E290" i="17"/>
  <c r="E484" i="17"/>
  <c r="D496" i="17"/>
  <c r="E257" i="17"/>
  <c r="E489" i="17"/>
  <c r="D234" i="17"/>
  <c r="E639" i="17"/>
  <c r="D723" i="17"/>
  <c r="D647" i="17"/>
  <c r="E528" i="17"/>
  <c r="D563" i="17"/>
  <c r="M656" i="14" a="1"/>
  <c r="E545" i="17"/>
  <c r="M640" i="14" a="1"/>
  <c r="E342" i="17"/>
  <c r="D365" i="17"/>
  <c r="D270" i="17"/>
  <c r="D262" i="17"/>
  <c r="D522" i="17"/>
  <c r="M638" i="14" a="1"/>
  <c r="M153" i="14" a="1"/>
  <c r="H324" i="13" a="1"/>
  <c r="E530" i="17"/>
  <c r="E512" i="17"/>
  <c r="D539" i="17"/>
  <c r="E527" i="17"/>
  <c r="E449" i="17"/>
  <c r="M530" i="14" a="1"/>
  <c r="E429" i="17"/>
  <c r="E563" i="17"/>
  <c r="E637" i="17"/>
  <c r="E571" i="17"/>
  <c r="D681" i="17"/>
  <c r="D402" i="17"/>
  <c r="E587" i="17"/>
  <c r="E391" i="17"/>
  <c r="D554" i="17"/>
  <c r="D338" i="17"/>
  <c r="E350" i="17"/>
  <c r="D390" i="17"/>
  <c r="D374" i="17"/>
  <c r="E194" i="17"/>
  <c r="D545" i="17"/>
  <c r="D266" i="17"/>
  <c r="M259" i="14" a="1"/>
  <c r="E713" i="17"/>
  <c r="D275" i="17"/>
  <c r="D160" i="17"/>
  <c r="E213" i="17"/>
  <c r="M37" i="14" a="1"/>
  <c r="D344" i="17"/>
  <c r="M385" i="14" a="1"/>
  <c r="D200" i="17"/>
  <c r="M505" i="14" a="1"/>
  <c r="D434" i="17"/>
  <c r="D591" i="17"/>
  <c r="E441" i="17"/>
  <c r="E486" i="17"/>
  <c r="D351" i="17"/>
  <c r="D476" i="17"/>
  <c r="D313" i="17"/>
  <c r="D401" i="17"/>
  <c r="E268" i="17"/>
  <c r="D417" i="17"/>
  <c r="E276" i="17"/>
  <c r="E598" i="17"/>
  <c r="E113" i="17"/>
  <c r="D570" i="17"/>
  <c r="E101" i="17"/>
  <c r="E496" i="17"/>
  <c r="E516" i="17"/>
  <c r="E91" i="17"/>
  <c r="E82" i="17"/>
  <c r="E352" i="17"/>
  <c r="E99" i="17"/>
  <c r="M635" i="14" a="1"/>
  <c r="M253" i="14" a="1"/>
  <c r="D418" i="17"/>
  <c r="D573" i="17"/>
  <c r="D232" i="17"/>
  <c r="E644" i="17"/>
  <c r="E333" i="17"/>
  <c r="M39" i="14" a="1"/>
  <c r="D514" i="17"/>
  <c r="E646" i="17"/>
  <c r="E616" i="17"/>
  <c r="E367" i="17"/>
  <c r="D639" i="17"/>
  <c r="E386" i="17"/>
  <c r="D494" i="17"/>
  <c r="E349" i="17"/>
  <c r="E487" i="17"/>
  <c r="E336" i="17"/>
  <c r="E373" i="17"/>
  <c r="D193" i="17"/>
  <c r="D381" i="17"/>
  <c r="E668" i="17"/>
  <c r="E344" i="17"/>
  <c r="E660" i="17"/>
  <c r="E320" i="17"/>
  <c r="E701" i="17"/>
  <c r="E309" i="17"/>
  <c r="E328" i="17"/>
  <c r="H439" i="13" a="1"/>
  <c r="M289" i="14" a="1"/>
  <c r="M148" i="14" a="1"/>
  <c r="D526" i="17"/>
  <c r="E397" i="17"/>
  <c r="D177" i="17"/>
  <c r="D711" i="17"/>
  <c r="D437" i="17"/>
  <c r="E723" i="17"/>
  <c r="D94" i="17"/>
  <c r="M287" i="14" a="1"/>
  <c r="M450" i="14" a="1"/>
  <c r="D251" i="17"/>
  <c r="E322" i="17"/>
  <c r="E416" i="17"/>
  <c r="E251" i="17"/>
  <c r="E424" i="17"/>
  <c r="D261" i="17"/>
  <c r="D321" i="17"/>
  <c r="D189" i="17"/>
  <c r="E718" i="17"/>
  <c r="E177" i="17"/>
  <c r="D562" i="17"/>
  <c r="D32" i="17"/>
  <c r="E575" i="17"/>
  <c r="D588" i="17"/>
  <c r="E687" i="17"/>
  <c r="D580" i="17"/>
  <c r="E647" i="17"/>
  <c r="E550" i="17"/>
  <c r="M690" i="14" a="1"/>
  <c r="E524" i="17"/>
  <c r="E517" i="17"/>
  <c r="M9" i="14" a="1"/>
  <c r="E641" i="17"/>
  <c r="E700" i="17"/>
  <c r="E343" i="17"/>
  <c r="D693" i="17"/>
  <c r="E564" i="17"/>
  <c r="D595" i="17"/>
  <c r="D430" i="17"/>
  <c r="E611" i="17"/>
  <c r="M8" i="14" a="1"/>
  <c r="H317" i="13" a="1"/>
  <c r="D357" i="17"/>
  <c r="E165" i="17"/>
  <c r="E287" i="17"/>
  <c r="D86" i="17"/>
  <c r="D679" i="17"/>
  <c r="E323" i="17"/>
  <c r="E708" i="17"/>
  <c r="D702" i="17"/>
  <c r="M715" i="14" a="1"/>
  <c r="D119" i="17"/>
  <c r="M632" i="14" a="1"/>
  <c r="D333" i="17"/>
  <c r="D627" i="17"/>
  <c r="E704" i="17"/>
  <c r="E291" i="17"/>
  <c r="H451" i="13" a="1"/>
  <c r="E18" i="17"/>
  <c r="M392" i="14" a="1"/>
  <c r="H227" i="13" a="1"/>
  <c r="H490" i="13" a="1"/>
  <c r="D576" i="17"/>
  <c r="E606" i="17"/>
  <c r="E50" i="17"/>
  <c r="M114" i="14" a="1"/>
  <c r="D680" i="17"/>
  <c r="M555" i="14" a="1"/>
  <c r="M557" i="14" a="1"/>
  <c r="E605" i="17"/>
  <c r="E540" i="17"/>
  <c r="D319" i="17"/>
  <c r="E681" i="17"/>
  <c r="D198" i="17"/>
  <c r="H479" i="13" a="1"/>
  <c r="M419" i="14" a="1"/>
  <c r="H528" i="13" a="1"/>
  <c r="E722" i="17"/>
  <c r="M50" i="14" a="1"/>
  <c r="M433" i="14" a="1"/>
  <c r="E624" i="17"/>
  <c r="E244" i="17"/>
  <c r="D39" i="17"/>
  <c r="M319" i="14" a="1"/>
  <c r="H164" i="13" a="1"/>
  <c r="D90" i="17"/>
  <c r="E536" i="17"/>
  <c r="M536" i="14" a="1"/>
  <c r="E266" i="17"/>
  <c r="D100" i="17"/>
  <c r="H205" i="13" a="1"/>
  <c r="M535" i="14" a="1"/>
  <c r="H251" i="13" a="1"/>
  <c r="M588" i="14" a="1"/>
  <c r="D531" i="17"/>
  <c r="E176" i="17"/>
  <c r="E595" i="17"/>
  <c r="D547" i="17"/>
  <c r="M572" i="14" a="1"/>
  <c r="E108" i="17"/>
  <c r="E186" i="17"/>
  <c r="D515" i="17"/>
  <c r="D258" i="17"/>
  <c r="M245" i="14" a="1"/>
  <c r="E72" i="17"/>
  <c r="M369" i="14" a="1"/>
  <c r="M183" i="14" a="1"/>
  <c r="H277" i="13" a="1"/>
  <c r="E65" i="17"/>
  <c r="E327" i="17"/>
  <c r="E173" i="17"/>
  <c r="H408" i="13" a="1"/>
  <c r="E49" i="17"/>
  <c r="M80" i="14" a="1"/>
  <c r="M230" i="14" a="1"/>
  <c r="H376" i="13" a="1"/>
  <c r="M77" i="14" a="1"/>
  <c r="M380" i="14" a="1"/>
  <c r="E304" i="17"/>
  <c r="H114" i="13" a="1"/>
  <c r="D110" i="17"/>
  <c r="M247" i="14" a="1"/>
  <c r="H400" i="13" a="1"/>
  <c r="M584" i="14" a="1"/>
  <c r="M51" i="14" a="1"/>
  <c r="H312" i="13" a="1"/>
  <c r="E413" i="17"/>
  <c r="D596" i="17"/>
  <c r="E274" i="17"/>
  <c r="E324" i="17"/>
  <c r="E222" i="17"/>
  <c r="H492" i="13" a="1"/>
  <c r="D328" i="17"/>
  <c r="E90" i="17"/>
  <c r="D15" i="17"/>
  <c r="M207" i="14" a="1"/>
  <c r="E13" i="17"/>
  <c r="M345" i="14" a="1"/>
  <c r="H323" i="13" a="1"/>
  <c r="M188" i="14" a="1"/>
  <c r="H40" i="13" a="1"/>
  <c r="D722" i="17"/>
  <c r="E14" i="17"/>
  <c r="E559" i="17"/>
  <c r="D384" i="17"/>
  <c r="D492" i="17"/>
  <c r="H30" i="13" a="1"/>
  <c r="H261" i="13" a="1"/>
  <c r="E547" i="17"/>
  <c r="D65" i="17"/>
  <c r="D324" i="17"/>
  <c r="D121" i="17"/>
  <c r="M388" i="14" a="1"/>
  <c r="H46" i="13" a="1"/>
  <c r="D435" i="17"/>
  <c r="H442" i="13" a="1"/>
  <c r="M171" i="14" a="1"/>
  <c r="E380" i="17"/>
  <c r="D349" i="17"/>
  <c r="E353" i="17"/>
  <c r="M583" i="14" a="1"/>
  <c r="D210" i="17"/>
  <c r="E326" i="17"/>
  <c r="E363" i="17"/>
  <c r="M140" i="14" a="1"/>
  <c r="E686" i="17"/>
  <c r="E341" i="17"/>
  <c r="E141" i="17"/>
  <c r="D527" i="17"/>
  <c r="D462" i="17"/>
  <c r="M142" i="14" a="1"/>
  <c r="D463" i="17"/>
  <c r="M560" i="14" a="1"/>
  <c r="D605" i="17"/>
  <c r="D648" i="17"/>
  <c r="D579" i="17"/>
  <c r="M454" i="14" a="1"/>
  <c r="D12" i="17"/>
  <c r="M437" i="14" a="1"/>
  <c r="D373" i="17"/>
  <c r="D480" i="17"/>
  <c r="E117" i="17"/>
  <c r="H463" i="13" a="1"/>
  <c r="D560" i="17"/>
  <c r="D75" i="17"/>
  <c r="M115" i="14" a="1"/>
  <c r="H278" i="13" a="1"/>
  <c r="H167" i="13" a="1"/>
  <c r="M521" i="14" a="1"/>
  <c r="D345" i="17"/>
  <c r="E436" i="17"/>
  <c r="D584" i="17"/>
  <c r="E437" i="17"/>
  <c r="E60" i="17"/>
  <c r="D53" i="17"/>
  <c r="D712" i="17"/>
  <c r="E109" i="17"/>
  <c r="E457" i="17"/>
  <c r="M479" i="14" a="1"/>
  <c r="D642" i="17"/>
  <c r="E379" i="17"/>
  <c r="H118" i="13" a="1"/>
  <c r="M340" i="14" a="1"/>
  <c r="M105" i="14" a="1"/>
  <c r="D524" i="17"/>
  <c r="E112" i="17"/>
  <c r="M205" i="14" a="1"/>
  <c r="D372" i="17"/>
  <c r="H240" i="13" a="1"/>
  <c r="M699" i="14" a="1"/>
  <c r="H238" i="13" a="1"/>
  <c r="H346" i="13" a="1"/>
  <c r="E70" i="17"/>
  <c r="D305" i="17"/>
  <c r="H388" i="13" a="1"/>
  <c r="E566" i="17"/>
  <c r="D299" i="17"/>
  <c r="H14" i="13" a="1"/>
  <c r="M14" i="14" a="1"/>
  <c r="M442" i="14" a="1"/>
  <c r="M326" i="14" a="1"/>
  <c r="D510" i="17"/>
  <c r="D616" i="17"/>
  <c r="E495" i="17"/>
  <c r="E285" i="17"/>
  <c r="E163" i="17"/>
  <c r="M550" i="14" a="1"/>
  <c r="E414" i="17"/>
  <c r="D247" i="17"/>
  <c r="E234" i="17"/>
  <c r="H47" i="13" a="1"/>
  <c r="D709" i="17"/>
  <c r="M17" i="14" a="1"/>
  <c r="H244" i="13" a="1"/>
  <c r="M158" i="14" a="1"/>
  <c r="M542" i="14" a="1"/>
  <c r="E29" i="17"/>
  <c r="E580" i="17"/>
  <c r="D691" i="17"/>
  <c r="D208" i="17"/>
  <c r="D118" i="17"/>
  <c r="M443" i="14" a="1"/>
  <c r="M406" i="14" a="1"/>
  <c r="H288" i="13" a="1"/>
  <c r="E423" i="17"/>
  <c r="M473" i="14" a="1"/>
  <c r="M54" i="14" a="1"/>
  <c r="E80" i="17"/>
  <c r="M184" i="14" a="1"/>
  <c r="D686" i="17"/>
  <c r="H250" i="13" a="1"/>
  <c r="H441" i="13" a="1"/>
  <c r="E405" i="17"/>
  <c r="D646" i="17"/>
  <c r="D282" i="17"/>
  <c r="E182" i="17"/>
  <c r="D70" i="17"/>
  <c r="E6" i="17"/>
  <c r="M145" i="14" a="1"/>
  <c r="M609" i="14" a="1"/>
  <c r="H467" i="13" a="1"/>
  <c r="D240" i="17"/>
  <c r="E103" i="17"/>
  <c r="M270" i="14" a="1"/>
  <c r="M299" i="14" a="1"/>
  <c r="D243" i="17"/>
  <c r="H232" i="13" a="1"/>
  <c r="D116" i="17"/>
  <c r="E466" i="17"/>
  <c r="E224" i="17"/>
  <c r="E661" i="17"/>
  <c r="M592" i="14" a="1"/>
  <c r="D239" i="17"/>
  <c r="H200" i="13" a="1"/>
  <c r="H265" i="13" a="1"/>
  <c r="E198" i="17"/>
  <c r="E364" i="17"/>
  <c r="M394" i="14" a="1"/>
  <c r="D583" i="17"/>
  <c r="D439" i="17"/>
  <c r="M57" i="14" a="1"/>
  <c r="M271" i="14" a="1"/>
  <c r="H373" i="13" a="1"/>
  <c r="D594" i="17"/>
  <c r="M352" i="14" a="1"/>
  <c r="D599" i="17"/>
  <c r="M302" i="14" a="1"/>
  <c r="D391" i="17"/>
  <c r="E293" i="17"/>
  <c r="M698" i="14" a="1"/>
  <c r="D356" i="17"/>
  <c r="D350" i="17"/>
  <c r="E77" i="17"/>
  <c r="H371" i="13" a="1"/>
  <c r="D398" i="17"/>
  <c r="E389" i="17"/>
  <c r="H502" i="13" a="1"/>
  <c r="H201" i="13" a="1"/>
  <c r="E229" i="17"/>
  <c r="E362" i="17"/>
  <c r="D687" i="17"/>
  <c r="D312" i="17"/>
  <c r="D717" i="17"/>
  <c r="D663" i="17"/>
  <c r="D415" i="17"/>
  <c r="H305" i="13" a="1"/>
  <c r="M602" i="14" a="1"/>
  <c r="D512" i="17"/>
  <c r="D180" i="17"/>
  <c r="M279" i="14" a="1"/>
  <c r="M642" i="14" a="1"/>
  <c r="D162" i="17"/>
  <c r="M499" i="14" a="1"/>
  <c r="H136" i="13" a="1"/>
  <c r="M196" i="14" a="1"/>
  <c r="M189" i="14" a="1"/>
  <c r="D718" i="17"/>
  <c r="E593" i="17"/>
  <c r="D68" i="17"/>
  <c r="D202" i="17"/>
  <c r="E332" i="17"/>
  <c r="M329" i="14" a="1"/>
  <c r="D298" i="17"/>
  <c r="D448" i="17"/>
  <c r="E146" i="17"/>
  <c r="H304" i="13" a="1"/>
  <c r="D379" i="17"/>
  <c r="E152" i="17"/>
  <c r="M478" i="14" a="1"/>
  <c r="H389" i="13" a="1"/>
  <c r="M317" i="14" a="1"/>
  <c r="E482" i="17"/>
  <c r="E462" i="17"/>
  <c r="E621" i="17"/>
  <c r="E298" i="17"/>
  <c r="E693" i="17"/>
  <c r="H309" i="13" a="1"/>
  <c r="M534" i="14" a="1"/>
  <c r="M40" i="14" a="1"/>
  <c r="E245" i="17"/>
  <c r="H357" i="13" a="1"/>
  <c r="H121" i="13" a="1"/>
  <c r="D428" i="17"/>
  <c r="H286" i="13" a="1"/>
  <c r="H36" i="13" a="1"/>
  <c r="H209" i="13" a="1"/>
  <c r="M586" i="14" a="1"/>
  <c r="D656" i="17"/>
  <c r="E331" i="17"/>
  <c r="D549" i="17"/>
  <c r="D89" i="17"/>
  <c r="E719" i="17"/>
  <c r="D625" i="17"/>
  <c r="H191" i="13" a="1"/>
  <c r="E240" i="17"/>
  <c r="M146" i="14" a="1"/>
  <c r="M415" i="14" a="1"/>
  <c r="H384" i="13" a="1"/>
  <c r="M708" i="14" a="1"/>
  <c r="H458" i="13" a="1"/>
  <c r="D540" i="17"/>
  <c r="H108" i="13" a="1"/>
  <c r="E347" i="17"/>
  <c r="D227" i="17"/>
  <c r="D174" i="17"/>
  <c r="E191" i="17"/>
  <c r="M537" i="14" a="1"/>
  <c r="E497" i="17"/>
  <c r="H32" i="13" a="1"/>
  <c r="M332" i="14" a="1"/>
  <c r="D257" i="17"/>
  <c r="E145" i="17"/>
  <c r="E87" i="17"/>
  <c r="E556" i="17"/>
  <c r="D265" i="17"/>
  <c r="M425" i="14" a="1"/>
  <c r="M132" i="14" a="1"/>
  <c r="H42" i="13" a="1"/>
  <c r="D622" i="17"/>
  <c r="E360" i="17"/>
  <c r="D347" i="17"/>
  <c r="E190" i="17"/>
  <c r="E626" i="17"/>
  <c r="D44" i="17"/>
  <c r="M481" i="14" a="1"/>
  <c r="E619" i="17"/>
  <c r="E133" i="17"/>
  <c r="E280" i="17"/>
  <c r="M276" i="14" a="1"/>
  <c r="D422" i="17"/>
  <c r="E319" i="17"/>
  <c r="M608" i="14" a="1"/>
  <c r="M101" i="14" a="1"/>
  <c r="H125" i="13" a="1"/>
  <c r="D538" i="17"/>
  <c r="D35" i="17"/>
  <c r="D482" i="17"/>
  <c r="E69" i="17"/>
  <c r="M421" i="14" a="1"/>
  <c r="D209" i="17"/>
  <c r="M175" i="14" a="1"/>
  <c r="E142" i="17"/>
  <c r="D268" i="17"/>
  <c r="D125" i="17"/>
  <c r="M55" i="14" a="1"/>
  <c r="D79" i="17"/>
  <c r="M692" i="14" a="1"/>
  <c r="H281" i="13" a="1"/>
  <c r="H33" i="13" a="1"/>
  <c r="E273" i="17"/>
  <c r="M256" i="14" a="1"/>
  <c r="D529" i="17"/>
  <c r="E411" i="17"/>
  <c r="D637" i="17"/>
  <c r="E427" i="17"/>
  <c r="H420" i="13" a="1"/>
  <c r="M655" i="14" a="1"/>
  <c r="E183" i="17"/>
  <c r="D117" i="17"/>
  <c r="E440" i="17"/>
  <c r="M139" i="14" a="1"/>
  <c r="M367" i="14" a="1"/>
  <c r="E125" i="17"/>
  <c r="M69" i="14" a="1"/>
  <c r="M678" i="14" a="1"/>
  <c r="D393" i="17"/>
  <c r="D204" i="17"/>
  <c r="D623" i="17"/>
  <c r="E583" i="17"/>
  <c r="E608" i="17"/>
  <c r="M445" i="14" a="1"/>
  <c r="D392" i="17"/>
  <c r="H77" i="13" a="1"/>
  <c r="E546" i="17"/>
  <c r="E509" i="17"/>
  <c r="M261" i="14" a="1"/>
  <c r="H392" i="13" a="1"/>
  <c r="D276" i="17"/>
  <c r="M634" i="14" a="1"/>
  <c r="M284" i="14" a="1"/>
  <c r="H79" i="13" a="1"/>
  <c r="H249" i="13" a="1"/>
  <c r="D660" i="17"/>
  <c r="E158" i="17"/>
  <c r="D78" i="17"/>
  <c r="E38" i="17"/>
  <c r="H471" i="13" a="1"/>
  <c r="E299" i="17"/>
  <c r="M130" i="14" a="1"/>
  <c r="D109" i="17"/>
  <c r="M429" i="14" a="1"/>
  <c r="D24" i="17"/>
  <c r="H63" i="13" a="1"/>
  <c r="D310" i="17"/>
  <c r="H161" i="13" a="1"/>
  <c r="D284" i="17"/>
  <c r="D408" i="17"/>
  <c r="D467" i="17"/>
  <c r="M154" i="14" a="1"/>
  <c r="E61" i="17"/>
  <c r="D260" i="17"/>
  <c r="D64" i="17"/>
  <c r="M325" i="14" a="1"/>
  <c r="D555" i="17"/>
  <c r="E247" i="17"/>
  <c r="D290" i="17"/>
  <c r="M360" i="14" a="1"/>
  <c r="E365" i="17"/>
  <c r="M236" i="14" a="1"/>
  <c r="D84" i="17"/>
  <c r="H204" i="13" a="1"/>
  <c r="D607" i="17"/>
  <c r="H34" i="13" a="1"/>
  <c r="M704" i="14" a="1"/>
  <c r="M217" i="14" a="1"/>
  <c r="D387" i="17"/>
  <c r="D713" i="17"/>
  <c r="M133" i="14" a="1"/>
  <c r="H396" i="13" a="1"/>
  <c r="H511" i="13" a="1"/>
  <c r="E236" i="17"/>
  <c r="M681" i="14" a="1"/>
  <c r="H271" i="13" a="1"/>
  <c r="D708" i="17"/>
  <c r="D280" i="17"/>
  <c r="H345" i="13" a="1"/>
  <c r="H73" i="13" a="1"/>
  <c r="H208" i="13" a="1"/>
  <c r="D386" i="17"/>
  <c r="M156" i="14" a="1"/>
  <c r="E282" i="17"/>
  <c r="H452" i="13" a="1"/>
  <c r="M571" i="14" a="1"/>
  <c r="M44" i="14" a="1"/>
  <c r="H524" i="13" a="1"/>
  <c r="M124" i="14" a="1"/>
  <c r="M432" i="14" a="1"/>
  <c r="D140" i="17"/>
  <c r="M405" i="14" a="1"/>
  <c r="E662" i="17"/>
  <c r="H80" i="13" a="1"/>
  <c r="E129" i="17"/>
  <c r="M147" i="14" a="1"/>
  <c r="M72" i="14" a="1"/>
  <c r="M305" i="14" a="1"/>
  <c r="D609" i="17"/>
  <c r="H424" i="13" a="1"/>
  <c r="M283" i="14" a="1"/>
  <c r="E419" i="17"/>
  <c r="E168" i="17"/>
  <c r="E488" i="17"/>
  <c r="M226" i="14" a="1"/>
  <c r="M466" i="14" a="1"/>
  <c r="D640" i="17"/>
  <c r="H527" i="13" a="1"/>
  <c r="E409" i="17"/>
  <c r="H456" i="13" a="1"/>
  <c r="H518" i="13" a="1"/>
  <c r="E478" i="17"/>
  <c r="E75" i="17"/>
  <c r="E205" i="17"/>
  <c r="H26" i="13" a="1"/>
  <c r="D367" i="17"/>
  <c r="D252" i="17"/>
  <c r="H107" i="13" a="1"/>
  <c r="M665" i="14" a="1"/>
  <c r="M430" i="14" a="1"/>
  <c r="D703" i="17"/>
  <c r="M366" i="14" a="1"/>
  <c r="H499" i="13" a="1"/>
  <c r="H211" i="13" a="1"/>
  <c r="E368" i="17"/>
  <c r="H199" i="13" a="1"/>
  <c r="M190" i="14" a="1"/>
  <c r="E201" i="17"/>
  <c r="H385" i="13" a="1"/>
  <c r="H35" i="13" a="1"/>
  <c r="E479" i="17"/>
  <c r="D530" i="17"/>
  <c r="M323" i="14" a="1"/>
  <c r="M633" i="14" a="1"/>
  <c r="M33" i="14" a="1"/>
  <c r="D161" i="17"/>
  <c r="H383" i="13" a="1"/>
  <c r="H291" i="13" a="1"/>
  <c r="M718" i="14" a="1"/>
  <c r="M337" i="14" a="1"/>
  <c r="E428" i="17"/>
  <c r="M104" i="14" a="1"/>
  <c r="H381" i="13" a="1"/>
  <c r="M116" i="14" a="1"/>
  <c r="M628" i="14" a="1"/>
  <c r="M513" i="14" a="1"/>
  <c r="M64" i="14" a="1"/>
  <c r="H223" i="13" a="1"/>
  <c r="M265" i="14" a="1"/>
  <c r="H486" i="13" a="1"/>
  <c r="M273" i="14" a="1"/>
  <c r="H61" i="13" a="1"/>
  <c r="H432" i="13" a="1"/>
  <c r="E160" i="17"/>
  <c r="D511" i="17"/>
  <c r="M426" i="14" a="1"/>
  <c r="H339" i="13" a="1"/>
  <c r="M131" i="14" a="1"/>
  <c r="M47" i="14" a="1"/>
  <c r="H418" i="13" a="1"/>
  <c r="M315" i="14" a="1"/>
  <c r="M313" i="14" a="1"/>
  <c r="E628" i="17"/>
  <c r="E707" i="17"/>
  <c r="H411" i="13" a="1"/>
  <c r="M278" i="14" a="1"/>
  <c r="M364" i="14" a="1"/>
  <c r="M461" i="14" a="1"/>
  <c r="H460" i="13" a="1"/>
  <c r="H74" i="13" a="1"/>
  <c r="E703" i="17"/>
  <c r="E383" i="17"/>
  <c r="E139" i="17"/>
  <c r="M31" i="14" a="1"/>
  <c r="D519" i="17"/>
  <c r="H28" i="13" a="1"/>
  <c r="H97" i="13" a="1"/>
  <c r="D281" i="17"/>
  <c r="E553" i="17"/>
  <c r="H422" i="13" a="1"/>
  <c r="M269" i="14" a="1"/>
  <c r="H58" i="13" a="1"/>
  <c r="M434" i="14" a="1"/>
  <c r="M567" i="14" a="1"/>
  <c r="M626" i="14" a="1"/>
  <c r="D297" i="17"/>
  <c r="E265" i="17"/>
  <c r="M143" i="14" a="1"/>
  <c r="D499" i="17"/>
  <c r="M251" i="14" a="1"/>
  <c r="E443" i="17"/>
  <c r="M533" i="14" a="1"/>
  <c r="D643" i="17"/>
  <c r="H475" i="13" a="1"/>
  <c r="M716" i="14" a="1"/>
  <c r="M53" i="14" a="1"/>
  <c r="M359" i="14" a="1"/>
  <c r="H497" i="13" a="1"/>
  <c r="M321" i="14" a="1"/>
  <c r="H387" i="13" a="1"/>
  <c r="D359" i="17"/>
  <c r="M187" i="14" a="1"/>
  <c r="M667" i="14" a="1"/>
  <c r="M470" i="14" a="1"/>
  <c r="H501" i="13" a="1"/>
  <c r="M170" i="14" a="1"/>
  <c r="M354" i="14" a="1"/>
  <c r="H183" i="13" a="1"/>
  <c r="D657" i="17"/>
  <c r="H135" i="13" a="1"/>
  <c r="H303" i="13" a="1"/>
  <c r="M646" i="14" a="1"/>
  <c r="E570" i="17"/>
  <c r="D318" i="17"/>
  <c r="M112" i="14" a="1"/>
  <c r="E510" i="17"/>
  <c r="E697" i="17"/>
  <c r="D207" i="17"/>
  <c r="H124" i="13" a="1"/>
  <c r="M660" i="14" a="1"/>
  <c r="D108" i="17"/>
  <c r="D61" i="17"/>
  <c r="M409" i="14" a="1"/>
  <c r="E221" i="17"/>
  <c r="M472" i="14" a="1"/>
  <c r="M134" i="14" a="1"/>
  <c r="M341" i="14" a="1"/>
  <c r="M569" i="14" a="1"/>
  <c r="E511" i="17"/>
  <c r="H188" i="13" a="1"/>
  <c r="E377" i="17"/>
  <c r="H56" i="13" a="1"/>
  <c r="M662" i="14" a="1"/>
  <c r="H307" i="13" a="1"/>
  <c r="M235" i="14" a="1"/>
  <c r="M109" i="14" a="1"/>
  <c r="H274" i="13" a="1"/>
  <c r="E310" i="17"/>
  <c r="D601" i="17"/>
  <c r="E28" i="17"/>
  <c r="M129" i="14" a="1"/>
  <c r="E321" i="17"/>
  <c r="H175" i="13" a="1"/>
  <c r="M523" i="14" a="1"/>
  <c r="H105" i="13" a="1"/>
  <c r="M469" i="14" a="1"/>
  <c r="M700" i="14" a="1"/>
  <c r="H437" i="13" a="1"/>
  <c r="M623" i="14" a="1"/>
  <c r="H510" i="13" a="1"/>
  <c r="H290" i="13" a="1"/>
  <c r="H146" i="13" a="1"/>
  <c r="H359" i="13" a="1"/>
  <c r="M672" i="14" a="1"/>
  <c r="M13" i="14" a="1"/>
  <c r="M413" i="14" a="1"/>
  <c r="H256" i="13" a="1"/>
  <c r="M258" i="14" a="1"/>
  <c r="H532" i="13" a="1"/>
  <c r="M263" i="14" a="1"/>
  <c r="M223" i="14" a="1"/>
  <c r="D441" i="17"/>
  <c r="D721" i="17"/>
  <c r="M705" i="14" a="1"/>
  <c r="E105" i="17"/>
  <c r="M622" i="14" a="1"/>
  <c r="M597" i="14" a="1"/>
  <c r="H203" i="13" a="1"/>
  <c r="H127" i="13" a="1"/>
  <c r="D115" i="17"/>
  <c r="D608" i="17"/>
  <c r="E92" i="17"/>
  <c r="H253" i="13" a="1"/>
  <c r="M720" i="14" a="1"/>
  <c r="H480" i="13" a="1"/>
  <c r="M89" i="14" a="1"/>
  <c r="H110" i="13" a="1"/>
  <c r="M696" i="14" a="1"/>
  <c r="M255" i="14" a="1"/>
  <c r="M233" i="14" a="1"/>
  <c r="D205" i="17"/>
  <c r="D363" i="17"/>
  <c r="H466" i="13" a="1"/>
  <c r="M166" i="14" a="1"/>
  <c r="M199" i="14" a="1"/>
  <c r="D80" i="17"/>
  <c r="D544" i="17"/>
  <c r="H158" i="13" a="1"/>
  <c r="H86" i="13" a="1"/>
  <c r="H403" i="13" a="1"/>
  <c r="H100" i="13" a="1"/>
  <c r="M703" i="14" a="1"/>
  <c r="H81" i="13" a="1"/>
  <c r="H102" i="13" a="1"/>
  <c r="M300" i="14" a="1"/>
  <c r="H182" i="13" a="1"/>
  <c r="H485" i="13" a="1"/>
  <c r="M327" i="14" a="1"/>
  <c r="H169" i="13" a="1"/>
  <c r="H143" i="13" a="1"/>
  <c r="H162" i="13" a="1"/>
  <c r="D603" i="17"/>
  <c r="E585" i="17"/>
  <c r="M686" i="14" a="1"/>
  <c r="E568" i="17"/>
  <c r="D331" i="17"/>
  <c r="D52" i="17"/>
  <c r="M544" i="14" a="1"/>
  <c r="D593" i="17"/>
  <c r="E672" i="17"/>
  <c r="E374" i="17"/>
  <c r="H476" i="13" a="1"/>
  <c r="M587" i="14" a="1"/>
  <c r="M20" i="14" a="1"/>
  <c r="H168" i="13" a="1"/>
  <c r="M28" i="14" a="1"/>
  <c r="H230" i="13" a="1"/>
  <c r="H268" i="13" a="1"/>
  <c r="M347" i="14" a="1"/>
  <c r="M121" i="14" a="1"/>
  <c r="H206" i="13" a="1"/>
  <c r="M451" i="14" a="1"/>
  <c r="M83" i="14" a="1"/>
  <c r="M162" i="14" a="1"/>
  <c r="H448" i="13" a="1"/>
  <c r="M664" i="14" a="1"/>
  <c r="D203" i="17"/>
  <c r="M509" i="14" a="1"/>
  <c r="D652" i="17"/>
  <c r="M225" i="14" a="1"/>
  <c r="D558" i="17"/>
  <c r="H65" i="13" a="1"/>
  <c r="D98" i="17"/>
  <c r="D358" i="17"/>
  <c r="D673" i="17"/>
  <c r="M624" i="14" a="1"/>
  <c r="D49" i="17"/>
  <c r="H122" i="13" a="1"/>
  <c r="E272" i="17"/>
  <c r="D37" i="17"/>
  <c r="E582" i="17"/>
  <c r="D689" i="17"/>
  <c r="D376" i="17"/>
  <c r="E118" i="17"/>
  <c r="M365" i="14" a="1"/>
  <c r="H340" i="13" a="1"/>
  <c r="E98" i="17"/>
  <c r="H233" i="13" a="1"/>
  <c r="D307" i="17"/>
  <c r="E502" i="17"/>
  <c r="E197" i="17"/>
  <c r="M539" i="14" a="1"/>
  <c r="E539" i="17"/>
  <c r="E64" i="17"/>
  <c r="D352" i="17"/>
  <c r="M545" i="14" a="1"/>
  <c r="D606" i="17"/>
  <c r="M138" i="14" a="1"/>
  <c r="E85" i="17"/>
  <c r="M227" i="14" a="1"/>
  <c r="E720" i="17"/>
  <c r="M603" i="14" a="1"/>
  <c r="E625" i="17"/>
  <c r="M41" i="14" a="1"/>
  <c r="H109" i="13" a="1"/>
  <c r="H504" i="13" a="1"/>
  <c r="H115" i="13" a="1"/>
  <c r="H31" i="13" a="1"/>
  <c r="M266" i="14" a="1"/>
  <c r="M649" i="14" a="1"/>
  <c r="E46" i="17"/>
  <c r="D195" i="17"/>
  <c r="H104" i="13" a="1"/>
  <c r="M244" i="14" a="1"/>
  <c r="H189" i="13" a="1"/>
  <c r="M90" i="14" a="1"/>
  <c r="H231" i="13" a="1"/>
  <c r="H338" i="13" a="1"/>
  <c r="D412" i="17"/>
  <c r="D389" i="17"/>
  <c r="D548" i="17"/>
  <c r="D221" i="17"/>
  <c r="D532" i="17"/>
  <c r="M562" i="14" a="1"/>
  <c r="M76" i="14" a="1"/>
  <c r="H337" i="13" a="1"/>
  <c r="E140" i="17"/>
  <c r="M311" i="14" a="1"/>
  <c r="M707" i="14" a="1"/>
  <c r="M231" i="14" a="1"/>
  <c r="H394" i="13" a="1"/>
  <c r="M165" i="14" a="1"/>
  <c r="H457" i="13" a="1"/>
  <c r="M663" i="14" a="1"/>
  <c r="E396" i="17"/>
  <c r="H526" i="13" a="1"/>
  <c r="H311" i="13" a="1"/>
  <c r="H96" i="13" a="1"/>
  <c r="H322" i="13" a="1"/>
  <c r="M706" i="14" a="1"/>
  <c r="M219" i="14" a="1"/>
  <c r="H103" i="13" a="1"/>
  <c r="D346" i="17"/>
  <c r="M95" i="14" a="1"/>
  <c r="M87" i="14" a="1"/>
  <c r="E31" i="17"/>
  <c r="M428" i="14" a="1"/>
  <c r="M155" i="14" a="1"/>
  <c r="H417" i="13" a="1"/>
  <c r="H478" i="13" a="1"/>
  <c r="D4" i="17"/>
  <c r="E387" i="17"/>
  <c r="D546" i="17"/>
  <c r="D163" i="17"/>
  <c r="D334" i="17"/>
  <c r="M286" i="14" a="1"/>
  <c r="H464" i="13" a="1"/>
  <c r="E549" i="17"/>
  <c r="D308" i="17"/>
  <c r="M563" i="14" a="1"/>
  <c r="M167" i="14" a="1"/>
  <c r="H154" i="13" a="1"/>
  <c r="M161" i="14" a="1"/>
  <c r="H310" i="13" a="1"/>
  <c r="H194" i="13" a="1"/>
  <c r="M580" i="14" a="1"/>
  <c r="E357" i="17"/>
  <c r="H25" i="13" a="1"/>
  <c r="H128" i="13" a="1"/>
  <c r="M411" i="14" a="1"/>
  <c r="M676" i="14" a="1"/>
  <c r="M62" i="14" a="1"/>
  <c r="M135" i="14" a="1"/>
  <c r="H185" i="13" a="1"/>
  <c r="M568" i="14" a="1"/>
  <c r="H399" i="13" a="1"/>
  <c r="M309" i="14" a="1"/>
  <c r="D582" i="17"/>
  <c r="M324" i="14" a="1"/>
  <c r="M257" i="14" a="1"/>
  <c r="H235" i="13" a="1"/>
  <c r="M618" i="14" a="1"/>
  <c r="E392" i="17"/>
  <c r="E185" i="17"/>
  <c r="E431" i="17"/>
  <c r="M525" i="14" a="1"/>
  <c r="E162" i="17"/>
  <c r="H248" i="13" a="1"/>
  <c r="M174" i="14" a="1"/>
  <c r="E39" i="17"/>
  <c r="E84" i="17"/>
  <c r="E208" i="17"/>
  <c r="M688" i="14" a="1"/>
  <c r="M619" i="14" a="1"/>
  <c r="D564" i="17"/>
  <c r="D635" i="17"/>
  <c r="E622" i="17"/>
  <c r="D456" i="17"/>
  <c r="M210" i="14" a="1"/>
  <c r="D628" i="17"/>
  <c r="E439" i="17"/>
  <c r="E153" i="17"/>
  <c r="D309" i="17"/>
  <c r="M144" i="14" a="1"/>
  <c r="E89" i="17"/>
  <c r="M653" i="14" a="1"/>
  <c r="M169" i="14" a="1"/>
  <c r="M677" i="14" a="1"/>
  <c r="E283" i="17"/>
  <c r="M501" i="14" a="1"/>
  <c r="E292" i="17"/>
  <c r="M714" i="14" a="1"/>
  <c r="H435" i="13" a="1"/>
  <c r="M471" i="14" a="1"/>
  <c r="H266" i="13" a="1"/>
  <c r="M553" i="14" a="1"/>
  <c r="M615" i="14" a="1"/>
  <c r="M376" i="14" a="1"/>
  <c r="M318" i="14" a="1"/>
  <c r="E673" i="17"/>
  <c r="D495" i="17"/>
  <c r="M63" i="14" a="1"/>
  <c r="D249" i="17"/>
  <c r="M524" i="14" a="1"/>
  <c r="M407" i="14" a="1"/>
  <c r="M38" i="14" a="1"/>
  <c r="E147" i="17"/>
  <c r="D406" i="17"/>
  <c r="M211" i="14" a="1"/>
  <c r="E562" i="17"/>
  <c r="M408" i="14" a="1"/>
  <c r="M351" i="14" a="1"/>
  <c r="D380" i="17"/>
  <c r="D214" i="17"/>
  <c r="H292" i="13" a="1"/>
  <c r="D60" i="17"/>
  <c r="H491" i="13" a="1"/>
  <c r="E355" i="17"/>
  <c r="D458" i="17"/>
  <c r="M546" i="14" a="1"/>
  <c r="H129" i="13" a="1"/>
  <c r="M74" i="14" a="1"/>
  <c r="H84" i="13" a="1"/>
  <c r="M201" i="14" a="1"/>
  <c r="D678" i="17"/>
  <c r="E418" i="17"/>
  <c r="E249" i="17"/>
  <c r="M540" i="14" a="1"/>
  <c r="M463" i="14" a="1"/>
  <c r="M448" i="14" a="1"/>
  <c r="M128" i="14" a="1"/>
  <c r="D269" i="17"/>
  <c r="E650" i="17"/>
  <c r="M384" i="14" a="1"/>
  <c r="D432" i="17"/>
  <c r="H145" i="13" a="1"/>
  <c r="D508" i="17"/>
  <c r="M606" i="14" a="1"/>
  <c r="D274" i="17"/>
  <c r="D103" i="17"/>
  <c r="E456" i="17"/>
  <c r="M357" i="14" a="1"/>
  <c r="E187" i="17"/>
  <c r="M342" i="14" a="1"/>
  <c r="M477" i="14" a="1"/>
  <c r="H181" i="13" a="1"/>
  <c r="H137" i="13" a="1"/>
  <c r="H140" i="13" a="1"/>
  <c r="H366" i="13" a="1"/>
  <c r="E499" i="17"/>
  <c r="M277" i="14" a="1"/>
  <c r="H217" i="13" a="1"/>
  <c r="E277" i="17"/>
  <c r="H263" i="13" a="1"/>
  <c r="M96" i="14" a="1"/>
  <c r="H258" i="13" a="1"/>
  <c r="D716" i="17"/>
  <c r="E17" i="17"/>
  <c r="E712" i="17"/>
  <c r="M390" i="14" a="1"/>
  <c r="E172" i="17"/>
  <c r="M27" i="14" a="1"/>
  <c r="M611" i="14" a="1"/>
  <c r="H521" i="13" a="1"/>
  <c r="E535" i="17"/>
  <c r="E130" i="17"/>
  <c r="D138" i="17"/>
  <c r="H264" i="13" a="1"/>
  <c r="M336" i="14" a="1"/>
  <c r="D41" i="17"/>
  <c r="M362" i="14" a="1"/>
  <c r="M370" i="14" a="1"/>
  <c r="D141" i="17"/>
  <c r="M652" i="14" a="1"/>
  <c r="M177" i="14" a="1"/>
  <c r="H197" i="13" a="1"/>
  <c r="D96" i="17"/>
  <c r="E37" i="17"/>
  <c r="H379" i="13" a="1"/>
  <c r="M335" i="14" a="1"/>
  <c r="M176" i="14" a="1"/>
  <c r="M194" i="14" a="1"/>
  <c r="M386" i="14" a="1"/>
  <c r="M209" i="14" a="1"/>
  <c r="H321" i="13" a="1"/>
  <c r="H228" i="13" a="1"/>
  <c r="M149" i="14" a="1"/>
  <c r="M330" i="14" a="1"/>
  <c r="M490" i="14" a="1"/>
  <c r="D185" i="17"/>
  <c r="M497" i="14" a="1"/>
  <c r="M492" i="14" a="1"/>
  <c r="M23" i="14" a="1"/>
  <c r="E544" i="17"/>
  <c r="M98" i="14" a="1"/>
  <c r="D592" i="17"/>
  <c r="M314" i="14" a="1"/>
  <c r="M487" i="14" a="1"/>
  <c r="H18" i="13" a="1"/>
  <c r="M526" i="14" a="1"/>
  <c r="H538" i="13" a="1"/>
  <c r="H279" i="13" a="1"/>
  <c r="D684" i="17"/>
  <c r="M709" i="14" a="1"/>
  <c r="H367" i="13" a="1"/>
  <c r="D175" i="17"/>
  <c r="H112" i="13" a="1"/>
  <c r="E670" i="17"/>
  <c r="M396" i="14" a="1"/>
  <c r="H330" i="13" a="1"/>
  <c r="E615" i="17"/>
  <c r="M401" i="14" a="1"/>
  <c r="M73" i="14" a="1"/>
  <c r="H349" i="13" a="1"/>
  <c r="H139" i="13" a="1"/>
  <c r="M713" i="14" a="1"/>
  <c r="E136" i="17"/>
  <c r="E696" i="17"/>
  <c r="D602" i="17"/>
  <c r="M15" i="14" a="1"/>
  <c r="M414" i="14" a="1"/>
  <c r="M500" i="14" a="1"/>
  <c r="H144" i="13" a="1"/>
  <c r="H450" i="13" a="1"/>
  <c r="H269" i="13" a="1"/>
  <c r="E294" i="17"/>
  <c r="E275" i="17"/>
  <c r="M163" i="14" a="1"/>
  <c r="H423" i="13" a="1"/>
  <c r="M338" i="14" a="1"/>
  <c r="D438" i="17"/>
  <c r="M711" i="14" a="1"/>
  <c r="D159" i="17"/>
  <c r="H119" i="13" a="1"/>
  <c r="E420" i="17"/>
  <c r="E623" i="17"/>
  <c r="M295" i="14" a="1"/>
  <c r="M310" i="14" a="1"/>
  <c r="H444" i="13" a="1"/>
  <c r="E695" i="17"/>
  <c r="M200" i="14" a="1"/>
  <c r="H243" i="13" a="1"/>
  <c r="E157" i="17"/>
  <c r="H414" i="13" a="1"/>
  <c r="H431" i="13" a="1"/>
  <c r="M45" i="14" a="1"/>
  <c r="H174" i="13" a="1"/>
  <c r="M333" i="14" a="1"/>
  <c r="D431" i="17"/>
  <c r="H192" i="13" a="1"/>
  <c r="E270" i="17"/>
  <c r="H370" i="13" a="1"/>
  <c r="D614" i="17"/>
  <c r="D271" i="17"/>
  <c r="M304" i="14" a="1"/>
  <c r="H99" i="13" a="1"/>
  <c r="E59" i="17"/>
  <c r="D126" i="17"/>
  <c r="D497" i="17"/>
  <c r="D528" i="17"/>
  <c r="E467" i="17"/>
  <c r="E358" i="17"/>
  <c r="M488" i="14" a="1"/>
  <c r="H494" i="13" a="1"/>
  <c r="E560" i="17"/>
  <c r="H219" i="13" a="1"/>
  <c r="M548" i="14" a="1"/>
  <c r="M372" i="14" a="1"/>
  <c r="E480" i="17"/>
  <c r="E55" i="17"/>
  <c r="M346" i="14" a="1"/>
  <c r="H70" i="13" a="1"/>
  <c r="M416" i="14" a="1"/>
  <c r="M579" i="14" a="1"/>
  <c r="E643" i="17"/>
  <c r="H75" i="13" a="1"/>
  <c r="M10" i="14" a="1"/>
  <c r="H472" i="13" a="1"/>
  <c r="E463" i="17"/>
  <c r="H529" i="13" a="1"/>
  <c r="E366" i="17"/>
  <c r="H54" i="13" a="1"/>
  <c r="M65" i="14" a="1"/>
  <c r="D604" i="17"/>
  <c r="D669" i="17"/>
  <c r="E690" i="17"/>
  <c r="H495" i="13" a="1"/>
  <c r="E207" i="17"/>
  <c r="M404" i="14" a="1"/>
  <c r="D659" i="17"/>
  <c r="H327" i="13" a="1"/>
  <c r="M695" i="14" a="1"/>
  <c r="D301" i="17"/>
  <c r="H147" i="13" a="1"/>
  <c r="M86" i="14" a="1"/>
  <c r="H254" i="13" a="1"/>
  <c r="M344" i="14" a="1"/>
  <c r="M216" i="14" a="1"/>
  <c r="M651" i="14" a="1"/>
  <c r="M152" i="14" a="1"/>
  <c r="E433" i="17"/>
  <c r="D22" i="17"/>
  <c r="E448" i="17"/>
  <c r="D245" i="17"/>
  <c r="E242" i="17"/>
  <c r="M36" i="14" a="1"/>
  <c r="M518" i="14" a="1"/>
  <c r="H72" i="13" a="1"/>
  <c r="H425" i="13" a="1"/>
  <c r="E406" i="17"/>
  <c r="M125" i="14" a="1"/>
  <c r="H151" i="13" a="1"/>
  <c r="H350" i="13" a="1"/>
  <c r="H509" i="13" a="1"/>
  <c r="E20" i="17"/>
  <c r="D31" i="17"/>
  <c r="E96" i="17"/>
  <c r="M46" i="14" a="1"/>
  <c r="M538" i="14" a="1"/>
  <c r="M685" i="14" a="1"/>
  <c r="M107" i="14" a="1"/>
  <c r="E193" i="17"/>
  <c r="E35" i="17"/>
  <c r="D104" i="17"/>
  <c r="D113" i="17"/>
  <c r="E189" i="17"/>
  <c r="H433" i="13" a="1"/>
  <c r="H390" i="13" a="1"/>
  <c r="M100" i="14" a="1"/>
  <c r="E289" i="17"/>
  <c r="H364" i="13" a="1"/>
  <c r="H166" i="13" a="1"/>
  <c r="D695" i="17"/>
  <c r="M29" i="14" a="1"/>
  <c r="M238" i="14" a="1"/>
  <c r="H276" i="13" a="1"/>
  <c r="H372" i="13" a="1"/>
  <c r="H280" i="13" a="1"/>
  <c r="D56" i="17"/>
  <c r="H427" i="13" a="1"/>
  <c r="M697" i="14" a="1"/>
  <c r="H252" i="13" a="1"/>
  <c r="H318" i="13" a="1"/>
  <c r="D337" i="17"/>
  <c r="E667" i="17"/>
  <c r="E594" i="17"/>
  <c r="H142" i="13" a="1"/>
  <c r="D139" i="17"/>
  <c r="M495" i="14" a="1"/>
  <c r="H374" i="13" a="1"/>
  <c r="H395" i="13" a="1"/>
  <c r="M483" i="14" a="1"/>
  <c r="M389" i="14" a="1"/>
  <c r="M528" i="14" a="1"/>
  <c r="M204" i="14" a="1"/>
  <c r="H59" i="13" a="1"/>
  <c r="E338" i="17"/>
  <c r="E337" i="17"/>
  <c r="E450" i="17"/>
  <c r="M436" i="14" a="1"/>
  <c r="M673" i="14" a="1"/>
  <c r="H302" i="13" a="1"/>
  <c r="M717" i="14" a="1"/>
  <c r="D196" i="17"/>
  <c r="H10" i="13" a="1"/>
  <c r="H237" i="13" a="1"/>
  <c r="M393" i="14" a="1"/>
  <c r="D700" i="17"/>
  <c r="M422" i="14" a="1"/>
  <c r="H465" i="13" a="1"/>
  <c r="M75" i="14" a="1"/>
  <c r="M475" i="14" a="1"/>
  <c r="H438" i="13" a="1"/>
  <c r="H242" i="13" a="1"/>
  <c r="H328" i="13" a="1"/>
  <c r="H93" i="13" a="1"/>
  <c r="H220" i="13" a="1"/>
  <c r="M32" i="14" a="1"/>
  <c r="D181" i="17"/>
  <c r="D369" i="17"/>
  <c r="D326" i="17"/>
  <c r="M30" i="14" a="1"/>
  <c r="D464" i="17"/>
  <c r="M556" i="14" a="1"/>
  <c r="M387" i="14" a="1"/>
  <c r="M312" i="14" a="1"/>
  <c r="H313" i="13" a="1"/>
  <c r="H50" i="13" a="1"/>
  <c r="D127" i="17"/>
  <c r="H221" i="13" a="1"/>
  <c r="M620" i="14" a="1"/>
  <c r="H152" i="13" a="1"/>
  <c r="M356" i="14" a="1"/>
  <c r="D142" i="17"/>
  <c r="E167" i="17"/>
  <c r="M449" i="14" a="1"/>
  <c r="E264" i="17"/>
  <c r="H506" i="13" a="1"/>
  <c r="D197" i="17"/>
  <c r="M292" i="14" a="1"/>
  <c r="M689" i="14" a="1"/>
  <c r="M616" i="14" a="1"/>
  <c r="H216" i="13" a="1"/>
  <c r="H410" i="13" a="1"/>
  <c r="D36" i="17"/>
  <c r="H49" i="13" a="1"/>
  <c r="M515" i="14" a="1"/>
  <c r="E573" i="17"/>
  <c r="M127" i="14" a="1"/>
  <c r="M639" i="14" a="1"/>
  <c r="M85" i="14" a="1"/>
  <c r="M293" i="14" a="1"/>
  <c r="H398" i="13" a="1"/>
  <c r="E452" i="17"/>
  <c r="H348" i="13" a="1"/>
  <c r="E100" i="17"/>
  <c r="H496" i="13" a="1"/>
  <c r="M368" i="14" a="1"/>
  <c r="H377" i="13" a="1"/>
  <c r="H113" i="13" a="1"/>
  <c r="H354" i="13" a="1"/>
  <c r="H196" i="13" a="1"/>
  <c r="H207" i="13" a="1"/>
  <c r="E24" i="17"/>
  <c r="E115" i="17"/>
  <c r="M84" i="14" a="1"/>
  <c r="H22" i="13" a="1"/>
  <c r="M111" i="14" a="1"/>
  <c r="M353" i="14" a="1"/>
  <c r="D112" i="17"/>
  <c r="M460" i="14" a="1"/>
  <c r="D617" i="17"/>
  <c r="H226" i="13" a="1"/>
  <c r="M512" i="14" a="1"/>
  <c r="H344" i="13" a="1"/>
  <c r="M268" i="14" a="1"/>
  <c r="M491" i="14" a="1"/>
  <c r="H488" i="13" a="1"/>
  <c r="E601" i="17"/>
  <c r="E588" i="17"/>
  <c r="M43" i="14" a="1"/>
  <c r="E526" i="17"/>
  <c r="D542" i="17"/>
  <c r="E52" i="17"/>
  <c r="H43" i="13" a="1"/>
  <c r="M458" i="14" a="1"/>
  <c r="D323" i="17"/>
  <c r="E351" i="17"/>
  <c r="H95" i="13" a="1"/>
  <c r="H202" i="13" a="1"/>
  <c r="H16" i="13" a="1"/>
  <c r="H9" i="13" a="1"/>
  <c r="H19" i="13" a="1"/>
  <c r="H246" i="13" a="1"/>
  <c r="E698" i="17"/>
  <c r="M517" i="14" a="1"/>
  <c r="D213" i="17"/>
  <c r="H512" i="13" a="1"/>
  <c r="D501" i="17"/>
  <c r="H363" i="13" a="1"/>
  <c r="H358" i="13" a="1"/>
  <c r="H362" i="13" a="1"/>
  <c r="M249" i="14" a="1"/>
  <c r="M424" i="14" a="1"/>
  <c r="M511" i="14" a="1"/>
  <c r="H520" i="13" a="1"/>
  <c r="D259" i="17"/>
  <c r="H461" i="13" a="1"/>
  <c r="D668" i="17"/>
  <c r="M58" i="14" a="1"/>
  <c r="E279" i="17"/>
  <c r="H78" i="13" a="1"/>
  <c r="M659" i="14" a="1"/>
  <c r="H469" i="13" a="1"/>
  <c r="D361" i="17"/>
  <c r="H325" i="13" a="1"/>
  <c r="M485" i="14" a="1"/>
  <c r="D168" i="17"/>
  <c r="E614" i="17"/>
  <c r="E76" i="17"/>
  <c r="M591" i="14" a="1"/>
  <c r="D29" i="17"/>
  <c r="D461" i="17"/>
  <c r="E19" i="17"/>
  <c r="H331" i="13" a="1"/>
  <c r="M596" i="14" a="1"/>
  <c r="M151" i="14" a="1"/>
  <c r="M519" i="14" a="1"/>
  <c r="D314" i="17"/>
  <c r="H20" i="13" a="1"/>
  <c r="H454" i="13" a="1"/>
  <c r="M285" i="14" a="1"/>
  <c r="H82" i="13" a="1"/>
  <c r="H380" i="13" a="1"/>
  <c r="H378" i="13" a="1"/>
  <c r="D472" i="17"/>
  <c r="M671" i="14" a="1"/>
  <c r="M60" i="14" a="1"/>
  <c r="E577" i="17"/>
  <c r="M643" i="14" a="1"/>
  <c r="H405" i="13" a="1"/>
  <c r="M570" i="14" a="1"/>
  <c r="E32" i="17"/>
  <c r="M636" i="14" a="1"/>
  <c r="M507" i="14" a="1"/>
  <c r="H295" i="13" a="1"/>
  <c r="M193" i="14" a="1"/>
  <c r="E188" i="17"/>
  <c r="H89" i="13" a="1"/>
  <c r="H391" i="13" a="1"/>
  <c r="M585" i="14" a="1"/>
  <c r="M172" i="14" a="1"/>
  <c r="M465" i="14" a="1"/>
  <c r="E209" i="17"/>
  <c r="E204" i="17"/>
  <c r="H353" i="13" a="1"/>
  <c r="M343" i="14" a="1"/>
  <c r="H270" i="13" a="1"/>
  <c r="E518" i="17"/>
  <c r="H355" i="13" a="1"/>
  <c r="H468" i="13" a="1"/>
  <c r="H356" i="13" a="1"/>
  <c r="D91" i="17"/>
  <c r="M198" i="14" a="1"/>
  <c r="M693" i="14" a="1"/>
  <c r="H210" i="13" a="1"/>
  <c r="H53" i="13" a="1"/>
  <c r="H24" i="13" a="1"/>
  <c r="E121" i="17"/>
  <c r="E520" i="17"/>
  <c r="H481" i="13" a="1"/>
  <c r="M164" i="14" a="1"/>
  <c r="E216" i="17"/>
  <c r="H459" i="13" a="1"/>
  <c r="M267" i="14" a="1"/>
  <c r="M621" i="14" a="1"/>
  <c r="D561" i="17"/>
  <c r="H224" i="13" a="1"/>
  <c r="M241" i="14" a="1"/>
  <c r="H515" i="13" a="1"/>
  <c r="D288" i="17"/>
  <c r="M234" i="14" a="1"/>
  <c r="M202" i="14" a="1"/>
  <c r="H530" i="13" a="1"/>
  <c r="D574" i="17"/>
  <c r="D704" i="17"/>
  <c r="H150" i="13" a="1"/>
  <c r="E196" i="17"/>
  <c r="M447" i="14" a="1"/>
  <c r="D153" i="17"/>
  <c r="E432" i="17"/>
  <c r="E154" i="17"/>
  <c r="H91" i="13" a="1"/>
  <c r="M599" i="14" a="1"/>
  <c r="D273" i="17"/>
  <c r="M361" i="14" a="1"/>
  <c r="E25" i="17"/>
  <c r="E514" i="17"/>
  <c r="M453" i="14" a="1"/>
  <c r="M399" i="14" a="1"/>
  <c r="H315" i="13" a="1"/>
  <c r="D336" i="17"/>
  <c r="E83" i="17"/>
  <c r="M543" i="14" a="1"/>
  <c r="H38" i="13" a="1"/>
  <c r="E521" i="17"/>
  <c r="M604" i="14" a="1"/>
  <c r="H71" i="13" a="1"/>
  <c r="H314" i="13" a="1"/>
  <c r="M307" i="14" a="1"/>
  <c r="D311" i="17"/>
  <c r="M637" i="14" a="1"/>
  <c r="M420" i="14" a="1"/>
  <c r="H44" i="13" a="1"/>
  <c r="M529" i="14" a="1"/>
  <c r="M374" i="14" a="1"/>
  <c r="M67" i="14" a="1"/>
  <c r="D443" i="17"/>
  <c r="M281" i="14" a="1"/>
  <c r="H229" i="13" a="1"/>
  <c r="M322" i="14" a="1"/>
  <c r="D416" i="17"/>
  <c r="D403" i="17"/>
  <c r="H443" i="13" a="1"/>
  <c r="H106" i="13" a="1"/>
  <c r="D69" i="17"/>
  <c r="D42" i="17"/>
  <c r="H462" i="13" a="1"/>
  <c r="H484" i="13" a="1"/>
  <c r="M182" i="14" a="1"/>
  <c r="D581" i="17"/>
  <c r="H319" i="13" a="1"/>
  <c r="D20" i="17"/>
  <c r="H428" i="13" a="1"/>
  <c r="D619" i="17"/>
  <c r="D470" i="17"/>
  <c r="E174" i="17"/>
  <c r="H134" i="13" a="1"/>
  <c r="H241" i="13" a="1"/>
  <c r="M573" i="14" a="1"/>
  <c r="E542" i="17"/>
  <c r="M508" i="14" a="1"/>
  <c r="D484" i="17"/>
  <c r="M687" i="14" a="1"/>
  <c r="H430" i="13" a="1"/>
  <c r="D145" i="17"/>
  <c r="H39" i="13" a="1"/>
  <c r="H498" i="13" a="1"/>
  <c r="H51" i="13" a="1"/>
  <c r="M61" i="14" a="1"/>
  <c r="H409" i="13" a="1"/>
  <c r="H190" i="13" a="1"/>
  <c r="M218" i="14" a="1"/>
  <c r="E654" i="17"/>
  <c r="H299" i="13" a="1"/>
  <c r="M644" i="14" a="1"/>
  <c r="M34" i="14" a="1"/>
  <c r="D224" i="17"/>
  <c r="H333" i="13" a="1"/>
  <c r="E348" i="17"/>
  <c r="E384" i="17"/>
  <c r="E525" i="17"/>
  <c r="M78" i="14" a="1"/>
  <c r="E602" i="17"/>
  <c r="H225" i="13" a="1"/>
  <c r="H407" i="13" a="1"/>
  <c r="H213" i="13" a="1"/>
  <c r="E490" i="17"/>
  <c r="H212" i="13" a="1"/>
  <c r="E529" i="17"/>
  <c r="H148" i="13" a="1"/>
  <c r="E203" i="17"/>
  <c r="H275" i="13" a="1"/>
  <c r="H218" i="13" a="1"/>
  <c r="E123" i="17"/>
  <c r="H21" i="13" a="1"/>
  <c r="M137" i="14" a="1"/>
  <c r="D327" i="17"/>
  <c r="E45" i="17"/>
  <c r="M464" i="14" a="1"/>
  <c r="E79" i="17"/>
  <c r="D698" i="17"/>
  <c r="M435" i="14" a="1"/>
  <c r="M576" i="14" a="1"/>
  <c r="M504" i="14" a="1"/>
  <c r="D33" i="17"/>
  <c r="M581" i="14" a="1"/>
  <c r="D342" i="17"/>
  <c r="M296" i="14" a="1"/>
  <c r="M565" i="14" a="1"/>
  <c r="E402" i="17"/>
  <c r="M294" i="14" a="1"/>
  <c r="M250" i="14" a="1"/>
  <c r="M446" i="14" a="1"/>
  <c r="E537" i="17"/>
  <c r="H375" i="13" a="1"/>
  <c r="M613" i="14" a="1"/>
  <c r="M601" i="14" a="1"/>
  <c r="D302" i="17"/>
  <c r="D25" i="17"/>
  <c r="H214" i="13" a="1"/>
  <c r="D82" i="17"/>
  <c r="E669" i="17"/>
  <c r="E317" i="17"/>
  <c r="M552" i="14" a="1"/>
  <c r="H69" i="13" a="1"/>
  <c r="D101" i="17"/>
  <c r="M381" i="14" a="1"/>
  <c r="H533" i="13" a="1"/>
  <c r="M126" i="14" a="1"/>
  <c r="D355" i="17"/>
  <c r="H170" i="13" a="1"/>
  <c r="D490" i="17"/>
  <c r="H187" i="13" a="1"/>
  <c r="E33" i="17"/>
  <c r="H505" i="13" a="1"/>
  <c r="D167" i="17"/>
  <c r="M645" i="14" a="1"/>
  <c r="M598" i="14" a="1"/>
  <c r="M102" i="14" a="1"/>
  <c r="H117" i="13" a="1"/>
  <c r="D610" i="17"/>
  <c r="M607" i="14" a="1"/>
  <c r="E316" i="17"/>
  <c r="E345" i="17"/>
  <c r="M282" i="14" a="1"/>
  <c r="M185" i="14" a="1"/>
  <c r="E596" i="17"/>
  <c r="H123" i="13" a="1"/>
  <c r="M506" i="14" a="1"/>
  <c r="H351" i="13" a="1"/>
  <c r="M547" i="14" a="1"/>
  <c r="D14" i="17"/>
  <c r="M455" i="14" a="1"/>
  <c r="E554" i="17"/>
  <c r="D236" i="17"/>
  <c r="M574" i="14" a="1"/>
  <c r="H402" i="13" a="1"/>
  <c r="D589" i="17"/>
  <c r="E200" i="17"/>
  <c r="D487" i="17"/>
  <c r="H62" i="13" a="1"/>
  <c r="M79" i="14" a="1"/>
  <c r="H178" i="13" a="1"/>
  <c r="M564" i="14" a="1"/>
  <c r="M650" i="14" a="1"/>
  <c r="M81" i="14" a="1"/>
  <c r="E116" i="17"/>
  <c r="M215" i="14" a="1"/>
  <c r="H293" i="13" a="1"/>
  <c r="H308" i="13" a="1"/>
  <c r="H540" i="13" a="1"/>
  <c r="M549" i="14" a="1"/>
  <c r="D353" i="17"/>
  <c r="E212" i="17"/>
  <c r="M290" i="14" a="1"/>
  <c r="H436" i="13" a="1"/>
  <c r="M654" i="14" a="1"/>
  <c r="M375" i="14" a="1"/>
  <c r="E620" i="17"/>
  <c r="E361" i="17"/>
  <c r="E9" i="17"/>
  <c r="H445" i="13" a="1"/>
  <c r="M675" i="14" a="1"/>
  <c r="M52" i="14" a="1"/>
  <c r="M680" i="14" a="1"/>
  <c r="H522" i="13" a="1"/>
  <c r="H68" i="13" a="1"/>
  <c r="M355" i="14" a="1"/>
  <c r="M264" i="14" a="1"/>
  <c r="M136" i="14" a="1"/>
  <c r="M373" i="14" a="1"/>
  <c r="D565" i="17"/>
  <c r="D122" i="17"/>
  <c r="D105" i="17"/>
  <c r="E567" i="17"/>
  <c r="H368" i="13" a="1"/>
  <c r="M398" i="14" a="1"/>
  <c r="E657" i="17"/>
  <c r="M391" i="14" a="1"/>
  <c r="D231" i="17"/>
  <c r="H157" i="13" a="1"/>
  <c r="M516" i="14" a="1"/>
  <c r="D509" i="17"/>
  <c r="D567" i="17"/>
  <c r="D182" i="17"/>
  <c r="E237" i="17"/>
  <c r="D559" i="17"/>
  <c r="M92" i="14" a="1"/>
  <c r="H320" i="13" a="1"/>
  <c r="M427" i="14" a="1"/>
  <c r="M600" i="14" a="1"/>
  <c r="H336" i="13" a="1"/>
  <c r="E170" i="17"/>
  <c r="H176" i="13" a="1"/>
  <c r="E519" i="17"/>
  <c r="H87" i="13" a="1"/>
  <c r="H500" i="13" a="1"/>
  <c r="M438" i="14" a="1"/>
  <c r="E408" i="17"/>
  <c r="D451" i="17"/>
  <c r="M625" i="14" a="1"/>
  <c r="E325" i="17"/>
  <c r="H284" i="13" a="1"/>
  <c r="M262" i="14" a="1"/>
  <c r="H489" i="13" a="1"/>
  <c r="H440" i="13" a="1"/>
  <c r="E369" i="17"/>
  <c r="M522" i="14" a="1"/>
  <c r="D304" i="17"/>
  <c r="M35" i="14" a="1"/>
  <c r="H163" i="13" a="1"/>
  <c r="H6" i="13" a="1"/>
  <c r="M371" i="14" a="1"/>
  <c r="H11" i="13" a="1"/>
  <c r="H55" i="13" a="1"/>
  <c r="M674" i="14" a="1"/>
  <c r="D211" i="17"/>
  <c r="D5" i="17"/>
  <c r="H239" i="13" a="1"/>
  <c r="M120" i="14" a="1"/>
  <c r="H537" i="13" a="1"/>
  <c r="D715" i="17"/>
  <c r="H245" i="13" a="1"/>
  <c r="M99" i="14" a="1"/>
  <c r="D123" i="17"/>
  <c r="M91" i="14" a="1"/>
  <c r="H534" i="13" a="1"/>
  <c r="M410" i="14" a="1"/>
  <c r="E665" i="17"/>
  <c r="M531" i="14" a="1"/>
  <c r="H177" i="13" a="1"/>
  <c r="H173" i="13" a="1"/>
  <c r="M19" i="14" a="1"/>
  <c r="E93" i="17"/>
  <c r="H132" i="13" a="1"/>
  <c r="H329" i="13" a="1"/>
  <c r="H234" i="13" a="1"/>
  <c r="D190" i="17"/>
  <c r="H126" i="13" a="1"/>
  <c r="H298" i="13" a="1"/>
  <c r="D615" i="17"/>
  <c r="M610" i="14" a="1"/>
  <c r="E78" i="17"/>
  <c r="D46" i="17"/>
  <c r="D165" i="17"/>
  <c r="D38" i="17"/>
  <c r="H341" i="13" a="1"/>
  <c r="E263" i="17"/>
  <c r="M308" i="14" a="1"/>
  <c r="H260" i="13" a="1"/>
  <c r="H131" i="13" a="1"/>
  <c r="E159" i="17"/>
  <c r="D368" i="17"/>
  <c r="D277" i="17"/>
  <c r="M468" i="14" a="1"/>
  <c r="D72" i="17"/>
  <c r="H57" i="13" a="1"/>
  <c r="M493" i="14" a="1"/>
  <c r="D423" i="17"/>
  <c r="E313" i="17"/>
  <c r="M213" i="14" a="1"/>
  <c r="M350" i="14" a="1"/>
  <c r="M431" i="14" a="1"/>
  <c r="D296" i="17"/>
  <c r="M222" i="14" a="1"/>
  <c r="H382" i="13" a="1"/>
  <c r="D366" i="17"/>
  <c r="D289" i="17"/>
  <c r="E635" i="17"/>
  <c r="M520" i="14" a="1"/>
  <c r="M577" i="14" a="1"/>
  <c r="E161" i="17"/>
  <c r="M558" i="14" a="1"/>
  <c r="M383" i="14" a="1"/>
  <c r="M110" i="14" a="1"/>
  <c r="D699" i="17"/>
  <c r="D446" i="17"/>
  <c r="E678" i="17"/>
  <c r="M476" i="14" a="1"/>
  <c r="M561" i="14" a="1"/>
  <c r="D28" i="17"/>
  <c r="D186" i="17"/>
  <c r="D267" i="17"/>
  <c r="H88" i="13" a="1"/>
  <c r="M18" i="14" a="1"/>
  <c r="H172" i="13" a="1"/>
  <c r="E481" i="17"/>
  <c r="E94" i="17"/>
  <c r="D688" i="17"/>
  <c r="H297" i="13" a="1"/>
  <c r="D254" i="17"/>
  <c r="H535" i="13" a="1"/>
  <c r="H8" i="13" a="1"/>
  <c r="H76" i="13" a="1"/>
  <c r="H52" i="13" a="1"/>
  <c r="D396" i="17"/>
  <c r="M11" i="14" a="1"/>
  <c r="H401" i="13" a="1"/>
  <c r="H37" i="13" a="1"/>
  <c r="H90" i="13" a="1"/>
  <c r="E66" i="17"/>
  <c r="D59" i="17"/>
  <c r="E533" i="17"/>
  <c r="E689" i="17"/>
  <c r="H120" i="13" a="1"/>
  <c r="E56" i="17"/>
  <c r="M118" i="14" a="1"/>
  <c r="M594" i="14" a="1"/>
  <c r="H406" i="13" a="1"/>
  <c r="M16" i="14" a="1"/>
  <c r="H519" i="13" a="1"/>
  <c r="E211" i="17"/>
  <c r="M328" i="14" a="1"/>
  <c r="M403" i="14" a="1"/>
  <c r="H477" i="13" a="1"/>
  <c r="M647" i="14" a="1"/>
  <c r="M208" i="14" a="1"/>
  <c r="E513" i="17"/>
  <c r="E592" i="17"/>
  <c r="H361" i="13" a="1"/>
  <c r="D486" i="17"/>
  <c r="M682" i="14" a="1"/>
  <c r="D17" i="17"/>
  <c r="H186" i="13" a="1"/>
  <c r="E581" i="17"/>
  <c r="D460" i="17"/>
  <c r="E250" i="17"/>
  <c r="D502" i="17"/>
  <c r="E415" i="17"/>
  <c r="M180" i="14" a="1"/>
  <c r="H116" i="13" a="1"/>
  <c r="M224" i="14" a="1"/>
  <c r="M418" i="14" a="1"/>
  <c r="M605" i="14" a="1"/>
  <c r="D85" i="17"/>
  <c r="H94" i="13" a="1"/>
  <c r="H160" i="13" a="1"/>
  <c r="M117" i="14" a="1"/>
  <c r="M474" i="14" a="1"/>
  <c r="M719" i="14" a="1"/>
  <c r="M377" i="14" a="1"/>
  <c r="M297" i="14" a="1"/>
  <c r="M303" i="14" a="1"/>
  <c r="M480" i="14" a="1"/>
  <c r="H415" i="13" a="1"/>
  <c r="E180" i="17"/>
  <c r="D670" i="17"/>
  <c r="H282" i="13" a="1"/>
  <c r="E504" i="17"/>
  <c r="M232" i="14" a="1"/>
  <c r="M482" i="14" a="1"/>
  <c r="M582" i="14" a="1"/>
  <c r="E68" i="17"/>
  <c r="M503" i="14" a="1"/>
  <c r="M160" i="14" a="1"/>
  <c r="M316" i="14" a="1"/>
  <c r="M489" i="14" a="1"/>
  <c r="H165" i="13" a="1"/>
  <c r="H342" i="13" a="1"/>
  <c r="E711" i="17"/>
  <c r="M441" i="14" a="1"/>
  <c r="D176" i="17"/>
  <c r="E252" i="17"/>
  <c r="H525" i="13" a="1"/>
  <c r="E307" i="17"/>
  <c r="H7" i="13" a="1"/>
  <c r="M452" i="14" a="1"/>
  <c r="H85" i="13" a="1"/>
  <c r="H83" i="13" a="1"/>
  <c r="H455" i="13" a="1"/>
  <c r="M502" i="14" a="1"/>
  <c r="M179" i="14" a="1"/>
  <c r="E659" i="17"/>
  <c r="M7" i="14" a="1"/>
  <c r="D216" i="17"/>
  <c r="M214" i="14" a="1"/>
  <c r="D272" i="17"/>
  <c r="M379" i="14" a="1"/>
  <c r="M363" i="14" a="1"/>
  <c r="M459" i="14" a="1"/>
  <c r="E721" i="17"/>
  <c r="D341" i="17"/>
  <c r="H397" i="13" a="1"/>
  <c r="M514" i="14" a="1"/>
  <c r="M440" i="14" a="1"/>
  <c r="M668" i="14" a="1"/>
  <c r="M648" i="14" a="1"/>
  <c r="E642" i="17"/>
  <c r="M68" i="14" a="1"/>
  <c r="M252" i="14" a="1"/>
  <c r="H539" i="13" a="1"/>
  <c r="H273" i="13" a="1"/>
  <c r="H352" i="13" a="1"/>
  <c r="E278" i="17"/>
  <c r="D577" i="17"/>
  <c r="E398" i="17"/>
  <c r="H416" i="13" a="1"/>
  <c r="M661" i="14" a="1"/>
  <c r="D444" i="17"/>
  <c r="H179" i="13" a="1"/>
  <c r="M456" i="14" a="1"/>
  <c r="M82" i="14" a="1"/>
  <c r="H296" i="13" a="1"/>
  <c r="M412" i="14" a="1"/>
  <c r="M590" i="14" a="1"/>
  <c r="M593" i="14" a="1"/>
  <c r="H301" i="13" a="1"/>
  <c r="H130" i="13" a="1"/>
  <c r="H92" i="13" a="1"/>
  <c r="H470" i="13" a="1"/>
  <c r="M88" i="14" a="1"/>
  <c r="M301" i="14" a="1"/>
  <c r="H193" i="13" a="1"/>
  <c r="M221" i="14" a="1"/>
  <c r="D317" i="17"/>
  <c r="H156" i="13" a="1"/>
  <c r="H12" i="13" a="1"/>
  <c r="E378" i="17"/>
  <c r="M42" i="14" a="1"/>
  <c r="D611" i="17"/>
  <c r="D264" i="17"/>
  <c r="E589" i="17"/>
  <c r="D169" i="17"/>
  <c r="M93" i="14" a="1"/>
  <c r="D325" i="17"/>
  <c r="H155" i="13" a="1"/>
  <c r="E110" i="17"/>
  <c r="H41" i="13" a="1"/>
  <c r="M589" i="14" a="1"/>
  <c r="D291" i="17"/>
  <c r="M123" i="14" a="1"/>
  <c r="M701" i="14" a="1"/>
  <c r="M6" i="14" a="1"/>
  <c r="H101" i="13" a="1"/>
  <c r="D420" i="17"/>
  <c r="H404" i="13" a="1"/>
  <c r="H222" i="13" a="1"/>
  <c r="E679" i="17"/>
  <c r="H508" i="13" a="1"/>
  <c r="M559" i="14" a="1"/>
  <c r="E288" i="17"/>
  <c r="D278" i="17"/>
  <c r="D654" i="17"/>
  <c r="M334" i="14" a="1"/>
  <c r="D521" i="17"/>
  <c r="H334" i="13" a="1"/>
  <c r="M595" i="14" a="1"/>
  <c r="M240" i="14" a="1"/>
  <c r="E149" i="17"/>
  <c r="D632" i="17"/>
  <c r="D440" i="17"/>
  <c r="E558" i="17"/>
  <c r="H294" i="13" a="1"/>
  <c r="H17" i="13" a="1"/>
  <c r="M532" i="14" a="1"/>
  <c r="E591" i="17"/>
  <c r="M103" i="14" a="1"/>
  <c r="H285" i="13" a="1"/>
  <c r="H267" i="13" a="1"/>
  <c r="E58" i="17"/>
  <c r="H332" i="13" a="1"/>
  <c r="H149" i="13" a="1"/>
  <c r="E505" i="17"/>
  <c r="H421" i="13" a="1"/>
  <c r="M159" i="14" a="1"/>
  <c r="D99" i="17"/>
  <c r="H262" i="13" a="1"/>
  <c r="H180" i="13" a="1"/>
  <c r="D50" i="17"/>
  <c r="H517" i="13" a="1"/>
  <c r="H98" i="13" a="1"/>
  <c r="H507" i="13" a="1"/>
  <c r="M203" i="14" a="1"/>
  <c r="H343" i="13" a="1"/>
  <c r="D6" i="17"/>
  <c r="M462" i="14" a="1"/>
  <c r="D242" i="17"/>
  <c r="M274" i="14" a="1"/>
  <c r="E175" i="17"/>
  <c r="E548" i="17"/>
  <c r="M150" i="14" a="1"/>
  <c r="H473" i="13" a="1"/>
  <c r="M106" i="14" a="1"/>
  <c r="E435" i="17"/>
  <c r="M248" i="14" a="1"/>
  <c r="E254" i="17"/>
  <c r="H60" i="13" a="1"/>
  <c r="M122" i="14" a="1"/>
  <c r="D147" i="17"/>
  <c r="E239" i="17"/>
  <c r="H365" i="13" a="1"/>
  <c r="E430" i="17"/>
  <c r="E104" i="17"/>
  <c r="H513" i="13" a="1"/>
  <c r="E492" i="17"/>
  <c r="H257" i="13" a="1"/>
  <c r="H15" i="13" a="1"/>
  <c r="M291" i="14" a="1"/>
  <c r="E305" i="17"/>
  <c r="D329" i="17"/>
  <c r="M510" i="14" a="1"/>
  <c r="H300" i="13" a="1"/>
  <c r="E446" i="17"/>
  <c r="E135" i="17"/>
  <c r="M541" i="14" a="1"/>
  <c r="M320" i="14" a="1"/>
  <c r="H516" i="13" a="1"/>
  <c r="M494" i="14" a="1"/>
  <c r="M554" i="14" a="1"/>
  <c r="M243" i="14" a="1"/>
  <c r="M658" i="14" a="1"/>
  <c r="D626" i="17"/>
  <c r="D18" i="17"/>
  <c r="E538" i="17"/>
  <c r="D481" i="17"/>
  <c r="E67" i="17"/>
  <c r="H184" i="13" a="1"/>
  <c r="H335" i="13" a="1"/>
  <c r="H195" i="13" a="1"/>
  <c r="D219" i="17"/>
  <c r="H23" i="13" a="1"/>
  <c r="M25" i="14" a="1"/>
  <c r="E195" i="17"/>
  <c r="D518" i="17"/>
  <c r="M119" i="14" a="1"/>
  <c r="H215" i="13" a="1"/>
  <c r="M56" i="14" a="1"/>
  <c r="H236" i="13" a="1"/>
  <c r="H493" i="13" a="1"/>
  <c r="D228" i="17"/>
  <c r="M657" i="14" a="1"/>
  <c r="D263" i="17"/>
  <c r="D166" i="17"/>
  <c r="E97" i="17"/>
  <c r="H306" i="13" a="1"/>
  <c r="H272" i="13" a="1"/>
  <c r="E390" i="17"/>
  <c r="E372" i="17"/>
  <c r="H412" i="13" a="1"/>
  <c r="E297" i="17"/>
  <c r="H429" i="13" a="1"/>
  <c r="H413" i="13" a="1"/>
  <c r="H45" i="13" a="1"/>
  <c r="D634" i="17"/>
  <c r="D677" i="17"/>
  <c r="E501" i="17"/>
  <c r="D136" i="17"/>
  <c r="E243" i="17"/>
  <c r="H153" i="13" a="1"/>
  <c r="D397" i="17"/>
  <c r="M349" i="14" a="1"/>
  <c r="E53" i="17"/>
  <c r="D285" i="17"/>
  <c r="H66" i="13" a="1"/>
  <c r="H159" i="13" a="1"/>
  <c r="M617" i="14" a="1"/>
  <c r="D696" i="17"/>
  <c r="E41" i="17"/>
  <c r="M614" i="14" a="1"/>
  <c r="H27" i="13" a="1"/>
  <c r="E346" i="17"/>
  <c r="D67" i="17"/>
  <c r="M439" i="14" a="1"/>
  <c r="H523" i="13" a="1"/>
  <c r="M444" i="14" a="1"/>
  <c r="E271" i="17"/>
  <c r="E262" i="17"/>
  <c r="E42" i="17"/>
  <c r="M94" i="14" a="1"/>
  <c r="M378" i="14" a="1"/>
  <c r="H171" i="13" a="1"/>
  <c r="M630" i="14" a="1"/>
  <c r="H29" i="13" a="1"/>
  <c r="H393" i="13" a="1"/>
  <c r="H446" i="13" a="1"/>
  <c r="D701" i="17"/>
  <c r="H347" i="13" a="1"/>
  <c r="H67" i="13" a="1"/>
  <c r="M306" i="14" a="1"/>
  <c r="M498" i="14" a="1"/>
  <c r="M195" i="14" a="1"/>
  <c r="M228" i="14" a="1"/>
  <c r="M26" i="14" a="1"/>
  <c r="M484" i="14" a="1"/>
  <c r="E434" i="17"/>
  <c r="M417" i="14" a="1"/>
  <c r="H369" i="13" a="1"/>
  <c r="D553" i="17"/>
  <c r="D172" i="17"/>
  <c r="H259" i="13" a="1"/>
  <c r="H482" i="13" a="1"/>
  <c r="E702" i="17"/>
  <c r="E438" i="17"/>
  <c r="H138" i="13" a="1"/>
  <c r="M97" i="14" a="1"/>
  <c r="E382" i="17"/>
  <c r="D149" i="17"/>
  <c r="H111" i="13" a="1"/>
  <c r="M395" i="14" a="1"/>
  <c r="M402" i="14" a="1"/>
  <c r="M288" i="14" a="1"/>
  <c r="D664" i="17"/>
  <c r="M237" i="14" a="1"/>
  <c r="M339" i="14" a="1"/>
  <c r="M186" i="14" a="1"/>
  <c r="M108" i="14" a="1"/>
  <c r="M157" i="14" a="1"/>
  <c r="D572" i="17"/>
  <c r="H514" i="13" a="1"/>
  <c r="M575" i="14" a="1"/>
  <c r="H141" i="13" a="1"/>
  <c r="M254" i="14" a="1"/>
  <c r="E610" i="17"/>
  <c r="D479" i="17"/>
  <c r="M331" i="14" a="1"/>
  <c r="H447" i="13" a="1"/>
  <c r="M229" i="14" a="1"/>
  <c r="M197" i="14" a="1"/>
  <c r="M358" i="14" a="1"/>
  <c r="E166" i="17"/>
  <c r="M70" i="14" a="1"/>
  <c r="H289" i="13" a="1"/>
  <c r="H316" i="13" a="1"/>
  <c r="D454" i="17"/>
  <c r="E604" i="17"/>
  <c r="M275" i="14" a="1"/>
  <c r="E127" i="17"/>
  <c r="H13" i="13" a="1"/>
  <c r="E584" i="17"/>
  <c r="M191" i="14" a="1"/>
  <c r="E555" i="17"/>
  <c r="D13" i="17"/>
  <c r="H536" i="13" a="1"/>
  <c r="M631" i="14" a="1"/>
  <c r="E356" i="17"/>
  <c r="M496" i="14" a="1"/>
  <c r="M566" i="14" a="1"/>
  <c r="M113" i="14" a="1"/>
  <c r="D395" i="17"/>
  <c r="H474" i="13" a="1"/>
  <c r="M578" i="14" a="1"/>
  <c r="D19" i="17"/>
  <c r="H419" i="13" a="1"/>
  <c r="M141" i="14" a="1"/>
  <c r="H453" i="13" a="1"/>
  <c r="M400" i="14" a="1"/>
  <c r="H426" i="13" a="1"/>
  <c r="M280" i="14" a="1"/>
  <c r="M551" i="14" a="1"/>
  <c r="H449" i="13" a="1"/>
  <c r="M49" i="14" a="1"/>
  <c r="D424" i="17"/>
  <c r="M666" i="14" a="1"/>
  <c r="H133" i="13" a="1"/>
  <c r="D188" i="17"/>
  <c r="M527" i="14" a="1"/>
  <c r="M683" i="14" a="1"/>
  <c r="E281" i="17"/>
  <c r="H48" i="13" a="1"/>
  <c r="H247" i="13" a="1"/>
  <c r="D170" i="17"/>
  <c r="D697" i="17"/>
  <c r="D362" i="17"/>
  <c r="M348" i="14" a="1"/>
  <c r="D662" i="17"/>
  <c r="M612" i="14" a="1"/>
  <c r="D158" i="17"/>
  <c r="M12" i="14" a="1"/>
  <c r="M24" i="14" a="1"/>
  <c r="H283" i="13" a="1"/>
  <c r="E267" i="17"/>
  <c r="M22" i="14" a="1"/>
  <c r="H287" i="13" a="1"/>
  <c r="E301" i="17"/>
  <c r="M220" i="14" a="1"/>
  <c r="M66" i="14" a="1"/>
  <c r="M48" i="14" a="1"/>
  <c r="M239" i="14" a="1"/>
  <c r="M168" i="14" a="1"/>
  <c r="M206" i="14" a="1"/>
  <c r="M467" i="14" a="1"/>
  <c r="D77" i="17"/>
  <c r="M246" i="14" a="1"/>
  <c r="H360" i="13" a="1"/>
  <c r="G31" i="5" l="1"/>
  <c r="F48" i="5"/>
  <c r="G48" i="5" s="1"/>
  <c r="P66" i="5"/>
  <c r="P67" i="5"/>
  <c r="P79" i="5"/>
  <c r="P101" i="5"/>
  <c r="P108" i="5"/>
  <c r="P134" i="5"/>
  <c r="P139" i="5"/>
  <c r="P147" i="5"/>
  <c r="P157" i="5"/>
  <c r="P162" i="5"/>
  <c r="P186" i="5"/>
  <c r="P188" i="5"/>
  <c r="P190" i="5"/>
  <c r="P193" i="5"/>
  <c r="P195" i="5"/>
  <c r="P198" i="5"/>
  <c r="P218" i="5"/>
  <c r="P246" i="5"/>
  <c r="P252" i="5"/>
  <c r="P259" i="5"/>
  <c r="P337" i="5"/>
  <c r="P343" i="5"/>
  <c r="P407" i="5"/>
  <c r="P429" i="5"/>
  <c r="P447" i="5"/>
  <c r="P459" i="5"/>
  <c r="P469" i="5"/>
  <c r="P485" i="5"/>
  <c r="P490" i="5"/>
  <c r="P492" i="5"/>
  <c r="P497" i="5"/>
  <c r="P500" i="5"/>
  <c r="P504" i="5"/>
  <c r="P506" i="5"/>
  <c r="P529" i="5"/>
  <c r="P537" i="5"/>
  <c r="P558" i="5"/>
  <c r="P619" i="5"/>
  <c r="P687" i="5"/>
  <c r="P694" i="5"/>
  <c r="P711" i="5"/>
  <c r="G517" i="6"/>
  <c r="H517" i="6"/>
  <c r="I517" i="6" s="1"/>
  <c r="P7" i="7"/>
  <c r="P15" i="7"/>
  <c r="P60" i="7"/>
  <c r="P79" i="7"/>
  <c r="P108" i="7"/>
  <c r="P134" i="7"/>
  <c r="P240" i="7"/>
  <c r="P251" i="7"/>
  <c r="P253" i="7"/>
  <c r="P258" i="7"/>
  <c r="P260" i="7"/>
  <c r="P337" i="7"/>
  <c r="P342" i="7"/>
  <c r="P407" i="7"/>
  <c r="P430" i="7"/>
  <c r="P445" i="7"/>
  <c r="P450" i="7"/>
  <c r="P460" i="7"/>
  <c r="P467" i="7"/>
  <c r="P475" i="7"/>
  <c r="P498" i="7"/>
  <c r="P505" i="7"/>
  <c r="P681" i="7"/>
  <c r="P696" i="7"/>
  <c r="P711" i="7"/>
  <c r="P715" i="7"/>
  <c r="L425" i="11"/>
  <c r="S425" i="11"/>
  <c r="T425" i="11" s="1"/>
  <c r="L716" i="11"/>
  <c r="S716" i="11"/>
  <c r="H360" i="13"/>
  <c r="M246" i="14"/>
  <c r="F77" i="17"/>
  <c r="H77" i="17" s="1"/>
  <c r="M467" i="14"/>
  <c r="M206" i="14"/>
  <c r="M168" i="14"/>
  <c r="M239" i="14"/>
  <c r="M48" i="14"/>
  <c r="M66" i="14"/>
  <c r="M220" i="14"/>
  <c r="H287" i="13"/>
  <c r="M22" i="14"/>
  <c r="H283" i="13"/>
  <c r="M24" i="14"/>
  <c r="M12" i="14"/>
  <c r="F158" i="17"/>
  <c r="H158" i="17" s="1"/>
  <c r="M612" i="14"/>
  <c r="F662" i="17"/>
  <c r="H662" i="17" s="1"/>
  <c r="M348" i="14"/>
  <c r="F362" i="17"/>
  <c r="H362" i="17" s="1"/>
  <c r="F697" i="17"/>
  <c r="H697" i="17" s="1"/>
  <c r="F170" i="17"/>
  <c r="H170" i="17" s="1"/>
  <c r="H247" i="13"/>
  <c r="H48" i="13"/>
  <c r="M683" i="14"/>
  <c r="M527" i="14"/>
  <c r="F188" i="17"/>
  <c r="H188" i="17" s="1"/>
  <c r="H133" i="13"/>
  <c r="M666" i="14"/>
  <c r="F424" i="17"/>
  <c r="H424" i="17" s="1"/>
  <c r="M49" i="14"/>
  <c r="H449" i="13"/>
  <c r="M551" i="14"/>
  <c r="M280" i="14"/>
  <c r="H426" i="13"/>
  <c r="M400" i="14"/>
  <c r="H453" i="13"/>
  <c r="M141" i="14"/>
  <c r="H419" i="13"/>
  <c r="F19" i="17"/>
  <c r="H19" i="17" s="1"/>
  <c r="M578" i="14"/>
  <c r="H474" i="13"/>
  <c r="F395" i="17"/>
  <c r="H395" i="17" s="1"/>
  <c r="M113" i="14"/>
  <c r="M566" i="14"/>
  <c r="M496" i="14"/>
  <c r="M631" i="14"/>
  <c r="H536" i="13"/>
  <c r="F13" i="17"/>
  <c r="H13" i="17" s="1"/>
  <c r="M191" i="14"/>
  <c r="H13" i="13"/>
  <c r="M275" i="14"/>
  <c r="F454" i="17"/>
  <c r="H454" i="17" s="1"/>
  <c r="H316" i="13"/>
  <c r="H289" i="13"/>
  <c r="M70" i="14"/>
  <c r="M358" i="14"/>
  <c r="M197" i="14"/>
  <c r="M229" i="14"/>
  <c r="H447" i="13"/>
  <c r="M331" i="14"/>
  <c r="F479" i="17"/>
  <c r="H479" i="17" s="1"/>
  <c r="M254" i="14"/>
  <c r="H141" i="13"/>
  <c r="M575" i="14"/>
  <c r="H514" i="13"/>
  <c r="F572" i="17"/>
  <c r="H572" i="17" s="1"/>
  <c r="M157" i="14"/>
  <c r="M108" i="14"/>
  <c r="M186" i="14"/>
  <c r="M339" i="14"/>
  <c r="M237" i="14"/>
  <c r="F664" i="17"/>
  <c r="H664" i="17" s="1"/>
  <c r="M288" i="14"/>
  <c r="M402" i="14"/>
  <c r="M395" i="14"/>
  <c r="H111" i="13"/>
  <c r="F149" i="17"/>
  <c r="H149" i="17" s="1"/>
  <c r="M97" i="14"/>
  <c r="H138" i="13"/>
  <c r="H482" i="13"/>
  <c r="H259" i="13"/>
  <c r="F172" i="17"/>
  <c r="H172" i="17" s="1"/>
  <c r="F553" i="17"/>
  <c r="H553" i="17" s="1"/>
  <c r="H369" i="13"/>
  <c r="M417" i="14"/>
  <c r="M484" i="14"/>
  <c r="M26" i="14"/>
  <c r="M228" i="14"/>
  <c r="M195" i="14"/>
  <c r="M498" i="14"/>
  <c r="M306" i="14"/>
  <c r="H67" i="13"/>
  <c r="H347" i="13"/>
  <c r="F701" i="17"/>
  <c r="H701" i="17" s="1"/>
  <c r="H446" i="13"/>
  <c r="H393" i="13"/>
  <c r="H29" i="13"/>
  <c r="M630" i="14"/>
  <c r="H171" i="13"/>
  <c r="M378" i="14"/>
  <c r="M94" i="14"/>
  <c r="M444" i="14"/>
  <c r="H523" i="13"/>
  <c r="M439" i="14"/>
  <c r="F67" i="17"/>
  <c r="H67" i="17" s="1"/>
  <c r="H27" i="13"/>
  <c r="M614" i="14"/>
  <c r="F696" i="17"/>
  <c r="H696" i="17" s="1"/>
  <c r="M617" i="14"/>
  <c r="H159" i="13"/>
  <c r="H66" i="13"/>
  <c r="F285" i="17"/>
  <c r="H285" i="17" s="1"/>
  <c r="M349" i="14"/>
  <c r="F397" i="17"/>
  <c r="H397" i="17" s="1"/>
  <c r="H153" i="13"/>
  <c r="F136" i="17"/>
  <c r="H136" i="17" s="1"/>
  <c r="F677" i="17"/>
  <c r="H677" i="17" s="1"/>
  <c r="F634" i="17"/>
  <c r="H634" i="17" s="1"/>
  <c r="H45" i="13"/>
  <c r="H413" i="13"/>
  <c r="H429" i="13"/>
  <c r="H412" i="13"/>
  <c r="H272" i="13"/>
  <c r="H306" i="13"/>
  <c r="F166" i="17"/>
  <c r="H166" i="17" s="1"/>
  <c r="F263" i="17"/>
  <c r="H263" i="17" s="1"/>
  <c r="M657" i="14"/>
  <c r="F228" i="17"/>
  <c r="H228" i="17" s="1"/>
  <c r="H493" i="13"/>
  <c r="H236" i="13"/>
  <c r="M56" i="14"/>
  <c r="H215" i="13"/>
  <c r="M119" i="14"/>
  <c r="F518" i="17"/>
  <c r="M25" i="14"/>
  <c r="H23" i="13"/>
  <c r="F219" i="17"/>
  <c r="H219" i="17" s="1"/>
  <c r="H195" i="13"/>
  <c r="H335" i="13"/>
  <c r="H184" i="13"/>
  <c r="F481" i="17"/>
  <c r="H481" i="17" s="1"/>
  <c r="F18" i="17"/>
  <c r="H18" i="17" s="1"/>
  <c r="F626" i="17"/>
  <c r="H626" i="17" s="1"/>
  <c r="M658" i="14"/>
  <c r="M243" i="14"/>
  <c r="M554" i="14"/>
  <c r="M494" i="14"/>
  <c r="H516" i="13"/>
  <c r="M320" i="14"/>
  <c r="M541" i="14"/>
  <c r="H300" i="13"/>
  <c r="M510" i="14"/>
  <c r="F329" i="17"/>
  <c r="H329" i="17" s="1"/>
  <c r="M291" i="14"/>
  <c r="H15" i="13"/>
  <c r="H257" i="13"/>
  <c r="H513" i="13"/>
  <c r="H365" i="13"/>
  <c r="F147" i="17"/>
  <c r="H147" i="17" s="1"/>
  <c r="M122" i="14"/>
  <c r="H60" i="13"/>
  <c r="M248" i="14"/>
  <c r="M106" i="14"/>
  <c r="H473" i="13"/>
  <c r="M150" i="14"/>
  <c r="M274" i="14"/>
  <c r="F242" i="17"/>
  <c r="H242" i="17" s="1"/>
  <c r="M462" i="14"/>
  <c r="F6" i="17"/>
  <c r="H6" i="17" s="1"/>
  <c r="H343" i="13"/>
  <c r="M203" i="14"/>
  <c r="H507" i="13"/>
  <c r="H98" i="13"/>
  <c r="H517" i="13"/>
  <c r="F50" i="17"/>
  <c r="H50" i="17" s="1"/>
  <c r="H180" i="13"/>
  <c r="H262" i="13"/>
  <c r="F99" i="17"/>
  <c r="H99" i="17" s="1"/>
  <c r="M159" i="14"/>
  <c r="H421" i="13"/>
  <c r="H149" i="13"/>
  <c r="H332" i="13"/>
  <c r="H267" i="13"/>
  <c r="H285" i="13"/>
  <c r="M103" i="14"/>
  <c r="M532" i="14"/>
  <c r="H17" i="13"/>
  <c r="H294" i="13"/>
  <c r="F440" i="17"/>
  <c r="H440" i="17" s="1"/>
  <c r="F632" i="17"/>
  <c r="H632" i="17" s="1"/>
  <c r="M240" i="14"/>
  <c r="M595" i="14"/>
  <c r="H334" i="13"/>
  <c r="F521" i="17"/>
  <c r="H521" i="17" s="1"/>
  <c r="M334" i="14"/>
  <c r="F654" i="17"/>
  <c r="H654" i="17" s="1"/>
  <c r="F278" i="17"/>
  <c r="H278" i="17" s="1"/>
  <c r="M559" i="14"/>
  <c r="H508" i="13"/>
  <c r="H222" i="13"/>
  <c r="H404" i="13"/>
  <c r="F420" i="17"/>
  <c r="H420" i="17" s="1"/>
  <c r="H101" i="13"/>
  <c r="M6" i="14"/>
  <c r="M701" i="14"/>
  <c r="M123" i="14"/>
  <c r="F291" i="17"/>
  <c r="H291" i="17" s="1"/>
  <c r="M589" i="14"/>
  <c r="H41" i="13"/>
  <c r="H155" i="13"/>
  <c r="F325" i="17"/>
  <c r="H325" i="17" s="1"/>
  <c r="M93" i="14"/>
  <c r="F169" i="17"/>
  <c r="H169" i="17" s="1"/>
  <c r="F264" i="17"/>
  <c r="H264" i="17" s="1"/>
  <c r="F611" i="17"/>
  <c r="H611" i="17" s="1"/>
  <c r="M42" i="14"/>
  <c r="H12" i="13"/>
  <c r="H156" i="13"/>
  <c r="F317" i="17"/>
  <c r="H317" i="17" s="1"/>
  <c r="M221" i="14"/>
  <c r="H193" i="13"/>
  <c r="M301" i="14"/>
  <c r="M88" i="14"/>
  <c r="H470" i="13"/>
  <c r="H92" i="13"/>
  <c r="H130" i="13"/>
  <c r="H301" i="13"/>
  <c r="M593" i="14"/>
  <c r="M590" i="14"/>
  <c r="M412" i="14"/>
  <c r="H296" i="13"/>
  <c r="M82" i="14"/>
  <c r="M456" i="14"/>
  <c r="H179" i="13"/>
  <c r="F444" i="17"/>
  <c r="H444" i="17" s="1"/>
  <c r="M661" i="14"/>
  <c r="H416" i="13"/>
  <c r="F577" i="17"/>
  <c r="H577" i="17" s="1"/>
  <c r="H352" i="13"/>
  <c r="H273" i="13"/>
  <c r="H539" i="13"/>
  <c r="M252" i="14"/>
  <c r="M68" i="14"/>
  <c r="M648" i="14"/>
  <c r="M668" i="14"/>
  <c r="M440" i="14"/>
  <c r="M514" i="14"/>
  <c r="H397" i="13"/>
  <c r="F341" i="17"/>
  <c r="H341" i="17" s="1"/>
  <c r="M459" i="14"/>
  <c r="M363" i="14"/>
  <c r="M379" i="14"/>
  <c r="F272" i="17"/>
  <c r="H272" i="17" s="1"/>
  <c r="M214" i="14"/>
  <c r="F216" i="17"/>
  <c r="H216" i="17" s="1"/>
  <c r="M7" i="14"/>
  <c r="M179" i="14"/>
  <c r="M502" i="14"/>
  <c r="H455" i="13"/>
  <c r="H83" i="13"/>
  <c r="H85" i="13"/>
  <c r="M452" i="14"/>
  <c r="H7" i="13"/>
  <c r="H525" i="13"/>
  <c r="F176" i="17"/>
  <c r="H176" i="17" s="1"/>
  <c r="M441" i="14"/>
  <c r="H342" i="13"/>
  <c r="H165" i="13"/>
  <c r="M489" i="14"/>
  <c r="M316" i="14"/>
  <c r="M160" i="14"/>
  <c r="M503" i="14"/>
  <c r="M582" i="14"/>
  <c r="M482" i="14"/>
  <c r="M232" i="14"/>
  <c r="H282" i="13"/>
  <c r="F670" i="17"/>
  <c r="H670" i="17" s="1"/>
  <c r="H415" i="13"/>
  <c r="M480" i="14"/>
  <c r="M303" i="14"/>
  <c r="M297" i="14"/>
  <c r="M377" i="14"/>
  <c r="M719" i="14"/>
  <c r="M474" i="14"/>
  <c r="M117" i="14"/>
  <c r="H160" i="13"/>
  <c r="H94" i="13"/>
  <c r="F85" i="17"/>
  <c r="H85" i="17" s="1"/>
  <c r="M605" i="14"/>
  <c r="M418" i="14"/>
  <c r="M224" i="14"/>
  <c r="H116" i="13"/>
  <c r="M180" i="14"/>
  <c r="F502" i="17"/>
  <c r="H502" i="17" s="1"/>
  <c r="F460" i="17"/>
  <c r="H460" i="17" s="1"/>
  <c r="H186" i="13"/>
  <c r="F17" i="17"/>
  <c r="H17" i="17" s="1"/>
  <c r="M682" i="14"/>
  <c r="F486" i="17"/>
  <c r="H486" i="17" s="1"/>
  <c r="H361" i="13"/>
  <c r="M208" i="14"/>
  <c r="M647" i="14"/>
  <c r="H477" i="13"/>
  <c r="M403" i="14"/>
  <c r="M328" i="14"/>
  <c r="H519" i="13"/>
  <c r="M16" i="14"/>
  <c r="H406" i="13"/>
  <c r="M594" i="14"/>
  <c r="M118" i="14"/>
  <c r="H120" i="13"/>
  <c r="F59" i="17"/>
  <c r="H59" i="17" s="1"/>
  <c r="H90" i="13"/>
  <c r="H37" i="13"/>
  <c r="H401" i="13"/>
  <c r="M11" i="14"/>
  <c r="F396" i="17"/>
  <c r="H396" i="17" s="1"/>
  <c r="H52" i="13"/>
  <c r="H76" i="13"/>
  <c r="H8" i="13"/>
  <c r="H535" i="13"/>
  <c r="F254" i="17"/>
  <c r="H254" i="17" s="1"/>
  <c r="H297" i="13"/>
  <c r="F688" i="17"/>
  <c r="H688" i="17" s="1"/>
  <c r="H172" i="13"/>
  <c r="M18" i="14"/>
  <c r="H88" i="13"/>
  <c r="F267" i="17"/>
  <c r="H267" i="17" s="1"/>
  <c r="F186" i="17"/>
  <c r="H186" i="17" s="1"/>
  <c r="F28" i="17"/>
  <c r="H28" i="17" s="1"/>
  <c r="M561" i="14"/>
  <c r="M476" i="14"/>
  <c r="F446" i="17"/>
  <c r="H446" i="17" s="1"/>
  <c r="F699" i="17"/>
  <c r="H699" i="17" s="1"/>
  <c r="M110" i="14"/>
  <c r="M383" i="14"/>
  <c r="M558" i="14"/>
  <c r="M577" i="14"/>
  <c r="M520" i="14"/>
  <c r="F289" i="17"/>
  <c r="H289" i="17" s="1"/>
  <c r="F366" i="17"/>
  <c r="H366" i="17" s="1"/>
  <c r="H382" i="13"/>
  <c r="M222" i="14"/>
  <c r="F296" i="17"/>
  <c r="H296" i="17" s="1"/>
  <c r="M431" i="14"/>
  <c r="M350" i="14"/>
  <c r="M213" i="14"/>
  <c r="F423" i="17"/>
  <c r="H423" i="17" s="1"/>
  <c r="M493" i="14"/>
  <c r="H57" i="13"/>
  <c r="F72" i="17"/>
  <c r="H72" i="17" s="1"/>
  <c r="M468" i="14"/>
  <c r="F277" i="17"/>
  <c r="H277" i="17" s="1"/>
  <c r="F368" i="17"/>
  <c r="H368" i="17" s="1"/>
  <c r="H131" i="13"/>
  <c r="H260" i="13"/>
  <c r="M308" i="14"/>
  <c r="H341" i="13"/>
  <c r="F38" i="17"/>
  <c r="H38" i="17" s="1"/>
  <c r="F165" i="17"/>
  <c r="H165" i="17" s="1"/>
  <c r="F46" i="17"/>
  <c r="H46" i="17" s="1"/>
  <c r="M610" i="14"/>
  <c r="F615" i="17"/>
  <c r="H615" i="17" s="1"/>
  <c r="H298" i="13"/>
  <c r="H126" i="13"/>
  <c r="F190" i="17"/>
  <c r="H190" i="17" s="1"/>
  <c r="H234" i="13"/>
  <c r="H329" i="13"/>
  <c r="H132" i="13"/>
  <c r="M19" i="14"/>
  <c r="H173" i="13"/>
  <c r="H177" i="13"/>
  <c r="M531" i="14"/>
  <c r="M410" i="14"/>
  <c r="H534" i="13"/>
  <c r="M91" i="14"/>
  <c r="F123" i="17"/>
  <c r="H123" i="17" s="1"/>
  <c r="M99" i="14"/>
  <c r="H245" i="13"/>
  <c r="F715" i="17"/>
  <c r="H715" i="17" s="1"/>
  <c r="H537" i="13"/>
  <c r="M120" i="14"/>
  <c r="H239" i="13"/>
  <c r="F5" i="17"/>
  <c r="H5" i="17" s="1"/>
  <c r="F211" i="17"/>
  <c r="H211" i="17" s="1"/>
  <c r="M674" i="14"/>
  <c r="H55" i="13"/>
  <c r="H11" i="13"/>
  <c r="M371" i="14"/>
  <c r="H6" i="13"/>
  <c r="H163" i="13"/>
  <c r="M35" i="14"/>
  <c r="F304" i="17"/>
  <c r="H304" i="17" s="1"/>
  <c r="M522" i="14"/>
  <c r="H440" i="13"/>
  <c r="H489" i="13"/>
  <c r="M262" i="14"/>
  <c r="H284" i="13"/>
  <c r="M625" i="14"/>
  <c r="F451" i="17"/>
  <c r="H451" i="17" s="1"/>
  <c r="M438" i="14"/>
  <c r="H500" i="13"/>
  <c r="H87" i="13"/>
  <c r="H176" i="13"/>
  <c r="H336" i="13"/>
  <c r="M600" i="14"/>
  <c r="M427" i="14"/>
  <c r="H320" i="13"/>
  <c r="M92" i="14"/>
  <c r="F559" i="17"/>
  <c r="H559" i="17" s="1"/>
  <c r="F182" i="17"/>
  <c r="H182" i="17" s="1"/>
  <c r="F567" i="17"/>
  <c r="H567" i="17" s="1"/>
  <c r="F509" i="17"/>
  <c r="H509" i="17" s="1"/>
  <c r="M516" i="14"/>
  <c r="H157" i="13"/>
  <c r="F231" i="17"/>
  <c r="H231" i="17" s="1"/>
  <c r="M391" i="14"/>
  <c r="M398" i="14"/>
  <c r="H368" i="13"/>
  <c r="F105" i="17"/>
  <c r="H105" i="17" s="1"/>
  <c r="F122" i="17"/>
  <c r="H122" i="17" s="1"/>
  <c r="F565" i="17"/>
  <c r="H565" i="17" s="1"/>
  <c r="M373" i="14"/>
  <c r="M136" i="14"/>
  <c r="M264" i="14"/>
  <c r="M355" i="14"/>
  <c r="H68" i="13"/>
  <c r="H522" i="13"/>
  <c r="M680" i="14"/>
  <c r="M52" i="14"/>
  <c r="M675" i="14"/>
  <c r="H445" i="13"/>
  <c r="M375" i="14"/>
  <c r="M654" i="14"/>
  <c r="H436" i="13"/>
  <c r="M290" i="14"/>
  <c r="F353" i="17"/>
  <c r="H353" i="17" s="1"/>
  <c r="M549" i="14"/>
  <c r="H540" i="13"/>
  <c r="H308" i="13"/>
  <c r="H293" i="13"/>
  <c r="M215" i="14"/>
  <c r="M81" i="14"/>
  <c r="M650" i="14"/>
  <c r="M564" i="14"/>
  <c r="H178" i="13"/>
  <c r="M79" i="14"/>
  <c r="H62" i="13"/>
  <c r="F487" i="17"/>
  <c r="H487" i="17" s="1"/>
  <c r="F589" i="17"/>
  <c r="H589" i="17" s="1"/>
  <c r="H402" i="13"/>
  <c r="M574" i="14"/>
  <c r="F236" i="17"/>
  <c r="H236" i="17" s="1"/>
  <c r="M455" i="14"/>
  <c r="F14" i="17"/>
  <c r="H14" i="17" s="1"/>
  <c r="M547" i="14"/>
  <c r="H351" i="13"/>
  <c r="M506" i="14"/>
  <c r="H123" i="13"/>
  <c r="M185" i="14"/>
  <c r="M282" i="14"/>
  <c r="M607" i="14"/>
  <c r="F610" i="17"/>
  <c r="H610" i="17" s="1"/>
  <c r="H117" i="13"/>
  <c r="M102" i="14"/>
  <c r="M598" i="14"/>
  <c r="M645" i="14"/>
  <c r="F167" i="17"/>
  <c r="H167" i="17" s="1"/>
  <c r="H505" i="13"/>
  <c r="H187" i="13"/>
  <c r="F490" i="17"/>
  <c r="H490" i="17" s="1"/>
  <c r="H170" i="13"/>
  <c r="F355" i="17"/>
  <c r="H355" i="17" s="1"/>
  <c r="M126" i="14"/>
  <c r="H533" i="13"/>
  <c r="M381" i="14"/>
  <c r="F101" i="17"/>
  <c r="H101" i="17" s="1"/>
  <c r="H69" i="13"/>
  <c r="M552" i="14"/>
  <c r="F82" i="17"/>
  <c r="H82" i="17" s="1"/>
  <c r="H214" i="13"/>
  <c r="F25" i="17"/>
  <c r="H25" i="17" s="1"/>
  <c r="F302" i="17"/>
  <c r="H302" i="17" s="1"/>
  <c r="M601" i="14"/>
  <c r="M613" i="14"/>
  <c r="H375" i="13"/>
  <c r="M446" i="14"/>
  <c r="M250" i="14"/>
  <c r="M294" i="14"/>
  <c r="M565" i="14"/>
  <c r="M296" i="14"/>
  <c r="F342" i="17"/>
  <c r="H342" i="17" s="1"/>
  <c r="M581" i="14"/>
  <c r="F33" i="17"/>
  <c r="H33" i="17" s="1"/>
  <c r="M504" i="14"/>
  <c r="M576" i="14"/>
  <c r="M435" i="14"/>
  <c r="F698" i="17"/>
  <c r="H698" i="17" s="1"/>
  <c r="M464" i="14"/>
  <c r="F327" i="17"/>
  <c r="H327" i="17" s="1"/>
  <c r="M137" i="14"/>
  <c r="H21" i="13"/>
  <c r="H218" i="13"/>
  <c r="H275" i="13"/>
  <c r="H148" i="13"/>
  <c r="H212" i="13"/>
  <c r="H213" i="13"/>
  <c r="H407" i="13"/>
  <c r="H225" i="13"/>
  <c r="M78" i="14"/>
  <c r="H333" i="13"/>
  <c r="F224" i="17"/>
  <c r="H224" i="17" s="1"/>
  <c r="M34" i="14"/>
  <c r="M644" i="14"/>
  <c r="H299" i="13"/>
  <c r="M218" i="14"/>
  <c r="H190" i="13"/>
  <c r="H409" i="13"/>
  <c r="M61" i="14"/>
  <c r="H51" i="13"/>
  <c r="H498" i="13"/>
  <c r="H39" i="13"/>
  <c r="F145" i="17"/>
  <c r="H145" i="17" s="1"/>
  <c r="H430" i="13"/>
  <c r="M687" i="14"/>
  <c r="F484" i="17"/>
  <c r="H484" i="17" s="1"/>
  <c r="M508" i="14"/>
  <c r="M573" i="14"/>
  <c r="H241" i="13"/>
  <c r="H134" i="13"/>
  <c r="F470" i="17"/>
  <c r="H470" i="17" s="1"/>
  <c r="F619" i="17"/>
  <c r="H619" i="17" s="1"/>
  <c r="H428" i="13"/>
  <c r="F20" i="17"/>
  <c r="H20" i="17" s="1"/>
  <c r="H319" i="13"/>
  <c r="F581" i="17"/>
  <c r="H581" i="17" s="1"/>
  <c r="M182" i="14"/>
  <c r="H484" i="13"/>
  <c r="H462" i="13"/>
  <c r="F42" i="17"/>
  <c r="H42" i="17" s="1"/>
  <c r="F69" i="17"/>
  <c r="H69" i="17" s="1"/>
  <c r="H106" i="13"/>
  <c r="H443" i="13"/>
  <c r="F403" i="17"/>
  <c r="H403" i="17" s="1"/>
  <c r="F416" i="17"/>
  <c r="H416" i="17" s="1"/>
  <c r="M322" i="14"/>
  <c r="H229" i="13"/>
  <c r="M281" i="14"/>
  <c r="F443" i="17"/>
  <c r="H443" i="17" s="1"/>
  <c r="M67" i="14"/>
  <c r="M374" i="14"/>
  <c r="M529" i="14"/>
  <c r="H44" i="13"/>
  <c r="M420" i="14"/>
  <c r="M637" i="14"/>
  <c r="F311" i="17"/>
  <c r="H311" i="17" s="1"/>
  <c r="M307" i="14"/>
  <c r="H314" i="13"/>
  <c r="H71" i="13"/>
  <c r="M604" i="14"/>
  <c r="H38" i="13"/>
  <c r="M543" i="14"/>
  <c r="F336" i="17"/>
  <c r="H336" i="17" s="1"/>
  <c r="H315" i="13"/>
  <c r="M399" i="14"/>
  <c r="M453" i="14"/>
  <c r="M361" i="14"/>
  <c r="F273" i="17"/>
  <c r="H273" i="17" s="1"/>
  <c r="M599" i="14"/>
  <c r="H91" i="13"/>
  <c r="F153" i="17"/>
  <c r="H153" i="17" s="1"/>
  <c r="M447" i="14"/>
  <c r="H150" i="13"/>
  <c r="F704" i="17"/>
  <c r="H704" i="17" s="1"/>
  <c r="F574" i="17"/>
  <c r="H574" i="17" s="1"/>
  <c r="H530" i="13"/>
  <c r="M202" i="14"/>
  <c r="M234" i="14"/>
  <c r="F288" i="17"/>
  <c r="H288" i="17" s="1"/>
  <c r="H515" i="13"/>
  <c r="M241" i="14"/>
  <c r="H224" i="13"/>
  <c r="F561" i="17"/>
  <c r="H561" i="17" s="1"/>
  <c r="M621" i="14"/>
  <c r="M267" i="14"/>
  <c r="H459" i="13"/>
  <c r="M164" i="14"/>
  <c r="H481" i="13"/>
  <c r="H24" i="13"/>
  <c r="H53" i="13"/>
  <c r="H210" i="13"/>
  <c r="M693" i="14"/>
  <c r="M198" i="14"/>
  <c r="F91" i="17"/>
  <c r="H91" i="17" s="1"/>
  <c r="H356" i="13"/>
  <c r="H468" i="13"/>
  <c r="H355" i="13"/>
  <c r="H270" i="13"/>
  <c r="M343" i="14"/>
  <c r="H353" i="13"/>
  <c r="M465" i="14"/>
  <c r="M172" i="14"/>
  <c r="M585" i="14"/>
  <c r="H391" i="13"/>
  <c r="H89" i="13"/>
  <c r="M193" i="14"/>
  <c r="H295" i="13"/>
  <c r="M507" i="14"/>
  <c r="M636" i="14"/>
  <c r="M570" i="14"/>
  <c r="H405" i="13"/>
  <c r="M643" i="14"/>
  <c r="M60" i="14"/>
  <c r="M671" i="14"/>
  <c r="F472" i="17"/>
  <c r="H472" i="17" s="1"/>
  <c r="H378" i="13"/>
  <c r="H380" i="13"/>
  <c r="H82" i="13"/>
  <c r="M285" i="14"/>
  <c r="H454" i="13"/>
  <c r="H20" i="13"/>
  <c r="F314" i="17"/>
  <c r="H314" i="17" s="1"/>
  <c r="M519" i="14"/>
  <c r="M151" i="14"/>
  <c r="M596" i="14"/>
  <c r="H331" i="13"/>
  <c r="F461" i="17"/>
  <c r="H461" i="17" s="1"/>
  <c r="F29" i="17"/>
  <c r="H29" i="17" s="1"/>
  <c r="M591" i="14"/>
  <c r="F168" i="17"/>
  <c r="H168" i="17" s="1"/>
  <c r="M485" i="14"/>
  <c r="H325" i="13"/>
  <c r="F361" i="17"/>
  <c r="H361" i="17" s="1"/>
  <c r="H469" i="13"/>
  <c r="M659" i="14"/>
  <c r="H78" i="13"/>
  <c r="M58" i="14"/>
  <c r="F668" i="17"/>
  <c r="H668" i="17" s="1"/>
  <c r="H461" i="13"/>
  <c r="F259" i="17"/>
  <c r="H259" i="17" s="1"/>
  <c r="H520" i="13"/>
  <c r="M511" i="14"/>
  <c r="M424" i="14"/>
  <c r="M249" i="14"/>
  <c r="H362" i="13"/>
  <c r="H358" i="13"/>
  <c r="H363" i="13"/>
  <c r="F501" i="17"/>
  <c r="H501" i="17" s="1"/>
  <c r="H512" i="13"/>
  <c r="F213" i="17"/>
  <c r="H213" i="17" s="1"/>
  <c r="M517" i="14"/>
  <c r="H246" i="13"/>
  <c r="H19" i="13"/>
  <c r="H9" i="13"/>
  <c r="H16" i="13"/>
  <c r="H202" i="13"/>
  <c r="H95" i="13"/>
  <c r="F323" i="17"/>
  <c r="H323" i="17" s="1"/>
  <c r="M458" i="14"/>
  <c r="H43" i="13"/>
  <c r="F542" i="17"/>
  <c r="H542" i="17" s="1"/>
  <c r="M43" i="14"/>
  <c r="H488" i="13"/>
  <c r="M491" i="14"/>
  <c r="M268" i="14"/>
  <c r="H344" i="13"/>
  <c r="M512" i="14"/>
  <c r="H226" i="13"/>
  <c r="F617" i="17"/>
  <c r="H617" i="17" s="1"/>
  <c r="M460" i="14"/>
  <c r="F112" i="17"/>
  <c r="H112" i="17" s="1"/>
  <c r="M353" i="14"/>
  <c r="M111" i="14"/>
  <c r="H22" i="13"/>
  <c r="M84" i="14"/>
  <c r="H207" i="13"/>
  <c r="H196" i="13"/>
  <c r="H354" i="13"/>
  <c r="H113" i="13"/>
  <c r="H377" i="13"/>
  <c r="M368" i="14"/>
  <c r="H496" i="13"/>
  <c r="H348" i="13"/>
  <c r="H398" i="13"/>
  <c r="M293" i="14"/>
  <c r="M85" i="14"/>
  <c r="M639" i="14"/>
  <c r="M127" i="14"/>
  <c r="M515" i="14"/>
  <c r="H49" i="13"/>
  <c r="F36" i="17"/>
  <c r="H36" i="17" s="1"/>
  <c r="H410" i="13"/>
  <c r="H216" i="13"/>
  <c r="M616" i="14"/>
  <c r="M689" i="14"/>
  <c r="M292" i="14"/>
  <c r="F197" i="17"/>
  <c r="H197" i="17" s="1"/>
  <c r="H506" i="13"/>
  <c r="M449" i="14"/>
  <c r="F142" i="17"/>
  <c r="H142" i="17" s="1"/>
  <c r="M356" i="14"/>
  <c r="H152" i="13"/>
  <c r="M620" i="14"/>
  <c r="H221" i="13"/>
  <c r="F127" i="17"/>
  <c r="H127" i="17" s="1"/>
  <c r="H50" i="13"/>
  <c r="H313" i="13"/>
  <c r="M312" i="14"/>
  <c r="M387" i="14"/>
  <c r="M556" i="14"/>
  <c r="F464" i="17"/>
  <c r="H464" i="17" s="1"/>
  <c r="M30" i="14"/>
  <c r="F326" i="17"/>
  <c r="H326" i="17" s="1"/>
  <c r="F369" i="17"/>
  <c r="H369" i="17" s="1"/>
  <c r="F181" i="17"/>
  <c r="H181" i="17" s="1"/>
  <c r="M32" i="14"/>
  <c r="H220" i="13"/>
  <c r="H93" i="13"/>
  <c r="H328" i="13"/>
  <c r="H242" i="13"/>
  <c r="H438" i="13"/>
  <c r="M475" i="14"/>
  <c r="M75" i="14"/>
  <c r="H465" i="13"/>
  <c r="M422" i="14"/>
  <c r="F700" i="17"/>
  <c r="H700" i="17" s="1"/>
  <c r="M393" i="14"/>
  <c r="H237" i="13"/>
  <c r="H10" i="13"/>
  <c r="F196" i="17"/>
  <c r="H196" i="17" s="1"/>
  <c r="M717" i="14"/>
  <c r="H302" i="13"/>
  <c r="M673" i="14"/>
  <c r="M436" i="14"/>
  <c r="H59" i="13"/>
  <c r="M204" i="14"/>
  <c r="M528" i="14"/>
  <c r="M389" i="14"/>
  <c r="M483" i="14"/>
  <c r="H395" i="13"/>
  <c r="H374" i="13"/>
  <c r="M495" i="14"/>
  <c r="F139" i="17"/>
  <c r="H139" i="17" s="1"/>
  <c r="H142" i="13"/>
  <c r="F337" i="17"/>
  <c r="H337" i="17" s="1"/>
  <c r="H318" i="13"/>
  <c r="H252" i="13"/>
  <c r="M697" i="14"/>
  <c r="H427" i="13"/>
  <c r="F56" i="17"/>
  <c r="H56" i="17" s="1"/>
  <c r="H280" i="13"/>
  <c r="H372" i="13"/>
  <c r="H276" i="13"/>
  <c r="M238" i="14"/>
  <c r="M29" i="14"/>
  <c r="F695" i="17"/>
  <c r="H695" i="17" s="1"/>
  <c r="H166" i="13"/>
  <c r="H364" i="13"/>
  <c r="M100" i="14"/>
  <c r="H390" i="13"/>
  <c r="H433" i="13"/>
  <c r="F113" i="17"/>
  <c r="H113" i="17" s="1"/>
  <c r="F104" i="17"/>
  <c r="H104" i="17" s="1"/>
  <c r="M107" i="14"/>
  <c r="M685" i="14"/>
  <c r="M538" i="14"/>
  <c r="M46" i="14"/>
  <c r="F31" i="17"/>
  <c r="H31" i="17" s="1"/>
  <c r="H509" i="13"/>
  <c r="H350" i="13"/>
  <c r="H151" i="13"/>
  <c r="M125" i="14"/>
  <c r="H425" i="13"/>
  <c r="H72" i="13"/>
  <c r="M518" i="14"/>
  <c r="M36" i="14"/>
  <c r="F245" i="17"/>
  <c r="H245" i="17" s="1"/>
  <c r="F22" i="17"/>
  <c r="H22" i="17" s="1"/>
  <c r="M152" i="14"/>
  <c r="M651" i="14"/>
  <c r="M216" i="14"/>
  <c r="M344" i="14"/>
  <c r="H254" i="13"/>
  <c r="M86" i="14"/>
  <c r="H147" i="13"/>
  <c r="F301" i="17"/>
  <c r="H301" i="17" s="1"/>
  <c r="M695" i="14"/>
  <c r="H327" i="13"/>
  <c r="F659" i="17"/>
  <c r="H659" i="17" s="1"/>
  <c r="M404" i="14"/>
  <c r="H495" i="13"/>
  <c r="F669" i="17"/>
  <c r="H669" i="17" s="1"/>
  <c r="F604" i="17"/>
  <c r="H604" i="17" s="1"/>
  <c r="M65" i="14"/>
  <c r="H54" i="13"/>
  <c r="H529" i="13"/>
  <c r="H472" i="13"/>
  <c r="M10" i="14"/>
  <c r="H75" i="13"/>
  <c r="M579" i="14"/>
  <c r="M416" i="14"/>
  <c r="H70" i="13"/>
  <c r="M346" i="14"/>
  <c r="M372" i="14"/>
  <c r="M548" i="14"/>
  <c r="H219" i="13"/>
  <c r="H494" i="13"/>
  <c r="M488" i="14"/>
  <c r="F528" i="17"/>
  <c r="H528" i="17" s="1"/>
  <c r="F497" i="17"/>
  <c r="H497" i="17" s="1"/>
  <c r="F126" i="17"/>
  <c r="H126" i="17" s="1"/>
  <c r="H99" i="13"/>
  <c r="M304" i="14"/>
  <c r="F271" i="17"/>
  <c r="H271" i="17" s="1"/>
  <c r="F614" i="17"/>
  <c r="H614" i="17" s="1"/>
  <c r="H370" i="13"/>
  <c r="H192" i="13"/>
  <c r="F431" i="17"/>
  <c r="H431" i="17" s="1"/>
  <c r="M333" i="14"/>
  <c r="H174" i="13"/>
  <c r="M45" i="14"/>
  <c r="H431" i="13"/>
  <c r="H414" i="13"/>
  <c r="H243" i="13"/>
  <c r="M200" i="14"/>
  <c r="H444" i="13"/>
  <c r="M310" i="14"/>
  <c r="M295" i="14"/>
  <c r="H119" i="13"/>
  <c r="F159" i="17"/>
  <c r="H159" i="17" s="1"/>
  <c r="M711" i="14"/>
  <c r="F438" i="17"/>
  <c r="H438" i="17" s="1"/>
  <c r="M338" i="14"/>
  <c r="H423" i="13"/>
  <c r="M163" i="14"/>
  <c r="H269" i="13"/>
  <c r="H450" i="13"/>
  <c r="H144" i="13"/>
  <c r="M500" i="14"/>
  <c r="M414" i="14"/>
  <c r="M15" i="14"/>
  <c r="F602" i="17"/>
  <c r="H602" i="17" s="1"/>
  <c r="M713" i="14"/>
  <c r="H139" i="13"/>
  <c r="H349" i="13"/>
  <c r="M73" i="14"/>
  <c r="M401" i="14"/>
  <c r="H330" i="13"/>
  <c r="M396" i="14"/>
  <c r="H112" i="13"/>
  <c r="F175" i="17"/>
  <c r="H175" i="17" s="1"/>
  <c r="H367" i="13"/>
  <c r="M709" i="14"/>
  <c r="F684" i="17"/>
  <c r="H684" i="17" s="1"/>
  <c r="H279" i="13"/>
  <c r="H538" i="13"/>
  <c r="M526" i="14"/>
  <c r="H18" i="13"/>
  <c r="M487" i="14"/>
  <c r="M314" i="14"/>
  <c r="F592" i="17"/>
  <c r="H592" i="17" s="1"/>
  <c r="M98" i="14"/>
  <c r="M23" i="14"/>
  <c r="M492" i="14"/>
  <c r="M497" i="14"/>
  <c r="F185" i="17"/>
  <c r="H185" i="17" s="1"/>
  <c r="M490" i="14"/>
  <c r="M330" i="14"/>
  <c r="M149" i="14"/>
  <c r="H228" i="13"/>
  <c r="H321" i="13"/>
  <c r="M209" i="14"/>
  <c r="M386" i="14"/>
  <c r="M194" i="14"/>
  <c r="M176" i="14"/>
  <c r="M335" i="14"/>
  <c r="H379" i="13"/>
  <c r="F96" i="17"/>
  <c r="H96" i="17" s="1"/>
  <c r="H197" i="13"/>
  <c r="M177" i="14"/>
  <c r="M652" i="14"/>
  <c r="F141" i="17"/>
  <c r="H141" i="17" s="1"/>
  <c r="M370" i="14"/>
  <c r="M362" i="14"/>
  <c r="F41" i="17"/>
  <c r="H41" i="17" s="1"/>
  <c r="M336" i="14"/>
  <c r="H264" i="13"/>
  <c r="F138" i="17"/>
  <c r="H138" i="17" s="1"/>
  <c r="H521" i="13"/>
  <c r="M611" i="14"/>
  <c r="M27" i="14"/>
  <c r="M390" i="14"/>
  <c r="F716" i="17"/>
  <c r="H716" i="17" s="1"/>
  <c r="H258" i="13"/>
  <c r="M96" i="14"/>
  <c r="H263" i="13"/>
  <c r="H217" i="13"/>
  <c r="M277" i="14"/>
  <c r="H366" i="13"/>
  <c r="H140" i="13"/>
  <c r="H137" i="13"/>
  <c r="H181" i="13"/>
  <c r="M477" i="14"/>
  <c r="M342" i="14"/>
  <c r="M357" i="14"/>
  <c r="F103" i="17"/>
  <c r="H103" i="17" s="1"/>
  <c r="F274" i="17"/>
  <c r="H274" i="17" s="1"/>
  <c r="M606" i="14"/>
  <c r="F508" i="17"/>
  <c r="H508" i="17" s="1"/>
  <c r="H145" i="13"/>
  <c r="F432" i="17"/>
  <c r="H432" i="17" s="1"/>
  <c r="M384" i="14"/>
  <c r="F269" i="17"/>
  <c r="H269" i="17" s="1"/>
  <c r="M128" i="14"/>
  <c r="M448" i="14"/>
  <c r="M463" i="14"/>
  <c r="M540" i="14"/>
  <c r="F678" i="17"/>
  <c r="H678" i="17" s="1"/>
  <c r="M201" i="14"/>
  <c r="H84" i="13"/>
  <c r="M74" i="14"/>
  <c r="H129" i="13"/>
  <c r="M546" i="14"/>
  <c r="F458" i="17"/>
  <c r="H458" i="17" s="1"/>
  <c r="H491" i="13"/>
  <c r="F60" i="17"/>
  <c r="H60" i="17" s="1"/>
  <c r="H292" i="13"/>
  <c r="F214" i="17"/>
  <c r="H214" i="17" s="1"/>
  <c r="F380" i="17"/>
  <c r="H380" i="17" s="1"/>
  <c r="M351" i="14"/>
  <c r="M408" i="14"/>
  <c r="M211" i="14"/>
  <c r="F406" i="17"/>
  <c r="H406" i="17" s="1"/>
  <c r="M38" i="14"/>
  <c r="M407" i="14"/>
  <c r="M524" i="14"/>
  <c r="F249" i="17"/>
  <c r="H249" i="17" s="1"/>
  <c r="M63" i="14"/>
  <c r="F495" i="17"/>
  <c r="H495" i="17" s="1"/>
  <c r="M318" i="14"/>
  <c r="M376" i="14"/>
  <c r="M615" i="14"/>
  <c r="M553" i="14"/>
  <c r="H266" i="13"/>
  <c r="M471" i="14"/>
  <c r="H435" i="13"/>
  <c r="M714" i="14"/>
  <c r="M501" i="14"/>
  <c r="M677" i="14"/>
  <c r="M169" i="14"/>
  <c r="M653" i="14"/>
  <c r="M144" i="14"/>
  <c r="F309" i="17"/>
  <c r="H309" i="17" s="1"/>
  <c r="F628" i="17"/>
  <c r="H628" i="17" s="1"/>
  <c r="M210" i="14"/>
  <c r="F456" i="17"/>
  <c r="H456" i="17" s="1"/>
  <c r="F635" i="17"/>
  <c r="H635" i="17" s="1"/>
  <c r="F564" i="17"/>
  <c r="H564" i="17" s="1"/>
  <c r="M619" i="14"/>
  <c r="M688" i="14"/>
  <c r="M174" i="14"/>
  <c r="H248" i="13"/>
  <c r="M525" i="14"/>
  <c r="M618" i="14"/>
  <c r="H235" i="13"/>
  <c r="M257" i="14"/>
  <c r="M324" i="14"/>
  <c r="F582" i="17"/>
  <c r="H582" i="17" s="1"/>
  <c r="M309" i="14"/>
  <c r="H399" i="13"/>
  <c r="M568" i="14"/>
  <c r="H185" i="13"/>
  <c r="M135" i="14"/>
  <c r="M62" i="14"/>
  <c r="M676" i="14"/>
  <c r="M411" i="14"/>
  <c r="H128" i="13"/>
  <c r="H25" i="13"/>
  <c r="M580" i="14"/>
  <c r="H194" i="13"/>
  <c r="H310" i="13"/>
  <c r="M161" i="14"/>
  <c r="H154" i="13"/>
  <c r="M167" i="14"/>
  <c r="M563" i="14"/>
  <c r="F308" i="17"/>
  <c r="H308" i="17" s="1"/>
  <c r="H464" i="13"/>
  <c r="M286" i="14"/>
  <c r="F334" i="17"/>
  <c r="H334" i="17" s="1"/>
  <c r="F163" i="17"/>
  <c r="H163" i="17" s="1"/>
  <c r="F546" i="17"/>
  <c r="H546" i="17" s="1"/>
  <c r="F4" i="17"/>
  <c r="H4" i="17" s="1"/>
  <c r="H478" i="13"/>
  <c r="H417" i="13"/>
  <c r="M155" i="14"/>
  <c r="M428" i="14"/>
  <c r="M87" i="14"/>
  <c r="M95" i="14"/>
  <c r="F346" i="17"/>
  <c r="H346" i="17" s="1"/>
  <c r="H103" i="13"/>
  <c r="M219" i="14"/>
  <c r="M706" i="14"/>
  <c r="H322" i="13"/>
  <c r="H96" i="13"/>
  <c r="H311" i="13"/>
  <c r="H526" i="13"/>
  <c r="M663" i="14"/>
  <c r="H457" i="13"/>
  <c r="M165" i="14"/>
  <c r="H394" i="13"/>
  <c r="M231" i="14"/>
  <c r="M707" i="14"/>
  <c r="M311" i="14"/>
  <c r="H337" i="13"/>
  <c r="M76" i="14"/>
  <c r="M562" i="14"/>
  <c r="F532" i="17"/>
  <c r="H532" i="17" s="1"/>
  <c r="F221" i="17"/>
  <c r="H221" i="17" s="1"/>
  <c r="F548" i="17"/>
  <c r="H548" i="17" s="1"/>
  <c r="F389" i="17"/>
  <c r="H389" i="17" s="1"/>
  <c r="F412" i="17"/>
  <c r="H412" i="17" s="1"/>
  <c r="H338" i="13"/>
  <c r="H231" i="13"/>
  <c r="M90" i="14"/>
  <c r="H189" i="13"/>
  <c r="M244" i="14"/>
  <c r="H104" i="13"/>
  <c r="F195" i="17"/>
  <c r="H195" i="17" s="1"/>
  <c r="M649" i="14"/>
  <c r="M266" i="14"/>
  <c r="H31" i="13"/>
  <c r="H115" i="13"/>
  <c r="H504" i="13"/>
  <c r="H109" i="13"/>
  <c r="M41" i="14"/>
  <c r="M603" i="14"/>
  <c r="M227" i="14"/>
  <c r="M138" i="14"/>
  <c r="F606" i="17"/>
  <c r="H606" i="17" s="1"/>
  <c r="M545" i="14"/>
  <c r="F352" i="17"/>
  <c r="H352" i="17" s="1"/>
  <c r="M539" i="14"/>
  <c r="F307" i="17"/>
  <c r="H307" i="17" s="1"/>
  <c r="H233" i="13"/>
  <c r="H340" i="13"/>
  <c r="M365" i="14"/>
  <c r="F376" i="17"/>
  <c r="H376" i="17" s="1"/>
  <c r="F689" i="17"/>
  <c r="H689" i="17" s="1"/>
  <c r="F37" i="17"/>
  <c r="H37" i="17" s="1"/>
  <c r="H122" i="13"/>
  <c r="F49" i="17"/>
  <c r="H49" i="17" s="1"/>
  <c r="M624" i="14"/>
  <c r="F673" i="17"/>
  <c r="H673" i="17" s="1"/>
  <c r="F358" i="17"/>
  <c r="H358" i="17" s="1"/>
  <c r="F98" i="17"/>
  <c r="H98" i="17" s="1"/>
  <c r="H65" i="13"/>
  <c r="F558" i="17"/>
  <c r="H558" i="17" s="1"/>
  <c r="M225" i="14"/>
  <c r="F652" i="17"/>
  <c r="H652" i="17" s="1"/>
  <c r="M509" i="14"/>
  <c r="F203" i="17"/>
  <c r="H203" i="17" s="1"/>
  <c r="M664" i="14"/>
  <c r="H448" i="13"/>
  <c r="M162" i="14"/>
  <c r="M83" i="14"/>
  <c r="M451" i="14"/>
  <c r="H206" i="13"/>
  <c r="M121" i="14"/>
  <c r="M347" i="14"/>
  <c r="H268" i="13"/>
  <c r="H230" i="13"/>
  <c r="M28" i="14"/>
  <c r="H168" i="13"/>
  <c r="M20" i="14"/>
  <c r="M587" i="14"/>
  <c r="H476" i="13"/>
  <c r="F593" i="17"/>
  <c r="H593" i="17" s="1"/>
  <c r="M544" i="14"/>
  <c r="F52" i="17"/>
  <c r="H52" i="17" s="1"/>
  <c r="F331" i="17"/>
  <c r="H331" i="17" s="1"/>
  <c r="M686" i="14"/>
  <c r="F603" i="17"/>
  <c r="H603" i="17" s="1"/>
  <c r="H162" i="13"/>
  <c r="H143" i="13"/>
  <c r="H169" i="13"/>
  <c r="M327" i="14"/>
  <c r="H485" i="13"/>
  <c r="H182" i="13"/>
  <c r="M300" i="14"/>
  <c r="H102" i="13"/>
  <c r="H81" i="13"/>
  <c r="M703" i="14"/>
  <c r="H100" i="13"/>
  <c r="H403" i="13"/>
  <c r="H86" i="13"/>
  <c r="H158" i="13"/>
  <c r="F544" i="17"/>
  <c r="H544" i="17" s="1"/>
  <c r="F80" i="17"/>
  <c r="H80" i="17" s="1"/>
  <c r="M199" i="14"/>
  <c r="M166" i="14"/>
  <c r="H466" i="13"/>
  <c r="F363" i="17"/>
  <c r="H363" i="17" s="1"/>
  <c r="F205" i="17"/>
  <c r="H205" i="17" s="1"/>
  <c r="M233" i="14"/>
  <c r="M255" i="14"/>
  <c r="M696" i="14"/>
  <c r="H110" i="13"/>
  <c r="M89" i="14"/>
  <c r="H480" i="13"/>
  <c r="M720" i="14"/>
  <c r="H253" i="13"/>
  <c r="F608" i="17"/>
  <c r="H608" i="17" s="1"/>
  <c r="F115" i="17"/>
  <c r="H115" i="17" s="1"/>
  <c r="H127" i="13"/>
  <c r="H203" i="13"/>
  <c r="M597" i="14"/>
  <c r="M622" i="14"/>
  <c r="M705" i="14"/>
  <c r="F721" i="17"/>
  <c r="H721" i="17" s="1"/>
  <c r="F441" i="17"/>
  <c r="H441" i="17" s="1"/>
  <c r="M223" i="14"/>
  <c r="M263" i="14"/>
  <c r="H532" i="13"/>
  <c r="M258" i="14"/>
  <c r="H256" i="13"/>
  <c r="M413" i="14"/>
  <c r="M13" i="14"/>
  <c r="M672" i="14"/>
  <c r="H359" i="13"/>
  <c r="H146" i="13"/>
  <c r="H290" i="13"/>
  <c r="H510" i="13"/>
  <c r="M623" i="14"/>
  <c r="H437" i="13"/>
  <c r="M700" i="14"/>
  <c r="M469" i="14"/>
  <c r="H105" i="13"/>
  <c r="M523" i="14"/>
  <c r="H175" i="13"/>
  <c r="M129" i="14"/>
  <c r="F601" i="17"/>
  <c r="H601" i="17" s="1"/>
  <c r="H274" i="13"/>
  <c r="M109" i="14"/>
  <c r="M235" i="14"/>
  <c r="H307" i="13"/>
  <c r="M662" i="14"/>
  <c r="H56" i="13"/>
  <c r="H188" i="13"/>
  <c r="M569" i="14"/>
  <c r="M341" i="14"/>
  <c r="M134" i="14"/>
  <c r="M472" i="14"/>
  <c r="M409" i="14"/>
  <c r="F61" i="17"/>
  <c r="H61" i="17" s="1"/>
  <c r="F108" i="17"/>
  <c r="H108" i="17" s="1"/>
  <c r="M660" i="14"/>
  <c r="H124" i="13"/>
  <c r="F207" i="17"/>
  <c r="H207" i="17" s="1"/>
  <c r="M112" i="14"/>
  <c r="F318" i="17"/>
  <c r="H318" i="17" s="1"/>
  <c r="M646" i="14"/>
  <c r="H303" i="13"/>
  <c r="H135" i="13"/>
  <c r="F657" i="17"/>
  <c r="H657" i="17" s="1"/>
  <c r="H183" i="13"/>
  <c r="M354" i="14"/>
  <c r="M170" i="14"/>
  <c r="H501" i="13"/>
  <c r="M470" i="14"/>
  <c r="M667" i="14"/>
  <c r="M187" i="14"/>
  <c r="F359" i="17"/>
  <c r="H359" i="17" s="1"/>
  <c r="H387" i="13"/>
  <c r="M321" i="14"/>
  <c r="H497" i="13"/>
  <c r="M359" i="14"/>
  <c r="M53" i="14"/>
  <c r="M716" i="14"/>
  <c r="H475" i="13"/>
  <c r="F643" i="17"/>
  <c r="H643" i="17" s="1"/>
  <c r="M533" i="14"/>
  <c r="M251" i="14"/>
  <c r="F499" i="17"/>
  <c r="H499" i="17" s="1"/>
  <c r="M143" i="14"/>
  <c r="F297" i="17"/>
  <c r="H297" i="17" s="1"/>
  <c r="M626" i="14"/>
  <c r="M567" i="14"/>
  <c r="M434" i="14"/>
  <c r="H58" i="13"/>
  <c r="M269" i="14"/>
  <c r="H422" i="13"/>
  <c r="F281" i="17"/>
  <c r="H281" i="17" s="1"/>
  <c r="H97" i="13"/>
  <c r="H28" i="13"/>
  <c r="F519" i="17"/>
  <c r="H519" i="17" s="1"/>
  <c r="M31" i="14"/>
  <c r="H74" i="13"/>
  <c r="H460" i="13"/>
  <c r="M461" i="14"/>
  <c r="M364" i="14"/>
  <c r="M278" i="14"/>
  <c r="H411" i="13"/>
  <c r="M313" i="14"/>
  <c r="M315" i="14"/>
  <c r="H418" i="13"/>
  <c r="M47" i="14"/>
  <c r="M131" i="14"/>
  <c r="H339" i="13"/>
  <c r="M426" i="14"/>
  <c r="F511" i="17"/>
  <c r="H511" i="17" s="1"/>
  <c r="H432" i="13"/>
  <c r="H61" i="13"/>
  <c r="M273" i="14"/>
  <c r="H486" i="13"/>
  <c r="M265" i="14"/>
  <c r="H223" i="13"/>
  <c r="M64" i="14"/>
  <c r="M513" i="14"/>
  <c r="M628" i="14"/>
  <c r="M116" i="14"/>
  <c r="H381" i="13"/>
  <c r="M104" i="14"/>
  <c r="M337" i="14"/>
  <c r="M718" i="14"/>
  <c r="H291" i="13"/>
  <c r="H383" i="13"/>
  <c r="F161" i="17"/>
  <c r="H161" i="17" s="1"/>
  <c r="M33" i="14"/>
  <c r="M633" i="14"/>
  <c r="M323" i="14"/>
  <c r="F530" i="17"/>
  <c r="H530" i="17" s="1"/>
  <c r="H35" i="13"/>
  <c r="H385" i="13"/>
  <c r="M190" i="14"/>
  <c r="H199" i="13"/>
  <c r="H211" i="13"/>
  <c r="H499" i="13"/>
  <c r="M366" i="14"/>
  <c r="F703" i="17"/>
  <c r="H703" i="17" s="1"/>
  <c r="M430" i="14"/>
  <c r="M665" i="14"/>
  <c r="H107" i="13"/>
  <c r="F252" i="17"/>
  <c r="H252" i="17" s="1"/>
  <c r="F367" i="17"/>
  <c r="H367" i="17" s="1"/>
  <c r="H26" i="13"/>
  <c r="H518" i="13"/>
  <c r="H456" i="13"/>
  <c r="H527" i="13"/>
  <c r="F640" i="17"/>
  <c r="H640" i="17" s="1"/>
  <c r="M466" i="14"/>
  <c r="M226" i="14"/>
  <c r="M283" i="14"/>
  <c r="H424" i="13"/>
  <c r="F609" i="17"/>
  <c r="H609" i="17" s="1"/>
  <c r="M305" i="14"/>
  <c r="M72" i="14"/>
  <c r="M147" i="14"/>
  <c r="H80" i="13"/>
  <c r="M405" i="14"/>
  <c r="F140" i="17"/>
  <c r="H140" i="17" s="1"/>
  <c r="M432" i="14"/>
  <c r="M124" i="14"/>
  <c r="H524" i="13"/>
  <c r="M44" i="14"/>
  <c r="M571" i="14"/>
  <c r="H452" i="13"/>
  <c r="M156" i="14"/>
  <c r="F386" i="17"/>
  <c r="H386" i="17" s="1"/>
  <c r="H208" i="13"/>
  <c r="H73" i="13"/>
  <c r="H345" i="13"/>
  <c r="F280" i="17"/>
  <c r="H280" i="17" s="1"/>
  <c r="F708" i="17"/>
  <c r="H708" i="17" s="1"/>
  <c r="H271" i="13"/>
  <c r="M681" i="14"/>
  <c r="H511" i="13"/>
  <c r="H396" i="13"/>
  <c r="M133" i="14"/>
  <c r="F713" i="17"/>
  <c r="H713" i="17" s="1"/>
  <c r="F387" i="17"/>
  <c r="H387" i="17" s="1"/>
  <c r="M217" i="14"/>
  <c r="M704" i="14"/>
  <c r="H34" i="13"/>
  <c r="F607" i="17"/>
  <c r="H607" i="17" s="1"/>
  <c r="H204" i="13"/>
  <c r="F84" i="17"/>
  <c r="H84" i="17" s="1"/>
  <c r="M236" i="14"/>
  <c r="M360" i="14"/>
  <c r="F290" i="17"/>
  <c r="H290" i="17" s="1"/>
  <c r="F555" i="17"/>
  <c r="H555" i="17" s="1"/>
  <c r="M325" i="14"/>
  <c r="F64" i="17"/>
  <c r="H64" i="17" s="1"/>
  <c r="F260" i="17"/>
  <c r="H260" i="17" s="1"/>
  <c r="M154" i="14"/>
  <c r="F467" i="17"/>
  <c r="H467" i="17" s="1"/>
  <c r="F408" i="17"/>
  <c r="H408" i="17" s="1"/>
  <c r="F284" i="17"/>
  <c r="H284" i="17" s="1"/>
  <c r="H161" i="13"/>
  <c r="F310" i="17"/>
  <c r="H310" i="17" s="1"/>
  <c r="H63" i="13"/>
  <c r="F24" i="17"/>
  <c r="H24" i="17" s="1"/>
  <c r="M429" i="14"/>
  <c r="F109" i="17"/>
  <c r="H109" i="17" s="1"/>
  <c r="M130" i="14"/>
  <c r="H471" i="13"/>
  <c r="F78" i="17"/>
  <c r="H78" i="17" s="1"/>
  <c r="F660" i="17"/>
  <c r="H660" i="17" s="1"/>
  <c r="H249" i="13"/>
  <c r="H79" i="13"/>
  <c r="M284" i="14"/>
  <c r="M634" i="14"/>
  <c r="F276" i="17"/>
  <c r="H276" i="17" s="1"/>
  <c r="H392" i="13"/>
  <c r="M261" i="14"/>
  <c r="H77" i="13"/>
  <c r="F392" i="17"/>
  <c r="H392" i="17" s="1"/>
  <c r="M445" i="14"/>
  <c r="F623" i="17"/>
  <c r="H623" i="17" s="1"/>
  <c r="F204" i="17"/>
  <c r="H204" i="17" s="1"/>
  <c r="F393" i="17"/>
  <c r="H393" i="17" s="1"/>
  <c r="M678" i="14"/>
  <c r="M69" i="14"/>
  <c r="M367" i="14"/>
  <c r="M139" i="14"/>
  <c r="F117" i="17"/>
  <c r="H117" i="17" s="1"/>
  <c r="M655" i="14"/>
  <c r="H420" i="13"/>
  <c r="F637" i="17"/>
  <c r="H637" i="17" s="1"/>
  <c r="F529" i="17"/>
  <c r="H529" i="17" s="1"/>
  <c r="M256" i="14"/>
  <c r="H33" i="13"/>
  <c r="H281" i="13"/>
  <c r="M692" i="14"/>
  <c r="F79" i="17"/>
  <c r="H79" i="17" s="1"/>
  <c r="M55" i="14"/>
  <c r="F125" i="17"/>
  <c r="H125" i="17" s="1"/>
  <c r="F268" i="17"/>
  <c r="H268" i="17" s="1"/>
  <c r="M175" i="14"/>
  <c r="F209" i="17"/>
  <c r="H209" i="17" s="1"/>
  <c r="M421" i="14"/>
  <c r="F482" i="17"/>
  <c r="H482" i="17" s="1"/>
  <c r="F35" i="17"/>
  <c r="H35" i="17" s="1"/>
  <c r="F538" i="17"/>
  <c r="H538" i="17" s="1"/>
  <c r="H125" i="13"/>
  <c r="M101" i="14"/>
  <c r="M608" i="14"/>
  <c r="F422" i="17"/>
  <c r="H422" i="17" s="1"/>
  <c r="M276" i="14"/>
  <c r="M481" i="14"/>
  <c r="F44" i="17"/>
  <c r="H44" i="17" s="1"/>
  <c r="F347" i="17"/>
  <c r="H347" i="17" s="1"/>
  <c r="F622" i="17"/>
  <c r="H622" i="17" s="1"/>
  <c r="H42" i="13"/>
  <c r="M132" i="14"/>
  <c r="M425" i="14"/>
  <c r="F265" i="17"/>
  <c r="H265" i="17" s="1"/>
  <c r="F257" i="17"/>
  <c r="H257" i="17" s="1"/>
  <c r="M332" i="14"/>
  <c r="H32" i="13"/>
  <c r="M537" i="14"/>
  <c r="F174" i="17"/>
  <c r="H174" i="17" s="1"/>
  <c r="F227" i="17"/>
  <c r="H227" i="17" s="1"/>
  <c r="H108" i="13"/>
  <c r="F540" i="17"/>
  <c r="H540" i="17" s="1"/>
  <c r="H458" i="13"/>
  <c r="M708" i="14"/>
  <c r="H384" i="13"/>
  <c r="M415" i="14"/>
  <c r="M146" i="14"/>
  <c r="H191" i="13"/>
  <c r="F625" i="17"/>
  <c r="H625" i="17" s="1"/>
  <c r="F89" i="17"/>
  <c r="H89" i="17" s="1"/>
  <c r="F549" i="17"/>
  <c r="H549" i="17" s="1"/>
  <c r="F656" i="17"/>
  <c r="H656" i="17" s="1"/>
  <c r="M586" i="14"/>
  <c r="H209" i="13"/>
  <c r="H36" i="13"/>
  <c r="H286" i="13"/>
  <c r="F428" i="17"/>
  <c r="H428" i="17" s="1"/>
  <c r="H121" i="13"/>
  <c r="H357" i="13"/>
  <c r="M40" i="14"/>
  <c r="M534" i="14"/>
  <c r="H309" i="13"/>
  <c r="M317" i="14"/>
  <c r="H389" i="13"/>
  <c r="M478" i="14"/>
  <c r="F379" i="17"/>
  <c r="H379" i="17" s="1"/>
  <c r="H304" i="13"/>
  <c r="F448" i="17"/>
  <c r="H448" i="17" s="1"/>
  <c r="F298" i="17"/>
  <c r="H298" i="17" s="1"/>
  <c r="M329" i="14"/>
  <c r="F202" i="17"/>
  <c r="H202" i="17" s="1"/>
  <c r="F68" i="17"/>
  <c r="H68" i="17" s="1"/>
  <c r="F718" i="17"/>
  <c r="H718" i="17" s="1"/>
  <c r="M189" i="14"/>
  <c r="M196" i="14"/>
  <c r="H136" i="13"/>
  <c r="M499" i="14"/>
  <c r="F162" i="17"/>
  <c r="H162" i="17" s="1"/>
  <c r="M642" i="14"/>
  <c r="M279" i="14"/>
  <c r="F180" i="17"/>
  <c r="H180" i="17" s="1"/>
  <c r="F512" i="17"/>
  <c r="H512" i="17" s="1"/>
  <c r="M602" i="14"/>
  <c r="H305" i="13"/>
  <c r="F415" i="17"/>
  <c r="H415" i="17" s="1"/>
  <c r="F663" i="17"/>
  <c r="H663" i="17" s="1"/>
  <c r="F717" i="17"/>
  <c r="H717" i="17" s="1"/>
  <c r="F312" i="17"/>
  <c r="H312" i="17" s="1"/>
  <c r="F687" i="17"/>
  <c r="H687" i="17" s="1"/>
  <c r="H201" i="13"/>
  <c r="H502" i="13"/>
  <c r="F398" i="17"/>
  <c r="H398" i="17" s="1"/>
  <c r="H371" i="13"/>
  <c r="F350" i="17"/>
  <c r="H350" i="17" s="1"/>
  <c r="F356" i="17"/>
  <c r="H356" i="17" s="1"/>
  <c r="M698" i="14"/>
  <c r="F391" i="17"/>
  <c r="H391" i="17" s="1"/>
  <c r="M302" i="14"/>
  <c r="F599" i="17"/>
  <c r="H599" i="17" s="1"/>
  <c r="M352" i="14"/>
  <c r="F594" i="17"/>
  <c r="H594" i="17" s="1"/>
  <c r="H373" i="13"/>
  <c r="M271" i="14"/>
  <c r="M57" i="14"/>
  <c r="F439" i="17"/>
  <c r="H439" i="17" s="1"/>
  <c r="F583" i="17"/>
  <c r="H583" i="17" s="1"/>
  <c r="M394" i="14"/>
  <c r="H265" i="13"/>
  <c r="H200" i="13"/>
  <c r="F239" i="17"/>
  <c r="H239" i="17" s="1"/>
  <c r="M592" i="14"/>
  <c r="F116" i="17"/>
  <c r="H116" i="17" s="1"/>
  <c r="H232" i="13"/>
  <c r="F243" i="17"/>
  <c r="H243" i="17" s="1"/>
  <c r="M299" i="14"/>
  <c r="M270" i="14"/>
  <c r="F240" i="17"/>
  <c r="H240" i="17" s="1"/>
  <c r="H467" i="13"/>
  <c r="M609" i="14"/>
  <c r="M145" i="14"/>
  <c r="F70" i="17"/>
  <c r="H70" i="17" s="1"/>
  <c r="F282" i="17"/>
  <c r="H282" i="17" s="1"/>
  <c r="F646" i="17"/>
  <c r="H646" i="17" s="1"/>
  <c r="H441" i="13"/>
  <c r="H250" i="13"/>
  <c r="F686" i="17"/>
  <c r="H686" i="17" s="1"/>
  <c r="M184" i="14"/>
  <c r="M54" i="14"/>
  <c r="M473" i="14"/>
  <c r="H288" i="13"/>
  <c r="M406" i="14"/>
  <c r="M443" i="14"/>
  <c r="F118" i="17"/>
  <c r="H118" i="17" s="1"/>
  <c r="F208" i="17"/>
  <c r="H208" i="17" s="1"/>
  <c r="F691" i="17"/>
  <c r="H691" i="17" s="1"/>
  <c r="M542" i="14"/>
  <c r="M158" i="14"/>
  <c r="H244" i="13"/>
  <c r="M17" i="14"/>
  <c r="F709" i="17"/>
  <c r="H709" i="17" s="1"/>
  <c r="H47" i="13"/>
  <c r="F247" i="17"/>
  <c r="H247" i="17" s="1"/>
  <c r="M550" i="14"/>
  <c r="F616" i="17"/>
  <c r="H616" i="17" s="1"/>
  <c r="F510" i="17"/>
  <c r="H510" i="17" s="1"/>
  <c r="M326" i="14"/>
  <c r="M442" i="14"/>
  <c r="M14" i="14"/>
  <c r="H14" i="13"/>
  <c r="F299" i="17"/>
  <c r="H299" i="17" s="1"/>
  <c r="H388" i="13"/>
  <c r="F305" i="17"/>
  <c r="H305" i="17" s="1"/>
  <c r="H346" i="13"/>
  <c r="H238" i="13"/>
  <c r="M699" i="14"/>
  <c r="H240" i="13"/>
  <c r="F372" i="17"/>
  <c r="H372" i="17" s="1"/>
  <c r="M205" i="14"/>
  <c r="F524" i="17"/>
  <c r="H524" i="17" s="1"/>
  <c r="M105" i="14"/>
  <c r="M340" i="14"/>
  <c r="H118" i="13"/>
  <c r="F642" i="17"/>
  <c r="H642" i="17" s="1"/>
  <c r="M479" i="14"/>
  <c r="F712" i="17"/>
  <c r="H712" i="17" s="1"/>
  <c r="F53" i="17"/>
  <c r="H53" i="17" s="1"/>
  <c r="F584" i="17"/>
  <c r="H584" i="17" s="1"/>
  <c r="F345" i="17"/>
  <c r="H345" i="17" s="1"/>
  <c r="M521" i="14"/>
  <c r="H167" i="13"/>
  <c r="H278" i="13"/>
  <c r="M115" i="14"/>
  <c r="F75" i="17"/>
  <c r="H75" i="17" s="1"/>
  <c r="F560" i="17"/>
  <c r="H560" i="17" s="1"/>
  <c r="H463" i="13"/>
  <c r="F480" i="17"/>
  <c r="H480" i="17" s="1"/>
  <c r="F373" i="17"/>
  <c r="H373" i="17" s="1"/>
  <c r="M437" i="14"/>
  <c r="F12" i="17"/>
  <c r="H12" i="17" s="1"/>
  <c r="M454" i="14"/>
  <c r="F579" i="17"/>
  <c r="H579" i="17" s="1"/>
  <c r="F648" i="17"/>
  <c r="H648" i="17" s="1"/>
  <c r="F605" i="17"/>
  <c r="H605" i="17" s="1"/>
  <c r="M560" i="14"/>
  <c r="F463" i="17"/>
  <c r="H463" i="17" s="1"/>
  <c r="M142" i="14"/>
  <c r="F462" i="17"/>
  <c r="H462" i="17" s="1"/>
  <c r="F527" i="17"/>
  <c r="H527" i="17" s="1"/>
  <c r="M140" i="14"/>
  <c r="F210" i="17"/>
  <c r="H210" i="17" s="1"/>
  <c r="M583" i="14"/>
  <c r="F349" i="17"/>
  <c r="H349" i="17" s="1"/>
  <c r="M171" i="14"/>
  <c r="H442" i="13"/>
  <c r="F435" i="17"/>
  <c r="H435" i="17" s="1"/>
  <c r="H46" i="13"/>
  <c r="M388" i="14"/>
  <c r="F121" i="17"/>
  <c r="H121" i="17" s="1"/>
  <c r="F324" i="17"/>
  <c r="H324" i="17" s="1"/>
  <c r="F65" i="17"/>
  <c r="H65" i="17" s="1"/>
  <c r="H261" i="13"/>
  <c r="H30" i="13"/>
  <c r="F492" i="17"/>
  <c r="H492" i="17" s="1"/>
  <c r="F384" i="17"/>
  <c r="H384" i="17" s="1"/>
  <c r="F722" i="17"/>
  <c r="H722" i="17" s="1"/>
  <c r="H40" i="13"/>
  <c r="M188" i="14"/>
  <c r="H323" i="13"/>
  <c r="M345" i="14"/>
  <c r="M207" i="14"/>
  <c r="F15" i="17"/>
  <c r="H15" i="17" s="1"/>
  <c r="F328" i="17"/>
  <c r="H328" i="17" s="1"/>
  <c r="H492" i="13"/>
  <c r="F596" i="17"/>
  <c r="H596" i="17" s="1"/>
  <c r="H312" i="13"/>
  <c r="M51" i="14"/>
  <c r="M584" i="14"/>
  <c r="H400" i="13"/>
  <c r="M247" i="14"/>
  <c r="F110" i="17"/>
  <c r="H110" i="17" s="1"/>
  <c r="H114" i="13"/>
  <c r="M380" i="14"/>
  <c r="M77" i="14"/>
  <c r="H376" i="13"/>
  <c r="M230" i="14"/>
  <c r="M80" i="14"/>
  <c r="H408" i="13"/>
  <c r="H277" i="13"/>
  <c r="M183" i="14"/>
  <c r="M369" i="14"/>
  <c r="M245" i="14"/>
  <c r="F258" i="17"/>
  <c r="H258" i="17" s="1"/>
  <c r="F515" i="17"/>
  <c r="H515" i="17" s="1"/>
  <c r="M572" i="14"/>
  <c r="F547" i="17"/>
  <c r="H547" i="17" s="1"/>
  <c r="F531" i="17"/>
  <c r="H531" i="17" s="1"/>
  <c r="M588" i="14"/>
  <c r="H251" i="13"/>
  <c r="M535" i="14"/>
  <c r="H205" i="13"/>
  <c r="F100" i="17"/>
  <c r="H100" i="17" s="1"/>
  <c r="M536" i="14"/>
  <c r="F90" i="17"/>
  <c r="H90" i="17" s="1"/>
  <c r="H164" i="13"/>
  <c r="M319" i="14"/>
  <c r="F39" i="17"/>
  <c r="H39" i="17" s="1"/>
  <c r="M433" i="14"/>
  <c r="M50" i="14"/>
  <c r="H528" i="13"/>
  <c r="M419" i="14"/>
  <c r="H479" i="13"/>
  <c r="F198" i="17"/>
  <c r="H198" i="17" s="1"/>
  <c r="F319" i="17"/>
  <c r="H319" i="17" s="1"/>
  <c r="M557" i="14"/>
  <c r="M555" i="14"/>
  <c r="F680" i="17"/>
  <c r="H680" i="17" s="1"/>
  <c r="M114" i="14"/>
  <c r="F576" i="17"/>
  <c r="H576" i="17" s="1"/>
  <c r="H490" i="13"/>
  <c r="H227" i="13"/>
  <c r="M392" i="14"/>
  <c r="H451" i="13"/>
  <c r="F627" i="17"/>
  <c r="H627" i="17" s="1"/>
  <c r="F333" i="17"/>
  <c r="H333" i="17" s="1"/>
  <c r="M632" i="14"/>
  <c r="F119" i="17"/>
  <c r="H119" i="17" s="1"/>
  <c r="M715" i="14"/>
  <c r="F702" i="17"/>
  <c r="H702" i="17" s="1"/>
  <c r="F679" i="17"/>
  <c r="H679" i="17" s="1"/>
  <c r="F86" i="17"/>
  <c r="H86" i="17" s="1"/>
  <c r="F357" i="17"/>
  <c r="H357" i="17" s="1"/>
  <c r="H317" i="13"/>
  <c r="M8" i="14"/>
  <c r="F430" i="17"/>
  <c r="H430" i="17" s="1"/>
  <c r="F595" i="17"/>
  <c r="H595" i="17" s="1"/>
  <c r="F693" i="17"/>
  <c r="H693" i="17" s="1"/>
  <c r="M9" i="14"/>
  <c r="M690" i="14"/>
  <c r="F580" i="17"/>
  <c r="H580" i="17" s="1"/>
  <c r="F588" i="17"/>
  <c r="H588" i="17" s="1"/>
  <c r="F32" i="17"/>
  <c r="H32" i="17" s="1"/>
  <c r="F562" i="17"/>
  <c r="H562" i="17" s="1"/>
  <c r="F189" i="17"/>
  <c r="H189" i="17" s="1"/>
  <c r="F321" i="17"/>
  <c r="H321" i="17" s="1"/>
  <c r="F261" i="17"/>
  <c r="H261" i="17" s="1"/>
  <c r="F251" i="17"/>
  <c r="H251" i="17" s="1"/>
  <c r="M450" i="14"/>
  <c r="M287" i="14"/>
  <c r="F94" i="17"/>
  <c r="H94" i="17" s="1"/>
  <c r="F437" i="17"/>
  <c r="H437" i="17" s="1"/>
  <c r="F711" i="17"/>
  <c r="H711" i="17" s="1"/>
  <c r="F177" i="17"/>
  <c r="H177" i="17" s="1"/>
  <c r="F526" i="17"/>
  <c r="H526" i="17" s="1"/>
  <c r="M148" i="14"/>
  <c r="M289" i="14"/>
  <c r="H439" i="13"/>
  <c r="F381" i="17"/>
  <c r="H381" i="17" s="1"/>
  <c r="F193" i="17"/>
  <c r="H193" i="17" s="1"/>
  <c r="F494" i="17"/>
  <c r="H494" i="17" s="1"/>
  <c r="F639" i="17"/>
  <c r="H639" i="17" s="1"/>
  <c r="F514" i="17"/>
  <c r="H514" i="17" s="1"/>
  <c r="M39" i="14"/>
  <c r="F232" i="17"/>
  <c r="H232" i="17" s="1"/>
  <c r="F573" i="17"/>
  <c r="H573" i="17" s="1"/>
  <c r="F418" i="17"/>
  <c r="H418" i="17" s="1"/>
  <c r="M253" i="14"/>
  <c r="M635" i="14"/>
  <c r="F570" i="17"/>
  <c r="H570" i="17" s="1"/>
  <c r="F417" i="17"/>
  <c r="H417" i="17" s="1"/>
  <c r="F401" i="17"/>
  <c r="H401" i="17" s="1"/>
  <c r="F313" i="17"/>
  <c r="H313" i="17" s="1"/>
  <c r="F476" i="17"/>
  <c r="H476" i="17" s="1"/>
  <c r="F351" i="17"/>
  <c r="H351" i="17" s="1"/>
  <c r="F591" i="17"/>
  <c r="H591" i="17" s="1"/>
  <c r="F434" i="17"/>
  <c r="H434" i="17" s="1"/>
  <c r="M505" i="14"/>
  <c r="F200" i="17"/>
  <c r="H200" i="17" s="1"/>
  <c r="M385" i="14"/>
  <c r="F344" i="17"/>
  <c r="H344" i="17" s="1"/>
  <c r="M37" i="14"/>
  <c r="F160" i="17"/>
  <c r="H160" i="17" s="1"/>
  <c r="F275" i="17"/>
  <c r="H275" i="17" s="1"/>
  <c r="M259" i="14"/>
  <c r="F266" i="17"/>
  <c r="H266" i="17" s="1"/>
  <c r="F545" i="17"/>
  <c r="H545" i="17" s="1"/>
  <c r="F374" i="17"/>
  <c r="H374" i="17" s="1"/>
  <c r="F390" i="17"/>
  <c r="H390" i="17" s="1"/>
  <c r="F338" i="17"/>
  <c r="H338" i="17" s="1"/>
  <c r="F554" i="17"/>
  <c r="H554" i="17" s="1"/>
  <c r="F402" i="17"/>
  <c r="H402" i="17" s="1"/>
  <c r="F681" i="17"/>
  <c r="H681" i="17" s="1"/>
  <c r="M530" i="14"/>
  <c r="F539" i="17"/>
  <c r="H539" i="17" s="1"/>
  <c r="H324" i="13"/>
  <c r="M153" i="14"/>
  <c r="M638" i="14"/>
  <c r="F522" i="17"/>
  <c r="H522" i="17" s="1"/>
  <c r="F262" i="17"/>
  <c r="H262" i="17" s="1"/>
  <c r="F270" i="17"/>
  <c r="H270" i="17" s="1"/>
  <c r="F365" i="17"/>
  <c r="H365" i="17" s="1"/>
  <c r="M640" i="14"/>
  <c r="M656" i="14"/>
  <c r="F563" i="17"/>
  <c r="H563" i="17" s="1"/>
  <c r="F647" i="17"/>
  <c r="H647" i="17" s="1"/>
  <c r="F723" i="17"/>
  <c r="H723" i="17" s="1"/>
  <c r="F234" i="17"/>
  <c r="H234" i="17" s="1"/>
  <c r="F496" i="17"/>
  <c r="H496" i="17" s="1"/>
  <c r="F468" i="17"/>
  <c r="H468" i="17" s="1"/>
  <c r="M212" i="14"/>
  <c r="H255" i="13"/>
  <c r="F690" i="17"/>
  <c r="H690" i="17" s="1"/>
  <c r="F9" i="17"/>
  <c r="H9" i="17" s="1"/>
  <c r="F93" i="17"/>
  <c r="H93" i="17" s="1"/>
  <c r="F292" i="17"/>
  <c r="H292" i="17" s="1"/>
  <c r="F449" i="17"/>
  <c r="H449" i="17" s="1"/>
  <c r="F672" i="17"/>
  <c r="H672" i="17" s="1"/>
  <c r="F294" i="17"/>
  <c r="H294" i="17" s="1"/>
  <c r="F427" i="17"/>
  <c r="H427" i="17" s="1"/>
  <c r="F513" i="17"/>
  <c r="H513" i="17" s="1"/>
  <c r="F477" i="17"/>
  <c r="H477" i="17" s="1"/>
  <c r="F556" i="17"/>
  <c r="H556" i="17" s="1"/>
  <c r="F293" i="17"/>
  <c r="H293" i="17" s="1"/>
  <c r="M260" i="14"/>
  <c r="F316" i="17"/>
  <c r="H316" i="17" s="1"/>
  <c r="F598" i="17"/>
  <c r="H598" i="17" s="1"/>
  <c r="F536" i="17"/>
  <c r="H536" i="17" s="1"/>
  <c r="F450" i="17"/>
  <c r="H450" i="17" s="1"/>
  <c r="M397" i="14"/>
  <c r="F488" i="17"/>
  <c r="H488" i="17" s="1"/>
  <c r="M641" i="14"/>
  <c r="F152" i="17"/>
  <c r="H152" i="17" s="1"/>
  <c r="F707" i="17"/>
  <c r="H707" i="17" s="1"/>
  <c r="F83" i="17"/>
  <c r="H83" i="17" s="1"/>
  <c r="F557" i="17"/>
  <c r="H557" i="17" s="1"/>
  <c r="F658" i="17"/>
  <c r="H658" i="17" s="1"/>
  <c r="F692" i="17"/>
  <c r="H692" i="17" s="1"/>
  <c r="F706" i="17"/>
  <c r="H706" i="17" s="1"/>
  <c r="F483" i="17"/>
  <c r="H483" i="17" s="1"/>
  <c r="F404" i="17"/>
  <c r="H404" i="17" s="1"/>
  <c r="F411" i="17"/>
  <c r="H411" i="17" s="1"/>
  <c r="F587" i="17"/>
  <c r="H587" i="17" s="1"/>
  <c r="F478" i="17"/>
  <c r="H478" i="17" s="1"/>
  <c r="F97" i="17"/>
  <c r="H97" i="17" s="1"/>
  <c r="F87" i="17"/>
  <c r="H87" i="17" s="1"/>
  <c r="F633" i="17"/>
  <c r="H633" i="17" s="1"/>
  <c r="M272" i="14"/>
  <c r="F279" i="17"/>
  <c r="H279" i="17" s="1"/>
  <c r="F457" i="17"/>
  <c r="H457" i="17" s="1"/>
  <c r="F287" i="17"/>
  <c r="H287" i="17" s="1"/>
  <c r="M691" i="14"/>
  <c r="F377" i="17"/>
  <c r="H377" i="17" s="1"/>
  <c r="H326" i="13"/>
  <c r="F191" i="17"/>
  <c r="H191" i="17" s="1"/>
  <c r="F466" i="17"/>
  <c r="H466" i="17" s="1"/>
  <c r="F720" i="17"/>
  <c r="H720" i="17" s="1"/>
  <c r="F516" i="17"/>
  <c r="H516" i="17" s="1"/>
  <c r="F503" i="17"/>
  <c r="H503" i="17" s="1"/>
  <c r="F322" i="17"/>
  <c r="H322" i="17" s="1"/>
  <c r="F58" i="17"/>
  <c r="H58" i="17" s="1"/>
  <c r="F45" i="17"/>
  <c r="H45" i="17" s="1"/>
  <c r="F409" i="17"/>
  <c r="H409" i="17" s="1"/>
  <c r="F537" i="17"/>
  <c r="H537" i="17" s="1"/>
  <c r="F433" i="17"/>
  <c r="H433" i="17" s="1"/>
  <c r="F248" i="17"/>
  <c r="H248" i="17" s="1"/>
  <c r="F237" i="17"/>
  <c r="H237" i="17" s="1"/>
  <c r="F413" i="17"/>
  <c r="H413" i="17" s="1"/>
  <c r="H531" i="13"/>
  <c r="M710" i="14"/>
  <c r="M457" i="14"/>
  <c r="F183" i="17"/>
  <c r="H183" i="17" s="1"/>
  <c r="M178" i="14"/>
  <c r="F201" i="17"/>
  <c r="H201" i="17" s="1"/>
  <c r="M627" i="14"/>
  <c r="F493" i="17"/>
  <c r="H493" i="17" s="1"/>
  <c r="F129" i="17"/>
  <c r="H129" i="17" s="1"/>
  <c r="F586" i="17"/>
  <c r="H586" i="17" s="1"/>
  <c r="F212" i="17"/>
  <c r="H212" i="17" s="1"/>
  <c r="F383" i="17"/>
  <c r="H383" i="17" s="1"/>
  <c r="F55" i="17"/>
  <c r="H55" i="17" s="1"/>
  <c r="M21" i="14"/>
  <c r="F66" i="17"/>
  <c r="H66" i="17" s="1"/>
  <c r="F613" i="17"/>
  <c r="H613" i="17" s="1"/>
  <c r="F283" i="17"/>
  <c r="H283" i="17" s="1"/>
  <c r="F385" i="17"/>
  <c r="H385" i="17" s="1"/>
  <c r="M71" i="14"/>
  <c r="F244" i="17"/>
  <c r="H244" i="17" s="1"/>
  <c r="M298" i="14"/>
  <c r="F154" i="17"/>
  <c r="H154" i="17" s="1"/>
  <c r="F382" i="17"/>
  <c r="H382" i="17" s="1"/>
  <c r="F523" i="17"/>
  <c r="H523" i="17" s="1"/>
  <c r="F676" i="17"/>
  <c r="H676" i="17" s="1"/>
  <c r="F419" i="17"/>
  <c r="H419" i="17" s="1"/>
  <c r="F173" i="17"/>
  <c r="H173" i="17" s="1"/>
  <c r="F429" i="17"/>
  <c r="H429" i="17" s="1"/>
  <c r="F414" i="17"/>
  <c r="H414" i="17" s="1"/>
  <c r="F303" i="17"/>
  <c r="H303" i="17" s="1"/>
  <c r="F665" i="17"/>
  <c r="H665" i="17" s="1"/>
  <c r="F629" i="17"/>
  <c r="H629" i="17" s="1"/>
  <c r="F436" i="17"/>
  <c r="H436" i="17" s="1"/>
  <c r="F155" i="17"/>
  <c r="H155" i="17" s="1"/>
  <c r="F222" i="17"/>
  <c r="H222" i="17" s="1"/>
  <c r="F144" i="17"/>
  <c r="H144" i="17" s="1"/>
  <c r="F682" i="17"/>
  <c r="H682" i="17" s="1"/>
  <c r="F620" i="17"/>
  <c r="H620" i="17" s="1"/>
  <c r="H434" i="13"/>
  <c r="M423" i="14"/>
  <c r="M173" i="14"/>
  <c r="F146" i="17"/>
  <c r="H146" i="17" s="1"/>
  <c r="F238" i="17"/>
  <c r="H238" i="17" s="1"/>
  <c r="M181" i="14"/>
  <c r="M192" i="14"/>
  <c r="F624" i="17"/>
  <c r="H624" i="17" s="1"/>
  <c r="F568" i="17"/>
  <c r="H568" i="17" s="1"/>
  <c r="F585" i="17"/>
  <c r="H585" i="17" s="1"/>
  <c r="F661" i="17"/>
  <c r="H661" i="17" s="1"/>
  <c r="F550" i="17"/>
  <c r="H550" i="17" s="1"/>
  <c r="F541" i="17"/>
  <c r="H541" i="17" s="1"/>
  <c r="F533" i="17"/>
  <c r="H533" i="17" s="1"/>
  <c r="M670" i="14"/>
  <c r="H198" i="13"/>
  <c r="F447" i="17"/>
  <c r="H447" i="17" s="1"/>
  <c r="F575" i="17"/>
  <c r="H575" i="17" s="1"/>
  <c r="F473" i="17"/>
  <c r="H473" i="17" s="1"/>
  <c r="M486" i="14"/>
  <c r="F475" i="17"/>
  <c r="H475" i="17" s="1"/>
  <c r="F517" i="17"/>
  <c r="F491" i="17"/>
  <c r="H491" i="17" s="1"/>
  <c r="F520" i="17"/>
  <c r="H520" i="17" s="1"/>
  <c r="F578" i="17"/>
  <c r="H578" i="17" s="1"/>
  <c r="F133" i="17"/>
  <c r="H133" i="17" s="1"/>
  <c r="F719" i="17"/>
  <c r="H719" i="17" s="1"/>
  <c r="F621" i="17"/>
  <c r="H621" i="17" s="1"/>
  <c r="M702" i="14"/>
  <c r="F710" i="17"/>
  <c r="H710" i="17" s="1"/>
  <c r="F685" i="17"/>
  <c r="H685" i="17" s="1"/>
  <c r="F135" i="17"/>
  <c r="H135" i="17" s="1"/>
  <c r="M59" i="14"/>
  <c r="F452" i="17"/>
  <c r="H452" i="17" s="1"/>
  <c r="F525" i="17"/>
  <c r="H525" i="17" s="1"/>
  <c r="F130" i="17"/>
  <c r="H130" i="17" s="1"/>
  <c r="H386" i="13"/>
  <c r="F378" i="17"/>
  <c r="H378" i="17" s="1"/>
  <c r="F364" i="17"/>
  <c r="H364" i="17" s="1"/>
  <c r="F505" i="17"/>
  <c r="H505" i="17" s="1"/>
  <c r="F426" i="17"/>
  <c r="H426" i="17" s="1"/>
  <c r="F667" i="17"/>
  <c r="H667" i="17" s="1"/>
  <c r="F650" i="17"/>
  <c r="H650" i="17" s="1"/>
  <c r="F535" i="17"/>
  <c r="H535" i="17" s="1"/>
  <c r="F641" i="17"/>
  <c r="H641" i="17" s="1"/>
  <c r="M679" i="14"/>
  <c r="F157" i="17"/>
  <c r="H157" i="17" s="1"/>
  <c r="M694" i="14"/>
  <c r="F489" i="17"/>
  <c r="H489" i="17" s="1"/>
  <c r="F300" i="17"/>
  <c r="H300" i="17" s="1"/>
  <c r="F644" i="17"/>
  <c r="H644" i="17" s="1"/>
  <c r="F405" i="17"/>
  <c r="H405" i="17" s="1"/>
  <c r="F187" i="17"/>
  <c r="H187" i="17" s="1"/>
  <c r="M669" i="14"/>
  <c r="F320" i="17"/>
  <c r="H320" i="17" s="1"/>
  <c r="F295" i="17"/>
  <c r="H295" i="17" s="1"/>
  <c r="F566" i="17"/>
  <c r="H566" i="17" s="1"/>
  <c r="F194" i="17"/>
  <c r="H194" i="17" s="1"/>
  <c r="H483" i="13"/>
  <c r="M629" i="14"/>
  <c r="M684" i="14"/>
  <c r="M382" i="14"/>
  <c r="F469" i="17"/>
  <c r="H469" i="17" s="1"/>
  <c r="H487" i="13"/>
  <c r="M712" i="14"/>
  <c r="H503" i="13"/>
  <c r="F7" i="17"/>
  <c r="H7" i="17" s="1"/>
  <c r="F569" i="17"/>
  <c r="H569" i="17" s="1"/>
  <c r="F551" i="17"/>
  <c r="H551" i="17" s="1"/>
  <c r="F360" i="17"/>
  <c r="H360" i="17" s="1"/>
  <c r="F343" i="17"/>
  <c r="H343" i="17" s="1"/>
  <c r="F600" i="17"/>
  <c r="H600" i="17" s="1"/>
  <c r="F571" i="17"/>
  <c r="H571" i="17" s="1"/>
  <c r="M242" i="14"/>
  <c r="F375" i="17"/>
  <c r="H375" i="17" s="1"/>
  <c r="H64" i="13"/>
  <c r="F250" i="17"/>
  <c r="H250" i="17" s="1"/>
  <c r="F73" i="17"/>
  <c r="H73" i="17" s="1"/>
  <c r="F92" i="17"/>
  <c r="H92" i="17" s="1"/>
  <c r="F348" i="17"/>
  <c r="H348" i="17" s="1"/>
  <c r="F332" i="17"/>
  <c r="H332" i="17" s="1"/>
  <c r="F229" i="17"/>
  <c r="H229" i="17" s="1"/>
  <c r="F504" i="17"/>
  <c r="H504" i="17" s="1"/>
  <c r="F655" i="17"/>
  <c r="H655" i="17" s="1"/>
  <c r="F651" i="17"/>
  <c r="H651" i="17" s="1"/>
  <c r="F76" i="17"/>
  <c r="H76" i="17" s="1"/>
  <c r="S619" i="11"/>
  <c r="T619" i="11" s="1"/>
  <c r="S690" i="11"/>
  <c r="S698" i="11"/>
  <c r="T698" i="11" s="1"/>
  <c r="L231" i="11"/>
  <c r="S177" i="11"/>
  <c r="S502" i="11"/>
  <c r="T502" i="11" s="1"/>
  <c r="L15" i="11"/>
  <c r="T231" i="11"/>
  <c r="S78" i="11"/>
  <c r="S420" i="11"/>
  <c r="L467" i="11"/>
  <c r="L511" i="11"/>
  <c r="S445" i="11"/>
  <c r="T445" i="11" s="1"/>
  <c r="S631" i="11"/>
  <c r="T631" i="11" s="1"/>
  <c r="S11" i="11"/>
  <c r="S259" i="11"/>
  <c r="T259" i="11" s="1"/>
  <c r="T511" i="11"/>
  <c r="S504" i="11"/>
  <c r="S460" i="11"/>
  <c r="S696" i="11"/>
  <c r="S258" i="11"/>
  <c r="L55" i="11"/>
  <c r="T147" i="11"/>
  <c r="L247" i="11"/>
  <c r="L334" i="11"/>
  <c r="L551" i="11"/>
  <c r="L212" i="11"/>
  <c r="L233" i="11"/>
  <c r="T630" i="11"/>
  <c r="L685" i="11"/>
  <c r="L699" i="11"/>
  <c r="T526" i="11"/>
  <c r="T537" i="11"/>
  <c r="L684" i="11"/>
  <c r="L221" i="11"/>
  <c r="L423" i="11"/>
  <c r="L189" i="11"/>
  <c r="T681" i="11"/>
  <c r="L7" i="11"/>
  <c r="L79" i="11"/>
  <c r="S79" i="11"/>
  <c r="L241" i="11"/>
  <c r="L429" i="11"/>
  <c r="S429" i="11"/>
  <c r="L474" i="11"/>
  <c r="L492" i="11"/>
  <c r="S492" i="11"/>
  <c r="T492" i="11" s="1"/>
  <c r="L88" i="11"/>
  <c r="S224" i="11"/>
  <c r="S237" i="11"/>
  <c r="T14" i="11"/>
  <c r="S109" i="11"/>
  <c r="T109" i="11" s="1"/>
  <c r="L109" i="11"/>
  <c r="L245" i="11"/>
  <c r="S245" i="11"/>
  <c r="S260" i="11"/>
  <c r="T420" i="11"/>
  <c r="L223" i="11"/>
  <c r="L324" i="11"/>
  <c r="S505" i="11"/>
  <c r="L505" i="11"/>
  <c r="L130" i="11"/>
  <c r="S130" i="11"/>
  <c r="T407" i="11"/>
  <c r="T470" i="11"/>
  <c r="L501" i="11"/>
  <c r="S501" i="11"/>
  <c r="T233" i="11"/>
  <c r="T475" i="11"/>
  <c r="S490" i="11"/>
  <c r="T490" i="11" s="1"/>
  <c r="S536" i="11"/>
  <c r="T536" i="11" s="1"/>
  <c r="T549" i="11"/>
  <c r="S573" i="11"/>
  <c r="T573" i="11" s="1"/>
  <c r="T716" i="11"/>
  <c r="T241" i="11"/>
  <c r="T247" i="11"/>
  <c r="T533" i="11"/>
  <c r="L616" i="11"/>
  <c r="L691" i="11"/>
  <c r="T258" i="11"/>
  <c r="L533" i="11"/>
  <c r="L537" i="11"/>
  <c r="L687" i="11"/>
  <c r="T499" i="11"/>
  <c r="S66" i="11"/>
  <c r="T66" i="11" s="1"/>
  <c r="L549" i="11"/>
  <c r="T616" i="11"/>
  <c r="T690" i="11"/>
  <c r="T693" i="11"/>
  <c r="T79" i="11"/>
  <c r="T224" i="11"/>
  <c r="L193" i="11"/>
  <c r="T11" i="11"/>
  <c r="L14" i="11"/>
  <c r="L37" i="11"/>
  <c r="S63" i="11"/>
  <c r="T63" i="11" s="1"/>
  <c r="L101" i="11"/>
  <c r="S108" i="11"/>
  <c r="T108" i="11" s="1"/>
  <c r="L123" i="11"/>
  <c r="L139" i="11"/>
  <c r="L218" i="11"/>
  <c r="T221" i="11"/>
  <c r="S235" i="11"/>
  <c r="T235" i="11" s="1"/>
  <c r="L235" i="11"/>
  <c r="L238" i="11"/>
  <c r="S238" i="11"/>
  <c r="T238" i="11" s="1"/>
  <c r="S240" i="11"/>
  <c r="L240" i="11"/>
  <c r="L246" i="11"/>
  <c r="S246" i="11"/>
  <c r="T246" i="11" s="1"/>
  <c r="T250" i="11"/>
  <c r="S176" i="11"/>
  <c r="T176" i="11" s="1"/>
  <c r="T15" i="11"/>
  <c r="L25" i="11"/>
  <c r="L178" i="11"/>
  <c r="S251" i="11"/>
  <c r="T251" i="11" s="1"/>
  <c r="L251" i="11"/>
  <c r="L300" i="11"/>
  <c r="S232" i="11"/>
  <c r="T232" i="11" s="1"/>
  <c r="L232" i="11"/>
  <c r="T37" i="11"/>
  <c r="T101" i="11"/>
  <c r="T218" i="11"/>
  <c r="T7" i="11"/>
  <c r="L320" i="11"/>
  <c r="S67" i="11"/>
  <c r="T67" i="11" s="1"/>
  <c r="S94" i="11"/>
  <c r="T94" i="11" s="1"/>
  <c r="L203" i="11"/>
  <c r="L273" i="11"/>
  <c r="S249" i="11"/>
  <c r="T249" i="11" s="1"/>
  <c r="S254" i="11"/>
  <c r="T254" i="11" s="1"/>
  <c r="L256" i="11"/>
  <c r="L494" i="11"/>
  <c r="S494" i="11"/>
  <c r="T494" i="11" s="1"/>
  <c r="S443" i="11"/>
  <c r="T443" i="11" s="1"/>
  <c r="L443" i="11"/>
  <c r="L463" i="11"/>
  <c r="S463" i="11"/>
  <c r="T463" i="11" s="1"/>
  <c r="S469" i="11"/>
  <c r="T469" i="11" s="1"/>
  <c r="L469" i="11"/>
  <c r="S479" i="11"/>
  <c r="T479" i="11" s="1"/>
  <c r="L479" i="11"/>
  <c r="L528" i="11"/>
  <c r="S528" i="11"/>
  <c r="T528" i="11" s="1"/>
  <c r="L581" i="11"/>
  <c r="S625" i="11"/>
  <c r="T625" i="11" s="1"/>
  <c r="L625" i="11"/>
  <c r="L407" i="11"/>
  <c r="L408" i="11"/>
  <c r="L410" i="11"/>
  <c r="S410" i="11"/>
  <c r="T410" i="11" s="1"/>
  <c r="L418" i="11"/>
  <c r="T496" i="11"/>
  <c r="S498" i="11"/>
  <c r="T498" i="11" s="1"/>
  <c r="L527" i="11"/>
  <c r="L250" i="11"/>
  <c r="T252" i="11"/>
  <c r="T429" i="11"/>
  <c r="S430" i="11"/>
  <c r="T430" i="11" s="1"/>
  <c r="L447" i="11"/>
  <c r="S447" i="11"/>
  <c r="T447" i="11" s="1"/>
  <c r="L493" i="11"/>
  <c r="S493" i="11"/>
  <c r="T493" i="11" s="1"/>
  <c r="S510" i="11"/>
  <c r="L526" i="11"/>
  <c r="T460" i="11"/>
  <c r="S509" i="11"/>
  <c r="T509" i="11" s="1"/>
  <c r="L525" i="11"/>
  <c r="S525" i="11"/>
  <c r="T525" i="11" s="1"/>
  <c r="T531" i="11"/>
  <c r="L584" i="11"/>
  <c r="L628" i="11"/>
  <c r="L475" i="11"/>
  <c r="S558" i="11"/>
  <c r="T558" i="11" s="1"/>
  <c r="L558" i="11"/>
  <c r="S485" i="11"/>
  <c r="T485" i="11" s="1"/>
  <c r="S529" i="11"/>
  <c r="T529" i="11" s="1"/>
  <c r="L529" i="11"/>
  <c r="T687" i="11"/>
  <c r="S464" i="11"/>
  <c r="T464" i="11" s="1"/>
  <c r="T501" i="11"/>
  <c r="S694" i="11"/>
  <c r="T694" i="11" s="1"/>
  <c r="L681" i="11"/>
  <c r="L682" i="11"/>
  <c r="S711" i="11"/>
  <c r="T711" i="11" s="1"/>
  <c r="S719" i="11"/>
  <c r="T719" i="11" s="1"/>
  <c r="S720" i="11"/>
  <c r="T720" i="11" s="1"/>
  <c r="T696" i="11"/>
  <c r="T507" i="11"/>
  <c r="L626" i="11"/>
  <c r="T685" i="11"/>
  <c r="S714" i="11"/>
  <c r="T714" i="11" s="1"/>
  <c r="T504" i="11"/>
  <c r="T505" i="11"/>
  <c r="T682" i="11"/>
  <c r="T506" i="11"/>
  <c r="T527" i="11"/>
  <c r="L693" i="11"/>
  <c r="S712" i="11"/>
  <c r="T712" i="11" s="1"/>
  <c r="T12" i="11"/>
  <c r="T55" i="11"/>
  <c r="K31" i="11"/>
  <c r="L31" i="11" s="1"/>
  <c r="L113" i="11"/>
  <c r="L12" i="11"/>
  <c r="L23" i="11"/>
  <c r="L34" i="11"/>
  <c r="L44" i="11"/>
  <c r="L54" i="11"/>
  <c r="S172" i="11"/>
  <c r="T172" i="11" s="1"/>
  <c r="L172" i="11"/>
  <c r="S8" i="11"/>
  <c r="T8" i="11" s="1"/>
  <c r="S57" i="11"/>
  <c r="T57" i="11" s="1"/>
  <c r="L154" i="11"/>
  <c r="S154" i="11"/>
  <c r="T154" i="11" s="1"/>
  <c r="S179" i="11"/>
  <c r="T179" i="11" s="1"/>
  <c r="L179" i="11"/>
  <c r="L60" i="11"/>
  <c r="S60" i="11"/>
  <c r="T60" i="11" s="1"/>
  <c r="L124" i="11"/>
  <c r="S205" i="11"/>
  <c r="T205" i="11" s="1"/>
  <c r="L205" i="11"/>
  <c r="T78" i="11"/>
  <c r="T130" i="11"/>
  <c r="L142" i="11"/>
  <c r="S149" i="11"/>
  <c r="T149" i="11" s="1"/>
  <c r="L149" i="11"/>
  <c r="L168" i="11"/>
  <c r="S242" i="11"/>
  <c r="T242" i="11" s="1"/>
  <c r="L242" i="11"/>
  <c r="L257" i="11"/>
  <c r="S257" i="11"/>
  <c r="T257" i="11" s="1"/>
  <c r="S170" i="11"/>
  <c r="T170" i="11" s="1"/>
  <c r="L170" i="11"/>
  <c r="T142" i="11"/>
  <c r="L159" i="11"/>
  <c r="L225" i="11"/>
  <c r="S225" i="11"/>
  <c r="T225" i="11" s="1"/>
  <c r="S337" i="11"/>
  <c r="T337" i="11" s="1"/>
  <c r="L337" i="11"/>
  <c r="L134" i="11"/>
  <c r="T139" i="11"/>
  <c r="L147" i="11"/>
  <c r="L255" i="11"/>
  <c r="S255" i="11"/>
  <c r="T255" i="11" s="1"/>
  <c r="L353" i="11"/>
  <c r="T212" i="11"/>
  <c r="T177" i="11"/>
  <c r="L336" i="11"/>
  <c r="L398" i="11"/>
  <c r="T237" i="11"/>
  <c r="T260" i="11"/>
  <c r="L268" i="11"/>
  <c r="L342" i="11"/>
  <c r="S342" i="11"/>
  <c r="T342" i="11" s="1"/>
  <c r="L253" i="11"/>
  <c r="S253" i="11"/>
  <c r="T253" i="11" s="1"/>
  <c r="L435" i="11"/>
  <c r="L438" i="11"/>
  <c r="S248" i="11"/>
  <c r="T248" i="11" s="1"/>
  <c r="L252" i="11"/>
  <c r="L276" i="11"/>
  <c r="T240" i="11"/>
  <c r="L243" i="11"/>
  <c r="S243" i="11"/>
  <c r="T243" i="11" s="1"/>
  <c r="T245" i="11"/>
  <c r="S343" i="11"/>
  <c r="T343" i="11" s="1"/>
  <c r="L343" i="11"/>
  <c r="L371" i="11"/>
  <c r="L389" i="11"/>
  <c r="L370" i="11"/>
  <c r="L381" i="11"/>
  <c r="T423" i="11"/>
  <c r="L444" i="11"/>
  <c r="S444" i="11"/>
  <c r="T444" i="11" s="1"/>
  <c r="L472" i="11"/>
  <c r="T500" i="11"/>
  <c r="L434" i="11"/>
  <c r="S503" i="11"/>
  <c r="T503" i="11" s="1"/>
  <c r="L503" i="11"/>
  <c r="L515" i="11"/>
  <c r="L480" i="11"/>
  <c r="S446" i="11"/>
  <c r="T446" i="11" s="1"/>
  <c r="L517" i="11"/>
  <c r="S524" i="11"/>
  <c r="T524" i="11" s="1"/>
  <c r="L524" i="11"/>
  <c r="T467" i="11"/>
  <c r="L488" i="11"/>
  <c r="L514" i="11"/>
  <c r="S539" i="11"/>
  <c r="T539" i="11" s="1"/>
  <c r="L539" i="11"/>
  <c r="S462" i="11"/>
  <c r="T462" i="11" s="1"/>
  <c r="L462" i="11"/>
  <c r="S508" i="11"/>
  <c r="T508" i="11" s="1"/>
  <c r="L508" i="11"/>
  <c r="L516" i="11"/>
  <c r="S538" i="11"/>
  <c r="T538" i="11" s="1"/>
  <c r="L538" i="11"/>
  <c r="L470" i="11"/>
  <c r="S491" i="11"/>
  <c r="T491" i="11" s="1"/>
  <c r="L499" i="11"/>
  <c r="L500" i="11"/>
  <c r="L506" i="11"/>
  <c r="L507" i="11"/>
  <c r="T510" i="11"/>
  <c r="L534" i="11"/>
  <c r="L535" i="11"/>
  <c r="L560" i="11"/>
  <c r="L608" i="11"/>
  <c r="L611" i="11"/>
  <c r="L568" i="11"/>
  <c r="L576" i="11"/>
  <c r="L599" i="11"/>
  <c r="L617" i="11"/>
  <c r="S617" i="11"/>
  <c r="T617" i="11" s="1"/>
  <c r="L629" i="11"/>
  <c r="S450" i="11"/>
  <c r="T450" i="11" s="1"/>
  <c r="S459" i="11"/>
  <c r="T459" i="11" s="1"/>
  <c r="S468" i="11"/>
  <c r="T468" i="11" s="1"/>
  <c r="S476" i="11"/>
  <c r="T476" i="11" s="1"/>
  <c r="S484" i="11"/>
  <c r="T484" i="11" s="1"/>
  <c r="S495" i="11"/>
  <c r="T495" i="11" s="1"/>
  <c r="S497" i="11"/>
  <c r="T497" i="11" s="1"/>
  <c r="S530" i="11"/>
  <c r="T530" i="11" s="1"/>
  <c r="S532" i="11"/>
  <c r="T532" i="11" s="1"/>
  <c r="L496" i="11"/>
  <c r="L531" i="11"/>
  <c r="L603" i="11"/>
  <c r="L609" i="11"/>
  <c r="L618" i="11"/>
  <c r="S572" i="11"/>
  <c r="T572" i="11" s="1"/>
  <c r="S620" i="11"/>
  <c r="T620" i="11" s="1"/>
  <c r="L660" i="11"/>
  <c r="L678" i="11"/>
  <c r="S688" i="11"/>
  <c r="T688" i="11" s="1"/>
  <c r="L688" i="11"/>
  <c r="T691" i="11"/>
  <c r="L639" i="11"/>
  <c r="S697" i="11"/>
  <c r="T697" i="11" s="1"/>
  <c r="L697" i="11"/>
  <c r="L632" i="11"/>
  <c r="S632" i="11"/>
  <c r="T632" i="11" s="1"/>
  <c r="S715" i="11"/>
  <c r="T715" i="11" s="1"/>
  <c r="L715" i="11"/>
  <c r="L649" i="11"/>
  <c r="T699" i="11"/>
  <c r="S689" i="11"/>
  <c r="T689" i="11" s="1"/>
  <c r="L689" i="11"/>
  <c r="L668" i="11"/>
  <c r="S683" i="11"/>
  <c r="T683" i="11" s="1"/>
  <c r="S692" i="11"/>
  <c r="T692" i="11" s="1"/>
  <c r="L630" i="11"/>
  <c r="S635" i="11"/>
  <c r="T635" i="11" s="1"/>
  <c r="S686" i="11"/>
  <c r="T686" i="11" s="1"/>
  <c r="S713" i="11"/>
  <c r="T713" i="11" s="1"/>
  <c r="I31" i="9"/>
  <c r="J6" i="9"/>
  <c r="Q719" i="9"/>
  <c r="R719" i="9" s="1"/>
  <c r="J719" i="9"/>
  <c r="J718" i="9"/>
  <c r="J717" i="9"/>
  <c r="Q716" i="9"/>
  <c r="R716" i="9" s="1"/>
  <c r="J716" i="9"/>
  <c r="Q715" i="9"/>
  <c r="R715" i="9" s="1"/>
  <c r="J715" i="9"/>
  <c r="Q714" i="9"/>
  <c r="R714" i="9" s="1"/>
  <c r="J714" i="9"/>
  <c r="Q713" i="9"/>
  <c r="R713" i="9" s="1"/>
  <c r="J713" i="9"/>
  <c r="Q712" i="9"/>
  <c r="R712" i="9" s="1"/>
  <c r="J712" i="9"/>
  <c r="Q711" i="9"/>
  <c r="R711" i="9" s="1"/>
  <c r="J711" i="9"/>
  <c r="J710" i="9"/>
  <c r="J709" i="9"/>
  <c r="J708" i="9"/>
  <c r="J707" i="9"/>
  <c r="J706" i="9"/>
  <c r="J705" i="9"/>
  <c r="J704" i="9"/>
  <c r="J703" i="9"/>
  <c r="J702" i="9"/>
  <c r="J701" i="9"/>
  <c r="J700" i="9"/>
  <c r="Q699" i="9"/>
  <c r="R699" i="9" s="1"/>
  <c r="J699" i="9"/>
  <c r="Q698" i="9"/>
  <c r="R698" i="9" s="1"/>
  <c r="J698" i="9"/>
  <c r="Q697" i="9"/>
  <c r="R697" i="9" s="1"/>
  <c r="J697" i="9"/>
  <c r="Q696" i="9"/>
  <c r="R696" i="9" s="1"/>
  <c r="J696" i="9"/>
  <c r="J695" i="9"/>
  <c r="Q694" i="9"/>
  <c r="R694" i="9" s="1"/>
  <c r="J694" i="9"/>
  <c r="Q693" i="9"/>
  <c r="R693" i="9" s="1"/>
  <c r="J693" i="9"/>
  <c r="Q692" i="9"/>
  <c r="R692" i="9" s="1"/>
  <c r="J692" i="9"/>
  <c r="Q691" i="9"/>
  <c r="R691" i="9" s="1"/>
  <c r="J691" i="9"/>
  <c r="Q690" i="9"/>
  <c r="R690" i="9" s="1"/>
  <c r="J690" i="9"/>
  <c r="Q689" i="9"/>
  <c r="R689" i="9" s="1"/>
  <c r="J689" i="9"/>
  <c r="Q688" i="9"/>
  <c r="R688" i="9" s="1"/>
  <c r="J688" i="9"/>
  <c r="Q687" i="9"/>
  <c r="R687" i="9" s="1"/>
  <c r="J687" i="9"/>
  <c r="Q686" i="9"/>
  <c r="R686" i="9" s="1"/>
  <c r="J686" i="9"/>
  <c r="Q685" i="9"/>
  <c r="R685" i="9" s="1"/>
  <c r="J685" i="9"/>
  <c r="Q684" i="9"/>
  <c r="R684" i="9" s="1"/>
  <c r="J684" i="9"/>
  <c r="Q683" i="9"/>
  <c r="R683" i="9" s="1"/>
  <c r="J683" i="9"/>
  <c r="Q682" i="9"/>
  <c r="R682" i="9" s="1"/>
  <c r="J682" i="9"/>
  <c r="Q681" i="9"/>
  <c r="R681" i="9" s="1"/>
  <c r="J681" i="9"/>
  <c r="J680" i="9"/>
  <c r="J679" i="9"/>
  <c r="J678" i="9"/>
  <c r="J677" i="9"/>
  <c r="J676" i="9"/>
  <c r="J675" i="9"/>
  <c r="J674" i="9"/>
  <c r="J673" i="9"/>
  <c r="J672" i="9"/>
  <c r="J671" i="9"/>
  <c r="J670" i="9"/>
  <c r="J669" i="9"/>
  <c r="J668" i="9"/>
  <c r="J667" i="9"/>
  <c r="J666" i="9"/>
  <c r="J665" i="9"/>
  <c r="J664" i="9"/>
  <c r="J663" i="9"/>
  <c r="J662" i="9"/>
  <c r="J661" i="9"/>
  <c r="J660" i="9"/>
  <c r="J659" i="9"/>
  <c r="J658" i="9"/>
  <c r="J657" i="9"/>
  <c r="J656" i="9"/>
  <c r="J655" i="9"/>
  <c r="J654" i="9"/>
  <c r="J653" i="9"/>
  <c r="J652" i="9"/>
  <c r="J651" i="9"/>
  <c r="J650" i="9"/>
  <c r="J649" i="9"/>
  <c r="J648" i="9"/>
  <c r="J647" i="9"/>
  <c r="J646" i="9"/>
  <c r="J645" i="9"/>
  <c r="J644" i="9"/>
  <c r="J643" i="9"/>
  <c r="J642" i="9"/>
  <c r="J641" i="9"/>
  <c r="J640" i="9"/>
  <c r="J639" i="9"/>
  <c r="J638" i="9"/>
  <c r="J637" i="9"/>
  <c r="J636" i="9"/>
  <c r="Q635" i="9"/>
  <c r="R635" i="9" s="1"/>
  <c r="J635" i="9"/>
  <c r="J634" i="9"/>
  <c r="J633" i="9"/>
  <c r="Q632" i="9"/>
  <c r="R632" i="9" s="1"/>
  <c r="J632" i="9"/>
  <c r="Q631" i="9"/>
  <c r="R631" i="9" s="1"/>
  <c r="J631" i="9"/>
  <c r="Q630" i="9"/>
  <c r="R630" i="9" s="1"/>
  <c r="J630" i="9"/>
  <c r="J629" i="9"/>
  <c r="J628" i="9"/>
  <c r="J627" i="9"/>
  <c r="J626" i="9"/>
  <c r="Q625" i="9"/>
  <c r="R625" i="9" s="1"/>
  <c r="J625" i="9"/>
  <c r="J624" i="9"/>
  <c r="J623" i="9"/>
  <c r="J622" i="9"/>
  <c r="J621" i="9"/>
  <c r="Q620" i="9"/>
  <c r="R620" i="9" s="1"/>
  <c r="J620" i="9"/>
  <c r="Q619" i="9"/>
  <c r="R619" i="9" s="1"/>
  <c r="J619" i="9"/>
  <c r="J618" i="9"/>
  <c r="Q617" i="9"/>
  <c r="R617" i="9" s="1"/>
  <c r="J617" i="9"/>
  <c r="Q616" i="9"/>
  <c r="R616" i="9" s="1"/>
  <c r="J616" i="9"/>
  <c r="J615" i="9"/>
  <c r="J614" i="9"/>
  <c r="J613" i="9"/>
  <c r="J612" i="9"/>
  <c r="J611" i="9"/>
  <c r="J610" i="9"/>
  <c r="J609" i="9"/>
  <c r="J608" i="9"/>
  <c r="J607" i="9"/>
  <c r="J606" i="9"/>
  <c r="J605" i="9"/>
  <c r="J604" i="9"/>
  <c r="J603" i="9"/>
  <c r="J602" i="9"/>
  <c r="J601" i="9"/>
  <c r="J600" i="9"/>
  <c r="J599" i="9"/>
  <c r="J598" i="9"/>
  <c r="J597" i="9"/>
  <c r="J596" i="9"/>
  <c r="J595" i="9"/>
  <c r="J594" i="9"/>
  <c r="J593" i="9"/>
  <c r="J592" i="9"/>
  <c r="J591" i="9"/>
  <c r="J590" i="9"/>
  <c r="J589" i="9"/>
  <c r="J588" i="9"/>
  <c r="J587" i="9"/>
  <c r="J586" i="9"/>
  <c r="J585" i="9"/>
  <c r="J584" i="9"/>
  <c r="J583" i="9"/>
  <c r="J582" i="9"/>
  <c r="J581" i="9"/>
  <c r="J580" i="9"/>
  <c r="J579" i="9"/>
  <c r="J578" i="9"/>
  <c r="J577" i="9"/>
  <c r="J576" i="9"/>
  <c r="J575" i="9"/>
  <c r="J574" i="9"/>
  <c r="Q573" i="9"/>
  <c r="R573" i="9" s="1"/>
  <c r="J573" i="9"/>
  <c r="Q572" i="9"/>
  <c r="R572" i="9" s="1"/>
  <c r="J572" i="9"/>
  <c r="J571" i="9"/>
  <c r="J570" i="9"/>
  <c r="J569" i="9"/>
  <c r="J568" i="9"/>
  <c r="J567" i="9"/>
  <c r="J566" i="9"/>
  <c r="J565" i="9"/>
  <c r="J564" i="9"/>
  <c r="J563" i="9"/>
  <c r="J562" i="9"/>
  <c r="J561" i="9"/>
  <c r="J560" i="9"/>
  <c r="J559" i="9"/>
  <c r="Q558" i="9"/>
  <c r="R558" i="9" s="1"/>
  <c r="J558" i="9"/>
  <c r="J557" i="9"/>
  <c r="J556" i="9"/>
  <c r="J555" i="9"/>
  <c r="J554" i="9"/>
  <c r="J553" i="9"/>
  <c r="J552" i="9"/>
  <c r="J551" i="9"/>
  <c r="J550" i="9"/>
  <c r="Q549" i="9"/>
  <c r="R549" i="9" s="1"/>
  <c r="J549" i="9"/>
  <c r="J548" i="9"/>
  <c r="J547" i="9"/>
  <c r="J546" i="9"/>
  <c r="J545" i="9"/>
  <c r="J544" i="9"/>
  <c r="J543" i="9"/>
  <c r="J542" i="9"/>
  <c r="J541" i="9"/>
  <c r="J540" i="9"/>
  <c r="Q539" i="9"/>
  <c r="R539" i="9" s="1"/>
  <c r="J539" i="9"/>
  <c r="Q538" i="9"/>
  <c r="R538" i="9" s="1"/>
  <c r="J538" i="9"/>
  <c r="Q537" i="9"/>
  <c r="R537" i="9" s="1"/>
  <c r="J537" i="9"/>
  <c r="Q536" i="9"/>
  <c r="R536" i="9" s="1"/>
  <c r="J536" i="9"/>
  <c r="Q535" i="9"/>
  <c r="R535" i="9" s="1"/>
  <c r="J535" i="9"/>
  <c r="Q534" i="9"/>
  <c r="R534" i="9" s="1"/>
  <c r="J534" i="9"/>
  <c r="Q533" i="9"/>
  <c r="R533" i="9" s="1"/>
  <c r="J533" i="9"/>
  <c r="Q532" i="9"/>
  <c r="R532" i="9" s="1"/>
  <c r="J532" i="9"/>
  <c r="Q531" i="9"/>
  <c r="R531" i="9" s="1"/>
  <c r="J531" i="9"/>
  <c r="Q530" i="9"/>
  <c r="R530" i="9" s="1"/>
  <c r="J530" i="9"/>
  <c r="Q529" i="9"/>
  <c r="R529" i="9" s="1"/>
  <c r="J529" i="9"/>
  <c r="Q528" i="9"/>
  <c r="R528" i="9" s="1"/>
  <c r="J528" i="9"/>
  <c r="Q527" i="9"/>
  <c r="R527" i="9" s="1"/>
  <c r="J527" i="9"/>
  <c r="Q526" i="9"/>
  <c r="R526" i="9" s="1"/>
  <c r="J526" i="9"/>
  <c r="Q525" i="9"/>
  <c r="R525" i="9" s="1"/>
  <c r="J525" i="9"/>
  <c r="Q524" i="9"/>
  <c r="R524" i="9" s="1"/>
  <c r="J524" i="9"/>
  <c r="J523" i="9"/>
  <c r="J522" i="9"/>
  <c r="J521" i="9"/>
  <c r="J520" i="9"/>
  <c r="J519" i="9"/>
  <c r="J518" i="9"/>
  <c r="J517" i="9"/>
  <c r="J516" i="9"/>
  <c r="J515" i="9"/>
  <c r="J514" i="9"/>
  <c r="J513" i="9"/>
  <c r="J512" i="9"/>
  <c r="Q511" i="9"/>
  <c r="R511" i="9" s="1"/>
  <c r="J511" i="9"/>
  <c r="Q510" i="9"/>
  <c r="R510" i="9" s="1"/>
  <c r="J510" i="9"/>
  <c r="Q509" i="9"/>
  <c r="R509" i="9" s="1"/>
  <c r="J509" i="9"/>
  <c r="Q508" i="9"/>
  <c r="R508" i="9" s="1"/>
  <c r="J508" i="9"/>
  <c r="Q507" i="9"/>
  <c r="R507" i="9" s="1"/>
  <c r="J507" i="9"/>
  <c r="Q506" i="9"/>
  <c r="R506" i="9" s="1"/>
  <c r="J506" i="9"/>
  <c r="Q505" i="9"/>
  <c r="R505" i="9" s="1"/>
  <c r="J505" i="9"/>
  <c r="Q504" i="9"/>
  <c r="R504" i="9" s="1"/>
  <c r="J504" i="9"/>
  <c r="Q503" i="9"/>
  <c r="R503" i="9" s="1"/>
  <c r="J503" i="9"/>
  <c r="Q502" i="9"/>
  <c r="R502" i="9" s="1"/>
  <c r="J502" i="9"/>
  <c r="Q501" i="9"/>
  <c r="R501" i="9" s="1"/>
  <c r="J501" i="9"/>
  <c r="Q500" i="9"/>
  <c r="R500" i="9" s="1"/>
  <c r="J500" i="9"/>
  <c r="Q499" i="9"/>
  <c r="R499" i="9" s="1"/>
  <c r="J499" i="9"/>
  <c r="Q498" i="9"/>
  <c r="R498" i="9" s="1"/>
  <c r="J498" i="9"/>
  <c r="Q497" i="9"/>
  <c r="R497" i="9" s="1"/>
  <c r="J497" i="9"/>
  <c r="Q496" i="9"/>
  <c r="R496" i="9" s="1"/>
  <c r="J496" i="9"/>
  <c r="Q495" i="9"/>
  <c r="R495" i="9" s="1"/>
  <c r="J495" i="9"/>
  <c r="Q494" i="9"/>
  <c r="R494" i="9" s="1"/>
  <c r="J494" i="9"/>
  <c r="Q493" i="9"/>
  <c r="R493" i="9" s="1"/>
  <c r="J493" i="9"/>
  <c r="Q492" i="9"/>
  <c r="R492" i="9" s="1"/>
  <c r="J492" i="9"/>
  <c r="Q491" i="9"/>
  <c r="R491" i="9" s="1"/>
  <c r="J491" i="9"/>
  <c r="Q490" i="9"/>
  <c r="R490" i="9" s="1"/>
  <c r="J490" i="9"/>
  <c r="J489" i="9"/>
  <c r="J488" i="9"/>
  <c r="J487" i="9"/>
  <c r="J486" i="9"/>
  <c r="Q485" i="9"/>
  <c r="R485" i="9" s="1"/>
  <c r="J485" i="9"/>
  <c r="Q484" i="9"/>
  <c r="R484" i="9" s="1"/>
  <c r="J484" i="9"/>
  <c r="J483" i="9"/>
  <c r="J482" i="9"/>
  <c r="J481" i="9"/>
  <c r="J480" i="9"/>
  <c r="Q479" i="9"/>
  <c r="R479" i="9" s="1"/>
  <c r="J479" i="9"/>
  <c r="J478" i="9"/>
  <c r="J477" i="9"/>
  <c r="Q476" i="9"/>
  <c r="R476" i="9" s="1"/>
  <c r="J476" i="9"/>
  <c r="Q475" i="9"/>
  <c r="R475" i="9" s="1"/>
  <c r="J475" i="9"/>
  <c r="J474" i="9"/>
  <c r="J473" i="9"/>
  <c r="J472" i="9"/>
  <c r="J471" i="9"/>
  <c r="Q470" i="9"/>
  <c r="R470" i="9" s="1"/>
  <c r="J470" i="9"/>
  <c r="Q469" i="9"/>
  <c r="R469" i="9" s="1"/>
  <c r="J469" i="9"/>
  <c r="Q468" i="9"/>
  <c r="R468" i="9" s="1"/>
  <c r="J468" i="9"/>
  <c r="Q467" i="9"/>
  <c r="R467" i="9" s="1"/>
  <c r="J467" i="9"/>
  <c r="J466" i="9"/>
  <c r="J465" i="9"/>
  <c r="Q464" i="9"/>
  <c r="R464" i="9" s="1"/>
  <c r="J464" i="9"/>
  <c r="Q463" i="9"/>
  <c r="J463" i="9"/>
  <c r="Q462" i="9"/>
  <c r="R462" i="9" s="1"/>
  <c r="J462" i="9"/>
  <c r="J461" i="9"/>
  <c r="Q460" i="9"/>
  <c r="R460" i="9" s="1"/>
  <c r="J460" i="9"/>
  <c r="Q459" i="9"/>
  <c r="R459" i="9" s="1"/>
  <c r="J459" i="9"/>
  <c r="J458" i="9"/>
  <c r="J457" i="9"/>
  <c r="J456" i="9"/>
  <c r="J455" i="9"/>
  <c r="J454" i="9"/>
  <c r="J453" i="9"/>
  <c r="J452" i="9"/>
  <c r="J451" i="9"/>
  <c r="Q450" i="9"/>
  <c r="R450" i="9" s="1"/>
  <c r="J450" i="9"/>
  <c r="J449" i="9"/>
  <c r="J448" i="9"/>
  <c r="Q447" i="9"/>
  <c r="R447" i="9" s="1"/>
  <c r="J447" i="9"/>
  <c r="Q446" i="9"/>
  <c r="R446" i="9" s="1"/>
  <c r="J446" i="9"/>
  <c r="Q445" i="9"/>
  <c r="R445" i="9" s="1"/>
  <c r="J445" i="9"/>
  <c r="Q444" i="9"/>
  <c r="R444" i="9" s="1"/>
  <c r="J444" i="9"/>
  <c r="Q443" i="9"/>
  <c r="R443" i="9" s="1"/>
  <c r="J443" i="9"/>
  <c r="J442" i="9"/>
  <c r="J441" i="9"/>
  <c r="J440" i="9"/>
  <c r="J439" i="9"/>
  <c r="J438" i="9"/>
  <c r="J437" i="9"/>
  <c r="J436" i="9"/>
  <c r="J435" i="9"/>
  <c r="J434" i="9"/>
  <c r="J433" i="9"/>
  <c r="J432" i="9"/>
  <c r="J431" i="9"/>
  <c r="Q430" i="9"/>
  <c r="R430" i="9" s="1"/>
  <c r="J430" i="9"/>
  <c r="Q429" i="9"/>
  <c r="R429" i="9" s="1"/>
  <c r="J429" i="9"/>
  <c r="J428" i="9"/>
  <c r="J427" i="9"/>
  <c r="J426" i="9"/>
  <c r="Q425" i="9"/>
  <c r="R425" i="9" s="1"/>
  <c r="J425" i="9"/>
  <c r="J424" i="9"/>
  <c r="Q423" i="9"/>
  <c r="R423" i="9" s="1"/>
  <c r="J423" i="9"/>
  <c r="J422" i="9"/>
  <c r="J421" i="9"/>
  <c r="Q420" i="9"/>
  <c r="R420" i="9" s="1"/>
  <c r="J420" i="9"/>
  <c r="J419" i="9"/>
  <c r="J418" i="9"/>
  <c r="J417" i="9"/>
  <c r="J416" i="9"/>
  <c r="J415" i="9"/>
  <c r="J414" i="9"/>
  <c r="J413" i="9"/>
  <c r="J412" i="9"/>
  <c r="J411" i="9"/>
  <c r="Q410" i="9"/>
  <c r="J410" i="9"/>
  <c r="J409" i="9"/>
  <c r="J408" i="9"/>
  <c r="Q407" i="9"/>
  <c r="J407" i="9"/>
  <c r="J406" i="9"/>
  <c r="J405" i="9"/>
  <c r="J404" i="9"/>
  <c r="J403" i="9"/>
  <c r="J402" i="9"/>
  <c r="J401" i="9"/>
  <c r="J400" i="9"/>
  <c r="J399" i="9"/>
  <c r="J398" i="9"/>
  <c r="J397" i="9"/>
  <c r="J396" i="9"/>
  <c r="J395" i="9"/>
  <c r="J394" i="9"/>
  <c r="J393" i="9"/>
  <c r="J392" i="9"/>
  <c r="J391" i="9"/>
  <c r="J390" i="9"/>
  <c r="J389" i="9"/>
  <c r="J388" i="9"/>
  <c r="J387" i="9"/>
  <c r="J386" i="9"/>
  <c r="J385" i="9"/>
  <c r="J384" i="9"/>
  <c r="J383" i="9"/>
  <c r="J382" i="9"/>
  <c r="J381" i="9"/>
  <c r="J380" i="9"/>
  <c r="J379" i="9"/>
  <c r="J378" i="9"/>
  <c r="J377" i="9"/>
  <c r="J376" i="9"/>
  <c r="J375" i="9"/>
  <c r="J374" i="9"/>
  <c r="J373" i="9"/>
  <c r="J372" i="9"/>
  <c r="J371" i="9"/>
  <c r="J370" i="9"/>
  <c r="J369" i="9"/>
  <c r="J368" i="9"/>
  <c r="J367" i="9"/>
  <c r="J366" i="9"/>
  <c r="J365" i="9"/>
  <c r="J364" i="9"/>
  <c r="J363" i="9"/>
  <c r="J362" i="9"/>
  <c r="J361" i="9"/>
  <c r="J360" i="9"/>
  <c r="J359" i="9"/>
  <c r="J358" i="9"/>
  <c r="J357" i="9"/>
  <c r="J356" i="9"/>
  <c r="J355" i="9"/>
  <c r="J354" i="9"/>
  <c r="J353" i="9"/>
  <c r="J352" i="9"/>
  <c r="J351" i="9"/>
  <c r="J350" i="9"/>
  <c r="J349" i="9"/>
  <c r="J348" i="9"/>
  <c r="J347" i="9"/>
  <c r="J346" i="9"/>
  <c r="J345" i="9"/>
  <c r="J344" i="9"/>
  <c r="Q343" i="9"/>
  <c r="R343" i="9" s="1"/>
  <c r="J343" i="9"/>
  <c r="Q342" i="9"/>
  <c r="R342" i="9" s="1"/>
  <c r="J342" i="9"/>
  <c r="J341" i="9"/>
  <c r="J340" i="9"/>
  <c r="J339" i="9"/>
  <c r="J338" i="9"/>
  <c r="Q337" i="9"/>
  <c r="R337" i="9" s="1"/>
  <c r="J337" i="9"/>
  <c r="J336" i="9"/>
  <c r="J335" i="9"/>
  <c r="J334" i="9"/>
  <c r="J333" i="9"/>
  <c r="J332" i="9"/>
  <c r="J331" i="9"/>
  <c r="J330" i="9"/>
  <c r="J329" i="9"/>
  <c r="J328" i="9"/>
  <c r="J327" i="9"/>
  <c r="J326" i="9"/>
  <c r="J325" i="9"/>
  <c r="J324" i="9"/>
  <c r="J323" i="9"/>
  <c r="J322" i="9"/>
  <c r="J321" i="9"/>
  <c r="J320" i="9"/>
  <c r="J319" i="9"/>
  <c r="J318" i="9"/>
  <c r="J317" i="9"/>
  <c r="J316" i="9"/>
  <c r="J315" i="9"/>
  <c r="J314" i="9"/>
  <c r="J313" i="9"/>
  <c r="J312" i="9"/>
  <c r="J311" i="9"/>
  <c r="J310" i="9"/>
  <c r="J309" i="9"/>
  <c r="J308" i="9"/>
  <c r="J307" i="9"/>
  <c r="J306" i="9"/>
  <c r="J305" i="9"/>
  <c r="J304" i="9"/>
  <c r="J303" i="9"/>
  <c r="J302" i="9"/>
  <c r="J301" i="9"/>
  <c r="J300" i="9"/>
  <c r="J299" i="9"/>
  <c r="J298" i="9"/>
  <c r="J297" i="9"/>
  <c r="J296" i="9"/>
  <c r="J295" i="9"/>
  <c r="J294" i="9"/>
  <c r="J293" i="9"/>
  <c r="J292" i="9"/>
  <c r="J291" i="9"/>
  <c r="J290" i="9"/>
  <c r="J289" i="9"/>
  <c r="J288" i="9"/>
  <c r="J287" i="9"/>
  <c r="J286" i="9"/>
  <c r="J285" i="9"/>
  <c r="J284" i="9"/>
  <c r="J283" i="9"/>
  <c r="J282" i="9"/>
  <c r="J281" i="9"/>
  <c r="J280" i="9"/>
  <c r="J279" i="9"/>
  <c r="J278" i="9"/>
  <c r="J277" i="9"/>
  <c r="J276" i="9"/>
  <c r="J275" i="9"/>
  <c r="J274" i="9"/>
  <c r="J273" i="9"/>
  <c r="J272" i="9"/>
  <c r="J271" i="9"/>
  <c r="J270" i="9"/>
  <c r="J269" i="9"/>
  <c r="J268" i="9"/>
  <c r="J267" i="9"/>
  <c r="J266" i="9"/>
  <c r="J265" i="9"/>
  <c r="J264" i="9"/>
  <c r="J263" i="9"/>
  <c r="J262" i="9"/>
  <c r="J261" i="9"/>
  <c r="Q260" i="9"/>
  <c r="R260" i="9" s="1"/>
  <c r="J260" i="9"/>
  <c r="Q259" i="9"/>
  <c r="R259" i="9" s="1"/>
  <c r="J259" i="9"/>
  <c r="Q258" i="9"/>
  <c r="R258" i="9" s="1"/>
  <c r="J258" i="9"/>
  <c r="Q257" i="9"/>
  <c r="R257" i="9" s="1"/>
  <c r="J257" i="9"/>
  <c r="Q256" i="9"/>
  <c r="R256" i="9" s="1"/>
  <c r="J256" i="9"/>
  <c r="Q255" i="9"/>
  <c r="R255" i="9" s="1"/>
  <c r="J255" i="9"/>
  <c r="Q254" i="9"/>
  <c r="R254" i="9" s="1"/>
  <c r="J254" i="9"/>
  <c r="Q253" i="9"/>
  <c r="R253" i="9" s="1"/>
  <c r="J253" i="9"/>
  <c r="Q252" i="9"/>
  <c r="R252" i="9" s="1"/>
  <c r="J252" i="9"/>
  <c r="Q251" i="9"/>
  <c r="R251" i="9" s="1"/>
  <c r="J251" i="9"/>
  <c r="Q250" i="9"/>
  <c r="R250" i="9" s="1"/>
  <c r="J250" i="9"/>
  <c r="Q249" i="9"/>
  <c r="R249" i="9" s="1"/>
  <c r="J249" i="9"/>
  <c r="Q248" i="9"/>
  <c r="R248" i="9" s="1"/>
  <c r="J248" i="9"/>
  <c r="Q247" i="9"/>
  <c r="R247" i="9" s="1"/>
  <c r="J247" i="9"/>
  <c r="Q246" i="9"/>
  <c r="R246" i="9" s="1"/>
  <c r="J246" i="9"/>
  <c r="Q245" i="9"/>
  <c r="R245" i="9" s="1"/>
  <c r="J245" i="9"/>
  <c r="J244" i="9"/>
  <c r="Q243" i="9"/>
  <c r="R243" i="9" s="1"/>
  <c r="J243" i="9"/>
  <c r="Q242" i="9"/>
  <c r="R242" i="9" s="1"/>
  <c r="J242" i="9"/>
  <c r="Q241" i="9"/>
  <c r="R241" i="9" s="1"/>
  <c r="J241" i="9"/>
  <c r="Q240" i="9"/>
  <c r="R240" i="9" s="1"/>
  <c r="J240" i="9"/>
  <c r="J239" i="9"/>
  <c r="Q238" i="9"/>
  <c r="R238" i="9" s="1"/>
  <c r="J238" i="9"/>
  <c r="Q237" i="9"/>
  <c r="R237" i="9" s="1"/>
  <c r="J237" i="9"/>
  <c r="J236" i="9"/>
  <c r="Q235" i="9"/>
  <c r="R235" i="9" s="1"/>
  <c r="J235" i="9"/>
  <c r="J234" i="9"/>
  <c r="Q233" i="9"/>
  <c r="R233" i="9" s="1"/>
  <c r="J233" i="9"/>
  <c r="Q232" i="9"/>
  <c r="R232" i="9" s="1"/>
  <c r="J232" i="9"/>
  <c r="Q231" i="9"/>
  <c r="R231" i="9" s="1"/>
  <c r="J231" i="9"/>
  <c r="J230" i="9"/>
  <c r="J229" i="9"/>
  <c r="J228" i="9"/>
  <c r="J227" i="9"/>
  <c r="J226" i="9"/>
  <c r="Q225" i="9"/>
  <c r="R225" i="9" s="1"/>
  <c r="J225" i="9"/>
  <c r="Q224" i="9"/>
  <c r="R224" i="9" s="1"/>
  <c r="J224" i="9"/>
  <c r="J223" i="9"/>
  <c r="J222" i="9"/>
  <c r="Q221" i="9"/>
  <c r="R221" i="9" s="1"/>
  <c r="J221" i="9"/>
  <c r="J220" i="9"/>
  <c r="J219" i="9"/>
  <c r="Q218" i="9"/>
  <c r="R218" i="9" s="1"/>
  <c r="J218" i="9"/>
  <c r="J217" i="9"/>
  <c r="J216" i="9"/>
  <c r="J215" i="9"/>
  <c r="J214" i="9"/>
  <c r="J213" i="9"/>
  <c r="Q212" i="9"/>
  <c r="R212" i="9" s="1"/>
  <c r="J212" i="9"/>
  <c r="J211" i="9"/>
  <c r="J210" i="9"/>
  <c r="J209" i="9"/>
  <c r="J208" i="9"/>
  <c r="J207" i="9"/>
  <c r="J206" i="9"/>
  <c r="Q205" i="9"/>
  <c r="R205" i="9" s="1"/>
  <c r="J205" i="9"/>
  <c r="J204" i="9"/>
  <c r="J203" i="9"/>
  <c r="J202" i="9"/>
  <c r="J201" i="9"/>
  <c r="J200" i="9"/>
  <c r="J199" i="9"/>
  <c r="J198" i="9"/>
  <c r="J197" i="9"/>
  <c r="J196" i="9"/>
  <c r="J195" i="9"/>
  <c r="J194" i="9"/>
  <c r="J193" i="9"/>
  <c r="J192" i="9"/>
  <c r="J191" i="9"/>
  <c r="J190" i="9"/>
  <c r="Q189" i="9"/>
  <c r="R189" i="9" s="1"/>
  <c r="J189" i="9"/>
  <c r="J188" i="9"/>
  <c r="J187" i="9"/>
  <c r="J186" i="9"/>
  <c r="J185" i="9"/>
  <c r="J184" i="9"/>
  <c r="J183" i="9"/>
  <c r="J182" i="9"/>
  <c r="J181" i="9"/>
  <c r="J180" i="9"/>
  <c r="Q179" i="9"/>
  <c r="R179" i="9" s="1"/>
  <c r="J179" i="9"/>
  <c r="J178" i="9"/>
  <c r="Q177" i="9"/>
  <c r="R177" i="9" s="1"/>
  <c r="J177" i="9"/>
  <c r="Q176" i="9"/>
  <c r="R176" i="9" s="1"/>
  <c r="J176" i="9"/>
  <c r="J175" i="9"/>
  <c r="J174" i="9"/>
  <c r="J173" i="9"/>
  <c r="Q172" i="9"/>
  <c r="R172" i="9" s="1"/>
  <c r="J172" i="9"/>
  <c r="J171" i="9"/>
  <c r="Q170" i="9"/>
  <c r="R170" i="9" s="1"/>
  <c r="J170" i="9"/>
  <c r="J169" i="9"/>
  <c r="J168" i="9"/>
  <c r="J167" i="9"/>
  <c r="J166" i="9"/>
  <c r="J165" i="9"/>
  <c r="J164" i="9"/>
  <c r="J163" i="9"/>
  <c r="J162" i="9"/>
  <c r="J161" i="9"/>
  <c r="J160" i="9"/>
  <c r="J159" i="9"/>
  <c r="J158" i="9"/>
  <c r="J157" i="9"/>
  <c r="J156" i="9"/>
  <c r="J155" i="9"/>
  <c r="Q154" i="9"/>
  <c r="R154" i="9" s="1"/>
  <c r="J154" i="9"/>
  <c r="J153" i="9"/>
  <c r="J152" i="9"/>
  <c r="J151" i="9"/>
  <c r="J150" i="9"/>
  <c r="Q149" i="9"/>
  <c r="R149" i="9" s="1"/>
  <c r="J149" i="9"/>
  <c r="J148" i="9"/>
  <c r="Q147" i="9"/>
  <c r="R147" i="9" s="1"/>
  <c r="J147" i="9"/>
  <c r="J146" i="9"/>
  <c r="J145" i="9"/>
  <c r="J144" i="9"/>
  <c r="J143" i="9"/>
  <c r="Q142" i="9"/>
  <c r="R142" i="9" s="1"/>
  <c r="J142" i="9"/>
  <c r="J141" i="9"/>
  <c r="J140" i="9"/>
  <c r="Q139" i="9"/>
  <c r="R139" i="9" s="1"/>
  <c r="J139" i="9"/>
  <c r="J138" i="9"/>
  <c r="J137" i="9"/>
  <c r="J136" i="9"/>
  <c r="J135" i="9"/>
  <c r="Q134" i="9"/>
  <c r="R134" i="9" s="1"/>
  <c r="J134" i="9"/>
  <c r="J133" i="9"/>
  <c r="J132" i="9"/>
  <c r="J131" i="9"/>
  <c r="Q130" i="9"/>
  <c r="R130" i="9" s="1"/>
  <c r="J130" i="9"/>
  <c r="J129" i="9"/>
  <c r="J128" i="9"/>
  <c r="J127" i="9"/>
  <c r="J126" i="9"/>
  <c r="J125" i="9"/>
  <c r="J124" i="9"/>
  <c r="J123" i="9"/>
  <c r="J122" i="9"/>
  <c r="J121" i="9"/>
  <c r="J120" i="9"/>
  <c r="J119" i="9"/>
  <c r="J118" i="9"/>
  <c r="J117" i="9"/>
  <c r="J116" i="9"/>
  <c r="J115" i="9"/>
  <c r="J114" i="9"/>
  <c r="J113" i="9"/>
  <c r="J112" i="9"/>
  <c r="J111" i="9"/>
  <c r="J110" i="9"/>
  <c r="Q109" i="9"/>
  <c r="R109" i="9" s="1"/>
  <c r="J109" i="9"/>
  <c r="Q108" i="9"/>
  <c r="R108" i="9" s="1"/>
  <c r="J108" i="9"/>
  <c r="J107" i="9"/>
  <c r="J106" i="9"/>
  <c r="J105" i="9"/>
  <c r="J104" i="9"/>
  <c r="J103" i="9"/>
  <c r="J102" i="9"/>
  <c r="Q101" i="9"/>
  <c r="R101" i="9" s="1"/>
  <c r="J101" i="9"/>
  <c r="J100" i="9"/>
  <c r="J99" i="9"/>
  <c r="J98" i="9"/>
  <c r="J97" i="9"/>
  <c r="J96" i="9"/>
  <c r="J95" i="9"/>
  <c r="Q94" i="9"/>
  <c r="R94" i="9" s="1"/>
  <c r="J94" i="9"/>
  <c r="J93" i="9"/>
  <c r="J92" i="9"/>
  <c r="J91" i="9"/>
  <c r="J90" i="9"/>
  <c r="J89" i="9"/>
  <c r="J88" i="9"/>
  <c r="J87" i="9"/>
  <c r="J86" i="9"/>
  <c r="J85" i="9"/>
  <c r="J84" i="9"/>
  <c r="J83" i="9"/>
  <c r="J82" i="9"/>
  <c r="J81" i="9"/>
  <c r="J80" i="9"/>
  <c r="Q79" i="9"/>
  <c r="R79" i="9" s="1"/>
  <c r="J79" i="9"/>
  <c r="Q78" i="9"/>
  <c r="R78" i="9" s="1"/>
  <c r="J78" i="9"/>
  <c r="J77" i="9"/>
  <c r="J76" i="9"/>
  <c r="J75" i="9"/>
  <c r="J74" i="9"/>
  <c r="J73" i="9"/>
  <c r="J72" i="9"/>
  <c r="J71" i="9"/>
  <c r="J70" i="9"/>
  <c r="J69" i="9"/>
  <c r="J68" i="9"/>
  <c r="Q67" i="9"/>
  <c r="R67" i="9" s="1"/>
  <c r="J67" i="9"/>
  <c r="Q66" i="9"/>
  <c r="R66" i="9" s="1"/>
  <c r="J66" i="9"/>
  <c r="J65" i="9"/>
  <c r="J64" i="9"/>
  <c r="Q63" i="9"/>
  <c r="R63" i="9" s="1"/>
  <c r="J63" i="9"/>
  <c r="J62" i="9"/>
  <c r="J61" i="9"/>
  <c r="Q60" i="9"/>
  <c r="R60" i="9" s="1"/>
  <c r="J60" i="9"/>
  <c r="J59" i="9"/>
  <c r="J58" i="9"/>
  <c r="Q57" i="9"/>
  <c r="R57" i="9" s="1"/>
  <c r="J57" i="9"/>
  <c r="J56" i="9"/>
  <c r="Q55" i="9"/>
  <c r="R55" i="9" s="1"/>
  <c r="J55" i="9"/>
  <c r="J54" i="9"/>
  <c r="J53" i="9"/>
  <c r="J52" i="9"/>
  <c r="J51" i="9"/>
  <c r="J50" i="9"/>
  <c r="J49" i="9"/>
  <c r="J47" i="9"/>
  <c r="J46" i="9"/>
  <c r="J45" i="9"/>
  <c r="J44" i="9"/>
  <c r="J43" i="9"/>
  <c r="J42" i="9"/>
  <c r="J41" i="9"/>
  <c r="J40" i="9"/>
  <c r="J39" i="9"/>
  <c r="J38" i="9"/>
  <c r="Q37" i="9"/>
  <c r="R37" i="9" s="1"/>
  <c r="J37" i="9"/>
  <c r="J36" i="9"/>
  <c r="J35" i="9"/>
  <c r="J34" i="9"/>
  <c r="J33" i="9"/>
  <c r="J32" i="9"/>
  <c r="J31" i="9"/>
  <c r="J30" i="9"/>
  <c r="J29" i="9"/>
  <c r="J28" i="9"/>
  <c r="J27" i="9"/>
  <c r="J26" i="9"/>
  <c r="J25" i="9"/>
  <c r="J24" i="9"/>
  <c r="J23" i="9"/>
  <c r="J22" i="9"/>
  <c r="J21" i="9"/>
  <c r="J20" i="9"/>
  <c r="J19" i="9"/>
  <c r="J18" i="9"/>
  <c r="J17" i="9"/>
  <c r="J16" i="9"/>
  <c r="Q15" i="9"/>
  <c r="R15" i="9" s="1"/>
  <c r="J15" i="9"/>
  <c r="Q14" i="9"/>
  <c r="R14" i="9" s="1"/>
  <c r="J14" i="9"/>
  <c r="J13" i="9"/>
  <c r="Q12" i="9"/>
  <c r="R12" i="9" s="1"/>
  <c r="J12" i="9"/>
  <c r="Q11" i="9"/>
  <c r="R11" i="9" s="1"/>
  <c r="J11" i="9"/>
  <c r="J10" i="9"/>
  <c r="J9" i="9"/>
  <c r="Q8" i="9"/>
  <c r="R8" i="9" s="1"/>
  <c r="J8" i="9"/>
  <c r="Q7" i="9"/>
  <c r="R7" i="9" s="1"/>
  <c r="J7" i="9"/>
  <c r="Q720" i="9"/>
  <c r="R720" i="9" s="1"/>
  <c r="J720" i="9"/>
  <c r="G541" i="10"/>
  <c r="G31" i="9"/>
  <c r="P407" i="9"/>
  <c r="P410" i="9"/>
  <c r="O410" i="9"/>
  <c r="P463" i="9"/>
  <c r="O463" i="9"/>
  <c r="G517" i="8"/>
  <c r="G541" i="8" s="1"/>
  <c r="P12" i="7"/>
  <c r="P37" i="7"/>
  <c r="G31" i="7"/>
  <c r="F48" i="7"/>
  <c r="P233" i="7"/>
  <c r="P470" i="7"/>
  <c r="P493" i="7"/>
  <c r="P508" i="7"/>
  <c r="P429" i="7"/>
  <c r="P507" i="7"/>
  <c r="P530" i="7"/>
  <c r="P573" i="7"/>
  <c r="I541" i="6"/>
  <c r="G541" i="6"/>
  <c r="T29" i="4"/>
  <c r="G721" i="5"/>
  <c r="P68" i="5"/>
  <c r="P231" i="5"/>
  <c r="P192" i="5"/>
  <c r="P250" i="5"/>
  <c r="P257" i="5"/>
  <c r="P243" i="5"/>
  <c r="P205" i="5"/>
  <c r="P261" i="5"/>
  <c r="P342" i="5"/>
  <c r="P573" i="5"/>
  <c r="O19" i="4"/>
  <c r="T19" i="4" s="1"/>
  <c r="T22" i="4" s="1"/>
  <c r="T44" i="4" s="1"/>
  <c r="T45" i="4" s="1"/>
  <c r="T46" i="4" s="1"/>
  <c r="T47" i="4" s="1"/>
  <c r="H724" i="17" l="1"/>
  <c r="H727" i="17" s="1"/>
  <c r="H729" i="17" s="1"/>
  <c r="J725" i="17"/>
  <c r="H726" i="17"/>
  <c r="J724" i="17"/>
  <c r="H725" i="17"/>
  <c r="L721" i="11"/>
  <c r="R410" i="9"/>
  <c r="R407" i="9"/>
  <c r="R463" i="9"/>
  <c r="G48" i="9"/>
  <c r="I48" i="9"/>
  <c r="G543" i="10"/>
  <c r="I542" i="10"/>
  <c r="G545" i="10"/>
  <c r="G547" i="10" s="1"/>
  <c r="G544" i="10"/>
  <c r="G543" i="8"/>
  <c r="K542" i="8"/>
  <c r="G545" i="8"/>
  <c r="G547" i="8" s="1"/>
  <c r="G544" i="8"/>
  <c r="G48" i="7"/>
  <c r="G721" i="7" s="1"/>
  <c r="G543" i="6"/>
  <c r="K542" i="6"/>
  <c r="G545" i="6"/>
  <c r="G547" i="6" s="1"/>
  <c r="G544" i="6"/>
  <c r="G723" i="5"/>
  <c r="G722" i="5"/>
  <c r="G724" i="5"/>
  <c r="G726" i="5" s="1"/>
  <c r="H728" i="17" l="1"/>
  <c r="H730" i="17" s="1"/>
  <c r="H732" i="17" s="1"/>
  <c r="J48" i="9"/>
  <c r="J721" i="9" s="1"/>
  <c r="G542" i="10"/>
  <c r="G546" i="10" s="1"/>
  <c r="G548" i="10" s="1"/>
  <c r="I551" i="10"/>
  <c r="I546" i="10"/>
  <c r="G542" i="8"/>
  <c r="G546" i="8" s="1"/>
  <c r="G548" i="8" s="1"/>
  <c r="G723" i="7"/>
  <c r="G722" i="7"/>
  <c r="G724" i="7"/>
  <c r="G726" i="7" s="1"/>
  <c r="G542" i="6"/>
  <c r="G546" i="6" s="1"/>
  <c r="G548" i="6" s="1"/>
  <c r="K551" i="6" s="1"/>
  <c r="G725" i="5"/>
  <c r="G727" i="5" s="1"/>
  <c r="M86" i="11" a="1"/>
  <c r="M78" i="11" a="1"/>
  <c r="M94" i="11" a="1"/>
  <c r="K347" i="9" a="1"/>
  <c r="I351" i="7" a="1"/>
  <c r="K368" i="9" a="1"/>
  <c r="I366" i="7" a="1"/>
  <c r="K387" i="9" a="1"/>
  <c r="I386" i="7" a="1"/>
  <c r="J182" i="8" a="1"/>
  <c r="I34" i="5" a="1"/>
  <c r="J178" i="8" a="1"/>
  <c r="I26" i="5" a="1"/>
  <c r="J157" i="8" a="1"/>
  <c r="I711" i="5" a="1"/>
  <c r="K704" i="9" a="1"/>
  <c r="M27" i="11" a="1"/>
  <c r="K13" i="9" a="1"/>
  <c r="M39" i="11" a="1"/>
  <c r="K430" i="9" a="1"/>
  <c r="I421" i="7" a="1"/>
  <c r="K449" i="9" a="1"/>
  <c r="I442" i="7" a="1"/>
  <c r="K473" i="9" a="1"/>
  <c r="I458" i="7" a="1"/>
  <c r="J81" i="8" a="1"/>
  <c r="I669" i="5" a="1"/>
  <c r="J78" i="8" a="1"/>
  <c r="I666" i="5" a="1"/>
  <c r="J65" i="8" a="1"/>
  <c r="I641" i="5" a="1"/>
  <c r="H235" i="10" a="1"/>
  <c r="M319" i="11" a="1"/>
  <c r="K148" i="9" a="1"/>
  <c r="K231" i="9" a="1"/>
  <c r="K310" i="9" a="1"/>
  <c r="M565" i="11" a="1"/>
  <c r="M522" i="11" a="1"/>
  <c r="M308" i="11" a="1"/>
  <c r="I480" i="7" a="1"/>
  <c r="I519" i="5" a="1"/>
  <c r="M374" i="11" a="1"/>
  <c r="J466" i="8" a="1"/>
  <c r="J464" i="8" a="1"/>
  <c r="I38" i="7" a="1"/>
  <c r="M355" i="11" a="1"/>
  <c r="K37" i="9" a="1"/>
  <c r="M286" i="11" a="1"/>
  <c r="I449" i="7" a="1"/>
  <c r="I469" i="7" a="1"/>
  <c r="I486" i="7" a="1"/>
  <c r="J116" i="8" a="1"/>
  <c r="J113" i="8" a="1"/>
  <c r="J95" i="8" a="1"/>
  <c r="J169" i="6" a="1"/>
  <c r="J195" i="6" a="1"/>
  <c r="K596" i="9" a="1"/>
  <c r="H394" i="10" a="1"/>
  <c r="J185" i="8" a="1"/>
  <c r="J207" i="6" a="1"/>
  <c r="I217" i="5" a="1"/>
  <c r="K198" i="9" a="1"/>
  <c r="M278" i="11" a="1"/>
  <c r="J220" i="6" a="1"/>
  <c r="M343" i="11" a="1"/>
  <c r="M329" i="11" a="1"/>
  <c r="K21" i="9" a="1"/>
  <c r="I396" i="7" a="1"/>
  <c r="K100" i="9" a="1"/>
  <c r="I418" i="7" a="1"/>
  <c r="K185" i="9" a="1"/>
  <c r="I439" i="7" a="1"/>
  <c r="K637" i="9" a="1"/>
  <c r="J161" i="8" a="1"/>
  <c r="K669" i="9" a="1"/>
  <c r="J154" i="8" a="1"/>
  <c r="M644" i="11" a="1"/>
  <c r="J134" i="8" a="1"/>
  <c r="H39" i="10" a="1"/>
  <c r="J365" i="6" a="1"/>
  <c r="M276" i="11" a="1"/>
  <c r="M230" i="11" a="1"/>
  <c r="K344" i="9" a="1"/>
  <c r="I479" i="7" a="1"/>
  <c r="K424" i="9" a="1"/>
  <c r="H466" i="10" a="1"/>
  <c r="K493" i="9" a="1"/>
  <c r="H458" i="10" a="1"/>
  <c r="M68" i="11" a="1"/>
  <c r="J87" i="8" a="1"/>
  <c r="M48" i="11" a="1"/>
  <c r="J83" i="8" a="1"/>
  <c r="K134" i="9" a="1"/>
  <c r="J54" i="8" a="1"/>
  <c r="I287" i="7" a="1"/>
  <c r="J35" i="6" a="1"/>
  <c r="M268" i="11" a="1"/>
  <c r="K123" i="9" a="1"/>
  <c r="K143" i="9" a="1"/>
  <c r="K163" i="9" a="1"/>
  <c r="J360" i="8" a="1"/>
  <c r="J353" i="8" a="1"/>
  <c r="J345" i="8" a="1"/>
  <c r="I12" i="5" a="1"/>
  <c r="K558" i="9" a="1"/>
  <c r="K202" i="9" a="1"/>
  <c r="H331" i="10" a="1"/>
  <c r="I327" i="5" a="1"/>
  <c r="J467" i="6" a="1"/>
  <c r="H520" i="10" a="1"/>
  <c r="M269" i="11" a="1"/>
  <c r="M280" i="11" a="1"/>
  <c r="I142" i="7" a="1"/>
  <c r="I161" i="7" a="1"/>
  <c r="I180" i="7" a="1"/>
  <c r="I694" i="5" a="1"/>
  <c r="I676" i="5" a="1"/>
  <c r="I629" i="5" a="1"/>
  <c r="J270" i="6" a="1"/>
  <c r="I551" i="5" a="1"/>
  <c r="M378" i="11" a="1"/>
  <c r="M341" i="11" a="1"/>
  <c r="J209" i="6" a="1"/>
  <c r="I128" i="5" a="1"/>
  <c r="J212" i="6" a="1"/>
  <c r="M270" i="11" a="1"/>
  <c r="I96" i="7" a="1"/>
  <c r="I42" i="5" a="1"/>
  <c r="M65" i="11" a="1"/>
  <c r="M28" i="11" a="1"/>
  <c r="M546" i="11" a="1"/>
  <c r="H314" i="10" a="1"/>
  <c r="M480" i="11" a="1"/>
  <c r="H304" i="10" a="1"/>
  <c r="M427" i="11" a="1"/>
  <c r="H284" i="10" a="1"/>
  <c r="M608" i="11" a="1"/>
  <c r="J438" i="6" a="1"/>
  <c r="M598" i="11" a="1"/>
  <c r="J436" i="6" a="1"/>
  <c r="M442" i="11" a="1"/>
  <c r="J414" i="6" a="1"/>
  <c r="J249" i="6" a="1"/>
  <c r="I620" i="5" a="1"/>
  <c r="K42" i="9" a="1"/>
  <c r="K62" i="9" a="1"/>
  <c r="M360" i="11" a="1"/>
  <c r="H250" i="10" a="1"/>
  <c r="M338" i="11" a="1"/>
  <c r="H229" i="10" a="1"/>
  <c r="M292" i="11" a="1"/>
  <c r="H216" i="10" a="1"/>
  <c r="M264" i="11" a="1"/>
  <c r="J369" i="6" a="1"/>
  <c r="M259" i="11" a="1"/>
  <c r="J364" i="6" a="1"/>
  <c r="M221" i="11" a="1"/>
  <c r="J350" i="6" a="1"/>
  <c r="I560" i="7" a="1"/>
  <c r="I602" i="5" a="1"/>
  <c r="K224" i="9" a="1"/>
  <c r="K647" i="9" a="1"/>
  <c r="K668" i="9" a="1"/>
  <c r="K688" i="9" a="1"/>
  <c r="J418" i="6" a="1"/>
  <c r="J413" i="6" a="1"/>
  <c r="J393" i="6" a="1"/>
  <c r="J105" i="8" a="1"/>
  <c r="H67" i="10" a="1"/>
  <c r="M105" i="11" a="1"/>
  <c r="H259" i="10" a="1"/>
  <c r="H403" i="10" a="1"/>
  <c r="I686" i="5" a="1"/>
  <c r="K426" i="9" a="1"/>
  <c r="K220" i="9" a="1"/>
  <c r="K212" i="9" a="1"/>
  <c r="I641" i="7" a="1"/>
  <c r="I660" i="7" a="1"/>
  <c r="I682" i="7" a="1"/>
  <c r="I475" i="5" a="1"/>
  <c r="I468" i="5" a="1"/>
  <c r="I450" i="5" a="1"/>
  <c r="J537" i="6" a="1"/>
  <c r="I258" i="5" a="1"/>
  <c r="K581" i="9" a="1"/>
  <c r="K99" i="9" a="1"/>
  <c r="J469" i="8" a="1"/>
  <c r="I707" i="5" a="1"/>
  <c r="J214" i="8" a="1"/>
  <c r="M473" i="11" a="1"/>
  <c r="K81" i="9" a="1"/>
  <c r="J44" i="8" a="1"/>
  <c r="M91" i="11" a="1"/>
  <c r="M74" i="11" a="1"/>
  <c r="K593" i="9" a="1"/>
  <c r="H6" i="10" a="1"/>
  <c r="K616" i="9" a="1"/>
  <c r="I23" i="7" a="1"/>
  <c r="K632" i="9" a="1"/>
  <c r="I43" i="7" a="1"/>
  <c r="I389" i="7" a="1"/>
  <c r="J443" i="6" a="1"/>
  <c r="I404" i="7" a="1"/>
  <c r="J441" i="6" a="1"/>
  <c r="I478" i="7" a="1"/>
  <c r="J419" i="6" a="1"/>
  <c r="I558" i="5" a="1"/>
  <c r="M429" i="11" a="1"/>
  <c r="M33" i="11" a="1"/>
  <c r="K11" i="9" a="1"/>
  <c r="K676" i="9" a="1"/>
  <c r="I83" i="7" a="1"/>
  <c r="K696" i="9" a="1"/>
  <c r="I103" i="7" a="1"/>
  <c r="K718" i="9" a="1"/>
  <c r="I123" i="7" a="1"/>
  <c r="I706" i="7" a="1"/>
  <c r="J357" i="6" a="1"/>
  <c r="I717" i="7" a="1"/>
  <c r="J353" i="6" a="1"/>
  <c r="J479" i="8" a="1"/>
  <c r="J331" i="6" a="1"/>
  <c r="I267" i="5" a="1"/>
  <c r="H499" i="10" a="1"/>
  <c r="M53" i="11" a="1"/>
  <c r="I35" i="7" a="1"/>
  <c r="I55" i="7" a="1"/>
  <c r="I75" i="7" a="1"/>
  <c r="J410" i="6" a="1"/>
  <c r="J404" i="6" a="1"/>
  <c r="J386" i="6" a="1"/>
  <c r="M14" i="11" a="1"/>
  <c r="I437" i="5" a="1"/>
  <c r="M64" i="11" a="1"/>
  <c r="J339" i="8" a="1"/>
  <c r="J189" i="6" a="1"/>
  <c r="I700" i="5" a="1"/>
  <c r="H531" i="10" a="1"/>
  <c r="M55" i="11" a="1"/>
  <c r="K642" i="9" a="1"/>
  <c r="K663" i="9" a="1"/>
  <c r="K682" i="9" a="1"/>
  <c r="I581" i="7" a="1"/>
  <c r="I595" i="7" a="1"/>
  <c r="I670" i="7" a="1"/>
  <c r="I381" i="5" a="1"/>
  <c r="I273" i="5" a="1"/>
  <c r="M365" i="11" a="1"/>
  <c r="K480" i="9" a="1"/>
  <c r="I456" i="7" a="1"/>
  <c r="J210" i="8" a="1"/>
  <c r="J97" i="6" a="1"/>
  <c r="J117" i="8" a="1"/>
  <c r="H431" i="10" a="1"/>
  <c r="J449" i="8" a="1"/>
  <c r="I488" i="5" a="1"/>
  <c r="K233" i="9" a="1"/>
  <c r="K252" i="9" a="1"/>
  <c r="M597" i="11" a="1"/>
  <c r="I326" i="7" a="1"/>
  <c r="M556" i="11" a="1"/>
  <c r="I344" i="7" a="1"/>
  <c r="M540" i="11" a="1"/>
  <c r="I365" i="7" a="1"/>
  <c r="J379" i="6" a="1"/>
  <c r="J116" i="6" a="1"/>
  <c r="J376" i="6" a="1"/>
  <c r="J107" i="6" a="1"/>
  <c r="J354" i="6" a="1"/>
  <c r="J85" i="6" a="1"/>
  <c r="I570" i="5" a="1"/>
  <c r="I497" i="7" a="1"/>
  <c r="K308" i="9" a="1"/>
  <c r="K328" i="9" a="1"/>
  <c r="M433" i="11" a="1"/>
  <c r="I406" i="7" a="1"/>
  <c r="M426" i="11" a="1"/>
  <c r="I426" i="7" a="1"/>
  <c r="M409" i="11" a="1"/>
  <c r="I447" i="7" a="1"/>
  <c r="J304" i="6" a="1"/>
  <c r="J34" i="6" a="1"/>
  <c r="J295" i="6" a="1"/>
  <c r="J31" i="6" a="1"/>
  <c r="J275" i="6" a="1"/>
  <c r="J14" i="6" a="1"/>
  <c r="I455" i="5" a="1"/>
  <c r="M576" i="11" a="1"/>
  <c r="M582" i="11" a="1"/>
  <c r="H258" i="10" a="1"/>
  <c r="H241" i="10" a="1"/>
  <c r="H212" i="10" a="1"/>
  <c r="I443" i="5" a="1"/>
  <c r="I440" i="5" a="1"/>
  <c r="I431" i="5" a="1"/>
  <c r="I664" i="7" a="1"/>
  <c r="I59" i="5" a="1"/>
  <c r="H63" i="10" a="1"/>
  <c r="I555" i="5" a="1"/>
  <c r="I517" i="5" a="1"/>
  <c r="I236" i="5" a="1"/>
  <c r="H225" i="10" a="1"/>
  <c r="M551" i="11" a="1"/>
  <c r="M232" i="11" a="1"/>
  <c r="M224" i="11" a="1"/>
  <c r="M215" i="11" a="1"/>
  <c r="J10" i="6" a="1"/>
  <c r="I495" i="7" a="1"/>
  <c r="I511" i="7" a="1"/>
  <c r="I130" i="5" a="1"/>
  <c r="I478" i="5" a="1"/>
  <c r="M475" i="11" a="1"/>
  <c r="K452" i="9" a="1"/>
  <c r="I141" i="7" a="1"/>
  <c r="I386" i="5" a="1"/>
  <c r="J53" i="6" a="1"/>
  <c r="I699" i="5" a="1"/>
  <c r="H76" i="10" a="1"/>
  <c r="J457" i="8" a="1"/>
  <c r="M678" i="11" a="1"/>
  <c r="M666" i="11" a="1"/>
  <c r="M691" i="11" a="1"/>
  <c r="M309" i="11" a="1"/>
  <c r="H362" i="10" a="1"/>
  <c r="M287" i="11" a="1"/>
  <c r="H340" i="10" a="1"/>
  <c r="M273" i="11" a="1"/>
  <c r="H325" i="10" a="1"/>
  <c r="J114" i="6" a="1"/>
  <c r="I553" i="5" a="1"/>
  <c r="J112" i="6" a="1"/>
  <c r="I552" i="5" a="1"/>
  <c r="J98" i="6" a="1"/>
  <c r="I526" i="5" a="1"/>
  <c r="I268" i="5" a="1"/>
  <c r="M586" i="11" a="1"/>
  <c r="M568" i="11" a="1"/>
  <c r="M591" i="11" a="1"/>
  <c r="M254" i="11" a="1"/>
  <c r="H272" i="10" a="1"/>
  <c r="M240" i="11" a="1"/>
  <c r="H257" i="10" a="1"/>
  <c r="M229" i="11" a="1"/>
  <c r="H232" i="10" a="1"/>
  <c r="J45" i="6" a="1"/>
  <c r="I456" i="5" a="1"/>
  <c r="J43" i="6" a="1"/>
  <c r="I451" i="5" a="1"/>
  <c r="J21" i="6" a="1"/>
  <c r="I438" i="5" a="1"/>
  <c r="I165" i="5" a="1"/>
  <c r="M171" i="11" a="1"/>
  <c r="M175" i="11" a="1"/>
  <c r="I253" i="7" a="1"/>
  <c r="I272" i="7" a="1"/>
  <c r="I292" i="7" a="1"/>
  <c r="I396" i="5" a="1"/>
  <c r="I372" i="5" a="1"/>
  <c r="I298" i="5" a="1"/>
  <c r="J80" i="6" a="1"/>
  <c r="I473" i="5" a="1"/>
  <c r="I42" i="7" a="1"/>
  <c r="I340" i="5" a="1"/>
  <c r="I428" i="7" a="1"/>
  <c r="M624" i="11" a="1"/>
  <c r="H171" i="10" a="1"/>
  <c r="M150" i="11" a="1"/>
  <c r="K268" i="9" a="1"/>
  <c r="K288" i="9" a="1"/>
  <c r="K309" i="9" a="1"/>
  <c r="J251" i="8" a="1"/>
  <c r="J249" i="8" a="1"/>
  <c r="J231" i="8" a="1"/>
  <c r="M549" i="11" a="1"/>
  <c r="K313" i="9" a="1"/>
  <c r="M529" i="11" a="1"/>
  <c r="M35" i="11" a="1"/>
  <c r="H278" i="10" a="1"/>
  <c r="I289" i="5" a="1"/>
  <c r="I628" i="5" a="1"/>
  <c r="I441" i="5" a="1"/>
  <c r="H51" i="10" a="1"/>
  <c r="I523" i="5" a="1"/>
  <c r="M495" i="11" a="1"/>
  <c r="M490" i="11" a="1"/>
  <c r="M497" i="11" a="1"/>
  <c r="M118" i="11" a="1"/>
  <c r="H106" i="10" a="1"/>
  <c r="M89" i="11" a="1"/>
  <c r="H82" i="10" a="1"/>
  <c r="M61" i="11" a="1"/>
  <c r="H52" i="10" a="1"/>
  <c r="I639" i="7" a="1"/>
  <c r="I294" i="5" a="1"/>
  <c r="I642" i="7" a="1"/>
  <c r="I292" i="5" a="1"/>
  <c r="I661" i="7" a="1"/>
  <c r="I276" i="5" a="1"/>
  <c r="I624" i="5" a="1"/>
  <c r="M462" i="11" a="1"/>
  <c r="M448" i="11" a="1"/>
  <c r="M464" i="11" a="1"/>
  <c r="M18" i="11" a="1"/>
  <c r="H32" i="10" a="1"/>
  <c r="M8" i="11" a="1"/>
  <c r="H10" i="10" a="1"/>
  <c r="K20" i="9" a="1"/>
  <c r="I20" i="7" a="1"/>
  <c r="I713" i="7" a="1"/>
  <c r="I199" i="5" a="1"/>
  <c r="I718" i="7" a="1"/>
  <c r="I182" i="5" a="1"/>
  <c r="J531" i="8" a="1"/>
  <c r="I160" i="5" a="1"/>
  <c r="I425" i="5" a="1"/>
  <c r="K330" i="9" a="1"/>
  <c r="K322" i="9" a="1"/>
  <c r="J516" i="8" a="1"/>
  <c r="J501" i="8" a="1"/>
  <c r="J481" i="8" a="1"/>
  <c r="I354" i="5" a="1"/>
  <c r="I347" i="5" a="1"/>
  <c r="I322" i="5" a="1"/>
  <c r="J359" i="6" a="1"/>
  <c r="I203" i="5" a="1"/>
  <c r="H62" i="10" a="1"/>
  <c r="H482" i="10" a="1"/>
  <c r="I604" i="7" a="1"/>
  <c r="M97" i="11" a="1"/>
  <c r="H49" i="10" a="1"/>
  <c r="K365" i="9" a="1"/>
  <c r="H486" i="10" a="1"/>
  <c r="H475" i="10" a="1"/>
  <c r="H456" i="10" a="1"/>
  <c r="J252" i="6" a="1"/>
  <c r="J250" i="6" a="1"/>
  <c r="J231" i="6" a="1"/>
  <c r="I574" i="7" a="1"/>
  <c r="I311" i="7" a="1"/>
  <c r="K417" i="9" a="1"/>
  <c r="H307" i="10" a="1"/>
  <c r="I227" i="7" a="1"/>
  <c r="H477" i="10" a="1"/>
  <c r="M328" i="11" a="1"/>
  <c r="I389" i="5" a="1"/>
  <c r="I76" i="7" a="1"/>
  <c r="I198" i="7" a="1"/>
  <c r="M251" i="11" a="1"/>
  <c r="M246" i="11" a="1"/>
  <c r="M267" i="11" a="1"/>
  <c r="K155" i="9" a="1"/>
  <c r="I157" i="7" a="1"/>
  <c r="K177" i="9" a="1"/>
  <c r="I176" i="7" a="1"/>
  <c r="K196" i="9" a="1"/>
  <c r="I196" i="7" a="1"/>
  <c r="J342" i="8" a="1"/>
  <c r="I640" i="5" a="1"/>
  <c r="J338" i="8" a="1"/>
  <c r="I635" i="5" a="1"/>
  <c r="J311" i="8" a="1"/>
  <c r="I590" i="5" a="1"/>
  <c r="K391" i="9" a="1"/>
  <c r="M177" i="11" a="1"/>
  <c r="M170" i="11" a="1"/>
  <c r="M179" i="11" a="1"/>
  <c r="K234" i="9" a="1"/>
  <c r="I238" i="7" a="1"/>
  <c r="K257" i="9" a="1"/>
  <c r="I257" i="7" a="1"/>
  <c r="K276" i="9" a="1"/>
  <c r="I276" i="7" a="1"/>
  <c r="J278" i="8" a="1"/>
  <c r="I424" i="5" a="1"/>
  <c r="J274" i="8" a="1"/>
  <c r="I419" i="5" a="1"/>
  <c r="J256" i="8" a="1"/>
  <c r="I364" i="5" a="1"/>
  <c r="K419" i="9" a="1"/>
  <c r="M688" i="11" a="1"/>
  <c r="M696" i="11" a="1"/>
  <c r="J36" i="8" a="1"/>
  <c r="J539" i="6" a="1"/>
  <c r="J525" i="6" a="1"/>
  <c r="I176" i="5" a="1"/>
  <c r="I172" i="5" a="1"/>
  <c r="I111" i="5" a="1"/>
  <c r="J79" i="8" a="1"/>
  <c r="I474" i="5" a="1"/>
  <c r="I60" i="7" a="1"/>
  <c r="J495" i="8" a="1"/>
  <c r="I233" i="5" a="1"/>
  <c r="K524" i="9" a="1"/>
  <c r="J458" i="8" a="1"/>
  <c r="M675" i="11" a="1"/>
  <c r="I53" i="7" a="1"/>
  <c r="I73" i="7" a="1"/>
  <c r="I93" i="7" a="1"/>
  <c r="J494" i="8" a="1"/>
  <c r="J489" i="8" a="1"/>
  <c r="J461" i="8" a="1"/>
  <c r="J427" i="6" a="1"/>
  <c r="J456" i="8" a="1"/>
  <c r="M214" i="11" a="1"/>
  <c r="H219" i="10" a="1"/>
  <c r="J535" i="8" a="1"/>
  <c r="I191" i="7" a="1"/>
  <c r="J384" i="6" a="1"/>
  <c r="M716" i="11" a="1"/>
  <c r="J96" i="8" a="1"/>
  <c r="J458" i="6" a="1"/>
  <c r="M618" i="11" a="1"/>
  <c r="M609" i="11" a="1"/>
  <c r="M626" i="11" a="1"/>
  <c r="I133" i="7" a="1"/>
  <c r="J476" i="6" a="1"/>
  <c r="I151" i="7" a="1"/>
  <c r="J451" i="6" a="1"/>
  <c r="I173" i="7" a="1"/>
  <c r="M719" i="11" a="1"/>
  <c r="J409" i="8" a="1"/>
  <c r="M657" i="11" a="1"/>
  <c r="J405" i="8" a="1"/>
  <c r="M451" i="11" a="1"/>
  <c r="J388" i="8" a="1"/>
  <c r="K85" i="9" a="1"/>
  <c r="J132" i="6" a="1"/>
  <c r="M527" i="11" a="1"/>
  <c r="M517" i="11" a="1"/>
  <c r="M564" i="11" a="1"/>
  <c r="I212" i="7" a="1"/>
  <c r="M521" i="11" a="1"/>
  <c r="I232" i="7" a="1"/>
  <c r="M492" i="11" a="1"/>
  <c r="I254" i="7" a="1"/>
  <c r="K453" i="9" a="1"/>
  <c r="J335" i="8" a="1"/>
  <c r="K505" i="9" a="1"/>
  <c r="J334" i="8" a="1"/>
  <c r="M689" i="11" a="1"/>
  <c r="J320" i="8" a="1"/>
  <c r="M619" i="11" a="1"/>
  <c r="I687" i="7" a="1"/>
  <c r="M702" i="11" a="1"/>
  <c r="M327" i="11" a="1"/>
  <c r="M315" i="11" a="1"/>
  <c r="M293" i="11" a="1"/>
  <c r="J147" i="6" a="1"/>
  <c r="J140" i="6" a="1"/>
  <c r="J128" i="6" a="1"/>
  <c r="I310" i="5" a="1"/>
  <c r="I689" i="5" a="1"/>
  <c r="K531" i="9" a="1"/>
  <c r="H425" i="10" a="1"/>
  <c r="I547" i="5" a="1"/>
  <c r="I558" i="7" a="1"/>
  <c r="M456" i="11" a="1"/>
  <c r="M704" i="11" a="1"/>
  <c r="M708" i="11" a="1"/>
  <c r="H383" i="10" a="1"/>
  <c r="H358" i="10" a="1"/>
  <c r="H338" i="10" a="1"/>
  <c r="I565" i="5" a="1"/>
  <c r="I562" i="5" a="1"/>
  <c r="I544" i="5" a="1"/>
  <c r="J32" i="6" a="1"/>
  <c r="I282" i="5" a="1"/>
  <c r="M424" i="11" a="1"/>
  <c r="K604" i="9" a="1"/>
  <c r="I265" i="7" a="1"/>
  <c r="J206" i="6" a="1"/>
  <c r="H270" i="10" a="1"/>
  <c r="K93" i="9" a="1"/>
  <c r="H46" i="10" a="1"/>
  <c r="J200" i="6" a="1"/>
  <c r="H525" i="10" a="1"/>
  <c r="H492" i="10" a="1"/>
  <c r="M347" i="11" a="1"/>
  <c r="I450" i="7" a="1"/>
  <c r="M298" i="11" a="1"/>
  <c r="I467" i="7" a="1"/>
  <c r="M228" i="11" a="1"/>
  <c r="H471" i="10" a="1"/>
  <c r="I244" i="7" a="1"/>
  <c r="J433" i="8" a="1"/>
  <c r="I259" i="7" a="1"/>
  <c r="J425" i="8" a="1"/>
  <c r="I339" i="7" a="1"/>
  <c r="J406" i="8" a="1"/>
  <c r="J513" i="8" a="1"/>
  <c r="I147" i="5" a="1"/>
  <c r="M658" i="11" a="1"/>
  <c r="M629" i="11" a="1"/>
  <c r="M114" i="11" a="1"/>
  <c r="H434" i="10" a="1"/>
  <c r="M81" i="11" a="1"/>
  <c r="H407" i="10" a="1"/>
  <c r="M51" i="11" a="1"/>
  <c r="H388" i="10" a="1"/>
  <c r="H399" i="10" a="1"/>
  <c r="J365" i="8" a="1"/>
  <c r="H386" i="10" a="1"/>
  <c r="J363" i="8" a="1"/>
  <c r="H305" i="10" a="1"/>
  <c r="J336" i="8" a="1"/>
  <c r="J162" i="8" a="1"/>
  <c r="I65" i="5" a="1"/>
  <c r="K270" i="9" a="1"/>
  <c r="H30" i="10" a="1"/>
  <c r="H24" i="10" a="1"/>
  <c r="I18" i="7" a="1"/>
  <c r="J177" i="6" a="1"/>
  <c r="J175" i="6" a="1"/>
  <c r="J148" i="6" a="1"/>
  <c r="I60" i="5" a="1"/>
  <c r="J526" i="6" a="1"/>
  <c r="M340" i="11" a="1"/>
  <c r="M525" i="11" a="1"/>
  <c r="J416" i="8" a="1"/>
  <c r="J137" i="8" a="1"/>
  <c r="M59" i="11" a="1"/>
  <c r="K266" i="9" a="1"/>
  <c r="K129" i="9" a="1"/>
  <c r="K165" i="9" a="1"/>
  <c r="K209" i="9" a="1"/>
  <c r="K594" i="9" a="1"/>
  <c r="K609" i="9" a="1"/>
  <c r="K691" i="9" a="1"/>
  <c r="J302" i="6" a="1"/>
  <c r="I358" i="5" a="1"/>
  <c r="M113" i="11" a="1"/>
  <c r="H335" i="10" a="1"/>
  <c r="I408" i="7" a="1"/>
  <c r="J71" i="8" a="1"/>
  <c r="J294" i="8" a="1"/>
  <c r="M439" i="11" a="1"/>
  <c r="K206" i="9" a="1"/>
  <c r="I116" i="7" a="1"/>
  <c r="J420" i="6" a="1"/>
  <c r="M437" i="11" a="1"/>
  <c r="M420" i="11" a="1"/>
  <c r="K240" i="9" a="1"/>
  <c r="H253" i="10" a="1"/>
  <c r="K275" i="9" a="1"/>
  <c r="H236" i="10" a="1"/>
  <c r="K316" i="9" a="1"/>
  <c r="H220" i="10" a="1"/>
  <c r="I306" i="7" a="1"/>
  <c r="J158" i="8" a="1"/>
  <c r="I322" i="7" a="1"/>
  <c r="J155" i="8" a="1"/>
  <c r="I403" i="7" a="1"/>
  <c r="J142" i="8" a="1"/>
  <c r="I708" i="5" a="1"/>
  <c r="I352" i="5" a="1"/>
  <c r="M334" i="11" a="1"/>
  <c r="M303" i="11" a="1"/>
  <c r="K399" i="9" a="1"/>
  <c r="H193" i="10" a="1"/>
  <c r="K433" i="9" a="1"/>
  <c r="H186" i="10" a="1"/>
  <c r="K459" i="9" a="1"/>
  <c r="H165" i="10" a="1"/>
  <c r="H324" i="10" a="1"/>
  <c r="J85" i="8" a="1"/>
  <c r="H302" i="10" a="1"/>
  <c r="J84" i="8" a="1"/>
  <c r="H210" i="10" a="1"/>
  <c r="J61" i="8" a="1"/>
  <c r="I366" i="5" a="1"/>
  <c r="I79" i="5" a="1"/>
  <c r="M705" i="11" a="1"/>
  <c r="I484" i="7" a="1"/>
  <c r="H461" i="10" a="1"/>
  <c r="H436" i="10" a="1"/>
  <c r="J403" i="8" a="1"/>
  <c r="J401" i="8" a="1"/>
  <c r="J382" i="8" a="1"/>
  <c r="I119" i="5" a="1"/>
  <c r="J265" i="8" a="1"/>
  <c r="K429" i="9" a="1"/>
  <c r="M317" i="11" a="1"/>
  <c r="I532" i="7" a="1"/>
  <c r="I587" i="7" a="1"/>
  <c r="M263" i="11" a="1"/>
  <c r="M707" i="11" a="1"/>
  <c r="M199" i="11" a="1"/>
  <c r="M161" i="11" a="1"/>
  <c r="M96" i="11" a="1"/>
  <c r="I432" i="7" a="1"/>
  <c r="I446" i="7" a="1"/>
  <c r="H435" i="10" a="1"/>
  <c r="J298" i="8" a="1"/>
  <c r="I573" i="5" a="1"/>
  <c r="K394" i="9" a="1"/>
  <c r="I695" i="7" a="1"/>
  <c r="H45" i="10" a="1"/>
  <c r="J113" i="6" a="1"/>
  <c r="I716" i="7" a="1"/>
  <c r="J133" i="6" a="1"/>
  <c r="M191" i="11" a="1"/>
  <c r="K329" i="9" a="1"/>
  <c r="M336" i="11" a="1"/>
  <c r="M302" i="11" a="1"/>
  <c r="M350" i="11" a="1"/>
  <c r="K91" i="9" a="1"/>
  <c r="I92" i="7" a="1"/>
  <c r="K111" i="9" a="1"/>
  <c r="I112" i="7" a="1"/>
  <c r="K131" i="9" a="1"/>
  <c r="I132" i="7" a="1"/>
  <c r="J408" i="8" a="1"/>
  <c r="I48" i="5" a="1"/>
  <c r="J402" i="8" a="1"/>
  <c r="I47" i="5" a="1"/>
  <c r="J385" i="8" a="1"/>
  <c r="I31" i="5" a="1"/>
  <c r="I35" i="5" a="1"/>
  <c r="M247" i="11" a="1"/>
  <c r="M227" i="11" a="1"/>
  <c r="M249" i="11" a="1"/>
  <c r="K173" i="9" a="1"/>
  <c r="I172" i="7" a="1"/>
  <c r="K192" i="9" a="1"/>
  <c r="I192" i="7" a="1"/>
  <c r="K211" i="9" a="1"/>
  <c r="I211" i="7" a="1"/>
  <c r="J313" i="8" a="1"/>
  <c r="I617" i="5" a="1"/>
  <c r="J312" i="8" a="1"/>
  <c r="I597" i="5" a="1"/>
  <c r="J299" i="8" a="1"/>
  <c r="I542" i="5" a="1"/>
  <c r="M344" i="11" a="1"/>
  <c r="K701" i="9" a="1"/>
  <c r="K695" i="9" a="1"/>
  <c r="J163" i="8" a="1"/>
  <c r="J143" i="8" a="1"/>
  <c r="J119" i="8" a="1"/>
  <c r="I546" i="5" a="1"/>
  <c r="I532" i="5" a="1"/>
  <c r="I482" i="5" a="1"/>
  <c r="J340" i="8" a="1"/>
  <c r="I632" i="5" a="1"/>
  <c r="H175" i="10" a="1"/>
  <c r="H231" i="10" a="1"/>
  <c r="I672" i="5" a="1"/>
  <c r="K281" i="9" a="1"/>
  <c r="I584" i="7" a="1"/>
  <c r="H517" i="10" a="1"/>
  <c r="H91" i="10" a="1"/>
  <c r="H81" i="10" a="1"/>
  <c r="H65" i="10" a="1"/>
  <c r="I636" i="7" a="1"/>
  <c r="I643" i="7" a="1"/>
  <c r="I662" i="7" a="1"/>
  <c r="J398" i="8" a="1"/>
  <c r="I542" i="7" a="1"/>
  <c r="M351" i="11" a="1"/>
  <c r="H459" i="10" a="1"/>
  <c r="I605" i="7" a="1"/>
  <c r="I134" i="7" a="1"/>
  <c r="J117" i="6" a="1"/>
  <c r="K414" i="9" a="1"/>
  <c r="J358" i="8" a="1"/>
  <c r="J440" i="8" a="1"/>
  <c r="M45" i="11" a="1"/>
  <c r="M24" i="11" a="1"/>
  <c r="M49" i="11" a="1"/>
  <c r="K409" i="9" a="1"/>
  <c r="I407" i="7" a="1"/>
  <c r="K434" i="9" a="1"/>
  <c r="I424" i="7" a="1"/>
  <c r="K456" i="9" a="1"/>
  <c r="I445" i="7" a="1"/>
  <c r="J99" i="8" a="1"/>
  <c r="I683" i="5" a="1"/>
  <c r="J94" i="8" a="1"/>
  <c r="I680" i="5" a="1"/>
  <c r="J77" i="8" a="1"/>
  <c r="I660" i="5" a="1"/>
  <c r="H468" i="10" a="1"/>
  <c r="K57" i="9" a="1"/>
  <c r="K77" i="9" a="1"/>
  <c r="K49" i="9" a="1"/>
  <c r="K501" i="9" a="1"/>
  <c r="I482" i="7" a="1"/>
  <c r="K523" i="9" a="1"/>
  <c r="I502" i="7" a="1"/>
  <c r="K541" i="9" a="1"/>
  <c r="I530" i="7" a="1"/>
  <c r="J24" i="8" a="1"/>
  <c r="I598" i="5" a="1"/>
  <c r="J22" i="8" a="1"/>
  <c r="I591" i="5" a="1"/>
  <c r="J540" i="6" a="1"/>
  <c r="I568" i="5" a="1"/>
  <c r="H189" i="10" a="1"/>
  <c r="M168" i="11" a="1"/>
  <c r="K648" i="9" a="1"/>
  <c r="H535" i="10" a="1"/>
  <c r="M699" i="11" a="1"/>
  <c r="K512" i="9" a="1"/>
  <c r="K526" i="9" a="1"/>
  <c r="K608" i="9" a="1"/>
  <c r="I626" i="7" a="1"/>
  <c r="I274" i="5" a="1"/>
  <c r="K508" i="9" a="1"/>
  <c r="J222" i="8" a="1"/>
  <c r="J205" i="8" a="1"/>
  <c r="J230" i="6" a="1"/>
  <c r="M216" i="11" a="1"/>
  <c r="M541" i="11" a="1"/>
  <c r="M128" i="11" a="1"/>
  <c r="H410" i="10" a="1"/>
  <c r="H387" i="10" a="1"/>
  <c r="H369" i="10" a="1"/>
  <c r="J524" i="6" a="1"/>
  <c r="J522" i="6" a="1"/>
  <c r="J511" i="6" a="1"/>
  <c r="I338" i="5" a="1"/>
  <c r="I575" i="7" a="1"/>
  <c r="M600" i="11" a="1"/>
  <c r="H166" i="10" a="1"/>
  <c r="J67" i="8" a="1"/>
  <c r="J88" i="6" a="1"/>
  <c r="I511" i="5" a="1"/>
  <c r="K458" i="9" a="1"/>
  <c r="K296" i="9" a="1"/>
  <c r="J448" i="8" a="1"/>
  <c r="K235" i="9" a="1"/>
  <c r="K254" i="9" a="1"/>
  <c r="K227" i="9" a="1"/>
  <c r="K683" i="9" a="1"/>
  <c r="I657" i="7" a="1"/>
  <c r="K697" i="9" a="1"/>
  <c r="I676" i="7" a="1"/>
  <c r="K719" i="9" a="1"/>
  <c r="I703" i="7" a="1"/>
  <c r="J374" i="6" a="1"/>
  <c r="I454" i="5" a="1"/>
  <c r="J366" i="6" a="1"/>
  <c r="I452" i="5" a="1"/>
  <c r="J346" i="6" a="1"/>
  <c r="I427" i="5" a="1"/>
  <c r="J368" i="6" a="1"/>
  <c r="K314" i="9" a="1"/>
  <c r="K334" i="9" a="1"/>
  <c r="K303" i="9" a="1"/>
  <c r="H509" i="10" a="1"/>
  <c r="J528" i="8" a="1"/>
  <c r="H497" i="10" a="1"/>
  <c r="J515" i="8" a="1"/>
  <c r="H483" i="10" a="1"/>
  <c r="J497" i="8" a="1"/>
  <c r="J285" i="6" a="1"/>
  <c r="I367" i="5" a="1"/>
  <c r="J280" i="6" a="1"/>
  <c r="I363" i="5" a="1"/>
  <c r="J259" i="6" a="1"/>
  <c r="I343" i="5" a="1"/>
  <c r="J47" i="6" a="1"/>
  <c r="K377" i="9" a="1"/>
  <c r="K353" i="9" a="1"/>
  <c r="K392" i="9" a="1"/>
  <c r="K432" i="9" a="1"/>
  <c r="H261" i="10" a="1"/>
  <c r="H245" i="10" a="1"/>
  <c r="H121" i="10" a="1"/>
  <c r="I649" i="7" a="1"/>
  <c r="I177" i="5" a="1"/>
  <c r="K315" i="9" a="1"/>
  <c r="M6" i="11" a="1"/>
  <c r="J438" i="8" a="1"/>
  <c r="I684" i="5" a="1"/>
  <c r="M605" i="11" a="1"/>
  <c r="K244" i="9" a="1"/>
  <c r="K411" i="9" a="1"/>
  <c r="I122" i="7" a="1"/>
  <c r="I140" i="7" a="1"/>
  <c r="I159" i="7" a="1"/>
  <c r="J44" i="6" a="1"/>
  <c r="J33" i="6" a="1"/>
  <c r="J20" i="6" a="1"/>
  <c r="I541" i="5" a="1"/>
  <c r="J229" i="6" a="1"/>
  <c r="M664" i="11" a="1"/>
  <c r="H48" i="10" a="1"/>
  <c r="K67" i="9" a="1"/>
  <c r="J332" i="6" a="1"/>
  <c r="K184" i="9" a="1"/>
  <c r="K154" i="9" a="1"/>
  <c r="H533" i="10" a="1"/>
  <c r="I522" i="5" a="1"/>
  <c r="K483" i="9" a="1"/>
  <c r="K499" i="9" a="1"/>
  <c r="K477" i="9" a="1"/>
  <c r="H361" i="10" a="1"/>
  <c r="J415" i="8" a="1"/>
  <c r="H342" i="10" a="1"/>
  <c r="J379" i="8" a="1"/>
  <c r="H320" i="10" a="1"/>
  <c r="J364" i="8" a="1"/>
  <c r="J101" i="6" a="1"/>
  <c r="I212" i="5" a="1"/>
  <c r="J94" i="6" a="1"/>
  <c r="I210" i="5" a="1"/>
  <c r="J82" i="6" a="1"/>
  <c r="I179" i="5" a="1"/>
  <c r="J90" i="8" a="1"/>
  <c r="K560" i="9" a="1"/>
  <c r="K578" i="9" a="1"/>
  <c r="K550" i="9" a="1"/>
  <c r="H287" i="10" a="1"/>
  <c r="J327" i="8" a="1"/>
  <c r="H264" i="10" a="1"/>
  <c r="J308" i="8" a="1"/>
  <c r="H246" i="10" a="1"/>
  <c r="J285" i="8" a="1"/>
  <c r="J6" i="6" a="1"/>
  <c r="I85" i="5" a="1"/>
  <c r="I490" i="7" a="1"/>
  <c r="I78" i="5" a="1"/>
  <c r="I507" i="7" a="1"/>
  <c r="I61" i="5" a="1"/>
  <c r="J290" i="6" a="1"/>
  <c r="M563" i="11" a="1"/>
  <c r="K47" i="9" a="1"/>
  <c r="K86" i="9" a="1"/>
  <c r="K130" i="9" a="1"/>
  <c r="H123" i="10" a="1"/>
  <c r="H104" i="10" a="1"/>
  <c r="I15" i="7" a="1"/>
  <c r="J375" i="6" a="1"/>
  <c r="I504" i="5" a="1"/>
  <c r="K7" i="9" a="1"/>
  <c r="K584" i="9" a="1"/>
  <c r="I647" i="7" a="1"/>
  <c r="I44" i="5" a="1"/>
  <c r="M593" i="11" a="1"/>
  <c r="M26" i="11" a="1"/>
  <c r="M519" i="11" a="1"/>
  <c r="H332" i="10" a="1"/>
  <c r="H318" i="10" a="1"/>
  <c r="H296" i="10" a="1"/>
  <c r="J253" i="8" a="1"/>
  <c r="J250" i="8" a="1"/>
  <c r="J228" i="8" a="1"/>
  <c r="I585" i="5" a="1"/>
  <c r="J455" i="6" a="1"/>
  <c r="K388" i="9" a="1"/>
  <c r="J348" i="8" a="1"/>
  <c r="H487" i="10" a="1"/>
  <c r="J184" i="8" a="1"/>
  <c r="J257" i="6" a="1"/>
  <c r="M84" i="11" a="1"/>
  <c r="K95" i="9" a="1"/>
  <c r="I278" i="7" a="1"/>
  <c r="H524" i="10" a="1"/>
  <c r="H505" i="10" a="1"/>
  <c r="H536" i="10" a="1"/>
  <c r="H83" i="10" a="1"/>
  <c r="J123" i="8" a="1"/>
  <c r="H70" i="10" a="1"/>
  <c r="J111" i="8" a="1"/>
  <c r="H54" i="10" a="1"/>
  <c r="J98" i="8" a="1"/>
  <c r="I652" i="7" a="1"/>
  <c r="I428" i="5" a="1"/>
  <c r="I659" i="7" a="1"/>
  <c r="I413" i="5" a="1"/>
  <c r="I678" i="7" a="1"/>
  <c r="I351" i="5" a="1"/>
  <c r="J344" i="8" a="1"/>
  <c r="M698" i="11" a="1"/>
  <c r="M687" i="11" a="1"/>
  <c r="M700" i="11" a="1"/>
  <c r="I21" i="7" a="1"/>
  <c r="J57" i="8" a="1"/>
  <c r="I41" i="7" a="1"/>
  <c r="J33" i="8" a="1"/>
  <c r="I61" i="7" a="1"/>
  <c r="J535" i="6" a="1"/>
  <c r="J527" i="8" a="1"/>
  <c r="I223" i="5" a="1"/>
  <c r="J525" i="8" a="1"/>
  <c r="I220" i="5" a="1"/>
  <c r="J500" i="8" a="1"/>
  <c r="I167" i="5" a="1"/>
  <c r="J28" i="8" a="1"/>
  <c r="K71" i="9" a="1"/>
  <c r="H508" i="10" a="1"/>
  <c r="H481" i="10" a="1"/>
  <c r="M694" i="11" a="1"/>
  <c r="J305" i="8" a="1"/>
  <c r="J277" i="8" a="1"/>
  <c r="J181" i="8" a="1"/>
  <c r="I472" i="5" a="1"/>
  <c r="I219" i="5" a="1"/>
  <c r="M201" i="11" a="1"/>
  <c r="K79" i="9" a="1"/>
  <c r="J70" i="6" a="1"/>
  <c r="J287" i="6" a="1"/>
  <c r="K299" i="9" a="1"/>
  <c r="H292" i="10" a="1"/>
  <c r="K110" i="9" a="1"/>
  <c r="I179" i="7" a="1"/>
  <c r="I199" i="7" a="1"/>
  <c r="I222" i="7" a="1"/>
  <c r="J260" i="6" a="1"/>
  <c r="J258" i="6" a="1"/>
  <c r="J240" i="6" a="1"/>
  <c r="I102" i="7" a="1"/>
  <c r="I83" i="5" a="1"/>
  <c r="M637" i="11" a="1"/>
  <c r="M262" i="11" a="1"/>
  <c r="H339" i="10" a="1"/>
  <c r="J473" i="8" a="1"/>
  <c r="I464" i="5" a="1"/>
  <c r="M617" i="11" a="1"/>
  <c r="I9" i="7" a="1"/>
  <c r="J442" i="6" a="1"/>
  <c r="K475" i="9" a="1"/>
  <c r="K500" i="9" a="1"/>
  <c r="K551" i="9" a="1"/>
  <c r="I202" i="7" a="1"/>
  <c r="K586" i="9" a="1"/>
  <c r="I221" i="7" a="1"/>
  <c r="K635" i="9" a="1"/>
  <c r="I240" i="7" a="1"/>
  <c r="I177" i="7" a="1"/>
  <c r="I544" i="7" a="1"/>
  <c r="I193" i="7" a="1"/>
  <c r="I548" i="7" a="1"/>
  <c r="I273" i="7" a="1"/>
  <c r="I570" i="7" a="1"/>
  <c r="J233" i="8" a="1"/>
  <c r="I432" i="5" a="1"/>
  <c r="K557" i="9" a="1"/>
  <c r="K579" i="9" a="1"/>
  <c r="K709" i="9" a="1"/>
  <c r="I282" i="7" a="1"/>
  <c r="H518" i="10" a="1"/>
  <c r="I301" i="7" a="1"/>
  <c r="M703" i="11" a="1"/>
  <c r="I321" i="7" a="1"/>
  <c r="H462" i="10" a="1"/>
  <c r="I625" i="7" a="1"/>
  <c r="H453" i="10" a="1"/>
  <c r="I628" i="7" a="1"/>
  <c r="H379" i="10" a="1"/>
  <c r="I650" i="7" a="1"/>
  <c r="J440" i="6" a="1"/>
  <c r="I355" i="5" a="1"/>
  <c r="M300" i="11" a="1"/>
  <c r="I431" i="7" a="1"/>
  <c r="I452" i="7" a="1"/>
  <c r="I472" i="7" a="1"/>
  <c r="J125" i="8" a="1"/>
  <c r="J124" i="8" a="1"/>
  <c r="J109" i="8" a="1"/>
  <c r="J233" i="6" a="1"/>
  <c r="J254" i="6" a="1"/>
  <c r="K502" i="9" a="1"/>
  <c r="J455" i="8" a="1"/>
  <c r="J190" i="8" a="1"/>
  <c r="I352" i="7" a="1"/>
  <c r="K467" i="9" a="1"/>
  <c r="M307" i="11" a="1"/>
  <c r="K216" i="9" a="1"/>
  <c r="K291" i="9" a="1"/>
  <c r="K376" i="9" a="1"/>
  <c r="M401" i="11" a="1"/>
  <c r="M368" i="11" a="1"/>
  <c r="M151" i="11" a="1"/>
  <c r="H233" i="10" a="1"/>
  <c r="I445" i="5" a="1"/>
  <c r="M648" i="11" a="1"/>
  <c r="I419" i="7" a="1"/>
  <c r="H125" i="10" a="1"/>
  <c r="I561" i="7" a="1"/>
  <c r="J439" i="8" a="1"/>
  <c r="I263" i="5" a="1"/>
  <c r="M577" i="11" a="1"/>
  <c r="H40" i="10" a="1"/>
  <c r="I583" i="5" a="1"/>
  <c r="K423" i="9" a="1"/>
  <c r="K441" i="9" a="1"/>
  <c r="M348" i="11" a="1"/>
  <c r="H443" i="10" a="1"/>
  <c r="M332" i="11" a="1"/>
  <c r="H408" i="10" a="1"/>
  <c r="M322" i="11" a="1"/>
  <c r="H391" i="10" a="1"/>
  <c r="J176" i="6" a="1"/>
  <c r="I625" i="5" a="1"/>
  <c r="J174" i="6" a="1"/>
  <c r="I621" i="5" a="1"/>
  <c r="J156" i="6" a="1"/>
  <c r="I607" i="5" a="1"/>
  <c r="I339" i="5" a="1"/>
  <c r="M668" i="11" a="1"/>
  <c r="M643" i="11" a="1"/>
  <c r="M672" i="11" a="1"/>
  <c r="M289" i="11" a="1"/>
  <c r="H341" i="10" a="1"/>
  <c r="M275" i="11" a="1"/>
  <c r="H329" i="10" a="1"/>
  <c r="M260" i="11" a="1"/>
  <c r="H311" i="10" a="1"/>
  <c r="J105" i="6" a="1"/>
  <c r="I534" i="5" a="1"/>
  <c r="J103" i="6" a="1"/>
  <c r="I530" i="5" a="1"/>
  <c r="J79" i="6" a="1"/>
  <c r="I509" i="5" a="1"/>
  <c r="I251" i="5" a="1"/>
  <c r="M294" i="11" a="1"/>
  <c r="M299" i="11" a="1"/>
  <c r="I124" i="7" a="1"/>
  <c r="I146" i="7" a="1"/>
  <c r="I165" i="7" a="1"/>
  <c r="I10" i="5" a="1"/>
  <c r="I6" i="5" a="1"/>
  <c r="I657" i="5" a="1"/>
  <c r="J343" i="6" a="1"/>
  <c r="I571" i="5" a="1"/>
  <c r="H230" i="10" a="1"/>
  <c r="I171" i="5" a="1"/>
  <c r="K132" i="9" a="1"/>
  <c r="I145" i="5" a="1"/>
  <c r="H396" i="10" a="1"/>
  <c r="M250" i="11" a="1"/>
  <c r="K139" i="9" a="1"/>
  <c r="K159" i="9" a="1"/>
  <c r="K180" i="9" a="1"/>
  <c r="J350" i="8" a="1"/>
  <c r="J349" i="8" a="1"/>
  <c r="J333" i="8" a="1"/>
  <c r="M535" i="11" a="1"/>
  <c r="I260" i="7" a="1"/>
  <c r="I302" i="7" a="1"/>
  <c r="J178" i="6" a="1"/>
  <c r="I420" i="7" a="1"/>
  <c r="I340" i="7" a="1"/>
  <c r="I385" i="7" a="1"/>
  <c r="J87" i="6" a="1"/>
  <c r="M717" i="11" a="1"/>
  <c r="H355" i="10" a="1"/>
  <c r="J96" i="6" a="1"/>
  <c r="I67" i="5" a="1"/>
  <c r="M318" i="11" a="1"/>
  <c r="J129" i="6" a="1"/>
  <c r="K702" i="9" a="1"/>
  <c r="J317" i="6" a="1"/>
  <c r="K167" i="9" a="1"/>
  <c r="I599" i="7" a="1"/>
  <c r="I635" i="7" a="1"/>
  <c r="I510" i="5" a="1"/>
  <c r="K250" i="9" a="1"/>
  <c r="I673" i="7" a="1"/>
  <c r="I715" i="7" a="1"/>
  <c r="I434" i="5" a="1"/>
  <c r="K247" i="9" a="1"/>
  <c r="K530" i="9" a="1"/>
  <c r="I421" i="5" a="1"/>
  <c r="J506" i="8" a="1"/>
  <c r="H25" i="10" a="1"/>
  <c r="J155" i="6" a="1"/>
  <c r="J471" i="6" a="1"/>
  <c r="H312" i="10" a="1"/>
  <c r="J72" i="8" a="1"/>
  <c r="M110" i="11" a="1"/>
  <c r="I73" i="5" a="1"/>
  <c r="K447" i="9" a="1"/>
  <c r="H415" i="10" a="1"/>
  <c r="H392" i="10" a="1"/>
  <c r="H375" i="10" a="1"/>
  <c r="J170" i="6" a="1"/>
  <c r="J168" i="6" a="1"/>
  <c r="J152" i="6" a="1"/>
  <c r="J317" i="8" a="1"/>
  <c r="K511" i="9" a="1"/>
  <c r="H346" i="10" a="1"/>
  <c r="H321" i="10" a="1"/>
  <c r="H298" i="10" a="1"/>
  <c r="J86" i="6" a="1"/>
  <c r="J84" i="6" a="1"/>
  <c r="J67" i="6" a="1"/>
  <c r="J27" i="8" a="1"/>
  <c r="M266" i="11" a="1"/>
  <c r="M153" i="11" a="1"/>
  <c r="I382" i="7" a="1"/>
  <c r="J373" i="8" a="1"/>
  <c r="M305" i="11" a="1"/>
  <c r="J111" i="6" a="1"/>
  <c r="K279" i="9" a="1"/>
  <c r="M667" i="11" a="1"/>
  <c r="H438" i="10" a="1"/>
  <c r="J386" i="8" a="1"/>
  <c r="J369" i="8" a="1"/>
  <c r="J199" i="8" a="1"/>
  <c r="I712" i="7" a="1"/>
  <c r="J321" i="8" a="1"/>
  <c r="M333" i="11" a="1"/>
  <c r="K427" i="9" a="1"/>
  <c r="K236" i="9" a="1"/>
  <c r="H58" i="10" a="1"/>
  <c r="H41" i="10" a="1"/>
  <c r="H28" i="10" a="1"/>
  <c r="J210" i="6" a="1"/>
  <c r="J208" i="6" a="1"/>
  <c r="J184" i="6" a="1"/>
  <c r="I385" i="5" a="1"/>
  <c r="K319" i="9" a="1"/>
  <c r="I26" i="7" a="1"/>
  <c r="I46" i="7" a="1"/>
  <c r="I66" i="7" a="1"/>
  <c r="J130" i="6" a="1"/>
  <c r="J122" i="6" a="1"/>
  <c r="J109" i="6" a="1"/>
  <c r="I661" i="5" a="1"/>
  <c r="H99" i="10" a="1"/>
  <c r="H80" i="10" a="1"/>
  <c r="I624" i="7" a="1"/>
  <c r="J454" i="8" a="1"/>
  <c r="M488" i="11" a="1"/>
  <c r="J465" i="6" a="1"/>
  <c r="K273" i="9" a="1"/>
  <c r="K708" i="9" a="1"/>
  <c r="J120" i="8" a="1"/>
  <c r="I500" i="5" a="1"/>
  <c r="I390" i="5" a="1"/>
  <c r="I592" i="5" a="1"/>
  <c r="K627" i="9" a="1"/>
  <c r="I143" i="7" a="1"/>
  <c r="K401" i="9" a="1"/>
  <c r="I90" i="5" a="1"/>
  <c r="K564" i="9" a="1"/>
  <c r="I263" i="7" a="1"/>
  <c r="I286" i="7" a="1"/>
  <c r="I305" i="7" a="1"/>
  <c r="I611" i="7" a="1"/>
  <c r="I614" i="7" a="1"/>
  <c r="I634" i="7" a="1"/>
  <c r="I387" i="5" a="1"/>
  <c r="K645" i="9" a="1"/>
  <c r="I343" i="7" a="1"/>
  <c r="I361" i="7" a="1"/>
  <c r="I379" i="7" a="1"/>
  <c r="I689" i="7" a="1"/>
  <c r="I692" i="7" a="1"/>
  <c r="I708" i="7" a="1"/>
  <c r="I285" i="5" a="1"/>
  <c r="H420" i="10" a="1"/>
  <c r="H385" i="10" a="1"/>
  <c r="J530" i="6" a="1"/>
  <c r="I412" i="5" a="1"/>
  <c r="H504" i="10" a="1"/>
  <c r="J456" i="6" a="1"/>
  <c r="M312" i="11" a="1"/>
  <c r="K712" i="9" a="1"/>
  <c r="M662" i="11" a="1"/>
  <c r="K590" i="9" a="1"/>
  <c r="J431" i="8" a="1"/>
  <c r="M534" i="11" a="1"/>
  <c r="I13" i="7" a="1"/>
  <c r="J322" i="6" a="1"/>
  <c r="M13" i="11" a="1"/>
  <c r="I159" i="5" a="1"/>
  <c r="M649" i="11" a="1"/>
  <c r="H440" i="10" a="1"/>
  <c r="H429" i="10" a="1"/>
  <c r="H405" i="10" a="1"/>
  <c r="J371" i="8" a="1"/>
  <c r="J370" i="8" a="1"/>
  <c r="J357" i="8" a="1"/>
  <c r="I93" i="5" a="1"/>
  <c r="M561" i="11" a="1"/>
  <c r="H357" i="10" a="1"/>
  <c r="H344" i="10" a="1"/>
  <c r="H328" i="10" a="1"/>
  <c r="J283" i="8" a="1"/>
  <c r="J281" i="8" a="1"/>
  <c r="J267" i="8" a="1"/>
  <c r="I648" i="5" a="1"/>
  <c r="I106" i="7" a="1"/>
  <c r="I144" i="7" a="1"/>
  <c r="J50" i="6" a="1"/>
  <c r="I564" i="5" a="1"/>
  <c r="K225" i="9" a="1"/>
  <c r="J165" i="8" a="1"/>
  <c r="K448" i="9" a="1"/>
  <c r="K385" i="9" a="1"/>
  <c r="K468" i="9" a="1"/>
  <c r="H142" i="10" a="1"/>
  <c r="I719" i="7" a="1"/>
  <c r="K9" i="9" a="1"/>
  <c r="H432" i="10" a="1"/>
  <c r="J45" i="8" a="1"/>
  <c r="K580" i="9" a="1"/>
  <c r="J130" i="8" a="1"/>
  <c r="M324" i="11" a="1"/>
  <c r="H198" i="10" a="1"/>
  <c r="H191" i="10" a="1"/>
  <c r="H185" i="10" a="1"/>
  <c r="J104" i="8" a="1"/>
  <c r="J93" i="8" a="1"/>
  <c r="J80" i="8" a="1"/>
  <c r="I116" i="5" a="1"/>
  <c r="M202" i="11" a="1"/>
  <c r="H150" i="10" a="1"/>
  <c r="H132" i="10" a="1"/>
  <c r="H108" i="10" a="1"/>
  <c r="J25" i="8" a="1"/>
  <c r="J16" i="8" a="1"/>
  <c r="J534" i="6" a="1"/>
  <c r="K631" i="9" a="1"/>
  <c r="H348" i="10" a="1"/>
  <c r="H313" i="10" a="1"/>
  <c r="J268" i="8" a="1"/>
  <c r="I612" i="5" a="1"/>
  <c r="K693" i="9" a="1"/>
  <c r="J441" i="8" a="1"/>
  <c r="M41" i="11" a="1"/>
  <c r="K82" i="9" a="1"/>
  <c r="K162" i="9" a="1"/>
  <c r="H14" i="10" a="1"/>
  <c r="J314" i="6" a="1"/>
  <c r="K634" i="9" a="1"/>
  <c r="I82" i="7" a="1"/>
  <c r="J301" i="8" a="1"/>
  <c r="K76" i="9" a="1"/>
  <c r="I614" i="5" a="1"/>
  <c r="M31" i="11" a="1"/>
  <c r="I67" i="7" a="1"/>
  <c r="I87" i="7" a="1"/>
  <c r="I107" i="7" a="1"/>
  <c r="J373" i="6" a="1"/>
  <c r="J370" i="6" a="1"/>
  <c r="J347" i="6" a="1"/>
  <c r="K516" i="9" a="1"/>
  <c r="K75" i="9" a="1"/>
  <c r="I149" i="7" a="1"/>
  <c r="I168" i="7" a="1"/>
  <c r="I187" i="7" a="1"/>
  <c r="J291" i="6" a="1"/>
  <c r="J286" i="6" a="1"/>
  <c r="J272" i="6" a="1"/>
  <c r="H422" i="10" a="1"/>
  <c r="I164" i="7" a="1"/>
  <c r="I206" i="7" a="1"/>
  <c r="J274" i="6" a="1"/>
  <c r="H178" i="10" a="1"/>
  <c r="K188" i="9" a="1"/>
  <c r="I639" i="5" a="1"/>
  <c r="H315" i="10" a="1"/>
  <c r="H493" i="10" a="1"/>
  <c r="M676" i="11" a="1"/>
  <c r="J193" i="8" a="1"/>
  <c r="I255" i="5" a="1"/>
  <c r="M104" i="11" a="1"/>
  <c r="H366" i="10" a="1"/>
  <c r="I666" i="7" a="1"/>
  <c r="H155" i="10" a="1"/>
  <c r="H295" i="10" a="1"/>
  <c r="K126" i="9" a="1"/>
  <c r="I195" i="7" a="1"/>
  <c r="I218" i="7" a="1"/>
  <c r="I237" i="7" a="1"/>
  <c r="J244" i="6" a="1"/>
  <c r="J242" i="6" a="1"/>
  <c r="J223" i="6" a="1"/>
  <c r="I356" i="7" a="1"/>
  <c r="K203" i="9" a="1"/>
  <c r="I275" i="7" a="1"/>
  <c r="I295" i="7" a="1"/>
  <c r="I318" i="7" a="1"/>
  <c r="J167" i="6" a="1"/>
  <c r="J162" i="6" a="1"/>
  <c r="J142" i="6" a="1"/>
  <c r="H260" i="10" a="1"/>
  <c r="I423" i="7" a="1"/>
  <c r="I468" i="7" a="1"/>
  <c r="J16" i="6" a="1"/>
  <c r="J37" i="8" a="1"/>
  <c r="K711" i="9" a="1"/>
  <c r="I62" i="5" a="1"/>
  <c r="I243" i="7" a="1"/>
  <c r="M414" i="11" a="1"/>
  <c r="M382" i="11" a="1"/>
  <c r="J263" i="6" a="1"/>
  <c r="I422" i="5" a="1"/>
  <c r="K440" i="9" a="1"/>
  <c r="H153" i="10" a="1"/>
  <c r="J49" i="8" a="1"/>
  <c r="I378" i="7" a="1"/>
  <c r="J77" i="6" a="1"/>
  <c r="J297" i="8" a="1"/>
  <c r="K338" i="9" a="1"/>
  <c r="J39" i="6" a="1"/>
  <c r="I418" i="5" a="1"/>
  <c r="I88" i="5" a="1"/>
  <c r="I229" i="5" a="1"/>
  <c r="I414" i="7" a="1"/>
  <c r="I455" i="7" a="1"/>
  <c r="I613" i="7" a="1"/>
  <c r="J529" i="8" a="1"/>
  <c r="K540" i="9" a="1"/>
  <c r="J343" i="8" a="1"/>
  <c r="J62" i="8" a="1"/>
  <c r="M169" i="11" a="1"/>
  <c r="I149" i="5" a="1"/>
  <c r="I626" i="5" a="1"/>
  <c r="I91" i="5" a="1"/>
  <c r="I619" i="5" a="1"/>
  <c r="J63" i="8" a="1"/>
  <c r="I279" i="5" a="1"/>
  <c r="K289" i="9" a="1"/>
  <c r="J526" i="8" a="1"/>
  <c r="I248" i="5" a="1"/>
  <c r="K169" i="9" a="1"/>
  <c r="M627" i="11" a="1"/>
  <c r="J437" i="6" a="1"/>
  <c r="J415" i="6" a="1"/>
  <c r="K248" i="9" a="1"/>
  <c r="M545" i="11" a="1"/>
  <c r="J363" i="6" a="1"/>
  <c r="J339" i="6" a="1"/>
  <c r="M720" i="11" a="1"/>
  <c r="I600" i="5" a="1"/>
  <c r="I328" i="5" a="1"/>
  <c r="I391" i="5" a="1"/>
  <c r="M306" i="11" a="1"/>
  <c r="J110" i="6" a="1"/>
  <c r="M56" i="11" a="1"/>
  <c r="I584" i="5" a="1"/>
  <c r="K193" i="9" a="1"/>
  <c r="K636" i="9" a="1"/>
  <c r="J447" i="6" a="1"/>
  <c r="J422" i="6" a="1"/>
  <c r="K269" i="9" a="1"/>
  <c r="K715" i="9" a="1"/>
  <c r="J355" i="6" a="1"/>
  <c r="J327" i="6" a="1"/>
  <c r="K97" i="9" a="1"/>
  <c r="K545" i="9" a="1"/>
  <c r="K58" i="9" a="1"/>
  <c r="K589" i="9" a="1"/>
  <c r="I14" i="7" a="1"/>
  <c r="J134" i="6" a="1"/>
  <c r="K389" i="9" a="1"/>
  <c r="H437" i="10" a="1"/>
  <c r="I484" i="5" a="1"/>
  <c r="H271" i="10" a="1"/>
  <c r="M514" i="11" a="1"/>
  <c r="M528" i="11" a="1"/>
  <c r="H148" i="10" a="1"/>
  <c r="H129" i="10" a="1"/>
  <c r="H122" i="10" a="1"/>
  <c r="I365" i="5" a="1"/>
  <c r="I357" i="5" a="1"/>
  <c r="I330" i="5" a="1"/>
  <c r="M491" i="11" a="1"/>
  <c r="M493" i="11" a="1"/>
  <c r="H90" i="10" a="1"/>
  <c r="H53" i="10" a="1"/>
  <c r="H47" i="10" a="1"/>
  <c r="I281" i="5" a="1"/>
  <c r="I280" i="5" a="1"/>
  <c r="I245" i="5" a="1"/>
  <c r="K205" i="9" a="1"/>
  <c r="I629" i="7" a="1"/>
  <c r="I667" i="7" a="1"/>
  <c r="I483" i="5" a="1"/>
  <c r="J73" i="8" a="1"/>
  <c r="H188" i="10" a="1"/>
  <c r="J356" i="8" a="1"/>
  <c r="H322" i="10" a="1"/>
  <c r="K664" i="9" a="1"/>
  <c r="K700" i="9" a="1"/>
  <c r="J395" i="6" a="1"/>
  <c r="J428" i="6" a="1"/>
  <c r="K156" i="9" a="1"/>
  <c r="I100" i="7" a="1"/>
  <c r="I271" i="5" a="1"/>
  <c r="H167" i="10" a="1"/>
  <c r="K665" i="9" a="1"/>
  <c r="K658" i="9" a="1"/>
  <c r="J189" i="8" a="1"/>
  <c r="J177" i="8" a="1"/>
  <c r="J159" i="8" a="1"/>
  <c r="I596" i="5" a="1"/>
  <c r="I589" i="5" a="1"/>
  <c r="I566" i="5" a="1"/>
  <c r="H506" i="10" a="1"/>
  <c r="H513" i="10" a="1"/>
  <c r="J112" i="8" a="1"/>
  <c r="J100" i="8" a="1"/>
  <c r="J74" i="8" a="1"/>
  <c r="I375" i="5" a="1"/>
  <c r="I362" i="5" a="1"/>
  <c r="I301" i="5" a="1"/>
  <c r="M67" i="11" a="1"/>
  <c r="K646" i="9" a="1"/>
  <c r="I514" i="7" a="1"/>
  <c r="I608" i="7" a="1"/>
  <c r="I293" i="5" a="1"/>
  <c r="M188" i="11" a="1"/>
  <c r="H135" i="10" a="1"/>
  <c r="H515" i="10" a="1"/>
  <c r="I51" i="7" a="1"/>
  <c r="I91" i="7" a="1"/>
  <c r="J387" i="6" a="1"/>
  <c r="K249" i="9" a="1"/>
  <c r="M100" i="11" a="1"/>
  <c r="I118" i="7" a="1"/>
  <c r="I15" i="5" a="1"/>
  <c r="H411" i="10" a="1"/>
  <c r="M555" i="11" a="1"/>
  <c r="M630" i="11" a="1"/>
  <c r="M554" i="11" a="1"/>
  <c r="M510" i="11" a="1"/>
  <c r="K201" i="9" a="1"/>
  <c r="K261" i="9" a="1"/>
  <c r="K570" i="9" a="1"/>
  <c r="K622" i="9" a="1"/>
  <c r="M443" i="11" a="1"/>
  <c r="M446" i="11" a="1"/>
  <c r="M349" i="11" a="1"/>
  <c r="M248" i="11" a="1"/>
  <c r="M321" i="11" a="1"/>
  <c r="M290" i="11" a="1"/>
  <c r="M107" i="11" a="1"/>
  <c r="K375" i="9" a="1"/>
  <c r="M560" i="11" a="1"/>
  <c r="M231" i="11" a="1"/>
  <c r="J29" i="6" a="1"/>
  <c r="I498" i="7" a="1"/>
  <c r="I524" i="5" a="1"/>
  <c r="H144" i="10" a="1"/>
  <c r="J191" i="8" a="1"/>
  <c r="M562" i="11" a="1"/>
  <c r="H242" i="10" a="1"/>
  <c r="H200" i="10" a="1"/>
  <c r="I433" i="5" a="1"/>
  <c r="J538" i="8" a="1"/>
  <c r="K176" i="9" a="1"/>
  <c r="J508" i="8" a="1"/>
  <c r="J520" i="8" a="1"/>
  <c r="I453" i="7" a="1"/>
  <c r="M288" i="11" a="1"/>
  <c r="K277" i="9" a="1"/>
  <c r="K359" i="9" a="1"/>
  <c r="K439" i="9" a="1"/>
  <c r="M208" i="11" a="1"/>
  <c r="M173" i="11" a="1"/>
  <c r="M11" i="11" a="1"/>
  <c r="I31" i="7" a="1"/>
  <c r="M189" i="11" a="1"/>
  <c r="K585" i="9" a="1"/>
  <c r="K661" i="9" a="1"/>
  <c r="H512" i="10" a="1"/>
  <c r="K445" i="9" a="1"/>
  <c r="K462" i="9" a="1"/>
  <c r="K544" i="9" a="1"/>
  <c r="I374" i="7" a="1"/>
  <c r="M157" i="11" a="1"/>
  <c r="K272" i="9" a="1"/>
  <c r="J263" i="8" a="1"/>
  <c r="J242" i="8" a="1"/>
  <c r="K56" i="9" a="1"/>
  <c r="H74" i="10" a="1"/>
  <c r="I677" i="5" a="1"/>
  <c r="M159" i="11" a="1"/>
  <c r="I268" i="7" a="1"/>
  <c r="I307" i="7" a="1"/>
  <c r="I313" i="5" a="1"/>
  <c r="I496" i="7" a="1"/>
  <c r="M209" i="11" a="1"/>
  <c r="J90" i="6" a="1"/>
  <c r="J447" i="8" a="1"/>
  <c r="I602" i="7" a="1"/>
  <c r="K26" i="9" a="1"/>
  <c r="M396" i="11" a="1"/>
  <c r="M358" i="11" a="1"/>
  <c r="M326" i="11" a="1"/>
  <c r="M320" i="11" a="1"/>
  <c r="M311" i="11" a="1"/>
  <c r="M255" i="11" a="1"/>
  <c r="I503" i="7" a="1"/>
  <c r="K105" i="9" a="1"/>
  <c r="M223" i="11" a="1"/>
  <c r="M190" i="11" a="1"/>
  <c r="M138" i="11" a="1"/>
  <c r="M44" i="11" a="1"/>
  <c r="M30" i="11" a="1"/>
  <c r="K40" i="9" a="1"/>
  <c r="J424" i="8" a="1"/>
  <c r="K352" i="9" a="1"/>
  <c r="H484" i="10" a="1"/>
  <c r="J268" i="6" a="1"/>
  <c r="J245" i="6" a="1"/>
  <c r="I56" i="7" a="1"/>
  <c r="H35" i="10" a="1"/>
  <c r="I631" i="5" a="1"/>
  <c r="K348" i="9" a="1"/>
  <c r="J504" i="8" a="1"/>
  <c r="J471" i="8" a="1"/>
  <c r="I325" i="5" a="1"/>
  <c r="J303" i="6" a="1"/>
  <c r="H452" i="10" a="1"/>
  <c r="J309" i="8" a="1"/>
  <c r="J218" i="6" a="1"/>
  <c r="M284" i="11" a="1"/>
  <c r="K282" i="9" a="1"/>
  <c r="K161" i="9" a="1"/>
  <c r="K194" i="9" a="1"/>
  <c r="K239" i="9" a="1"/>
  <c r="K657" i="9" a="1"/>
  <c r="K673" i="9" a="1"/>
  <c r="H510" i="10" a="1"/>
  <c r="J243" i="6" a="1"/>
  <c r="K363" i="9" a="1"/>
  <c r="K323" i="9" a="1"/>
  <c r="K360" i="9" a="1"/>
  <c r="K402" i="9" a="1"/>
  <c r="H319" i="10" a="1"/>
  <c r="H294" i="10" a="1"/>
  <c r="H206" i="10" a="1"/>
  <c r="I590" i="7" a="1"/>
  <c r="M683" i="11" a="1"/>
  <c r="I57" i="7" a="1"/>
  <c r="J505" i="8" a="1"/>
  <c r="J487" i="8" a="1"/>
  <c r="J524" i="8" a="1"/>
  <c r="I80" i="7" a="1"/>
  <c r="I603" i="5" a="1"/>
  <c r="M684" i="11" a="1"/>
  <c r="J15" i="8" a="1"/>
  <c r="J516" i="6" a="1"/>
  <c r="I136" i="5" a="1"/>
  <c r="J11" i="8" a="1"/>
  <c r="H360" i="10" a="1"/>
  <c r="J341" i="6" a="1"/>
  <c r="J7" i="6" a="1"/>
  <c r="K639" i="9" a="1"/>
  <c r="M679" i="11" a="1"/>
  <c r="M682" i="11" a="1"/>
  <c r="J529" i="6" a="1"/>
  <c r="J518" i="6" a="1"/>
  <c r="J497" i="6" a="1"/>
  <c r="I82" i="5" a="1"/>
  <c r="I74" i="5" a="1"/>
  <c r="I14" i="5" a="1"/>
  <c r="M612" i="11" a="1"/>
  <c r="M616" i="11" a="1"/>
  <c r="J462" i="6" a="1"/>
  <c r="M670" i="11" a="1"/>
  <c r="M504" i="11" a="1"/>
  <c r="M486" i="11" a="1"/>
  <c r="M174" i="11" a="1"/>
  <c r="K603" i="9" a="1"/>
  <c r="K324" i="9" a="1"/>
  <c r="M412" i="11" a="1"/>
  <c r="J282" i="6" a="1"/>
  <c r="J256" i="6" a="1"/>
  <c r="I89" i="5" a="1"/>
  <c r="K601" i="9" a="1"/>
  <c r="J481" i="6" a="1"/>
  <c r="I136" i="7" a="1"/>
  <c r="I437" i="7" a="1"/>
  <c r="I481" i="7" a="1"/>
  <c r="I712" i="5" a="1"/>
  <c r="J351" i="6" a="1"/>
  <c r="K484" i="9" a="1"/>
  <c r="H244" i="10" a="1"/>
  <c r="I457" i="5" a="1"/>
  <c r="I401" i="7" a="1"/>
  <c r="I264" i="7" a="1"/>
  <c r="J334" i="6" a="1"/>
  <c r="H445" i="10" a="1"/>
  <c r="I247" i="5" a="1"/>
  <c r="M402" i="11" a="1"/>
  <c r="J216" i="6" a="1"/>
  <c r="K232" i="9" a="1"/>
  <c r="K164" i="9" a="1"/>
  <c r="J128" i="8" a="1"/>
  <c r="I569" i="5" a="1"/>
  <c r="M204" i="11" a="1"/>
  <c r="I8" i="7" a="1"/>
  <c r="I378" i="5" a="1"/>
  <c r="K495" i="9" a="1"/>
  <c r="I12" i="7" a="1"/>
  <c r="I146" i="5" a="1"/>
  <c r="M661" i="11" a="1"/>
  <c r="I127" i="5" a="1"/>
  <c r="I205" i="7" a="1"/>
  <c r="J39" i="8" a="1"/>
  <c r="I140" i="5" a="1"/>
  <c r="H15" i="10" a="1"/>
  <c r="H496" i="10" a="1"/>
  <c r="J533" i="8" a="1"/>
  <c r="J284" i="6" a="1"/>
  <c r="M466" i="11" a="1"/>
  <c r="H281" i="10" a="1"/>
  <c r="J221" i="8" a="1"/>
  <c r="I517" i="7" a="1"/>
  <c r="I166" i="7" a="1"/>
  <c r="J378" i="8" a="1"/>
  <c r="K6" i="9" a="1"/>
  <c r="K546" i="9" a="1"/>
  <c r="I330" i="7" a="1"/>
  <c r="J102" i="6" a="1"/>
  <c r="K307" i="9" a="1"/>
  <c r="M342" i="11" a="1"/>
  <c r="I71" i="5" a="1"/>
  <c r="I490" i="5" a="1"/>
  <c r="I707" i="7" a="1"/>
  <c r="K625" i="9" a="1"/>
  <c r="I329" i="7" a="1"/>
  <c r="I347" i="7" a="1"/>
  <c r="I367" i="7" a="1"/>
  <c r="I672" i="7" a="1"/>
  <c r="I679" i="7" a="1"/>
  <c r="I694" i="7" a="1"/>
  <c r="I307" i="5" a="1"/>
  <c r="K706" i="9" a="1"/>
  <c r="I402" i="7" a="1"/>
  <c r="I422" i="7" a="1"/>
  <c r="I444" i="7" a="1"/>
  <c r="J492" i="8" a="1"/>
  <c r="J491" i="8" a="1"/>
  <c r="J468" i="8" a="1"/>
  <c r="I211" i="5" a="1"/>
  <c r="H289" i="10" a="1"/>
  <c r="H255" i="10" a="1"/>
  <c r="J406" i="6" a="1"/>
  <c r="I227" i="5" a="1"/>
  <c r="M531" i="11" a="1"/>
  <c r="J181" i="6" a="1"/>
  <c r="K255" i="9" a="1"/>
  <c r="M413" i="11" a="1"/>
  <c r="M346" i="11" a="1"/>
  <c r="M353" i="11" a="1"/>
  <c r="J60" i="6" a="1"/>
  <c r="M485" i="11" a="1"/>
  <c r="I139" i="7" a="1"/>
  <c r="J62" i="6" a="1"/>
  <c r="K521" i="9" a="1"/>
  <c r="H521" i="10" a="1"/>
  <c r="I453" i="5" a="1"/>
  <c r="H378" i="10" a="1"/>
  <c r="J289" i="8" a="1"/>
  <c r="I353" i="5" a="1"/>
  <c r="I706" i="5" a="1"/>
  <c r="M156" i="11" a="1"/>
  <c r="H103" i="10" a="1"/>
  <c r="H72" i="10" a="1"/>
  <c r="H56" i="10" a="1"/>
  <c r="I702" i="5" a="1"/>
  <c r="I698" i="5" a="1"/>
  <c r="J149" i="6" a="1"/>
  <c r="I108" i="7" a="1"/>
  <c r="I651" i="7" a="1"/>
  <c r="I495" i="5" a="1"/>
  <c r="K121" i="9" a="1"/>
  <c r="K8" i="9" a="1"/>
  <c r="I658" i="5" a="1"/>
  <c r="J206" i="8" a="1"/>
  <c r="H251" i="10" a="1"/>
  <c r="I519" i="7" a="1"/>
  <c r="M628" i="11" a="1"/>
  <c r="I100" i="5" a="1"/>
  <c r="J60" i="8" a="1"/>
  <c r="M537" i="11" a="1"/>
  <c r="M225" i="11" a="1"/>
  <c r="M217" i="11" a="1"/>
  <c r="M205" i="11" a="1"/>
  <c r="I506" i="7" a="1"/>
  <c r="I509" i="7" a="1"/>
  <c r="I525" i="7" a="1"/>
  <c r="I121" i="5" a="1"/>
  <c r="M502" i="11" a="1"/>
  <c r="M143" i="11" a="1"/>
  <c r="M133" i="11" a="1"/>
  <c r="M123" i="11" a="1"/>
  <c r="I578" i="7" a="1"/>
  <c r="I585" i="7" a="1"/>
  <c r="I606" i="7" a="1"/>
  <c r="I18" i="5" a="1"/>
  <c r="K65" i="9" a="1"/>
  <c r="I527" i="7" a="1"/>
  <c r="I576" i="5" a="1"/>
  <c r="I560" i="5" a="1"/>
  <c r="I341" i="5" a="1"/>
  <c r="K102" i="9" a="1"/>
  <c r="M364" i="11" a="1"/>
  <c r="K108" i="9" a="1"/>
  <c r="K556" i="9" a="1"/>
  <c r="J532" i="6" a="1"/>
  <c r="J498" i="6" a="1"/>
  <c r="I163" i="7" a="1"/>
  <c r="K470" i="9" a="1"/>
  <c r="I709" i="5" a="1"/>
  <c r="I154" i="5" a="1"/>
  <c r="K539" i="9" a="1"/>
  <c r="I692" i="5" a="1"/>
  <c r="J30" i="8" a="1"/>
  <c r="J295" i="8" a="1"/>
  <c r="I241" i="7" a="1"/>
  <c r="J52" i="6" a="1"/>
  <c r="I106" i="5" a="1"/>
  <c r="H478" i="10" a="1"/>
  <c r="I487" i="7" a="1"/>
  <c r="J193" i="6" a="1"/>
  <c r="J173" i="6" a="1"/>
  <c r="H268" i="10" a="1"/>
  <c r="J536" i="8" a="1"/>
  <c r="M536" i="11" a="1"/>
  <c r="K17" i="9" a="1"/>
  <c r="M71" i="11" a="1"/>
  <c r="J290" i="8" a="1"/>
  <c r="I269" i="7" a="1"/>
  <c r="K144" i="9" a="1"/>
  <c r="I160" i="7" a="1"/>
  <c r="J532" i="8" a="1"/>
  <c r="J37" i="6" a="1"/>
  <c r="K602" i="9" a="1"/>
  <c r="K320" i="9" a="1"/>
  <c r="I240" i="5" a="1"/>
  <c r="I181" i="5" a="1"/>
  <c r="M219" i="11" a="1"/>
  <c r="M187" i="11" a="1"/>
  <c r="J70" i="8" a="1"/>
  <c r="I690" i="5" a="1"/>
  <c r="I314" i="7" a="1"/>
  <c r="I601" i="7" a="1"/>
  <c r="K568" i="9" a="1"/>
  <c r="M573" i="11" a="1"/>
  <c r="M73" i="11" a="1"/>
  <c r="J281" i="6" a="1"/>
  <c r="J205" i="6" a="1"/>
  <c r="J188" i="8" a="1"/>
  <c r="I656" i="7" a="1"/>
  <c r="I580" i="5" a="1"/>
  <c r="K542" i="9" a="1"/>
  <c r="K534" i="9" a="1"/>
  <c r="J332" i="8" a="1"/>
  <c r="J326" i="8" a="1"/>
  <c r="J307" i="8" a="1"/>
  <c r="I107" i="5" a="1"/>
  <c r="I99" i="5" a="1"/>
  <c r="I76" i="5" a="1"/>
  <c r="K620" i="9" a="1"/>
  <c r="K614" i="9" a="1"/>
  <c r="J245" i="8" a="1"/>
  <c r="J218" i="8" a="1"/>
  <c r="J196" i="8" a="1"/>
  <c r="I9" i="5" a="1"/>
  <c r="I7" i="5" a="1"/>
  <c r="I651" i="5" a="1"/>
  <c r="M391" i="11" a="1"/>
  <c r="K336" i="9" a="1"/>
  <c r="I433" i="7" a="1"/>
  <c r="H423" i="10" a="1"/>
  <c r="I429" i="5" a="1"/>
  <c r="M650" i="11" a="1"/>
  <c r="I28" i="5" a="1"/>
  <c r="K223" i="9" a="1"/>
  <c r="H217" i="10" a="1"/>
  <c r="H190" i="10" a="1"/>
  <c r="J118" i="8" a="1"/>
  <c r="I170" i="5" a="1"/>
  <c r="K628" i="9" a="1"/>
  <c r="I49" i="7" a="1"/>
  <c r="J486" i="6" a="1"/>
  <c r="K351" i="9" a="1"/>
  <c r="I516" i="5" a="1"/>
  <c r="H22" i="10" a="1"/>
  <c r="J522" i="8" a="1"/>
  <c r="J409" i="6" a="1"/>
  <c r="I397" i="7" a="1"/>
  <c r="M400" i="11" a="1"/>
  <c r="M207" i="11" a="1"/>
  <c r="M154" i="11" a="1"/>
  <c r="M80" i="11" a="1"/>
  <c r="K135" i="9" a="1"/>
  <c r="K151" i="9" a="1"/>
  <c r="I231" i="7" a="1"/>
  <c r="K208" i="9" a="1"/>
  <c r="H97" i="10" a="1"/>
  <c r="J145" i="8" a="1"/>
  <c r="J121" i="8" a="1"/>
  <c r="M9" i="11" a="1"/>
  <c r="I504" i="7" a="1"/>
  <c r="M87" i="11" a="1"/>
  <c r="K478" i="9" a="1"/>
  <c r="H94" i="10" a="1"/>
  <c r="J488" i="6" a="1"/>
  <c r="M463" i="11" a="1"/>
  <c r="M590" i="11" a="1"/>
  <c r="J433" i="6" a="1"/>
  <c r="K425" i="9" a="1"/>
  <c r="I137" i="7" a="1"/>
  <c r="I155" i="7" a="1"/>
  <c r="I178" i="7" a="1"/>
  <c r="J23" i="6" a="1"/>
  <c r="J22" i="6" a="1"/>
  <c r="I499" i="7" a="1"/>
  <c r="I507" i="5" a="1"/>
  <c r="K518" i="9" a="1"/>
  <c r="I217" i="7" a="1"/>
  <c r="I236" i="7" a="1"/>
  <c r="I255" i="7" a="1"/>
  <c r="I562" i="7" a="1"/>
  <c r="I566" i="7" a="1"/>
  <c r="I583" i="7" a="1"/>
  <c r="I420" i="5" a="1"/>
  <c r="I293" i="7" a="1"/>
  <c r="I331" i="7" a="1"/>
  <c r="J247" i="8" a="1"/>
  <c r="J225" i="8" a="1"/>
  <c r="K258" i="9" a="1"/>
  <c r="J432" i="8" a="1"/>
  <c r="M500" i="11" a="1"/>
  <c r="M271" i="11" a="1"/>
  <c r="M135" i="11" a="1"/>
  <c r="K22" i="9" a="1"/>
  <c r="H384" i="10" a="1"/>
  <c r="I320" i="5" a="1"/>
  <c r="H290" i="10" a="1"/>
  <c r="K187" i="9" a="1"/>
  <c r="I279" i="7" a="1"/>
  <c r="J180" i="6" a="1"/>
  <c r="J160" i="6" a="1"/>
  <c r="K267" i="9" a="1"/>
  <c r="I362" i="7" a="1"/>
  <c r="J93" i="6" a="1"/>
  <c r="J68" i="6" a="1"/>
  <c r="H398" i="10" a="1"/>
  <c r="I595" i="5" a="1"/>
  <c r="H326" i="10" a="1"/>
  <c r="H460" i="10" a="1"/>
  <c r="M285" i="11" a="1"/>
  <c r="I287" i="5" a="1"/>
  <c r="I11" i="7" a="1"/>
  <c r="H334" i="10" a="1"/>
  <c r="K160" i="9" a="1"/>
  <c r="I620" i="7" a="1"/>
  <c r="I512" i="5" a="1"/>
  <c r="I492" i="5" a="1"/>
  <c r="K242" i="9" a="1"/>
  <c r="I697" i="7" a="1"/>
  <c r="I442" i="5" a="1"/>
  <c r="I405" i="5" a="1"/>
  <c r="K133" i="9" a="1"/>
  <c r="K630" i="9" a="1"/>
  <c r="M574" i="11" a="1"/>
  <c r="M337" i="11" a="1"/>
  <c r="I34" i="7" a="1"/>
  <c r="I687" i="5" a="1"/>
  <c r="K283" i="9" a="1"/>
  <c r="K373" i="9" a="1"/>
  <c r="I135" i="5" a="1"/>
  <c r="K469" i="9" a="1"/>
  <c r="K428" i="9" a="1"/>
  <c r="K421" i="9" a="1"/>
  <c r="J444" i="8" a="1"/>
  <c r="J435" i="8" a="1"/>
  <c r="J427" i="8" a="1"/>
  <c r="I265" i="5" a="1"/>
  <c r="I264" i="5" a="1"/>
  <c r="I249" i="5" a="1"/>
  <c r="K496" i="9" a="1"/>
  <c r="K491" i="9" a="1"/>
  <c r="J393" i="8" a="1"/>
  <c r="J366" i="8" a="1"/>
  <c r="J347" i="8" a="1"/>
  <c r="I201" i="5" a="1"/>
  <c r="I183" i="5" a="1"/>
  <c r="I148" i="5" a="1"/>
  <c r="H479" i="10" a="1"/>
  <c r="M197" i="11" a="1"/>
  <c r="I370" i="7" a="1"/>
  <c r="I460" i="7" a="1"/>
  <c r="I594" i="5" a="1"/>
  <c r="K210" i="9" a="1"/>
  <c r="I337" i="5" a="1"/>
  <c r="M257" i="11" a="1"/>
  <c r="H469" i="10" a="1"/>
  <c r="H421" i="10" a="1"/>
  <c r="J384" i="8" a="1"/>
  <c r="I108" i="5" a="1"/>
  <c r="K128" i="9" a="1"/>
  <c r="K264" i="9" a="1"/>
  <c r="I543" i="7" a="1"/>
  <c r="M164" i="11" a="1"/>
  <c r="K217" i="9" a="1"/>
  <c r="K34" i="9" a="1"/>
  <c r="K70" i="9" a="1"/>
  <c r="K113" i="9" a="1"/>
  <c r="K390" i="9" a="1"/>
  <c r="K407" i="9" a="1"/>
  <c r="K498" i="9" a="1"/>
  <c r="J504" i="6" a="1"/>
  <c r="K300" i="9" a="1"/>
  <c r="K190" i="9" a="1"/>
  <c r="K228" i="9" a="1"/>
  <c r="K274" i="9" a="1"/>
  <c r="H537" i="10" a="1"/>
  <c r="H523" i="10" a="1"/>
  <c r="H465" i="10" a="1"/>
  <c r="J179" i="6" a="1"/>
  <c r="K720" i="9" a="1"/>
  <c r="H89" i="10" a="1"/>
  <c r="I621" i="7" a="1"/>
  <c r="I646" i="7" a="1"/>
  <c r="J19" i="6" a="1"/>
  <c r="H161" i="10" a="1"/>
  <c r="I175" i="5" a="1"/>
  <c r="K716" i="9" a="1"/>
  <c r="J144" i="8" a="1"/>
  <c r="J106" i="8" a="1"/>
  <c r="I491" i="5" a="1"/>
  <c r="J275" i="8" a="1"/>
  <c r="I355" i="7" a="1"/>
  <c r="J470" i="6" a="1"/>
  <c r="I300" i="5" a="1"/>
  <c r="K115" i="9" a="1"/>
  <c r="K543" i="9" a="1"/>
  <c r="K678" i="9" a="1"/>
  <c r="K713" i="9" a="1"/>
  <c r="H491" i="10" a="1"/>
  <c r="I443" i="7" a="1"/>
  <c r="I459" i="7" a="1"/>
  <c r="H430" i="10" a="1"/>
  <c r="J517" i="6" a="1"/>
  <c r="K621" i="9" a="1"/>
  <c r="M623" i="11" a="1"/>
  <c r="M583" i="11" a="1"/>
  <c r="M542" i="11" a="1"/>
  <c r="H226" i="10" a="1"/>
  <c r="H215" i="10" a="1"/>
  <c r="H117" i="10" a="1"/>
  <c r="J215" i="6" a="1"/>
  <c r="M141" i="11" a="1"/>
  <c r="H404" i="10" a="1"/>
  <c r="J533" i="6" a="1"/>
  <c r="J519" i="6" a="1"/>
  <c r="I512" i="7" a="1"/>
  <c r="J197" i="8" a="1"/>
  <c r="I485" i="7" a="1"/>
  <c r="M144" i="11" a="1"/>
  <c r="M713" i="11" a="1"/>
  <c r="K576" i="9" a="1"/>
  <c r="K670" i="9" a="1"/>
  <c r="I173" i="5" a="1"/>
  <c r="H286" i="10" a="1"/>
  <c r="I686" i="7" a="1"/>
  <c r="I115" i="5" a="1"/>
  <c r="I473" i="7" a="1"/>
  <c r="M669" i="11" a="1"/>
  <c r="M166" i="11" a="1"/>
  <c r="M112" i="11" a="1"/>
  <c r="M72" i="11" a="1"/>
  <c r="H470" i="10" a="1"/>
  <c r="H441" i="10" a="1"/>
  <c r="H363" i="10" a="1"/>
  <c r="J240" i="8" a="1"/>
  <c r="M581" i="11" a="1"/>
  <c r="K15" i="9" a="1"/>
  <c r="K51" i="9" a="1"/>
  <c r="K98" i="9" a="1"/>
  <c r="H183" i="10" a="1"/>
  <c r="H164" i="10" a="1"/>
  <c r="H78" i="10" a="1"/>
  <c r="J445" i="6" a="1"/>
  <c r="K398" i="9" a="1"/>
  <c r="I126" i="7" a="1"/>
  <c r="J57" i="6" a="1"/>
  <c r="J30" i="6" a="1"/>
  <c r="J288" i="6" a="1"/>
  <c r="K50" i="9" a="1"/>
  <c r="J136" i="6" a="1"/>
  <c r="K395" i="9" a="1"/>
  <c r="K418" i="9" a="1"/>
  <c r="H168" i="10" a="1"/>
  <c r="H79" i="10" a="1"/>
  <c r="I75" i="5" a="1"/>
  <c r="H66" i="10" a="1"/>
  <c r="J477" i="6" a="1"/>
  <c r="K577" i="9" a="1"/>
  <c r="I623" i="7" a="1"/>
  <c r="M356" i="11" a="1"/>
  <c r="K367" i="9" a="1"/>
  <c r="K403" i="9" a="1"/>
  <c r="K437" i="9" a="1"/>
  <c r="H389" i="10" a="1"/>
  <c r="H364" i="10" a="1"/>
  <c r="H274" i="10" a="1"/>
  <c r="I430" i="5" a="1"/>
  <c r="M243" i="11" a="1"/>
  <c r="K485" i="9" a="1"/>
  <c r="K507" i="9" a="1"/>
  <c r="K522" i="9" a="1"/>
  <c r="H50" i="10" a="1"/>
  <c r="H38" i="10" a="1"/>
  <c r="I40" i="7" a="1"/>
  <c r="I58" i="5" a="1"/>
  <c r="M544" i="11" a="1"/>
  <c r="H330" i="10" a="1"/>
  <c r="J273" i="8" a="1"/>
  <c r="J241" i="8" a="1"/>
  <c r="J520" i="6" a="1"/>
  <c r="M12" i="11" a="1"/>
  <c r="J126" i="8" a="1"/>
  <c r="M553" i="11" a="1"/>
  <c r="K118" i="9" a="1"/>
  <c r="H55" i="10" a="1"/>
  <c r="I79" i="7" a="1"/>
  <c r="I481" i="5" a="1"/>
  <c r="J372" i="8" a="1"/>
  <c r="I510" i="7" a="1"/>
  <c r="J351" i="8" a="1"/>
  <c r="I182" i="7" a="1"/>
  <c r="M46" i="11" a="1"/>
  <c r="K660" i="9" a="1"/>
  <c r="K679" i="9" a="1"/>
  <c r="K703" i="9" a="1"/>
  <c r="I638" i="7" a="1"/>
  <c r="I654" i="7" a="1"/>
  <c r="J530" i="8" a="1"/>
  <c r="I321" i="5" a="1"/>
  <c r="K55" i="9" a="1"/>
  <c r="H527" i="10" a="1"/>
  <c r="H507" i="10" a="1"/>
  <c r="H480" i="10" a="1"/>
  <c r="J359" i="8" a="1"/>
  <c r="J341" i="8" a="1"/>
  <c r="J254" i="8" a="1"/>
  <c r="I604" i="5" a="1"/>
  <c r="K94" i="9" a="1"/>
  <c r="I183" i="7" a="1"/>
  <c r="J279" i="6" a="1"/>
  <c r="J253" i="6" a="1"/>
  <c r="I151" i="5" a="1"/>
  <c r="J342" i="6" a="1"/>
  <c r="I230" i="5" a="1"/>
  <c r="K90" i="9" a="1"/>
  <c r="M695" i="11" a="1"/>
  <c r="J208" i="8" a="1"/>
  <c r="J115" i="8" a="1"/>
  <c r="I209" i="5" a="1"/>
  <c r="M310" i="11" a="1"/>
  <c r="J66" i="8" a="1"/>
  <c r="J164" i="6" a="1"/>
  <c r="J460" i="6" a="1"/>
  <c r="K106" i="9" a="1"/>
  <c r="M701" i="11" a="1"/>
  <c r="M680" i="11" a="1"/>
  <c r="M656" i="11" a="1"/>
  <c r="J147" i="8" a="1"/>
  <c r="J127" i="8" a="1"/>
  <c r="J64" i="8" a="1"/>
  <c r="I104" i="5" a="1"/>
  <c r="K183" i="9" a="1"/>
  <c r="M632" i="11" a="1"/>
  <c r="M613" i="11" a="1"/>
  <c r="M601" i="11" a="1"/>
  <c r="J426" i="6" a="1"/>
  <c r="J417" i="6" a="1"/>
  <c r="J397" i="6" a="1"/>
  <c r="I623" i="5" a="1"/>
  <c r="K346" i="9" a="1"/>
  <c r="I441" i="7" a="1"/>
  <c r="J18" i="6" a="1"/>
  <c r="I710" i="5" a="1"/>
  <c r="I567" i="5" a="1"/>
  <c r="I518" i="5" a="1"/>
  <c r="I514" i="5" a="1"/>
  <c r="K342" i="9" a="1"/>
  <c r="M397" i="11" a="1"/>
  <c r="J265" i="6" a="1"/>
  <c r="J236" i="6" a="1"/>
  <c r="I57" i="5" a="1"/>
  <c r="M709" i="11" a="1"/>
  <c r="J213" i="6" a="1"/>
  <c r="J396" i="6" a="1"/>
  <c r="J176" i="8" a="1"/>
  <c r="J420" i="8" a="1"/>
  <c r="J311" i="6" a="1"/>
  <c r="H419" i="10" a="1"/>
  <c r="H234" i="10" a="1"/>
  <c r="I132" i="5" a="1"/>
  <c r="J469" i="6" a="1"/>
  <c r="M314" i="11" a="1"/>
  <c r="I435" i="7" a="1"/>
  <c r="I610" i="7" a="1"/>
  <c r="I631" i="7" a="1"/>
  <c r="K497" i="9" a="1"/>
  <c r="K24" i="9" a="1"/>
  <c r="M622" i="11" a="1"/>
  <c r="M180" i="11" a="1"/>
  <c r="I32" i="7" a="1"/>
  <c r="I131" i="5" a="1"/>
  <c r="M459" i="11" a="1"/>
  <c r="K431" i="9" a="1"/>
  <c r="J171" i="6" a="1"/>
  <c r="I278" i="5" a="1"/>
  <c r="J56" i="8" a="1"/>
  <c r="J69" i="8" a="1"/>
  <c r="J514" i="8" a="1"/>
  <c r="I374" i="5" a="1"/>
  <c r="J503" i="6" a="1"/>
  <c r="K146" i="9" a="1"/>
  <c r="K222" i="9" a="1"/>
  <c r="I127" i="7" a="1"/>
  <c r="J414" i="8" a="1"/>
  <c r="I185" i="7" a="1"/>
  <c r="J129" i="8" a="1"/>
  <c r="I190" i="7" a="1"/>
  <c r="H138" i="10" a="1"/>
  <c r="I348" i="7" a="1"/>
  <c r="I250" i="7" a="1"/>
  <c r="I175" i="7" a="1"/>
  <c r="M460" i="11" a="1"/>
  <c r="H180" i="10" a="1"/>
  <c r="I592" i="7" a="1"/>
  <c r="K41" i="9" a="1"/>
  <c r="K33" i="9" a="1"/>
  <c r="I465" i="7" a="1"/>
  <c r="I489" i="7" a="1"/>
  <c r="I505" i="7" a="1"/>
  <c r="I613" i="5" a="1"/>
  <c r="I609" i="5" a="1"/>
  <c r="I579" i="5" a="1"/>
  <c r="K120" i="9" a="1"/>
  <c r="K112" i="9" a="1"/>
  <c r="I552" i="7" a="1"/>
  <c r="I571" i="7" a="1"/>
  <c r="I591" i="7" a="1"/>
  <c r="I539" i="5" a="1"/>
  <c r="I537" i="5" a="1"/>
  <c r="I527" i="5" a="1"/>
  <c r="M20" i="11" a="1"/>
  <c r="M411" i="11" a="1"/>
  <c r="M416" i="11" a="1"/>
  <c r="M339" i="11" a="1"/>
  <c r="I577" i="5" a="1"/>
  <c r="J512" i="6" a="1"/>
  <c r="J489" i="6" a="1"/>
  <c r="K38" i="9" a="1"/>
  <c r="H280" i="10" a="1"/>
  <c r="H239" i="10" a="1"/>
  <c r="J389" i="6" a="1"/>
  <c r="I719" i="5" a="1"/>
  <c r="M295" i="11" a="1"/>
  <c r="J472" i="6" a="1"/>
  <c r="I388" i="5" a="1"/>
  <c r="M663" i="11" a="1"/>
  <c r="J65" i="6" a="1"/>
  <c r="M15" i="11" a="1"/>
  <c r="H352" i="10" a="1"/>
  <c r="I13" i="5" a="1"/>
  <c r="I295" i="5" a="1"/>
  <c r="K606" i="9" a="1"/>
  <c r="K599" i="9" a="1"/>
  <c r="J261" i="8" a="1"/>
  <c r="J238" i="8" a="1"/>
  <c r="K117" i="9" a="1"/>
  <c r="K149" i="9" a="1"/>
  <c r="I86" i="7" a="1"/>
  <c r="M710" i="11" a="1"/>
  <c r="K127" i="9" a="1"/>
  <c r="J429" i="6" a="1"/>
  <c r="J411" i="6" a="1"/>
  <c r="M192" i="11" a="1"/>
  <c r="I24" i="7" a="1"/>
  <c r="M238" i="11" a="1"/>
  <c r="K331" i="9" a="1"/>
  <c r="H224" i="10" a="1"/>
  <c r="I540" i="7" a="1"/>
  <c r="I247" i="7" a="1"/>
  <c r="M452" i="11" a="1"/>
  <c r="J194" i="6" a="1"/>
  <c r="M120" i="11" a="1"/>
  <c r="H393" i="10" a="1"/>
  <c r="H374" i="10" a="1"/>
  <c r="H353" i="10" a="1"/>
  <c r="J515" i="6" a="1"/>
  <c r="J513" i="6" a="1"/>
  <c r="J490" i="6" a="1"/>
  <c r="I283" i="5" a="1"/>
  <c r="M17" i="11" a="1"/>
  <c r="H306" i="10" a="1"/>
  <c r="H285" i="10" a="1"/>
  <c r="H275" i="10" a="1"/>
  <c r="J425" i="6" a="1"/>
  <c r="J416" i="6" a="1"/>
  <c r="J401" i="6" a="1"/>
  <c r="I448" i="5" a="1"/>
  <c r="K520" i="9" a="1"/>
  <c r="K559" i="9" a="1"/>
  <c r="J6" i="8" a="1"/>
  <c r="I95" i="7" a="1"/>
  <c r="M449" i="11" a="1"/>
  <c r="M145" i="11" a="1"/>
  <c r="K172" i="9" a="1"/>
  <c r="K80" i="9" a="1"/>
  <c r="I541" i="7" a="1"/>
  <c r="I563" i="5" a="1"/>
  <c r="I543" i="5" a="1"/>
  <c r="I333" i="5" a="1"/>
  <c r="M23" i="11" a="1"/>
  <c r="I655" i="5" a="1"/>
  <c r="M631" i="11" a="1"/>
  <c r="H297" i="10" a="1"/>
  <c r="M474" i="11" a="1"/>
  <c r="I636" i="5" a="1"/>
  <c r="J282" i="8" a="1"/>
  <c r="I337" i="7" a="1"/>
  <c r="J431" i="6" a="1"/>
  <c r="I409" i="5" a="1"/>
  <c r="M301" i="11" a="1"/>
  <c r="M184" i="11" a="1"/>
  <c r="K476" i="9" a="1"/>
  <c r="J454" i="6" a="1"/>
  <c r="H248" i="10" a="1"/>
  <c r="J512" i="8" a="1"/>
  <c r="H448" i="10" a="1"/>
  <c r="K592" i="9" a="1"/>
  <c r="K72" i="9" a="1"/>
  <c r="I578" i="5" a="1"/>
  <c r="J187" i="8" a="1"/>
  <c r="M330" i="11" a="1"/>
  <c r="J306" i="8" a="1"/>
  <c r="I680" i="7" a="1"/>
  <c r="M697" i="11" a="1"/>
  <c r="H427" i="10" a="1"/>
  <c r="J89" i="6" a="1"/>
  <c r="J328" i="8" a="1"/>
  <c r="M538" i="11" a="1"/>
  <c r="H209" i="10" a="1"/>
  <c r="H151" i="10" a="1"/>
  <c r="J225" i="6" a="1"/>
  <c r="H351" i="10" a="1"/>
  <c r="I333" i="7" a="1"/>
  <c r="I400" i="5" a="1"/>
  <c r="J450" i="6" a="1"/>
  <c r="M706" i="11" a="1"/>
  <c r="M10" i="11" a="1"/>
  <c r="I208" i="5" a="1"/>
  <c r="I288" i="5" a="1"/>
  <c r="I586" i="5" a="1"/>
  <c r="I653" i="7" a="1"/>
  <c r="M575" i="11" a="1"/>
  <c r="M272" i="11" a="1"/>
  <c r="K465" i="9" a="1"/>
  <c r="K489" i="9" a="1"/>
  <c r="K509" i="9" a="1"/>
  <c r="H115" i="10" a="1"/>
  <c r="H107" i="10" a="1"/>
  <c r="H33" i="10" a="1"/>
  <c r="I142" i="5" a="1"/>
  <c r="M158" i="11" a="1"/>
  <c r="K548" i="9" a="1"/>
  <c r="K565" i="9" a="1"/>
  <c r="K587" i="9" a="1"/>
  <c r="I200" i="7" a="1"/>
  <c r="I215" i="7" a="1"/>
  <c r="I296" i="7" a="1"/>
  <c r="I51" i="5" a="1"/>
  <c r="M375" i="11" a="1"/>
  <c r="H211" i="10" a="1"/>
  <c r="J136" i="8" a="1"/>
  <c r="J114" i="8" a="1"/>
  <c r="J269" i="6" a="1"/>
  <c r="K256" i="9" a="1"/>
  <c r="J137" i="6" a="1"/>
  <c r="M377" i="11" a="1"/>
  <c r="K371" i="9" a="1"/>
  <c r="H455" i="10" a="1"/>
  <c r="H347" i="10" a="1"/>
  <c r="J435" i="6" a="1"/>
  <c r="J360" i="6" a="1"/>
  <c r="I257" i="5" a="1"/>
  <c r="I674" i="5" a="1"/>
  <c r="J444" i="6" a="1"/>
  <c r="J349" i="6" a="1"/>
  <c r="I565" i="7" a="1"/>
  <c r="M261" i="11" a="1"/>
  <c r="M506" i="11" a="1"/>
  <c r="I564" i="7" a="1"/>
  <c r="M484" i="11" a="1"/>
  <c r="I655" i="7" a="1"/>
  <c r="K197" i="9" a="1"/>
  <c r="I272" i="5" a="1"/>
  <c r="K685" i="9" a="1"/>
  <c r="H530" i="10" a="1"/>
  <c r="K692" i="9" a="1"/>
  <c r="I593" i="7" a="1"/>
  <c r="H489" i="10" a="1"/>
  <c r="I668" i="7" a="1"/>
  <c r="K626" i="9" a="1"/>
  <c r="M470" i="11" a="1"/>
  <c r="I71" i="7" a="1"/>
  <c r="K553" i="9" a="1"/>
  <c r="M526" i="11" a="1"/>
  <c r="J355" i="8" a="1"/>
  <c r="M415" i="11" a="1"/>
  <c r="J264" i="8" a="1"/>
  <c r="M241" i="11" a="1"/>
  <c r="M715" i="11" a="1"/>
  <c r="H213" i="10" a="1"/>
  <c r="H532" i="10" a="1"/>
  <c r="M274" i="11" a="1"/>
  <c r="J107" i="8" a="1"/>
  <c r="M165" i="11" a="1"/>
  <c r="J23" i="8" a="1"/>
  <c r="K253" i="9" a="1"/>
  <c r="K461" i="9" a="1"/>
  <c r="I288" i="7" a="1"/>
  <c r="M256" i="11" a="1"/>
  <c r="K46" i="9" a="1"/>
  <c r="J382" i="6" a="1"/>
  <c r="K125" i="9" a="1"/>
  <c r="J310" i="6" a="1"/>
  <c r="H498" i="10" a="1"/>
  <c r="K158" i="9" a="1"/>
  <c r="J486" i="8" a="1"/>
  <c r="K226" i="9" a="1"/>
  <c r="K304" i="9" a="1"/>
  <c r="J141" i="6" a="1"/>
  <c r="K381" i="9" a="1"/>
  <c r="J72" i="6" a="1"/>
  <c r="I37" i="7" a="1"/>
  <c r="M245" i="11" a="1"/>
  <c r="J527" i="6" a="1"/>
  <c r="H511" i="10" a="1"/>
  <c r="M655" i="11" a="1"/>
  <c r="J478" i="8" a="1"/>
  <c r="M587" i="11" a="1"/>
  <c r="J394" i="8" a="1"/>
  <c r="M428" i="11" a="1"/>
  <c r="K285" i="9" a="1"/>
  <c r="I464" i="7" a="1"/>
  <c r="K479" i="9" a="1"/>
  <c r="J400" i="8" a="1"/>
  <c r="I94" i="5" a="1"/>
  <c r="I575" i="5" a="1"/>
  <c r="M359" i="11" a="1"/>
  <c r="J348" i="6" a="1"/>
  <c r="M185" i="11" a="1"/>
  <c r="J273" i="6" a="1"/>
  <c r="K179" i="9" a="1"/>
  <c r="I81" i="7" a="1"/>
  <c r="J380" i="8" a="1"/>
  <c r="I98" i="5" a="1"/>
  <c r="J125" i="6" a="1"/>
  <c r="I180" i="5" a="1"/>
  <c r="H263" i="10" a="1"/>
  <c r="K61" i="9" a="1"/>
  <c r="K504" i="9" a="1"/>
  <c r="J43" i="8" a="1"/>
  <c r="J21" i="8" a="1"/>
  <c r="K140" i="9" a="1"/>
  <c r="K588" i="9" a="1"/>
  <c r="J487" i="6" a="1"/>
  <c r="J466" i="6" a="1"/>
  <c r="M445" i="11" a="1"/>
  <c r="M406" i="11" a="1"/>
  <c r="M646" i="11" a="1"/>
  <c r="K74" i="9" a="1"/>
  <c r="H265" i="10" a="1"/>
  <c r="J378" i="6" a="1"/>
  <c r="I119" i="7" a="1"/>
  <c r="K717" i="9" a="1"/>
  <c r="I529" i="7" a="1"/>
  <c r="J303" i="8" a="1"/>
  <c r="M103" i="11" a="1"/>
  <c r="H227" i="10" a="1"/>
  <c r="H170" i="10" a="1"/>
  <c r="J212" i="8" a="1"/>
  <c r="K107" i="9" a="1"/>
  <c r="J424" i="6" a="1"/>
  <c r="M117" i="11" a="1"/>
  <c r="J203" i="6" a="1"/>
  <c r="I516" i="7" a="1"/>
  <c r="I65" i="7" a="1"/>
  <c r="M132" i="11" a="1"/>
  <c r="M681" i="11" a="1"/>
  <c r="K638" i="9" a="1"/>
  <c r="H528" i="10" a="1"/>
  <c r="M36" i="11" a="1"/>
  <c r="M444" i="11" a="1"/>
  <c r="M523" i="11" a="1"/>
  <c r="M394" i="11" a="1"/>
  <c r="K92" i="9" a="1"/>
  <c r="J17" i="8" a="1"/>
  <c r="H93" i="10" a="1"/>
  <c r="I533" i="5" a="1"/>
  <c r="I521" i="7" a="1"/>
  <c r="I561" i="5" a="1"/>
  <c r="K317" i="9" a="1"/>
  <c r="I508" i="7" a="1"/>
  <c r="M476" i="11" a="1"/>
  <c r="J296" i="8" a="1"/>
  <c r="I285" i="7" a="1"/>
  <c r="M76" i="11" a="1"/>
  <c r="K463" i="9" a="1"/>
  <c r="K595" i="9" a="1"/>
  <c r="J267" i="6" a="1"/>
  <c r="M124" i="11" a="1"/>
  <c r="I359" i="7" a="1"/>
  <c r="M620" i="11" a="1"/>
  <c r="M430" i="11" a="1"/>
  <c r="H414" i="10" a="1"/>
  <c r="I414" i="5" a="1"/>
  <c r="H174" i="10" a="1"/>
  <c r="J204" i="6" a="1"/>
  <c r="J144" i="6" a="1"/>
  <c r="H488" i="10" a="1"/>
  <c r="K290" i="9" a="1"/>
  <c r="M639" i="11" a="1"/>
  <c r="J49" i="6" a="1"/>
  <c r="M237" i="11" a="1"/>
  <c r="H147" i="10" a="1"/>
  <c r="J42" i="8" a="1"/>
  <c r="J14" i="8" a="1"/>
  <c r="M129" i="11" a="1"/>
  <c r="H57" i="10" a="1"/>
  <c r="J484" i="6" a="1"/>
  <c r="J457" i="6" a="1"/>
  <c r="H222" i="10" a="1"/>
  <c r="J135" i="8" a="1"/>
  <c r="M547" i="11" a="1"/>
  <c r="K204" i="9" a="1"/>
  <c r="K416" i="9" a="1"/>
  <c r="I486" i="5" a="1"/>
  <c r="J101" i="8" a="1"/>
  <c r="J475" i="6" a="1"/>
  <c r="K333" i="9" a="1"/>
  <c r="I113" i="7" a="1"/>
  <c r="J156" i="8" a="1"/>
  <c r="I373" i="5" a="1"/>
  <c r="J338" i="6" a="1"/>
  <c r="M381" i="11" a="1"/>
  <c r="I461" i="7" a="1"/>
  <c r="M366" i="11" a="1"/>
  <c r="J266" i="6" a="1"/>
  <c r="I134" i="5" a="1"/>
  <c r="K677" i="9" a="1"/>
  <c r="H88" i="10" a="1"/>
  <c r="M483" i="11" a="1"/>
  <c r="K16" i="9" a="1"/>
  <c r="J226" i="6" a="1"/>
  <c r="J485" i="8" a="1"/>
  <c r="H71" i="10" a="1"/>
  <c r="I652" i="5" a="1"/>
  <c r="J216" i="8" a="1"/>
  <c r="M152" i="11" a="1"/>
  <c r="K415" i="9" a="1"/>
  <c r="K306" i="9" a="1"/>
  <c r="I323" i="7" a="1"/>
  <c r="H87" i="10" a="1"/>
  <c r="J219" i="8" a="1"/>
  <c r="M79" i="11" a="1"/>
  <c r="K583" i="9" a="1"/>
  <c r="K383" i="9" a="1"/>
  <c r="I398" i="7" a="1"/>
  <c r="I258" i="7" a="1"/>
  <c r="J140" i="8" a="1"/>
  <c r="M417" i="11" a="1"/>
  <c r="I312" i="7" a="1"/>
  <c r="M136" i="11" a="1"/>
  <c r="J83" i="6" a="1"/>
  <c r="I588" i="7" a="1"/>
  <c r="M634" i="11" a="1"/>
  <c r="I308" i="7" a="1"/>
  <c r="M22" i="11" a="1"/>
  <c r="J209" i="8" a="1"/>
  <c r="K335" i="9" a="1"/>
  <c r="J71" i="6" a="1"/>
  <c r="I399" i="5" a="1"/>
  <c r="I425" i="7" a="1"/>
  <c r="I158" i="7" a="1"/>
  <c r="J329" i="6" a="1"/>
  <c r="J104" i="6" a="1"/>
  <c r="I138" i="5" a="1"/>
  <c r="J322" i="8" a="1"/>
  <c r="I554" i="7" a="1"/>
  <c r="M283" i="11" a="1"/>
  <c r="M325" i="11" a="1"/>
  <c r="I448" i="7" a="1"/>
  <c r="I549" i="7" a="1"/>
  <c r="M193" i="11" a="1"/>
  <c r="J299" i="6" a="1"/>
  <c r="I720" i="5" a="1"/>
  <c r="I308" i="5" a="1"/>
  <c r="K32" i="9" a="1"/>
  <c r="J493" i="8" a="1"/>
  <c r="M508" i="11" a="1"/>
  <c r="I633" i="7" a="1"/>
  <c r="J495" i="6" a="1"/>
  <c r="I290" i="5" a="1"/>
  <c r="I416" i="7" a="1"/>
  <c r="I131" i="7" a="1"/>
  <c r="H343" i="10" a="1"/>
  <c r="J291" i="8" a="1"/>
  <c r="I359" i="5" a="1"/>
  <c r="K369" i="9" a="1"/>
  <c r="J462" i="8" a="1"/>
  <c r="I306" i="5" a="1"/>
  <c r="I105" i="5" a="1"/>
  <c r="M690" i="11" a="1"/>
  <c r="K69" i="9" a="1"/>
  <c r="I298" i="7" a="1"/>
  <c r="H27" i="10" a="1"/>
  <c r="M550" i="11" a="1"/>
  <c r="I582" i="5" a="1"/>
  <c r="H240" i="10" a="1"/>
  <c r="M652" i="11" a="1"/>
  <c r="I619" i="7" a="1"/>
  <c r="I463" i="5" a="1"/>
  <c r="M651" i="11" a="1"/>
  <c r="K312" i="9" a="1"/>
  <c r="I394" i="7" a="1"/>
  <c r="I409" i="7" a="1"/>
  <c r="I430" i="7" a="1"/>
  <c r="J42" i="6" a="1"/>
  <c r="J40" i="6" a="1"/>
  <c r="J26" i="6" a="1"/>
  <c r="J408" i="6" a="1"/>
  <c r="K396" i="9" a="1"/>
  <c r="I474" i="7" a="1"/>
  <c r="H473" i="10" a="1"/>
  <c r="H446" i="10" a="1"/>
  <c r="I681" i="5" a="1"/>
  <c r="I679" i="5" a="1"/>
  <c r="I665" i="5" a="1"/>
  <c r="M503" i="11" a="1"/>
  <c r="H126" i="10" a="1"/>
  <c r="H100" i="10" a="1"/>
  <c r="I314" i="5" a="1"/>
  <c r="J310" i="8" a="1"/>
  <c r="I228" i="7" a="1"/>
  <c r="I270" i="5" a="1"/>
  <c r="I58" i="7" a="1"/>
  <c r="M127" i="11" a="1"/>
  <c r="M88" i="11" a="1"/>
  <c r="I618" i="7" a="1"/>
  <c r="I656" i="5" a="1"/>
  <c r="M148" i="11" a="1"/>
  <c r="I267" i="7" a="1"/>
  <c r="I489" i="5" a="1"/>
  <c r="I186" i="7" a="1"/>
  <c r="J325" i="6" a="1"/>
  <c r="J106" i="6" a="1"/>
  <c r="K31" i="9" a="1"/>
  <c r="K384" i="9" a="1"/>
  <c r="H476" i="10" a="1"/>
  <c r="H457" i="10" a="1"/>
  <c r="H450" i="10" a="1"/>
  <c r="J241" i="6" a="1"/>
  <c r="J234" i="6" a="1"/>
  <c r="J214" i="6" a="1"/>
  <c r="I648" i="7" a="1"/>
  <c r="K460" i="9" a="1"/>
  <c r="H401" i="10" a="1"/>
  <c r="H376" i="10" a="1"/>
  <c r="H368" i="10" a="1"/>
  <c r="J159" i="6" a="1"/>
  <c r="J154" i="6" a="1"/>
  <c r="J138" i="6" a="1"/>
  <c r="J279" i="8" a="1"/>
  <c r="M585" i="11" a="1"/>
  <c r="M487" i="11" a="1"/>
  <c r="H154" i="10" a="1"/>
  <c r="J146" i="6" a="1"/>
  <c r="M642" i="11" a="1"/>
  <c r="J352" i="6" a="1"/>
  <c r="K23" i="9" a="1"/>
  <c r="K675" i="9" a="1"/>
  <c r="I390" i="7" a="1"/>
  <c r="J534" i="8" a="1"/>
  <c r="J507" i="8" a="1"/>
  <c r="J465" i="8" a="1"/>
  <c r="I454" i="7" a="1"/>
  <c r="I696" i="7" a="1"/>
  <c r="M512" i="11" a="1"/>
  <c r="K699" i="9" a="1"/>
  <c r="M580" i="11" a="1"/>
  <c r="I101" i="5" a="1"/>
  <c r="I494" i="5" a="1"/>
  <c r="I256" i="7" a="1"/>
  <c r="J271" i="8" a="1"/>
  <c r="H102" i="10" a="1"/>
  <c r="K181" i="9" a="1"/>
  <c r="I224" i="5" a="1"/>
  <c r="K610" i="9" a="1"/>
  <c r="I644" i="5" a="1"/>
  <c r="H267" i="10" a="1"/>
  <c r="M625" i="11" a="1"/>
  <c r="J405" i="6" a="1"/>
  <c r="J362" i="8" a="1"/>
  <c r="M252" i="11" a="1"/>
  <c r="M16" i="11" a="1"/>
  <c r="J540" i="8" a="1"/>
  <c r="K64" i="9" a="1"/>
  <c r="J463" i="8" a="1"/>
  <c r="I242" i="5" a="1"/>
  <c r="K25" i="9" a="1"/>
  <c r="J92" i="6" a="1"/>
  <c r="I72" i="5" a="1"/>
  <c r="H254" i="10" a="1"/>
  <c r="M182" i="11" a="1"/>
  <c r="K28" i="9" a="1"/>
  <c r="K68" i="9" a="1"/>
  <c r="J500" i="6" a="1"/>
  <c r="K66" i="9" a="1"/>
  <c r="I325" i="7" a="1"/>
  <c r="H157" i="10" a="1"/>
  <c r="K53" i="9" a="1"/>
  <c r="J230" i="8" a="1"/>
  <c r="J75" i="8" a="1"/>
  <c r="J331" i="8" a="1"/>
  <c r="I33" i="7" a="1"/>
  <c r="M712" i="11" a="1"/>
  <c r="H516" i="10" a="1"/>
  <c r="I45" i="7" a="1"/>
  <c r="J298" i="6" a="1"/>
  <c r="K122" i="9" a="1"/>
  <c r="M659" i="11" a="1"/>
  <c r="J97" i="8" a="1"/>
  <c r="I539" i="7" a="1"/>
  <c r="M75" i="11" a="1"/>
  <c r="I705" i="5" a="1"/>
  <c r="I296" i="5" a="1"/>
  <c r="M297" i="11" a="1"/>
  <c r="I270" i="7" a="1"/>
  <c r="I617" i="7" a="1"/>
  <c r="I207" i="7" a="1"/>
  <c r="K406" i="9" a="1"/>
  <c r="J174" i="8" a="1"/>
  <c r="K386" i="9" a="1"/>
  <c r="I206" i="5" a="1"/>
  <c r="J123" i="6" a="1"/>
  <c r="K438" i="9" a="1"/>
  <c r="I659" i="5" a="1"/>
  <c r="M213" i="11" a="1"/>
  <c r="I615" i="7" a="1"/>
  <c r="J255" i="8" a="1"/>
  <c r="J278" i="6" a="1"/>
  <c r="I29" i="7" a="1"/>
  <c r="J286" i="8" a="1"/>
  <c r="J494" i="6" a="1"/>
  <c r="K575" i="9" a="1"/>
  <c r="I62" i="7" a="1"/>
  <c r="I685" i="7" a="1"/>
  <c r="H163" i="10" a="1"/>
  <c r="I449" i="5" a="1"/>
  <c r="H61" i="10" a="1"/>
  <c r="I92" i="5" a="1"/>
  <c r="J227" i="8" a="1"/>
  <c r="K464" i="9" a="1"/>
  <c r="I114" i="5" a="1"/>
  <c r="I618" i="5" a="1"/>
  <c r="J165" i="6" a="1"/>
  <c r="K104" i="9" a="1"/>
  <c r="I538" i="7" a="1"/>
  <c r="I577" i="7" a="1"/>
  <c r="K311" i="9" a="1"/>
  <c r="K629" i="9" a="1"/>
  <c r="J135" i="6" a="1"/>
  <c r="I66" i="5" a="1"/>
  <c r="I572" i="5" a="1"/>
  <c r="I169" i="7" a="1"/>
  <c r="I506" i="5" a="1"/>
  <c r="I573" i="7" a="1"/>
  <c r="J166" i="6" a="1"/>
  <c r="M584" i="11" a="1"/>
  <c r="K327" i="9" a="1"/>
  <c r="H373" i="10" a="1"/>
  <c r="I447" i="5" a="1"/>
  <c r="M149" i="11" a="1"/>
  <c r="I319" i="7" a="1"/>
  <c r="I204" i="5" a="1"/>
  <c r="I284" i="5" a="1"/>
  <c r="K656" i="9" a="1"/>
  <c r="I411" i="7" a="1"/>
  <c r="K337" i="9" a="1"/>
  <c r="M54" i="11" a="1"/>
  <c r="I427" i="7" a="1"/>
  <c r="J509" i="8" a="1"/>
  <c r="I533" i="7" a="1"/>
  <c r="H114" i="10" a="1"/>
  <c r="H316" i="10" a="1"/>
  <c r="J340" i="6" a="1"/>
  <c r="I39" i="5" a="1"/>
  <c r="H288" i="10" a="1"/>
  <c r="J58" i="8" a="1"/>
  <c r="K89" i="9" a="1"/>
  <c r="K168" i="9" a="1"/>
  <c r="K474" i="9" a="1"/>
  <c r="K471" i="9" a="1"/>
  <c r="K600" i="9" a="1"/>
  <c r="I329" i="5" a="1"/>
  <c r="I429" i="7" a="1"/>
  <c r="I19" i="7" a="1"/>
  <c r="I36" i="7" a="1"/>
  <c r="I88" i="7" a="1"/>
  <c r="M372" i="11" a="1"/>
  <c r="K295" i="9" a="1"/>
  <c r="K260" i="9" a="1"/>
  <c r="K422" i="9" a="1"/>
  <c r="I491" i="7" a="1"/>
  <c r="I274" i="7" a="1"/>
  <c r="K413" i="9" a="1"/>
  <c r="J110" i="8" a="1"/>
  <c r="J51" i="8" a="1"/>
  <c r="J391" i="8" a="1"/>
  <c r="I56" i="5" a="1"/>
  <c r="I380" i="7" a="1"/>
  <c r="J59" i="8" a="1"/>
  <c r="I120" i="7" a="1"/>
  <c r="I701" i="5" a="1"/>
  <c r="J207" i="8" a="1"/>
  <c r="I245" i="7" a="1"/>
  <c r="M469" i="11" a="1"/>
  <c r="I218" i="5" a="1"/>
  <c r="M404" i="11" a="1"/>
  <c r="I118" i="5" a="1"/>
  <c r="J429" i="8" a="1"/>
  <c r="I230" i="7" a="1"/>
  <c r="H337" i="10" a="1"/>
  <c r="I357" i="7" a="1"/>
  <c r="I332" i="7" a="1"/>
  <c r="I370" i="5" a="1"/>
  <c r="K171" i="9" a="1"/>
  <c r="H112" i="10" a="1"/>
  <c r="J511" i="8" a="1"/>
  <c r="J91" i="6" a="1"/>
  <c r="H23" i="10" a="1"/>
  <c r="I125" i="5" a="1"/>
  <c r="M212" i="11" a="1"/>
  <c r="M163" i="11" a="1"/>
  <c r="I21" i="5" a="1"/>
  <c r="I361" i="5" a="1"/>
  <c r="J326" i="6" a="1"/>
  <c r="H149" i="10" a="1"/>
  <c r="K59" i="9" a="1"/>
  <c r="I153" i="7" a="1"/>
  <c r="J292" i="8" a="1"/>
  <c r="J88" i="8" a="1"/>
  <c r="I85" i="7" a="1"/>
  <c r="I125" i="7" a="1"/>
  <c r="J492" i="6" a="1"/>
  <c r="I202" i="5" a="1"/>
  <c r="K420" i="9" a="1"/>
  <c r="J15" i="6" a="1"/>
  <c r="I557" i="7" a="1"/>
  <c r="K649" i="9" a="1"/>
  <c r="I387" i="7" a="1"/>
  <c r="K136" i="9" a="1"/>
  <c r="J302" i="8" a="1"/>
  <c r="K166" i="9" a="1"/>
  <c r="K617" i="9" a="1"/>
  <c r="I41" i="5" a="1"/>
  <c r="I717" i="5" a="1"/>
  <c r="I334" i="7" a="1"/>
  <c r="H273" i="10" a="1"/>
  <c r="H317" i="10" a="1"/>
  <c r="J201" i="8" a="1"/>
  <c r="M183" i="11" a="1"/>
  <c r="K18" i="9" a="1"/>
  <c r="J226" i="8" a="1"/>
  <c r="J59" i="6" a="1"/>
  <c r="H199" i="10" a="1"/>
  <c r="M454" i="11" a="1"/>
  <c r="J192" i="8" a="1"/>
  <c r="I588" i="5" a="1"/>
  <c r="I313" i="7" a="1"/>
  <c r="I436" i="7" a="1"/>
  <c r="H98" i="10" a="1"/>
  <c r="I242" i="7" a="1"/>
  <c r="I599" i="5" a="1"/>
  <c r="I194" i="7" a="1"/>
  <c r="I498" i="5" a="1"/>
  <c r="I369" i="5" a="1"/>
  <c r="H300" i="10" a="1"/>
  <c r="M559" i="11" a="1"/>
  <c r="J95" i="6" a="1"/>
  <c r="H187" i="10" a="1"/>
  <c r="M361" i="11" a="1"/>
  <c r="J412" i="6" a="1"/>
  <c r="I223" i="7" a="1"/>
  <c r="J51" i="6" a="1"/>
  <c r="J89" i="8" a="1"/>
  <c r="J293" i="8" a="1"/>
  <c r="J412" i="8" a="1"/>
  <c r="K707" i="9" a="1"/>
  <c r="K78" i="9" a="1"/>
  <c r="I20" i="5" a="1"/>
  <c r="I467" i="5" a="1"/>
  <c r="I178" i="5" a="1"/>
  <c r="K487" i="9" a="1"/>
  <c r="I345" i="7" a="1"/>
  <c r="J47" i="8" a="1"/>
  <c r="I28" i="7" a="1"/>
  <c r="I25" i="5" a="1"/>
  <c r="I399" i="7" a="1"/>
  <c r="I609" i="7" a="1"/>
  <c r="I444" i="5" a="1"/>
  <c r="J186" i="6" a="1"/>
  <c r="I720" i="7" a="1"/>
  <c r="J7" i="8" a="1"/>
  <c r="I234" i="7" a="1"/>
  <c r="I380" i="5" a="1"/>
  <c r="I377" i="7" a="1"/>
  <c r="I315" i="7" a="1"/>
  <c r="I290" i="7" a="1"/>
  <c r="H494" i="10" a="1"/>
  <c r="H345" i="10" a="1"/>
  <c r="H43" i="10" a="1"/>
  <c r="J91" i="8" a="1"/>
  <c r="H426" i="10" a="1"/>
  <c r="I637" i="7" a="1"/>
  <c r="J182" i="6" a="1"/>
  <c r="J430" i="8" a="1"/>
  <c r="M479" i="11" a="1"/>
  <c r="J321" i="6" a="1"/>
  <c r="J255" i="6" a="1"/>
  <c r="K412" i="9" a="1"/>
  <c r="J411" i="8" a="1"/>
  <c r="J288" i="8" a="1"/>
  <c r="K124" i="9" a="1"/>
  <c r="I531" i="7" a="1"/>
  <c r="K650" i="9" a="1"/>
  <c r="I50" i="5" a="1"/>
  <c r="I348" i="5" a="1"/>
  <c r="J459" i="8" a="1"/>
  <c r="K366" i="9" a="1"/>
  <c r="J40" i="8" a="1"/>
  <c r="K302" i="9" a="1"/>
  <c r="J219" i="6" a="1"/>
  <c r="K689" i="9" a="1"/>
  <c r="I513" i="5" a="1"/>
  <c r="I697" i="5" a="1"/>
  <c r="I271" i="7" a="1"/>
  <c r="H433" i="10" a="1"/>
  <c r="I709" i="7" a="1"/>
  <c r="I647" i="5" a="1"/>
  <c r="I545" i="5" a="1"/>
  <c r="M677" i="11" a="1"/>
  <c r="J222" i="6" a="1"/>
  <c r="I690" i="7" a="1"/>
  <c r="J306" i="6" a="1"/>
  <c r="K286" i="9" a="1"/>
  <c r="I531" i="5" a="1"/>
  <c r="M167" i="11" a="1"/>
  <c r="I568" i="7" a="1"/>
  <c r="M99" i="11" a="1"/>
  <c r="I658" i="7" a="1"/>
  <c r="I644" i="7" a="1"/>
  <c r="M226" i="11" a="1"/>
  <c r="J398" i="6" a="1"/>
  <c r="K405" i="9" a="1"/>
  <c r="H140" i="10" a="1"/>
  <c r="I597" i="7" a="1"/>
  <c r="H75" i="10" a="1"/>
  <c r="I675" i="7" a="1"/>
  <c r="K667" i="9" a="1"/>
  <c r="J336" i="6" a="1"/>
  <c r="J394" i="6" a="1"/>
  <c r="I513" i="7" a="1"/>
  <c r="I197" i="7" a="1"/>
  <c r="J354" i="8" a="1"/>
  <c r="I277" i="7" a="1"/>
  <c r="J260" i="8" a="1"/>
  <c r="M222" i="11" a="1"/>
  <c r="I645" i="5" a="1"/>
  <c r="I435" i="5" a="1"/>
  <c r="I668" i="5" a="1"/>
  <c r="I466" i="7" a="1"/>
  <c r="J102" i="8" a="1"/>
  <c r="H428" i="10" a="1"/>
  <c r="J19" i="8" a="1"/>
  <c r="K294" i="9" a="1"/>
  <c r="M524" i="11" a="1"/>
  <c r="I350" i="5" a="1"/>
  <c r="I529" i="5" a="1"/>
  <c r="H266" i="10" a="1"/>
  <c r="J380" i="6" a="1"/>
  <c r="H182" i="10" a="1"/>
  <c r="J307" i="6" a="1"/>
  <c r="H474" i="10" a="1"/>
  <c r="H308" i="10" a="1"/>
  <c r="I326" i="5" a="1"/>
  <c r="K571" i="9" a="1"/>
  <c r="I10" i="7" a="1"/>
  <c r="J139" i="6" a="1"/>
  <c r="I90" i="7" a="1"/>
  <c r="J63" i="6" a="1"/>
  <c r="I77" i="7" a="1"/>
  <c r="J185" i="6" a="1"/>
  <c r="I152" i="5" a="1"/>
  <c r="I213" i="7" a="1"/>
  <c r="I69" i="7" a="1"/>
  <c r="J470" i="8" a="1"/>
  <c r="I147" i="7" a="1"/>
  <c r="J389" i="8" a="1"/>
  <c r="M395" i="11" a="1"/>
  <c r="I250" i="5" a="1"/>
  <c r="I718" i="5" a="1"/>
  <c r="J459" i="6" a="1"/>
  <c r="I103" i="5" a="1"/>
  <c r="J28" i="6" a="1"/>
  <c r="I521" i="5" a="1"/>
  <c r="K486" i="9" a="1"/>
  <c r="K623" i="9" a="1"/>
  <c r="H503" i="10" a="1"/>
  <c r="I696" i="5" a="1"/>
  <c r="H256" i="10" a="1"/>
  <c r="I487" i="5" a="1"/>
  <c r="H64" i="10" a="1"/>
  <c r="K237" i="9" a="1"/>
  <c r="I96" i="5" a="1"/>
  <c r="I630" i="5" a="1"/>
  <c r="M640" i="11" a="1"/>
  <c r="M665" i="11" a="1"/>
  <c r="M567" i="11" a="1"/>
  <c r="H269" i="10" a="1"/>
  <c r="J271" i="6" a="1"/>
  <c r="M458" i="11" a="1"/>
  <c r="M370" i="11" a="1"/>
  <c r="I70" i="7" a="1"/>
  <c r="I534" i="7" a="1"/>
  <c r="H279" i="10" a="1"/>
  <c r="J385" i="6" a="1"/>
  <c r="J491" i="6" a="1"/>
  <c r="K10" i="9" a="1"/>
  <c r="M363" i="11" a="1"/>
  <c r="I407" i="5" a="1"/>
  <c r="J445" i="8" a="1"/>
  <c r="I27" i="7" a="1"/>
  <c r="J46" i="8" a="1"/>
  <c r="I216" i="5" a="1"/>
  <c r="M172" i="11" a="1"/>
  <c r="K552" i="9" a="1"/>
  <c r="J247" i="6" a="1"/>
  <c r="J490" i="8" a="1"/>
  <c r="I128" i="7" a="1"/>
  <c r="I479" i="5" a="1"/>
  <c r="I104" i="7" a="1"/>
  <c r="K554" i="9" a="1"/>
  <c r="J161" i="6" a="1"/>
  <c r="M37" i="11" a="1"/>
  <c r="M557" i="11" a="1"/>
  <c r="H203" i="10" a="1"/>
  <c r="I426" i="5" a="1"/>
  <c r="I401" i="5" a="1"/>
  <c r="M511" i="11" a="1"/>
  <c r="H124" i="10" a="1"/>
  <c r="I336" i="5" a="1"/>
  <c r="I311" i="5" a="1"/>
  <c r="I500" i="7" a="1"/>
  <c r="I574" i="5" a="1"/>
  <c r="H413" i="10" a="1"/>
  <c r="I371" i="7" a="1"/>
  <c r="K573" i="9" a="1"/>
  <c r="I353" i="7" a="1"/>
  <c r="H34" i="10" a="1"/>
  <c r="H449" i="10" a="1"/>
  <c r="I342" i="5" a="1"/>
  <c r="H534" i="10" a="1"/>
  <c r="J211" i="8" a="1"/>
  <c r="I463" i="7" a="1"/>
  <c r="J191" i="6" a="1"/>
  <c r="H223" i="10" a="1"/>
  <c r="H136" i="10" a="1"/>
  <c r="K87" i="9" a="1"/>
  <c r="I688" i="7" a="1"/>
  <c r="I95" i="5" a="1"/>
  <c r="K292" i="9" a="1"/>
  <c r="H367" i="10" a="1"/>
  <c r="M533" i="11" a="1"/>
  <c r="I518" i="7" a="1"/>
  <c r="K218" i="9" a="1"/>
  <c r="J46" i="6" a="1"/>
  <c r="M599" i="11" a="1"/>
  <c r="H92" i="10" a="1"/>
  <c r="J443" i="8" a="1"/>
  <c r="K510" i="9" a="1"/>
  <c r="H293" i="10" a="1"/>
  <c r="H262" i="10" a="1"/>
  <c r="J25" i="6" a="1"/>
  <c r="J358" i="6" a="1"/>
  <c r="H205" i="10" a="1"/>
  <c r="H143" i="10" a="1"/>
  <c r="I550" i="7" a="1"/>
  <c r="J11" i="6" a="1"/>
  <c r="K382" i="9" a="1"/>
  <c r="I554" i="5" a="1"/>
  <c r="J337" i="8" a="1"/>
  <c r="M352" i="11" a="1"/>
  <c r="J122" i="8" a="1"/>
  <c r="I417" i="5" a="1"/>
  <c r="J86" i="8" a="1"/>
  <c r="J48" i="8" a="1"/>
  <c r="I327" i="7" a="1"/>
  <c r="I208" i="7" a="1"/>
  <c r="J539" i="8" a="1"/>
  <c r="M140" i="11" a="1"/>
  <c r="I684" i="7" a="1"/>
  <c r="K378" i="9" a="1"/>
  <c r="M383" i="11" a="1"/>
  <c r="I369" i="7" a="1"/>
  <c r="I141" i="5" a="1"/>
  <c r="I678" i="5" a="1"/>
  <c r="H120" i="10" a="1"/>
  <c r="H490" i="10" a="1"/>
  <c r="I229" i="7" a="1"/>
  <c r="K36" i="9" a="1"/>
  <c r="M70" i="11" a="1"/>
  <c r="M440" i="11" a="1"/>
  <c r="J509" i="6" a="1"/>
  <c r="M653" i="11" a="1"/>
  <c r="H442" i="10" a="1"/>
  <c r="K408" i="9" a="1"/>
  <c r="K284" i="9" a="1"/>
  <c r="I303" i="7" a="1"/>
  <c r="H95" i="10" a="1"/>
  <c r="J232" i="8" a="1"/>
  <c r="I161" i="5" a="1"/>
  <c r="K494" i="9" a="1"/>
  <c r="K361" i="9" a="1"/>
  <c r="I383" i="7" a="1"/>
  <c r="I239" i="7" a="1"/>
  <c r="J167" i="8" a="1"/>
  <c r="I703" i="5" a="1"/>
  <c r="M408" i="11" a="1"/>
  <c r="M178" i="11" a="1"/>
  <c r="K54" i="9" a="1"/>
  <c r="J536" i="6" a="1"/>
  <c r="I536" i="7" a="1"/>
  <c r="J493" i="6" a="1"/>
  <c r="M195" i="11" a="1"/>
  <c r="J243" i="8" a="1"/>
  <c r="J151" i="8" a="1"/>
  <c r="I167" i="7" a="1"/>
  <c r="J531" i="6" a="1"/>
  <c r="M90" i="11" a="1"/>
  <c r="J175" i="8" a="1"/>
  <c r="J418" i="8" a="1"/>
  <c r="I496" i="5" a="1"/>
  <c r="J99" i="6" a="1"/>
  <c r="J173" i="8" a="1"/>
  <c r="I129" i="5" a="1"/>
  <c r="I713" i="5" a="1"/>
  <c r="K455" i="9" a="1"/>
  <c r="H397" i="10" a="1"/>
  <c r="J423" i="6" a="1"/>
  <c r="J402" i="6" a="1"/>
  <c r="H134" i="10" a="1"/>
  <c r="J296" i="6" a="1"/>
  <c r="M277" i="11" a="1"/>
  <c r="K466" i="9" a="1"/>
  <c r="K52" i="9" a="1"/>
  <c r="I332" i="5" a="1"/>
  <c r="I400" i="7" a="1"/>
  <c r="K598" i="9" a="1"/>
  <c r="I528" i="5" a="1"/>
  <c r="I237" i="5" a="1"/>
  <c r="J316" i="8" a="1"/>
  <c r="K19" i="9" a="1"/>
  <c r="H218" i="10" a="1"/>
  <c r="K481" i="9" a="1"/>
  <c r="J108" i="6" a="1"/>
  <c r="H464" i="10" a="1"/>
  <c r="H424" i="10" a="1"/>
  <c r="J223" i="8" a="1"/>
  <c r="M77" i="11" a="1"/>
  <c r="M589" i="11" a="1"/>
  <c r="I688" i="5" a="1"/>
  <c r="H502" i="10" a="1"/>
  <c r="K214" i="9" a="1"/>
  <c r="J390" i="6" a="1"/>
  <c r="I124" i="5" a="1"/>
  <c r="J461" i="6" a="1"/>
  <c r="J170" i="8" a="1"/>
  <c r="I663" i="7" a="1"/>
  <c r="J474" i="6" a="1"/>
  <c r="M457" i="11" a="1"/>
  <c r="M472" i="11" a="1"/>
  <c r="M434" i="11" a="1"/>
  <c r="M316" i="11" a="1"/>
  <c r="M419" i="11" a="1"/>
  <c r="M405" i="11" a="1"/>
  <c r="M239" i="11" a="1"/>
  <c r="K119" i="9" a="1"/>
  <c r="M385" i="11" a="1"/>
  <c r="M160" i="11" a="1"/>
  <c r="M92" i="11" a="1"/>
  <c r="M32" i="11" a="1"/>
  <c r="K243" i="9" a="1"/>
  <c r="K278" i="9" a="1"/>
  <c r="K436" i="9" a="1"/>
  <c r="I162" i="7" a="1"/>
  <c r="M498" i="11" a="1"/>
  <c r="M125" i="11" a="1"/>
  <c r="I596" i="7" a="1"/>
  <c r="I627" i="7" a="1"/>
  <c r="I349" i="5" a="1"/>
  <c r="I121" i="7" a="1"/>
  <c r="J239" i="6" a="1"/>
  <c r="M499" i="11" a="1"/>
  <c r="H111" i="10" a="1"/>
  <c r="H69" i="10" a="1"/>
  <c r="I303" i="5" a="1"/>
  <c r="J266" i="8" a="1"/>
  <c r="K561" i="9" a="1"/>
  <c r="J20" i="8" a="1"/>
  <c r="I528" i="7" a="1"/>
  <c r="I7" i="7" a="1"/>
  <c r="H146" i="10" a="1"/>
  <c r="J50" i="8" a="1"/>
  <c r="H276" i="10" a="1"/>
  <c r="M489" i="11" a="1"/>
  <c r="H323" i="10" a="1"/>
  <c r="H277" i="10" a="1"/>
  <c r="J234" i="8" a="1"/>
  <c r="J229" i="8" a="1"/>
  <c r="J217" i="8" a="1"/>
  <c r="I536" i="5" a="1"/>
  <c r="M390" i="11" a="1"/>
  <c r="H237" i="10" a="1"/>
  <c r="H221" i="10" a="1"/>
  <c r="H208" i="10" a="1"/>
  <c r="J150" i="8" a="1"/>
  <c r="J146" i="8" a="1"/>
  <c r="J131" i="8" a="1"/>
  <c r="I324" i="5" a="1"/>
  <c r="I358" i="7" a="1"/>
  <c r="I393" i="7" a="1"/>
  <c r="I705" i="7" a="1"/>
  <c r="I266" i="5" a="1"/>
  <c r="M83" i="11" a="1"/>
  <c r="J217" i="6" a="1"/>
  <c r="M516" i="11" a="1"/>
  <c r="M441" i="11" a="1"/>
  <c r="H60" i="10" a="1"/>
  <c r="K265" i="9" a="1"/>
  <c r="J41" i="6" a="1"/>
  <c r="I601" i="5" a="1"/>
  <c r="I459" i="5" a="1"/>
  <c r="J337" i="6" a="1"/>
  <c r="K633" i="9" a="1"/>
  <c r="J283" i="6" a="1"/>
  <c r="I476" i="5" a="1"/>
  <c r="I344" i="5" a="1"/>
  <c r="M7" i="11" a="1"/>
  <c r="K83" i="9" a="1"/>
  <c r="I222" i="5" a="1"/>
  <c r="J514" i="6" a="1"/>
  <c r="M425" i="11" a="1"/>
  <c r="I68" i="7" a="1"/>
  <c r="K101" i="9" a="1"/>
  <c r="J10" i="8" a="1"/>
  <c r="I54" i="5" a="1"/>
  <c r="M139" i="11" a="1"/>
  <c r="K39" i="9" a="1"/>
  <c r="J32" i="8" a="1"/>
  <c r="K142" i="9" a="1"/>
  <c r="J227" i="6" a="1"/>
  <c r="I704" i="5" a="1"/>
  <c r="K597" i="9" a="1"/>
  <c r="I394" i="5" a="1"/>
  <c r="I266" i="7" a="1"/>
  <c r="I318" i="5" a="1"/>
  <c r="K446" i="9" a="1"/>
  <c r="I315" i="5" a="1"/>
  <c r="I150" i="7" a="1"/>
  <c r="K27" i="9" a="1"/>
  <c r="J276" i="8" a="1"/>
  <c r="K652" i="9" a="1"/>
  <c r="K109" i="9" a="1"/>
  <c r="K186" i="9" a="1"/>
  <c r="H382" i="10" a="1"/>
  <c r="K355" i="9" a="1"/>
  <c r="I546" i="7" a="1"/>
  <c r="K569" i="9" a="1"/>
  <c r="J239" i="8" a="1"/>
  <c r="I331" i="5" a="1"/>
  <c r="M422" i="11" a="1"/>
  <c r="J192" i="6" a="1"/>
  <c r="H172" i="10" a="1"/>
  <c r="I94" i="7" a="1"/>
  <c r="M93" i="11" a="1"/>
  <c r="K339" i="9" a="1"/>
  <c r="I710" i="7" a="1"/>
  <c r="I606" i="5" a="1"/>
  <c r="M58" i="11" a="1"/>
  <c r="I398" i="5" a="1"/>
  <c r="I607" i="7" a="1"/>
  <c r="J434" i="6" a="1"/>
  <c r="M638" i="11" a="1"/>
  <c r="M570" i="11" a="1"/>
  <c r="H381" i="10" a="1"/>
  <c r="J131" i="6" a="1"/>
  <c r="K613" i="9" a="1"/>
  <c r="K694" i="9" a="1"/>
  <c r="K175" i="9" a="1"/>
  <c r="J157" i="6" a="1"/>
  <c r="I610" i="5" a="1"/>
  <c r="M142" i="11" a="1"/>
  <c r="I589" i="7" a="1"/>
  <c r="M63" i="11" a="1"/>
  <c r="I677" i="7" a="1"/>
  <c r="I485" i="5" a="1"/>
  <c r="M203" i="11" a="1"/>
  <c r="J361" i="6" a="1"/>
  <c r="I8" i="5" a="1"/>
  <c r="H116" i="10" a="1"/>
  <c r="I616" i="7" a="1"/>
  <c r="H59" i="10" a="1"/>
  <c r="I698" i="7" a="1"/>
  <c r="I535" i="7" a="1"/>
  <c r="K45" i="9" a="1"/>
  <c r="J367" i="6" a="1"/>
  <c r="K674" i="9" a="1"/>
  <c r="I216" i="7" a="1"/>
  <c r="J330" i="8" a="1"/>
  <c r="I297" i="7" a="1"/>
  <c r="J246" i="8" a="1"/>
  <c r="J27" i="6" a="1"/>
  <c r="M62" i="11" a="1"/>
  <c r="I415" i="5" a="1"/>
  <c r="K349" i="9" a="1"/>
  <c r="I483" i="7" a="1"/>
  <c r="J82" i="8" a="1"/>
  <c r="H416" i="10" a="1"/>
  <c r="J528" i="6" a="1"/>
  <c r="J262" i="8" a="1"/>
  <c r="M435" i="11" a="1"/>
  <c r="I253" i="5" a="1"/>
  <c r="K43" i="9" a="1"/>
  <c r="H249" i="10" a="1"/>
  <c r="J362" i="6" a="1"/>
  <c r="H169" i="10" a="1"/>
  <c r="J294" i="6" a="1"/>
  <c r="J261" i="6" a="1"/>
  <c r="M532" i="11" a="1"/>
  <c r="I312" i="5" a="1"/>
  <c r="M369" i="11" a="1"/>
  <c r="I30" i="7" a="1"/>
  <c r="J120" i="6" a="1"/>
  <c r="I110" i="7" a="1"/>
  <c r="J48" i="6" a="1"/>
  <c r="J503" i="8" a="1"/>
  <c r="K513" i="9" a="1"/>
  <c r="I70" i="5" a="1"/>
  <c r="K644" i="9" a="1"/>
  <c r="I89" i="7" a="1"/>
  <c r="J450" i="8" a="1"/>
  <c r="I170" i="7" a="1"/>
  <c r="J376" i="8" a="1"/>
  <c r="J277" i="6" a="1"/>
  <c r="M711" i="11" a="1"/>
  <c r="I693" i="5" a="1"/>
  <c r="M196" i="11" a="1"/>
  <c r="H349" i="10" a="1"/>
  <c r="K84" i="9" a="1"/>
  <c r="K519" i="9" a="1"/>
  <c r="I52" i="7" a="1"/>
  <c r="J318" i="8" a="1"/>
  <c r="I6" i="7" a="1"/>
  <c r="M509" i="11" a="1"/>
  <c r="I111" i="7" a="1"/>
  <c r="M572" i="11" a="1"/>
  <c r="H201" i="10" a="1"/>
  <c r="I310" i="7" a="1"/>
  <c r="M50" i="11" a="1"/>
  <c r="I243" i="5" a="1"/>
  <c r="H192" i="10" a="1"/>
  <c r="K482" i="9" a="1"/>
  <c r="K527" i="9" a="1"/>
  <c r="J38" i="8" a="1"/>
  <c r="H417" i="10" a="1"/>
  <c r="K566" i="9" a="1"/>
  <c r="K605" i="9" a="1"/>
  <c r="J485" i="6" a="1"/>
  <c r="H68" i="10" a="1"/>
  <c r="M379" i="11" a="1"/>
  <c r="J121" i="6" a="1"/>
  <c r="J468" i="6" a="1"/>
  <c r="K30" i="9" a="1"/>
  <c r="J391" i="6" a="1"/>
  <c r="J422" i="8" a="1"/>
  <c r="I674" i="7" a="1"/>
  <c r="J448" i="6" a="1"/>
  <c r="I294" i="7" a="1"/>
  <c r="I376" i="5" a="1"/>
  <c r="K624" i="9" a="1"/>
  <c r="H204" i="10" a="1"/>
  <c r="J213" i="8" a="1"/>
  <c r="I275" i="5" a="1"/>
  <c r="K147" i="9" a="1"/>
  <c r="J374" i="8" a="1"/>
  <c r="I653" i="5" a="1"/>
  <c r="K157" i="9" a="1"/>
  <c r="J199" i="6" a="1"/>
  <c r="J190" i="6" a="1"/>
  <c r="H485" i="10" a="1"/>
  <c r="M614" i="11" a="1"/>
  <c r="K653" i="9" a="1"/>
  <c r="J166" i="8" a="1"/>
  <c r="M482" i="11" a="1"/>
  <c r="M407" i="11" a="1"/>
  <c r="M478" i="11" a="1"/>
  <c r="J183" i="6" a="1"/>
  <c r="K537" i="9" a="1"/>
  <c r="J506" i="6" a="1"/>
  <c r="I440" i="7" a="1"/>
  <c r="K88" i="9" a="1"/>
  <c r="I559" i="7" a="1"/>
  <c r="J257" i="8" a="1"/>
  <c r="I671" i="7" a="1"/>
  <c r="K116" i="9" a="1"/>
  <c r="J64" i="6" a="1"/>
  <c r="M211" i="11" a="1"/>
  <c r="J483" i="6" a="1"/>
  <c r="M244" i="11" a="1"/>
  <c r="K562" i="9" a="1"/>
  <c r="J537" i="8" a="1"/>
  <c r="I335" i="5" a="1"/>
  <c r="K170" i="9" a="1"/>
  <c r="I139" i="5" a="1"/>
  <c r="I704" i="7" a="1"/>
  <c r="I74" i="7" a="1"/>
  <c r="J31" i="8" a="1"/>
  <c r="M543" i="11" a="1"/>
  <c r="I411" i="5" a="1"/>
  <c r="I291" i="7" a="1"/>
  <c r="H519" i="10" a="1"/>
  <c r="M539" i="11" a="1"/>
  <c r="H409" i="10" a="1"/>
  <c r="I23" i="5" a="1"/>
  <c r="I508" i="5" a="1"/>
  <c r="H162" i="10" a="1"/>
  <c r="H130" i="10" a="1"/>
  <c r="J35" i="8" a="1"/>
  <c r="M376" i="11" a="1"/>
  <c r="H73" i="10" a="1"/>
  <c r="H19" i="10" a="1"/>
  <c r="J482" i="6" a="1"/>
  <c r="K35" i="9" a="1"/>
  <c r="H196" i="10" a="1"/>
  <c r="I234" i="5" a="1"/>
  <c r="J169" i="8" a="1"/>
  <c r="K332" i="9" a="1"/>
  <c r="H444" i="10" a="1"/>
  <c r="J202" i="6" a="1"/>
  <c r="I209" i="7" a="1"/>
  <c r="J403" i="6" a="1"/>
  <c r="I417" i="7" a="1"/>
  <c r="I550" i="5" a="1"/>
  <c r="I403" i="5" a="1"/>
  <c r="I553" i="7" a="1"/>
  <c r="J319" i="8" a="1"/>
  <c r="M399" i="11" a="1"/>
  <c r="I346" i="7" a="1"/>
  <c r="H472" i="10" a="1"/>
  <c r="J498" i="8" a="1"/>
  <c r="I241" i="5" a="1"/>
  <c r="J180" i="8" a="1"/>
  <c r="M671" i="11" a="1"/>
  <c r="J293" i="6" a="1"/>
  <c r="I501" i="7" a="1"/>
  <c r="I381" i="7" a="1"/>
  <c r="M447" i="11" a="1"/>
  <c r="J507" i="6" a="1"/>
  <c r="H412" i="10" a="1"/>
  <c r="J172" i="6" a="1"/>
  <c r="M119" i="11" a="1"/>
  <c r="I284" i="7" a="1"/>
  <c r="K503" i="9" a="1"/>
  <c r="J235" i="8" a="1"/>
  <c r="I260" i="5" a="1"/>
  <c r="J480" i="8" a="1"/>
  <c r="M60" i="11" a="1"/>
  <c r="I363" i="7" a="1"/>
  <c r="K666" i="9" a="1"/>
  <c r="J168" i="8" a="1"/>
  <c r="I714" i="5" a="1"/>
  <c r="J164" i="8" a="1"/>
  <c r="M367" i="11" a="1"/>
  <c r="M181" i="11" a="1"/>
  <c r="J236" i="8" a="1"/>
  <c r="I63" i="5" a="1"/>
  <c r="K213" i="9" a="1"/>
  <c r="M410" i="11" a="1"/>
  <c r="I328" i="7" a="1"/>
  <c r="J237" i="8" a="1"/>
  <c r="J24" i="6" a="1"/>
  <c r="I317" i="7" a="1"/>
  <c r="I360" i="7" a="1"/>
  <c r="M57" i="11" a="1"/>
  <c r="J430" i="6" a="1"/>
  <c r="J198" i="6" a="1"/>
  <c r="I78" i="7" a="1"/>
  <c r="J76" i="6" a="1"/>
  <c r="J152" i="8" a="1"/>
  <c r="J153" i="6" a="1"/>
  <c r="H336" i="10" a="1"/>
  <c r="M335" i="11" a="1"/>
  <c r="M313" i="11" a="1"/>
  <c r="I462" i="7" a="1"/>
  <c r="I515" i="5" a="1"/>
  <c r="H118" i="10" a="1"/>
  <c r="J276" i="6" a="1"/>
  <c r="J323" i="8" a="1"/>
  <c r="M194" i="11" a="1"/>
  <c r="J523" i="8" a="1"/>
  <c r="K472" i="9" a="1"/>
  <c r="I133" i="5" a="1"/>
  <c r="I646" i="5" a="1"/>
  <c r="J17" i="6" a="1"/>
  <c r="H310" i="10" a="1"/>
  <c r="M578" i="11" a="1"/>
  <c r="H356" i="10" a="1"/>
  <c r="J308" i="6" a="1"/>
  <c r="J38" i="6" a="1"/>
  <c r="K380" i="9" a="1"/>
  <c r="J475" i="8" a="1"/>
  <c r="J453" i="8" a="1"/>
  <c r="I166" i="5" a="1"/>
  <c r="M602" i="11" a="1"/>
  <c r="M296" i="11" a="1"/>
  <c r="I681" i="7" a="1"/>
  <c r="J381" i="6" a="1"/>
  <c r="M606" i="11" a="1"/>
  <c r="J388" i="6" a="1"/>
  <c r="K182" i="9" a="1"/>
  <c r="J309" i="6" a="1"/>
  <c r="J404" i="8" a="1"/>
  <c r="H291" i="10" a="1"/>
  <c r="J320" i="6" a="1"/>
  <c r="K293" i="9" a="1"/>
  <c r="M461" i="11" a="1"/>
  <c r="M431" i="11" a="1"/>
  <c r="M418" i="11" a="1"/>
  <c r="J319" i="6" a="1"/>
  <c r="J315" i="6" a="1"/>
  <c r="J289" i="6" a="1"/>
  <c r="I470" i="5" a="1"/>
  <c r="K374" i="9" a="1"/>
  <c r="M384" i="11" a="1"/>
  <c r="M373" i="11" a="1"/>
  <c r="M357" i="11" a="1"/>
  <c r="J228" i="6" a="1"/>
  <c r="J221" i="6" a="1"/>
  <c r="J201" i="6" a="1"/>
  <c r="I395" i="5" a="1"/>
  <c r="M505" i="11" a="1"/>
  <c r="H110" i="10" a="1"/>
  <c r="I316" i="5" a="1"/>
  <c r="I299" i="5" a="1"/>
  <c r="I155" i="5" a="1"/>
  <c r="I654" i="5" a="1"/>
  <c r="I102" i="5" a="1"/>
  <c r="M494" i="11" a="1"/>
  <c r="M109" i="11" a="1"/>
  <c r="I612" i="7" a="1"/>
  <c r="I645" i="7" a="1"/>
  <c r="I153" i="5" a="1"/>
  <c r="K714" i="9" a="1"/>
  <c r="I97" i="5" a="1"/>
  <c r="I477" i="5" a="1"/>
  <c r="J453" i="6" a="1"/>
  <c r="I524" i="7" a="1"/>
  <c r="J34" i="8" a="1"/>
  <c r="K362" i="9" a="1"/>
  <c r="K356" i="9" a="1"/>
  <c r="J488" i="8" a="1"/>
  <c r="J474" i="8" a="1"/>
  <c r="J460" i="8" a="1"/>
  <c r="I319" i="5" a="1"/>
  <c r="I317" i="5" a="1"/>
  <c r="I302" i="5" a="1"/>
  <c r="K443" i="9" a="1"/>
  <c r="K435" i="9" a="1"/>
  <c r="J437" i="8" a="1"/>
  <c r="J428" i="8" a="1"/>
  <c r="J419" i="8" a="1"/>
  <c r="I254" i="5" a="1"/>
  <c r="I252" i="5" a="1"/>
  <c r="I238" i="5" a="1"/>
  <c r="K641" i="9" a="1"/>
  <c r="M558" i="11" a="1"/>
  <c r="H159" i="10" a="1"/>
  <c r="H44" i="10" a="1"/>
  <c r="I664" i="5" a="1"/>
  <c r="M386" i="11" a="1"/>
  <c r="I637" i="5" a="1"/>
  <c r="M636" i="11" a="1"/>
  <c r="I373" i="7" a="1"/>
  <c r="I412" i="7" a="1"/>
  <c r="J519" i="8" a="1"/>
  <c r="I246" i="5" a="1"/>
  <c r="M116" i="11" a="1"/>
  <c r="M233" i="11" a="1"/>
  <c r="J484" i="8" a="1"/>
  <c r="M345" i="11" a="1"/>
  <c r="I501" i="5" a="1"/>
  <c r="H137" i="10" a="1"/>
  <c r="I246" i="7" a="1"/>
  <c r="J150" i="6" a="1"/>
  <c r="H160" i="10" a="1"/>
  <c r="K230" i="9" a="1"/>
  <c r="K686" i="9" a="1"/>
  <c r="K671" i="9" a="1"/>
  <c r="I144" i="5" a="1"/>
  <c r="J179" i="8" a="1"/>
  <c r="J434" i="8" a="1"/>
  <c r="J269" i="8" a="1"/>
  <c r="I30" i="5" a="1"/>
  <c r="I540" i="5" a="1"/>
  <c r="I382" i="5" a="1"/>
  <c r="M455" i="11" a="1"/>
  <c r="I693" i="7" a="1"/>
  <c r="M371" i="11" a="1"/>
  <c r="J483" i="8" a="1"/>
  <c r="K450" i="9" a="1"/>
  <c r="I122" i="5" a="1"/>
  <c r="H354" i="10" a="1"/>
  <c r="H18" i="10" a="1"/>
  <c r="I129" i="7" a="1"/>
  <c r="H128" i="10" a="1"/>
  <c r="M389" i="11" a="1"/>
  <c r="K48" i="9" a="1"/>
  <c r="J502" i="6" a="1"/>
  <c r="I535" i="5" a="1"/>
  <c r="K145" i="9" a="1"/>
  <c r="J436" i="8" a="1"/>
  <c r="J505" i="6" a="1"/>
  <c r="K137" i="9" a="1"/>
  <c r="I699" i="7" a="1"/>
  <c r="H406" i="10" a="1"/>
  <c r="I156" i="7" a="1"/>
  <c r="H36" i="10" a="1"/>
  <c r="M186" i="11" a="1"/>
  <c r="I25" i="7" a="1"/>
  <c r="J301" i="6" a="1"/>
  <c r="I45" i="5" a="1"/>
  <c r="M692" i="11" a="1"/>
  <c r="M645" i="11" a="1"/>
  <c r="I522" i="7" a="1"/>
  <c r="I110" i="5" a="1"/>
  <c r="I395" i="7" a="1"/>
  <c r="M282" i="11" a="1"/>
  <c r="J345" i="6" a="1"/>
  <c r="K547" i="9" a="1"/>
  <c r="I594" i="7" a="1"/>
  <c r="I520" i="7" a="1"/>
  <c r="J203" i="8" a="1"/>
  <c r="I600" i="7" a="1"/>
  <c r="I682" i="5" a="1"/>
  <c r="J452" i="6" a="1"/>
  <c r="I233" i="7" a="1"/>
  <c r="M530" i="11" a="1"/>
  <c r="I97" i="7" a="1"/>
  <c r="I582" i="7" a="1"/>
  <c r="I616" i="5" a="1"/>
  <c r="I37" i="5" a="1"/>
  <c r="I685" i="5" a="1"/>
  <c r="I630" i="7" a="1"/>
  <c r="K219" i="9" a="1"/>
  <c r="M102" i="11" a="1"/>
  <c r="M615" i="11" a="1"/>
  <c r="I201" i="7" a="1"/>
  <c r="I86" i="5" a="1"/>
  <c r="H195" i="10" a="1"/>
  <c r="J316" i="6" a="1"/>
  <c r="H113" i="10" a="1"/>
  <c r="J248" i="6" a="1"/>
  <c r="H350" i="10" a="1"/>
  <c r="H238" i="10" a="1"/>
  <c r="I226" i="5" a="1"/>
  <c r="M633" i="11" a="1"/>
  <c r="I371" i="5" a="1"/>
  <c r="I397" i="5" a="1"/>
  <c r="K96" i="9" a="1"/>
  <c r="I556" i="7" a="1"/>
  <c r="I43" i="5" a="1"/>
  <c r="H514" i="10" a="1"/>
  <c r="J163" i="6" a="1"/>
  <c r="M453" i="11" a="1"/>
  <c r="I649" i="5" a="1"/>
  <c r="K536" i="9" a="1"/>
  <c r="M496" i="11" a="1"/>
  <c r="J196" i="6" a="1"/>
  <c r="J395" i="8" a="1"/>
  <c r="I392" i="5" a="1"/>
  <c r="K517" i="9" a="1"/>
  <c r="K370" i="9" a="1"/>
  <c r="K354" i="9" a="1"/>
  <c r="M134" i="11" a="1"/>
  <c r="I299" i="7" a="1"/>
  <c r="I341" i="7" a="1"/>
  <c r="I304" i="5" a="1"/>
  <c r="K514" i="9" a="1"/>
  <c r="I304" i="7" a="1"/>
  <c r="I143" i="5" a="1"/>
  <c r="J472" i="8" a="1"/>
  <c r="I392" i="7" a="1"/>
  <c r="I691" i="5" a="1"/>
  <c r="K60" i="9" a="1"/>
  <c r="J479" i="6" a="1"/>
  <c r="K372" i="9" a="1"/>
  <c r="J52" i="8" a="1"/>
  <c r="I492" i="7" a="1"/>
  <c r="J148" i="8" a="1"/>
  <c r="J451" i="8" a="1"/>
  <c r="I280" i="7" a="1"/>
  <c r="M130" i="11" a="1"/>
  <c r="K200" i="9" a="1"/>
  <c r="J119" i="6" a="1"/>
  <c r="H179" i="10" a="1"/>
  <c r="J292" i="6" a="1"/>
  <c r="I388" i="7" a="1"/>
  <c r="J499" i="6" a="1"/>
  <c r="I608" i="5" a="1"/>
  <c r="I611" i="5" a="1"/>
  <c r="J333" i="6" a="1"/>
  <c r="I109" i="5" a="1"/>
  <c r="M258" i="11" a="1"/>
  <c r="J56" i="6" a="1"/>
  <c r="K488" i="9" a="1"/>
  <c r="J187" i="6" a="1"/>
  <c r="J81" i="6" a="1"/>
  <c r="M354" i="11" a="1"/>
  <c r="I291" i="5" a="1"/>
  <c r="I232" i="5" a="1"/>
  <c r="K567" i="9" a="1"/>
  <c r="H141" i="10" a="1"/>
  <c r="J478" i="6" a="1"/>
  <c r="H247" i="10" a="1"/>
  <c r="M571" i="11" a="1"/>
  <c r="J383" i="6" a="1"/>
  <c r="I555" i="7" a="1"/>
  <c r="I214" i="5" a="1"/>
  <c r="H31" i="10" a="1"/>
  <c r="I174" i="5" a="1"/>
  <c r="I64" i="7" a="1"/>
  <c r="I84" i="5" a="1"/>
  <c r="I239" i="5" a="1"/>
  <c r="I203" i="7" a="1"/>
  <c r="J171" i="8" a="1"/>
  <c r="I451" i="7" a="1"/>
  <c r="H194" i="10" a="1"/>
  <c r="I691" i="7" a="1"/>
  <c r="H145" i="10" a="1"/>
  <c r="H84" i="10" a="1"/>
  <c r="J510" i="8" a="1"/>
  <c r="H42" i="10" a="1"/>
  <c r="J407" i="8" a="1"/>
  <c r="H131" i="10" a="1"/>
  <c r="I586" i="7" a="1"/>
  <c r="I55" i="5" a="1"/>
  <c r="K358" i="9" a="1"/>
  <c r="M569" i="11" a="1"/>
  <c r="H390" i="10" a="1"/>
  <c r="K345" i="9" a="1"/>
  <c r="H380" i="10" a="1"/>
  <c r="I171" i="7" a="1"/>
  <c r="J300" i="6" a="1"/>
  <c r="M641" i="11" a="1"/>
  <c r="I105" i="7" a="1"/>
  <c r="J452" i="8" a="1"/>
  <c r="J473" i="6" a="1"/>
  <c r="K379" i="9" a="1"/>
  <c r="J141" i="8" a="1"/>
  <c r="M19" i="11" a="1"/>
  <c r="K710" i="9" a="1"/>
  <c r="H540" i="10" a="1"/>
  <c r="J41" i="8" a="1"/>
  <c r="H309" i="10" a="1"/>
  <c r="I117" i="7" a="1"/>
  <c r="H454" i="10" a="1"/>
  <c r="H127" i="10" a="1"/>
  <c r="I663" i="5" a="1"/>
  <c r="I163" i="5" a="1"/>
  <c r="I256" i="5" a="1"/>
  <c r="J58" i="6" a="1"/>
  <c r="J108" i="8" a="1"/>
  <c r="M654" i="11" a="1"/>
  <c r="J502" i="8" a="1"/>
  <c r="J186" i="8" a="1"/>
  <c r="J423" i="8" a="1"/>
  <c r="K619" i="9" a="1"/>
  <c r="K672" i="9" a="1"/>
  <c r="I135" i="7" a="1"/>
  <c r="I39" i="7" a="1"/>
  <c r="I64" i="5" a="1"/>
  <c r="I480" i="5" a="1"/>
  <c r="H522" i="10" a="1"/>
  <c r="M198" i="11" a="1"/>
  <c r="I471" i="5" a="1"/>
  <c r="I152" i="7" a="1"/>
  <c r="I210" i="7" a="1"/>
  <c r="I580" i="7" a="1"/>
  <c r="J133" i="8" a="1"/>
  <c r="M610" i="11" a="1"/>
  <c r="M481" i="11" a="1"/>
  <c r="I559" i="5" a="1"/>
  <c r="I643" i="5" a="1"/>
  <c r="K654" i="9" a="1"/>
  <c r="I77" i="5" a="1"/>
  <c r="I587" i="5" a="1"/>
  <c r="K343" i="9" a="1"/>
  <c r="J270" i="8" a="1"/>
  <c r="J397" i="8" a="1"/>
  <c r="J284" i="8" a="1"/>
  <c r="J413" i="8" a="1"/>
  <c r="I461" i="5" a="1"/>
  <c r="I502" i="5" a="1"/>
  <c r="I368" i="5" a="1"/>
  <c r="I669" i="7" a="1"/>
  <c r="I581" i="5" a="1"/>
  <c r="I434" i="7" a="1"/>
  <c r="J74" i="6" a="1"/>
  <c r="J149" i="8" a="1"/>
  <c r="J18" i="8" a="1"/>
  <c r="I494" i="7" a="1"/>
  <c r="J69" i="6" a="1"/>
  <c r="H282" i="10" a="1"/>
  <c r="I54" i="7" a="1"/>
  <c r="J496" i="8" a="1"/>
  <c r="I99" i="7" a="1"/>
  <c r="M200" i="11" a="1"/>
  <c r="M323" i="11" a="1"/>
  <c r="H202" i="10" a="1"/>
  <c r="H173" i="10" a="1"/>
  <c r="H109" i="10" a="1"/>
  <c r="J324" i="8" a="1"/>
  <c r="M95" i="11" a="1"/>
  <c r="I446" i="5" a="1"/>
  <c r="I360" i="5" a="1"/>
  <c r="I277" i="5" a="1"/>
  <c r="J523" i="6" a="1"/>
  <c r="I557" i="5" a="1"/>
  <c r="J36" i="6" a="1"/>
  <c r="I547" i="7" a="1"/>
  <c r="K263" i="9" a="1"/>
  <c r="H501" i="10" a="1"/>
  <c r="I633" i="5" a="1"/>
  <c r="I324" i="7" a="1"/>
  <c r="K189" i="9" a="1"/>
  <c r="I523" i="7" a="1"/>
  <c r="J235" i="6" a="1"/>
  <c r="K325" i="9" a="1"/>
  <c r="M82" i="11" a="1"/>
  <c r="I335" i="7" a="1"/>
  <c r="K643" i="9" a="1"/>
  <c r="I349" i="7" a="1"/>
  <c r="I297" i="5" a="1"/>
  <c r="I98" i="7" a="1"/>
  <c r="M304" i="11" a="1"/>
  <c r="M242" i="11" a="1"/>
  <c r="K12" i="9" a="1"/>
  <c r="J53" i="8" a="1"/>
  <c r="K63" i="9" a="1"/>
  <c r="H451" i="10" a="1"/>
  <c r="M236" i="11" a="1"/>
  <c r="J371" i="6" a="1"/>
  <c r="I493" i="5" a="1"/>
  <c r="I281" i="7" a="1"/>
  <c r="J259" i="8" a="1"/>
  <c r="I364" i="7" a="1"/>
  <c r="J183" i="8" a="1"/>
  <c r="I603" i="7" a="1"/>
  <c r="K221" i="9" a="1"/>
  <c r="I286" i="5" a="1"/>
  <c r="K611" i="9" a="1"/>
  <c r="M520" i="11" a="1"/>
  <c r="I47" i="7" a="1"/>
  <c r="M421" i="11" a="1"/>
  <c r="I368" i="7" a="1"/>
  <c r="K662" i="9" a="1"/>
  <c r="I714" i="7" a="1"/>
  <c r="M513" i="11" a="1"/>
  <c r="I438" i="7" a="1"/>
  <c r="J449" i="6" a="1"/>
  <c r="J54" i="6" a="1"/>
  <c r="H327" i="10" a="1"/>
  <c r="K199" i="9" a="1"/>
  <c r="I700" i="7" a="1"/>
  <c r="H395" i="10" a="1"/>
  <c r="J383" i="8" a="1"/>
  <c r="M331" i="11" a="1"/>
  <c r="J304" i="8" a="1"/>
  <c r="I221" i="5" a="1"/>
  <c r="I289" i="7" a="1"/>
  <c r="M69" i="11" a="1"/>
  <c r="I248" i="7" a="1"/>
  <c r="H243" i="10" a="1"/>
  <c r="K393" i="9" a="1"/>
  <c r="K574" i="9" a="1"/>
  <c r="H359" i="10" a="1"/>
  <c r="H181" i="10" a="1"/>
  <c r="J143" i="6" a="1"/>
  <c r="J318" i="6" a="1"/>
  <c r="I537" i="7" a="1"/>
  <c r="I408" i="5" a="1"/>
  <c r="I244" i="5" a="1"/>
  <c r="J78" i="6" a="1"/>
  <c r="J197" i="6" a="1"/>
  <c r="M85" i="11" a="1"/>
  <c r="K297" i="9" a="1"/>
  <c r="M253" i="11" a="1"/>
  <c r="J313" i="6" a="1"/>
  <c r="K298" i="9" a="1"/>
  <c r="I393" i="5" a="1"/>
  <c r="I405" i="7" a="1"/>
  <c r="M450" i="11" a="1"/>
  <c r="I11" i="5" a="1"/>
  <c r="K241" i="9" a="1"/>
  <c r="K535" i="9" a="1"/>
  <c r="I115" i="7" a="1"/>
  <c r="J330" i="6" a="1"/>
  <c r="I164" i="5" a="1"/>
  <c r="I711" i="7" a="1"/>
  <c r="H539" i="10" a="1"/>
  <c r="J442" i="8" a="1"/>
  <c r="H7" i="10" a="1"/>
  <c r="I84" i="7" a="1"/>
  <c r="J115" i="6" a="1"/>
  <c r="K655" i="9" a="1"/>
  <c r="I520" i="5" a="1"/>
  <c r="M98" i="11" a="1"/>
  <c r="J477" i="8" a="1"/>
  <c r="J392" i="8" a="1"/>
  <c r="M718" i="11" a="1"/>
  <c r="M388" i="11" a="1"/>
  <c r="J396" i="8" a="1"/>
  <c r="H526" i="10" a="1"/>
  <c r="I213" i="5" a="1"/>
  <c r="J510" i="6" a="1"/>
  <c r="J439" i="6" a="1"/>
  <c r="J361" i="8" a="1"/>
  <c r="K528" i="9" a="1"/>
  <c r="I200" i="5" a="1"/>
  <c r="I579" i="7" a="1"/>
  <c r="H303" i="10" a="1"/>
  <c r="I488" i="7" a="1"/>
  <c r="I538" i="5" a="1"/>
  <c r="M281" i="11" a="1"/>
  <c r="H370" i="10" a="1"/>
  <c r="I634" i="5" a="1"/>
  <c r="I154" i="7" a="1"/>
  <c r="H467" i="10" a="1"/>
  <c r="J188" i="6" a="1"/>
  <c r="I469" i="5" a="1"/>
  <c r="J200" i="8" a="1"/>
  <c r="I224" i="7" a="1"/>
  <c r="J335" i="6" a="1"/>
  <c r="K615" i="9" a="1"/>
  <c r="K442" i="9" a="1"/>
  <c r="H377" i="10" a="1"/>
  <c r="J145" i="6" a="1"/>
  <c r="J501" i="6" a="1"/>
  <c r="J446" i="8" a="1"/>
  <c r="J287" i="8" a="1"/>
  <c r="J132" i="8" a="1"/>
  <c r="K152" i="9" a="1"/>
  <c r="M603" i="11" a="1"/>
  <c r="I423" i="5" a="1"/>
  <c r="I113" i="5" a="1"/>
  <c r="H400" i="10" a="1"/>
  <c r="M25" i="11" a="1"/>
  <c r="H177" i="10" a="1"/>
  <c r="J258" i="8" a="1"/>
  <c r="M595" i="11" a="1"/>
  <c r="M660" i="11" a="1"/>
  <c r="M52" i="11" a="1"/>
  <c r="K681" i="9" a="1"/>
  <c r="J198" i="8" a="1"/>
  <c r="H105" i="10" a="1"/>
  <c r="M121" i="11" a="1"/>
  <c r="I462" i="5" a="1"/>
  <c r="M66" i="11" a="1"/>
  <c r="M592" i="11" a="1"/>
  <c r="I251" i="7" a="1"/>
  <c r="I52" i="5" a="1"/>
  <c r="K238" i="9" a="1"/>
  <c r="I665" i="7" a="1"/>
  <c r="M43" i="11" a="1"/>
  <c r="I622" i="7" a="1"/>
  <c r="M566" i="11" a="1"/>
  <c r="J100" i="6" a="1"/>
  <c r="M162" i="11" a="1"/>
  <c r="K340" i="9" a="1"/>
  <c r="I667" i="5" a="1"/>
  <c r="J372" i="6" a="1"/>
  <c r="K246" i="9" a="1"/>
  <c r="K259" i="9" a="1"/>
  <c r="K684" i="9" a="1"/>
  <c r="K14" i="9" a="1"/>
  <c r="I225" i="7" a="1"/>
  <c r="M146" i="11" a="1"/>
  <c r="M507" i="11" a="1"/>
  <c r="K533" i="9" a="1"/>
  <c r="H447" i="10" a="1"/>
  <c r="J521" i="8" a="1"/>
  <c r="K563" i="9" a="1"/>
  <c r="K301" i="9" a="1"/>
  <c r="K174" i="9" a="1"/>
  <c r="J499" i="8" a="1"/>
  <c r="H119" i="10" a="1"/>
  <c r="M155" i="11" a="1"/>
  <c r="K404" i="9" a="1"/>
  <c r="J463" i="6" a="1"/>
  <c r="J328" i="6" a="1"/>
  <c r="I309" i="5" a="1"/>
  <c r="I259" i="5" a="1"/>
  <c r="J204" i="8" a="1"/>
  <c r="J390" i="8" a="1"/>
  <c r="J280" i="8" a="1"/>
  <c r="J202" i="8" a="1"/>
  <c r="M137" i="11" a="1"/>
  <c r="H101" i="10" a="1"/>
  <c r="I551" i="7" a="1"/>
  <c r="I145" i="7" a="1"/>
  <c r="I470" i="7" a="1"/>
  <c r="J399" i="6" a="1"/>
  <c r="I563" i="7" a="1"/>
  <c r="K705" i="9" a="1"/>
  <c r="J325" i="8" a="1"/>
  <c r="K280" i="9" a="1"/>
  <c r="K141" i="9" a="1"/>
  <c r="J55" i="8" a="1"/>
  <c r="J344" i="6" a="1"/>
  <c r="I471" i="7" a="1"/>
  <c r="I593" i="5" a="1"/>
  <c r="H85" i="10" a="1"/>
  <c r="K549" i="9" a="1"/>
  <c r="J476" i="8" a="1"/>
  <c r="K321" i="9" a="1"/>
  <c r="I671" i="5" a="1"/>
  <c r="M579" i="11" a="1"/>
  <c r="I249" i="7" a="1"/>
  <c r="I205" i="5" a="1"/>
  <c r="K515" i="9" a="1"/>
  <c r="I526" i="7" a="1"/>
  <c r="H139" i="10" a="1"/>
  <c r="J262" i="6" a="1"/>
  <c r="K525" i="9" a="1"/>
  <c r="M392" i="11" a="1"/>
  <c r="H372" i="10" a="1"/>
  <c r="K153" i="9" a="1"/>
  <c r="H29" i="10" a="1"/>
  <c r="J538" i="6" a="1"/>
  <c r="I138" i="7" a="1"/>
  <c r="J426" i="8" a="1"/>
  <c r="I38" i="5" a="1"/>
  <c r="I338" i="7" a="1"/>
  <c r="J356" i="6" a="1"/>
  <c r="I632" i="7" a="1"/>
  <c r="K698" i="9" a="1"/>
  <c r="M548" i="11" a="1"/>
  <c r="M101" i="11" a="1"/>
  <c r="J377" i="8" a="1"/>
  <c r="M515" i="11" a="1"/>
  <c r="I615" i="5" a="1"/>
  <c r="H299" i="10" a="1"/>
  <c r="I174" i="7" a="1"/>
  <c r="M674" i="11" a="1"/>
  <c r="I226" i="7" a="1"/>
  <c r="H17" i="10" a="1"/>
  <c r="I379" i="5" a="1"/>
  <c r="I316" i="7" a="1"/>
  <c r="I642" i="5" a="1"/>
  <c r="H402" i="10" a="1"/>
  <c r="I458" i="5" a="1"/>
  <c r="H156" i="10" a="1"/>
  <c r="I130" i="7" a="1"/>
  <c r="I439" i="5" a="1"/>
  <c r="I525" i="5" a="1"/>
  <c r="H301" i="10" a="1"/>
  <c r="M621" i="11" a="1"/>
  <c r="J407" i="6" a="1"/>
  <c r="J314" i="8" a="1"/>
  <c r="M47" i="11" a="1"/>
  <c r="H133" i="10" a="1"/>
  <c r="I545" i="7" a="1"/>
  <c r="K245" i="9" a="1"/>
  <c r="J211" i="6" a="1"/>
  <c r="K326" i="9" a="1"/>
  <c r="H176" i="10" a="1"/>
  <c r="J92" i="8" a="1"/>
  <c r="K357" i="9" a="1"/>
  <c r="M438" i="11" a="1"/>
  <c r="M279" i="11" a="1"/>
  <c r="J248" i="8" a="1"/>
  <c r="J329" i="8" a="1"/>
  <c r="I549" i="5" a="1"/>
  <c r="J446" i="6" a="1"/>
  <c r="H538" i="10" a="1"/>
  <c r="M607" i="11" a="1"/>
  <c r="I372" i="7" a="1"/>
  <c r="J272" i="8" a="1"/>
  <c r="J195" i="8" a="1"/>
  <c r="I406" i="5" a="1"/>
  <c r="I383" i="5" a="1"/>
  <c r="K191" i="9" a="1"/>
  <c r="K350" i="9" a="1"/>
  <c r="J517" i="8" a="1"/>
  <c r="I650" i="5" a="1"/>
  <c r="K287" i="9" a="1"/>
  <c r="M122" i="11" a="1"/>
  <c r="J421" i="8" a="1"/>
  <c r="I556" i="5" a="1"/>
  <c r="J324" i="6" a="1"/>
  <c r="I402" i="5" a="1"/>
  <c r="I184" i="7" a="1"/>
  <c r="I701" i="7" a="1"/>
  <c r="M234" i="11" a="1"/>
  <c r="J232" i="6" a="1"/>
  <c r="K591" i="9" a="1"/>
  <c r="M604" i="11" a="1"/>
  <c r="J224" i="8" a="1"/>
  <c r="M147" i="11" a="1"/>
  <c r="M40" i="11" a="1"/>
  <c r="K687" i="9" a="1"/>
  <c r="M518" i="11" a="1"/>
  <c r="K451" i="9" a="1"/>
  <c r="M468" i="11" a="1"/>
  <c r="J352" i="8" a="1"/>
  <c r="M685" i="11" a="1"/>
  <c r="H37" i="10" a="1"/>
  <c r="J399" i="8" a="1"/>
  <c r="H500" i="10" a="1"/>
  <c r="H11" i="10" a="1"/>
  <c r="K410" i="9" a="1"/>
  <c r="J297" i="6" a="1"/>
  <c r="J521" i="6" a="1"/>
  <c r="J153" i="8" a="1"/>
  <c r="I476" i="7" a="1"/>
  <c r="K229" i="9" a="1"/>
  <c r="J66" i="6" a="1"/>
  <c r="K215" i="9" a="1"/>
  <c r="M403" i="11" a="1"/>
  <c r="I158" i="5" a="1"/>
  <c r="H16" i="10" a="1"/>
  <c r="H529" i="10" a="1"/>
  <c r="M131" i="11" a="1"/>
  <c r="I466" i="5" a="1"/>
  <c r="H96" i="10" a="1"/>
  <c r="I460" i="5" a="1"/>
  <c r="I235" i="7" a="1"/>
  <c r="I150" i="5" a="1"/>
  <c r="H463" i="10" a="1"/>
  <c r="K690" i="9" a="1"/>
  <c r="H228" i="10" a="1"/>
  <c r="I515" i="7" a="1"/>
  <c r="I50" i="7" a="1"/>
  <c r="J496" i="6" a="1"/>
  <c r="I109" i="7" a="1"/>
  <c r="I436" i="5" a="1"/>
  <c r="J172" i="8" a="1"/>
  <c r="J139" i="8" a="1"/>
  <c r="I204" i="7" a="1"/>
  <c r="I499" i="5" a="1"/>
  <c r="H184" i="10" a="1"/>
  <c r="I148" i="7" a="1"/>
  <c r="J392" i="6" a="1"/>
  <c r="I24" i="5" a="1"/>
  <c r="K529" i="9" a="1"/>
  <c r="I497" i="5" a="1"/>
  <c r="I475" i="7" a="1"/>
  <c r="I416" i="5" a="1"/>
  <c r="I334" i="5" a="1"/>
  <c r="J103" i="8" a="1"/>
  <c r="I123" i="5" a="1"/>
  <c r="M594" i="11" a="1"/>
  <c r="K582" i="9" a="1"/>
  <c r="K680" i="9" a="1"/>
  <c r="J151" i="6" a="1"/>
  <c r="J75" i="6" a="1"/>
  <c r="I493" i="7" a="1"/>
  <c r="I569" i="7" a="1"/>
  <c r="M465" i="11" a="1"/>
  <c r="I640" i="7" a="1"/>
  <c r="I384" i="5" a="1"/>
  <c r="I477" i="7" a="1"/>
  <c r="J160" i="8" a="1"/>
  <c r="I168" i="5" a="1"/>
  <c r="I354" i="7" a="1"/>
  <c r="I269" i="5" a="1"/>
  <c r="K618" i="9" a="1"/>
  <c r="H333" i="10" a="1"/>
  <c r="I567" i="7" a="1"/>
  <c r="K178" i="9" a="1"/>
  <c r="K538" i="9" a="1"/>
  <c r="I622" i="5" a="1"/>
  <c r="H418" i="10" a="1"/>
  <c r="H86" i="10" a="1"/>
  <c r="J518" i="8" a="1"/>
  <c r="J68" i="8" a="1"/>
  <c r="J417" i="8" a="1"/>
  <c r="J224" i="6" a="1"/>
  <c r="I410" i="5" a="1"/>
  <c r="K262" i="9" a="1"/>
  <c r="I683" i="7" a="1"/>
  <c r="I300" i="7" a="1"/>
  <c r="J368" i="8" a="1"/>
  <c r="I384" i="7" a="1"/>
  <c r="J26" i="8" a="1"/>
  <c r="I715" i="5" a="1"/>
  <c r="M501" i="11" a="1"/>
  <c r="I695" i="5" a="1"/>
  <c r="J432" i="6" a="1"/>
  <c r="K114" i="9" a="1"/>
  <c r="I63" i="7" a="1"/>
  <c r="K271" i="9" a="1"/>
  <c r="I391" i="7" a="1"/>
  <c r="I376" i="7" a="1"/>
  <c r="M647" i="11" a="1"/>
  <c r="H77" i="10" a="1"/>
  <c r="J237" i="6" a="1"/>
  <c r="J55" i="6" a="1"/>
  <c r="J246" i="6" a="1"/>
  <c r="J300" i="8" a="1"/>
  <c r="I181" i="7" a="1"/>
  <c r="K44" i="9" a="1"/>
  <c r="J126" i="6" a="1"/>
  <c r="M436" i="11" a="1"/>
  <c r="I309" i="7" a="1"/>
  <c r="I101" i="7" a="1"/>
  <c r="M714" i="11" a="1"/>
  <c r="I214" i="7" a="1"/>
  <c r="I413" i="7" a="1"/>
  <c r="I598" i="7" a="1"/>
  <c r="K195" i="9" a="1"/>
  <c r="K207" i="9" a="1"/>
  <c r="H158" i="10" a="1"/>
  <c r="J400" i="6" a="1"/>
  <c r="J305" i="6" a="1"/>
  <c r="M218" i="11" a="1"/>
  <c r="K612" i="9" a="1"/>
  <c r="I72" i="7" a="1"/>
  <c r="M210" i="11" a="1"/>
  <c r="M111" i="11" a="1"/>
  <c r="I410" i="7" a="1"/>
  <c r="M220" i="11" a="1"/>
  <c r="J323" i="6" a="1"/>
  <c r="J76" i="8" a="1"/>
  <c r="J220" i="8" a="1"/>
  <c r="J464" i="6" a="1"/>
  <c r="I219" i="7" a="1"/>
  <c r="I215" i="5" a="1"/>
  <c r="J118" i="6" a="1"/>
  <c r="M596" i="11" a="1"/>
  <c r="K251" i="9" a="1"/>
  <c r="I662" i="5" a="1"/>
  <c r="H495" i="10" a="1"/>
  <c r="J480" i="6" a="1"/>
  <c r="J252" i="8" a="1"/>
  <c r="I188" i="7" a="1"/>
  <c r="I235" i="5" a="1"/>
  <c r="J312" i="6" a="1"/>
  <c r="I350" i="7" a="1"/>
  <c r="K555" i="9" a="1"/>
  <c r="K444" i="9" a="1"/>
  <c r="J377" i="6" a="1"/>
  <c r="I670" i="5" a="1"/>
  <c r="M686" i="11" a="1"/>
  <c r="K364" i="9" a="1"/>
  <c r="H152" i="10" a="1"/>
  <c r="K607" i="9" a="1"/>
  <c r="M393" i="11" a="1"/>
  <c r="K572" i="9" a="1"/>
  <c r="M552" i="11" a="1"/>
  <c r="K73" i="9" a="1"/>
  <c r="I505" i="5" a="1"/>
  <c r="M235" i="11" a="1"/>
  <c r="M115" i="11" a="1"/>
  <c r="K640" i="9" a="1"/>
  <c r="H197" i="10" a="1"/>
  <c r="I81" i="5" a="1"/>
  <c r="J138" i="8" a="1"/>
  <c r="I17" i="7" a="1"/>
  <c r="M265" i="11" a="1"/>
  <c r="M380" i="11" a="1"/>
  <c r="I673" i="5" a="1"/>
  <c r="H371" i="10" a="1"/>
  <c r="K138" i="9" a="1"/>
  <c r="J61" i="6" a="1"/>
  <c r="I675" i="5" a="1"/>
  <c r="M432" i="11" a="1"/>
  <c r="M362" i="11" a="1"/>
  <c r="M477" i="11" a="1"/>
  <c r="M635" i="11" a="1"/>
  <c r="K150" i="9" a="1"/>
  <c r="K305" i="9" a="1"/>
  <c r="I702" i="7" a="1"/>
  <c r="I22" i="7" a="1"/>
  <c r="I503" i="5" a="1"/>
  <c r="M611" i="11" a="1"/>
  <c r="J482" i="8" a="1"/>
  <c r="I48" i="7" a="1"/>
  <c r="I283" i="7" a="1"/>
  <c r="I252" i="7" a="1"/>
  <c r="M387" i="11" a="1"/>
  <c r="J194" i="8" a="1"/>
  <c r="J346" i="8" a="1"/>
  <c r="I207" i="5" a="1"/>
  <c r="J158" i="6" a="1"/>
  <c r="H439" i="10" a="1"/>
  <c r="I320" i="7" a="1"/>
  <c r="J29" i="8" a="1"/>
  <c r="M21" i="11" a="1"/>
  <c r="I572" i="7" a="1"/>
  <c r="J467" i="8" a="1"/>
  <c r="K532" i="9" a="1"/>
  <c r="K651" i="9" a="1"/>
  <c r="I465" i="5" a="1"/>
  <c r="M467" i="11" a="1"/>
  <c r="K457" i="9" a="1"/>
  <c r="I404" i="5" a="1"/>
  <c r="H26" i="10" a="1"/>
  <c r="I19" i="5" a="1"/>
  <c r="M176" i="11" a="1"/>
  <c r="M673" i="11" a="1"/>
  <c r="K400" i="9" a="1"/>
  <c r="I375" i="7" a="1"/>
  <c r="H252" i="10" a="1"/>
  <c r="I336" i="7" a="1"/>
  <c r="I356" i="5" a="1"/>
  <c r="M34" i="11" a="1"/>
  <c r="I169" i="5" a="1"/>
  <c r="I189" i="7" a="1"/>
  <c r="K103" i="9" a="1"/>
  <c r="J127" i="6" a="1"/>
  <c r="M423" i="11" a="1"/>
  <c r="M291" i="11" a="1"/>
  <c r="J238" i="6" a="1"/>
  <c r="H214" i="10" a="1"/>
  <c r="J508" i="6" a="1"/>
  <c r="I228" i="5" a="1"/>
  <c r="M206" i="11" a="1"/>
  <c r="H283" i="10" a="1"/>
  <c r="I457" i="7" a="1"/>
  <c r="I323" i="5" a="1"/>
  <c r="J264" i="6" a="1"/>
  <c r="K341" i="9" a="1"/>
  <c r="K454" i="9" a="1"/>
  <c r="I716" i="5" a="1"/>
  <c r="M398" i="11" a="1"/>
  <c r="K492" i="9" a="1"/>
  <c r="J421" i="6" a="1"/>
  <c r="I231" i="5" a="1"/>
  <c r="K397" i="9" a="1"/>
  <c r="M588" i="11" a="1"/>
  <c r="I262" i="7" a="1"/>
  <c r="I342" i="7" a="1"/>
  <c r="M108" i="11" a="1"/>
  <c r="I305" i="5" a="1"/>
  <c r="H365" i="10" a="1"/>
  <c r="J251" i="6" a="1"/>
  <c r="I627" i="5" a="1"/>
  <c r="K659" i="9" a="1"/>
  <c r="K506" i="9" a="1"/>
  <c r="J387" i="8" a="1"/>
  <c r="M29" i="11" a="1"/>
  <c r="I605" i="5" a="1"/>
  <c r="J244" i="8" a="1"/>
  <c r="I377" i="5" a="1"/>
  <c r="I548" i="5" a="1"/>
  <c r="I576" i="7" a="1"/>
  <c r="J73" i="6" a="1"/>
  <c r="M106" i="11" a="1"/>
  <c r="I16" i="7" a="1"/>
  <c r="I114" i="7" a="1"/>
  <c r="K29" i="9" a="1"/>
  <c r="J381" i="8" a="1"/>
  <c r="J367" i="8" a="1"/>
  <c r="I225" i="5" a="1"/>
  <c r="I59" i="7" a="1"/>
  <c r="K318" i="9" a="1"/>
  <c r="H21" i="10" a="1"/>
  <c r="M471" i="11" a="1"/>
  <c r="I220" i="7" a="1"/>
  <c r="I44" i="7" a="1"/>
  <c r="J124" i="6" a="1"/>
  <c r="M126" i="11" a="1"/>
  <c r="J410" i="8" a="1"/>
  <c r="K490" i="9" a="1"/>
  <c r="M38" i="11" a="1"/>
  <c r="H207" i="10" a="1"/>
  <c r="M693" i="11" a="1"/>
  <c r="J375" i="8" a="1"/>
  <c r="I415" i="7" a="1"/>
  <c r="J315" i="8" a="1"/>
  <c r="I638" i="5" a="1"/>
  <c r="J215" i="8" a="1"/>
  <c r="H20" i="10" a="1"/>
  <c r="I261" i="7" a="1"/>
  <c r="M42" i="11" a="1"/>
  <c r="M42" i="11" l="1"/>
  <c r="I261" i="7"/>
  <c r="H20" i="10"/>
  <c r="J215" i="8"/>
  <c r="I638" i="5"/>
  <c r="J315" i="8"/>
  <c r="I415" i="7"/>
  <c r="J375" i="8"/>
  <c r="M693" i="11"/>
  <c r="H207" i="10"/>
  <c r="M38" i="11"/>
  <c r="K490" i="9"/>
  <c r="J410" i="8"/>
  <c r="M126" i="11"/>
  <c r="J124" i="6"/>
  <c r="I44" i="7"/>
  <c r="I220" i="7"/>
  <c r="M471" i="11"/>
  <c r="H21" i="10"/>
  <c r="K318" i="9"/>
  <c r="I59" i="7"/>
  <c r="I225" i="5"/>
  <c r="J367" i="8"/>
  <c r="J381" i="8"/>
  <c r="K29" i="9"/>
  <c r="I114" i="7"/>
  <c r="I16" i="7"/>
  <c r="M106" i="11"/>
  <c r="J73" i="6"/>
  <c r="I576" i="7"/>
  <c r="I548" i="5"/>
  <c r="I377" i="5"/>
  <c r="J244" i="8"/>
  <c r="I605" i="5"/>
  <c r="M29" i="11"/>
  <c r="J387" i="8"/>
  <c r="K506" i="9"/>
  <c r="K659" i="9"/>
  <c r="I627" i="5"/>
  <c r="J251" i="6"/>
  <c r="H365" i="10"/>
  <c r="I305" i="5"/>
  <c r="M108" i="11"/>
  <c r="I342" i="7"/>
  <c r="I262" i="7"/>
  <c r="M588" i="11"/>
  <c r="K397" i="9"/>
  <c r="I231" i="5"/>
  <c r="J421" i="6"/>
  <c r="K492" i="9"/>
  <c r="M398" i="11"/>
  <c r="I716" i="5"/>
  <c r="K454" i="9"/>
  <c r="K341" i="9"/>
  <c r="J264" i="6"/>
  <c r="I323" i="5"/>
  <c r="I457" i="7"/>
  <c r="H283" i="10"/>
  <c r="M206" i="11"/>
  <c r="I228" i="5"/>
  <c r="J508" i="6"/>
  <c r="H214" i="10"/>
  <c r="J238" i="6"/>
  <c r="M291" i="11"/>
  <c r="M423" i="11"/>
  <c r="J127" i="6"/>
  <c r="K103" i="9"/>
  <c r="I189" i="7"/>
  <c r="I169" i="5"/>
  <c r="M34" i="11"/>
  <c r="I356" i="5"/>
  <c r="I336" i="7"/>
  <c r="H252" i="10"/>
  <c r="I375" i="7"/>
  <c r="K400" i="9"/>
  <c r="M673" i="11"/>
  <c r="M176" i="11"/>
  <c r="I19" i="5"/>
  <c r="H26" i="10"/>
  <c r="I404" i="5"/>
  <c r="K457" i="9"/>
  <c r="M467" i="11"/>
  <c r="I465" i="5"/>
  <c r="K651" i="9"/>
  <c r="K532" i="9"/>
  <c r="J467" i="8"/>
  <c r="I572" i="7"/>
  <c r="M21" i="11"/>
  <c r="J29" i="8"/>
  <c r="I320" i="7"/>
  <c r="H439" i="10"/>
  <c r="J158" i="6"/>
  <c r="I207" i="5"/>
  <c r="J346" i="8"/>
  <c r="J194" i="8"/>
  <c r="M387" i="11"/>
  <c r="I252" i="7"/>
  <c r="I283" i="7"/>
  <c r="I48" i="7"/>
  <c r="J482" i="8"/>
  <c r="M611" i="11"/>
  <c r="I503" i="5"/>
  <c r="I22" i="7"/>
  <c r="I702" i="7"/>
  <c r="K305" i="9"/>
  <c r="K150" i="9"/>
  <c r="M635" i="11"/>
  <c r="M477" i="11"/>
  <c r="M362" i="11"/>
  <c r="M432" i="11"/>
  <c r="I675" i="5"/>
  <c r="J61" i="6"/>
  <c r="K138" i="9"/>
  <c r="H371" i="10"/>
  <c r="I673" i="5"/>
  <c r="M380" i="11"/>
  <c r="M265" i="11"/>
  <c r="I17" i="7"/>
  <c r="J138" i="8"/>
  <c r="I81" i="5"/>
  <c r="H197" i="10"/>
  <c r="K640" i="9"/>
  <c r="M115" i="11"/>
  <c r="M235" i="11"/>
  <c r="I505" i="5"/>
  <c r="K73" i="9"/>
  <c r="M552" i="11"/>
  <c r="K572" i="9"/>
  <c r="M393" i="11"/>
  <c r="K607" i="9"/>
  <c r="H152" i="10"/>
  <c r="K364" i="9"/>
  <c r="M686" i="11"/>
  <c r="I670" i="5"/>
  <c r="J377" i="6"/>
  <c r="K444" i="9"/>
  <c r="K555" i="9"/>
  <c r="I350" i="7"/>
  <c r="J312" i="6"/>
  <c r="I235" i="5"/>
  <c r="I188" i="7"/>
  <c r="J252" i="8"/>
  <c r="J480" i="6"/>
  <c r="H495" i="10"/>
  <c r="I662" i="5"/>
  <c r="K251" i="9"/>
  <c r="M596" i="11"/>
  <c r="J118" i="6"/>
  <c r="I215" i="5"/>
  <c r="I219" i="7"/>
  <c r="J464" i="6"/>
  <c r="J220" i="8"/>
  <c r="J76" i="8"/>
  <c r="J323" i="6"/>
  <c r="M220" i="11"/>
  <c r="I410" i="7"/>
  <c r="M111" i="11"/>
  <c r="M210" i="11"/>
  <c r="I72" i="7"/>
  <c r="K612" i="9"/>
  <c r="M218" i="11"/>
  <c r="J305" i="6"/>
  <c r="J400" i="6"/>
  <c r="H158" i="10"/>
  <c r="K207" i="9"/>
  <c r="K195" i="9"/>
  <c r="I598" i="7"/>
  <c r="I413" i="7"/>
  <c r="I214" i="7"/>
  <c r="M714" i="11"/>
  <c r="I101" i="7"/>
  <c r="I309" i="7"/>
  <c r="M436" i="11"/>
  <c r="J126" i="6"/>
  <c r="K44" i="9"/>
  <c r="I181" i="7"/>
  <c r="J300" i="8"/>
  <c r="J246" i="6"/>
  <c r="J55" i="6"/>
  <c r="J237" i="6"/>
  <c r="H77" i="10"/>
  <c r="M647" i="11"/>
  <c r="I376" i="7"/>
  <c r="I391" i="7"/>
  <c r="K271" i="9"/>
  <c r="I63" i="7"/>
  <c r="K114" i="9"/>
  <c r="J432" i="6"/>
  <c r="I695" i="5"/>
  <c r="M501" i="11"/>
  <c r="I715" i="5"/>
  <c r="J26" i="8"/>
  <c r="I384" i="7"/>
  <c r="J368" i="8"/>
  <c r="I300" i="7"/>
  <c r="I683" i="7"/>
  <c r="K262" i="9"/>
  <c r="I410" i="5"/>
  <c r="J224" i="6"/>
  <c r="J417" i="8"/>
  <c r="J68" i="8"/>
  <c r="J518" i="8"/>
  <c r="H86" i="10"/>
  <c r="H418" i="10"/>
  <c r="I622" i="5"/>
  <c r="K538" i="9"/>
  <c r="K178" i="9"/>
  <c r="I567" i="7"/>
  <c r="H333" i="10"/>
  <c r="K618" i="9"/>
  <c r="I269" i="5"/>
  <c r="I354" i="7"/>
  <c r="I168" i="5"/>
  <c r="J160" i="8"/>
  <c r="I477" i="7"/>
  <c r="I384" i="5"/>
  <c r="I640" i="7"/>
  <c r="M465" i="11"/>
  <c r="I569" i="7"/>
  <c r="I493" i="7"/>
  <c r="J75" i="6"/>
  <c r="J151" i="6"/>
  <c r="K680" i="9"/>
  <c r="K582" i="9"/>
  <c r="M594" i="11"/>
  <c r="I123" i="5"/>
  <c r="J103" i="8"/>
  <c r="I334" i="5"/>
  <c r="I416" i="5"/>
  <c r="I475" i="7"/>
  <c r="I497" i="5"/>
  <c r="K529" i="9"/>
  <c r="I24" i="5"/>
  <c r="J392" i="6"/>
  <c r="I148" i="7"/>
  <c r="H184" i="10"/>
  <c r="I499" i="5"/>
  <c r="I204" i="7"/>
  <c r="J139" i="8"/>
  <c r="J172" i="8"/>
  <c r="I436" i="5"/>
  <c r="I109" i="7"/>
  <c r="J496" i="6"/>
  <c r="I50" i="7"/>
  <c r="I515" i="7"/>
  <c r="H228" i="10"/>
  <c r="K690" i="9"/>
  <c r="H463" i="10"/>
  <c r="I150" i="5"/>
  <c r="I235" i="7"/>
  <c r="I460" i="5"/>
  <c r="H96" i="10"/>
  <c r="I466" i="5"/>
  <c r="M131" i="11"/>
  <c r="H529" i="10"/>
  <c r="H16" i="10"/>
  <c r="I158" i="5"/>
  <c r="M403" i="11"/>
  <c r="K215" i="9"/>
  <c r="J66" i="6"/>
  <c r="K229" i="9"/>
  <c r="I476" i="7"/>
  <c r="J153" i="8"/>
  <c r="J521" i="6"/>
  <c r="J297" i="6"/>
  <c r="K410" i="9"/>
  <c r="H11" i="10"/>
  <c r="H500" i="10"/>
  <c r="J399" i="8"/>
  <c r="H37" i="10"/>
  <c r="M685" i="11"/>
  <c r="J352" i="8"/>
  <c r="M468" i="11"/>
  <c r="K451" i="9"/>
  <c r="M518" i="11"/>
  <c r="K687" i="9"/>
  <c r="M40" i="11"/>
  <c r="M147" i="11"/>
  <c r="J224" i="8"/>
  <c r="M604" i="11"/>
  <c r="K591" i="9"/>
  <c r="J232" i="6"/>
  <c r="M234" i="11"/>
  <c r="I701" i="7"/>
  <c r="I184" i="7"/>
  <c r="I402" i="5"/>
  <c r="J324" i="6"/>
  <c r="I556" i="5"/>
  <c r="J421" i="8"/>
  <c r="M122" i="11"/>
  <c r="K287" i="9"/>
  <c r="I650" i="5"/>
  <c r="J517" i="8"/>
  <c r="K350" i="9"/>
  <c r="K191" i="9"/>
  <c r="I383" i="5"/>
  <c r="I406" i="5"/>
  <c r="J195" i="8"/>
  <c r="J272" i="8"/>
  <c r="I372" i="7"/>
  <c r="M607" i="11"/>
  <c r="H538" i="10"/>
  <c r="J446" i="6"/>
  <c r="I549" i="5"/>
  <c r="J329" i="8"/>
  <c r="J248" i="8"/>
  <c r="M279" i="11"/>
  <c r="M438" i="11"/>
  <c r="K357" i="9"/>
  <c r="J92" i="8"/>
  <c r="H176" i="10"/>
  <c r="K326" i="9"/>
  <c r="J211" i="6"/>
  <c r="K245" i="9"/>
  <c r="I545" i="7"/>
  <c r="H133" i="10"/>
  <c r="M47" i="11"/>
  <c r="J314" i="8"/>
  <c r="J407" i="6"/>
  <c r="M621" i="11"/>
  <c r="H301" i="10"/>
  <c r="I525" i="5"/>
  <c r="I439" i="5"/>
  <c r="I130" i="7"/>
  <c r="H156" i="10"/>
  <c r="I458" i="5"/>
  <c r="H402" i="10"/>
  <c r="I642" i="5"/>
  <c r="I316" i="7"/>
  <c r="I379" i="5"/>
  <c r="H17" i="10"/>
  <c r="I226" i="7"/>
  <c r="M674" i="11"/>
  <c r="I174" i="7"/>
  <c r="H299" i="10"/>
  <c r="I615" i="5"/>
  <c r="M515" i="11"/>
  <c r="J377" i="8"/>
  <c r="M101" i="11"/>
  <c r="M548" i="11"/>
  <c r="K698" i="9"/>
  <c r="I632" i="7"/>
  <c r="J356" i="6"/>
  <c r="I338" i="7"/>
  <c r="I38" i="5"/>
  <c r="J426" i="8"/>
  <c r="I138" i="7"/>
  <c r="J538" i="6"/>
  <c r="H29" i="10"/>
  <c r="K153" i="9"/>
  <c r="H372" i="10"/>
  <c r="M392" i="11"/>
  <c r="K525" i="9"/>
  <c r="J262" i="6"/>
  <c r="H139" i="10"/>
  <c r="I526" i="7"/>
  <c r="K515" i="9"/>
  <c r="I205" i="5"/>
  <c r="I249" i="7"/>
  <c r="M579" i="11"/>
  <c r="I671" i="5"/>
  <c r="K321" i="9"/>
  <c r="J476" i="8"/>
  <c r="K549" i="9"/>
  <c r="H85" i="10"/>
  <c r="I593" i="5"/>
  <c r="I471" i="7"/>
  <c r="J344" i="6"/>
  <c r="J55" i="8"/>
  <c r="K141" i="9"/>
  <c r="K280" i="9"/>
  <c r="J325" i="8"/>
  <c r="K705" i="9"/>
  <c r="I563" i="7"/>
  <c r="J399" i="6"/>
  <c r="I470" i="7"/>
  <c r="I145" i="7"/>
  <c r="I551" i="7"/>
  <c r="H101" i="10"/>
  <c r="M137" i="11"/>
  <c r="J202" i="8"/>
  <c r="J280" i="8"/>
  <c r="J390" i="8"/>
  <c r="J204" i="8"/>
  <c r="I259" i="5"/>
  <c r="I309" i="5"/>
  <c r="J328" i="6"/>
  <c r="J463" i="6"/>
  <c r="K404" i="9"/>
  <c r="M155" i="11"/>
  <c r="H119" i="10"/>
  <c r="J499" i="8"/>
  <c r="K174" i="9"/>
  <c r="K301" i="9"/>
  <c r="K563" i="9"/>
  <c r="J521" i="8"/>
  <c r="H447" i="10"/>
  <c r="K533" i="9"/>
  <c r="M507" i="11"/>
  <c r="M146" i="11"/>
  <c r="I225" i="7"/>
  <c r="K14" i="9"/>
  <c r="K684" i="9"/>
  <c r="K259" i="9"/>
  <c r="K246" i="9"/>
  <c r="J372" i="6"/>
  <c r="I667" i="5"/>
  <c r="K340" i="9"/>
  <c r="M162" i="11"/>
  <c r="J100" i="6"/>
  <c r="M566" i="11"/>
  <c r="I622" i="7"/>
  <c r="M43" i="11"/>
  <c r="I665" i="7"/>
  <c r="K238" i="9"/>
  <c r="I52" i="5"/>
  <c r="I251" i="7"/>
  <c r="M592" i="11"/>
  <c r="M66" i="11"/>
  <c r="I462" i="5"/>
  <c r="M121" i="11"/>
  <c r="H105" i="10"/>
  <c r="J198" i="8"/>
  <c r="K681" i="9"/>
  <c r="M52" i="11"/>
  <c r="M660" i="11"/>
  <c r="M595" i="11"/>
  <c r="J258" i="8"/>
  <c r="H177" i="10"/>
  <c r="M25" i="11"/>
  <c r="H400" i="10"/>
  <c r="I113" i="5"/>
  <c r="I423" i="5"/>
  <c r="M603" i="11"/>
  <c r="K152" i="9"/>
  <c r="J132" i="8"/>
  <c r="J287" i="8"/>
  <c r="J446" i="8"/>
  <c r="J501" i="6"/>
  <c r="J145" i="6"/>
  <c r="H377" i="10"/>
  <c r="K442" i="9"/>
  <c r="K615" i="9"/>
  <c r="J335" i="6"/>
  <c r="I224" i="7"/>
  <c r="J200" i="8"/>
  <c r="I469" i="5"/>
  <c r="J188" i="6"/>
  <c r="H467" i="10"/>
  <c r="I154" i="7"/>
  <c r="I634" i="5"/>
  <c r="H370" i="10"/>
  <c r="M281" i="11"/>
  <c r="I538" i="5"/>
  <c r="I488" i="7"/>
  <c r="H303" i="10"/>
  <c r="I579" i="7"/>
  <c r="I200" i="5"/>
  <c r="K528" i="9"/>
  <c r="J361" i="8"/>
  <c r="J439" i="6"/>
  <c r="J510" i="6"/>
  <c r="I213" i="5"/>
  <c r="H526" i="10"/>
  <c r="J396" i="8"/>
  <c r="M388" i="11"/>
  <c r="M718" i="11"/>
  <c r="J392" i="8"/>
  <c r="J477" i="8"/>
  <c r="M98" i="11"/>
  <c r="I520" i="5"/>
  <c r="K655" i="9"/>
  <c r="J115" i="6"/>
  <c r="I84" i="7"/>
  <c r="H7" i="10"/>
  <c r="J442" i="8"/>
  <c r="H539" i="10"/>
  <c r="I711" i="7"/>
  <c r="I164" i="5"/>
  <c r="J330" i="6"/>
  <c r="I115" i="7"/>
  <c r="K535" i="9"/>
  <c r="K241" i="9"/>
  <c r="I11" i="5"/>
  <c r="M450" i="11"/>
  <c r="I405" i="7"/>
  <c r="I393" i="5"/>
  <c r="K298" i="9"/>
  <c r="J313" i="6"/>
  <c r="M253" i="11"/>
  <c r="K297" i="9"/>
  <c r="M85" i="11"/>
  <c r="J197" i="6"/>
  <c r="J78" i="6"/>
  <c r="I244" i="5"/>
  <c r="I408" i="5"/>
  <c r="I537" i="7"/>
  <c r="J318" i="6"/>
  <c r="J143" i="6"/>
  <c r="H181" i="10"/>
  <c r="H359" i="10"/>
  <c r="K574" i="9"/>
  <c r="K393" i="9"/>
  <c r="H243" i="10"/>
  <c r="I248" i="7"/>
  <c r="M69" i="11"/>
  <c r="I289" i="7"/>
  <c r="I221" i="5"/>
  <c r="J304" i="8"/>
  <c r="M331" i="11"/>
  <c r="J383" i="8"/>
  <c r="H395" i="10"/>
  <c r="I700" i="7"/>
  <c r="K199" i="9"/>
  <c r="H327" i="10"/>
  <c r="J54" i="6"/>
  <c r="J449" i="6"/>
  <c r="I438" i="7"/>
  <c r="M513" i="11"/>
  <c r="I714" i="7"/>
  <c r="K662" i="9"/>
  <c r="I368" i="7"/>
  <c r="M421" i="11"/>
  <c r="I47" i="7"/>
  <c r="M520" i="11"/>
  <c r="K611" i="9"/>
  <c r="I286" i="5"/>
  <c r="K221" i="9"/>
  <c r="I603" i="7"/>
  <c r="J183" i="8"/>
  <c r="I364" i="7"/>
  <c r="J259" i="8"/>
  <c r="I281" i="7"/>
  <c r="I493" i="5"/>
  <c r="J371" i="6"/>
  <c r="M236" i="11"/>
  <c r="H451" i="10"/>
  <c r="K63" i="9"/>
  <c r="J53" i="8"/>
  <c r="K12" i="9"/>
  <c r="M242" i="11"/>
  <c r="M304" i="11"/>
  <c r="I98" i="7"/>
  <c r="I297" i="5"/>
  <c r="I349" i="7"/>
  <c r="K643" i="9"/>
  <c r="I335" i="7"/>
  <c r="M82" i="11"/>
  <c r="K325" i="9"/>
  <c r="J235" i="6"/>
  <c r="I523" i="7"/>
  <c r="K189" i="9"/>
  <c r="I324" i="7"/>
  <c r="I633" i="5"/>
  <c r="H501" i="10"/>
  <c r="K263" i="9"/>
  <c r="I547" i="7"/>
  <c r="J36" i="6"/>
  <c r="I557" i="5"/>
  <c r="J523" i="6"/>
  <c r="I277" i="5"/>
  <c r="I360" i="5"/>
  <c r="I446" i="5"/>
  <c r="M95" i="11"/>
  <c r="J324" i="8"/>
  <c r="H109" i="10"/>
  <c r="H173" i="10"/>
  <c r="H202" i="10"/>
  <c r="M323" i="11"/>
  <c r="M200" i="11"/>
  <c r="I99" i="7"/>
  <c r="J496" i="8"/>
  <c r="I54" i="7"/>
  <c r="H282" i="10"/>
  <c r="J69" i="6"/>
  <c r="I494" i="7"/>
  <c r="J18" i="8"/>
  <c r="J149" i="8"/>
  <c r="J74" i="6"/>
  <c r="I434" i="7"/>
  <c r="I581" i="5"/>
  <c r="I669" i="7"/>
  <c r="I368" i="5"/>
  <c r="I502" i="5"/>
  <c r="I461" i="5"/>
  <c r="J413" i="8"/>
  <c r="J284" i="8"/>
  <c r="J397" i="8"/>
  <c r="J270" i="8"/>
  <c r="K343" i="9"/>
  <c r="I587" i="5"/>
  <c r="I77" i="5"/>
  <c r="K654" i="9"/>
  <c r="I643" i="5"/>
  <c r="I559" i="5"/>
  <c r="M481" i="11"/>
  <c r="M610" i="11"/>
  <c r="J133" i="8"/>
  <c r="I580" i="7"/>
  <c r="I210" i="7"/>
  <c r="I152" i="7"/>
  <c r="I471" i="5"/>
  <c r="M198" i="11"/>
  <c r="H522" i="10"/>
  <c r="I480" i="5"/>
  <c r="I64" i="5"/>
  <c r="I39" i="7"/>
  <c r="I135" i="7"/>
  <c r="K672" i="9"/>
  <c r="K619" i="9"/>
  <c r="J423" i="8"/>
  <c r="J186" i="8"/>
  <c r="J502" i="8"/>
  <c r="M654" i="11"/>
  <c r="J108" i="8"/>
  <c r="J58" i="6"/>
  <c r="I256" i="5"/>
  <c r="I163" i="5"/>
  <c r="I663" i="5"/>
  <c r="H127" i="10"/>
  <c r="H454" i="10"/>
  <c r="I117" i="7"/>
  <c r="H309" i="10"/>
  <c r="J41" i="8"/>
  <c r="H540" i="10"/>
  <c r="K710" i="9"/>
  <c r="M19" i="11"/>
  <c r="J141" i="8"/>
  <c r="K379" i="9"/>
  <c r="J473" i="6"/>
  <c r="J452" i="8"/>
  <c r="I105" i="7"/>
  <c r="M641" i="11"/>
  <c r="J300" i="6"/>
  <c r="I171" i="7"/>
  <c r="H380" i="10"/>
  <c r="K345" i="9"/>
  <c r="H390" i="10"/>
  <c r="M569" i="11"/>
  <c r="K358" i="9"/>
  <c r="I55" i="5"/>
  <c r="I586" i="7"/>
  <c r="H131" i="10"/>
  <c r="J407" i="8"/>
  <c r="H42" i="10"/>
  <c r="J510" i="8"/>
  <c r="H84" i="10"/>
  <c r="H145" i="10"/>
  <c r="I691" i="7"/>
  <c r="H194" i="10"/>
  <c r="I451" i="7"/>
  <c r="J171" i="8"/>
  <c r="I203" i="7"/>
  <c r="I239" i="5"/>
  <c r="I84" i="5"/>
  <c r="I64" i="7"/>
  <c r="I174" i="5"/>
  <c r="H31" i="10"/>
  <c r="I214" i="5"/>
  <c r="I555" i="7"/>
  <c r="J383" i="6"/>
  <c r="M571" i="11"/>
  <c r="H247" i="10"/>
  <c r="J478" i="6"/>
  <c r="H141" i="10"/>
  <c r="K567" i="9"/>
  <c r="I232" i="5"/>
  <c r="I291" i="5"/>
  <c r="M354" i="11"/>
  <c r="J81" i="6"/>
  <c r="J187" i="6"/>
  <c r="K488" i="9"/>
  <c r="J56" i="6"/>
  <c r="M258" i="11"/>
  <c r="I109" i="5"/>
  <c r="J333" i="6"/>
  <c r="I611" i="5"/>
  <c r="I608" i="5"/>
  <c r="J499" i="6"/>
  <c r="I388" i="7"/>
  <c r="J292" i="6"/>
  <c r="H179" i="10"/>
  <c r="J119" i="6"/>
  <c r="K200" i="9"/>
  <c r="M130" i="11"/>
  <c r="I280" i="7"/>
  <c r="J451" i="8"/>
  <c r="J148" i="8"/>
  <c r="I492" i="7"/>
  <c r="J52" i="8"/>
  <c r="K372" i="9"/>
  <c r="J479" i="6"/>
  <c r="K60" i="9"/>
  <c r="I691" i="5"/>
  <c r="I392" i="7"/>
  <c r="J472" i="8"/>
  <c r="I143" i="5"/>
  <c r="I304" i="7"/>
  <c r="K514" i="9"/>
  <c r="I304" i="5"/>
  <c r="I341" i="7"/>
  <c r="I299" i="7"/>
  <c r="M134" i="11"/>
  <c r="K354" i="9"/>
  <c r="K370" i="9"/>
  <c r="K517" i="9"/>
  <c r="I392" i="5"/>
  <c r="J395" i="8"/>
  <c r="J196" i="6"/>
  <c r="M496" i="11"/>
  <c r="K536" i="9"/>
  <c r="I649" i="5"/>
  <c r="M453" i="11"/>
  <c r="J163" i="6"/>
  <c r="H514" i="10"/>
  <c r="I43" i="5"/>
  <c r="I556" i="7"/>
  <c r="K96" i="9"/>
  <c r="I397" i="5"/>
  <c r="I371" i="5"/>
  <c r="M633" i="11"/>
  <c r="I226" i="5"/>
  <c r="H238" i="10"/>
  <c r="H350" i="10"/>
  <c r="J248" i="6"/>
  <c r="H113" i="10"/>
  <c r="J316" i="6"/>
  <c r="H195" i="10"/>
  <c r="I86" i="5"/>
  <c r="I201" i="7"/>
  <c r="M615" i="11"/>
  <c r="M102" i="11"/>
  <c r="K219" i="9"/>
  <c r="I630" i="7"/>
  <c r="I685" i="5"/>
  <c r="I37" i="5"/>
  <c r="I616" i="5"/>
  <c r="I582" i="7"/>
  <c r="I97" i="7"/>
  <c r="M530" i="11"/>
  <c r="I233" i="7"/>
  <c r="J452" i="6"/>
  <c r="I682" i="5"/>
  <c r="I600" i="7"/>
  <c r="J203" i="8"/>
  <c r="I520" i="7"/>
  <c r="I594" i="7"/>
  <c r="K547" i="9"/>
  <c r="J345" i="6"/>
  <c r="M282" i="11"/>
  <c r="I395" i="7"/>
  <c r="I110" i="5"/>
  <c r="I522" i="7"/>
  <c r="M645" i="11"/>
  <c r="M692" i="11"/>
  <c r="I45" i="5"/>
  <c r="J301" i="6"/>
  <c r="I25" i="7"/>
  <c r="M186" i="11"/>
  <c r="H36" i="10"/>
  <c r="I156" i="7"/>
  <c r="H406" i="10"/>
  <c r="I699" i="7"/>
  <c r="K137" i="9"/>
  <c r="J505" i="6"/>
  <c r="J436" i="8"/>
  <c r="K145" i="9"/>
  <c r="I535" i="5"/>
  <c r="J502" i="6"/>
  <c r="K48" i="9"/>
  <c r="M389" i="11"/>
  <c r="H128" i="10"/>
  <c r="I129" i="7"/>
  <c r="H18" i="10"/>
  <c r="H354" i="10"/>
  <c r="I122" i="5"/>
  <c r="K450" i="9"/>
  <c r="J483" i="8"/>
  <c r="M371" i="11"/>
  <c r="I693" i="7"/>
  <c r="M455" i="11"/>
  <c r="I382" i="5"/>
  <c r="I540" i="5"/>
  <c r="I30" i="5"/>
  <c r="J269" i="8"/>
  <c r="J434" i="8"/>
  <c r="J179" i="8"/>
  <c r="I144" i="5"/>
  <c r="K671" i="9"/>
  <c r="K686" i="9"/>
  <c r="K230" i="9"/>
  <c r="H160" i="10"/>
  <c r="J150" i="6"/>
  <c r="I246" i="7"/>
  <c r="H137" i="10"/>
  <c r="I501" i="5"/>
  <c r="M345" i="11"/>
  <c r="J484" i="8"/>
  <c r="M233" i="11"/>
  <c r="M116" i="11"/>
  <c r="I246" i="5"/>
  <c r="J519" i="8"/>
  <c r="I412" i="7"/>
  <c r="I373" i="7"/>
  <c r="M636" i="11"/>
  <c r="I637" i="5"/>
  <c r="M386" i="11"/>
  <c r="I664" i="5"/>
  <c r="H44" i="10"/>
  <c r="H159" i="10"/>
  <c r="M558" i="11"/>
  <c r="K641" i="9"/>
  <c r="I238" i="5"/>
  <c r="I252" i="5"/>
  <c r="I254" i="5"/>
  <c r="J419" i="8"/>
  <c r="J428" i="8"/>
  <c r="J437" i="8"/>
  <c r="K435" i="9"/>
  <c r="K443" i="9"/>
  <c r="I302" i="5"/>
  <c r="I317" i="5"/>
  <c r="I319" i="5"/>
  <c r="J460" i="8"/>
  <c r="J474" i="8"/>
  <c r="J488" i="8"/>
  <c r="K356" i="9"/>
  <c r="K362" i="9"/>
  <c r="J34" i="8"/>
  <c r="I524" i="7"/>
  <c r="J453" i="6"/>
  <c r="I477" i="5"/>
  <c r="I97" i="5"/>
  <c r="K714" i="9"/>
  <c r="I153" i="5"/>
  <c r="I645" i="7"/>
  <c r="I612" i="7"/>
  <c r="M109" i="11"/>
  <c r="M494" i="11"/>
  <c r="I102" i="5"/>
  <c r="I654" i="5"/>
  <c r="I155" i="5"/>
  <c r="I299" i="5"/>
  <c r="I316" i="5"/>
  <c r="H110" i="10"/>
  <c r="M505" i="11"/>
  <c r="I395" i="5"/>
  <c r="J201" i="6"/>
  <c r="J221" i="6"/>
  <c r="J228" i="6"/>
  <c r="M357" i="11"/>
  <c r="M373" i="11"/>
  <c r="M384" i="11"/>
  <c r="K374" i="9"/>
  <c r="I470" i="5"/>
  <c r="J289" i="6"/>
  <c r="J315" i="6"/>
  <c r="J319" i="6"/>
  <c r="M418" i="11"/>
  <c r="M431" i="11"/>
  <c r="M461" i="11"/>
  <c r="K293" i="9"/>
  <c r="J320" i="6"/>
  <c r="H291" i="10"/>
  <c r="J404" i="8"/>
  <c r="J309" i="6"/>
  <c r="K182" i="9"/>
  <c r="J388" i="6"/>
  <c r="M606" i="11"/>
  <c r="J381" i="6"/>
  <c r="I681" i="7"/>
  <c r="M296" i="11"/>
  <c r="M602" i="11"/>
  <c r="I166" i="5"/>
  <c r="J453" i="8"/>
  <c r="J475" i="8"/>
  <c r="K380" i="9"/>
  <c r="J38" i="6"/>
  <c r="J308" i="6"/>
  <c r="H356" i="10"/>
  <c r="M578" i="11"/>
  <c r="H310" i="10"/>
  <c r="J17" i="6"/>
  <c r="I646" i="5"/>
  <c r="I133" i="5"/>
  <c r="K472" i="9"/>
  <c r="J523" i="8"/>
  <c r="M194" i="11"/>
  <c r="J323" i="8"/>
  <c r="J276" i="6"/>
  <c r="H118" i="10"/>
  <c r="I515" i="5"/>
  <c r="I462" i="7"/>
  <c r="M313" i="11"/>
  <c r="M335" i="11"/>
  <c r="H336" i="10"/>
  <c r="J153" i="6"/>
  <c r="J152" i="8"/>
  <c r="J76" i="6"/>
  <c r="I78" i="7"/>
  <c r="J198" i="6"/>
  <c r="J430" i="6"/>
  <c r="M57" i="11"/>
  <c r="I360" i="7"/>
  <c r="I317" i="7"/>
  <c r="J24" i="6"/>
  <c r="J237" i="8"/>
  <c r="I328" i="7"/>
  <c r="M410" i="11"/>
  <c r="K213" i="9"/>
  <c r="I63" i="5"/>
  <c r="J236" i="8"/>
  <c r="M181" i="11"/>
  <c r="M367" i="11"/>
  <c r="J164" i="8"/>
  <c r="I714" i="5"/>
  <c r="J168" i="8"/>
  <c r="K666" i="9"/>
  <c r="I363" i="7"/>
  <c r="M60" i="11"/>
  <c r="J480" i="8"/>
  <c r="I260" i="5"/>
  <c r="J235" i="8"/>
  <c r="K503" i="9"/>
  <c r="I284" i="7"/>
  <c r="M119" i="11"/>
  <c r="J172" i="6"/>
  <c r="H412" i="10"/>
  <c r="J507" i="6"/>
  <c r="M447" i="11"/>
  <c r="I381" i="7"/>
  <c r="I501" i="7"/>
  <c r="J293" i="6"/>
  <c r="M671" i="11"/>
  <c r="J180" i="8"/>
  <c r="I241" i="5"/>
  <c r="J498" i="8"/>
  <c r="H472" i="10"/>
  <c r="I346" i="7"/>
  <c r="M399" i="11"/>
  <c r="J319" i="8"/>
  <c r="I553" i="7"/>
  <c r="I403" i="5"/>
  <c r="I550" i="5"/>
  <c r="I417" i="7"/>
  <c r="J403" i="6"/>
  <c r="I209" i="7"/>
  <c r="J202" i="6"/>
  <c r="H444" i="10"/>
  <c r="K332" i="9"/>
  <c r="J169" i="8"/>
  <c r="I234" i="5"/>
  <c r="H196" i="10"/>
  <c r="K35" i="9"/>
  <c r="J482" i="6"/>
  <c r="H19" i="10"/>
  <c r="H73" i="10"/>
  <c r="M376" i="11"/>
  <c r="J35" i="8"/>
  <c r="H130" i="10"/>
  <c r="H162" i="10"/>
  <c r="I508" i="5"/>
  <c r="I23" i="5"/>
  <c r="H409" i="10"/>
  <c r="M539" i="11"/>
  <c r="H519" i="10"/>
  <c r="I291" i="7"/>
  <c r="I411" i="5"/>
  <c r="M543" i="11"/>
  <c r="J31" i="8"/>
  <c r="I74" i="7"/>
  <c r="I704" i="7"/>
  <c r="I139" i="5"/>
  <c r="K170" i="9"/>
  <c r="I335" i="5"/>
  <c r="J537" i="8"/>
  <c r="K562" i="9"/>
  <c r="M244" i="11"/>
  <c r="J483" i="6"/>
  <c r="M211" i="11"/>
  <c r="J64" i="6"/>
  <c r="K116" i="9"/>
  <c r="I671" i="7"/>
  <c r="J257" i="8"/>
  <c r="I559" i="7"/>
  <c r="K88" i="9"/>
  <c r="I440" i="7"/>
  <c r="J506" i="6"/>
  <c r="K537" i="9"/>
  <c r="J183" i="6"/>
  <c r="M478" i="11"/>
  <c r="M407" i="11"/>
  <c r="M482" i="11"/>
  <c r="J166" i="8"/>
  <c r="K653" i="9"/>
  <c r="M614" i="11"/>
  <c r="H485" i="10"/>
  <c r="J190" i="6"/>
  <c r="J199" i="6"/>
  <c r="K157" i="9"/>
  <c r="I653" i="5"/>
  <c r="J374" i="8"/>
  <c r="K147" i="9"/>
  <c r="I275" i="5"/>
  <c r="J213" i="8"/>
  <c r="H204" i="10"/>
  <c r="K624" i="9"/>
  <c r="I376" i="5"/>
  <c r="I294" i="7"/>
  <c r="J448" i="6"/>
  <c r="I674" i="7"/>
  <c r="J422" i="8"/>
  <c r="J391" i="6"/>
  <c r="K30" i="9"/>
  <c r="J468" i="6"/>
  <c r="J121" i="6"/>
  <c r="M379" i="11"/>
  <c r="H68" i="10"/>
  <c r="J485" i="6"/>
  <c r="K605" i="9"/>
  <c r="K566" i="9"/>
  <c r="H417" i="10"/>
  <c r="J38" i="8"/>
  <c r="K527" i="9"/>
  <c r="K482" i="9"/>
  <c r="H192" i="10"/>
  <c r="I243" i="5"/>
  <c r="M50" i="11"/>
  <c r="I310" i="7"/>
  <c r="H201" i="10"/>
  <c r="M572" i="11"/>
  <c r="I111" i="7"/>
  <c r="M509" i="11"/>
  <c r="I6" i="7"/>
  <c r="J318" i="8"/>
  <c r="I52" i="7"/>
  <c r="K519" i="9"/>
  <c r="K84" i="9"/>
  <c r="H349" i="10"/>
  <c r="M196" i="11"/>
  <c r="I693" i="5"/>
  <c r="M711" i="11"/>
  <c r="J277" i="6"/>
  <c r="J376" i="8"/>
  <c r="I170" i="7"/>
  <c r="J450" i="8"/>
  <c r="I89" i="7"/>
  <c r="K644" i="9"/>
  <c r="I70" i="5"/>
  <c r="K513" i="9"/>
  <c r="J503" i="8"/>
  <c r="J48" i="6"/>
  <c r="I110" i="7"/>
  <c r="J120" i="6"/>
  <c r="I30" i="7"/>
  <c r="M369" i="11"/>
  <c r="I312" i="5"/>
  <c r="M532" i="11"/>
  <c r="J261" i="6"/>
  <c r="J294" i="6"/>
  <c r="H169" i="10"/>
  <c r="J362" i="6"/>
  <c r="H249" i="10"/>
  <c r="K43" i="9"/>
  <c r="I253" i="5"/>
  <c r="M435" i="11"/>
  <c r="J262" i="8"/>
  <c r="J528" i="6"/>
  <c r="H416" i="10"/>
  <c r="J82" i="8"/>
  <c r="I483" i="7"/>
  <c r="K349" i="9"/>
  <c r="I415" i="5"/>
  <c r="M62" i="11"/>
  <c r="J27" i="6"/>
  <c r="J246" i="8"/>
  <c r="I297" i="7"/>
  <c r="J330" i="8"/>
  <c r="I216" i="7"/>
  <c r="K674" i="9"/>
  <c r="J367" i="6"/>
  <c r="K45" i="9"/>
  <c r="I535" i="7"/>
  <c r="I698" i="7"/>
  <c r="H59" i="10"/>
  <c r="I616" i="7"/>
  <c r="H116" i="10"/>
  <c r="I8" i="5"/>
  <c r="J361" i="6"/>
  <c r="M203" i="11"/>
  <c r="I485" i="5"/>
  <c r="I677" i="7"/>
  <c r="M63" i="11"/>
  <c r="I589" i="7"/>
  <c r="M142" i="11"/>
  <c r="I610" i="5"/>
  <c r="J157" i="6"/>
  <c r="K175" i="9"/>
  <c r="K694" i="9"/>
  <c r="K613" i="9"/>
  <c r="J131" i="6"/>
  <c r="H381" i="10"/>
  <c r="M570" i="11"/>
  <c r="M638" i="11"/>
  <c r="J434" i="6"/>
  <c r="I607" i="7"/>
  <c r="I398" i="5"/>
  <c r="M58" i="11"/>
  <c r="I606" i="5"/>
  <c r="I710" i="7"/>
  <c r="K339" i="9"/>
  <c r="M93" i="11"/>
  <c r="I94" i="7"/>
  <c r="H172" i="10"/>
  <c r="J192" i="6"/>
  <c r="M422" i="11"/>
  <c r="I331" i="5"/>
  <c r="J239" i="8"/>
  <c r="K569" i="9"/>
  <c r="I546" i="7"/>
  <c r="K355" i="9"/>
  <c r="H382" i="10"/>
  <c r="K186" i="9"/>
  <c r="K109" i="9"/>
  <c r="K652" i="9"/>
  <c r="J276" i="8"/>
  <c r="K27" i="9"/>
  <c r="I150" i="7"/>
  <c r="I315" i="5"/>
  <c r="K446" i="9"/>
  <c r="I318" i="5"/>
  <c r="I266" i="7"/>
  <c r="I394" i="5"/>
  <c r="K597" i="9"/>
  <c r="I704" i="5"/>
  <c r="J227" i="6"/>
  <c r="K142" i="9"/>
  <c r="J32" i="8"/>
  <c r="K39" i="9"/>
  <c r="M139" i="11"/>
  <c r="I54" i="5"/>
  <c r="J10" i="8"/>
  <c r="K101" i="9"/>
  <c r="I68" i="7"/>
  <c r="M425" i="11"/>
  <c r="J514" i="6"/>
  <c r="I222" i="5"/>
  <c r="K83" i="9"/>
  <c r="M7" i="11"/>
  <c r="I344" i="5"/>
  <c r="I476" i="5"/>
  <c r="J283" i="6"/>
  <c r="K633" i="9"/>
  <c r="J337" i="6"/>
  <c r="I459" i="5"/>
  <c r="I601" i="5"/>
  <c r="J41" i="6"/>
  <c r="K265" i="9"/>
  <c r="H60" i="10"/>
  <c r="M441" i="11"/>
  <c r="M516" i="11"/>
  <c r="J217" i="6"/>
  <c r="M83" i="11"/>
  <c r="I266" i="5"/>
  <c r="I705" i="7"/>
  <c r="I393" i="7"/>
  <c r="I358" i="7"/>
  <c r="I324" i="5"/>
  <c r="J131" i="8"/>
  <c r="J146" i="8"/>
  <c r="J150" i="8"/>
  <c r="H208" i="10"/>
  <c r="H221" i="10"/>
  <c r="H237" i="10"/>
  <c r="M390" i="11"/>
  <c r="I536" i="5"/>
  <c r="J217" i="8"/>
  <c r="J229" i="8"/>
  <c r="J234" i="8"/>
  <c r="H277" i="10"/>
  <c r="H323" i="10"/>
  <c r="M489" i="11"/>
  <c r="H276" i="10"/>
  <c r="J50" i="8"/>
  <c r="H146" i="10"/>
  <c r="I7" i="7"/>
  <c r="I528" i="7"/>
  <c r="J20" i="8"/>
  <c r="K561" i="9"/>
  <c r="J266" i="8"/>
  <c r="I303" i="5"/>
  <c r="H69" i="10"/>
  <c r="H111" i="10"/>
  <c r="M499" i="11"/>
  <c r="J239" i="6"/>
  <c r="I121" i="7"/>
  <c r="I349" i="5"/>
  <c r="I627" i="7"/>
  <c r="I596" i="7"/>
  <c r="M125" i="11"/>
  <c r="M498" i="11"/>
  <c r="I162" i="7"/>
  <c r="K436" i="9"/>
  <c r="K278" i="9"/>
  <c r="K243" i="9"/>
  <c r="M32" i="11"/>
  <c r="M92" i="11"/>
  <c r="M160" i="11"/>
  <c r="M385" i="11"/>
  <c r="K119" i="9"/>
  <c r="M239" i="11"/>
  <c r="M405" i="11"/>
  <c r="M419" i="11"/>
  <c r="M316" i="11"/>
  <c r="M434" i="11"/>
  <c r="M472" i="11"/>
  <c r="M457" i="11"/>
  <c r="J474" i="6"/>
  <c r="I663" i="7"/>
  <c r="J170" i="8"/>
  <c r="J461" i="6"/>
  <c r="I124" i="5"/>
  <c r="J390" i="6"/>
  <c r="K214" i="9"/>
  <c r="H502" i="10"/>
  <c r="I688" i="5"/>
  <c r="M589" i="11"/>
  <c r="M77" i="11"/>
  <c r="J223" i="8"/>
  <c r="H424" i="10"/>
  <c r="H464" i="10"/>
  <c r="J108" i="6"/>
  <c r="K481" i="9"/>
  <c r="H218" i="10"/>
  <c r="K19" i="9"/>
  <c r="J316" i="8"/>
  <c r="I237" i="5"/>
  <c r="I528" i="5"/>
  <c r="K598" i="9"/>
  <c r="I400" i="7"/>
  <c r="I332" i="5"/>
  <c r="K52" i="9"/>
  <c r="K466" i="9"/>
  <c r="M277" i="11"/>
  <c r="J296" i="6"/>
  <c r="H134" i="10"/>
  <c r="J402" i="6"/>
  <c r="J423" i="6"/>
  <c r="H397" i="10"/>
  <c r="K455" i="9"/>
  <c r="I713" i="5"/>
  <c r="I129" i="5"/>
  <c r="J173" i="8"/>
  <c r="J99" i="6"/>
  <c r="I496" i="5"/>
  <c r="J418" i="8"/>
  <c r="J175" i="8"/>
  <c r="M90" i="11"/>
  <c r="J531" i="6"/>
  <c r="I167" i="7"/>
  <c r="J151" i="8"/>
  <c r="J243" i="8"/>
  <c r="M195" i="11"/>
  <c r="J493" i="6"/>
  <c r="I536" i="7"/>
  <c r="J536" i="6"/>
  <c r="K54" i="9"/>
  <c r="M178" i="11"/>
  <c r="M408" i="11"/>
  <c r="I703" i="5"/>
  <c r="J167" i="8"/>
  <c r="I239" i="7"/>
  <c r="I383" i="7"/>
  <c r="K361" i="9"/>
  <c r="K494" i="9"/>
  <c r="I161" i="5"/>
  <c r="J232" i="8"/>
  <c r="H95" i="10"/>
  <c r="I303" i="7"/>
  <c r="K284" i="9"/>
  <c r="K408" i="9"/>
  <c r="H442" i="10"/>
  <c r="M653" i="11"/>
  <c r="J509" i="6"/>
  <c r="M440" i="11"/>
  <c r="M70" i="11"/>
  <c r="K36" i="9"/>
  <c r="I229" i="7"/>
  <c r="H490" i="10"/>
  <c r="H120" i="10"/>
  <c r="I678" i="5"/>
  <c r="I141" i="5"/>
  <c r="I369" i="7"/>
  <c r="M383" i="11"/>
  <c r="K378" i="9"/>
  <c r="I684" i="7"/>
  <c r="M140" i="11"/>
  <c r="J539" i="8"/>
  <c r="I208" i="7"/>
  <c r="I327" i="7"/>
  <c r="J48" i="8"/>
  <c r="J86" i="8"/>
  <c r="I417" i="5"/>
  <c r="J122" i="8"/>
  <c r="M352" i="11"/>
  <c r="J337" i="8"/>
  <c r="I554" i="5"/>
  <c r="K382" i="9"/>
  <c r="J11" i="6"/>
  <c r="I550" i="7"/>
  <c r="H143" i="10"/>
  <c r="H205" i="10"/>
  <c r="J358" i="6"/>
  <c r="J25" i="6"/>
  <c r="H262" i="10"/>
  <c r="H293" i="10"/>
  <c r="K510" i="9"/>
  <c r="J443" i="8"/>
  <c r="H92" i="10"/>
  <c r="M599" i="11"/>
  <c r="J46" i="6"/>
  <c r="K218" i="9"/>
  <c r="I518" i="7"/>
  <c r="M533" i="11"/>
  <c r="H367" i="10"/>
  <c r="K292" i="9"/>
  <c r="I95" i="5"/>
  <c r="I688" i="7"/>
  <c r="K87" i="9"/>
  <c r="H136" i="10"/>
  <c r="H223" i="10"/>
  <c r="J191" i="6"/>
  <c r="I463" i="7"/>
  <c r="J211" i="8"/>
  <c r="H534" i="10"/>
  <c r="I342" i="5"/>
  <c r="H449" i="10"/>
  <c r="H34" i="10"/>
  <c r="I353" i="7"/>
  <c r="K573" i="9"/>
  <c r="I371" i="7"/>
  <c r="H413" i="10"/>
  <c r="I574" i="5"/>
  <c r="I500" i="7"/>
  <c r="I311" i="5"/>
  <c r="I336" i="5"/>
  <c r="H124" i="10"/>
  <c r="M511" i="11"/>
  <c r="I401" i="5"/>
  <c r="I426" i="5"/>
  <c r="H203" i="10"/>
  <c r="M557" i="11"/>
  <c r="M37" i="11"/>
  <c r="J161" i="6"/>
  <c r="K554" i="9"/>
  <c r="I104" i="7"/>
  <c r="I479" i="5"/>
  <c r="I128" i="7"/>
  <c r="J490" i="8"/>
  <c r="J247" i="6"/>
  <c r="K552" i="9"/>
  <c r="M172" i="11"/>
  <c r="I216" i="5"/>
  <c r="J46" i="8"/>
  <c r="I27" i="7"/>
  <c r="J445" i="8"/>
  <c r="I407" i="5"/>
  <c r="M363" i="11"/>
  <c r="K10" i="9"/>
  <c r="J491" i="6"/>
  <c r="J385" i="6"/>
  <c r="H279" i="10"/>
  <c r="I534" i="7"/>
  <c r="I70" i="7"/>
  <c r="M370" i="11"/>
  <c r="M458" i="11"/>
  <c r="J271" i="6"/>
  <c r="H269" i="10"/>
  <c r="M567" i="11"/>
  <c r="M665" i="11"/>
  <c r="M640" i="11"/>
  <c r="I630" i="5"/>
  <c r="I96" i="5"/>
  <c r="K237" i="9"/>
  <c r="H64" i="10"/>
  <c r="I487" i="5"/>
  <c r="H256" i="10"/>
  <c r="I696" i="5"/>
  <c r="H503" i="10"/>
  <c r="K623" i="9"/>
  <c r="K486" i="9"/>
  <c r="I521" i="5"/>
  <c r="J28" i="6"/>
  <c r="I103" i="5"/>
  <c r="J459" i="6"/>
  <c r="I718" i="5"/>
  <c r="I250" i="5"/>
  <c r="M395" i="11"/>
  <c r="J389" i="8"/>
  <c r="I147" i="7"/>
  <c r="J470" i="8"/>
  <c r="I69" i="7"/>
  <c r="I213" i="7"/>
  <c r="I152" i="5"/>
  <c r="J185" i="6"/>
  <c r="I77" i="7"/>
  <c r="J63" i="6"/>
  <c r="I90" i="7"/>
  <c r="J139" i="6"/>
  <c r="I10" i="7"/>
  <c r="K571" i="9"/>
  <c r="I326" i="5"/>
  <c r="H308" i="10"/>
  <c r="H474" i="10"/>
  <c r="J307" i="6"/>
  <c r="H182" i="10"/>
  <c r="J380" i="6"/>
  <c r="H266" i="10"/>
  <c r="I529" i="5"/>
  <c r="I350" i="5"/>
  <c r="M524" i="11"/>
  <c r="K294" i="9"/>
  <c r="J19" i="8"/>
  <c r="H428" i="10"/>
  <c r="J102" i="8"/>
  <c r="I466" i="7"/>
  <c r="I668" i="5"/>
  <c r="I435" i="5"/>
  <c r="I645" i="5"/>
  <c r="M222" i="11"/>
  <c r="J260" i="8"/>
  <c r="I277" i="7"/>
  <c r="J354" i="8"/>
  <c r="I197" i="7"/>
  <c r="I513" i="7"/>
  <c r="J394" i="6"/>
  <c r="J336" i="6"/>
  <c r="K667" i="9"/>
  <c r="I675" i="7"/>
  <c r="H75" i="10"/>
  <c r="I597" i="7"/>
  <c r="H140" i="10"/>
  <c r="K405" i="9"/>
  <c r="J398" i="6"/>
  <c r="M226" i="11"/>
  <c r="I644" i="7"/>
  <c r="I658" i="7"/>
  <c r="M99" i="11"/>
  <c r="I568" i="7"/>
  <c r="M167" i="11"/>
  <c r="I531" i="5"/>
  <c r="K286" i="9"/>
  <c r="J306" i="6"/>
  <c r="I690" i="7"/>
  <c r="J222" i="6"/>
  <c r="M677" i="11"/>
  <c r="I545" i="5"/>
  <c r="I647" i="5"/>
  <c r="I709" i="7"/>
  <c r="H433" i="10"/>
  <c r="I271" i="7"/>
  <c r="I697" i="5"/>
  <c r="I513" i="5"/>
  <c r="K689" i="9"/>
  <c r="J219" i="6"/>
  <c r="K302" i="9"/>
  <c r="J40" i="8"/>
  <c r="K366" i="9"/>
  <c r="J459" i="8"/>
  <c r="I348" i="5"/>
  <c r="I50" i="5"/>
  <c r="K650" i="9"/>
  <c r="I531" i="7"/>
  <c r="K124" i="9"/>
  <c r="J288" i="8"/>
  <c r="J411" i="8"/>
  <c r="K412" i="9"/>
  <c r="J255" i="6"/>
  <c r="J321" i="6"/>
  <c r="M479" i="11"/>
  <c r="J430" i="8"/>
  <c r="J182" i="6"/>
  <c r="I637" i="7"/>
  <c r="H426" i="10"/>
  <c r="J91" i="8"/>
  <c r="H43" i="10"/>
  <c r="H345" i="10"/>
  <c r="H494" i="10"/>
  <c r="I290" i="7"/>
  <c r="I315" i="7"/>
  <c r="I377" i="7"/>
  <c r="I380" i="5"/>
  <c r="I234" i="7"/>
  <c r="J7" i="8"/>
  <c r="I720" i="7"/>
  <c r="J186" i="6"/>
  <c r="I444" i="5"/>
  <c r="I609" i="7"/>
  <c r="I399" i="7"/>
  <c r="I25" i="5"/>
  <c r="I28" i="7"/>
  <c r="J47" i="8"/>
  <c r="I345" i="7"/>
  <c r="K487" i="9"/>
  <c r="I178" i="5"/>
  <c r="I467" i="5"/>
  <c r="I20" i="5"/>
  <c r="K78" i="9"/>
  <c r="K707" i="9"/>
  <c r="J412" i="8"/>
  <c r="J293" i="8"/>
  <c r="J89" i="8"/>
  <c r="J51" i="6"/>
  <c r="I223" i="7"/>
  <c r="J412" i="6"/>
  <c r="M361" i="11"/>
  <c r="H187" i="10"/>
  <c r="J95" i="6"/>
  <c r="M559" i="11"/>
  <c r="H300" i="10"/>
  <c r="I369" i="5"/>
  <c r="I498" i="5"/>
  <c r="I194" i="7"/>
  <c r="I599" i="5"/>
  <c r="I242" i="7"/>
  <c r="H98" i="10"/>
  <c r="I436" i="7"/>
  <c r="I313" i="7"/>
  <c r="I588" i="5"/>
  <c r="J192" i="8"/>
  <c r="M454" i="11"/>
  <c r="H199" i="10"/>
  <c r="J59" i="6"/>
  <c r="J226" i="8"/>
  <c r="K18" i="9"/>
  <c r="M183" i="11"/>
  <c r="J201" i="8"/>
  <c r="H317" i="10"/>
  <c r="H273" i="10"/>
  <c r="I334" i="7"/>
  <c r="I717" i="5"/>
  <c r="I41" i="5"/>
  <c r="K617" i="9"/>
  <c r="K166" i="9"/>
  <c r="J302" i="8"/>
  <c r="K136" i="9"/>
  <c r="I387" i="7"/>
  <c r="K649" i="9"/>
  <c r="I557" i="7"/>
  <c r="J15" i="6"/>
  <c r="K420" i="9"/>
  <c r="I202" i="5"/>
  <c r="J492" i="6"/>
  <c r="I125" i="7"/>
  <c r="I85" i="7"/>
  <c r="J88" i="8"/>
  <c r="J292" i="8"/>
  <c r="I153" i="7"/>
  <c r="K59" i="9"/>
  <c r="H149" i="10"/>
  <c r="J326" i="6"/>
  <c r="I361" i="5"/>
  <c r="I21" i="5"/>
  <c r="M163" i="11"/>
  <c r="M212" i="11"/>
  <c r="I125" i="5"/>
  <c r="H23" i="10"/>
  <c r="J91" i="6"/>
  <c r="J511" i="8"/>
  <c r="H112" i="10"/>
  <c r="K171" i="9"/>
  <c r="I370" i="5"/>
  <c r="I332" i="7"/>
  <c r="I357" i="7"/>
  <c r="H337" i="10"/>
  <c r="I230" i="7"/>
  <c r="J429" i="8"/>
  <c r="I118" i="5"/>
  <c r="M404" i="11"/>
  <c r="I218" i="5"/>
  <c r="M469" i="11"/>
  <c r="I245" i="7"/>
  <c r="J207" i="8"/>
  <c r="I701" i="5"/>
  <c r="I120" i="7"/>
  <c r="J59" i="8"/>
  <c r="I380" i="7"/>
  <c r="I56" i="5"/>
  <c r="J391" i="8"/>
  <c r="J51" i="8"/>
  <c r="J110" i="8"/>
  <c r="K413" i="9"/>
  <c r="I274" i="7"/>
  <c r="I491" i="7"/>
  <c r="K422" i="9"/>
  <c r="K260" i="9"/>
  <c r="K295" i="9"/>
  <c r="M372" i="11"/>
  <c r="I88" i="7"/>
  <c r="I36" i="7"/>
  <c r="I19" i="7"/>
  <c r="I429" i="7"/>
  <c r="I329" i="5"/>
  <c r="K600" i="9"/>
  <c r="K471" i="9"/>
  <c r="K474" i="9"/>
  <c r="K168" i="9"/>
  <c r="K89" i="9"/>
  <c r="J58" i="8"/>
  <c r="H288" i="10"/>
  <c r="I39" i="5"/>
  <c r="J340" i="6"/>
  <c r="H316" i="10"/>
  <c r="H114" i="10"/>
  <c r="I533" i="7"/>
  <c r="J509" i="8"/>
  <c r="I427" i="7"/>
  <c r="M54" i="11"/>
  <c r="K337" i="9"/>
  <c r="I411" i="7"/>
  <c r="K656" i="9"/>
  <c r="I284" i="5"/>
  <c r="I204" i="5"/>
  <c r="I319" i="7"/>
  <c r="M149" i="11"/>
  <c r="I447" i="5"/>
  <c r="H373" i="10"/>
  <c r="K327" i="9"/>
  <c r="M584" i="11"/>
  <c r="J166" i="6"/>
  <c r="I573" i="7"/>
  <c r="I506" i="5"/>
  <c r="I169" i="7"/>
  <c r="I572" i="5"/>
  <c r="I66" i="5"/>
  <c r="J135" i="6"/>
  <c r="K629" i="9"/>
  <c r="K311" i="9"/>
  <c r="I577" i="7"/>
  <c r="I538" i="7"/>
  <c r="K104" i="9"/>
  <c r="J165" i="6"/>
  <c r="I618" i="5"/>
  <c r="I114" i="5"/>
  <c r="K464" i="9"/>
  <c r="J227" i="8"/>
  <c r="I92" i="5"/>
  <c r="H61" i="10"/>
  <c r="I449" i="5"/>
  <c r="H163" i="10"/>
  <c r="I685" i="7"/>
  <c r="I62" i="7"/>
  <c r="K575" i="9"/>
  <c r="J494" i="6"/>
  <c r="J286" i="8"/>
  <c r="I29" i="7"/>
  <c r="J278" i="6"/>
  <c r="J255" i="8"/>
  <c r="I615" i="7"/>
  <c r="M213" i="11"/>
  <c r="I659" i="5"/>
  <c r="K438" i="9"/>
  <c r="J123" i="6"/>
  <c r="I206" i="5"/>
  <c r="K386" i="9"/>
  <c r="J174" i="8"/>
  <c r="K406" i="9"/>
  <c r="I207" i="7"/>
  <c r="I617" i="7"/>
  <c r="I270" i="7"/>
  <c r="M297" i="11"/>
  <c r="I296" i="5"/>
  <c r="I705" i="5"/>
  <c r="M75" i="11"/>
  <c r="I539" i="7"/>
  <c r="J97" i="8"/>
  <c r="M659" i="11"/>
  <c r="K122" i="9"/>
  <c r="J298" i="6"/>
  <c r="I45" i="7"/>
  <c r="H516" i="10"/>
  <c r="M712" i="11"/>
  <c r="I33" i="7"/>
  <c r="J331" i="8"/>
  <c r="J75" i="8"/>
  <c r="J230" i="8"/>
  <c r="K53" i="9"/>
  <c r="H157" i="10"/>
  <c r="I325" i="7"/>
  <c r="K66" i="9"/>
  <c r="J500" i="6"/>
  <c r="K68" i="9"/>
  <c r="K28" i="9"/>
  <c r="M182" i="11"/>
  <c r="H254" i="10"/>
  <c r="I72" i="5"/>
  <c r="J92" i="6"/>
  <c r="K25" i="9"/>
  <c r="I242" i="5"/>
  <c r="J463" i="8"/>
  <c r="K64" i="9"/>
  <c r="J540" i="8"/>
  <c r="M16" i="11"/>
  <c r="M252" i="11"/>
  <c r="J362" i="8"/>
  <c r="J405" i="6"/>
  <c r="M625" i="11"/>
  <c r="H267" i="10"/>
  <c r="I644" i="5"/>
  <c r="K610" i="9"/>
  <c r="I224" i="5"/>
  <c r="K181" i="9"/>
  <c r="H102" i="10"/>
  <c r="J271" i="8"/>
  <c r="I256" i="7"/>
  <c r="I494" i="5"/>
  <c r="I101" i="5"/>
  <c r="M580" i="11"/>
  <c r="K699" i="9"/>
  <c r="M512" i="11"/>
  <c r="I696" i="7"/>
  <c r="I454" i="7"/>
  <c r="J465" i="8"/>
  <c r="J507" i="8"/>
  <c r="J534" i="8"/>
  <c r="I390" i="7"/>
  <c r="K675" i="9"/>
  <c r="K23" i="9"/>
  <c r="J352" i="6"/>
  <c r="M642" i="11"/>
  <c r="J146" i="6"/>
  <c r="H154" i="10"/>
  <c r="M487" i="11"/>
  <c r="M585" i="11"/>
  <c r="J279" i="8"/>
  <c r="J138" i="6"/>
  <c r="J154" i="6"/>
  <c r="J159" i="6"/>
  <c r="H368" i="10"/>
  <c r="H376" i="10"/>
  <c r="H401" i="10"/>
  <c r="K460" i="9"/>
  <c r="I648" i="7"/>
  <c r="J214" i="6"/>
  <c r="J234" i="6"/>
  <c r="J241" i="6"/>
  <c r="H450" i="10"/>
  <c r="H457" i="10"/>
  <c r="H476" i="10"/>
  <c r="K384" i="9"/>
  <c r="K31" i="9"/>
  <c r="J106" i="6"/>
  <c r="J325" i="6"/>
  <c r="I186" i="7"/>
  <c r="I489" i="5"/>
  <c r="I267" i="7"/>
  <c r="M148" i="11"/>
  <c r="I656" i="5"/>
  <c r="I618" i="7"/>
  <c r="M88" i="11"/>
  <c r="M127" i="11"/>
  <c r="I58" i="7"/>
  <c r="I270" i="5"/>
  <c r="I228" i="7"/>
  <c r="J310" i="8"/>
  <c r="I314" i="5"/>
  <c r="H100" i="10"/>
  <c r="H126" i="10"/>
  <c r="M503" i="11"/>
  <c r="I665" i="5"/>
  <c r="I679" i="5"/>
  <c r="I681" i="5"/>
  <c r="H446" i="10"/>
  <c r="H473" i="10"/>
  <c r="I474" i="7"/>
  <c r="K396" i="9"/>
  <c r="J408" i="6"/>
  <c r="J26" i="6"/>
  <c r="J40" i="6"/>
  <c r="J42" i="6"/>
  <c r="I430" i="7"/>
  <c r="I409" i="7"/>
  <c r="I394" i="7"/>
  <c r="K312" i="9"/>
  <c r="M651" i="11"/>
  <c r="I463" i="5"/>
  <c r="I619" i="7"/>
  <c r="M652" i="11"/>
  <c r="H240" i="10"/>
  <c r="I582" i="5"/>
  <c r="M550" i="11"/>
  <c r="H27" i="10"/>
  <c r="I298" i="7"/>
  <c r="K69" i="9"/>
  <c r="M690" i="11"/>
  <c r="I105" i="5"/>
  <c r="I306" i="5"/>
  <c r="J462" i="8"/>
  <c r="K369" i="9"/>
  <c r="I359" i="5"/>
  <c r="J291" i="8"/>
  <c r="H343" i="10"/>
  <c r="I131" i="7"/>
  <c r="I416" i="7"/>
  <c r="I290" i="5"/>
  <c r="J495" i="6"/>
  <c r="I633" i="7"/>
  <c r="M508" i="11"/>
  <c r="J493" i="8"/>
  <c r="K32" i="9"/>
  <c r="I308" i="5"/>
  <c r="I720" i="5"/>
  <c r="J299" i="6"/>
  <c r="M193" i="11"/>
  <c r="I549" i="7"/>
  <c r="I448" i="7"/>
  <c r="M325" i="11"/>
  <c r="M283" i="11"/>
  <c r="I554" i="7"/>
  <c r="J322" i="8"/>
  <c r="I138" i="5"/>
  <c r="J104" i="6"/>
  <c r="J329" i="6"/>
  <c r="I158" i="7"/>
  <c r="I425" i="7"/>
  <c r="I399" i="5"/>
  <c r="J71" i="6"/>
  <c r="K335" i="9"/>
  <c r="J209" i="8"/>
  <c r="M22" i="11"/>
  <c r="I308" i="7"/>
  <c r="M634" i="11"/>
  <c r="I588" i="7"/>
  <c r="J83" i="6"/>
  <c r="M136" i="11"/>
  <c r="I312" i="7"/>
  <c r="M417" i="11"/>
  <c r="J140" i="8"/>
  <c r="I258" i="7"/>
  <c r="I398" i="7"/>
  <c r="K383" i="9"/>
  <c r="K583" i="9"/>
  <c r="M79" i="11"/>
  <c r="J219" i="8"/>
  <c r="H87" i="10"/>
  <c r="I323" i="7"/>
  <c r="K306" i="9"/>
  <c r="K415" i="9"/>
  <c r="M152" i="11"/>
  <c r="J216" i="8"/>
  <c r="I652" i="5"/>
  <c r="H71" i="10"/>
  <c r="J485" i="8"/>
  <c r="J226" i="6"/>
  <c r="K16" i="9"/>
  <c r="M483" i="11"/>
  <c r="H88" i="10"/>
  <c r="K677" i="9"/>
  <c r="I134" i="5"/>
  <c r="J266" i="6"/>
  <c r="M366" i="11"/>
  <c r="I461" i="7"/>
  <c r="M381" i="11"/>
  <c r="J338" i="6"/>
  <c r="I373" i="5"/>
  <c r="J156" i="8"/>
  <c r="I113" i="7"/>
  <c r="K333" i="9"/>
  <c r="J475" i="6"/>
  <c r="J101" i="8"/>
  <c r="I486" i="5"/>
  <c r="K416" i="9"/>
  <c r="K204" i="9"/>
  <c r="M547" i="11"/>
  <c r="J135" i="8"/>
  <c r="H222" i="10"/>
  <c r="J457" i="6"/>
  <c r="J484" i="6"/>
  <c r="H57" i="10"/>
  <c r="M129" i="11"/>
  <c r="J14" i="8"/>
  <c r="J42" i="8"/>
  <c r="H147" i="10"/>
  <c r="M237" i="11"/>
  <c r="J49" i="6"/>
  <c r="M639" i="11"/>
  <c r="K290" i="9"/>
  <c r="H488" i="10"/>
  <c r="J144" i="6"/>
  <c r="J204" i="6"/>
  <c r="H174" i="10"/>
  <c r="I414" i="5"/>
  <c r="H414" i="10"/>
  <c r="M430" i="11"/>
  <c r="M620" i="11"/>
  <c r="I359" i="7"/>
  <c r="M124" i="11"/>
  <c r="J267" i="6"/>
  <c r="K595" i="9"/>
  <c r="K463" i="9"/>
  <c r="M76" i="11"/>
  <c r="I285" i="7"/>
  <c r="J296" i="8"/>
  <c r="M476" i="11"/>
  <c r="I508" i="7"/>
  <c r="K317" i="9"/>
  <c r="I561" i="5"/>
  <c r="I521" i="7"/>
  <c r="I533" i="5"/>
  <c r="H93" i="10"/>
  <c r="J17" i="8"/>
  <c r="K92" i="9"/>
  <c r="M394" i="11"/>
  <c r="M523" i="11"/>
  <c r="M444" i="11"/>
  <c r="M36" i="11"/>
  <c r="H528" i="10"/>
  <c r="K638" i="9"/>
  <c r="M681" i="11"/>
  <c r="M132" i="11"/>
  <c r="I65" i="7"/>
  <c r="I516" i="7"/>
  <c r="J203" i="6"/>
  <c r="M117" i="11"/>
  <c r="J424" i="6"/>
  <c r="K107" i="9"/>
  <c r="J212" i="8"/>
  <c r="H170" i="10"/>
  <c r="H227" i="10"/>
  <c r="M103" i="11"/>
  <c r="J303" i="8"/>
  <c r="I529" i="7"/>
  <c r="K717" i="9"/>
  <c r="I119" i="7"/>
  <c r="J378" i="6"/>
  <c r="H265" i="10"/>
  <c r="K74" i="9"/>
  <c r="M646" i="11"/>
  <c r="M406" i="11"/>
  <c r="M445" i="11"/>
  <c r="J466" i="6"/>
  <c r="J487" i="6"/>
  <c r="K588" i="9"/>
  <c r="K140" i="9"/>
  <c r="J21" i="8"/>
  <c r="J43" i="8"/>
  <c r="K504" i="9"/>
  <c r="K61" i="9"/>
  <c r="H263" i="10"/>
  <c r="I180" i="5"/>
  <c r="J125" i="6"/>
  <c r="I98" i="5"/>
  <c r="J380" i="8"/>
  <c r="I81" i="7"/>
  <c r="K179" i="9"/>
  <c r="J273" i="6"/>
  <c r="M185" i="11"/>
  <c r="J348" i="6"/>
  <c r="M359" i="11"/>
  <c r="I575" i="5"/>
  <c r="I94" i="5"/>
  <c r="J400" i="8"/>
  <c r="K479" i="9"/>
  <c r="I464" i="7"/>
  <c r="K285" i="9"/>
  <c r="M428" i="11"/>
  <c r="J394" i="8"/>
  <c r="M587" i="11"/>
  <c r="J478" i="8"/>
  <c r="M655" i="11"/>
  <c r="H511" i="10"/>
  <c r="J527" i="6"/>
  <c r="M245" i="11"/>
  <c r="I37" i="7"/>
  <c r="J72" i="6"/>
  <c r="K381" i="9"/>
  <c r="J141" i="6"/>
  <c r="K304" i="9"/>
  <c r="K226" i="9"/>
  <c r="J486" i="8"/>
  <c r="K158" i="9"/>
  <c r="H498" i="10"/>
  <c r="J310" i="6"/>
  <c r="K125" i="9"/>
  <c r="J382" i="6"/>
  <c r="K46" i="9"/>
  <c r="M256" i="11"/>
  <c r="I288" i="7"/>
  <c r="K461" i="9"/>
  <c r="K253" i="9"/>
  <c r="J23" i="8"/>
  <c r="M165" i="11"/>
  <c r="J107" i="8"/>
  <c r="M274" i="11"/>
  <c r="H532" i="10"/>
  <c r="H213" i="10"/>
  <c r="M715" i="11"/>
  <c r="M241" i="11"/>
  <c r="J264" i="8"/>
  <c r="M415" i="11"/>
  <c r="J355" i="8"/>
  <c r="M526" i="11"/>
  <c r="K553" i="9"/>
  <c r="I71" i="7"/>
  <c r="M470" i="11"/>
  <c r="K626" i="9"/>
  <c r="I668" i="7"/>
  <c r="H489" i="10"/>
  <c r="I593" i="7"/>
  <c r="K692" i="9"/>
  <c r="H530" i="10"/>
  <c r="K685" i="9"/>
  <c r="I272" i="5"/>
  <c r="K197" i="9"/>
  <c r="I655" i="7"/>
  <c r="M484" i="11"/>
  <c r="I564" i="7"/>
  <c r="M506" i="11"/>
  <c r="M261" i="11"/>
  <c r="I565" i="7"/>
  <c r="J349" i="6"/>
  <c r="J444" i="6"/>
  <c r="I674" i="5"/>
  <c r="I257" i="5"/>
  <c r="J360" i="6"/>
  <c r="J435" i="6"/>
  <c r="H347" i="10"/>
  <c r="H455" i="10"/>
  <c r="K371" i="9"/>
  <c r="M377" i="11"/>
  <c r="J137" i="6"/>
  <c r="K256" i="9"/>
  <c r="J269" i="6"/>
  <c r="J114" i="8"/>
  <c r="J136" i="8"/>
  <c r="H211" i="10"/>
  <c r="M375" i="11"/>
  <c r="I51" i="5"/>
  <c r="I296" i="7"/>
  <c r="I215" i="7"/>
  <c r="I200" i="7"/>
  <c r="K587" i="9"/>
  <c r="K565" i="9"/>
  <c r="K548" i="9"/>
  <c r="M158" i="11"/>
  <c r="I142" i="5"/>
  <c r="H33" i="10"/>
  <c r="H107" i="10"/>
  <c r="H115" i="10"/>
  <c r="K509" i="9"/>
  <c r="K489" i="9"/>
  <c r="K465" i="9"/>
  <c r="M272" i="11"/>
  <c r="M575" i="11"/>
  <c r="I653" i="7"/>
  <c r="I586" i="5"/>
  <c r="I288" i="5"/>
  <c r="I208" i="5"/>
  <c r="M10" i="11"/>
  <c r="M706" i="11"/>
  <c r="J450" i="6"/>
  <c r="I400" i="5"/>
  <c r="I333" i="7"/>
  <c r="H351" i="10"/>
  <c r="J225" i="6"/>
  <c r="H151" i="10"/>
  <c r="H209" i="10"/>
  <c r="M538" i="11"/>
  <c r="J328" i="8"/>
  <c r="J89" i="6"/>
  <c r="H427" i="10"/>
  <c r="M697" i="11"/>
  <c r="I680" i="7"/>
  <c r="J306" i="8"/>
  <c r="M330" i="11"/>
  <c r="J187" i="8"/>
  <c r="I578" i="5"/>
  <c r="K72" i="9"/>
  <c r="K592" i="9"/>
  <c r="H448" i="10"/>
  <c r="J512" i="8"/>
  <c r="H248" i="10"/>
  <c r="J454" i="6"/>
  <c r="K476" i="9"/>
  <c r="M184" i="11"/>
  <c r="M301" i="11"/>
  <c r="I409" i="5"/>
  <c r="J431" i="6"/>
  <c r="I337" i="7"/>
  <c r="J282" i="8"/>
  <c r="I636" i="5"/>
  <c r="M474" i="11"/>
  <c r="H297" i="10"/>
  <c r="M631" i="11"/>
  <c r="I655" i="5"/>
  <c r="M23" i="11"/>
  <c r="I333" i="5"/>
  <c r="I543" i="5"/>
  <c r="I563" i="5"/>
  <c r="I541" i="7"/>
  <c r="K80" i="9"/>
  <c r="K172" i="9"/>
  <c r="M145" i="11"/>
  <c r="M449" i="11"/>
  <c r="I95" i="7"/>
  <c r="J6" i="8"/>
  <c r="K559" i="9"/>
  <c r="K520" i="9"/>
  <c r="I448" i="5"/>
  <c r="J401" i="6"/>
  <c r="J416" i="6"/>
  <c r="J425" i="6"/>
  <c r="H275" i="10"/>
  <c r="H285" i="10"/>
  <c r="H306" i="10"/>
  <c r="M17" i="11"/>
  <c r="I283" i="5"/>
  <c r="J490" i="6"/>
  <c r="J513" i="6"/>
  <c r="J515" i="6"/>
  <c r="H353" i="10"/>
  <c r="H374" i="10"/>
  <c r="H393" i="10"/>
  <c r="M120" i="11"/>
  <c r="J194" i="6"/>
  <c r="M452" i="11"/>
  <c r="I247" i="7"/>
  <c r="I540" i="7"/>
  <c r="H224" i="10"/>
  <c r="K331" i="9"/>
  <c r="M238" i="11"/>
  <c r="I24" i="7"/>
  <c r="M192" i="11"/>
  <c r="J411" i="6"/>
  <c r="J429" i="6"/>
  <c r="K127" i="9"/>
  <c r="M710" i="11"/>
  <c r="I86" i="7"/>
  <c r="K149" i="9"/>
  <c r="K117" i="9"/>
  <c r="J238" i="8"/>
  <c r="J261" i="8"/>
  <c r="K599" i="9"/>
  <c r="K606" i="9"/>
  <c r="I295" i="5"/>
  <c r="I13" i="5"/>
  <c r="H352" i="10"/>
  <c r="M15" i="11"/>
  <c r="J65" i="6"/>
  <c r="M663" i="11"/>
  <c r="I388" i="5"/>
  <c r="J472" i="6"/>
  <c r="M295" i="11"/>
  <c r="I719" i="5"/>
  <c r="J389" i="6"/>
  <c r="H239" i="10"/>
  <c r="H280" i="10"/>
  <c r="K38" i="9"/>
  <c r="J489" i="6"/>
  <c r="J512" i="6"/>
  <c r="I577" i="5"/>
  <c r="M339" i="11"/>
  <c r="M416" i="11"/>
  <c r="M411" i="11"/>
  <c r="M20" i="11"/>
  <c r="I527" i="5"/>
  <c r="I537" i="5"/>
  <c r="I539" i="5"/>
  <c r="I591" i="7"/>
  <c r="I571" i="7"/>
  <c r="I552" i="7"/>
  <c r="K112" i="9"/>
  <c r="K120" i="9"/>
  <c r="I579" i="5"/>
  <c r="I609" i="5"/>
  <c r="I613" i="5"/>
  <c r="I505" i="7"/>
  <c r="I489" i="7"/>
  <c r="I465" i="7"/>
  <c r="K33" i="9"/>
  <c r="K41" i="9"/>
  <c r="I592" i="7"/>
  <c r="H180" i="10"/>
  <c r="M460" i="11"/>
  <c r="I175" i="7"/>
  <c r="I250" i="7"/>
  <c r="I348" i="7"/>
  <c r="H138" i="10"/>
  <c r="I190" i="7"/>
  <c r="J129" i="8"/>
  <c r="I185" i="7"/>
  <c r="J414" i="8"/>
  <c r="I127" i="7"/>
  <c r="K222" i="9"/>
  <c r="K146" i="9"/>
  <c r="J503" i="6"/>
  <c r="I374" i="5"/>
  <c r="J514" i="8"/>
  <c r="J69" i="8"/>
  <c r="J56" i="8"/>
  <c r="I278" i="5"/>
  <c r="J171" i="6"/>
  <c r="K431" i="9"/>
  <c r="M459" i="11"/>
  <c r="I131" i="5"/>
  <c r="I32" i="7"/>
  <c r="M180" i="11"/>
  <c r="M622" i="11"/>
  <c r="K24" i="9"/>
  <c r="K497" i="9"/>
  <c r="I631" i="7"/>
  <c r="I610" i="7"/>
  <c r="I435" i="7"/>
  <c r="M314" i="11"/>
  <c r="J469" i="6"/>
  <c r="I132" i="5"/>
  <c r="H234" i="10"/>
  <c r="H419" i="10"/>
  <c r="J311" i="6"/>
  <c r="J420" i="8"/>
  <c r="J176" i="8"/>
  <c r="J396" i="6"/>
  <c r="J213" i="6"/>
  <c r="M709" i="11"/>
  <c r="I57" i="5"/>
  <c r="J236" i="6"/>
  <c r="J265" i="6"/>
  <c r="M397" i="11"/>
  <c r="K342" i="9"/>
  <c r="I514" i="5"/>
  <c r="I518" i="5"/>
  <c r="I567" i="5"/>
  <c r="I710" i="5"/>
  <c r="J18" i="6"/>
  <c r="I441" i="7"/>
  <c r="K346" i="9"/>
  <c r="I623" i="5"/>
  <c r="J397" i="6"/>
  <c r="J417" i="6"/>
  <c r="J426" i="6"/>
  <c r="M601" i="11"/>
  <c r="M613" i="11"/>
  <c r="M632" i="11"/>
  <c r="K183" i="9"/>
  <c r="I104" i="5"/>
  <c r="J64" i="8"/>
  <c r="J127" i="8"/>
  <c r="J147" i="8"/>
  <c r="M656" i="11"/>
  <c r="M680" i="11"/>
  <c r="M701" i="11"/>
  <c r="K106" i="9"/>
  <c r="J460" i="6"/>
  <c r="J164" i="6"/>
  <c r="J66" i="8"/>
  <c r="M310" i="11"/>
  <c r="I209" i="5"/>
  <c r="J115" i="8"/>
  <c r="J208" i="8"/>
  <c r="M695" i="11"/>
  <c r="K90" i="9"/>
  <c r="I230" i="5"/>
  <c r="J342" i="6"/>
  <c r="I151" i="5"/>
  <c r="J253" i="6"/>
  <c r="J279" i="6"/>
  <c r="I183" i="7"/>
  <c r="K94" i="9"/>
  <c r="I604" i="5"/>
  <c r="J254" i="8"/>
  <c r="J341" i="8"/>
  <c r="J359" i="8"/>
  <c r="H480" i="10"/>
  <c r="H507" i="10"/>
  <c r="H527" i="10"/>
  <c r="K55" i="9"/>
  <c r="I321" i="5"/>
  <c r="J530" i="8"/>
  <c r="I654" i="7"/>
  <c r="I638" i="7"/>
  <c r="K703" i="9"/>
  <c r="K679" i="9"/>
  <c r="K660" i="9"/>
  <c r="M46" i="11"/>
  <c r="I182" i="7"/>
  <c r="J351" i="8"/>
  <c r="I510" i="7"/>
  <c r="J372" i="8"/>
  <c r="I481" i="5"/>
  <c r="I79" i="7"/>
  <c r="H55" i="10"/>
  <c r="K118" i="9"/>
  <c r="M553" i="11"/>
  <c r="J126" i="8"/>
  <c r="M12" i="11"/>
  <c r="J520" i="6"/>
  <c r="J241" i="8"/>
  <c r="J273" i="8"/>
  <c r="H330" i="10"/>
  <c r="M544" i="11"/>
  <c r="I58" i="5"/>
  <c r="I40" i="7"/>
  <c r="H38" i="10"/>
  <c r="H50" i="10"/>
  <c r="K522" i="9"/>
  <c r="K507" i="9"/>
  <c r="K485" i="9"/>
  <c r="M243" i="11"/>
  <c r="I430" i="5"/>
  <c r="H274" i="10"/>
  <c r="H364" i="10"/>
  <c r="H389" i="10"/>
  <c r="K437" i="9"/>
  <c r="K403" i="9"/>
  <c r="K367" i="9"/>
  <c r="M356" i="11"/>
  <c r="I623" i="7"/>
  <c r="K577" i="9"/>
  <c r="J477" i="6"/>
  <c r="H66" i="10"/>
  <c r="I75" i="5"/>
  <c r="H79" i="10"/>
  <c r="H168" i="10"/>
  <c r="K418" i="9"/>
  <c r="K395" i="9"/>
  <c r="J136" i="6"/>
  <c r="K50" i="9"/>
  <c r="J288" i="6"/>
  <c r="J30" i="6"/>
  <c r="J57" i="6"/>
  <c r="I126" i="7"/>
  <c r="K398" i="9"/>
  <c r="J445" i="6"/>
  <c r="H78" i="10"/>
  <c r="H164" i="10"/>
  <c r="H183" i="10"/>
  <c r="K98" i="9"/>
  <c r="K51" i="9"/>
  <c r="K15" i="9"/>
  <c r="M581" i="11"/>
  <c r="J240" i="8"/>
  <c r="H363" i="10"/>
  <c r="H441" i="10"/>
  <c r="H470" i="10"/>
  <c r="M72" i="11"/>
  <c r="M112" i="11"/>
  <c r="M166" i="11"/>
  <c r="M669" i="11"/>
  <c r="I473" i="7"/>
  <c r="I115" i="5"/>
  <c r="I686" i="7"/>
  <c r="H286" i="10"/>
  <c r="I173" i="5"/>
  <c r="K670" i="9"/>
  <c r="K576" i="9"/>
  <c r="M713" i="11"/>
  <c r="M144" i="11"/>
  <c r="I485" i="7"/>
  <c r="J197" i="8"/>
  <c r="I512" i="7"/>
  <c r="J519" i="6"/>
  <c r="J533" i="6"/>
  <c r="H404" i="10"/>
  <c r="M141" i="11"/>
  <c r="J215" i="6"/>
  <c r="H117" i="10"/>
  <c r="H215" i="10"/>
  <c r="H226" i="10"/>
  <c r="M542" i="11"/>
  <c r="M583" i="11"/>
  <c r="M623" i="11"/>
  <c r="K621" i="9"/>
  <c r="J517" i="6"/>
  <c r="H430" i="10"/>
  <c r="I459" i="7"/>
  <c r="I443" i="7"/>
  <c r="H491" i="10"/>
  <c r="K713" i="9"/>
  <c r="K678" i="9"/>
  <c r="K543" i="9"/>
  <c r="K115" i="9"/>
  <c r="I300" i="5"/>
  <c r="J470" i="6"/>
  <c r="I355" i="7"/>
  <c r="J275" i="8"/>
  <c r="I491" i="5"/>
  <c r="J106" i="8"/>
  <c r="J144" i="8"/>
  <c r="K716" i="9"/>
  <c r="I175" i="5"/>
  <c r="H161" i="10"/>
  <c r="J19" i="6"/>
  <c r="I646" i="7"/>
  <c r="I621" i="7"/>
  <c r="H89" i="10"/>
  <c r="K720" i="9"/>
  <c r="J179" i="6"/>
  <c r="H465" i="10"/>
  <c r="H523" i="10"/>
  <c r="H537" i="10"/>
  <c r="K274" i="9"/>
  <c r="K228" i="9"/>
  <c r="K190" i="9"/>
  <c r="K300" i="9"/>
  <c r="J504" i="6"/>
  <c r="K498" i="9"/>
  <c r="K407" i="9"/>
  <c r="K390" i="9"/>
  <c r="K113" i="9"/>
  <c r="K70" i="9"/>
  <c r="K34" i="9"/>
  <c r="K217" i="9"/>
  <c r="M164" i="11"/>
  <c r="I543" i="7"/>
  <c r="K264" i="9"/>
  <c r="K128" i="9"/>
  <c r="I108" i="5"/>
  <c r="J384" i="8"/>
  <c r="H421" i="10"/>
  <c r="H469" i="10"/>
  <c r="M257" i="11"/>
  <c r="I337" i="5"/>
  <c r="K210" i="9"/>
  <c r="I594" i="5"/>
  <c r="I460" i="7"/>
  <c r="I370" i="7"/>
  <c r="M197" i="11"/>
  <c r="H479" i="10"/>
  <c r="I148" i="5"/>
  <c r="I183" i="5"/>
  <c r="I201" i="5"/>
  <c r="J347" i="8"/>
  <c r="J366" i="8"/>
  <c r="J393" i="8"/>
  <c r="K491" i="9"/>
  <c r="K496" i="9"/>
  <c r="I249" i="5"/>
  <c r="I264" i="5"/>
  <c r="I265" i="5"/>
  <c r="J427" i="8"/>
  <c r="J435" i="8"/>
  <c r="J444" i="8"/>
  <c r="K421" i="9"/>
  <c r="K428" i="9"/>
  <c r="K469" i="9"/>
  <c r="I135" i="5"/>
  <c r="K373" i="9"/>
  <c r="K283" i="9"/>
  <c r="I687" i="5"/>
  <c r="I34" i="7"/>
  <c r="M337" i="11"/>
  <c r="M574" i="11"/>
  <c r="K630" i="9"/>
  <c r="K133" i="9"/>
  <c r="I405" i="5"/>
  <c r="I442" i="5"/>
  <c r="I697" i="7"/>
  <c r="K242" i="9"/>
  <c r="I492" i="5"/>
  <c r="I512" i="5"/>
  <c r="I620" i="7"/>
  <c r="K160" i="9"/>
  <c r="H334" i="10"/>
  <c r="I11" i="7"/>
  <c r="I287" i="5"/>
  <c r="M285" i="11"/>
  <c r="H460" i="10"/>
  <c r="H326" i="10"/>
  <c r="I595" i="5"/>
  <c r="H398" i="10"/>
  <c r="J68" i="6"/>
  <c r="J93" i="6"/>
  <c r="I362" i="7"/>
  <c r="K267" i="9"/>
  <c r="J160" i="6"/>
  <c r="J180" i="6"/>
  <c r="I279" i="7"/>
  <c r="K187" i="9"/>
  <c r="H290" i="10"/>
  <c r="I320" i="5"/>
  <c r="H384" i="10"/>
  <c r="K22" i="9"/>
  <c r="M135" i="11"/>
  <c r="M271" i="11"/>
  <c r="M500" i="11"/>
  <c r="J432" i="8"/>
  <c r="K258" i="9"/>
  <c r="J225" i="8"/>
  <c r="J247" i="8"/>
  <c r="I331" i="7"/>
  <c r="I293" i="7"/>
  <c r="I420" i="5"/>
  <c r="I583" i="7"/>
  <c r="I566" i="7"/>
  <c r="I562" i="7"/>
  <c r="I255" i="7"/>
  <c r="I236" i="7"/>
  <c r="I217" i="7"/>
  <c r="K518" i="9"/>
  <c r="I507" i="5"/>
  <c r="I499" i="7"/>
  <c r="J22" i="6"/>
  <c r="J23" i="6"/>
  <c r="I178" i="7"/>
  <c r="I155" i="7"/>
  <c r="I137" i="7"/>
  <c r="K425" i="9"/>
  <c r="J433" i="6"/>
  <c r="M590" i="11"/>
  <c r="M463" i="11"/>
  <c r="J488" i="6"/>
  <c r="H94" i="10"/>
  <c r="K478" i="9"/>
  <c r="M87" i="11"/>
  <c r="I504" i="7"/>
  <c r="M9" i="11"/>
  <c r="J121" i="8"/>
  <c r="J145" i="8"/>
  <c r="H97" i="10"/>
  <c r="K208" i="9"/>
  <c r="I231" i="7"/>
  <c r="K151" i="9"/>
  <c r="K135" i="9"/>
  <c r="M80" i="11"/>
  <c r="M154" i="11"/>
  <c r="M207" i="11"/>
  <c r="M400" i="11"/>
  <c r="I397" i="7"/>
  <c r="J409" i="6"/>
  <c r="J522" i="8"/>
  <c r="H22" i="10"/>
  <c r="I516" i="5"/>
  <c r="K351" i="9"/>
  <c r="J486" i="6"/>
  <c r="I49" i="7"/>
  <c r="K628" i="9"/>
  <c r="I170" i="5"/>
  <c r="J118" i="8"/>
  <c r="H190" i="10"/>
  <c r="H217" i="10"/>
  <c r="K223" i="9"/>
  <c r="I28" i="5"/>
  <c r="M650" i="11"/>
  <c r="I429" i="5"/>
  <c r="H423" i="10"/>
  <c r="I433" i="7"/>
  <c r="K336" i="9"/>
  <c r="M391" i="11"/>
  <c r="I651" i="5"/>
  <c r="I7" i="5"/>
  <c r="I9" i="5"/>
  <c r="J196" i="8"/>
  <c r="J218" i="8"/>
  <c r="J245" i="8"/>
  <c r="K614" i="9"/>
  <c r="K620" i="9"/>
  <c r="I76" i="5"/>
  <c r="I99" i="5"/>
  <c r="I107" i="5"/>
  <c r="J307" i="8"/>
  <c r="J326" i="8"/>
  <c r="J332" i="8"/>
  <c r="K534" i="9"/>
  <c r="K542" i="9"/>
  <c r="I580" i="5"/>
  <c r="I656" i="7"/>
  <c r="J188" i="8"/>
  <c r="J205" i="6"/>
  <c r="J281" i="6"/>
  <c r="M73" i="11"/>
  <c r="M573" i="11"/>
  <c r="K568" i="9"/>
  <c r="I601" i="7"/>
  <c r="I314" i="7"/>
  <c r="I690" i="5"/>
  <c r="J70" i="8"/>
  <c r="M187" i="11"/>
  <c r="M219" i="11"/>
  <c r="I181" i="5"/>
  <c r="I240" i="5"/>
  <c r="K320" i="9"/>
  <c r="K602" i="9"/>
  <c r="J37" i="6"/>
  <c r="J532" i="8"/>
  <c r="I160" i="7"/>
  <c r="K144" i="9"/>
  <c r="I269" i="7"/>
  <c r="J290" i="8"/>
  <c r="M71" i="11"/>
  <c r="K17" i="9"/>
  <c r="M536" i="11"/>
  <c r="J536" i="8"/>
  <c r="H268" i="10"/>
  <c r="J173" i="6"/>
  <c r="J193" i="6"/>
  <c r="I487" i="7"/>
  <c r="H478" i="10"/>
  <c r="I106" i="5"/>
  <c r="J52" i="6"/>
  <c r="I241" i="7"/>
  <c r="J295" i="8"/>
  <c r="J30" i="8"/>
  <c r="I692" i="5"/>
  <c r="K539" i="9"/>
  <c r="I154" i="5"/>
  <c r="I709" i="5"/>
  <c r="K470" i="9"/>
  <c r="I163" i="7"/>
  <c r="J498" i="6"/>
  <c r="J532" i="6"/>
  <c r="K556" i="9"/>
  <c r="K108" i="9"/>
  <c r="M364" i="11"/>
  <c r="K102" i="9"/>
  <c r="I341" i="5"/>
  <c r="I560" i="5"/>
  <c r="I576" i="5"/>
  <c r="I527" i="7"/>
  <c r="K65" i="9"/>
  <c r="I18" i="5"/>
  <c r="I606" i="7"/>
  <c r="I585" i="7"/>
  <c r="I578" i="7"/>
  <c r="M123" i="11"/>
  <c r="M133" i="11"/>
  <c r="M143" i="11"/>
  <c r="M502" i="11"/>
  <c r="I121" i="5"/>
  <c r="I525" i="7"/>
  <c r="I509" i="7"/>
  <c r="I506" i="7"/>
  <c r="M205" i="11"/>
  <c r="M217" i="11"/>
  <c r="M225" i="11"/>
  <c r="M537" i="11"/>
  <c r="J60" i="8"/>
  <c r="I100" i="5"/>
  <c r="M628" i="11"/>
  <c r="I519" i="7"/>
  <c r="H251" i="10"/>
  <c r="J206" i="8"/>
  <c r="I658" i="5"/>
  <c r="K8" i="9"/>
  <c r="K121" i="9"/>
  <c r="I495" i="5"/>
  <c r="I651" i="7"/>
  <c r="I108" i="7"/>
  <c r="J149" i="6"/>
  <c r="I698" i="5"/>
  <c r="I702" i="5"/>
  <c r="H56" i="10"/>
  <c r="H72" i="10"/>
  <c r="H103" i="10"/>
  <c r="M156" i="11"/>
  <c r="I706" i="5"/>
  <c r="I353" i="5"/>
  <c r="J289" i="8"/>
  <c r="H378" i="10"/>
  <c r="I453" i="5"/>
  <c r="H521" i="10"/>
  <c r="K521" i="9"/>
  <c r="J62" i="6"/>
  <c r="I139" i="7"/>
  <c r="M485" i="11"/>
  <c r="J60" i="6"/>
  <c r="M353" i="11"/>
  <c r="M346" i="11"/>
  <c r="M413" i="11"/>
  <c r="K255" i="9"/>
  <c r="J181" i="6"/>
  <c r="M531" i="11"/>
  <c r="I227" i="5"/>
  <c r="J406" i="6"/>
  <c r="H255" i="10"/>
  <c r="H289" i="10"/>
  <c r="I211" i="5"/>
  <c r="J468" i="8"/>
  <c r="J491" i="8"/>
  <c r="J492" i="8"/>
  <c r="I444" i="7"/>
  <c r="I422" i="7"/>
  <c r="I402" i="7"/>
  <c r="K706" i="9"/>
  <c r="I307" i="5"/>
  <c r="I694" i="7"/>
  <c r="I679" i="7"/>
  <c r="I672" i="7"/>
  <c r="I367" i="7"/>
  <c r="I347" i="7"/>
  <c r="I329" i="7"/>
  <c r="K625" i="9"/>
  <c r="I707" i="7"/>
  <c r="I490" i="5"/>
  <c r="I71" i="5"/>
  <c r="M342" i="11"/>
  <c r="K307" i="9"/>
  <c r="J102" i="6"/>
  <c r="I330" i="7"/>
  <c r="K546" i="9"/>
  <c r="K6" i="9"/>
  <c r="J378" i="8"/>
  <c r="I166" i="7"/>
  <c r="I517" i="7"/>
  <c r="J221" i="8"/>
  <c r="H281" i="10"/>
  <c r="M466" i="11"/>
  <c r="J284" i="6"/>
  <c r="J533" i="8"/>
  <c r="H496" i="10"/>
  <c r="H15" i="10"/>
  <c r="I140" i="5"/>
  <c r="J39" i="8"/>
  <c r="I205" i="7"/>
  <c r="I127" i="5"/>
  <c r="M661" i="11"/>
  <c r="I146" i="5"/>
  <c r="I12" i="7"/>
  <c r="K495" i="9"/>
  <c r="I378" i="5"/>
  <c r="I8" i="7"/>
  <c r="M204" i="11"/>
  <c r="I569" i="5"/>
  <c r="J128" i="8"/>
  <c r="K164" i="9"/>
  <c r="K232" i="9"/>
  <c r="J216" i="6"/>
  <c r="M402" i="11"/>
  <c r="I247" i="5"/>
  <c r="H445" i="10"/>
  <c r="J334" i="6"/>
  <c r="I264" i="7"/>
  <c r="I401" i="7"/>
  <c r="I457" i="5"/>
  <c r="H244" i="10"/>
  <c r="K484" i="9"/>
  <c r="J351" i="6"/>
  <c r="I712" i="5"/>
  <c r="I481" i="7"/>
  <c r="I437" i="7"/>
  <c r="I136" i="7"/>
  <c r="J481" i="6"/>
  <c r="K601" i="9"/>
  <c r="I89" i="5"/>
  <c r="J256" i="6"/>
  <c r="J282" i="6"/>
  <c r="M412" i="11"/>
  <c r="K324" i="9"/>
  <c r="K603" i="9"/>
  <c r="M174" i="11"/>
  <c r="M486" i="11"/>
  <c r="M504" i="11"/>
  <c r="M670" i="11"/>
  <c r="J462" i="6"/>
  <c r="M616" i="11"/>
  <c r="M612" i="11"/>
  <c r="I14" i="5"/>
  <c r="I74" i="5"/>
  <c r="I82" i="5"/>
  <c r="J497" i="6"/>
  <c r="J518" i="6"/>
  <c r="J529" i="6"/>
  <c r="M682" i="11"/>
  <c r="M679" i="11"/>
  <c r="K639" i="9"/>
  <c r="J7" i="6"/>
  <c r="J341" i="6"/>
  <c r="H360" i="10"/>
  <c r="J11" i="8"/>
  <c r="I136" i="5"/>
  <c r="J516" i="6"/>
  <c r="J15" i="8"/>
  <c r="M684" i="11"/>
  <c r="I603" i="5"/>
  <c r="I80" i="7"/>
  <c r="J524" i="8"/>
  <c r="J487" i="8"/>
  <c r="J505" i="8"/>
  <c r="I57" i="7"/>
  <c r="M683" i="11"/>
  <c r="I590" i="7"/>
  <c r="H206" i="10"/>
  <c r="H294" i="10"/>
  <c r="H319" i="10"/>
  <c r="K402" i="9"/>
  <c r="K360" i="9"/>
  <c r="K323" i="9"/>
  <c r="K363" i="9"/>
  <c r="J243" i="6"/>
  <c r="H510" i="10"/>
  <c r="K673" i="9"/>
  <c r="K657" i="9"/>
  <c r="K239" i="9"/>
  <c r="K194" i="9"/>
  <c r="K161" i="9"/>
  <c r="K282" i="9"/>
  <c r="M284" i="11"/>
  <c r="J218" i="6"/>
  <c r="J309" i="8"/>
  <c r="H452" i="10"/>
  <c r="J303" i="6"/>
  <c r="I325" i="5"/>
  <c r="J471" i="8"/>
  <c r="J504" i="8"/>
  <c r="K348" i="9"/>
  <c r="I631" i="5"/>
  <c r="H35" i="10"/>
  <c r="I56" i="7"/>
  <c r="J245" i="6"/>
  <c r="J268" i="6"/>
  <c r="H484" i="10"/>
  <c r="K352" i="9"/>
  <c r="J424" i="8"/>
  <c r="K40" i="9"/>
  <c r="M30" i="11"/>
  <c r="M44" i="11"/>
  <c r="M138" i="11"/>
  <c r="M190" i="11"/>
  <c r="M223" i="11"/>
  <c r="K105" i="9"/>
  <c r="I503" i="7"/>
  <c r="M255" i="11"/>
  <c r="M311" i="11"/>
  <c r="M320" i="11"/>
  <c r="M326" i="11"/>
  <c r="M358" i="11"/>
  <c r="M396" i="11"/>
  <c r="K26" i="9"/>
  <c r="I602" i="7"/>
  <c r="J447" i="8"/>
  <c r="J90" i="6"/>
  <c r="M209" i="11"/>
  <c r="I496" i="7"/>
  <c r="I313" i="5"/>
  <c r="I307" i="7"/>
  <c r="I268" i="7"/>
  <c r="M159" i="11"/>
  <c r="I677" i="5"/>
  <c r="H74" i="10"/>
  <c r="K56" i="9"/>
  <c r="J242" i="8"/>
  <c r="J263" i="8"/>
  <c r="K272" i="9"/>
  <c r="M157" i="11"/>
  <c r="I374" i="7"/>
  <c r="K544" i="9"/>
  <c r="K462" i="9"/>
  <c r="K445" i="9"/>
  <c r="H512" i="10"/>
  <c r="K661" i="9"/>
  <c r="K585" i="9"/>
  <c r="M189" i="11"/>
  <c r="I31" i="7"/>
  <c r="M11" i="11"/>
  <c r="M173" i="11"/>
  <c r="M208" i="11"/>
  <c r="K439" i="9"/>
  <c r="K359" i="9"/>
  <c r="K277" i="9"/>
  <c r="M288" i="11"/>
  <c r="I453" i="7"/>
  <c r="J520" i="8"/>
  <c r="J508" i="8"/>
  <c r="K176" i="9"/>
  <c r="J538" i="8"/>
  <c r="I433" i="5"/>
  <c r="H200" i="10"/>
  <c r="H242" i="10"/>
  <c r="M562" i="11"/>
  <c r="J191" i="8"/>
  <c r="H144" i="10"/>
  <c r="I524" i="5"/>
  <c r="I498" i="7"/>
  <c r="J29" i="6"/>
  <c r="M231" i="11"/>
  <c r="M560" i="11"/>
  <c r="K375" i="9"/>
  <c r="M107" i="11"/>
  <c r="M290" i="11"/>
  <c r="M321" i="11"/>
  <c r="M248" i="11"/>
  <c r="M349" i="11"/>
  <c r="M446" i="11"/>
  <c r="M443" i="11"/>
  <c r="K622" i="9"/>
  <c r="K570" i="9"/>
  <c r="K261" i="9"/>
  <c r="K201" i="9"/>
  <c r="M510" i="11"/>
  <c r="M554" i="11"/>
  <c r="M630" i="11"/>
  <c r="M555" i="11"/>
  <c r="H411" i="10"/>
  <c r="I15" i="5"/>
  <c r="I118" i="7"/>
  <c r="M100" i="11"/>
  <c r="K249" i="9"/>
  <c r="J387" i="6"/>
  <c r="I91" i="7"/>
  <c r="I51" i="7"/>
  <c r="H515" i="10"/>
  <c r="H135" i="10"/>
  <c r="M188" i="11"/>
  <c r="I293" i="5"/>
  <c r="I608" i="7"/>
  <c r="I514" i="7"/>
  <c r="K646" i="9"/>
  <c r="M67" i="11"/>
  <c r="I301" i="5"/>
  <c r="I362" i="5"/>
  <c r="I375" i="5"/>
  <c r="J74" i="8"/>
  <c r="J100" i="8"/>
  <c r="J112" i="8"/>
  <c r="H513" i="10"/>
  <c r="H506" i="10"/>
  <c r="I566" i="5"/>
  <c r="I589" i="5"/>
  <c r="I596" i="5"/>
  <c r="J159" i="8"/>
  <c r="J177" i="8"/>
  <c r="J189" i="8"/>
  <c r="K658" i="9"/>
  <c r="K665" i="9"/>
  <c r="H167" i="10"/>
  <c r="I271" i="5"/>
  <c r="I100" i="7"/>
  <c r="K156" i="9"/>
  <c r="J428" i="6"/>
  <c r="J395" i="6"/>
  <c r="K700" i="9"/>
  <c r="K664" i="9"/>
  <c r="H322" i="10"/>
  <c r="J356" i="8"/>
  <c r="H188" i="10"/>
  <c r="J73" i="8"/>
  <c r="I483" i="5"/>
  <c r="I667" i="7"/>
  <c r="I629" i="7"/>
  <c r="K205" i="9"/>
  <c r="I245" i="5"/>
  <c r="I280" i="5"/>
  <c r="I281" i="5"/>
  <c r="H47" i="10"/>
  <c r="H53" i="10"/>
  <c r="H90" i="10"/>
  <c r="M493" i="11"/>
  <c r="M491" i="11"/>
  <c r="I330" i="5"/>
  <c r="I357" i="5"/>
  <c r="I365" i="5"/>
  <c r="H122" i="10"/>
  <c r="H129" i="10"/>
  <c r="H148" i="10"/>
  <c r="M528" i="11"/>
  <c r="M514" i="11"/>
  <c r="H271" i="10"/>
  <c r="I484" i="5"/>
  <c r="H437" i="10"/>
  <c r="K389" i="9"/>
  <c r="J134" i="6"/>
  <c r="I14" i="7"/>
  <c r="K589" i="9"/>
  <c r="K58" i="9"/>
  <c r="K545" i="9"/>
  <c r="K97" i="9"/>
  <c r="J327" i="6"/>
  <c r="J355" i="6"/>
  <c r="K715" i="9"/>
  <c r="K269" i="9"/>
  <c r="J422" i="6"/>
  <c r="J447" i="6"/>
  <c r="K636" i="9"/>
  <c r="K193" i="9"/>
  <c r="I584" i="5"/>
  <c r="M56" i="11"/>
  <c r="J110" i="6"/>
  <c r="M306" i="11"/>
  <c r="I391" i="5"/>
  <c r="I328" i="5"/>
  <c r="I600" i="5"/>
  <c r="M720" i="11"/>
  <c r="J339" i="6"/>
  <c r="J363" i="6"/>
  <c r="M545" i="11"/>
  <c r="K248" i="9"/>
  <c r="J415" i="6"/>
  <c r="J437" i="6"/>
  <c r="M627" i="11"/>
  <c r="K169" i="9"/>
  <c r="I248" i="5"/>
  <c r="J526" i="8"/>
  <c r="K289" i="9"/>
  <c r="I279" i="5"/>
  <c r="J63" i="8"/>
  <c r="I619" i="5"/>
  <c r="I91" i="5"/>
  <c r="I626" i="5"/>
  <c r="I149" i="5"/>
  <c r="M169" i="11"/>
  <c r="J62" i="8"/>
  <c r="J343" i="8"/>
  <c r="K540" i="9"/>
  <c r="J529" i="8"/>
  <c r="I613" i="7"/>
  <c r="I455" i="7"/>
  <c r="I414" i="7"/>
  <c r="I229" i="5"/>
  <c r="I88" i="5"/>
  <c r="I418" i="5"/>
  <c r="J39" i="6"/>
  <c r="K338" i="9"/>
  <c r="J297" i="8"/>
  <c r="J77" i="6"/>
  <c r="I378" i="7"/>
  <c r="J49" i="8"/>
  <c r="H153" i="10"/>
  <c r="K440" i="9"/>
  <c r="I422" i="5"/>
  <c r="J263" i="6"/>
  <c r="M382" i="11"/>
  <c r="M414" i="11"/>
  <c r="I243" i="7"/>
  <c r="I62" i="5"/>
  <c r="K711" i="9"/>
  <c r="J37" i="8"/>
  <c r="J16" i="6"/>
  <c r="I468" i="7"/>
  <c r="I423" i="7"/>
  <c r="H260" i="10"/>
  <c r="J142" i="6"/>
  <c r="J162" i="6"/>
  <c r="J167" i="6"/>
  <c r="I318" i="7"/>
  <c r="I295" i="7"/>
  <c r="I275" i="7"/>
  <c r="K203" i="9"/>
  <c r="I356" i="7"/>
  <c r="J223" i="6"/>
  <c r="J242" i="6"/>
  <c r="J244" i="6"/>
  <c r="I237" i="7"/>
  <c r="I218" i="7"/>
  <c r="I195" i="7"/>
  <c r="K126" i="9"/>
  <c r="H295" i="10"/>
  <c r="H155" i="10"/>
  <c r="I666" i="7"/>
  <c r="H366" i="10"/>
  <c r="M104" i="11"/>
  <c r="I255" i="5"/>
  <c r="J193" i="8"/>
  <c r="M676" i="11"/>
  <c r="H493" i="10"/>
  <c r="H315" i="10"/>
  <c r="I639" i="5"/>
  <c r="K188" i="9"/>
  <c r="H178" i="10"/>
  <c r="J274" i="6"/>
  <c r="I206" i="7"/>
  <c r="I164" i="7"/>
  <c r="H422" i="10"/>
  <c r="J272" i="6"/>
  <c r="J286" i="6"/>
  <c r="J291" i="6"/>
  <c r="I187" i="7"/>
  <c r="I168" i="7"/>
  <c r="I149" i="7"/>
  <c r="K75" i="9"/>
  <c r="K516" i="9"/>
  <c r="J347" i="6"/>
  <c r="J370" i="6"/>
  <c r="J373" i="6"/>
  <c r="I107" i="7"/>
  <c r="I87" i="7"/>
  <c r="I67" i="7"/>
  <c r="M31" i="11"/>
  <c r="I614" i="5"/>
  <c r="K76" i="9"/>
  <c r="J301" i="8"/>
  <c r="I82" i="7"/>
  <c r="K634" i="9"/>
  <c r="J314" i="6"/>
  <c r="H14" i="10"/>
  <c r="K162" i="9"/>
  <c r="K82" i="9"/>
  <c r="M41" i="11"/>
  <c r="J441" i="8"/>
  <c r="K693" i="9"/>
  <c r="I612" i="5"/>
  <c r="J268" i="8"/>
  <c r="H313" i="10"/>
  <c r="H348" i="10"/>
  <c r="K631" i="9"/>
  <c r="J534" i="6"/>
  <c r="J16" i="8"/>
  <c r="J25" i="8"/>
  <c r="H108" i="10"/>
  <c r="H132" i="10"/>
  <c r="H150" i="10"/>
  <c r="M202" i="11"/>
  <c r="I116" i="5"/>
  <c r="J80" i="8"/>
  <c r="J93" i="8"/>
  <c r="J104" i="8"/>
  <c r="H185" i="10"/>
  <c r="H191" i="10"/>
  <c r="H198" i="10"/>
  <c r="M324" i="11"/>
  <c r="J130" i="8"/>
  <c r="K580" i="9"/>
  <c r="J45" i="8"/>
  <c r="H432" i="10"/>
  <c r="K9" i="9"/>
  <c r="I719" i="7"/>
  <c r="H142" i="10"/>
  <c r="K468" i="9"/>
  <c r="K385" i="9"/>
  <c r="K448" i="9"/>
  <c r="J165" i="8"/>
  <c r="K225" i="9"/>
  <c r="I564" i="5"/>
  <c r="J50" i="6"/>
  <c r="I144" i="7"/>
  <c r="I106" i="7"/>
  <c r="I648" i="5"/>
  <c r="J267" i="8"/>
  <c r="J281" i="8"/>
  <c r="J283" i="8"/>
  <c r="H328" i="10"/>
  <c r="H344" i="10"/>
  <c r="H357" i="10"/>
  <c r="M561" i="11"/>
  <c r="I93" i="5"/>
  <c r="J357" i="8"/>
  <c r="J370" i="8"/>
  <c r="J371" i="8"/>
  <c r="H405" i="10"/>
  <c r="H429" i="10"/>
  <c r="H440" i="10"/>
  <c r="M649" i="11"/>
  <c r="I159" i="5"/>
  <c r="M13" i="11"/>
  <c r="J322" i="6"/>
  <c r="I13" i="7"/>
  <c r="M534" i="11"/>
  <c r="J431" i="8"/>
  <c r="K590" i="9"/>
  <c r="M662" i="11"/>
  <c r="K712" i="9"/>
  <c r="M312" i="11"/>
  <c r="J456" i="6"/>
  <c r="H504" i="10"/>
  <c r="I412" i="5"/>
  <c r="J530" i="6"/>
  <c r="H385" i="10"/>
  <c r="H420" i="10"/>
  <c r="I285" i="5"/>
  <c r="I708" i="7"/>
  <c r="I692" i="7"/>
  <c r="I689" i="7"/>
  <c r="I379" i="7"/>
  <c r="I361" i="7"/>
  <c r="I343" i="7"/>
  <c r="K645" i="9"/>
  <c r="I387" i="5"/>
  <c r="I634" i="7"/>
  <c r="I614" i="7"/>
  <c r="I611" i="7"/>
  <c r="I305" i="7"/>
  <c r="I286" i="7"/>
  <c r="I263" i="7"/>
  <c r="K564" i="9"/>
  <c r="I90" i="5"/>
  <c r="K401" i="9"/>
  <c r="I143" i="7"/>
  <c r="K627" i="9"/>
  <c r="I592" i="5"/>
  <c r="I390" i="5"/>
  <c r="I500" i="5"/>
  <c r="J120" i="8"/>
  <c r="K708" i="9"/>
  <c r="K273" i="9"/>
  <c r="J465" i="6"/>
  <c r="M488" i="11"/>
  <c r="J454" i="8"/>
  <c r="I624" i="7"/>
  <c r="H80" i="10"/>
  <c r="H99" i="10"/>
  <c r="I661" i="5"/>
  <c r="J109" i="6"/>
  <c r="J122" i="6"/>
  <c r="J130" i="6"/>
  <c r="I66" i="7"/>
  <c r="I46" i="7"/>
  <c r="I26" i="7"/>
  <c r="K319" i="9"/>
  <c r="I385" i="5"/>
  <c r="J184" i="6"/>
  <c r="J208" i="6"/>
  <c r="J210" i="6"/>
  <c r="H28" i="10"/>
  <c r="H41" i="10"/>
  <c r="H58" i="10"/>
  <c r="K236" i="9"/>
  <c r="K427" i="9"/>
  <c r="M333" i="11"/>
  <c r="J321" i="8"/>
  <c r="I712" i="7"/>
  <c r="J199" i="8"/>
  <c r="J369" i="8"/>
  <c r="J386" i="8"/>
  <c r="H438" i="10"/>
  <c r="M667" i="11"/>
  <c r="K279" i="9"/>
  <c r="J111" i="6"/>
  <c r="M305" i="11"/>
  <c r="J373" i="8"/>
  <c r="I382" i="7"/>
  <c r="M153" i="11"/>
  <c r="M266" i="11"/>
  <c r="J27" i="8"/>
  <c r="J67" i="6"/>
  <c r="J84" i="6"/>
  <c r="J86" i="6"/>
  <c r="H298" i="10"/>
  <c r="H321" i="10"/>
  <c r="H346" i="10"/>
  <c r="K511" i="9"/>
  <c r="J317" i="8"/>
  <c r="J152" i="6"/>
  <c r="J168" i="6"/>
  <c r="J170" i="6"/>
  <c r="H375" i="10"/>
  <c r="H392" i="10"/>
  <c r="H415" i="10"/>
  <c r="K447" i="9"/>
  <c r="I73" i="5"/>
  <c r="M110" i="11"/>
  <c r="J72" i="8"/>
  <c r="H312" i="10"/>
  <c r="J471" i="6"/>
  <c r="J155" i="6"/>
  <c r="H25" i="10"/>
  <c r="J506" i="8"/>
  <c r="I421" i="5"/>
  <c r="K530" i="9"/>
  <c r="K247" i="9"/>
  <c r="I434" i="5"/>
  <c r="I715" i="7"/>
  <c r="I673" i="7"/>
  <c r="K250" i="9"/>
  <c r="I510" i="5"/>
  <c r="I635" i="7"/>
  <c r="I599" i="7"/>
  <c r="K167" i="9"/>
  <c r="J317" i="6"/>
  <c r="K702" i="9"/>
  <c r="J129" i="6"/>
  <c r="M318" i="11"/>
  <c r="I67" i="5"/>
  <c r="J96" i="6"/>
  <c r="H355" i="10"/>
  <c r="M717" i="11"/>
  <c r="J87" i="6"/>
  <c r="I385" i="7"/>
  <c r="I340" i="7"/>
  <c r="I420" i="7"/>
  <c r="J178" i="6"/>
  <c r="I302" i="7"/>
  <c r="I260" i="7"/>
  <c r="M535" i="11"/>
  <c r="J333" i="8"/>
  <c r="J349" i="8"/>
  <c r="J350" i="8"/>
  <c r="K180" i="9"/>
  <c r="K159" i="9"/>
  <c r="K139" i="9"/>
  <c r="M250" i="11"/>
  <c r="H396" i="10"/>
  <c r="I145" i="5"/>
  <c r="K132" i="9"/>
  <c r="I171" i="5"/>
  <c r="H230" i="10"/>
  <c r="I571" i="5"/>
  <c r="J343" i="6"/>
  <c r="I657" i="5"/>
  <c r="I6" i="5"/>
  <c r="I10" i="5"/>
  <c r="I165" i="7"/>
  <c r="I146" i="7"/>
  <c r="I124" i="7"/>
  <c r="M299" i="11"/>
  <c r="M294" i="11"/>
  <c r="I251" i="5"/>
  <c r="I509" i="5"/>
  <c r="J79" i="6"/>
  <c r="I530" i="5"/>
  <c r="J103" i="6"/>
  <c r="I534" i="5"/>
  <c r="J105" i="6"/>
  <c r="H311" i="10"/>
  <c r="M260" i="11"/>
  <c r="H329" i="10"/>
  <c r="M275" i="11"/>
  <c r="H341" i="10"/>
  <c r="M289" i="11"/>
  <c r="M672" i="11"/>
  <c r="M643" i="11"/>
  <c r="M668" i="11"/>
  <c r="I339" i="5"/>
  <c r="I607" i="5"/>
  <c r="J156" i="6"/>
  <c r="I621" i="5"/>
  <c r="J174" i="6"/>
  <c r="I625" i="5"/>
  <c r="J176" i="6"/>
  <c r="H391" i="10"/>
  <c r="M322" i="11"/>
  <c r="H408" i="10"/>
  <c r="M332" i="11"/>
  <c r="H443" i="10"/>
  <c r="M348" i="11"/>
  <c r="K441" i="9"/>
  <c r="K423" i="9"/>
  <c r="I583" i="5"/>
  <c r="H40" i="10"/>
  <c r="M577" i="11"/>
  <c r="I263" i="5"/>
  <c r="J439" i="8"/>
  <c r="I561" i="7"/>
  <c r="H125" i="10"/>
  <c r="I419" i="7"/>
  <c r="M648" i="11"/>
  <c r="I445" i="5"/>
  <c r="H233" i="10"/>
  <c r="M151" i="11"/>
  <c r="M368" i="11"/>
  <c r="M401" i="11"/>
  <c r="K376" i="9"/>
  <c r="K291" i="9"/>
  <c r="K216" i="9"/>
  <c r="M307" i="11"/>
  <c r="K467" i="9"/>
  <c r="I352" i="7"/>
  <c r="J190" i="8"/>
  <c r="J455" i="8"/>
  <c r="K502" i="9"/>
  <c r="J254" i="6"/>
  <c r="J233" i="6"/>
  <c r="J109" i="8"/>
  <c r="J124" i="8"/>
  <c r="J125" i="8"/>
  <c r="I472" i="7"/>
  <c r="I452" i="7"/>
  <c r="I431" i="7"/>
  <c r="M300" i="11"/>
  <c r="I355" i="5"/>
  <c r="J440" i="6"/>
  <c r="I650" i="7"/>
  <c r="H379" i="10"/>
  <c r="I628" i="7"/>
  <c r="H453" i="10"/>
  <c r="I625" i="7"/>
  <c r="H462" i="10"/>
  <c r="I321" i="7"/>
  <c r="M703" i="11"/>
  <c r="I301" i="7"/>
  <c r="H518" i="10"/>
  <c r="I282" i="7"/>
  <c r="K709" i="9"/>
  <c r="K579" i="9"/>
  <c r="K557" i="9"/>
  <c r="I432" i="5"/>
  <c r="J233" i="8"/>
  <c r="I570" i="7"/>
  <c r="I273" i="7"/>
  <c r="I548" i="7"/>
  <c r="I193" i="7"/>
  <c r="I544" i="7"/>
  <c r="I177" i="7"/>
  <c r="I240" i="7"/>
  <c r="K635" i="9"/>
  <c r="I221" i="7"/>
  <c r="K586" i="9"/>
  <c r="I202" i="7"/>
  <c r="K551" i="9"/>
  <c r="K500" i="9"/>
  <c r="K475" i="9"/>
  <c r="J442" i="6"/>
  <c r="I9" i="7"/>
  <c r="M617" i="11"/>
  <c r="I464" i="5"/>
  <c r="J473" i="8"/>
  <c r="H339" i="10"/>
  <c r="M262" i="11"/>
  <c r="M637" i="11"/>
  <c r="I83" i="5"/>
  <c r="I102" i="7"/>
  <c r="J240" i="6"/>
  <c r="J258" i="6"/>
  <c r="J260" i="6"/>
  <c r="I222" i="7"/>
  <c r="I199" i="7"/>
  <c r="I179" i="7"/>
  <c r="K110" i="9"/>
  <c r="H292" i="10"/>
  <c r="K299" i="9"/>
  <c r="J287" i="6"/>
  <c r="J70" i="6"/>
  <c r="K79" i="9"/>
  <c r="M201" i="11"/>
  <c r="I219" i="5"/>
  <c r="I472" i="5"/>
  <c r="J181" i="8"/>
  <c r="J277" i="8"/>
  <c r="J305" i="8"/>
  <c r="M694" i="11"/>
  <c r="H481" i="10"/>
  <c r="H508" i="10"/>
  <c r="K71" i="9"/>
  <c r="J28" i="8"/>
  <c r="I167" i="5"/>
  <c r="J500" i="8"/>
  <c r="I220" i="5"/>
  <c r="J525" i="8"/>
  <c r="I223" i="5"/>
  <c r="J527" i="8"/>
  <c r="J535" i="6"/>
  <c r="I61" i="7"/>
  <c r="J33" i="8"/>
  <c r="I41" i="7"/>
  <c r="J57" i="8"/>
  <c r="I21" i="7"/>
  <c r="M700" i="11"/>
  <c r="M687" i="11"/>
  <c r="M698" i="11"/>
  <c r="J344" i="8"/>
  <c r="I351" i="5"/>
  <c r="I678" i="7"/>
  <c r="I413" i="5"/>
  <c r="I659" i="7"/>
  <c r="I428" i="5"/>
  <c r="I652" i="7"/>
  <c r="J98" i="8"/>
  <c r="H54" i="10"/>
  <c r="J111" i="8"/>
  <c r="H70" i="10"/>
  <c r="J123" i="8"/>
  <c r="H83" i="10"/>
  <c r="H536" i="10"/>
  <c r="H505" i="10"/>
  <c r="H524" i="10"/>
  <c r="I278" i="7"/>
  <c r="K95" i="9"/>
  <c r="M84" i="11"/>
  <c r="J257" i="6"/>
  <c r="J184" i="8"/>
  <c r="H487" i="10"/>
  <c r="J348" i="8"/>
  <c r="K388" i="9"/>
  <c r="J455" i="6"/>
  <c r="I585" i="5"/>
  <c r="J228" i="8"/>
  <c r="J250" i="8"/>
  <c r="J253" i="8"/>
  <c r="H296" i="10"/>
  <c r="H318" i="10"/>
  <c r="H332" i="10"/>
  <c r="M519" i="11"/>
  <c r="M26" i="11"/>
  <c r="M593" i="11"/>
  <c r="I44" i="5"/>
  <c r="I647" i="7"/>
  <c r="K584" i="9"/>
  <c r="K7" i="9"/>
  <c r="I504" i="5"/>
  <c r="J375" i="6"/>
  <c r="I15" i="7"/>
  <c r="H104" i="10"/>
  <c r="H123" i="10"/>
  <c r="K130" i="9"/>
  <c r="K86" i="9"/>
  <c r="K47" i="9"/>
  <c r="M563" i="11"/>
  <c r="J290" i="6"/>
  <c r="I61" i="5"/>
  <c r="I507" i="7"/>
  <c r="I78" i="5"/>
  <c r="I490" i="7"/>
  <c r="I85" i="5"/>
  <c r="J6" i="6"/>
  <c r="J285" i="8"/>
  <c r="H246" i="10"/>
  <c r="J308" i="8"/>
  <c r="H264" i="10"/>
  <c r="J327" i="8"/>
  <c r="H287" i="10"/>
  <c r="K550" i="9"/>
  <c r="K578" i="9"/>
  <c r="K560" i="9"/>
  <c r="J90" i="8"/>
  <c r="I179" i="5"/>
  <c r="J82" i="6"/>
  <c r="I210" i="5"/>
  <c r="J94" i="6"/>
  <c r="I212" i="5"/>
  <c r="J101" i="6"/>
  <c r="J364" i="8"/>
  <c r="H320" i="10"/>
  <c r="J379" i="8"/>
  <c r="H342" i="10"/>
  <c r="J415" i="8"/>
  <c r="H361" i="10"/>
  <c r="K477" i="9"/>
  <c r="K499" i="9"/>
  <c r="K483" i="9"/>
  <c r="I522" i="5"/>
  <c r="H533" i="10"/>
  <c r="K154" i="9"/>
  <c r="K184" i="9"/>
  <c r="J332" i="6"/>
  <c r="K67" i="9"/>
  <c r="H48" i="10"/>
  <c r="M664" i="11"/>
  <c r="J229" i="6"/>
  <c r="I541" i="5"/>
  <c r="J20" i="6"/>
  <c r="J33" i="6"/>
  <c r="J44" i="6"/>
  <c r="I159" i="7"/>
  <c r="I140" i="7"/>
  <c r="I122" i="7"/>
  <c r="K411" i="9"/>
  <c r="K244" i="9"/>
  <c r="M605" i="11"/>
  <c r="I684" i="5"/>
  <c r="J438" i="8"/>
  <c r="M6" i="11"/>
  <c r="K315" i="9"/>
  <c r="I177" i="5"/>
  <c r="I649" i="7"/>
  <c r="H121" i="10"/>
  <c r="H245" i="10"/>
  <c r="H261" i="10"/>
  <c r="K432" i="9"/>
  <c r="K392" i="9"/>
  <c r="K353" i="9"/>
  <c r="K377" i="9"/>
  <c r="J47" i="6"/>
  <c r="I343" i="5"/>
  <c r="J259" i="6"/>
  <c r="I363" i="5"/>
  <c r="J280" i="6"/>
  <c r="I367" i="5"/>
  <c r="J285" i="6"/>
  <c r="J497" i="8"/>
  <c r="H483" i="10"/>
  <c r="J515" i="8"/>
  <c r="H497" i="10"/>
  <c r="J528" i="8"/>
  <c r="H509" i="10"/>
  <c r="K303" i="9"/>
  <c r="K334" i="9"/>
  <c r="K314" i="9"/>
  <c r="J368" i="6"/>
  <c r="I427" i="5"/>
  <c r="J346" i="6"/>
  <c r="I452" i="5"/>
  <c r="J366" i="6"/>
  <c r="I454" i="5"/>
  <c r="J374" i="6"/>
  <c r="I703" i="7"/>
  <c r="K719" i="9"/>
  <c r="I676" i="7"/>
  <c r="K697" i="9"/>
  <c r="I657" i="7"/>
  <c r="K683" i="9"/>
  <c r="K227" i="9"/>
  <c r="K254" i="9"/>
  <c r="K235" i="9"/>
  <c r="J448" i="8"/>
  <c r="K296" i="9"/>
  <c r="K458" i="9"/>
  <c r="I511" i="5"/>
  <c r="J88" i="6"/>
  <c r="J67" i="8"/>
  <c r="H166" i="10"/>
  <c r="M600" i="11"/>
  <c r="I575" i="7"/>
  <c r="I338" i="5"/>
  <c r="J511" i="6"/>
  <c r="J522" i="6"/>
  <c r="J524" i="6"/>
  <c r="H369" i="10"/>
  <c r="H387" i="10"/>
  <c r="H410" i="10"/>
  <c r="M128" i="11"/>
  <c r="M541" i="11"/>
  <c r="M216" i="11"/>
  <c r="J230" i="6"/>
  <c r="J205" i="8"/>
  <c r="J222" i="8"/>
  <c r="K508" i="9"/>
  <c r="I274" i="5"/>
  <c r="I626" i="7"/>
  <c r="K608" i="9"/>
  <c r="K526" i="9"/>
  <c r="K512" i="9"/>
  <c r="M699" i="11"/>
  <c r="H535" i="10"/>
  <c r="K648" i="9"/>
  <c r="M168" i="11"/>
  <c r="H189" i="10"/>
  <c r="I568" i="5"/>
  <c r="J540" i="6"/>
  <c r="I591" i="5"/>
  <c r="J22" i="8"/>
  <c r="I598" i="5"/>
  <c r="J24" i="8"/>
  <c r="I530" i="7"/>
  <c r="K541" i="9"/>
  <c r="I502" i="7"/>
  <c r="K523" i="9"/>
  <c r="I482" i="7"/>
  <c r="K501" i="9"/>
  <c r="K49" i="9"/>
  <c r="K77" i="9"/>
  <c r="K57" i="9"/>
  <c r="H468" i="10"/>
  <c r="I660" i="5"/>
  <c r="J77" i="8"/>
  <c r="I680" i="5"/>
  <c r="J94" i="8"/>
  <c r="I683" i="5"/>
  <c r="J99" i="8"/>
  <c r="I445" i="7"/>
  <c r="K456" i="9"/>
  <c r="I424" i="7"/>
  <c r="K434" i="9"/>
  <c r="I407" i="7"/>
  <c r="K409" i="9"/>
  <c r="M49" i="11"/>
  <c r="M24" i="11"/>
  <c r="M45" i="11"/>
  <c r="J440" i="8"/>
  <c r="J358" i="8"/>
  <c r="K414" i="9"/>
  <c r="J117" i="6"/>
  <c r="I134" i="7"/>
  <c r="I605" i="7"/>
  <c r="H459" i="10"/>
  <c r="M351" i="11"/>
  <c r="I542" i="7"/>
  <c r="J398" i="8"/>
  <c r="I662" i="7"/>
  <c r="I643" i="7"/>
  <c r="I636" i="7"/>
  <c r="H65" i="10"/>
  <c r="H81" i="10"/>
  <c r="H91" i="10"/>
  <c r="H517" i="10"/>
  <c r="I584" i="7"/>
  <c r="K281" i="9"/>
  <c r="I672" i="5"/>
  <c r="H231" i="10"/>
  <c r="H175" i="10"/>
  <c r="I632" i="5"/>
  <c r="J340" i="8"/>
  <c r="I482" i="5"/>
  <c r="I532" i="5"/>
  <c r="I546" i="5"/>
  <c r="J119" i="8"/>
  <c r="J143" i="8"/>
  <c r="J163" i="8"/>
  <c r="K695" i="9"/>
  <c r="K701" i="9"/>
  <c r="M344" i="11"/>
  <c r="I542" i="5"/>
  <c r="J299" i="8"/>
  <c r="I597" i="5"/>
  <c r="J312" i="8"/>
  <c r="I617" i="5"/>
  <c r="J313" i="8"/>
  <c r="I211" i="7"/>
  <c r="K211" i="9"/>
  <c r="I192" i="7"/>
  <c r="K192" i="9"/>
  <c r="I172" i="7"/>
  <c r="K173" i="9"/>
  <c r="M249" i="11"/>
  <c r="M227" i="11"/>
  <c r="M247" i="11"/>
  <c r="I35" i="5"/>
  <c r="I31" i="5"/>
  <c r="J385" i="8"/>
  <c r="I47" i="5"/>
  <c r="J402" i="8"/>
  <c r="I48" i="5"/>
  <c r="J408" i="8"/>
  <c r="I132" i="7"/>
  <c r="K131" i="9"/>
  <c r="I112" i="7"/>
  <c r="K111" i="9"/>
  <c r="I92" i="7"/>
  <c r="K91" i="9"/>
  <c r="M350" i="11"/>
  <c r="M302" i="11"/>
  <c r="M336" i="11"/>
  <c r="K329" i="9"/>
  <c r="M191" i="11"/>
  <c r="J133" i="6"/>
  <c r="I716" i="7"/>
  <c r="J113" i="6"/>
  <c r="H45" i="10"/>
  <c r="I695" i="7"/>
  <c r="K394" i="9"/>
  <c r="I573" i="5"/>
  <c r="J298" i="8"/>
  <c r="H435" i="10"/>
  <c r="I446" i="7"/>
  <c r="I432" i="7"/>
  <c r="M96" i="11"/>
  <c r="M161" i="11"/>
  <c r="M199" i="11"/>
  <c r="M707" i="11"/>
  <c r="M263" i="11"/>
  <c r="I587" i="7"/>
  <c r="I532" i="7"/>
  <c r="M317" i="11"/>
  <c r="K429" i="9"/>
  <c r="J265" i="8"/>
  <c r="I119" i="5"/>
  <c r="J382" i="8"/>
  <c r="J401" i="8"/>
  <c r="J403" i="8"/>
  <c r="H436" i="10"/>
  <c r="H461" i="10"/>
  <c r="I484" i="7"/>
  <c r="M705" i="11"/>
  <c r="I79" i="5"/>
  <c r="I366" i="5"/>
  <c r="J61" i="8"/>
  <c r="H210" i="10"/>
  <c r="J84" i="8"/>
  <c r="H302" i="10"/>
  <c r="J85" i="8"/>
  <c r="H324" i="10"/>
  <c r="H165" i="10"/>
  <c r="K459" i="9"/>
  <c r="H186" i="10"/>
  <c r="K433" i="9"/>
  <c r="H193" i="10"/>
  <c r="K399" i="9"/>
  <c r="M303" i="11"/>
  <c r="M334" i="11"/>
  <c r="I352" i="5"/>
  <c r="I708" i="5"/>
  <c r="J142" i="8"/>
  <c r="I403" i="7"/>
  <c r="J155" i="8"/>
  <c r="I322" i="7"/>
  <c r="J158" i="8"/>
  <c r="I306" i="7"/>
  <c r="H220" i="10"/>
  <c r="K316" i="9"/>
  <c r="H236" i="10"/>
  <c r="K275" i="9"/>
  <c r="H253" i="10"/>
  <c r="K240" i="9"/>
  <c r="M420" i="11"/>
  <c r="M437" i="11"/>
  <c r="J420" i="6"/>
  <c r="I116" i="7"/>
  <c r="K206" i="9"/>
  <c r="M439" i="11"/>
  <c r="J294" i="8"/>
  <c r="J71" i="8"/>
  <c r="I408" i="7"/>
  <c r="H335" i="10"/>
  <c r="M113" i="11"/>
  <c r="I358" i="5"/>
  <c r="J302" i="6"/>
  <c r="K691" i="9"/>
  <c r="K609" i="9"/>
  <c r="K594" i="9"/>
  <c r="K209" i="9"/>
  <c r="K165" i="9"/>
  <c r="K129" i="9"/>
  <c r="K266" i="9"/>
  <c r="M59" i="11"/>
  <c r="J137" i="8"/>
  <c r="J416" i="8"/>
  <c r="M525" i="11"/>
  <c r="M340" i="11"/>
  <c r="J526" i="6"/>
  <c r="I60" i="5"/>
  <c r="J148" i="6"/>
  <c r="J175" i="6"/>
  <c r="J177" i="6"/>
  <c r="I18" i="7"/>
  <c r="H24" i="10"/>
  <c r="H30" i="10"/>
  <c r="K270" i="9"/>
  <c r="I65" i="5"/>
  <c r="J162" i="8"/>
  <c r="J336" i="8"/>
  <c r="H305" i="10"/>
  <c r="J363" i="8"/>
  <c r="H386" i="10"/>
  <c r="J365" i="8"/>
  <c r="H399" i="10"/>
  <c r="H388" i="10"/>
  <c r="M51" i="11"/>
  <c r="H407" i="10"/>
  <c r="M81" i="11"/>
  <c r="H434" i="10"/>
  <c r="M114" i="11"/>
  <c r="M629" i="11"/>
  <c r="M658" i="11"/>
  <c r="I147" i="5"/>
  <c r="J513" i="8"/>
  <c r="J406" i="8"/>
  <c r="I339" i="7"/>
  <c r="J425" i="8"/>
  <c r="I259" i="7"/>
  <c r="J433" i="8"/>
  <c r="I244" i="7"/>
  <c r="H471" i="10"/>
  <c r="M228" i="11"/>
  <c r="I467" i="7"/>
  <c r="M298" i="11"/>
  <c r="I450" i="7"/>
  <c r="M347" i="11"/>
  <c r="H492" i="10"/>
  <c r="H525" i="10"/>
  <c r="J200" i="6"/>
  <c r="H46" i="10"/>
  <c r="K93" i="9"/>
  <c r="H270" i="10"/>
  <c r="J206" i="6"/>
  <c r="I265" i="7"/>
  <c r="K604" i="9"/>
  <c r="M424" i="11"/>
  <c r="I282" i="5"/>
  <c r="J32" i="6"/>
  <c r="I544" i="5"/>
  <c r="I562" i="5"/>
  <c r="I565" i="5"/>
  <c r="H338" i="10"/>
  <c r="H358" i="10"/>
  <c r="H383" i="10"/>
  <c r="M708" i="11"/>
  <c r="M704" i="11"/>
  <c r="M456" i="11"/>
  <c r="I558" i="7"/>
  <c r="I547" i="5"/>
  <c r="H425" i="10"/>
  <c r="K531" i="9"/>
  <c r="I689" i="5"/>
  <c r="I310" i="5"/>
  <c r="J128" i="6"/>
  <c r="J140" i="6"/>
  <c r="J147" i="6"/>
  <c r="M293" i="11"/>
  <c r="M315" i="11"/>
  <c r="M327" i="11"/>
  <c r="M702" i="11"/>
  <c r="I687" i="7"/>
  <c r="M619" i="11"/>
  <c r="J320" i="8"/>
  <c r="M689" i="11"/>
  <c r="J334" i="8"/>
  <c r="K505" i="9"/>
  <c r="J335" i="8"/>
  <c r="K453" i="9"/>
  <c r="I254" i="7"/>
  <c r="M492" i="11"/>
  <c r="I232" i="7"/>
  <c r="M521" i="11"/>
  <c r="I212" i="7"/>
  <c r="M564" i="11"/>
  <c r="M517" i="11"/>
  <c r="M527" i="11"/>
  <c r="J132" i="6"/>
  <c r="K85" i="9"/>
  <c r="J388" i="8"/>
  <c r="M451" i="11"/>
  <c r="J405" i="8"/>
  <c r="M657" i="11"/>
  <c r="J409" i="8"/>
  <c r="M719" i="11"/>
  <c r="I173" i="7"/>
  <c r="J451" i="6"/>
  <c r="I151" i="7"/>
  <c r="J476" i="6"/>
  <c r="I133" i="7"/>
  <c r="M626" i="11"/>
  <c r="M609" i="11"/>
  <c r="M618" i="11"/>
  <c r="J458" i="6"/>
  <c r="J96" i="8"/>
  <c r="M716" i="11"/>
  <c r="J384" i="6"/>
  <c r="I191" i="7"/>
  <c r="J535" i="8"/>
  <c r="H219" i="10"/>
  <c r="M214" i="11"/>
  <c r="J456" i="8"/>
  <c r="J427" i="6"/>
  <c r="J461" i="8"/>
  <c r="J489" i="8"/>
  <c r="J494" i="8"/>
  <c r="I93" i="7"/>
  <c r="I73" i="7"/>
  <c r="I53" i="7"/>
  <c r="M675" i="11"/>
  <c r="J458" i="8"/>
  <c r="K524" i="9"/>
  <c r="I233" i="5"/>
  <c r="J495" i="8"/>
  <c r="I60" i="7"/>
  <c r="I474" i="5"/>
  <c r="J79" i="8"/>
  <c r="I111" i="5"/>
  <c r="I172" i="5"/>
  <c r="I176" i="5"/>
  <c r="J525" i="6"/>
  <c r="J539" i="6"/>
  <c r="J36" i="8"/>
  <c r="M696" i="11"/>
  <c r="M688" i="11"/>
  <c r="K419" i="9"/>
  <c r="I364" i="5"/>
  <c r="J256" i="8"/>
  <c r="I419" i="5"/>
  <c r="J274" i="8"/>
  <c r="I424" i="5"/>
  <c r="J278" i="8"/>
  <c r="I276" i="7"/>
  <c r="K276" i="9"/>
  <c r="I257" i="7"/>
  <c r="K257" i="9"/>
  <c r="I238" i="7"/>
  <c r="K234" i="9"/>
  <c r="M179" i="11"/>
  <c r="M170" i="11"/>
  <c r="M177" i="11"/>
  <c r="K391" i="9"/>
  <c r="I590" i="5"/>
  <c r="J311" i="8"/>
  <c r="I635" i="5"/>
  <c r="J338" i="8"/>
  <c r="I640" i="5"/>
  <c r="J342" i="8"/>
  <c r="I196" i="7"/>
  <c r="K196" i="9"/>
  <c r="I176" i="7"/>
  <c r="K177" i="9"/>
  <c r="I157" i="7"/>
  <c r="K155" i="9"/>
  <c r="M267" i="11"/>
  <c r="M246" i="11"/>
  <c r="M251" i="11"/>
  <c r="I198" i="7"/>
  <c r="I76" i="7"/>
  <c r="I389" i="5"/>
  <c r="M328" i="11"/>
  <c r="H477" i="10"/>
  <c r="I227" i="7"/>
  <c r="H307" i="10"/>
  <c r="K417" i="9"/>
  <c r="I311" i="7"/>
  <c r="I574" i="7"/>
  <c r="J231" i="6"/>
  <c r="J250" i="6"/>
  <c r="J252" i="6"/>
  <c r="H456" i="10"/>
  <c r="H475" i="10"/>
  <c r="H486" i="10"/>
  <c r="K365" i="9"/>
  <c r="H49" i="10"/>
  <c r="M97" i="11"/>
  <c r="I604" i="7"/>
  <c r="H482" i="10"/>
  <c r="H62" i="10"/>
  <c r="I203" i="5"/>
  <c r="J359" i="6"/>
  <c r="I322" i="5"/>
  <c r="I347" i="5"/>
  <c r="I354" i="5"/>
  <c r="J481" i="8"/>
  <c r="J501" i="8"/>
  <c r="J516" i="8"/>
  <c r="K322" i="9"/>
  <c r="K330" i="9"/>
  <c r="I425" i="5"/>
  <c r="I160" i="5"/>
  <c r="J531" i="8"/>
  <c r="I182" i="5"/>
  <c r="I718" i="7"/>
  <c r="I199" i="5"/>
  <c r="I713" i="7"/>
  <c r="I20" i="7"/>
  <c r="K20" i="9"/>
  <c r="H10" i="10"/>
  <c r="M8" i="11"/>
  <c r="H32" i="10"/>
  <c r="M18" i="11"/>
  <c r="M464" i="11"/>
  <c r="M448" i="11"/>
  <c r="M462" i="11"/>
  <c r="I624" i="5"/>
  <c r="I276" i="5"/>
  <c r="I661" i="7"/>
  <c r="I292" i="5"/>
  <c r="I642" i="7"/>
  <c r="I294" i="5"/>
  <c r="I639" i="7"/>
  <c r="H52" i="10"/>
  <c r="M61" i="11"/>
  <c r="H82" i="10"/>
  <c r="M89" i="11"/>
  <c r="H106" i="10"/>
  <c r="M118" i="11"/>
  <c r="M497" i="11"/>
  <c r="M490" i="11"/>
  <c r="M495" i="11"/>
  <c r="I523" i="5"/>
  <c r="H51" i="10"/>
  <c r="I441" i="5"/>
  <c r="I628" i="5"/>
  <c r="I289" i="5"/>
  <c r="H278" i="10"/>
  <c r="M35" i="11"/>
  <c r="M529" i="11"/>
  <c r="K313" i="9"/>
  <c r="M549" i="11"/>
  <c r="J231" i="8"/>
  <c r="J249" i="8"/>
  <c r="J251" i="8"/>
  <c r="K309" i="9"/>
  <c r="K288" i="9"/>
  <c r="K268" i="9"/>
  <c r="M150" i="11"/>
  <c r="H171" i="10"/>
  <c r="M624" i="11"/>
  <c r="I428" i="7"/>
  <c r="I340" i="5"/>
  <c r="I42" i="7"/>
  <c r="I473" i="5"/>
  <c r="J80" i="6"/>
  <c r="I298" i="5"/>
  <c r="I372" i="5"/>
  <c r="I396" i="5"/>
  <c r="I292" i="7"/>
  <c r="I272" i="7"/>
  <c r="I253" i="7"/>
  <c r="M175" i="11"/>
  <c r="M171" i="11"/>
  <c r="I165" i="5"/>
  <c r="I438" i="5"/>
  <c r="J21" i="6"/>
  <c r="I451" i="5"/>
  <c r="J43" i="6"/>
  <c r="I456" i="5"/>
  <c r="J45" i="6"/>
  <c r="H232" i="10"/>
  <c r="M229" i="11"/>
  <c r="H257" i="10"/>
  <c r="M240" i="11"/>
  <c r="H272" i="10"/>
  <c r="M254" i="11"/>
  <c r="M591" i="11"/>
  <c r="M568" i="11"/>
  <c r="M586" i="11"/>
  <c r="I268" i="5"/>
  <c r="I526" i="5"/>
  <c r="J98" i="6"/>
  <c r="I552" i="5"/>
  <c r="J112" i="6"/>
  <c r="I553" i="5"/>
  <c r="J114" i="6"/>
  <c r="H325" i="10"/>
  <c r="M273" i="11"/>
  <c r="H340" i="10"/>
  <c r="M287" i="11"/>
  <c r="H362" i="10"/>
  <c r="M309" i="11"/>
  <c r="M691" i="11"/>
  <c r="M666" i="11"/>
  <c r="M678" i="11"/>
  <c r="J457" i="8"/>
  <c r="H76" i="10"/>
  <c r="I699" i="5"/>
  <c r="J53" i="6"/>
  <c r="I386" i="5"/>
  <c r="I141" i="7"/>
  <c r="K452" i="9"/>
  <c r="M475" i="11"/>
  <c r="I478" i="5"/>
  <c r="I130" i="5"/>
  <c r="I511" i="7"/>
  <c r="I495" i="7"/>
  <c r="J10" i="6"/>
  <c r="M215" i="11"/>
  <c r="M224" i="11"/>
  <c r="M232" i="11"/>
  <c r="M551" i="11"/>
  <c r="H225" i="10"/>
  <c r="I236" i="5"/>
  <c r="I517" i="5"/>
  <c r="I555" i="5"/>
  <c r="H63" i="10"/>
  <c r="I59" i="5"/>
  <c r="I664" i="7"/>
  <c r="I431" i="5"/>
  <c r="I440" i="5"/>
  <c r="I443" i="5"/>
  <c r="H212" i="10"/>
  <c r="H241" i="10"/>
  <c r="H258" i="10"/>
  <c r="M582" i="11"/>
  <c r="M576" i="11"/>
  <c r="I455" i="5"/>
  <c r="J14" i="6"/>
  <c r="J275" i="6"/>
  <c r="J31" i="6"/>
  <c r="J295" i="6"/>
  <c r="J34" i="6"/>
  <c r="J304" i="6"/>
  <c r="I447" i="7"/>
  <c r="M409" i="11"/>
  <c r="I426" i="7"/>
  <c r="M426" i="11"/>
  <c r="I406" i="7"/>
  <c r="M433" i="11"/>
  <c r="K328" i="9"/>
  <c r="K308" i="9"/>
  <c r="I497" i="7"/>
  <c r="I570" i="5"/>
  <c r="J85" i="6"/>
  <c r="J354" i="6"/>
  <c r="J107" i="6"/>
  <c r="J376" i="6"/>
  <c r="J116" i="6"/>
  <c r="J379" i="6"/>
  <c r="I365" i="7"/>
  <c r="M540" i="11"/>
  <c r="I344" i="7"/>
  <c r="M556" i="11"/>
  <c r="I326" i="7"/>
  <c r="M597" i="11"/>
  <c r="K252" i="9"/>
  <c r="K233" i="9"/>
  <c r="I488" i="5"/>
  <c r="J449" i="8"/>
  <c r="H431" i="10"/>
  <c r="J117" i="8"/>
  <c r="J97" i="6"/>
  <c r="J210" i="8"/>
  <c r="I456" i="7"/>
  <c r="K480" i="9"/>
  <c r="M365" i="11"/>
  <c r="I273" i="5"/>
  <c r="I381" i="5"/>
  <c r="I670" i="7"/>
  <c r="I595" i="7"/>
  <c r="I581" i="7"/>
  <c r="K682" i="9"/>
  <c r="K663" i="9"/>
  <c r="K642" i="9"/>
  <c r="M55" i="11"/>
  <c r="H531" i="10"/>
  <c r="I700" i="5"/>
  <c r="J189" i="6"/>
  <c r="J339" i="8"/>
  <c r="M64" i="11"/>
  <c r="I437" i="5"/>
  <c r="M14" i="11"/>
  <c r="J386" i="6"/>
  <c r="J404" i="6"/>
  <c r="J410" i="6"/>
  <c r="I75" i="7"/>
  <c r="I55" i="7"/>
  <c r="I35" i="7"/>
  <c r="M53" i="11"/>
  <c r="H499" i="10"/>
  <c r="I267" i="5"/>
  <c r="J331" i="6"/>
  <c r="J479" i="8"/>
  <c r="J353" i="6"/>
  <c r="I717" i="7"/>
  <c r="J357" i="6"/>
  <c r="I706" i="7"/>
  <c r="I123" i="7"/>
  <c r="K718" i="9"/>
  <c r="I103" i="7"/>
  <c r="K696" i="9"/>
  <c r="I83" i="7"/>
  <c r="K676" i="9"/>
  <c r="K11" i="9"/>
  <c r="M33" i="11"/>
  <c r="M429" i="11"/>
  <c r="I558" i="5"/>
  <c r="J419" i="6"/>
  <c r="I478" i="7"/>
  <c r="J441" i="6"/>
  <c r="I404" i="7"/>
  <c r="J443" i="6"/>
  <c r="I389" i="7"/>
  <c r="I43" i="7"/>
  <c r="K632" i="9"/>
  <c r="I23" i="7"/>
  <c r="K616" i="9"/>
  <c r="H6" i="10"/>
  <c r="K593" i="9"/>
  <c r="M74" i="11"/>
  <c r="M91" i="11"/>
  <c r="J44" i="8"/>
  <c r="K81" i="9"/>
  <c r="M473" i="11"/>
  <c r="J214" i="8"/>
  <c r="I707" i="5"/>
  <c r="J469" i="8"/>
  <c r="K99" i="9"/>
  <c r="K581" i="9"/>
  <c r="I258" i="5"/>
  <c r="J537" i="6"/>
  <c r="I450" i="5"/>
  <c r="I468" i="5"/>
  <c r="I475" i="5"/>
  <c r="I682" i="7"/>
  <c r="I660" i="7"/>
  <c r="I641" i="7"/>
  <c r="K212" i="9"/>
  <c r="K220" i="9"/>
  <c r="K426" i="9"/>
  <c r="I686" i="5"/>
  <c r="H403" i="10"/>
  <c r="H259" i="10"/>
  <c r="M105" i="11"/>
  <c r="H67" i="10"/>
  <c r="J105" i="8"/>
  <c r="J393" i="6"/>
  <c r="J413" i="6"/>
  <c r="J418" i="6"/>
  <c r="K688" i="9"/>
  <c r="K668" i="9"/>
  <c r="K647" i="9"/>
  <c r="K224" i="9"/>
  <c r="I602" i="5"/>
  <c r="I560" i="7"/>
  <c r="J350" i="6"/>
  <c r="M221" i="11"/>
  <c r="J364" i="6"/>
  <c r="M259" i="11"/>
  <c r="J369" i="6"/>
  <c r="M264" i="11"/>
  <c r="H216" i="10"/>
  <c r="M292" i="11"/>
  <c r="H229" i="10"/>
  <c r="M338" i="11"/>
  <c r="H250" i="10"/>
  <c r="M360" i="11"/>
  <c r="K62" i="9"/>
  <c r="K42" i="9"/>
  <c r="I620" i="5"/>
  <c r="J249" i="6"/>
  <c r="J414" i="6"/>
  <c r="M442" i="11"/>
  <c r="J436" i="6"/>
  <c r="M598" i="11"/>
  <c r="J438" i="6"/>
  <c r="M608" i="11"/>
  <c r="H284" i="10"/>
  <c r="M427" i="11"/>
  <c r="H304" i="10"/>
  <c r="M480" i="11"/>
  <c r="H314" i="10"/>
  <c r="M546" i="11"/>
  <c r="M28" i="11"/>
  <c r="M65" i="11"/>
  <c r="I42" i="5"/>
  <c r="I96" i="7"/>
  <c r="M270" i="11"/>
  <c r="J212" i="6"/>
  <c r="I128" i="5"/>
  <c r="J209" i="6"/>
  <c r="M341" i="11"/>
  <c r="M378" i="11"/>
  <c r="I551" i="5"/>
  <c r="J270" i="6"/>
  <c r="I629" i="5"/>
  <c r="I676" i="5"/>
  <c r="I694" i="5"/>
  <c r="I180" i="7"/>
  <c r="I161" i="7"/>
  <c r="I142" i="7"/>
  <c r="M280" i="11"/>
  <c r="M269" i="11"/>
  <c r="H520" i="10"/>
  <c r="J467" i="6"/>
  <c r="I327" i="5"/>
  <c r="H331" i="10"/>
  <c r="K202" i="9"/>
  <c r="K558" i="9"/>
  <c r="I12" i="5"/>
  <c r="J345" i="8"/>
  <c r="J353" i="8"/>
  <c r="J360" i="8"/>
  <c r="K163" i="9"/>
  <c r="K143" i="9"/>
  <c r="K123" i="9"/>
  <c r="M268" i="11"/>
  <c r="J35" i="6"/>
  <c r="I287" i="7"/>
  <c r="J54" i="8"/>
  <c r="K134" i="9"/>
  <c r="J83" i="8"/>
  <c r="M48" i="11"/>
  <c r="J87" i="8"/>
  <c r="M68" i="11"/>
  <c r="H458" i="10"/>
  <c r="K493" i="9"/>
  <c r="H466" i="10"/>
  <c r="K424" i="9"/>
  <c r="I479" i="7"/>
  <c r="K344" i="9"/>
  <c r="M230" i="11"/>
  <c r="M276" i="11"/>
  <c r="J365" i="6"/>
  <c r="H39" i="10"/>
  <c r="J134" i="8"/>
  <c r="M644" i="11"/>
  <c r="J154" i="8"/>
  <c r="K669" i="9"/>
  <c r="J161" i="8"/>
  <c r="K637" i="9"/>
  <c r="I439" i="7"/>
  <c r="K185" i="9"/>
  <c r="I418" i="7"/>
  <c r="K100" i="9"/>
  <c r="I396" i="7"/>
  <c r="K21" i="9"/>
  <c r="M329" i="11"/>
  <c r="M343" i="11"/>
  <c r="J220" i="6"/>
  <c r="M278" i="11"/>
  <c r="K198" i="9"/>
  <c r="I217" i="5"/>
  <c r="J207" i="6"/>
  <c r="J185" i="8"/>
  <c r="H394" i="10"/>
  <c r="K596" i="9"/>
  <c r="J195" i="6"/>
  <c r="J169" i="6"/>
  <c r="J95" i="8"/>
  <c r="J113" i="8"/>
  <c r="J116" i="8"/>
  <c r="I486" i="7"/>
  <c r="I469" i="7"/>
  <c r="I449" i="7"/>
  <c r="M286" i="11"/>
  <c r="K37" i="9"/>
  <c r="M355" i="11"/>
  <c r="I38" i="7"/>
  <c r="J464" i="8"/>
  <c r="J466" i="8"/>
  <c r="M374" i="11"/>
  <c r="I519" i="5"/>
  <c r="I480" i="7"/>
  <c r="M308" i="11"/>
  <c r="M522" i="11"/>
  <c r="M565" i="11"/>
  <c r="K310" i="9"/>
  <c r="K231" i="9"/>
  <c r="K148" i="9"/>
  <c r="M319" i="11"/>
  <c r="H235" i="10"/>
  <c r="I641" i="5"/>
  <c r="J65" i="8"/>
  <c r="I666" i="5"/>
  <c r="J78" i="8"/>
  <c r="I669" i="5"/>
  <c r="J81" i="8"/>
  <c r="I458" i="7"/>
  <c r="K473" i="9"/>
  <c r="I442" i="7"/>
  <c r="K449" i="9"/>
  <c r="I421" i="7"/>
  <c r="K430" i="9"/>
  <c r="M39" i="11"/>
  <c r="K13" i="9"/>
  <c r="M27" i="11"/>
  <c r="K704" i="9"/>
  <c r="I711" i="5"/>
  <c r="J157" i="8"/>
  <c r="I26" i="5"/>
  <c r="J178" i="8"/>
  <c r="I34" i="5"/>
  <c r="J182" i="8"/>
  <c r="I386" i="7"/>
  <c r="K387" i="9"/>
  <c r="I366" i="7"/>
  <c r="K368" i="9"/>
  <c r="I351" i="7"/>
  <c r="K347" i="9"/>
  <c r="M94" i="11"/>
  <c r="M78" i="11"/>
  <c r="M86" i="11"/>
  <c r="K551" i="8"/>
  <c r="K546" i="8"/>
  <c r="G725" i="7"/>
  <c r="G727" i="7" s="1"/>
  <c r="K546" i="6"/>
  <c r="G20" i="1"/>
  <c r="L8" i="3"/>
  <c r="M8" i="3" s="1"/>
  <c r="L9" i="3"/>
  <c r="M9" i="3" s="1"/>
  <c r="L10" i="3"/>
  <c r="M10" i="3" s="1"/>
  <c r="L11" i="3"/>
  <c r="M11" i="3" s="1"/>
  <c r="L12" i="3"/>
  <c r="M12" i="3" s="1"/>
  <c r="L13" i="3"/>
  <c r="M13" i="3" s="1"/>
  <c r="L33" i="3"/>
  <c r="M33" i="3" s="1"/>
  <c r="L99" i="3"/>
  <c r="M99" i="3" s="1"/>
  <c r="L102" i="3"/>
  <c r="M102" i="3" s="1"/>
  <c r="L107" i="3"/>
  <c r="M107" i="3" s="1"/>
  <c r="L128" i="3"/>
  <c r="M128" i="3" s="1"/>
  <c r="L231" i="3"/>
  <c r="M231" i="3" s="1"/>
  <c r="L232" i="3"/>
  <c r="M232" i="3" s="1"/>
  <c r="L309" i="3"/>
  <c r="M309" i="3" s="1"/>
  <c r="L312" i="3"/>
  <c r="M312" i="3" s="1"/>
  <c r="L314" i="3"/>
  <c r="M314" i="3" s="1"/>
  <c r="L318" i="3"/>
  <c r="M318" i="3" s="1"/>
  <c r="L319" i="3"/>
  <c r="M319" i="3" s="1"/>
  <c r="L332" i="3"/>
  <c r="M332" i="3" s="1"/>
  <c r="L335" i="3"/>
  <c r="M335" i="3" s="1"/>
  <c r="L344" i="3"/>
  <c r="M344" i="3" s="1"/>
  <c r="L345" i="3"/>
  <c r="M345" i="3" s="1"/>
  <c r="L347" i="3"/>
  <c r="M347" i="3" s="1"/>
  <c r="L349" i="3"/>
  <c r="M349" i="3" s="1"/>
  <c r="L352" i="3"/>
  <c r="M352" i="3" s="1"/>
  <c r="L353" i="3"/>
  <c r="M353" i="3" s="1"/>
  <c r="L354" i="3"/>
  <c r="M354" i="3" s="1"/>
  <c r="L355" i="3"/>
  <c r="M355" i="3" s="1"/>
  <c r="L360" i="3"/>
  <c r="M360" i="3" s="1"/>
  <c r="L361" i="3"/>
  <c r="M361" i="3" s="1"/>
  <c r="L364" i="3"/>
  <c r="M364" i="3" s="1"/>
  <c r="L369" i="3"/>
  <c r="M369" i="3" s="1"/>
  <c r="L370" i="3"/>
  <c r="M370" i="3" s="1"/>
  <c r="L375" i="3"/>
  <c r="M375" i="3" s="1"/>
  <c r="L397" i="3"/>
  <c r="M397" i="3" s="1"/>
  <c r="L406" i="3"/>
  <c r="M406" i="3" s="1"/>
  <c r="L462" i="3"/>
  <c r="M462" i="3" s="1"/>
  <c r="L463" i="3"/>
  <c r="M463" i="3" s="1"/>
  <c r="L531" i="3"/>
  <c r="M531" i="3" s="1"/>
  <c r="L532" i="3"/>
  <c r="M532" i="3" s="1"/>
  <c r="L533" i="3"/>
  <c r="M533" i="3" s="1"/>
  <c r="L534" i="3"/>
  <c r="M534" i="3" s="1"/>
  <c r="L535" i="3"/>
  <c r="M535" i="3" s="1"/>
  <c r="L536" i="3"/>
  <c r="M536" i="3" s="1"/>
  <c r="L537" i="3"/>
  <c r="M537" i="3" s="1"/>
  <c r="L538" i="3"/>
  <c r="M538" i="3" s="1"/>
  <c r="L539" i="3"/>
  <c r="M539" i="3" s="1"/>
  <c r="L540" i="3"/>
  <c r="M540" i="3" s="1"/>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4" i="3"/>
  <c r="G495" i="3"/>
  <c r="G496" i="3"/>
  <c r="G497" i="3"/>
  <c r="G498" i="3"/>
  <c r="G499" i="3"/>
  <c r="G500" i="3"/>
  <c r="G501" i="3"/>
  <c r="G502" i="3"/>
  <c r="G503" i="3"/>
  <c r="G504" i="3"/>
  <c r="G505" i="3"/>
  <c r="G506" i="3"/>
  <c r="G507" i="3"/>
  <c r="G508" i="3"/>
  <c r="G509" i="3"/>
  <c r="G510" i="3"/>
  <c r="G511" i="3"/>
  <c r="G512" i="3"/>
  <c r="G513" i="3"/>
  <c r="G514" i="3"/>
  <c r="G515" i="3"/>
  <c r="G516" i="3"/>
  <c r="F517" i="3"/>
  <c r="G517" i="3" s="1"/>
  <c r="G518" i="3"/>
  <c r="G519" i="3"/>
  <c r="G520" i="3"/>
  <c r="G521" i="3"/>
  <c r="G522" i="3"/>
  <c r="G523" i="3"/>
  <c r="G524" i="3"/>
  <c r="G525" i="3"/>
  <c r="G526" i="3"/>
  <c r="G527" i="3"/>
  <c r="G528" i="3"/>
  <c r="G529" i="3"/>
  <c r="G530" i="3"/>
  <c r="G531" i="3"/>
  <c r="G532" i="3"/>
  <c r="G533" i="3"/>
  <c r="G534" i="3"/>
  <c r="G535" i="3"/>
  <c r="G536" i="3"/>
  <c r="G537" i="3"/>
  <c r="G538" i="3"/>
  <c r="G539" i="3"/>
  <c r="G540" i="3"/>
  <c r="I548" i="3"/>
  <c r="H91" i="3" a="1"/>
  <c r="H249" i="3" a="1"/>
  <c r="H231" i="3" a="1"/>
  <c r="H384" i="3" a="1"/>
  <c r="H495" i="3" a="1"/>
  <c r="H268" i="3" a="1"/>
  <c r="H418" i="3" a="1"/>
  <c r="H39" i="3" a="1"/>
  <c r="H515" i="3" a="1"/>
  <c r="H96" i="3" a="1"/>
  <c r="H21" i="3" a="1"/>
  <c r="H282" i="3" a="1"/>
  <c r="H196" i="3" a="1"/>
  <c r="H220" i="3" a="1"/>
  <c r="H370" i="3" a="1"/>
  <c r="H368" i="3" a="1"/>
  <c r="H519" i="3" a="1"/>
  <c r="H161" i="3" a="1"/>
  <c r="H393" i="3" a="1"/>
  <c r="H6" i="3" a="1"/>
  <c r="H170" i="3" a="1"/>
  <c r="H271" i="3" a="1"/>
  <c r="H523" i="3" a="1"/>
  <c r="H144" i="3" a="1"/>
  <c r="H152" i="3" a="1"/>
  <c r="H308" i="3" a="1"/>
  <c r="H10" i="3" a="1"/>
  <c r="H165" i="3" a="1"/>
  <c r="H468" i="3" a="1"/>
  <c r="H237" i="3" a="1"/>
  <c r="H373" i="3" a="1"/>
  <c r="H256" i="3" a="1"/>
  <c r="H304" i="3" a="1"/>
  <c r="H320" i="3" a="1"/>
  <c r="H471" i="3" a="1"/>
  <c r="H473" i="3" a="1"/>
  <c r="H98" i="3" a="1"/>
  <c r="H205" i="3" a="1"/>
  <c r="H491" i="3" a="1"/>
  <c r="H110" i="3" a="1"/>
  <c r="H262" i="3" a="1"/>
  <c r="H439" i="3" a="1"/>
  <c r="H212" i="3" a="1"/>
  <c r="H128" i="3" a="1"/>
  <c r="H416" i="3" a="1"/>
  <c r="H146" i="3" a="1"/>
  <c r="H63" i="3" a="1"/>
  <c r="H88" i="3" a="1"/>
  <c r="H226" i="3" a="1"/>
  <c r="H228" i="3" a="1"/>
  <c r="H454" i="3" a="1"/>
  <c r="H109" i="3" a="1"/>
  <c r="H246" i="3" a="1"/>
  <c r="H399" i="3" a="1"/>
  <c r="H20" i="3" a="1"/>
  <c r="H232" i="3" a="1"/>
  <c r="H385" i="3" a="1"/>
  <c r="H379" i="3" a="1"/>
  <c r="H531" i="3" a="1"/>
  <c r="H251" i="3" a="1"/>
  <c r="H405" i="3" a="1"/>
  <c r="H137" i="3" a="1"/>
  <c r="H440" i="3" a="1"/>
  <c r="H316" i="3" a="1"/>
  <c r="H191" i="3" a="1"/>
  <c r="H236" i="3" a="1"/>
  <c r="H24" i="3" a="1"/>
  <c r="H184" i="3" a="1"/>
  <c r="H177" i="3" a="1"/>
  <c r="H328" i="3" a="1"/>
  <c r="H309" i="3" a="1"/>
  <c r="H201" i="3" a="1"/>
  <c r="H350" i="3" a="1"/>
  <c r="H505" i="3" a="1"/>
  <c r="H353" i="3" a="1"/>
  <c r="H160" i="3" a="1"/>
  <c r="H62" i="3" a="1"/>
  <c r="H467" i="3" a="1"/>
  <c r="H79" i="3" a="1"/>
  <c r="H127" i="3" a="1"/>
  <c r="H310" i="3" a="1"/>
  <c r="H464" i="3" a="1"/>
  <c r="H474" i="3" a="1"/>
  <c r="H95" i="3" a="1"/>
  <c r="H333" i="3" a="1"/>
  <c r="H484" i="3" a="1"/>
  <c r="H101" i="3" a="1"/>
  <c r="H259" i="3" a="1"/>
  <c r="H478" i="3" a="1"/>
  <c r="H99" i="3" a="1"/>
  <c r="H83" i="3" a="1"/>
  <c r="H240" i="3" a="1"/>
  <c r="H349" i="3" a="1"/>
  <c r="H118" i="3" a="1"/>
  <c r="H336" i="3" a="1"/>
  <c r="H156" i="3" a="1"/>
  <c r="H272" i="3" a="1"/>
  <c r="H525" i="3" a="1"/>
  <c r="H432" i="3" a="1"/>
  <c r="H466" i="3" a="1"/>
  <c r="H426" i="3" a="1"/>
  <c r="H50" i="3" a="1"/>
  <c r="H33" i="3" a="1"/>
  <c r="H132" i="3" a="1"/>
  <c r="H446" i="3" a="1"/>
  <c r="H68" i="3" a="1"/>
  <c r="H207" i="3" a="1"/>
  <c r="H360" i="3" a="1"/>
  <c r="H374" i="3" a="1"/>
  <c r="H535" i="3" a="1"/>
  <c r="H163" i="3" a="1"/>
  <c r="H23" i="3" a="1"/>
  <c r="H69" i="3" a="1"/>
  <c r="H18" i="3" a="1"/>
  <c r="H176" i="3" a="1"/>
  <c r="H168" i="3" a="1"/>
  <c r="H321" i="3" a="1"/>
  <c r="H431" i="3" a="1"/>
  <c r="H202" i="3" a="1"/>
  <c r="H355" i="3" a="1"/>
  <c r="H506" i="3" a="1"/>
  <c r="H172" i="3" a="1"/>
  <c r="H325" i="3" a="1"/>
  <c r="H335" i="3" a="1"/>
  <c r="H486" i="3" a="1"/>
  <c r="H142" i="3" a="1"/>
  <c r="H345" i="3" a="1"/>
  <c r="H292" i="3" a="1"/>
  <c r="H107" i="3" a="1"/>
  <c r="H356" i="3" a="1"/>
  <c r="H264" i="3" a="1"/>
  <c r="H376" i="3" a="1"/>
  <c r="H404" i="3" a="1"/>
  <c r="H43" i="3" a="1"/>
  <c r="H359" i="3" a="1"/>
  <c r="H461" i="3" a="1"/>
  <c r="H215" i="3" a="1"/>
  <c r="H369" i="3" a="1"/>
  <c r="H520" i="3" a="1"/>
  <c r="H112" i="3" a="1"/>
  <c r="H115" i="3" a="1"/>
  <c r="H485" i="3" a="1"/>
  <c r="H503" i="3" a="1"/>
  <c r="H489" i="3" a="1"/>
  <c r="H103" i="3" a="1"/>
  <c r="H135" i="3" a="1"/>
  <c r="H294" i="3" a="1"/>
  <c r="H283" i="3" a="1"/>
  <c r="H51" i="3" a="1"/>
  <c r="H84" i="3" a="1"/>
  <c r="H411" i="3" a="1"/>
  <c r="H67" i="3" a="1"/>
  <c r="H194" i="3" a="1"/>
  <c r="H58" i="3" a="1"/>
  <c r="H517" i="3" a="1"/>
  <c r="H342" i="3" a="1"/>
  <c r="H364" i="3" a="1"/>
  <c r="H238" i="3" a="1"/>
  <c r="H11" i="3" a="1"/>
  <c r="H291" i="3" a="1"/>
  <c r="H313" i="3" a="1"/>
  <c r="H367" i="3" a="1"/>
  <c r="H536" i="3" a="1"/>
  <c r="H438" i="3" a="1"/>
  <c r="H158" i="3" a="1"/>
  <c r="H218" i="3" a="1"/>
  <c r="H60" i="3" a="1"/>
  <c r="H70" i="3" a="1"/>
  <c r="H365" i="3" a="1"/>
  <c r="H245" i="3" a="1"/>
  <c r="H377" i="3" a="1"/>
  <c r="H153" i="3" a="1"/>
  <c r="H175" i="3" a="1"/>
  <c r="H187" i="3" a="1"/>
  <c r="H508" i="3" a="1"/>
  <c r="H138" i="3" a="1"/>
  <c r="H154" i="3" a="1"/>
  <c r="H456" i="3" a="1"/>
  <c r="H300" i="3" a="1"/>
  <c r="H401" i="3" a="1"/>
  <c r="H64" i="3" a="1"/>
  <c r="H301" i="3" a="1"/>
  <c r="H116" i="3" a="1"/>
  <c r="H270" i="3" a="1"/>
  <c r="H284" i="3" a="1"/>
  <c r="H434" i="3" a="1"/>
  <c r="H140" i="3" a="1"/>
  <c r="H290" i="3" a="1"/>
  <c r="H444" i="3" a="1"/>
  <c r="H66" i="3" a="1"/>
  <c r="H57" i="3" a="1"/>
  <c r="H490" i="3" a="1"/>
  <c r="H93" i="3" a="1"/>
  <c r="H510" i="3" a="1"/>
  <c r="H527" i="3" a="1"/>
  <c r="H257" i="3" a="1"/>
  <c r="H407" i="3" a="1"/>
  <c r="H409" i="3" a="1"/>
  <c r="H30" i="3" a="1"/>
  <c r="H134" i="3" a="1"/>
  <c r="H427" i="3" a="1"/>
  <c r="H47" i="3" a="1"/>
  <c r="H200" i="3" a="1"/>
  <c r="H413" i="3" a="1"/>
  <c r="H34" i="3" a="1"/>
  <c r="H192" i="3" a="1"/>
  <c r="H183" i="3" a="1"/>
  <c r="H480" i="3" a="1"/>
  <c r="H55" i="3" a="1"/>
  <c r="H224" i="3" a="1"/>
  <c r="H346" i="3" a="1"/>
  <c r="H312" i="3" a="1"/>
  <c r="H193" i="3" a="1"/>
  <c r="H331" i="3" a="1"/>
  <c r="H348" i="3" a="1"/>
  <c r="H358" i="3" a="1"/>
  <c r="H513" i="3" a="1"/>
  <c r="H507" i="3" a="1"/>
  <c r="H123" i="3" a="1"/>
  <c r="H381" i="3" a="1"/>
  <c r="H533" i="3" a="1"/>
  <c r="H159" i="3" a="1"/>
  <c r="H315" i="3" a="1"/>
  <c r="H15" i="3" a="1"/>
  <c r="H80" i="3" a="1"/>
  <c r="H40" i="3" a="1"/>
  <c r="H445" i="3" a="1"/>
  <c r="H482" i="3" a="1"/>
  <c r="H492" i="3" a="1"/>
  <c r="H108" i="3" a="1"/>
  <c r="H122" i="3" a="1"/>
  <c r="H265" i="3" a="1"/>
  <c r="H242" i="3" a="1"/>
  <c r="H131" i="3" a="1"/>
  <c r="H287" i="3" a="1"/>
  <c r="H441" i="3" a="1"/>
  <c r="H223" i="3" a="1"/>
  <c r="H269" i="3" a="1"/>
  <c r="H419" i="3" a="1"/>
  <c r="H421" i="3" a="1"/>
  <c r="H42" i="3" a="1"/>
  <c r="H289" i="3" a="1"/>
  <c r="H182" i="3" a="1"/>
  <c r="H487" i="3" a="1"/>
  <c r="H244" i="3" a="1"/>
  <c r="H391" i="3" a="1"/>
  <c r="H263" i="3" a="1"/>
  <c r="H38" i="3" a="1"/>
  <c r="H77" i="3" a="1"/>
  <c r="H214" i="3" a="1"/>
  <c r="H216" i="3" a="1"/>
  <c r="H366" i="3" a="1"/>
  <c r="H476" i="3" a="1"/>
  <c r="H234" i="3" a="1"/>
  <c r="H387" i="3" a="1"/>
  <c r="H539" i="3" a="1"/>
  <c r="H481" i="3" a="1"/>
  <c r="H171" i="3" a="1"/>
  <c r="H526" i="3" a="1"/>
  <c r="H530" i="3" a="1"/>
  <c r="H155" i="3" a="1"/>
  <c r="H499" i="3" a="1"/>
  <c r="H363" i="3" a="1"/>
  <c r="H514" i="3" a="1"/>
  <c r="H500" i="3" a="1"/>
  <c r="H529" i="3" a="1"/>
  <c r="H382" i="3" a="1"/>
  <c r="H534" i="3" a="1"/>
  <c r="H150" i="3" a="1"/>
  <c r="H297" i="3" a="1"/>
  <c r="H504" i="3" a="1"/>
  <c r="H124" i="3" a="1"/>
  <c r="H133" i="3" a="1"/>
  <c r="H277" i="3" a="1"/>
  <c r="H524" i="3" a="1"/>
  <c r="H145" i="3" a="1"/>
  <c r="H442" i="3" a="1"/>
  <c r="H459" i="3" a="1"/>
  <c r="H347" i="3" a="1"/>
  <c r="H204" i="3" a="1"/>
  <c r="H250" i="3" a="1"/>
  <c r="H298" i="3" a="1"/>
  <c r="H452" i="3" a="1"/>
  <c r="H462" i="3" a="1"/>
  <c r="H85" i="3" a="1"/>
  <c r="H402" i="3" a="1"/>
  <c r="H472" i="3" a="1"/>
  <c r="H90" i="3" a="1"/>
  <c r="H248" i="3" a="1"/>
  <c r="H372" i="3" a="1"/>
  <c r="H179" i="3" a="1"/>
  <c r="H75" i="3" a="1"/>
  <c r="H498" i="3" a="1"/>
  <c r="H100" i="3" a="1"/>
  <c r="H148" i="3" a="1"/>
  <c r="H54" i="3" a="1"/>
  <c r="H208" i="3" a="1"/>
  <c r="H221" i="3" a="1"/>
  <c r="H371" i="3" a="1"/>
  <c r="H72" i="3" a="1"/>
  <c r="H227" i="3" a="1"/>
  <c r="H380" i="3" a="1"/>
  <c r="H532" i="3" a="1"/>
  <c r="H225" i="3" a="1"/>
  <c r="H375" i="3" a="1"/>
  <c r="H361" i="3" a="1"/>
  <c r="H512" i="3" a="1"/>
  <c r="H89" i="3" a="1"/>
  <c r="H394" i="3" a="1"/>
  <c r="H105" i="3" a="1"/>
  <c r="H425" i="3" a="1"/>
  <c r="H279" i="3" a="1"/>
  <c r="H540" i="3" a="1"/>
  <c r="H451" i="3" a="1"/>
  <c r="H197" i="3" a="1"/>
  <c r="H198" i="3" a="1"/>
  <c r="H230" i="3" a="1"/>
  <c r="H332" i="3" a="1"/>
  <c r="H111" i="3" a="1"/>
  <c r="H119" i="3" a="1"/>
  <c r="H117" i="3" a="1"/>
  <c r="H509" i="3" a="1"/>
  <c r="H169" i="3" a="1"/>
  <c r="H229" i="3" a="1"/>
  <c r="H59" i="3" a="1"/>
  <c r="H457" i="3" a="1"/>
  <c r="H465" i="3" a="1"/>
  <c r="H448" i="3" a="1"/>
  <c r="H37" i="3" a="1"/>
  <c r="H340" i="3" a="1"/>
  <c r="H362" i="3" a="1"/>
  <c r="H344" i="3" a="1"/>
  <c r="H73" i="3" a="1"/>
  <c r="H414" i="3" a="1"/>
  <c r="H417" i="3" a="1"/>
  <c r="H293" i="3" a="1"/>
  <c r="H164" i="3" a="1"/>
  <c r="H78" i="3" a="1"/>
  <c r="H143" i="3" a="1"/>
  <c r="H288" i="3" a="1"/>
  <c r="H44" i="3" a="1"/>
  <c r="H81" i="3" a="1"/>
  <c r="H48" i="3" a="1"/>
  <c r="H126" i="3" a="1"/>
  <c r="H357" i="3" a="1"/>
  <c r="H538" i="3" a="1"/>
  <c r="H17" i="3" a="1"/>
  <c r="H41" i="3" a="1"/>
  <c r="H479" i="3" a="1"/>
  <c r="H130" i="3" a="1"/>
  <c r="H397" i="3" a="1"/>
  <c r="H450" i="3" a="1"/>
  <c r="H319" i="3" a="1"/>
  <c r="H281" i="3" a="1"/>
  <c r="H329" i="3" a="1"/>
  <c r="H166" i="3" a="1"/>
  <c r="H323" i="3" a="1"/>
  <c r="H306" i="3" a="1"/>
  <c r="H209" i="3" a="1"/>
  <c r="H185" i="3" a="1"/>
  <c r="H343" i="3" a="1"/>
  <c r="H494" i="3" a="1"/>
  <c r="H518" i="3" a="1"/>
  <c r="H392" i="3" a="1"/>
  <c r="H35" i="3" a="1"/>
  <c r="H181" i="3" a="1"/>
  <c r="H56" i="3" a="1"/>
  <c r="H106" i="3" a="1"/>
  <c r="H295" i="3" a="1"/>
  <c r="H449" i="3" a="1"/>
  <c r="H443" i="3" a="1"/>
  <c r="H61" i="3" a="1"/>
  <c r="H314" i="3" a="1"/>
  <c r="H469" i="3" a="1"/>
  <c r="H94" i="3" a="1"/>
  <c r="H252" i="3" a="1"/>
  <c r="H447" i="3" a="1"/>
  <c r="H65" i="3" a="1"/>
  <c r="H74" i="3" a="1"/>
  <c r="H233" i="3" a="1"/>
  <c r="H330" i="3" a="1"/>
  <c r="H82" i="3" a="1"/>
  <c r="H299" i="3" a="1"/>
  <c r="H136" i="3" a="1"/>
  <c r="H386" i="3" a="1"/>
  <c r="H334" i="3" a="1"/>
  <c r="H406" i="3" a="1"/>
  <c r="H423" i="3" a="1"/>
  <c r="H395" i="3" a="1"/>
  <c r="H16" i="3" a="1"/>
  <c r="H14" i="3" a="1"/>
  <c r="H173" i="3" a="1"/>
  <c r="H415" i="3" a="1"/>
  <c r="H36" i="3" a="1"/>
  <c r="H190" i="3" a="1"/>
  <c r="H341" i="3" a="1"/>
  <c r="H92" i="3" a="1"/>
  <c r="H501" i="3" a="1"/>
  <c r="H113" i="3" a="1"/>
  <c r="H521" i="3" a="1"/>
  <c r="H26" i="3" a="1"/>
  <c r="H7" i="3" a="1"/>
  <c r="H157" i="3" a="1"/>
  <c r="H149" i="3" a="1"/>
  <c r="H303" i="3" a="1"/>
  <c r="H412" i="3" a="1"/>
  <c r="H174" i="3" a="1"/>
  <c r="H324" i="3" a="1"/>
  <c r="H475" i="3" a="1"/>
  <c r="H151" i="3" a="1"/>
  <c r="H307" i="3" a="1"/>
  <c r="H305" i="3" a="1"/>
  <c r="H455" i="3" a="1"/>
  <c r="H32" i="3" a="1"/>
  <c r="H326" i="3" a="1"/>
  <c r="H239" i="3" a="1"/>
  <c r="H86" i="3" a="1"/>
  <c r="H318" i="3" a="1"/>
  <c r="H211" i="3" a="1"/>
  <c r="H338" i="3" a="1"/>
  <c r="H378" i="3" a="1"/>
  <c r="H97" i="3" a="1"/>
  <c r="H255" i="3" a="1"/>
  <c r="H253" i="3" a="1"/>
  <c r="H403" i="3" a="1"/>
  <c r="H120" i="3" a="1"/>
  <c r="H275" i="3" a="1"/>
  <c r="H429" i="3" a="1"/>
  <c r="H49" i="3" a="1"/>
  <c r="H25" i="3" a="1"/>
  <c r="H383" i="3" a="1"/>
  <c r="H71" i="3" a="1"/>
  <c r="H460" i="3" a="1"/>
  <c r="H493" i="3" a="1"/>
  <c r="H235" i="3" a="1"/>
  <c r="H388" i="3" a="1"/>
  <c r="H398" i="3" a="1"/>
  <c r="H19" i="3" a="1"/>
  <c r="H276" i="3" a="1"/>
  <c r="H408" i="3" a="1"/>
  <c r="H29" i="3" a="1"/>
  <c r="H188" i="3" a="1"/>
  <c r="H180" i="3" a="1"/>
  <c r="H22" i="3" a="1"/>
  <c r="H167" i="3" a="1"/>
  <c r="H162" i="3" a="1"/>
  <c r="H390" i="3" a="1"/>
  <c r="H46" i="3" a="1"/>
  <c r="H470" i="3" a="1"/>
  <c r="H141" i="3" a="1"/>
  <c r="H258" i="3" a="1"/>
  <c r="H422" i="3" a="1"/>
  <c r="H278" i="3" a="1"/>
  <c r="H52" i="3" a="1"/>
  <c r="H351" i="3" a="1"/>
  <c r="H502" i="3" a="1"/>
  <c r="H488" i="3" a="1"/>
  <c r="H104" i="3" a="1"/>
  <c r="H219" i="3" a="1"/>
  <c r="H522" i="3" a="1"/>
  <c r="H139" i="3" a="1"/>
  <c r="H285" i="3" a="1"/>
  <c r="H496" i="3" a="1"/>
  <c r="H195" i="3" a="1"/>
  <c r="H537" i="3" a="1"/>
  <c r="H267" i="3" a="1"/>
  <c r="H178" i="3" a="1"/>
  <c r="H477" i="3" a="1"/>
  <c r="H102" i="3" a="1"/>
  <c r="H260" i="3" a="1"/>
  <c r="H243" i="3" a="1"/>
  <c r="H76" i="3" a="1"/>
  <c r="H125" i="3" a="1"/>
  <c r="H280" i="3" a="1"/>
  <c r="H430" i="3" a="1"/>
  <c r="H327" i="3" a="1"/>
  <c r="H247" i="3" a="1"/>
  <c r="H400" i="3" a="1"/>
  <c r="H410" i="3" a="1"/>
  <c r="H31" i="3" a="1"/>
  <c r="H266" i="3" a="1"/>
  <c r="H420" i="3" a="1"/>
  <c r="H453" i="3" a="1"/>
  <c r="H203" i="3" a="1"/>
  <c r="H354" i="3" a="1"/>
  <c r="H222" i="3" a="1"/>
  <c r="H273" i="3" a="1"/>
  <c r="H206" i="3" a="1"/>
  <c r="H339" i="3" a="1"/>
  <c r="H129" i="3" a="1"/>
  <c r="H483" i="3" a="1"/>
  <c r="H352" i="3" a="1"/>
  <c r="H274" i="3" a="1"/>
  <c r="H254" i="3" a="1"/>
  <c r="H114" i="3" a="1"/>
  <c r="H28" i="3" a="1"/>
  <c r="H437" i="3" a="1"/>
  <c r="H286" i="3" a="1"/>
  <c r="H241" i="3" a="1"/>
  <c r="H45" i="3" a="1"/>
  <c r="H121" i="3" a="1"/>
  <c r="H186" i="3" a="1"/>
  <c r="H213" i="3" a="1"/>
  <c r="H189" i="3" a="1"/>
  <c r="H497" i="3" a="1"/>
  <c r="H317" i="3" a="1"/>
  <c r="H435" i="3" a="1"/>
  <c r="H147" i="3" a="1"/>
  <c r="H53" i="3" a="1"/>
  <c r="H463" i="3" a="1"/>
  <c r="H516" i="3" a="1"/>
  <c r="H311" i="3" a="1"/>
  <c r="H424" i="3" a="1"/>
  <c r="H458" i="3" a="1"/>
  <c r="H428" i="3" a="1"/>
  <c r="H199" i="3" a="1"/>
  <c r="H261" i="3" a="1"/>
  <c r="H337" i="3" a="1"/>
  <c r="H389" i="3" a="1"/>
  <c r="H528" i="3" a="1"/>
  <c r="H396" i="3" a="1"/>
  <c r="H322" i="3" a="1"/>
  <c r="H87" i="3" a="1"/>
  <c r="H511" i="3" a="1"/>
  <c r="H296" i="3" a="1"/>
  <c r="H302" i="3" a="1"/>
  <c r="H210" i="3" a="1"/>
  <c r="H436" i="3" a="1"/>
  <c r="H217" i="3" a="1"/>
  <c r="H433" i="3" a="1"/>
  <c r="H6" i="3" l="1"/>
  <c r="H55" i="3"/>
  <c r="H80" i="3"/>
  <c r="H102" i="3"/>
  <c r="H111" i="3"/>
  <c r="H117" i="3"/>
  <c r="H128" i="3"/>
  <c r="H138" i="3"/>
  <c r="H152" i="3"/>
  <c r="H159" i="3"/>
  <c r="H166" i="3"/>
  <c r="H173" i="3"/>
  <c r="H176" i="3"/>
  <c r="H179" i="3"/>
  <c r="H192" i="3"/>
  <c r="H206" i="3"/>
  <c r="H210" i="3"/>
  <c r="H217" i="3"/>
  <c r="H221" i="3"/>
  <c r="H225" i="3"/>
  <c r="H229" i="3"/>
  <c r="H233" i="3"/>
  <c r="H237" i="3"/>
  <c r="H241" i="3"/>
  <c r="H245" i="3"/>
  <c r="H249" i="3"/>
  <c r="H252" i="3"/>
  <c r="H256" i="3"/>
  <c r="H260" i="3"/>
  <c r="H264" i="3"/>
  <c r="H268" i="3"/>
  <c r="H272" i="3"/>
  <c r="H276" i="3"/>
  <c r="H280" i="3"/>
  <c r="H284" i="3"/>
  <c r="H288" i="3"/>
  <c r="H292" i="3"/>
  <c r="H296" i="3"/>
  <c r="H300" i="3"/>
  <c r="H304" i="3"/>
  <c r="H308" i="3"/>
  <c r="H312" i="3"/>
  <c r="H315" i="3"/>
  <c r="H319" i="3"/>
  <c r="H323" i="3"/>
  <c r="H327" i="3"/>
  <c r="H331" i="3"/>
  <c r="H335" i="3"/>
  <c r="H339" i="3"/>
  <c r="H343" i="3"/>
  <c r="H347" i="3"/>
  <c r="H351" i="3"/>
  <c r="H355" i="3"/>
  <c r="H359" i="3"/>
  <c r="H363" i="3"/>
  <c r="H367" i="3"/>
  <c r="H371" i="3"/>
  <c r="H375" i="3"/>
  <c r="H378" i="3"/>
  <c r="H382" i="3"/>
  <c r="H386" i="3"/>
  <c r="H390" i="3"/>
  <c r="H394" i="3"/>
  <c r="H398" i="3"/>
  <c r="H402" i="3"/>
  <c r="H406" i="3"/>
  <c r="H414" i="3"/>
  <c r="H418" i="3"/>
  <c r="H426" i="3"/>
  <c r="H430" i="3"/>
  <c r="H434" i="3"/>
  <c r="H438" i="3"/>
  <c r="H442" i="3"/>
  <c r="H446" i="3"/>
  <c r="H450" i="3"/>
  <c r="H454" i="3"/>
  <c r="H458" i="3"/>
  <c r="H462" i="3"/>
  <c r="H466" i="3"/>
  <c r="H470" i="3"/>
  <c r="H474" i="3"/>
  <c r="H478" i="3"/>
  <c r="H482" i="3"/>
  <c r="H486" i="3"/>
  <c r="H490" i="3"/>
  <c r="H494" i="3"/>
  <c r="H498" i="3"/>
  <c r="H502" i="3"/>
  <c r="H506" i="3"/>
  <c r="H510" i="3"/>
  <c r="H514" i="3"/>
  <c r="H518" i="3"/>
  <c r="H522" i="3"/>
  <c r="H526" i="3"/>
  <c r="H530" i="3"/>
  <c r="H534" i="3"/>
  <c r="H538" i="3"/>
  <c r="H22" i="3"/>
  <c r="H53" i="3"/>
  <c r="H56" i="3"/>
  <c r="H64" i="3"/>
  <c r="H71" i="3"/>
  <c r="H77" i="3"/>
  <c r="H88" i="3"/>
  <c r="H99" i="3"/>
  <c r="H109" i="3"/>
  <c r="H112" i="3"/>
  <c r="H115" i="3"/>
  <c r="H136" i="3"/>
  <c r="H150" i="3"/>
  <c r="H160" i="3"/>
  <c r="H182" i="3"/>
  <c r="H189" i="3"/>
  <c r="H199" i="3"/>
  <c r="H207" i="3"/>
  <c r="H211" i="3"/>
  <c r="H214" i="3"/>
  <c r="H218" i="3"/>
  <c r="H222" i="3"/>
  <c r="H226" i="3"/>
  <c r="H230" i="3"/>
  <c r="H234" i="3"/>
  <c r="H238" i="3"/>
  <c r="H242" i="3"/>
  <c r="H246" i="3"/>
  <c r="H253" i="3"/>
  <c r="H257" i="3"/>
  <c r="H261" i="3"/>
  <c r="H265" i="3"/>
  <c r="H269" i="3"/>
  <c r="H273" i="3"/>
  <c r="H277" i="3"/>
  <c r="H281" i="3"/>
  <c r="H285" i="3"/>
  <c r="H289" i="3"/>
  <c r="H293" i="3"/>
  <c r="H297" i="3"/>
  <c r="H301" i="3"/>
  <c r="H305" i="3"/>
  <c r="H309" i="3"/>
  <c r="H313" i="3"/>
  <c r="H316" i="3"/>
  <c r="H320" i="3"/>
  <c r="H324" i="3"/>
  <c r="H328" i="3"/>
  <c r="H332" i="3"/>
  <c r="H336" i="3"/>
  <c r="H340" i="3"/>
  <c r="H344" i="3"/>
  <c r="H352" i="3"/>
  <c r="H356" i="3"/>
  <c r="H360" i="3"/>
  <c r="H364" i="3"/>
  <c r="H368" i="3"/>
  <c r="H372" i="3"/>
  <c r="H376" i="3"/>
  <c r="H379" i="3"/>
  <c r="H383" i="3"/>
  <c r="H387" i="3"/>
  <c r="H391" i="3"/>
  <c r="H395" i="3"/>
  <c r="H399" i="3"/>
  <c r="H403" i="3"/>
  <c r="H407" i="3"/>
  <c r="H411" i="3"/>
  <c r="H415" i="3"/>
  <c r="H419" i="3"/>
  <c r="H423" i="3"/>
  <c r="H427" i="3"/>
  <c r="H431" i="3"/>
  <c r="H435" i="3"/>
  <c r="H439" i="3"/>
  <c r="H443" i="3"/>
  <c r="H447" i="3"/>
  <c r="H451" i="3"/>
  <c r="H455" i="3"/>
  <c r="H459" i="3"/>
  <c r="H463" i="3"/>
  <c r="H467" i="3"/>
  <c r="H471" i="3"/>
  <c r="H475" i="3"/>
  <c r="H479" i="3"/>
  <c r="H483" i="3"/>
  <c r="H487" i="3"/>
  <c r="H491" i="3"/>
  <c r="H495" i="3"/>
  <c r="H499" i="3"/>
  <c r="H503" i="3"/>
  <c r="H507" i="3"/>
  <c r="H511" i="3"/>
  <c r="H515" i="3"/>
  <c r="H519" i="3"/>
  <c r="H523" i="3"/>
  <c r="H527" i="3"/>
  <c r="H531" i="3"/>
  <c r="H535" i="3"/>
  <c r="H539" i="3"/>
  <c r="H10" i="3"/>
  <c r="H16" i="3"/>
  <c r="H32" i="3"/>
  <c r="H40" i="3"/>
  <c r="H43" i="3"/>
  <c r="H72" i="3"/>
  <c r="H75" i="3"/>
  <c r="H96" i="3"/>
  <c r="H103" i="3"/>
  <c r="H107" i="3"/>
  <c r="H144" i="3"/>
  <c r="H168" i="3"/>
  <c r="H193" i="3"/>
  <c r="H200" i="3"/>
  <c r="H204" i="3"/>
  <c r="H208" i="3"/>
  <c r="H212" i="3"/>
  <c r="H215" i="3"/>
  <c r="H219" i="3"/>
  <c r="H223" i="3"/>
  <c r="H227" i="3"/>
  <c r="H231" i="3"/>
  <c r="H235" i="3"/>
  <c r="H239" i="3"/>
  <c r="H243" i="3"/>
  <c r="H247" i="3"/>
  <c r="H250" i="3"/>
  <c r="H254" i="3"/>
  <c r="H262" i="3"/>
  <c r="H270" i="3"/>
  <c r="H274" i="3"/>
  <c r="H286" i="3"/>
  <c r="H290" i="3"/>
  <c r="H294" i="3"/>
  <c r="H298" i="3"/>
  <c r="H302" i="3"/>
  <c r="H306" i="3"/>
  <c r="H310" i="3"/>
  <c r="H317" i="3"/>
  <c r="H321" i="3"/>
  <c r="H325" i="3"/>
  <c r="H329" i="3"/>
  <c r="H333" i="3"/>
  <c r="H337" i="3"/>
  <c r="H341" i="3"/>
  <c r="H345" i="3"/>
  <c r="H349" i="3"/>
  <c r="H353" i="3"/>
  <c r="H357" i="3"/>
  <c r="H361" i="3"/>
  <c r="H365" i="3"/>
  <c r="H369" i="3"/>
  <c r="H373" i="3"/>
  <c r="H377" i="3"/>
  <c r="H380" i="3"/>
  <c r="H384" i="3"/>
  <c r="H388" i="3"/>
  <c r="H392" i="3"/>
  <c r="H396" i="3"/>
  <c r="H400" i="3"/>
  <c r="H404" i="3"/>
  <c r="H408" i="3"/>
  <c r="H412" i="3"/>
  <c r="H416" i="3"/>
  <c r="H420" i="3"/>
  <c r="H424" i="3"/>
  <c r="H428" i="3"/>
  <c r="H432" i="3"/>
  <c r="H436" i="3"/>
  <c r="H440" i="3"/>
  <c r="H444" i="3"/>
  <c r="H448" i="3"/>
  <c r="H452" i="3"/>
  <c r="H456" i="3"/>
  <c r="H460" i="3"/>
  <c r="H464" i="3"/>
  <c r="H468" i="3"/>
  <c r="H472" i="3"/>
  <c r="H476" i="3"/>
  <c r="H480" i="3"/>
  <c r="H484" i="3"/>
  <c r="H488" i="3"/>
  <c r="H492" i="3"/>
  <c r="H496" i="3"/>
  <c r="H500" i="3"/>
  <c r="H504" i="3"/>
  <c r="H508" i="3"/>
  <c r="H512" i="3"/>
  <c r="H516" i="3"/>
  <c r="H520" i="3"/>
  <c r="H524" i="3"/>
  <c r="H528" i="3"/>
  <c r="H532" i="3"/>
  <c r="H536" i="3"/>
  <c r="H540" i="3"/>
  <c r="H11" i="3"/>
  <c r="H24" i="3"/>
  <c r="H33" i="3"/>
  <c r="H48" i="3"/>
  <c r="H86" i="3"/>
  <c r="H93" i="3"/>
  <c r="H104" i="3"/>
  <c r="H120" i="3"/>
  <c r="H127" i="3"/>
  <c r="H134" i="3"/>
  <c r="H151" i="3"/>
  <c r="H175" i="3"/>
  <c r="H181" i="3"/>
  <c r="H184" i="3"/>
  <c r="H205" i="3"/>
  <c r="H209" i="3"/>
  <c r="H213" i="3"/>
  <c r="H216" i="3"/>
  <c r="H220" i="3"/>
  <c r="H224" i="3"/>
  <c r="H228" i="3"/>
  <c r="H232" i="3"/>
  <c r="H236" i="3"/>
  <c r="H240" i="3"/>
  <c r="H244" i="3"/>
  <c r="H248" i="3"/>
  <c r="H251" i="3"/>
  <c r="H255" i="3"/>
  <c r="H259" i="3"/>
  <c r="H263" i="3"/>
  <c r="H267" i="3"/>
  <c r="H271" i="3"/>
  <c r="H275" i="3"/>
  <c r="H279" i="3"/>
  <c r="H283" i="3"/>
  <c r="H287" i="3"/>
  <c r="H291" i="3"/>
  <c r="H295" i="3"/>
  <c r="H299" i="3"/>
  <c r="H303" i="3"/>
  <c r="H307" i="3"/>
  <c r="H311" i="3"/>
  <c r="H314" i="3"/>
  <c r="H318" i="3"/>
  <c r="H322" i="3"/>
  <c r="H326" i="3"/>
  <c r="H330" i="3"/>
  <c r="H334" i="3"/>
  <c r="H338" i="3"/>
  <c r="H342" i="3"/>
  <c r="H346" i="3"/>
  <c r="H350" i="3"/>
  <c r="H354" i="3"/>
  <c r="H358" i="3"/>
  <c r="H362" i="3"/>
  <c r="H366" i="3"/>
  <c r="H370" i="3"/>
  <c r="H374" i="3"/>
  <c r="H381" i="3"/>
  <c r="H385" i="3"/>
  <c r="H389" i="3"/>
  <c r="H393" i="3"/>
  <c r="H397" i="3"/>
  <c r="H401" i="3"/>
  <c r="H405" i="3"/>
  <c r="H409" i="3"/>
  <c r="H413" i="3"/>
  <c r="H417" i="3"/>
  <c r="H421" i="3"/>
  <c r="H425" i="3"/>
  <c r="H429" i="3"/>
  <c r="H433" i="3"/>
  <c r="H437" i="3"/>
  <c r="H441" i="3"/>
  <c r="H445" i="3"/>
  <c r="H449" i="3"/>
  <c r="H453" i="3"/>
  <c r="H457" i="3"/>
  <c r="H461" i="3"/>
  <c r="H465" i="3"/>
  <c r="H469" i="3"/>
  <c r="H473" i="3"/>
  <c r="H477" i="3"/>
  <c r="H481" i="3"/>
  <c r="H485" i="3"/>
  <c r="H489" i="3"/>
  <c r="H493" i="3"/>
  <c r="H497" i="3"/>
  <c r="H501" i="3"/>
  <c r="H505" i="3"/>
  <c r="H509" i="3"/>
  <c r="H513" i="3"/>
  <c r="H517" i="3"/>
  <c r="H521" i="3"/>
  <c r="H525" i="3"/>
  <c r="H529" i="3"/>
  <c r="H533" i="3"/>
  <c r="H537" i="3"/>
  <c r="I722" i="11"/>
  <c r="I723" i="11"/>
  <c r="H190" i="3"/>
  <c r="H278" i="3"/>
  <c r="H31" i="3"/>
  <c r="H38" i="3"/>
  <c r="H97" i="3"/>
  <c r="H149" i="3"/>
  <c r="H198" i="3"/>
  <c r="H258" i="3"/>
  <c r="H410" i="3"/>
  <c r="H266" i="3"/>
  <c r="H19" i="3"/>
  <c r="H61" i="3"/>
  <c r="H87" i="3"/>
  <c r="H118" i="3"/>
  <c r="H125" i="3"/>
  <c r="H157" i="3"/>
  <c r="H282" i="3"/>
  <c r="H14" i="3"/>
  <c r="H62" i="3"/>
  <c r="H95" i="3"/>
  <c r="H133" i="3"/>
  <c r="H158" i="3"/>
  <c r="H422" i="3"/>
  <c r="H348" i="3"/>
  <c r="L348" i="3"/>
  <c r="M348" i="3" s="1"/>
  <c r="H15" i="3"/>
  <c r="H83" i="3"/>
  <c r="H100" i="3"/>
  <c r="H178" i="3"/>
  <c r="L299" i="3"/>
  <c r="M299" i="3" s="1"/>
  <c r="H34" i="3"/>
  <c r="H59" i="3"/>
  <c r="H84" i="3"/>
  <c r="H89" i="3"/>
  <c r="H101" i="3"/>
  <c r="H113" i="3"/>
  <c r="H131" i="3"/>
  <c r="H142" i="3"/>
  <c r="H154" i="3"/>
  <c r="H196" i="3"/>
  <c r="H202" i="3"/>
  <c r="H7" i="3"/>
  <c r="H17" i="3"/>
  <c r="H30" i="3"/>
  <c r="H35" i="3"/>
  <c r="H41" i="3"/>
  <c r="H47" i="3"/>
  <c r="H54" i="3"/>
  <c r="H60" i="3"/>
  <c r="H65" i="3"/>
  <c r="H85" i="3"/>
  <c r="H90" i="3"/>
  <c r="H108" i="3"/>
  <c r="H114" i="3"/>
  <c r="H119" i="3"/>
  <c r="H126" i="3"/>
  <c r="H132" i="3"/>
  <c r="H137" i="3"/>
  <c r="H143" i="3"/>
  <c r="H155" i="3"/>
  <c r="H167" i="3"/>
  <c r="H185" i="3"/>
  <c r="H191" i="3"/>
  <c r="H197" i="3"/>
  <c r="H203" i="3"/>
  <c r="L296" i="3"/>
  <c r="M296" i="3" s="1"/>
  <c r="H130" i="3"/>
  <c r="H153" i="3"/>
  <c r="H183" i="3"/>
  <c r="H23" i="3"/>
  <c r="H36" i="3"/>
  <c r="H180" i="3"/>
  <c r="H73" i="3"/>
  <c r="H187" i="3"/>
  <c r="H74" i="3"/>
  <c r="H110" i="3"/>
  <c r="H122" i="3"/>
  <c r="H139" i="3"/>
  <c r="H145" i="3"/>
  <c r="H163" i="3"/>
  <c r="H169" i="3"/>
  <c r="H188" i="3"/>
  <c r="H28" i="3"/>
  <c r="H58" i="3"/>
  <c r="H76" i="3"/>
  <c r="H106" i="3"/>
  <c r="H172" i="3"/>
  <c r="H201" i="3"/>
  <c r="H161" i="3"/>
  <c r="H186" i="3"/>
  <c r="H49" i="3"/>
  <c r="H92" i="3"/>
  <c r="H121" i="3"/>
  <c r="H50" i="3"/>
  <c r="H26" i="3"/>
  <c r="H44" i="3"/>
  <c r="H69" i="3"/>
  <c r="H81" i="3"/>
  <c r="H98" i="3"/>
  <c r="H123" i="3"/>
  <c r="H146" i="3"/>
  <c r="H164" i="3"/>
  <c r="H148" i="3"/>
  <c r="H195" i="3"/>
  <c r="H29" i="3"/>
  <c r="H46" i="3"/>
  <c r="H18" i="3"/>
  <c r="H42" i="3"/>
  <c r="H66" i="3"/>
  <c r="H78" i="3"/>
  <c r="H91" i="3"/>
  <c r="H156" i="3"/>
  <c r="H174" i="3"/>
  <c r="H37" i="3"/>
  <c r="H67" i="3"/>
  <c r="H79" i="3"/>
  <c r="H162" i="3"/>
  <c r="H25" i="3"/>
  <c r="H68" i="3"/>
  <c r="H116" i="3"/>
  <c r="H20" i="3"/>
  <c r="H51" i="3"/>
  <c r="H140" i="3"/>
  <c r="H170" i="3"/>
  <c r="H21" i="3"/>
  <c r="H39" i="3"/>
  <c r="H45" i="3"/>
  <c r="H52" i="3"/>
  <c r="H57" i="3"/>
  <c r="H63" i="3"/>
  <c r="H70" i="3"/>
  <c r="H82" i="3"/>
  <c r="H94" i="3"/>
  <c r="H105" i="3"/>
  <c r="H124" i="3"/>
  <c r="H129" i="3"/>
  <c r="H135" i="3"/>
  <c r="H141" i="3"/>
  <c r="H147" i="3"/>
  <c r="H165" i="3"/>
  <c r="H171" i="3"/>
  <c r="H177" i="3"/>
  <c r="H194" i="3"/>
  <c r="G541" i="3"/>
  <c r="I542" i="3" l="1"/>
  <c r="G544" i="3"/>
  <c r="G545" i="3"/>
  <c r="G547" i="3" s="1"/>
  <c r="G543" i="3"/>
  <c r="G542" i="3" l="1"/>
  <c r="G546" i="3" s="1"/>
  <c r="G548" i="3" s="1"/>
  <c r="I546" i="3" l="1"/>
  <c r="I551" i="3"/>
  <c r="O1" i="2" l="1"/>
  <c r="O2" i="2"/>
  <c r="O3" i="2"/>
  <c r="O4" i="2"/>
  <c r="O5" i="2"/>
  <c r="O6" i="2"/>
  <c r="O7" i="2"/>
  <c r="O8" i="2"/>
  <c r="O9"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10" i="2"/>
  <c r="L11" i="2"/>
  <c r="M11" i="2" s="1"/>
  <c r="O11" i="2" s="1"/>
  <c r="L12" i="2"/>
  <c r="M12" i="2" s="1"/>
  <c r="O12" i="2" s="1"/>
  <c r="L13" i="2"/>
  <c r="M13" i="2" s="1"/>
  <c r="O13" i="2" s="1"/>
  <c r="L33" i="2"/>
  <c r="M33" i="2" s="1"/>
  <c r="O33" i="2" s="1"/>
  <c r="L99" i="2"/>
  <c r="M99" i="2" s="1"/>
  <c r="O99" i="2" s="1"/>
  <c r="L102" i="2"/>
  <c r="M102" i="2" s="1"/>
  <c r="O102" i="2" s="1"/>
  <c r="L107" i="2"/>
  <c r="M107" i="2" s="1"/>
  <c r="O107" i="2" s="1"/>
  <c r="L128" i="2"/>
  <c r="M128" i="2" s="1"/>
  <c r="O128" i="2" s="1"/>
  <c r="L231" i="2"/>
  <c r="M231" i="2" s="1"/>
  <c r="O231" i="2" s="1"/>
  <c r="L232" i="2"/>
  <c r="M232" i="2" s="1"/>
  <c r="O232" i="2" s="1"/>
  <c r="L296" i="2"/>
  <c r="M296" i="2" s="1"/>
  <c r="O296" i="2" s="1"/>
  <c r="L309" i="2"/>
  <c r="M309" i="2" s="1"/>
  <c r="O309" i="2" s="1"/>
  <c r="L312" i="2"/>
  <c r="M312" i="2" s="1"/>
  <c r="O312" i="2" s="1"/>
  <c r="L314" i="2"/>
  <c r="M314" i="2" s="1"/>
  <c r="O314" i="2" s="1"/>
  <c r="L318" i="2"/>
  <c r="M318" i="2" s="1"/>
  <c r="O318" i="2" s="1"/>
  <c r="L319" i="2"/>
  <c r="M319" i="2" s="1"/>
  <c r="O319" i="2" s="1"/>
  <c r="L332" i="2"/>
  <c r="M332" i="2" s="1"/>
  <c r="O332" i="2" s="1"/>
  <c r="L335" i="2"/>
  <c r="M335" i="2" s="1"/>
  <c r="O335" i="2" s="1"/>
  <c r="L344" i="2"/>
  <c r="M344" i="2" s="1"/>
  <c r="O344" i="2" s="1"/>
  <c r="L345" i="2"/>
  <c r="M345" i="2" s="1"/>
  <c r="O345" i="2" s="1"/>
  <c r="L347" i="2"/>
  <c r="M347" i="2" s="1"/>
  <c r="O347" i="2" s="1"/>
  <c r="L348" i="2"/>
  <c r="M348" i="2" s="1"/>
  <c r="O348" i="2" s="1"/>
  <c r="L349" i="2"/>
  <c r="M349" i="2" s="1"/>
  <c r="O349" i="2" s="1"/>
  <c r="L352" i="2"/>
  <c r="M352" i="2" s="1"/>
  <c r="O352" i="2" s="1"/>
  <c r="L353" i="2"/>
  <c r="M353" i="2" s="1"/>
  <c r="O353" i="2" s="1"/>
  <c r="L354" i="2"/>
  <c r="M354" i="2" s="1"/>
  <c r="O354" i="2" s="1"/>
  <c r="L355" i="2"/>
  <c r="M355" i="2" s="1"/>
  <c r="O355" i="2" s="1"/>
  <c r="L360" i="2"/>
  <c r="M360" i="2" s="1"/>
  <c r="O360" i="2" s="1"/>
  <c r="L361" i="2"/>
  <c r="M361" i="2" s="1"/>
  <c r="O361" i="2" s="1"/>
  <c r="L364" i="2"/>
  <c r="M364" i="2" s="1"/>
  <c r="O364" i="2" s="1"/>
  <c r="L369" i="2"/>
  <c r="M369" i="2" s="1"/>
  <c r="O369" i="2" s="1"/>
  <c r="L370" i="2"/>
  <c r="M370" i="2" s="1"/>
  <c r="O370" i="2" s="1"/>
  <c r="L375" i="2"/>
  <c r="M375" i="2" s="1"/>
  <c r="O375" i="2" s="1"/>
  <c r="L397" i="2"/>
  <c r="M397" i="2" s="1"/>
  <c r="O397" i="2" s="1"/>
  <c r="L406" i="2"/>
  <c r="M406" i="2" s="1"/>
  <c r="O406" i="2" s="1"/>
  <c r="L462" i="2"/>
  <c r="M462" i="2" s="1"/>
  <c r="O462" i="2" s="1"/>
  <c r="L463" i="2"/>
  <c r="M463" i="2" s="1"/>
  <c r="O463" i="2" s="1"/>
  <c r="L531" i="2"/>
  <c r="M531" i="2" s="1"/>
  <c r="O531" i="2" s="1"/>
  <c r="L532" i="2"/>
  <c r="M532" i="2" s="1"/>
  <c r="O532" i="2" s="1"/>
  <c r="L533" i="2"/>
  <c r="M533" i="2" s="1"/>
  <c r="O533" i="2" s="1"/>
  <c r="L534" i="2"/>
  <c r="M534" i="2" s="1"/>
  <c r="O534" i="2" s="1"/>
  <c r="L535" i="2"/>
  <c r="M535" i="2" s="1"/>
  <c r="O535" i="2" s="1"/>
  <c r="L536" i="2"/>
  <c r="M536" i="2" s="1"/>
  <c r="O536" i="2" s="1"/>
  <c r="L537" i="2"/>
  <c r="M537" i="2" s="1"/>
  <c r="O537" i="2" s="1"/>
  <c r="L538" i="2"/>
  <c r="M538" i="2" s="1"/>
  <c r="O538" i="2" s="1"/>
  <c r="L539" i="2"/>
  <c r="M539" i="2" s="1"/>
  <c r="O539" i="2" s="1"/>
  <c r="L540" i="2"/>
  <c r="M540" i="2" s="1"/>
  <c r="O540" i="2" s="1"/>
  <c r="L10" i="2"/>
  <c r="M10" i="2" s="1"/>
  <c r="O10" i="2" s="1"/>
  <c r="I721" i="1"/>
  <c r="N7" i="1"/>
  <c r="O7" i="1"/>
  <c r="N8" i="1"/>
  <c r="O8" i="1"/>
  <c r="N11" i="1"/>
  <c r="O11" i="1"/>
  <c r="N12" i="1"/>
  <c r="O12" i="1"/>
  <c r="P12" i="1"/>
  <c r="N14" i="1"/>
  <c r="O14" i="1"/>
  <c r="P14" i="1" s="1"/>
  <c r="N15" i="1"/>
  <c r="O15" i="1"/>
  <c r="N16" i="1"/>
  <c r="O16" i="1"/>
  <c r="N17" i="1"/>
  <c r="O17" i="1"/>
  <c r="N22" i="1"/>
  <c r="O22" i="1"/>
  <c r="P22" i="1" s="1"/>
  <c r="N27" i="1"/>
  <c r="O27" i="1"/>
  <c r="N29" i="1"/>
  <c r="O29" i="1"/>
  <c r="P29" i="1"/>
  <c r="N32" i="1"/>
  <c r="O32" i="1"/>
  <c r="N33" i="1"/>
  <c r="O33" i="1"/>
  <c r="N36" i="1"/>
  <c r="O36" i="1"/>
  <c r="P36" i="1"/>
  <c r="N37" i="1"/>
  <c r="O37" i="1"/>
  <c r="P37" i="1"/>
  <c r="N40" i="1"/>
  <c r="O40" i="1"/>
  <c r="N46" i="1"/>
  <c r="O46" i="1"/>
  <c r="N49" i="1"/>
  <c r="O49" i="1"/>
  <c r="N53" i="1"/>
  <c r="O53" i="1"/>
  <c r="N55" i="1"/>
  <c r="O55" i="1"/>
  <c r="N57" i="1"/>
  <c r="O57" i="1"/>
  <c r="N60" i="1"/>
  <c r="O60" i="1"/>
  <c r="P60" i="1"/>
  <c r="N63" i="1"/>
  <c r="O63" i="1"/>
  <c r="N66" i="1"/>
  <c r="O66" i="1"/>
  <c r="N67" i="1"/>
  <c r="O67" i="1"/>
  <c r="P67" i="1" s="1"/>
  <c r="N68" i="1"/>
  <c r="O68" i="1"/>
  <c r="N69" i="1"/>
  <c r="O69" i="1"/>
  <c r="P69" i="1"/>
  <c r="N78" i="1"/>
  <c r="O78" i="1"/>
  <c r="N79" i="1"/>
  <c r="O79" i="1"/>
  <c r="N80" i="1"/>
  <c r="O80" i="1"/>
  <c r="P80" i="1" s="1"/>
  <c r="N87" i="1"/>
  <c r="O87" i="1"/>
  <c r="N94" i="1"/>
  <c r="O94" i="1"/>
  <c r="N101" i="1"/>
  <c r="O101" i="1"/>
  <c r="N108" i="1"/>
  <c r="O108" i="1"/>
  <c r="P108" i="1"/>
  <c r="N109" i="1"/>
  <c r="O109" i="1"/>
  <c r="P109" i="1"/>
  <c r="N112" i="1"/>
  <c r="O112" i="1"/>
  <c r="P112" i="1" s="1"/>
  <c r="N117" i="1"/>
  <c r="O117" i="1"/>
  <c r="P117" i="1"/>
  <c r="N120" i="1"/>
  <c r="O120" i="1"/>
  <c r="N126" i="1"/>
  <c r="O126" i="1"/>
  <c r="N130" i="1"/>
  <c r="O130" i="1"/>
  <c r="N134" i="1"/>
  <c r="O134" i="1"/>
  <c r="N137" i="1"/>
  <c r="O137" i="1"/>
  <c r="N139" i="1"/>
  <c r="O139" i="1"/>
  <c r="N142" i="1"/>
  <c r="O142" i="1"/>
  <c r="N147" i="1"/>
  <c r="O147" i="1"/>
  <c r="N149" i="1"/>
  <c r="O149" i="1"/>
  <c r="N154" i="1"/>
  <c r="O154" i="1"/>
  <c r="N156" i="1"/>
  <c r="O156" i="1"/>
  <c r="P156" i="1"/>
  <c r="N157" i="1"/>
  <c r="O157" i="1"/>
  <c r="N162" i="1"/>
  <c r="O162" i="1"/>
  <c r="N170" i="1"/>
  <c r="O170" i="1"/>
  <c r="N172" i="1"/>
  <c r="O172" i="1"/>
  <c r="P172" i="1"/>
  <c r="N176" i="1"/>
  <c r="O176" i="1"/>
  <c r="P176" i="1" s="1"/>
  <c r="N177" i="1"/>
  <c r="O177" i="1"/>
  <c r="N179" i="1"/>
  <c r="O179" i="1"/>
  <c r="N184" i="1"/>
  <c r="O184" i="1"/>
  <c r="P184" i="1" s="1"/>
  <c r="N185" i="1"/>
  <c r="O185" i="1"/>
  <c r="N186" i="1"/>
  <c r="O186" i="1"/>
  <c r="N187" i="1"/>
  <c r="O187" i="1"/>
  <c r="P187" i="1" s="1"/>
  <c r="N188" i="1"/>
  <c r="O188" i="1"/>
  <c r="N189" i="1"/>
  <c r="O189" i="1"/>
  <c r="P189" i="1"/>
  <c r="N190" i="1"/>
  <c r="O190" i="1"/>
  <c r="N191" i="1"/>
  <c r="O191" i="1"/>
  <c r="N192" i="1"/>
  <c r="O192" i="1"/>
  <c r="N193" i="1"/>
  <c r="O193" i="1"/>
  <c r="N194" i="1"/>
  <c r="O194" i="1"/>
  <c r="N195" i="1"/>
  <c r="O195" i="1"/>
  <c r="N196" i="1"/>
  <c r="O196" i="1"/>
  <c r="N197" i="1"/>
  <c r="O197" i="1"/>
  <c r="P197" i="1"/>
  <c r="N198" i="1"/>
  <c r="O198" i="1"/>
  <c r="N205" i="1"/>
  <c r="O205" i="1"/>
  <c r="N212" i="1"/>
  <c r="O212" i="1"/>
  <c r="P212" i="1" s="1"/>
  <c r="N218" i="1"/>
  <c r="O218" i="1"/>
  <c r="N221" i="1"/>
  <c r="O221" i="1"/>
  <c r="N224" i="1"/>
  <c r="O224" i="1"/>
  <c r="P224" i="1" s="1"/>
  <c r="N225" i="1"/>
  <c r="O225" i="1"/>
  <c r="N231" i="1"/>
  <c r="O231" i="1"/>
  <c r="N232" i="1"/>
  <c r="O232" i="1"/>
  <c r="P232" i="1" s="1"/>
  <c r="N233" i="1"/>
  <c r="O233" i="1"/>
  <c r="N235" i="1"/>
  <c r="O235" i="1"/>
  <c r="P235" i="1" s="1"/>
  <c r="N237" i="1"/>
  <c r="O237" i="1"/>
  <c r="N238" i="1"/>
  <c r="O238" i="1"/>
  <c r="N240" i="1"/>
  <c r="O240" i="1"/>
  <c r="P240" i="1" s="1"/>
  <c r="N241" i="1"/>
  <c r="O241" i="1"/>
  <c r="N242" i="1"/>
  <c r="O242" i="1"/>
  <c r="N243" i="1"/>
  <c r="O243" i="1"/>
  <c r="N245" i="1"/>
  <c r="O245" i="1"/>
  <c r="P245" i="1" s="1"/>
  <c r="N246" i="1"/>
  <c r="O246" i="1"/>
  <c r="N247" i="1"/>
  <c r="O247" i="1"/>
  <c r="N248" i="1"/>
  <c r="O248" i="1"/>
  <c r="P248" i="1" s="1"/>
  <c r="N249" i="1"/>
  <c r="O249" i="1"/>
  <c r="N250" i="1"/>
  <c r="O250" i="1"/>
  <c r="N251" i="1"/>
  <c r="O251" i="1"/>
  <c r="N252" i="1"/>
  <c r="O252" i="1"/>
  <c r="P252" i="1" s="1"/>
  <c r="N253" i="1"/>
  <c r="O253" i="1"/>
  <c r="N254" i="1"/>
  <c r="O254" i="1"/>
  <c r="N255" i="1"/>
  <c r="O255" i="1"/>
  <c r="N256" i="1"/>
  <c r="O256" i="1"/>
  <c r="P256" i="1" s="1"/>
  <c r="N257" i="1"/>
  <c r="O257" i="1"/>
  <c r="N258" i="1"/>
  <c r="O258" i="1"/>
  <c r="N259" i="1"/>
  <c r="O259" i="1"/>
  <c r="N260" i="1"/>
  <c r="O260" i="1"/>
  <c r="P260" i="1" s="1"/>
  <c r="N261" i="1"/>
  <c r="O261" i="1"/>
  <c r="N262" i="1"/>
  <c r="O262" i="1"/>
  <c r="N337" i="1"/>
  <c r="O337" i="1"/>
  <c r="N342" i="1"/>
  <c r="O342" i="1"/>
  <c r="N343" i="1"/>
  <c r="O343" i="1"/>
  <c r="N345" i="1"/>
  <c r="O345" i="1"/>
  <c r="N346" i="1"/>
  <c r="O346" i="1"/>
  <c r="N420" i="1"/>
  <c r="O420" i="1"/>
  <c r="N423" i="1"/>
  <c r="O423" i="1"/>
  <c r="N425" i="1"/>
  <c r="O425" i="1"/>
  <c r="N429" i="1"/>
  <c r="O429" i="1"/>
  <c r="N430" i="1"/>
  <c r="O430" i="1"/>
  <c r="P430" i="1" s="1"/>
  <c r="N443" i="1"/>
  <c r="O443" i="1"/>
  <c r="N444" i="1"/>
  <c r="O444" i="1"/>
  <c r="N445" i="1"/>
  <c r="O445" i="1"/>
  <c r="P445" i="1" s="1"/>
  <c r="N446" i="1"/>
  <c r="O446" i="1"/>
  <c r="N447" i="1"/>
  <c r="O447" i="1"/>
  <c r="N450" i="1"/>
  <c r="O450" i="1"/>
  <c r="N459" i="1"/>
  <c r="O459" i="1"/>
  <c r="P459" i="1" s="1"/>
  <c r="N460" i="1"/>
  <c r="O460" i="1"/>
  <c r="N462" i="1"/>
  <c r="O462" i="1"/>
  <c r="P462" i="1"/>
  <c r="N464" i="1"/>
  <c r="O464" i="1"/>
  <c r="P464" i="1" s="1"/>
  <c r="N467" i="1"/>
  <c r="O467" i="1"/>
  <c r="N468" i="1"/>
  <c r="O468" i="1"/>
  <c r="N469" i="1"/>
  <c r="O469" i="1"/>
  <c r="P469" i="1"/>
  <c r="N470" i="1"/>
  <c r="O470" i="1"/>
  <c r="N475" i="1"/>
  <c r="O475" i="1"/>
  <c r="P475" i="1"/>
  <c r="N476" i="1"/>
  <c r="O476" i="1"/>
  <c r="N479" i="1"/>
  <c r="O479" i="1"/>
  <c r="N484" i="1"/>
  <c r="O484" i="1"/>
  <c r="N485" i="1"/>
  <c r="O485" i="1"/>
  <c r="P485" i="1" s="1"/>
  <c r="N490" i="1"/>
  <c r="O490" i="1"/>
  <c r="N491" i="1"/>
  <c r="O491" i="1"/>
  <c r="N492" i="1"/>
  <c r="O492" i="1"/>
  <c r="N493" i="1"/>
  <c r="O493" i="1"/>
  <c r="N494" i="1"/>
  <c r="O494" i="1"/>
  <c r="N495" i="1"/>
  <c r="O495" i="1"/>
  <c r="N496" i="1"/>
  <c r="O496" i="1"/>
  <c r="P496" i="1" s="1"/>
  <c r="N497" i="1"/>
  <c r="O497" i="1"/>
  <c r="N498" i="1"/>
  <c r="O498" i="1"/>
  <c r="N499" i="1"/>
  <c r="O499" i="1"/>
  <c r="P499" i="1" s="1"/>
  <c r="N500" i="1"/>
  <c r="O500" i="1"/>
  <c r="N501" i="1"/>
  <c r="O501" i="1"/>
  <c r="N502" i="1"/>
  <c r="O502" i="1"/>
  <c r="P502" i="1" s="1"/>
  <c r="N503" i="1"/>
  <c r="O503" i="1"/>
  <c r="N504" i="1"/>
  <c r="O504" i="1"/>
  <c r="P504" i="1" s="1"/>
  <c r="N505" i="1"/>
  <c r="O505" i="1"/>
  <c r="N506" i="1"/>
  <c r="O506" i="1"/>
  <c r="N507" i="1"/>
  <c r="O507" i="1"/>
  <c r="N508" i="1"/>
  <c r="O508" i="1"/>
  <c r="N509" i="1"/>
  <c r="O509" i="1"/>
  <c r="P509" i="1" s="1"/>
  <c r="N510" i="1"/>
  <c r="O510" i="1"/>
  <c r="N511" i="1"/>
  <c r="O511" i="1"/>
  <c r="N524" i="1"/>
  <c r="O524" i="1"/>
  <c r="N525" i="1"/>
  <c r="O525" i="1"/>
  <c r="P525" i="1"/>
  <c r="N526" i="1"/>
  <c r="O526" i="1"/>
  <c r="N527" i="1"/>
  <c r="O527" i="1"/>
  <c r="N528" i="1"/>
  <c r="O528" i="1"/>
  <c r="P528" i="1" s="1"/>
  <c r="N529" i="1"/>
  <c r="O529" i="1"/>
  <c r="N530" i="1"/>
  <c r="O530" i="1"/>
  <c r="N531" i="1"/>
  <c r="O531" i="1"/>
  <c r="N532" i="1"/>
  <c r="O532" i="1"/>
  <c r="N533" i="1"/>
  <c r="O533" i="1"/>
  <c r="N534" i="1"/>
  <c r="O534" i="1"/>
  <c r="N535" i="1"/>
  <c r="O535" i="1"/>
  <c r="N536" i="1"/>
  <c r="O536" i="1"/>
  <c r="P536" i="1" s="1"/>
  <c r="N537" i="1"/>
  <c r="O537" i="1"/>
  <c r="N538" i="1"/>
  <c r="O538" i="1"/>
  <c r="N539" i="1"/>
  <c r="O539" i="1"/>
  <c r="P539" i="1" s="1"/>
  <c r="N549" i="1"/>
  <c r="O549" i="1"/>
  <c r="N558" i="1"/>
  <c r="O558" i="1"/>
  <c r="N572" i="1"/>
  <c r="O572" i="1"/>
  <c r="N573" i="1"/>
  <c r="O573" i="1"/>
  <c r="P573" i="1"/>
  <c r="N616" i="1"/>
  <c r="O616" i="1"/>
  <c r="P616" i="1" s="1"/>
  <c r="N617" i="1"/>
  <c r="O617" i="1"/>
  <c r="N619" i="1"/>
  <c r="O619" i="1"/>
  <c r="P619" i="1"/>
  <c r="N620" i="1"/>
  <c r="O620" i="1"/>
  <c r="N625" i="1"/>
  <c r="O625" i="1"/>
  <c r="N630" i="1"/>
  <c r="O630" i="1"/>
  <c r="N631" i="1"/>
  <c r="O631" i="1"/>
  <c r="N632" i="1"/>
  <c r="O632" i="1"/>
  <c r="P632" i="1" s="1"/>
  <c r="N635" i="1"/>
  <c r="O635" i="1"/>
  <c r="P635" i="1" s="1"/>
  <c r="N681" i="1"/>
  <c r="O681" i="1"/>
  <c r="N682" i="1"/>
  <c r="O682" i="1"/>
  <c r="N683" i="1"/>
  <c r="O683" i="1"/>
  <c r="P683" i="1"/>
  <c r="N684" i="1"/>
  <c r="O684" i="1"/>
  <c r="N685" i="1"/>
  <c r="O685" i="1"/>
  <c r="N686" i="1"/>
  <c r="O686" i="1"/>
  <c r="P686" i="1"/>
  <c r="N687" i="1"/>
  <c r="O687" i="1"/>
  <c r="N688" i="1"/>
  <c r="O688" i="1"/>
  <c r="N689" i="1"/>
  <c r="O689" i="1"/>
  <c r="N690" i="1"/>
  <c r="O690" i="1"/>
  <c r="N691" i="1"/>
  <c r="O691" i="1"/>
  <c r="P691" i="1"/>
  <c r="N692" i="1"/>
  <c r="O692" i="1"/>
  <c r="N693" i="1"/>
  <c r="O693" i="1"/>
  <c r="P693" i="1"/>
  <c r="N694" i="1"/>
  <c r="O694" i="1"/>
  <c r="P694" i="1"/>
  <c r="N696" i="1"/>
  <c r="O696" i="1"/>
  <c r="N697" i="1"/>
  <c r="O697" i="1"/>
  <c r="N698" i="1"/>
  <c r="O698" i="1"/>
  <c r="N699" i="1"/>
  <c r="O699" i="1"/>
  <c r="N711" i="1"/>
  <c r="O711" i="1"/>
  <c r="N712" i="1"/>
  <c r="O712" i="1"/>
  <c r="N713" i="1"/>
  <c r="O713" i="1"/>
  <c r="N714" i="1"/>
  <c r="O714" i="1"/>
  <c r="N715" i="1"/>
  <c r="O715" i="1"/>
  <c r="N716" i="1"/>
  <c r="O716" i="1"/>
  <c r="N719" i="1"/>
  <c r="O719" i="1"/>
  <c r="N720" i="1"/>
  <c r="O720" i="1"/>
  <c r="H219" i="1"/>
  <c r="H214" i="1"/>
  <c r="M8" i="1"/>
  <c r="M11" i="1"/>
  <c r="M12" i="1"/>
  <c r="M14" i="1"/>
  <c r="M15" i="1"/>
  <c r="M16" i="1"/>
  <c r="M17" i="1"/>
  <c r="M22" i="1"/>
  <c r="M27" i="1"/>
  <c r="M29" i="1"/>
  <c r="M32" i="1"/>
  <c r="M33" i="1"/>
  <c r="M36" i="1"/>
  <c r="M37" i="1"/>
  <c r="M40" i="1"/>
  <c r="M46" i="1"/>
  <c r="M49" i="1"/>
  <c r="M53" i="1"/>
  <c r="M55" i="1"/>
  <c r="M57" i="1"/>
  <c r="M60" i="1"/>
  <c r="M63" i="1"/>
  <c r="M66" i="1"/>
  <c r="M67" i="1"/>
  <c r="M68" i="1"/>
  <c r="M69" i="1"/>
  <c r="M78" i="1"/>
  <c r="M79" i="1"/>
  <c r="M80" i="1"/>
  <c r="M87" i="1"/>
  <c r="M94" i="1"/>
  <c r="M101" i="1"/>
  <c r="M108" i="1"/>
  <c r="M109" i="1"/>
  <c r="M112" i="1"/>
  <c r="M117" i="1"/>
  <c r="M120" i="1"/>
  <c r="M126" i="1"/>
  <c r="M130" i="1"/>
  <c r="M134" i="1"/>
  <c r="M137" i="1"/>
  <c r="M139" i="1"/>
  <c r="M142" i="1"/>
  <c r="M147" i="1"/>
  <c r="M149" i="1"/>
  <c r="M154" i="1"/>
  <c r="M156" i="1"/>
  <c r="M157" i="1"/>
  <c r="M162" i="1"/>
  <c r="M170" i="1"/>
  <c r="M172" i="1"/>
  <c r="M176" i="1"/>
  <c r="M177" i="1"/>
  <c r="M179" i="1"/>
  <c r="M184" i="1"/>
  <c r="M185" i="1"/>
  <c r="M186" i="1"/>
  <c r="M187" i="1"/>
  <c r="M188" i="1"/>
  <c r="M189" i="1"/>
  <c r="M190" i="1"/>
  <c r="M191" i="1"/>
  <c r="M192" i="1"/>
  <c r="M193" i="1"/>
  <c r="M194" i="1"/>
  <c r="M195" i="1"/>
  <c r="M196" i="1"/>
  <c r="M197" i="1"/>
  <c r="M198" i="1"/>
  <c r="M205" i="1"/>
  <c r="M212" i="1"/>
  <c r="M218" i="1"/>
  <c r="M221" i="1"/>
  <c r="M224" i="1"/>
  <c r="M225" i="1"/>
  <c r="M231" i="1"/>
  <c r="M232" i="1"/>
  <c r="M233" i="1"/>
  <c r="M235" i="1"/>
  <c r="M237" i="1"/>
  <c r="M238" i="1"/>
  <c r="M240" i="1"/>
  <c r="M241" i="1"/>
  <c r="M242" i="1"/>
  <c r="M243" i="1"/>
  <c r="M245" i="1"/>
  <c r="M246" i="1"/>
  <c r="M247" i="1"/>
  <c r="M248" i="1"/>
  <c r="M249" i="1"/>
  <c r="M250" i="1"/>
  <c r="M251" i="1"/>
  <c r="M252" i="1"/>
  <c r="M253" i="1"/>
  <c r="M254" i="1"/>
  <c r="M255" i="1"/>
  <c r="M256" i="1"/>
  <c r="M257" i="1"/>
  <c r="M258" i="1"/>
  <c r="M259" i="1"/>
  <c r="M260" i="1"/>
  <c r="M261" i="1"/>
  <c r="M262" i="1"/>
  <c r="M337" i="1"/>
  <c r="M342" i="1"/>
  <c r="M343" i="1"/>
  <c r="M345" i="1"/>
  <c r="M346" i="1"/>
  <c r="M420" i="1"/>
  <c r="M423" i="1"/>
  <c r="M425" i="1"/>
  <c r="M429" i="1"/>
  <c r="M430" i="1"/>
  <c r="M443" i="1"/>
  <c r="M444" i="1"/>
  <c r="M445" i="1"/>
  <c r="M446" i="1"/>
  <c r="M447" i="1"/>
  <c r="M450" i="1"/>
  <c r="M459" i="1"/>
  <c r="M460" i="1"/>
  <c r="M462" i="1"/>
  <c r="M464" i="1"/>
  <c r="M467" i="1"/>
  <c r="M468" i="1"/>
  <c r="M469" i="1"/>
  <c r="M470" i="1"/>
  <c r="M475" i="1"/>
  <c r="M476" i="1"/>
  <c r="M479" i="1"/>
  <c r="M484" i="1"/>
  <c r="M485" i="1"/>
  <c r="M490" i="1"/>
  <c r="M491" i="1"/>
  <c r="M492" i="1"/>
  <c r="M493" i="1"/>
  <c r="M494" i="1"/>
  <c r="M495" i="1"/>
  <c r="M496" i="1"/>
  <c r="M497" i="1"/>
  <c r="M498" i="1"/>
  <c r="M499" i="1"/>
  <c r="M500" i="1"/>
  <c r="M501" i="1"/>
  <c r="M502" i="1"/>
  <c r="M503" i="1"/>
  <c r="M504" i="1"/>
  <c r="M505" i="1"/>
  <c r="M506" i="1"/>
  <c r="M507" i="1"/>
  <c r="M508" i="1"/>
  <c r="M509" i="1"/>
  <c r="M510" i="1"/>
  <c r="M511" i="1"/>
  <c r="M524" i="1"/>
  <c r="M525" i="1"/>
  <c r="M526" i="1"/>
  <c r="M527" i="1"/>
  <c r="M528" i="1"/>
  <c r="M529" i="1"/>
  <c r="M530" i="1"/>
  <c r="M531" i="1"/>
  <c r="M532" i="1"/>
  <c r="M533" i="1"/>
  <c r="M534" i="1"/>
  <c r="M535" i="1"/>
  <c r="M536" i="1"/>
  <c r="M537" i="1"/>
  <c r="M538" i="1"/>
  <c r="M539" i="1"/>
  <c r="M549" i="1"/>
  <c r="M558" i="1"/>
  <c r="M572" i="1"/>
  <c r="M573" i="1"/>
  <c r="M616" i="1"/>
  <c r="M617" i="1"/>
  <c r="M619" i="1"/>
  <c r="M620" i="1"/>
  <c r="M625" i="1"/>
  <c r="M630" i="1"/>
  <c r="M631" i="1"/>
  <c r="M632" i="1"/>
  <c r="M635" i="1"/>
  <c r="M681" i="1"/>
  <c r="M682" i="1"/>
  <c r="M683" i="1"/>
  <c r="M684" i="1"/>
  <c r="M685" i="1"/>
  <c r="M686" i="1"/>
  <c r="M687" i="1"/>
  <c r="M688" i="1"/>
  <c r="M689" i="1"/>
  <c r="M690" i="1"/>
  <c r="M691" i="1"/>
  <c r="M692" i="1"/>
  <c r="M693" i="1"/>
  <c r="M694" i="1"/>
  <c r="M696" i="1"/>
  <c r="M697" i="1"/>
  <c r="M698" i="1"/>
  <c r="M699" i="1"/>
  <c r="M711" i="1"/>
  <c r="M712" i="1"/>
  <c r="M713" i="1"/>
  <c r="M714" i="1"/>
  <c r="M715" i="1"/>
  <c r="M716" i="1"/>
  <c r="M719" i="1"/>
  <c r="M720" i="1"/>
  <c r="M7" i="1"/>
  <c r="I548" i="2"/>
  <c r="G540" i="2"/>
  <c r="G539" i="2"/>
  <c r="G538" i="2"/>
  <c r="G537" i="2"/>
  <c r="G536" i="2"/>
  <c r="G535" i="2"/>
  <c r="G534" i="2"/>
  <c r="G533" i="2"/>
  <c r="G532" i="2"/>
  <c r="G531" i="2"/>
  <c r="G530" i="2"/>
  <c r="G529" i="2"/>
  <c r="G528" i="2"/>
  <c r="G527" i="2"/>
  <c r="G526" i="2"/>
  <c r="G525" i="2"/>
  <c r="G524" i="2"/>
  <c r="G523" i="2"/>
  <c r="G522" i="2"/>
  <c r="G521" i="2"/>
  <c r="G520" i="2"/>
  <c r="G519" i="2"/>
  <c r="G518" i="2"/>
  <c r="F517" i="2"/>
  <c r="G517" i="2" s="1"/>
  <c r="G516" i="2"/>
  <c r="G515" i="2"/>
  <c r="G514" i="2"/>
  <c r="G513" i="2"/>
  <c r="G512" i="2"/>
  <c r="G511" i="2"/>
  <c r="G510" i="2"/>
  <c r="G509" i="2"/>
  <c r="G508" i="2"/>
  <c r="G507" i="2"/>
  <c r="G506" i="2"/>
  <c r="G505" i="2"/>
  <c r="G504" i="2"/>
  <c r="G503" i="2"/>
  <c r="G502" i="2"/>
  <c r="G501" i="2"/>
  <c r="G500" i="2"/>
  <c r="G499" i="2"/>
  <c r="G498" i="2"/>
  <c r="G497" i="2"/>
  <c r="G496" i="2"/>
  <c r="G495" i="2"/>
  <c r="G494" i="2"/>
  <c r="G493" i="2"/>
  <c r="G492" i="2"/>
  <c r="G491" i="2"/>
  <c r="G490" i="2"/>
  <c r="G489" i="2"/>
  <c r="G488" i="2"/>
  <c r="G487" i="2"/>
  <c r="G486" i="2"/>
  <c r="G485" i="2"/>
  <c r="G484" i="2"/>
  <c r="G483" i="2"/>
  <c r="G482" i="2"/>
  <c r="G481" i="2"/>
  <c r="G480" i="2"/>
  <c r="G479" i="2"/>
  <c r="G478" i="2"/>
  <c r="G477" i="2"/>
  <c r="G476" i="2"/>
  <c r="G475" i="2"/>
  <c r="G474" i="2"/>
  <c r="G473" i="2"/>
  <c r="G472" i="2"/>
  <c r="G471" i="2"/>
  <c r="G470" i="2"/>
  <c r="G469" i="2"/>
  <c r="G468" i="2"/>
  <c r="G467" i="2"/>
  <c r="G466" i="2"/>
  <c r="G465" i="2"/>
  <c r="G464" i="2"/>
  <c r="G463" i="2"/>
  <c r="G462" i="2"/>
  <c r="G461" i="2"/>
  <c r="G460" i="2"/>
  <c r="G459" i="2"/>
  <c r="G458" i="2"/>
  <c r="G457" i="2"/>
  <c r="G456" i="2"/>
  <c r="G455" i="2"/>
  <c r="G454" i="2"/>
  <c r="G453" i="2"/>
  <c r="G452" i="2"/>
  <c r="G451" i="2"/>
  <c r="G450" i="2"/>
  <c r="G449" i="2"/>
  <c r="G448" i="2"/>
  <c r="G447" i="2"/>
  <c r="G446" i="2"/>
  <c r="G445" i="2"/>
  <c r="G444" i="2"/>
  <c r="G443" i="2"/>
  <c r="G442" i="2"/>
  <c r="G441" i="2"/>
  <c r="G440" i="2"/>
  <c r="G439" i="2"/>
  <c r="G438" i="2"/>
  <c r="G437" i="2"/>
  <c r="G436" i="2"/>
  <c r="G435" i="2"/>
  <c r="G434" i="2"/>
  <c r="G433" i="2"/>
  <c r="G432" i="2"/>
  <c r="G431" i="2"/>
  <c r="G430" i="2"/>
  <c r="G429" i="2"/>
  <c r="G428" i="2"/>
  <c r="G427" i="2"/>
  <c r="G426" i="2"/>
  <c r="G425" i="2"/>
  <c r="G424" i="2"/>
  <c r="G423" i="2"/>
  <c r="G422" i="2"/>
  <c r="G421" i="2"/>
  <c r="G420" i="2"/>
  <c r="G419" i="2"/>
  <c r="G418" i="2"/>
  <c r="G417" i="2"/>
  <c r="G416" i="2"/>
  <c r="G415" i="2"/>
  <c r="G414" i="2"/>
  <c r="G413" i="2"/>
  <c r="G412" i="2"/>
  <c r="G411" i="2"/>
  <c r="G410" i="2"/>
  <c r="G409" i="2"/>
  <c r="G408" i="2"/>
  <c r="G407" i="2"/>
  <c r="G406" i="2"/>
  <c r="G405" i="2"/>
  <c r="G404" i="2"/>
  <c r="G403" i="2"/>
  <c r="G402" i="2"/>
  <c r="G401" i="2"/>
  <c r="G400" i="2"/>
  <c r="G399" i="2"/>
  <c r="G398" i="2"/>
  <c r="G397" i="2"/>
  <c r="G396" i="2"/>
  <c r="G395" i="2"/>
  <c r="G394" i="2"/>
  <c r="G393" i="2"/>
  <c r="G392" i="2"/>
  <c r="G391" i="2"/>
  <c r="G390" i="2"/>
  <c r="G389" i="2"/>
  <c r="G388" i="2"/>
  <c r="G387" i="2"/>
  <c r="G386" i="2"/>
  <c r="G385" i="2"/>
  <c r="G384" i="2"/>
  <c r="G383" i="2"/>
  <c r="G382" i="2"/>
  <c r="G381" i="2"/>
  <c r="G380" i="2"/>
  <c r="G379" i="2"/>
  <c r="G378" i="2"/>
  <c r="G377" i="2"/>
  <c r="G376" i="2"/>
  <c r="G375" i="2"/>
  <c r="G374" i="2"/>
  <c r="G373" i="2"/>
  <c r="G372" i="2"/>
  <c r="G371" i="2"/>
  <c r="G370" i="2"/>
  <c r="G369" i="2"/>
  <c r="G368" i="2"/>
  <c r="G367" i="2"/>
  <c r="G366" i="2"/>
  <c r="G365" i="2"/>
  <c r="G364" i="2"/>
  <c r="G363" i="2"/>
  <c r="G362" i="2"/>
  <c r="G361" i="2"/>
  <c r="G360" i="2"/>
  <c r="G359" i="2"/>
  <c r="G358" i="2"/>
  <c r="G357" i="2"/>
  <c r="G356" i="2"/>
  <c r="G355" i="2"/>
  <c r="G354" i="2"/>
  <c r="G353" i="2"/>
  <c r="G352" i="2"/>
  <c r="G351" i="2"/>
  <c r="G350" i="2"/>
  <c r="G349" i="2"/>
  <c r="G348" i="2"/>
  <c r="G347" i="2"/>
  <c r="G346" i="2"/>
  <c r="G345" i="2"/>
  <c r="G344" i="2"/>
  <c r="G343" i="2"/>
  <c r="G342" i="2"/>
  <c r="G341" i="2"/>
  <c r="G340" i="2"/>
  <c r="G339" i="2"/>
  <c r="G338" i="2"/>
  <c r="G337" i="2"/>
  <c r="G336" i="2"/>
  <c r="G335" i="2"/>
  <c r="G334" i="2"/>
  <c r="G333" i="2"/>
  <c r="G332" i="2"/>
  <c r="G331" i="2"/>
  <c r="G330" i="2"/>
  <c r="G329" i="2"/>
  <c r="G328" i="2"/>
  <c r="G327" i="2"/>
  <c r="G326" i="2"/>
  <c r="G325" i="2"/>
  <c r="G324" i="2"/>
  <c r="G323" i="2"/>
  <c r="G322" i="2"/>
  <c r="G321" i="2"/>
  <c r="G320" i="2"/>
  <c r="G319" i="2"/>
  <c r="G318" i="2"/>
  <c r="G317" i="2"/>
  <c r="G316" i="2"/>
  <c r="G315" i="2"/>
  <c r="G314" i="2"/>
  <c r="G313" i="2"/>
  <c r="G312" i="2"/>
  <c r="G311" i="2"/>
  <c r="G310" i="2"/>
  <c r="G309" i="2"/>
  <c r="G308" i="2"/>
  <c r="G307" i="2"/>
  <c r="G306" i="2"/>
  <c r="G305" i="2"/>
  <c r="G304" i="2"/>
  <c r="G303" i="2"/>
  <c r="G302" i="2"/>
  <c r="G301" i="2"/>
  <c r="G300" i="2"/>
  <c r="G299" i="2"/>
  <c r="G298" i="2"/>
  <c r="G297" i="2"/>
  <c r="G296" i="2"/>
  <c r="G295" i="2"/>
  <c r="G294" i="2"/>
  <c r="G293" i="2"/>
  <c r="G292" i="2"/>
  <c r="G291" i="2"/>
  <c r="G290" i="2"/>
  <c r="G289" i="2"/>
  <c r="G288" i="2"/>
  <c r="G287" i="2"/>
  <c r="G286" i="2"/>
  <c r="G285" i="2"/>
  <c r="G284" i="2"/>
  <c r="G283" i="2"/>
  <c r="G282" i="2"/>
  <c r="G281" i="2"/>
  <c r="G280" i="2"/>
  <c r="G279" i="2"/>
  <c r="G278" i="2"/>
  <c r="G277" i="2"/>
  <c r="G276" i="2"/>
  <c r="G275" i="2"/>
  <c r="G274" i="2"/>
  <c r="G273" i="2"/>
  <c r="G272" i="2"/>
  <c r="G271" i="2"/>
  <c r="G270" i="2"/>
  <c r="G269" i="2"/>
  <c r="G268" i="2"/>
  <c r="G267" i="2"/>
  <c r="G266" i="2"/>
  <c r="G265" i="2"/>
  <c r="G264" i="2"/>
  <c r="G263" i="2"/>
  <c r="G262" i="2"/>
  <c r="G261" i="2"/>
  <c r="G260" i="2"/>
  <c r="G259" i="2"/>
  <c r="G258" i="2"/>
  <c r="G257" i="2"/>
  <c r="G256" i="2"/>
  <c r="G255" i="2"/>
  <c r="G254" i="2"/>
  <c r="G253" i="2"/>
  <c r="G252" i="2"/>
  <c r="G251" i="2"/>
  <c r="G250" i="2"/>
  <c r="G249" i="2"/>
  <c r="G248" i="2"/>
  <c r="G247" i="2"/>
  <c r="G246" i="2"/>
  <c r="G245" i="2"/>
  <c r="G244" i="2"/>
  <c r="G243" i="2"/>
  <c r="G242" i="2"/>
  <c r="G241" i="2"/>
  <c r="G240" i="2"/>
  <c r="G239" i="2"/>
  <c r="G238" i="2"/>
  <c r="G237" i="2"/>
  <c r="G236" i="2"/>
  <c r="G235" i="2"/>
  <c r="G234" i="2"/>
  <c r="G233" i="2"/>
  <c r="G232" i="2"/>
  <c r="G231" i="2"/>
  <c r="G230" i="2"/>
  <c r="G229" i="2"/>
  <c r="G228" i="2"/>
  <c r="G227" i="2"/>
  <c r="G226" i="2"/>
  <c r="G225" i="2"/>
  <c r="G224" i="2"/>
  <c r="G223" i="2"/>
  <c r="G222" i="2"/>
  <c r="G221" i="2"/>
  <c r="G220" i="2"/>
  <c r="G219" i="2"/>
  <c r="G218" i="2"/>
  <c r="G217" i="2"/>
  <c r="G216" i="2"/>
  <c r="G215" i="2"/>
  <c r="G214" i="2"/>
  <c r="G213" i="2"/>
  <c r="G212" i="2"/>
  <c r="G211" i="2"/>
  <c r="G210" i="2"/>
  <c r="G209" i="2"/>
  <c r="G208" i="2"/>
  <c r="G207" i="2"/>
  <c r="G206" i="2"/>
  <c r="G205" i="2"/>
  <c r="G204" i="2"/>
  <c r="G203" i="2"/>
  <c r="G202" i="2"/>
  <c r="G201" i="2"/>
  <c r="G200" i="2"/>
  <c r="G199" i="2"/>
  <c r="G198" i="2"/>
  <c r="G197" i="2"/>
  <c r="G196" i="2"/>
  <c r="G195" i="2"/>
  <c r="G194" i="2"/>
  <c r="G193" i="2"/>
  <c r="G192" i="2"/>
  <c r="G191" i="2"/>
  <c r="G190" i="2"/>
  <c r="G189" i="2"/>
  <c r="G188" i="2"/>
  <c r="G187" i="2"/>
  <c r="G186" i="2"/>
  <c r="G185" i="2"/>
  <c r="G184" i="2"/>
  <c r="G183" i="2"/>
  <c r="G182" i="2"/>
  <c r="G181" i="2"/>
  <c r="G180" i="2"/>
  <c r="G179" i="2"/>
  <c r="G178" i="2"/>
  <c r="G177" i="2"/>
  <c r="G176" i="2"/>
  <c r="G175" i="2"/>
  <c r="G174" i="2"/>
  <c r="G173" i="2"/>
  <c r="G172" i="2"/>
  <c r="G171" i="2"/>
  <c r="G170" i="2"/>
  <c r="G169" i="2"/>
  <c r="G168" i="2"/>
  <c r="G167" i="2"/>
  <c r="G166" i="2"/>
  <c r="G165" i="2"/>
  <c r="G164" i="2"/>
  <c r="G163" i="2"/>
  <c r="G162" i="2"/>
  <c r="G161" i="2"/>
  <c r="G160" i="2"/>
  <c r="G159" i="2"/>
  <c r="G158" i="2"/>
  <c r="G157" i="2"/>
  <c r="G156" i="2"/>
  <c r="G155" i="2"/>
  <c r="G154" i="2"/>
  <c r="G153" i="2"/>
  <c r="G152" i="2"/>
  <c r="G151" i="2"/>
  <c r="G150" i="2"/>
  <c r="G149" i="2"/>
  <c r="G148" i="2"/>
  <c r="G147" i="2"/>
  <c r="G146" i="2"/>
  <c r="G145" i="2"/>
  <c r="G144" i="2"/>
  <c r="G143" i="2"/>
  <c r="G142" i="2"/>
  <c r="G141" i="2"/>
  <c r="G140" i="2"/>
  <c r="G139" i="2"/>
  <c r="G138" i="2"/>
  <c r="G137" i="2"/>
  <c r="G136" i="2"/>
  <c r="G135" i="2"/>
  <c r="G134" i="2"/>
  <c r="G133" i="2"/>
  <c r="G132" i="2"/>
  <c r="G131" i="2"/>
  <c r="G130" i="2"/>
  <c r="G129" i="2"/>
  <c r="G128" i="2"/>
  <c r="G127" i="2"/>
  <c r="G126" i="2"/>
  <c r="G125" i="2"/>
  <c r="G124" i="2"/>
  <c r="G123" i="2"/>
  <c r="G122" i="2"/>
  <c r="G121" i="2"/>
  <c r="G120" i="2"/>
  <c r="G119" i="2"/>
  <c r="G118" i="2"/>
  <c r="G117" i="2"/>
  <c r="G116" i="2"/>
  <c r="G115" i="2"/>
  <c r="G114" i="2"/>
  <c r="G113" i="2"/>
  <c r="G112" i="2"/>
  <c r="G111" i="2"/>
  <c r="G110" i="2"/>
  <c r="G109" i="2"/>
  <c r="G108" i="2"/>
  <c r="G107" i="2"/>
  <c r="G106" i="2"/>
  <c r="G105" i="2"/>
  <c r="G104" i="2"/>
  <c r="G103" i="2"/>
  <c r="G102" i="2"/>
  <c r="G101" i="2"/>
  <c r="G100" i="2"/>
  <c r="G99" i="2"/>
  <c r="G98" i="2"/>
  <c r="G97" i="2"/>
  <c r="G96"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9" i="2"/>
  <c r="G18" i="2"/>
  <c r="G17" i="2"/>
  <c r="G16" i="2"/>
  <c r="G15" i="2"/>
  <c r="G14" i="2"/>
  <c r="G13" i="2"/>
  <c r="G12" i="2"/>
  <c r="G11" i="2"/>
  <c r="G10" i="2"/>
  <c r="G9" i="2"/>
  <c r="G8" i="2"/>
  <c r="G7" i="2"/>
  <c r="G6" i="2"/>
  <c r="P715" i="1" l="1"/>
  <c r="P714" i="1"/>
  <c r="P713" i="1"/>
  <c r="P699" i="1"/>
  <c r="P698" i="1"/>
  <c r="P697" i="1"/>
  <c r="P692" i="1"/>
  <c r="P689" i="1"/>
  <c r="P687" i="1"/>
  <c r="P685" i="1"/>
  <c r="P684" i="1"/>
  <c r="P682" i="1"/>
  <c r="P631" i="1"/>
  <c r="P630" i="1"/>
  <c r="P558" i="1"/>
  <c r="P549" i="1"/>
  <c r="P538" i="1"/>
  <c r="P537" i="1"/>
  <c r="P534" i="1"/>
  <c r="P533" i="1"/>
  <c r="P531" i="1"/>
  <c r="P530" i="1"/>
  <c r="P529" i="1"/>
  <c r="P526" i="1"/>
  <c r="P511" i="1"/>
  <c r="P510" i="1"/>
  <c r="P508" i="1"/>
  <c r="P507" i="1"/>
  <c r="P506" i="1"/>
  <c r="P503" i="1"/>
  <c r="P501" i="1"/>
  <c r="P500" i="1"/>
  <c r="P498" i="1"/>
  <c r="P494" i="1"/>
  <c r="P493" i="1"/>
  <c r="P491" i="1"/>
  <c r="P490" i="1"/>
  <c r="P479" i="1"/>
  <c r="P470" i="1"/>
  <c r="P467" i="1"/>
  <c r="P460" i="1"/>
  <c r="P447" i="1"/>
  <c r="P446" i="1"/>
  <c r="P444" i="1"/>
  <c r="P443" i="1"/>
  <c r="P429" i="1"/>
  <c r="P425" i="1"/>
  <c r="P423" i="1"/>
  <c r="P342" i="1"/>
  <c r="P337" i="1"/>
  <c r="P261" i="1"/>
  <c r="P253" i="1"/>
  <c r="P251" i="1"/>
  <c r="P250" i="1"/>
  <c r="P249" i="1"/>
  <c r="P246" i="1"/>
  <c r="P243" i="1"/>
  <c r="P237" i="1"/>
  <c r="P221" i="1"/>
  <c r="P218" i="1"/>
  <c r="P205" i="1"/>
  <c r="P195" i="1"/>
  <c r="P194" i="1"/>
  <c r="P191" i="1"/>
  <c r="P188" i="1"/>
  <c r="P162" i="1"/>
  <c r="P157" i="1"/>
  <c r="P154" i="1"/>
  <c r="P149" i="1"/>
  <c r="P139" i="1"/>
  <c r="P137" i="1"/>
  <c r="P130" i="1"/>
  <c r="P101" i="1"/>
  <c r="P94" i="1"/>
  <c r="P79" i="1"/>
  <c r="P78" i="1"/>
  <c r="P68" i="1"/>
  <c r="P66" i="1"/>
  <c r="P63" i="1"/>
  <c r="P55" i="1"/>
  <c r="P53" i="1"/>
  <c r="P46" i="1"/>
  <c r="P33" i="1"/>
  <c r="P27" i="1"/>
  <c r="P15" i="1"/>
  <c r="P11" i="1"/>
  <c r="P8" i="1"/>
  <c r="N410" i="1"/>
  <c r="M410" i="1"/>
  <c r="O410" i="1"/>
  <c r="M463" i="1"/>
  <c r="N463" i="1"/>
  <c r="O463" i="1"/>
  <c r="P688" i="1"/>
  <c r="P620" i="1"/>
  <c r="P497" i="1"/>
  <c r="P257" i="1"/>
  <c r="P242" i="1"/>
  <c r="P185" i="1"/>
  <c r="P720" i="1"/>
  <c r="P711" i="1"/>
  <c r="P681" i="1"/>
  <c r="P476" i="1"/>
  <c r="P346" i="1"/>
  <c r="P241" i="1"/>
  <c r="P198" i="1"/>
  <c r="P120" i="1"/>
  <c r="P32" i="1"/>
  <c r="P7" i="1"/>
  <c r="P535" i="1"/>
  <c r="P532" i="1"/>
  <c r="P495" i="1"/>
  <c r="P492" i="1"/>
  <c r="P450" i="1"/>
  <c r="P345" i="1"/>
  <c r="P259" i="1"/>
  <c r="P255" i="1"/>
  <c r="P225" i="1"/>
  <c r="P179" i="1"/>
  <c r="P147" i="1"/>
  <c r="P49" i="1"/>
  <c r="P17" i="1"/>
  <c r="P719" i="1"/>
  <c r="P690" i="1"/>
  <c r="P617" i="1"/>
  <c r="P572" i="1"/>
  <c r="P505" i="1"/>
  <c r="P468" i="1"/>
  <c r="P420" i="1"/>
  <c r="P262" i="1"/>
  <c r="P193" i="1"/>
  <c r="P170" i="1"/>
  <c r="P134" i="1"/>
  <c r="P87" i="1"/>
  <c r="P57" i="1"/>
  <c r="P625" i="1"/>
  <c r="P484" i="1"/>
  <c r="P343" i="1"/>
  <c r="P258" i="1"/>
  <c r="P233" i="1"/>
  <c r="P196" i="1"/>
  <c r="P192" i="1"/>
  <c r="P186" i="1"/>
  <c r="P177" i="1"/>
  <c r="P16" i="1"/>
  <c r="P716" i="1"/>
  <c r="P712" i="1"/>
  <c r="P696" i="1"/>
  <c r="P527" i="1"/>
  <c r="P524" i="1"/>
  <c r="P40" i="1"/>
  <c r="P410" i="1"/>
  <c r="L299" i="2"/>
  <c r="M299" i="2" s="1"/>
  <c r="O299" i="2" s="1"/>
  <c r="N407" i="1"/>
  <c r="O407" i="1"/>
  <c r="P407" i="1" s="1"/>
  <c r="M407" i="1"/>
  <c r="P254" i="1"/>
  <c r="P238" i="1"/>
  <c r="P190" i="1"/>
  <c r="P142" i="1"/>
  <c r="P126" i="1"/>
  <c r="P247" i="1"/>
  <c r="P231" i="1"/>
  <c r="G541" i="2"/>
  <c r="H490" i="2" a="1"/>
  <c r="H32" i="2" a="1"/>
  <c r="H182" i="2" a="1"/>
  <c r="I84" i="1" a="1"/>
  <c r="H222" i="2" a="1"/>
  <c r="I76" i="1" a="1"/>
  <c r="I211" i="1" a="1"/>
  <c r="I173" i="1" a="1"/>
  <c r="H162" i="2" a="1"/>
  <c r="I94" i="1" a="1"/>
  <c r="I281" i="1" a="1"/>
  <c r="I204" i="1" a="1"/>
  <c r="H60" i="2" a="1"/>
  <c r="H393" i="2" a="1"/>
  <c r="H104" i="2" a="1"/>
  <c r="I140" i="1" a="1"/>
  <c r="H240" i="2" a="1"/>
  <c r="I15" i="1" a="1"/>
  <c r="I328" i="1" a="1"/>
  <c r="I626" i="1" a="1"/>
  <c r="H108" i="2" a="1"/>
  <c r="H127" i="2" a="1"/>
  <c r="H284" i="2" a="1"/>
  <c r="I427" i="1" a="1"/>
  <c r="H524" i="2" a="1"/>
  <c r="I619" i="1" a="1"/>
  <c r="H456" i="2" a="1"/>
  <c r="H198" i="2" a="1"/>
  <c r="I39" i="1" a="1"/>
  <c r="I690" i="1" a="1"/>
  <c r="H44" i="2" a="1"/>
  <c r="H63" i="2" a="1"/>
  <c r="H220" i="2" a="1"/>
  <c r="H303" i="2" a="1"/>
  <c r="H204" i="2" a="1"/>
  <c r="H358" i="2" a="1"/>
  <c r="I121" i="1" a="1"/>
  <c r="I589" i="1" a="1"/>
  <c r="I183" i="1" a="1"/>
  <c r="I300" i="1" a="1"/>
  <c r="H459" i="2" a="1"/>
  <c r="I401" i="1" a="1"/>
  <c r="H376" i="2" a="1"/>
  <c r="I382" i="1" a="1"/>
  <c r="H379" i="2" a="1"/>
  <c r="I481" i="1" a="1"/>
  <c r="H296" i="2" a="1"/>
  <c r="I402" i="1" a="1"/>
  <c r="H363" i="2" a="1"/>
  <c r="I497" i="1" a="1"/>
  <c r="H280" i="2" a="1"/>
  <c r="H520" i="2" a="1"/>
  <c r="I459" i="1" a="1"/>
  <c r="H531" i="2" a="1"/>
  <c r="I85" i="1" a="1"/>
  <c r="I51" i="1" a="1"/>
  <c r="I31" i="1" a="1"/>
  <c r="I45" i="1" a="1"/>
  <c r="I226" i="1" a="1"/>
  <c r="H101" i="2" a="1"/>
  <c r="I570" i="1" a="1"/>
  <c r="I492" i="1" a="1"/>
  <c r="H106" i="2" a="1"/>
  <c r="I414" i="1" a="1"/>
  <c r="H254" i="2" a="1"/>
  <c r="I677" i="1" a="1"/>
  <c r="H352" i="2" a="1"/>
  <c r="H7" i="2" a="1"/>
  <c r="I295" i="1" a="1"/>
  <c r="I384" i="1" a="1"/>
  <c r="I311" i="1" a="1"/>
  <c r="I660" i="1" a="1"/>
  <c r="H116" i="2" a="1"/>
  <c r="I170" i="1" a="1"/>
  <c r="H265" i="2" a="1"/>
  <c r="I456" i="1" a="1"/>
  <c r="H309" i="2" a="1"/>
  <c r="H278" i="2" a="1"/>
  <c r="I73" i="1" a="1"/>
  <c r="I536" i="1" a="1"/>
  <c r="H229" i="2" a="1"/>
  <c r="I60" i="1" a="1"/>
  <c r="I163" i="1" a="1"/>
  <c r="I552" i="1" a="1"/>
  <c r="H213" i="2" a="1"/>
  <c r="I132" i="1" a="1"/>
  <c r="I179" i="1" a="1"/>
  <c r="I203" i="1" a="1"/>
  <c r="I719" i="1" a="1"/>
  <c r="H418" i="2" a="1"/>
  <c r="H506" i="2" a="1"/>
  <c r="I627" i="1" a="1"/>
  <c r="I305" i="1" a="1"/>
  <c r="H145" i="2" a="1"/>
  <c r="I54" i="1" a="1"/>
  <c r="H139" i="2" a="1"/>
  <c r="H425" i="2" a="1"/>
  <c r="I631" i="1" a="1"/>
  <c r="H166" i="2" a="1"/>
  <c r="H370" i="2" a="1"/>
  <c r="I596" i="1" a="1"/>
  <c r="H372" i="2" a="1"/>
  <c r="H380" i="2" a="1"/>
  <c r="H458" i="2" a="1"/>
  <c r="I125" i="1" a="1"/>
  <c r="H331" i="2" a="1"/>
  <c r="H248" i="2" a="1"/>
  <c r="H507" i="2" a="1"/>
  <c r="H424" i="2" a="1"/>
  <c r="H491" i="2" a="1"/>
  <c r="I227" i="1" a="1"/>
  <c r="I495" i="1" a="1"/>
  <c r="H530" i="2" a="1"/>
  <c r="H10" i="2" a="1"/>
  <c r="H36" i="2" a="1"/>
  <c r="H134" i="2" a="1"/>
  <c r="I97" i="1" a="1"/>
  <c r="I289" i="1" a="1"/>
  <c r="I72" i="1" a="1"/>
  <c r="I265" i="1" a="1"/>
  <c r="I200" i="1" a="1"/>
  <c r="I623" i="1" a="1"/>
  <c r="I90" i="1" a="1"/>
  <c r="I337" i="1" a="1"/>
  <c r="I216" i="1" a="1"/>
  <c r="I687" i="1" a="1"/>
  <c r="I486" i="1" a="1"/>
  <c r="I606" i="1" a="1"/>
  <c r="I602" i="1" a="1"/>
  <c r="I88" i="1" a="1"/>
  <c r="I284" i="1" a="1"/>
  <c r="I56" i="1" a="1"/>
  <c r="I437" i="1" a="1"/>
  <c r="I333" i="1" a="1"/>
  <c r="H404" i="2" a="1"/>
  <c r="H49" i="2" a="1"/>
  <c r="I161" i="1" a="1"/>
  <c r="I282" i="1" a="1"/>
  <c r="H81" i="2" a="1"/>
  <c r="I65" i="1" a="1"/>
  <c r="H261" i="2" a="1"/>
  <c r="H499" i="2" a="1"/>
  <c r="H300" i="2" a="1"/>
  <c r="H319" i="2" a="1"/>
  <c r="I62" i="1" a="1"/>
  <c r="H47" i="2" a="1"/>
  <c r="I81" i="1" a="1"/>
  <c r="I548" i="1" a="1"/>
  <c r="I277" i="1" a="1"/>
  <c r="I209" i="1" a="1"/>
  <c r="I388" i="1" a="1"/>
  <c r="I314" i="1" a="1"/>
  <c r="H461" i="2" a="1"/>
  <c r="I291" i="1" a="1"/>
  <c r="H464" i="2" a="1"/>
  <c r="I400" i="1" a="1"/>
  <c r="H381" i="2" a="1"/>
  <c r="I307" i="1" a="1"/>
  <c r="H448" i="2" a="1"/>
  <c r="I416" i="1" a="1"/>
  <c r="H365" i="2" a="1"/>
  <c r="I531" i="1" a="1"/>
  <c r="H354" i="2" a="1"/>
  <c r="H477" i="2" a="1"/>
  <c r="I610" i="1" a="1"/>
  <c r="I711" i="1" a="1"/>
  <c r="H515" i="2" a="1"/>
  <c r="H178" i="2" a="1"/>
  <c r="H207" i="2" a="1"/>
  <c r="I448" i="1" a="1"/>
  <c r="I425" i="1" a="1"/>
  <c r="I266" i="1" a="1"/>
  <c r="H132" i="2" a="1"/>
  <c r="H33" i="2" a="1"/>
  <c r="I182" i="1" a="1"/>
  <c r="I315" i="1" a="1"/>
  <c r="H52" i="2" a="1"/>
  <c r="I220" i="1" a="1"/>
  <c r="H143" i="2" a="1"/>
  <c r="I512" i="1" a="1"/>
  <c r="I489" i="1" a="1"/>
  <c r="I330" i="1" a="1"/>
  <c r="I505" i="1" a="1"/>
  <c r="I348" i="1" a="1"/>
  <c r="H91" i="2" a="1"/>
  <c r="I55" i="1" a="1"/>
  <c r="H287" i="2" a="1"/>
  <c r="H466" i="2" a="1"/>
  <c r="H271" i="2" a="1"/>
  <c r="I605" i="1" a="1"/>
  <c r="H172" i="2" a="1"/>
  <c r="I692" i="1" a="1"/>
  <c r="H191" i="2" a="1"/>
  <c r="I685" i="1" a="1"/>
  <c r="H92" i="2" a="1"/>
  <c r="H374" i="2" a="1"/>
  <c r="H175" i="2" a="1"/>
  <c r="I701" i="1" a="1"/>
  <c r="H76" i="2" a="1"/>
  <c r="H330" i="2" a="1"/>
  <c r="H366" i="2" a="1"/>
  <c r="I457" i="1" a="1"/>
  <c r="I533" i="1" a="1"/>
  <c r="H359" i="2" a="1"/>
  <c r="I614" i="1" a="1"/>
  <c r="I367" i="1" a="1"/>
  <c r="H150" i="2" a="1"/>
  <c r="H534" i="2" a="1"/>
  <c r="I706" i="1" a="1"/>
  <c r="H519" i="2" a="1"/>
  <c r="I451" i="1" a="1"/>
  <c r="I34" i="1" a="1"/>
  <c r="I215" i="1" a="1"/>
  <c r="I622" i="1" a="1"/>
  <c r="I420" i="1" a="1"/>
  <c r="H117" i="2" a="1"/>
  <c r="H314" i="2" a="1"/>
  <c r="H306" i="2" a="1"/>
  <c r="I70" i="1" a="1"/>
  <c r="I556" i="1" a="1"/>
  <c r="H429" i="2" a="1"/>
  <c r="I478" i="1" a="1"/>
  <c r="H244" i="2" a="1"/>
  <c r="H323" i="2" a="1"/>
  <c r="I585" i="1" a="1"/>
  <c r="H79" i="2" a="1"/>
  <c r="H266" i="2" a="1"/>
  <c r="I43" i="1" a="1"/>
  <c r="I74" i="1" a="1"/>
  <c r="I21" i="1" a="1"/>
  <c r="I96" i="1" a="1"/>
  <c r="I134" i="1" a="1"/>
  <c r="I439" i="1" a="1"/>
  <c r="I44" i="1" a="1"/>
  <c r="I168" i="1" a="1"/>
  <c r="I151" i="1" a="1"/>
  <c r="I503" i="1" a="1"/>
  <c r="H285" i="2" a="1"/>
  <c r="H351" i="2" a="1"/>
  <c r="H502" i="2" a="1"/>
  <c r="I483" i="1" a="1"/>
  <c r="H465" i="2" a="1"/>
  <c r="I9" i="1" a="1"/>
  <c r="H249" i="2" a="1"/>
  <c r="H181" i="2" a="1"/>
  <c r="H87" i="2" a="1"/>
  <c r="H357" i="2" a="1"/>
  <c r="H263" i="2" a="1"/>
  <c r="I399" i="1" a="1"/>
  <c r="H194" i="2" a="1"/>
  <c r="I102" i="1" a="1"/>
  <c r="H211" i="2" a="1"/>
  <c r="I641" i="1" a="1"/>
  <c r="H185" i="2" a="1"/>
  <c r="I181" i="1" a="1"/>
  <c r="I234" i="1" a="1"/>
  <c r="H523" i="2" a="1"/>
  <c r="I331" i="1" a="1"/>
  <c r="H440" i="2" a="1"/>
  <c r="I316" i="1" a="1"/>
  <c r="H443" i="2" a="1"/>
  <c r="I417" i="1" a="1"/>
  <c r="H360" i="2" a="1"/>
  <c r="I332" i="1" a="1"/>
  <c r="H427" i="2" a="1"/>
  <c r="I433" i="1" a="1"/>
  <c r="H344" i="2" a="1"/>
  <c r="H282" i="2" a="1"/>
  <c r="H522" i="2" a="1"/>
  <c r="I543" i="1" a="1"/>
  <c r="H72" i="2" a="1"/>
  <c r="I624" i="1" a="1"/>
  <c r="H500" i="2" a="1"/>
  <c r="I30" i="1" a="1"/>
  <c r="I396" i="1" a="1"/>
  <c r="H510" i="2" a="1"/>
  <c r="I212" i="1" a="1"/>
  <c r="I308" i="1" a="1"/>
  <c r="H341" i="2" a="1"/>
  <c r="H247" i="2" a="1"/>
  <c r="I645" i="1" a="1"/>
  <c r="I362" i="1" a="1"/>
  <c r="I223" i="1" a="1"/>
  <c r="I105" i="1" a="1"/>
  <c r="I460" i="1" a="1"/>
  <c r="I554" i="1" a="1"/>
  <c r="H37" i="2" a="1"/>
  <c r="I374" i="1" a="1"/>
  <c r="I294" i="1" a="1"/>
  <c r="I107" i="1" a="1"/>
  <c r="H355" i="2" a="1"/>
  <c r="I686" i="1" a="1"/>
  <c r="I676" i="1" a="1"/>
  <c r="I256" i="1" a="1"/>
  <c r="H501" i="2" a="1"/>
  <c r="I630" i="1" a="1"/>
  <c r="H151" i="2" a="1"/>
  <c r="I338" i="1" a="1"/>
  <c r="H421" i="2" a="1"/>
  <c r="I710" i="1" a="1"/>
  <c r="H71" i="2" a="1"/>
  <c r="I356" i="1" a="1"/>
  <c r="H405" i="2" a="1"/>
  <c r="H538" i="2" a="1"/>
  <c r="H55" i="2" a="1"/>
  <c r="I135" i="1" a="1"/>
  <c r="H114" i="2" a="1"/>
  <c r="I288" i="1" a="1"/>
  <c r="I558" i="1" a="1"/>
  <c r="I654" i="1" a="1"/>
  <c r="I138" i="1" a="1"/>
  <c r="H155" i="2" a="1"/>
  <c r="I130" i="1" a="1"/>
  <c r="I236" i="1" a="1"/>
  <c r="I493" i="1" a="1"/>
  <c r="H488" i="2" a="1"/>
  <c r="I691" i="1" a="1"/>
  <c r="H216" i="2" a="1"/>
  <c r="I515" i="1" a="1"/>
  <c r="I237" i="1" a="1"/>
  <c r="I323" i="1" a="1"/>
  <c r="I502" i="1" a="1"/>
  <c r="I208" i="1" a="1"/>
  <c r="H234" i="2" a="1"/>
  <c r="I224" i="1" a="1"/>
  <c r="H170" i="2" a="1"/>
  <c r="H133" i="2" a="1"/>
  <c r="H15" i="2" a="1"/>
  <c r="H329" i="2" a="1"/>
  <c r="I474" i="1" a="1"/>
  <c r="H100" i="2" a="1"/>
  <c r="H350" i="2" a="1"/>
  <c r="I19" i="1" a="1"/>
  <c r="I35" i="1" a="1"/>
  <c r="H18" i="2" a="1"/>
  <c r="H70" i="2" a="1"/>
  <c r="I114" i="1" a="1"/>
  <c r="I351" i="1" a="1"/>
  <c r="I10" i="1" a="1"/>
  <c r="I18" i="1" a="1"/>
  <c r="I133" i="1" a="1"/>
  <c r="I419" i="1" a="1"/>
  <c r="I222" i="1" a="1"/>
  <c r="I542" i="1" a="1"/>
  <c r="I340" i="1" a="1"/>
  <c r="H154" i="2" a="1"/>
  <c r="H31" i="2" a="1"/>
  <c r="H238" i="2" a="1"/>
  <c r="I303" i="1" a="1"/>
  <c r="H463" i="2" a="1"/>
  <c r="I169" i="1" a="1"/>
  <c r="H148" i="2" a="1"/>
  <c r="H305" i="2" a="1"/>
  <c r="I321" i="1" a="1"/>
  <c r="I387" i="1" a="1"/>
  <c r="H389" i="2" a="1"/>
  <c r="H273" i="2" a="1"/>
  <c r="I703" i="1" a="1"/>
  <c r="I355" i="1" a="1"/>
  <c r="H399" i="2" a="1"/>
  <c r="H65" i="2" a="1"/>
  <c r="H84" i="2" a="1"/>
  <c r="H241" i="2" a="1"/>
  <c r="H68" i="2" a="1"/>
  <c r="H225" i="2" a="1"/>
  <c r="I407" i="1" a="1"/>
  <c r="H508" i="2" a="1"/>
  <c r="H406" i="2" a="1"/>
  <c r="H124" i="2" a="1"/>
  <c r="H527" i="2" a="1"/>
  <c r="I343" i="1" a="1"/>
  <c r="H428" i="2" a="1"/>
  <c r="I436" i="1" a="1"/>
  <c r="H447" i="2" a="1"/>
  <c r="I429" i="1" a="1"/>
  <c r="H348" i="2" a="1"/>
  <c r="I516" i="1" a="1"/>
  <c r="H431" i="2" a="1"/>
  <c r="I445" i="1" a="1"/>
  <c r="H332" i="2" a="1"/>
  <c r="I532" i="1" a="1"/>
  <c r="H295" i="2" a="1"/>
  <c r="I391" i="1" a="1"/>
  <c r="I271" i="1" a="1"/>
  <c r="I688" i="1" a="1"/>
  <c r="H475" i="2" a="1"/>
  <c r="I638" i="1" a="1"/>
  <c r="I379" i="1" a="1"/>
  <c r="I201" i="1" a="1"/>
  <c r="I171" i="1" a="1"/>
  <c r="I545" i="1" a="1"/>
  <c r="I390" i="1" a="1"/>
  <c r="H503" i="2" a="1"/>
  <c r="I385" i="1" a="1"/>
  <c r="I77" i="1" a="1"/>
  <c r="I127" i="1" a="1"/>
  <c r="I309" i="1" a="1"/>
  <c r="I292" i="1" a="1"/>
  <c r="I278" i="1" a="1"/>
  <c r="I634" i="1" a="1"/>
  <c r="H19" i="2" a="1"/>
  <c r="I83" i="1" a="1"/>
  <c r="H99" i="2" a="1"/>
  <c r="I364" i="1" a="1"/>
  <c r="H335" i="2" a="1"/>
  <c r="I541" i="1" a="1"/>
  <c r="H236" i="2" a="1"/>
  <c r="I628" i="1" a="1"/>
  <c r="H255" i="2" a="1"/>
  <c r="I621" i="1" a="1"/>
  <c r="H156" i="2" a="1"/>
  <c r="I708" i="1" a="1"/>
  <c r="H239" i="2" a="1"/>
  <c r="I637" i="1" a="1"/>
  <c r="H140" i="2" a="1"/>
  <c r="H518" i="2" a="1"/>
  <c r="I538" i="1" a="1"/>
  <c r="I178" i="1" a="1"/>
  <c r="I469" i="1" a="1"/>
  <c r="I705" i="1" a="1"/>
  <c r="I354" i="1" a="1"/>
  <c r="I567" i="1" a="1"/>
  <c r="H505" i="2" a="1"/>
  <c r="H437" i="2" a="1"/>
  <c r="I527" i="1" a="1"/>
  <c r="I329" i="1" a="1"/>
  <c r="H250" i="2" a="1"/>
  <c r="I466" i="1" a="1"/>
  <c r="I299" i="1" a="1"/>
  <c r="I286" i="1" a="1"/>
  <c r="H54" i="2" a="1"/>
  <c r="I79" i="1" a="1"/>
  <c r="H441" i="2" a="1"/>
  <c r="H373" i="2" a="1"/>
  <c r="H535" i="2" a="1"/>
  <c r="I583" i="1" a="1"/>
  <c r="I12" i="1" a="1"/>
  <c r="H390" i="2" a="1"/>
  <c r="I625" i="1" a="1"/>
  <c r="I174" i="1" a="1"/>
  <c r="H403" i="2" a="1"/>
  <c r="H188" i="2" a="1"/>
  <c r="H313" i="2" a="1"/>
  <c r="H290" i="2" a="1"/>
  <c r="I86" i="1" a="1"/>
  <c r="I259" i="1" a="1"/>
  <c r="H233" i="2" a="1"/>
  <c r="I28" i="1" a="1"/>
  <c r="I175" i="1" a="1"/>
  <c r="I587" i="1" a="1"/>
  <c r="H217" i="2" a="1"/>
  <c r="I113" i="1" a="1"/>
  <c r="I206" i="1" a="1"/>
  <c r="I643" i="1" a="1"/>
  <c r="H436" i="2" a="1"/>
  <c r="I319" i="1" a="1"/>
  <c r="H304" i="2" a="1"/>
  <c r="H17" i="2" a="1"/>
  <c r="H435" i="2" a="1"/>
  <c r="H167" i="2" a="1"/>
  <c r="H126" i="2" a="1"/>
  <c r="I652" i="1" a="1"/>
  <c r="I491" i="1" a="1"/>
  <c r="I535" i="1" a="1"/>
  <c r="H253" i="2" a="1"/>
  <c r="H64" i="2" a="1"/>
  <c r="I334" i="1" a="1"/>
  <c r="I160" i="1" a="1"/>
  <c r="I273" i="1" a="1"/>
  <c r="I246" i="1" a="1"/>
  <c r="H474" i="2" a="1"/>
  <c r="H504" i="2" a="1"/>
  <c r="H251" i="2" a="1"/>
  <c r="H168" i="2" a="1"/>
  <c r="H235" i="2" a="1"/>
  <c r="I632" i="1" a="1"/>
  <c r="H394" i="2" a="1"/>
  <c r="I136" i="1" a="1"/>
  <c r="H197" i="2" a="1"/>
  <c r="H121" i="2" a="1"/>
  <c r="I523" i="1" a="1"/>
  <c r="I304" i="1" a="1"/>
  <c r="H471" i="2" a="1"/>
  <c r="H41" i="2" a="1"/>
  <c r="H138" i="2" a="1"/>
  <c r="I386" i="1" a="1"/>
  <c r="H391" i="2" a="1"/>
  <c r="H23" i="2" a="1"/>
  <c r="H74" i="2" a="1"/>
  <c r="I406" i="1" a="1"/>
  <c r="H375" i="2" a="1"/>
  <c r="I393" i="1" a="1"/>
  <c r="I517" i="1" a="1"/>
  <c r="I525" i="1" a="1"/>
  <c r="I230" i="1" a="1"/>
  <c r="H51" i="2" a="1"/>
  <c r="I666" i="1" a="1"/>
  <c r="I376" i="1" a="1"/>
  <c r="H484" i="2" a="1"/>
  <c r="I413" i="1" a="1"/>
  <c r="I500" i="1" a="1"/>
  <c r="I229" i="1" a="1"/>
  <c r="I24" i="1" a="1"/>
  <c r="H320" i="2" a="1"/>
  <c r="H493" i="2" a="1"/>
  <c r="I670" i="1" a="1"/>
  <c r="I639" i="1" a="1"/>
  <c r="I341" i="1" a="1"/>
  <c r="H420" i="2" a="1"/>
  <c r="I477" i="1" a="1"/>
  <c r="I177" i="1" a="1"/>
  <c r="I591" i="1" a="1"/>
  <c r="I566" i="1" a="1"/>
  <c r="H215" i="2" a="1"/>
  <c r="I274" i="1" a="1"/>
  <c r="H485" i="2" a="1"/>
  <c r="I646" i="1" a="1"/>
  <c r="H135" i="2" a="1"/>
  <c r="I290" i="1" a="1"/>
  <c r="H469" i="2" a="1"/>
  <c r="I662" i="1" a="1"/>
  <c r="H119" i="2" a="1"/>
  <c r="H159" i="2" a="1"/>
  <c r="H346" i="2" a="1"/>
  <c r="H25" i="2" a="1"/>
  <c r="I494" i="1" a="1"/>
  <c r="I526" i="1" a="1"/>
  <c r="H157" i="2" a="1"/>
  <c r="I247" i="1" a="1"/>
  <c r="H228" i="2" a="1"/>
  <c r="I313" i="1" a="1"/>
  <c r="I635" i="1" a="1"/>
  <c r="H426" i="2" a="1"/>
  <c r="I580" i="1" a="1"/>
  <c r="I245" i="1" a="1"/>
  <c r="I47" i="1" a="1"/>
  <c r="I239" i="1" a="1"/>
  <c r="I653" i="1" a="1"/>
  <c r="H131" i="2" a="1"/>
  <c r="H164" i="2" a="1"/>
  <c r="I571" i="1" a="1"/>
  <c r="H230" i="2" a="1"/>
  <c r="I557" i="1" a="1"/>
  <c r="I644" i="1" a="1"/>
  <c r="I573" i="1" a="1"/>
  <c r="I404" i="1" a="1"/>
  <c r="I440" i="1" a="1"/>
  <c r="H401" i="2" a="1"/>
  <c r="H67" i="2" a="1"/>
  <c r="H292" i="2" a="1"/>
  <c r="I588" i="1" a="1"/>
  <c r="H193" i="2" a="1"/>
  <c r="I235" i="1" a="1"/>
  <c r="H212" i="2" a="1"/>
  <c r="I668" i="1" a="1"/>
  <c r="H113" i="2" a="1"/>
  <c r="I555" i="1" a="1"/>
  <c r="H196" i="2" a="1"/>
  <c r="I684" i="1" a="1"/>
  <c r="H97" i="2" a="1"/>
  <c r="I615" i="1" a="1"/>
  <c r="I511" i="1" a="1"/>
  <c r="I344" i="1" a="1"/>
  <c r="H487" i="2" a="1"/>
  <c r="I702" i="1" a="1"/>
  <c r="H334" i="2" a="1"/>
  <c r="I613" i="1" a="1"/>
  <c r="H136" i="2" a="1"/>
  <c r="I694" i="1" a="1"/>
  <c r="I664" i="1" a="1"/>
  <c r="I671" i="1" a="1"/>
  <c r="H388" i="2" a="1"/>
  <c r="H289" i="2" a="1"/>
  <c r="H347" i="2" a="1"/>
  <c r="H231" i="2" a="1"/>
  <c r="I389" i="1" a="1"/>
  <c r="I7" i="1" a="1"/>
  <c r="H382" i="2" a="1"/>
  <c r="H438" i="2" a="1"/>
  <c r="H476" i="2" a="1"/>
  <c r="I675" i="1" a="1"/>
  <c r="H460" i="2" a="1"/>
  <c r="I276" i="1" a="1"/>
  <c r="I405" i="1" a="1"/>
  <c r="I67" i="1" a="1"/>
  <c r="I563" i="1" a="1"/>
  <c r="I559" i="1" a="1"/>
  <c r="I279" i="1" a="1"/>
  <c r="H492" i="2" a="1"/>
  <c r="I368" i="1" a="1"/>
  <c r="H511" i="2" a="1"/>
  <c r="I361" i="1" a="1"/>
  <c r="H412" i="2" a="1"/>
  <c r="I452" i="1" a="1"/>
  <c r="H495" i="2" a="1"/>
  <c r="I377" i="1" a="1"/>
  <c r="H396" i="2" a="1"/>
  <c r="I468" i="1" a="1"/>
  <c r="I707" i="1" a="1"/>
  <c r="I696" i="1" a="1"/>
  <c r="I205" i="1" a="1"/>
  <c r="I150" i="1" a="1"/>
  <c r="H82" i="2" a="1"/>
  <c r="I510" i="1" a="1"/>
  <c r="H202" i="2" a="1"/>
  <c r="H62" i="2" a="1"/>
  <c r="I465" i="1" a="1"/>
  <c r="I450" i="1" a="1"/>
  <c r="I283" i="1" a="1"/>
  <c r="H111" i="2" a="1"/>
  <c r="H268" i="2" a="1"/>
  <c r="H39" i="2" a="1"/>
  <c r="I335" i="1" a="1"/>
  <c r="H219" i="2" a="1"/>
  <c r="H90" i="2" a="1"/>
  <c r="I269" i="1" a="1"/>
  <c r="I529" i="1" a="1"/>
  <c r="I514" i="1" a="1"/>
  <c r="I349" i="1" a="1"/>
  <c r="I268" i="1" a="1"/>
  <c r="I365" i="1" a="1"/>
  <c r="H26" i="2" a="1"/>
  <c r="I661" i="1" a="1"/>
  <c r="I23" i="1" a="1"/>
  <c r="I435" i="1" a="1"/>
  <c r="I562" i="1" a="1"/>
  <c r="H203" i="2" a="1"/>
  <c r="I657" i="1" a="1"/>
  <c r="H489" i="2" a="1"/>
  <c r="I642" i="1" a="1"/>
  <c r="H123" i="2" a="1"/>
  <c r="H462" i="2" a="1"/>
  <c r="H473" i="2" a="1"/>
  <c r="I658" i="1" a="1"/>
  <c r="H107" i="2" a="1"/>
  <c r="H410" i="2" a="1"/>
  <c r="I89" i="1" a="1"/>
  <c r="I25" i="1" a="1"/>
  <c r="I244" i="1" a="1"/>
  <c r="H275" i="2" a="1"/>
  <c r="I629" i="1" a="1"/>
  <c r="I381" i="1" a="1"/>
  <c r="H479" i="2" a="1"/>
  <c r="I109" i="1" a="1"/>
  <c r="I490" i="1" a="1"/>
  <c r="I476" i="1" a="1"/>
  <c r="H174" i="2" a="1"/>
  <c r="I603" i="1" a="1"/>
  <c r="H237" i="2" a="1"/>
  <c r="I172" i="1" a="1"/>
  <c r="I93" i="1" a="1"/>
  <c r="H387" i="2" a="1"/>
  <c r="I213" i="1" a="1"/>
  <c r="I564" i="1" a="1"/>
  <c r="H210" i="2" a="1"/>
  <c r="I145" i="1" a="1"/>
  <c r="H146" i="2" a="1"/>
  <c r="H408" i="2" a="1"/>
  <c r="I482" i="1" a="1"/>
  <c r="H377" i="2" a="1"/>
  <c r="H494" i="2" a="1"/>
  <c r="I8" i="1" a="1"/>
  <c r="H66" i="2" a="1"/>
  <c r="H297" i="2" a="1"/>
  <c r="H242" i="2" a="1"/>
  <c r="I103" i="1" a="1"/>
  <c r="I325" i="1" a="1"/>
  <c r="H281" i="2" a="1"/>
  <c r="H186" i="2" a="1"/>
  <c r="I122" i="1" a="1"/>
  <c r="I395" i="1" a="1"/>
  <c r="I92" i="1" a="1"/>
  <c r="I253" i="1" a="1"/>
  <c r="I667" i="1" a="1"/>
  <c r="H83" i="2" a="1"/>
  <c r="I659" i="1" a="1"/>
  <c r="H423" i="2" a="1"/>
  <c r="I350" i="1" a="1"/>
  <c r="I584" i="1" a="1"/>
  <c r="H160" i="2" a="1"/>
  <c r="H77" i="2" a="1"/>
  <c r="H336" i="2" a="1"/>
  <c r="H509" i="2" a="1"/>
  <c r="H446" i="2" a="1"/>
  <c r="H218" i="2" a="1"/>
  <c r="I131" i="1" a="1"/>
  <c r="I312" i="1" a="1"/>
  <c r="I421" i="1" a="1"/>
  <c r="I164" i="1" a="1"/>
  <c r="H96" i="2" a="1"/>
  <c r="H269" i="2" a="1"/>
  <c r="H528" i="2" a="1"/>
  <c r="H445" i="2" a="1"/>
  <c r="H512" i="2" a="1"/>
  <c r="I141" i="1" a="1"/>
  <c r="H526" i="2" a="1"/>
  <c r="I317" i="1" a="1"/>
  <c r="I485" i="1" a="1"/>
  <c r="H362" i="2" a="1"/>
  <c r="I37" i="1" a="1"/>
  <c r="I64" i="1" a="1"/>
  <c r="I426" i="1" a="1"/>
  <c r="H86" i="2" a="1"/>
  <c r="I129" i="1" a="1"/>
  <c r="I403" i="1" a="1"/>
  <c r="I506" i="1" a="1"/>
  <c r="H20" i="2" a="1"/>
  <c r="I146" i="1" a="1"/>
  <c r="I471" i="1" a="1"/>
  <c r="I522" i="1" a="1"/>
  <c r="I444" i="1" a="1"/>
  <c r="H227" i="2" a="1"/>
  <c r="I560" i="1" a="1"/>
  <c r="H226" i="2" a="1"/>
  <c r="I240" i="1" a="1"/>
  <c r="I66" i="1" a="1"/>
  <c r="I463" i="1" a="1"/>
  <c r="H395" i="2" a="1"/>
  <c r="H312" i="2" a="1"/>
  <c r="I254" i="1" a="1"/>
  <c r="I142" i="1" a="1"/>
  <c r="I534" i="1" a="1"/>
  <c r="I418" i="1" a="1"/>
  <c r="I550" i="1" a="1"/>
  <c r="H402" i="2" a="1"/>
  <c r="I422" i="1" a="1"/>
  <c r="H321" i="2" a="1"/>
  <c r="H340" i="2" a="1"/>
  <c r="I42" i="1" a="1"/>
  <c r="H324" i="2" a="1"/>
  <c r="I61" i="1" a="1"/>
  <c r="I475" i="1" a="1"/>
  <c r="H42" i="2" a="1"/>
  <c r="H338" i="2" a="1"/>
  <c r="H371" i="2" a="1"/>
  <c r="I455" i="1" a="1"/>
  <c r="I260" i="1" a="1"/>
  <c r="H513" i="2" a="1"/>
  <c r="I618" i="1" a="1"/>
  <c r="H532" i="2" a="1"/>
  <c r="I342" i="1" a="1"/>
  <c r="H433" i="2" a="1"/>
  <c r="I698" i="1" a="1"/>
  <c r="H516" i="2" a="1"/>
  <c r="I360" i="1" a="1"/>
  <c r="H417" i="2" a="1"/>
  <c r="I714" i="1" a="1"/>
  <c r="H368" i="2" a="1"/>
  <c r="H35" i="2" a="1"/>
  <c r="H252" i="2" a="1"/>
  <c r="I575" i="1" a="1"/>
  <c r="I651" i="1" a="1"/>
  <c r="I287" i="1" a="1"/>
  <c r="I431" i="1" a="1"/>
  <c r="I601" i="1" a="1"/>
  <c r="I285" i="1" a="1"/>
  <c r="I408" i="1" a="1"/>
  <c r="I518" i="1" a="1"/>
  <c r="H153" i="2" a="1"/>
  <c r="I272" i="1" a="1"/>
  <c r="I372" i="1" a="1"/>
  <c r="I508" i="1" a="1"/>
  <c r="H398" i="2" a="1"/>
  <c r="H223" i="2" a="1"/>
  <c r="I665" i="1" a="1"/>
  <c r="H482" i="2" a="1"/>
  <c r="H356" i="2" a="1"/>
  <c r="I524" i="1" a="1"/>
  <c r="H257" i="2" a="1"/>
  <c r="H94" i="2" a="1"/>
  <c r="H276" i="2" a="1"/>
  <c r="I604" i="1" a="1"/>
  <c r="H177" i="2" a="1"/>
  <c r="I301" i="1" a="1"/>
  <c r="H260" i="2" a="1"/>
  <c r="I620" i="1" a="1"/>
  <c r="H161" i="2" a="1"/>
  <c r="I363" i="1" a="1"/>
  <c r="I717" i="1" a="1"/>
  <c r="I280" i="1" a="1"/>
  <c r="H130" i="2" a="1"/>
  <c r="I574" i="1" a="1"/>
  <c r="I521" i="1" a="1"/>
  <c r="I549" i="1" a="1"/>
  <c r="H328" i="2" a="1"/>
  <c r="H38" i="2" a="1"/>
  <c r="H385" i="2" a="1"/>
  <c r="I243" i="1" a="1"/>
  <c r="I599" i="1" a="1"/>
  <c r="I424" i="1" a="1"/>
  <c r="H378" i="2" a="1"/>
  <c r="I231" i="1" a="1"/>
  <c r="H539" i="2" a="1"/>
  <c r="I264" i="1" a="1"/>
  <c r="H176" i="2" a="1"/>
  <c r="I297" i="1" a="1"/>
  <c r="I607" i="1" a="1"/>
  <c r="I519" i="1" a="1"/>
  <c r="H122" i="2" a="1"/>
  <c r="I579" i="1" a="1"/>
  <c r="H58" i="2" a="1"/>
  <c r="I674" i="1" a="1"/>
  <c r="H326" i="2" a="1"/>
  <c r="I100" i="1" a="1"/>
  <c r="I397" i="1" a="1"/>
  <c r="H286" i="2" a="1"/>
  <c r="I58" i="1" a="1"/>
  <c r="I128" i="1" a="1"/>
  <c r="I154" i="1" a="1"/>
  <c r="I78" i="1" a="1"/>
  <c r="I147" i="1" a="1"/>
  <c r="I487" i="1" a="1"/>
  <c r="I252" i="1" a="1"/>
  <c r="I153" i="1" a="1"/>
  <c r="I166" i="1" a="1"/>
  <c r="I551" i="1" a="1"/>
  <c r="I270" i="1" a="1"/>
  <c r="I249" i="1" a="1"/>
  <c r="H137" i="2" a="1"/>
  <c r="H40" i="2" a="1"/>
  <c r="I678" i="1" a="1"/>
  <c r="I38" i="1" a="1"/>
  <c r="I95" i="1" a="1"/>
  <c r="I462" i="1" a="1"/>
  <c r="H364" i="2" a="1"/>
  <c r="H383" i="2" a="1"/>
  <c r="H28" i="2" a="1"/>
  <c r="I202" i="1" a="1"/>
  <c r="I561" i="1" a="1"/>
  <c r="H264" i="2" a="1"/>
  <c r="H467" i="2" a="1"/>
  <c r="H444" i="2" a="1"/>
  <c r="I434" i="1" a="1"/>
  <c r="H279" i="2" a="1"/>
  <c r="H293" i="2" a="1"/>
  <c r="I91" i="1" a="1"/>
  <c r="H533" i="2" a="1"/>
  <c r="I394" i="1" a="1"/>
  <c r="I479" i="1" a="1"/>
  <c r="I251" i="1" a="1"/>
  <c r="I221" i="1" a="1"/>
  <c r="H450" i="2" a="1"/>
  <c r="I498" i="1" a="1"/>
  <c r="H267" i="2" a="1"/>
  <c r="I593" i="1" a="1"/>
  <c r="H184" i="2" a="1"/>
  <c r="I578" i="1" a="1"/>
  <c r="H187" i="2" a="1"/>
  <c r="I673" i="1" a="1"/>
  <c r="H537" i="2" a="1"/>
  <c r="I594" i="1" a="1"/>
  <c r="H171" i="2" a="1"/>
  <c r="I689" i="1" a="1"/>
  <c r="H201" i="2" a="1"/>
  <c r="H56" i="2" a="1"/>
  <c r="H69" i="2" a="1"/>
  <c r="H339" i="2" a="1"/>
  <c r="I501" i="1" a="1"/>
  <c r="I98" i="1" a="1"/>
  <c r="H98" i="2" a="1"/>
  <c r="I322" i="1" a="1"/>
  <c r="I180" i="1" a="1"/>
  <c r="I547" i="1" a="1"/>
  <c r="H486" i="2" a="1"/>
  <c r="H270" i="2" a="1"/>
  <c r="I228" i="1" a="1"/>
  <c r="I324" i="1" a="1"/>
  <c r="H419" i="2" a="1"/>
  <c r="H78" i="2" a="1"/>
  <c r="H152" i="2" a="1"/>
  <c r="I648" i="1" a="1"/>
  <c r="I467" i="1" a="1"/>
  <c r="H262" i="2" a="1"/>
  <c r="I540" i="1" a="1"/>
  <c r="H30" i="2" a="1"/>
  <c r="H258" i="2" a="1"/>
  <c r="I650" i="1" a="1"/>
  <c r="I214" i="1" a="1"/>
  <c r="I293" i="1" a="1"/>
  <c r="H88" i="2" a="1"/>
  <c r="I520" i="1" a="1"/>
  <c r="H245" i="2" a="1"/>
  <c r="H46" i="2" a="1"/>
  <c r="I144" i="1" a="1"/>
  <c r="I600" i="1" a="1"/>
  <c r="H165" i="2" a="1"/>
  <c r="I347" i="1" a="1"/>
  <c r="I242" i="1" a="1"/>
  <c r="I616" i="1" a="1"/>
  <c r="H149" i="2" a="1"/>
  <c r="I415" i="1" a="1"/>
  <c r="I258" i="1" a="1"/>
  <c r="I255" i="1" a="1"/>
  <c r="H483" i="2" a="1"/>
  <c r="H529" i="2" a="1"/>
  <c r="H302" i="2" a="1"/>
  <c r="I159" i="1" a="1"/>
  <c r="H392" i="2" a="1"/>
  <c r="I432" i="1" a="1"/>
  <c r="I669" i="1" a="1"/>
  <c r="H422" i="2" a="1"/>
  <c r="H315" i="2" a="1"/>
  <c r="H409" i="2" a="1"/>
  <c r="H43" i="2" a="1"/>
  <c r="H180" i="2" a="1"/>
  <c r="H48" i="2" a="1"/>
  <c r="H307" i="2" a="1"/>
  <c r="I6" i="1" a="1"/>
  <c r="I539" i="1" a="1"/>
  <c r="H498" i="2" a="1"/>
  <c r="H497" i="2" a="1"/>
  <c r="H454" i="2" a="1"/>
  <c r="H481" i="2" a="1"/>
  <c r="I461" i="1" a="1"/>
  <c r="I577" i="1" a="1"/>
  <c r="I712" i="1" a="1"/>
  <c r="H53" i="2" a="1"/>
  <c r="H190" i="2" a="1"/>
  <c r="I358" i="1" a="1"/>
  <c r="H318" i="2" a="1"/>
  <c r="I57" i="1" a="1"/>
  <c r="I123" i="1" a="1"/>
  <c r="I442" i="1" a="1"/>
  <c r="H274" i="2" a="1"/>
  <c r="I75" i="1" a="1"/>
  <c r="I207" i="1" a="1"/>
  <c r="I458" i="1" a="1"/>
  <c r="I165" i="1" a="1"/>
  <c r="H291" i="2" a="1"/>
  <c r="I298" i="1" a="1"/>
  <c r="I507" i="1" a="1"/>
  <c r="H73" i="2" a="1"/>
  <c r="H22" i="2" a="1"/>
  <c r="I449" i="1" a="1"/>
  <c r="I339" i="1" a="1"/>
  <c r="I438" i="1" a="1"/>
  <c r="H169" i="2" a="1"/>
  <c r="H59" i="2" a="1"/>
  <c r="H232" i="2" a="1"/>
  <c r="H299" i="2" a="1"/>
  <c r="H472" i="2" a="1"/>
  <c r="I218" i="1" a="1"/>
  <c r="I484" i="1" a="1"/>
  <c r="I568" i="1" a="1"/>
  <c r="I409" i="1" a="1"/>
  <c r="I238" i="1" a="1"/>
  <c r="H105" i="2" a="1"/>
  <c r="I26" i="1" a="1"/>
  <c r="H345" i="2" a="1"/>
  <c r="I50" i="1" a="1"/>
  <c r="H457" i="2" a="1"/>
  <c r="H325" i="2" a="1"/>
  <c r="I369" i="1" a="1"/>
  <c r="H214" i="2" a="1"/>
  <c r="I275" i="1" a="1"/>
  <c r="H480" i="2" a="1"/>
  <c r="I380" i="1" a="1"/>
  <c r="H397" i="2" a="1"/>
  <c r="I357" i="1" a="1"/>
  <c r="H400" i="2" a="1"/>
  <c r="I464" i="1" a="1"/>
  <c r="H317" i="2" a="1"/>
  <c r="I373" i="1" a="1"/>
  <c r="H384" i="2" a="1"/>
  <c r="I480" i="1" a="1"/>
  <c r="H301" i="2" a="1"/>
  <c r="H337" i="2" a="1"/>
  <c r="H142" i="2" a="1"/>
  <c r="H221" i="2" a="1"/>
  <c r="H453" i="2" a="1"/>
  <c r="H517" i="2" a="1"/>
  <c r="H451" i="2" a="1"/>
  <c r="I411" i="1" a="1"/>
  <c r="H129" i="2" a="1"/>
  <c r="I143" i="1" a="1"/>
  <c r="I528" i="1" a="1"/>
  <c r="I697" i="1" a="1"/>
  <c r="H294" i="2" a="1"/>
  <c r="I513" i="1" a="1"/>
  <c r="I48" i="1" a="1"/>
  <c r="I327" i="1" a="1"/>
  <c r="I590" i="1" a="1"/>
  <c r="I267" i="1" a="1"/>
  <c r="I250" i="1" a="1"/>
  <c r="I609" i="1" a="1"/>
  <c r="I530" i="1" a="1"/>
  <c r="I118" i="1" a="1"/>
  <c r="H120" i="2" a="1"/>
  <c r="H147" i="2" a="1"/>
  <c r="I199" i="1" a="1"/>
  <c r="I446" i="1" a="1"/>
  <c r="I473" i="1" a="1"/>
  <c r="H288" i="2" a="1"/>
  <c r="I576" i="1" a="1"/>
  <c r="H205" i="2" a="1"/>
  <c r="I553" i="1" a="1"/>
  <c r="H208" i="2" a="1"/>
  <c r="I656" i="1" a="1"/>
  <c r="H125" i="2" a="1"/>
  <c r="I569" i="1" a="1"/>
  <c r="H192" i="2" a="1"/>
  <c r="I672" i="1" a="1"/>
  <c r="H109" i="2" a="1"/>
  <c r="I496" i="1" a="1"/>
  <c r="I695" i="1" a="1"/>
  <c r="I612" i="1" a="1"/>
  <c r="H432" i="2" a="1"/>
  <c r="I310" i="1" a="1"/>
  <c r="H259" i="2" a="1"/>
  <c r="H243" i="2" a="1"/>
  <c r="I82" i="1" a="1"/>
  <c r="I423" i="1" a="1"/>
  <c r="I359" i="1" a="1"/>
  <c r="H342" i="2" a="1"/>
  <c r="I441" i="1" a="1"/>
  <c r="I544" i="1" a="1"/>
  <c r="H514" i="2" a="1"/>
  <c r="H158" i="2" a="1"/>
  <c r="I546" i="1" a="1"/>
  <c r="I565" i="1" a="1"/>
  <c r="I152" i="1" a="1"/>
  <c r="I683" i="1" a="1"/>
  <c r="I611" i="1" a="1"/>
  <c r="H118" i="2" a="1"/>
  <c r="H386" i="2" a="1"/>
  <c r="H50" i="2" a="1"/>
  <c r="I232" i="1" a="1"/>
  <c r="I352" i="1" a="1"/>
  <c r="I13" i="1" a="1"/>
  <c r="I693" i="1" a="1"/>
  <c r="H11" i="2" a="1"/>
  <c r="H16" i="2" a="1"/>
  <c r="I115" i="1" a="1"/>
  <c r="I371" i="1" a="1"/>
  <c r="I99" i="1" a="1"/>
  <c r="I375" i="1" a="1"/>
  <c r="I217" i="1" a="1"/>
  <c r="I699" i="1" a="1"/>
  <c r="I116" i="1" a="1"/>
  <c r="I447" i="1" a="1"/>
  <c r="I233" i="1" a="1"/>
  <c r="H536" i="2" a="1"/>
  <c r="H29" i="2" a="1"/>
  <c r="H95" i="2" a="1"/>
  <c r="H298" i="2" a="1"/>
  <c r="H93" i="2" a="1"/>
  <c r="H209" i="2" a="1"/>
  <c r="I306" i="1" a="1"/>
  <c r="I366" i="1" a="1"/>
  <c r="H343" i="2" a="1"/>
  <c r="I383" i="1" a="1"/>
  <c r="I11" i="1" a="1"/>
  <c r="H85" i="2" a="1"/>
  <c r="I586" i="1" a="1"/>
  <c r="H163" i="2" a="1"/>
  <c r="I41" i="1" a="1"/>
  <c r="I139" i="1" a="1"/>
  <c r="I716" i="1" a="1"/>
  <c r="H525" i="2" a="1"/>
  <c r="H272" i="2" a="1"/>
  <c r="H189" i="2" a="1"/>
  <c r="H256" i="2" a="1"/>
  <c r="I119" i="1" a="1"/>
  <c r="I499" i="1" a="1"/>
  <c r="H411" i="2" a="1"/>
  <c r="I378" i="1" a="1"/>
  <c r="I155" i="1" a="1"/>
  <c r="H21" i="2" a="1"/>
  <c r="I655" i="1" a="1"/>
  <c r="H199" i="2" a="1"/>
  <c r="H277" i="2" a="1"/>
  <c r="H439" i="2" a="1"/>
  <c r="I709" i="1" a="1"/>
  <c r="I148" i="1" a="1"/>
  <c r="I410" i="1" a="1"/>
  <c r="H57" i="2" a="1"/>
  <c r="H206" i="2" a="1"/>
  <c r="I370" i="1" a="1"/>
  <c r="H407" i="2" a="1"/>
  <c r="I52" i="1" a="1"/>
  <c r="I104" i="1" a="1"/>
  <c r="I454" i="1" a="1"/>
  <c r="H327" i="2" a="1"/>
  <c r="I71" i="1" a="1"/>
  <c r="I176" i="1" a="1"/>
  <c r="I470" i="1" a="1"/>
  <c r="H311" i="2" a="1"/>
  <c r="I649" i="1" a="1"/>
  <c r="I581" i="1" a="1"/>
  <c r="H322" i="2" a="1"/>
  <c r="I296" i="1" a="1"/>
  <c r="I111" i="1" a="1"/>
  <c r="I149" i="1" a="1"/>
  <c r="I108" i="1" a="1"/>
  <c r="H416" i="2" a="1"/>
  <c r="H333" i="2" a="1"/>
  <c r="H80" i="2" a="1"/>
  <c r="I318" i="1" a="1"/>
  <c r="I509" i="1" a="1"/>
  <c r="H102" i="2" a="1"/>
  <c r="I713" i="1" a="1"/>
  <c r="I210" i="1" a="1"/>
  <c r="H521" i="2" a="1"/>
  <c r="H75" i="2" a="1"/>
  <c r="H361" i="2" a="1"/>
  <c r="I320" i="1" a="1"/>
  <c r="H89" i="2" a="1"/>
  <c r="I336" i="1" a="1"/>
  <c r="H415" i="2" a="1"/>
  <c r="H283" i="2" a="1"/>
  <c r="I398" i="1" a="1"/>
  <c r="I219" i="1" a="1"/>
  <c r="I302" i="1" a="1"/>
  <c r="H14" i="2" a="1"/>
  <c r="I101" i="1" a="1"/>
  <c r="I14" i="1" a="1"/>
  <c r="H173" i="2" a="1"/>
  <c r="I443" i="1" a="1"/>
  <c r="I636" i="1" a="1"/>
  <c r="I595" i="1" a="1"/>
  <c r="I715" i="1" a="1"/>
  <c r="I326" i="1" a="1"/>
  <c r="H449" i="2" a="1"/>
  <c r="I682" i="1" a="1"/>
  <c r="H468" i="2" a="1"/>
  <c r="I412" i="1" a="1"/>
  <c r="H369" i="2" a="1"/>
  <c r="H470" i="2" a="1"/>
  <c r="H452" i="2" a="1"/>
  <c r="I428" i="1" a="1"/>
  <c r="H353" i="2" a="1"/>
  <c r="H414" i="2" a="1"/>
  <c r="H112" i="2" a="1"/>
  <c r="I59" i="1" a="1"/>
  <c r="I20" i="1" a="1"/>
  <c r="I167" i="1" a="1"/>
  <c r="H308" i="2" a="1"/>
  <c r="I353" i="1" a="1"/>
  <c r="H349" i="2" a="1"/>
  <c r="I158" i="1" a="1"/>
  <c r="I124" i="1" a="1"/>
  <c r="H430" i="2" a="1"/>
  <c r="I680" i="1" a="1"/>
  <c r="I663" i="1" a="1"/>
  <c r="I700" i="1" a="1"/>
  <c r="H246" i="2" a="1"/>
  <c r="I504" i="1" a="1"/>
  <c r="H103" i="2" a="1"/>
  <c r="I248" i="1" a="1"/>
  <c r="I225" i="1" a="1"/>
  <c r="I592" i="1" a="1"/>
  <c r="I241" i="1" a="1"/>
  <c r="I608" i="1" a="1"/>
  <c r="H316" i="2" a="1"/>
  <c r="H200" i="2" a="1"/>
  <c r="H496" i="2" a="1"/>
  <c r="I718" i="1" a="1"/>
  <c r="I472" i="1" a="1"/>
  <c r="I582" i="1" a="1"/>
  <c r="I488" i="1" a="1"/>
  <c r="I598" i="1" a="1"/>
  <c r="I106" i="1" a="1"/>
  <c r="I263" i="1" a="1"/>
  <c r="H179" i="2" a="1"/>
  <c r="I63" i="1" a="1"/>
  <c r="I537" i="1" a="1"/>
  <c r="H224" i="2" a="1"/>
  <c r="I640" i="1" a="1"/>
  <c r="H141" i="2" a="1"/>
  <c r="I617" i="1" a="1"/>
  <c r="H144" i="2" a="1"/>
  <c r="I720" i="1" a="1"/>
  <c r="H61" i="2" a="1"/>
  <c r="I633" i="1" a="1"/>
  <c r="H128" i="2" a="1"/>
  <c r="H478" i="2" a="1"/>
  <c r="H45" i="2" a="1"/>
  <c r="H434" i="2" a="1"/>
  <c r="H24" i="2" a="1"/>
  <c r="H34" i="2" a="1"/>
  <c r="I110" i="1" a="1"/>
  <c r="I572" i="1" a="1"/>
  <c r="H195" i="2" a="1"/>
  <c r="H115" i="2" a="1"/>
  <c r="I704" i="1" a="1"/>
  <c r="I681" i="1" a="1"/>
  <c r="H540" i="2" a="1"/>
  <c r="H367" i="2" a="1"/>
  <c r="H6" i="2" a="1"/>
  <c r="I679" i="1" a="1"/>
  <c r="I597" i="1" a="1"/>
  <c r="H110" i="2" a="1"/>
  <c r="I392" i="1" a="1"/>
  <c r="H310" i="2" a="1"/>
  <c r="H442" i="2" a="1"/>
  <c r="H455" i="2" a="1"/>
  <c r="I647" i="1" a="1"/>
  <c r="H183" i="2" a="1"/>
  <c r="I453" i="1" a="1"/>
  <c r="I430" i="1" a="1"/>
  <c r="H413" i="2" a="1"/>
  <c r="I257" i="1" a="1"/>
  <c r="H729" i="5" l="1"/>
  <c r="I729" i="5" s="1"/>
  <c r="H729" i="7"/>
  <c r="I729" i="7" s="1"/>
  <c r="J729" i="11"/>
  <c r="M729" i="11" s="1"/>
  <c r="P463" i="1"/>
  <c r="I257" i="1"/>
  <c r="H413" i="2"/>
  <c r="I430" i="1"/>
  <c r="I453" i="1"/>
  <c r="H183" i="2"/>
  <c r="I647" i="1"/>
  <c r="H455" i="2"/>
  <c r="H442" i="2"/>
  <c r="H310" i="2"/>
  <c r="I392" i="1"/>
  <c r="H110" i="2"/>
  <c r="I597" i="1"/>
  <c r="I679" i="1"/>
  <c r="H6" i="2"/>
  <c r="H367" i="2"/>
  <c r="H540" i="2"/>
  <c r="I681" i="1"/>
  <c r="I704" i="1"/>
  <c r="H115" i="2"/>
  <c r="H195" i="2"/>
  <c r="I572" i="1"/>
  <c r="I110" i="1"/>
  <c r="H34" i="2"/>
  <c r="H24" i="2"/>
  <c r="H434" i="2"/>
  <c r="H45" i="2"/>
  <c r="H478" i="2"/>
  <c r="H128" i="2"/>
  <c r="I633" i="1"/>
  <c r="H61" i="2"/>
  <c r="I720" i="1"/>
  <c r="H144" i="2"/>
  <c r="I617" i="1"/>
  <c r="H141" i="2"/>
  <c r="I640" i="1"/>
  <c r="H224" i="2"/>
  <c r="I537" i="1"/>
  <c r="I63" i="1"/>
  <c r="H179" i="2"/>
  <c r="I263" i="1"/>
  <c r="I106" i="1"/>
  <c r="I598" i="1"/>
  <c r="I488" i="1"/>
  <c r="I582" i="1"/>
  <c r="I472" i="1"/>
  <c r="I718" i="1"/>
  <c r="H496" i="2"/>
  <c r="H200" i="2"/>
  <c r="H316" i="2"/>
  <c r="I608" i="1"/>
  <c r="I241" i="1"/>
  <c r="I592" i="1"/>
  <c r="I225" i="1"/>
  <c r="I248" i="1"/>
  <c r="H103" i="2"/>
  <c r="I504" i="1"/>
  <c r="H246" i="2"/>
  <c r="I700" i="1"/>
  <c r="I663" i="1"/>
  <c r="I680" i="1"/>
  <c r="H430" i="2"/>
  <c r="I124" i="1"/>
  <c r="I158" i="1"/>
  <c r="H349" i="2"/>
  <c r="I353" i="1"/>
  <c r="H308" i="2"/>
  <c r="I167" i="1"/>
  <c r="I20" i="1"/>
  <c r="I59" i="1"/>
  <c r="H112" i="2"/>
  <c r="H414" i="2"/>
  <c r="H353" i="2"/>
  <c r="I428" i="1"/>
  <c r="H452" i="2"/>
  <c r="H470" i="2"/>
  <c r="H369" i="2"/>
  <c r="I412" i="1"/>
  <c r="H468" i="2"/>
  <c r="I682" i="1"/>
  <c r="H449" i="2"/>
  <c r="I326" i="1"/>
  <c r="I715" i="1"/>
  <c r="I595" i="1"/>
  <c r="I636" i="1"/>
  <c r="I443" i="1"/>
  <c r="H173" i="2"/>
  <c r="I14" i="1"/>
  <c r="I101" i="1"/>
  <c r="H14" i="2"/>
  <c r="I302" i="1"/>
  <c r="I219" i="1"/>
  <c r="I398" i="1"/>
  <c r="H283" i="2"/>
  <c r="H415" i="2"/>
  <c r="I336" i="1"/>
  <c r="H89" i="2"/>
  <c r="I320" i="1"/>
  <c r="H361" i="2"/>
  <c r="H75" i="2"/>
  <c r="H521" i="2"/>
  <c r="I210" i="1"/>
  <c r="I713" i="1"/>
  <c r="H102" i="2"/>
  <c r="I509" i="1"/>
  <c r="I318" i="1"/>
  <c r="H80" i="2"/>
  <c r="H333" i="2"/>
  <c r="H416" i="2"/>
  <c r="I108" i="1"/>
  <c r="I149" i="1"/>
  <c r="I111" i="1"/>
  <c r="I296" i="1"/>
  <c r="H322" i="2"/>
  <c r="I581" i="1"/>
  <c r="I649" i="1"/>
  <c r="H311" i="2"/>
  <c r="I470" i="1"/>
  <c r="I176" i="1"/>
  <c r="I71" i="1"/>
  <c r="H327" i="2"/>
  <c r="I454" i="1"/>
  <c r="I104" i="1"/>
  <c r="I52" i="1"/>
  <c r="H407" i="2"/>
  <c r="I370" i="1"/>
  <c r="H206" i="2"/>
  <c r="H57" i="2"/>
  <c r="I410" i="1"/>
  <c r="I148" i="1"/>
  <c r="I709" i="1"/>
  <c r="H439" i="2"/>
  <c r="H277" i="2"/>
  <c r="H199" i="2"/>
  <c r="I655" i="1"/>
  <c r="H21" i="2"/>
  <c r="I155" i="1"/>
  <c r="I378" i="1"/>
  <c r="H411" i="2"/>
  <c r="I499" i="1"/>
  <c r="I119" i="1"/>
  <c r="H256" i="2"/>
  <c r="H189" i="2"/>
  <c r="H272" i="2"/>
  <c r="H525" i="2"/>
  <c r="I716" i="1"/>
  <c r="I139" i="1"/>
  <c r="I41" i="1"/>
  <c r="H163" i="2"/>
  <c r="I586" i="1"/>
  <c r="H85" i="2"/>
  <c r="I11" i="1"/>
  <c r="I383" i="1"/>
  <c r="H343" i="2"/>
  <c r="I366" i="1"/>
  <c r="I306" i="1"/>
  <c r="H209" i="2"/>
  <c r="H93" i="2"/>
  <c r="H298" i="2"/>
  <c r="H95" i="2"/>
  <c r="H29" i="2"/>
  <c r="H536" i="2"/>
  <c r="I233" i="1"/>
  <c r="I447" i="1"/>
  <c r="I116" i="1"/>
  <c r="I699" i="1"/>
  <c r="I217" i="1"/>
  <c r="I375" i="1"/>
  <c r="I99" i="1"/>
  <c r="I371" i="1"/>
  <c r="I115" i="1"/>
  <c r="H16" i="2"/>
  <c r="H11" i="2"/>
  <c r="I693" i="1"/>
  <c r="I13" i="1"/>
  <c r="I352" i="1"/>
  <c r="I232" i="1"/>
  <c r="H50" i="2"/>
  <c r="H386" i="2"/>
  <c r="H118" i="2"/>
  <c r="I611" i="1"/>
  <c r="I683" i="1"/>
  <c r="I152" i="1"/>
  <c r="I565" i="1"/>
  <c r="I546" i="1"/>
  <c r="H158" i="2"/>
  <c r="H514" i="2"/>
  <c r="I544" i="1"/>
  <c r="I441" i="1"/>
  <c r="H342" i="2"/>
  <c r="I359" i="1"/>
  <c r="I423" i="1"/>
  <c r="I82" i="1"/>
  <c r="H243" i="2"/>
  <c r="H259" i="2"/>
  <c r="I310" i="1"/>
  <c r="H432" i="2"/>
  <c r="I612" i="1"/>
  <c r="I695" i="1"/>
  <c r="I496" i="1"/>
  <c r="H109" i="2"/>
  <c r="I672" i="1"/>
  <c r="H192" i="2"/>
  <c r="I569" i="1"/>
  <c r="H125" i="2"/>
  <c r="I656" i="1"/>
  <c r="H208" i="2"/>
  <c r="I553" i="1"/>
  <c r="H205" i="2"/>
  <c r="I576" i="1"/>
  <c r="H288" i="2"/>
  <c r="I473" i="1"/>
  <c r="I446" i="1"/>
  <c r="I199" i="1"/>
  <c r="H147" i="2"/>
  <c r="H120" i="2"/>
  <c r="I118" i="1"/>
  <c r="I530" i="1"/>
  <c r="I609" i="1"/>
  <c r="I250" i="1"/>
  <c r="I267" i="1"/>
  <c r="I590" i="1"/>
  <c r="I327" i="1"/>
  <c r="I48" i="1"/>
  <c r="I513" i="1"/>
  <c r="H294" i="2"/>
  <c r="I697" i="1"/>
  <c r="I528" i="1"/>
  <c r="I143" i="1"/>
  <c r="H129" i="2"/>
  <c r="I411" i="1"/>
  <c r="H451" i="2"/>
  <c r="H517" i="2"/>
  <c r="H453" i="2"/>
  <c r="H221" i="2"/>
  <c r="H142" i="2"/>
  <c r="H337" i="2"/>
  <c r="H301" i="2"/>
  <c r="I480" i="1"/>
  <c r="H384" i="2"/>
  <c r="I373" i="1"/>
  <c r="H317" i="2"/>
  <c r="I464" i="1"/>
  <c r="H400" i="2"/>
  <c r="I357" i="1"/>
  <c r="H397" i="2"/>
  <c r="I380" i="1"/>
  <c r="H480" i="2"/>
  <c r="I275" i="1"/>
  <c r="H214" i="2"/>
  <c r="I369" i="1"/>
  <c r="H325" i="2"/>
  <c r="H457" i="2"/>
  <c r="I50" i="1"/>
  <c r="H345" i="2"/>
  <c r="I26" i="1"/>
  <c r="H105" i="2"/>
  <c r="I238" i="1"/>
  <c r="I409" i="1"/>
  <c r="I568" i="1"/>
  <c r="I484" i="1"/>
  <c r="I218" i="1"/>
  <c r="H472" i="2"/>
  <c r="H299" i="2"/>
  <c r="H232" i="2"/>
  <c r="H59" i="2"/>
  <c r="H169" i="2"/>
  <c r="I438" i="1"/>
  <c r="I339" i="1"/>
  <c r="I449" i="1"/>
  <c r="H22" i="2"/>
  <c r="H73" i="2"/>
  <c r="I507" i="1"/>
  <c r="I298" i="1"/>
  <c r="H291" i="2"/>
  <c r="I165" i="1"/>
  <c r="I458" i="1"/>
  <c r="I207" i="1"/>
  <c r="I75" i="1"/>
  <c r="H274" i="2"/>
  <c r="I442" i="1"/>
  <c r="I123" i="1"/>
  <c r="I57" i="1"/>
  <c r="H318" i="2"/>
  <c r="I358" i="1"/>
  <c r="H190" i="2"/>
  <c r="H53" i="2"/>
  <c r="I712" i="1"/>
  <c r="I577" i="1"/>
  <c r="I461" i="1"/>
  <c r="H481" i="2"/>
  <c r="H454" i="2"/>
  <c r="H497" i="2"/>
  <c r="H498" i="2"/>
  <c r="I539" i="1"/>
  <c r="I6" i="1"/>
  <c r="H307" i="2"/>
  <c r="H48" i="2"/>
  <c r="H180" i="2"/>
  <c r="H43" i="2"/>
  <c r="H409" i="2"/>
  <c r="H315" i="2"/>
  <c r="H422" i="2"/>
  <c r="I669" i="1"/>
  <c r="I432" i="1"/>
  <c r="H392" i="2"/>
  <c r="I159" i="1"/>
  <c r="H302" i="2"/>
  <c r="H529" i="2"/>
  <c r="H483" i="2"/>
  <c r="I255" i="1"/>
  <c r="I258" i="1"/>
  <c r="I415" i="1"/>
  <c r="H149" i="2"/>
  <c r="I616" i="1"/>
  <c r="I242" i="1"/>
  <c r="I347" i="1"/>
  <c r="H165" i="2"/>
  <c r="I600" i="1"/>
  <c r="I144" i="1"/>
  <c r="H46" i="2"/>
  <c r="H245" i="2"/>
  <c r="I520" i="1"/>
  <c r="H88" i="2"/>
  <c r="I293" i="1"/>
  <c r="I214" i="1"/>
  <c r="I650" i="1"/>
  <c r="H258" i="2"/>
  <c r="H30" i="2"/>
  <c r="I540" i="1"/>
  <c r="H262" i="2"/>
  <c r="I467" i="1"/>
  <c r="I648" i="1"/>
  <c r="H152" i="2"/>
  <c r="H78" i="2"/>
  <c r="H419" i="2"/>
  <c r="I324" i="1"/>
  <c r="I228" i="1"/>
  <c r="H270" i="2"/>
  <c r="H486" i="2"/>
  <c r="I547" i="1"/>
  <c r="I180" i="1"/>
  <c r="I322" i="1"/>
  <c r="H98" i="2"/>
  <c r="I98" i="1"/>
  <c r="I501" i="1"/>
  <c r="H339" i="2"/>
  <c r="H69" i="2"/>
  <c r="H56" i="2"/>
  <c r="H201" i="2"/>
  <c r="I689" i="1"/>
  <c r="H171" i="2"/>
  <c r="I594" i="1"/>
  <c r="H537" i="2"/>
  <c r="I673" i="1"/>
  <c r="H187" i="2"/>
  <c r="I578" i="1"/>
  <c r="H184" i="2"/>
  <c r="I593" i="1"/>
  <c r="H267" i="2"/>
  <c r="I498" i="1"/>
  <c r="H450" i="2"/>
  <c r="I221" i="1"/>
  <c r="I251" i="1"/>
  <c r="I479" i="1"/>
  <c r="I394" i="1"/>
  <c r="H533" i="2"/>
  <c r="I91" i="1"/>
  <c r="H293" i="2"/>
  <c r="H279" i="2"/>
  <c r="I434" i="1"/>
  <c r="H444" i="2"/>
  <c r="H467" i="2"/>
  <c r="H264" i="2"/>
  <c r="I561" i="1"/>
  <c r="I202" i="1"/>
  <c r="H28" i="2"/>
  <c r="H383" i="2"/>
  <c r="H364" i="2"/>
  <c r="I462" i="1"/>
  <c r="I95" i="1"/>
  <c r="I38" i="1"/>
  <c r="I678" i="1"/>
  <c r="H40" i="2"/>
  <c r="H137" i="2"/>
  <c r="I249" i="1"/>
  <c r="I270" i="1"/>
  <c r="I551" i="1"/>
  <c r="I166" i="1"/>
  <c r="I153" i="1"/>
  <c r="I252" i="1"/>
  <c r="I487" i="1"/>
  <c r="I147" i="1"/>
  <c r="I78" i="1"/>
  <c r="I154" i="1"/>
  <c r="I128" i="1"/>
  <c r="I58" i="1"/>
  <c r="H286" i="2"/>
  <c r="I397" i="1"/>
  <c r="I100" i="1"/>
  <c r="H326" i="2"/>
  <c r="I674" i="1"/>
  <c r="H58" i="2"/>
  <c r="I579" i="1"/>
  <c r="H122" i="2"/>
  <c r="I519" i="1"/>
  <c r="I607" i="1"/>
  <c r="I297" i="1"/>
  <c r="H176" i="2"/>
  <c r="I264" i="1"/>
  <c r="H539" i="2"/>
  <c r="I231" i="1"/>
  <c r="H378" i="2"/>
  <c r="I424" i="1"/>
  <c r="I599" i="1"/>
  <c r="I243" i="1"/>
  <c r="H385" i="2"/>
  <c r="H38" i="2"/>
  <c r="H328" i="2"/>
  <c r="I549" i="1"/>
  <c r="I521" i="1"/>
  <c r="I574" i="1"/>
  <c r="H130" i="2"/>
  <c r="I280" i="1"/>
  <c r="I717" i="1"/>
  <c r="I363" i="1"/>
  <c r="H161" i="2"/>
  <c r="I620" i="1"/>
  <c r="H260" i="2"/>
  <c r="I301" i="1"/>
  <c r="H177" i="2"/>
  <c r="I604" i="1"/>
  <c r="H276" i="2"/>
  <c r="H94" i="2"/>
  <c r="H257" i="2"/>
  <c r="I524" i="1"/>
  <c r="H356" i="2"/>
  <c r="H482" i="2"/>
  <c r="I665" i="1"/>
  <c r="H223" i="2"/>
  <c r="H398" i="2"/>
  <c r="I508" i="1"/>
  <c r="I372" i="1"/>
  <c r="I272" i="1"/>
  <c r="H153" i="2"/>
  <c r="I518" i="1"/>
  <c r="I408" i="1"/>
  <c r="I285" i="1"/>
  <c r="I601" i="1"/>
  <c r="I431" i="1"/>
  <c r="I287" i="1"/>
  <c r="I651" i="1"/>
  <c r="I575" i="1"/>
  <c r="H252" i="2"/>
  <c r="H35" i="2"/>
  <c r="H368" i="2"/>
  <c r="I714" i="1"/>
  <c r="H417" i="2"/>
  <c r="I360" i="1"/>
  <c r="H516" i="2"/>
  <c r="I698" i="1"/>
  <c r="H433" i="2"/>
  <c r="I342" i="1"/>
  <c r="H532" i="2"/>
  <c r="I618" i="1"/>
  <c r="H513" i="2"/>
  <c r="I260" i="1"/>
  <c r="I455" i="1"/>
  <c r="H371" i="2"/>
  <c r="H338" i="2"/>
  <c r="H42" i="2"/>
  <c r="I475" i="1"/>
  <c r="I61" i="1"/>
  <c r="H324" i="2"/>
  <c r="I42" i="1"/>
  <c r="H340" i="2"/>
  <c r="H321" i="2"/>
  <c r="I422" i="1"/>
  <c r="H402" i="2"/>
  <c r="I550" i="1"/>
  <c r="I418" i="1"/>
  <c r="I534" i="1"/>
  <c r="I142" i="1"/>
  <c r="I254" i="1"/>
  <c r="H312" i="2"/>
  <c r="H395" i="2"/>
  <c r="I463" i="1"/>
  <c r="I66" i="1"/>
  <c r="I240" i="1"/>
  <c r="H226" i="2"/>
  <c r="I560" i="1"/>
  <c r="H227" i="2"/>
  <c r="I444" i="1"/>
  <c r="I522" i="1"/>
  <c r="I471" i="1"/>
  <c r="I146" i="1"/>
  <c r="H20" i="2"/>
  <c r="I506" i="1"/>
  <c r="I403" i="1"/>
  <c r="I129" i="1"/>
  <c r="H86" i="2"/>
  <c r="I426" i="1"/>
  <c r="I64" i="1"/>
  <c r="I37" i="1"/>
  <c r="H362" i="2"/>
  <c r="I485" i="1"/>
  <c r="I317" i="1"/>
  <c r="H526" i="2"/>
  <c r="I141" i="1"/>
  <c r="H512" i="2"/>
  <c r="H445" i="2"/>
  <c r="H528" i="2"/>
  <c r="H269" i="2"/>
  <c r="H96" i="2"/>
  <c r="I164" i="1"/>
  <c r="I421" i="1"/>
  <c r="I312" i="1"/>
  <c r="I131" i="1"/>
  <c r="H218" i="2"/>
  <c r="H446" i="2"/>
  <c r="H509" i="2"/>
  <c r="H336" i="2"/>
  <c r="H77" i="2"/>
  <c r="H160" i="2"/>
  <c r="I584" i="1"/>
  <c r="I350" i="1"/>
  <c r="H423" i="2"/>
  <c r="I659" i="1"/>
  <c r="H83" i="2"/>
  <c r="I667" i="1"/>
  <c r="I253" i="1"/>
  <c r="I92" i="1"/>
  <c r="I395" i="1"/>
  <c r="I122" i="1"/>
  <c r="H186" i="2"/>
  <c r="H281" i="2"/>
  <c r="I325" i="1"/>
  <c r="I103" i="1"/>
  <c r="H242" i="2"/>
  <c r="H297" i="2"/>
  <c r="H66" i="2"/>
  <c r="I8" i="1"/>
  <c r="H494" i="2"/>
  <c r="H377" i="2"/>
  <c r="I482" i="1"/>
  <c r="H408" i="2"/>
  <c r="H146" i="2"/>
  <c r="I145" i="1"/>
  <c r="H210" i="2"/>
  <c r="I564" i="1"/>
  <c r="I213" i="1"/>
  <c r="H387" i="2"/>
  <c r="I93" i="1"/>
  <c r="I172" i="1"/>
  <c r="H237" i="2"/>
  <c r="I603" i="1"/>
  <c r="H174" i="2"/>
  <c r="I476" i="1"/>
  <c r="I490" i="1"/>
  <c r="I109" i="1"/>
  <c r="H479" i="2"/>
  <c r="I381" i="1"/>
  <c r="I629" i="1"/>
  <c r="H275" i="2"/>
  <c r="I244" i="1"/>
  <c r="I25" i="1"/>
  <c r="I89" i="1"/>
  <c r="H410" i="2"/>
  <c r="H107" i="2"/>
  <c r="I658" i="1"/>
  <c r="H473" i="2"/>
  <c r="H462" i="2"/>
  <c r="H123" i="2"/>
  <c r="I642" i="1"/>
  <c r="H489" i="2"/>
  <c r="I657" i="1"/>
  <c r="H203" i="2"/>
  <c r="I562" i="1"/>
  <c r="I435" i="1"/>
  <c r="I23" i="1"/>
  <c r="I661" i="1"/>
  <c r="H26" i="2"/>
  <c r="I365" i="1"/>
  <c r="I268" i="1"/>
  <c r="I349" i="1"/>
  <c r="I514" i="1"/>
  <c r="I529" i="1"/>
  <c r="I269" i="1"/>
  <c r="H90" i="2"/>
  <c r="H219" i="2"/>
  <c r="I335" i="1"/>
  <c r="H39" i="2"/>
  <c r="H268" i="2"/>
  <c r="H111" i="2"/>
  <c r="I283" i="1"/>
  <c r="I450" i="1"/>
  <c r="I465" i="1"/>
  <c r="H62" i="2"/>
  <c r="H202" i="2"/>
  <c r="I510" i="1"/>
  <c r="H82" i="2"/>
  <c r="I150" i="1"/>
  <c r="I205" i="1"/>
  <c r="I696" i="1"/>
  <c r="I707" i="1"/>
  <c r="I468" i="1"/>
  <c r="H396" i="2"/>
  <c r="I377" i="1"/>
  <c r="H495" i="2"/>
  <c r="I452" i="1"/>
  <c r="H412" i="2"/>
  <c r="I361" i="1"/>
  <c r="H511" i="2"/>
  <c r="I368" i="1"/>
  <c r="H492" i="2"/>
  <c r="I279" i="1"/>
  <c r="I559" i="1"/>
  <c r="I563" i="1"/>
  <c r="I67" i="1"/>
  <c r="I405" i="1"/>
  <c r="I276" i="1"/>
  <c r="H460" i="2"/>
  <c r="I675" i="1"/>
  <c r="H476" i="2"/>
  <c r="H438" i="2"/>
  <c r="H382" i="2"/>
  <c r="I7" i="1"/>
  <c r="I389" i="1"/>
  <c r="H231" i="2"/>
  <c r="H347" i="2"/>
  <c r="H289" i="2"/>
  <c r="H388" i="2"/>
  <c r="I671" i="1"/>
  <c r="I664" i="1"/>
  <c r="I694" i="1"/>
  <c r="H136" i="2"/>
  <c r="I613" i="1"/>
  <c r="H334" i="2"/>
  <c r="I702" i="1"/>
  <c r="H487" i="2"/>
  <c r="I344" i="1"/>
  <c r="I511" i="1"/>
  <c r="I615" i="1"/>
  <c r="H97" i="2"/>
  <c r="I684" i="1"/>
  <c r="H196" i="2"/>
  <c r="I555" i="1"/>
  <c r="H113" i="2"/>
  <c r="I668" i="1"/>
  <c r="H212" i="2"/>
  <c r="I235" i="1"/>
  <c r="H193" i="2"/>
  <c r="I588" i="1"/>
  <c r="H292" i="2"/>
  <c r="H67" i="2"/>
  <c r="H401" i="2"/>
  <c r="I440" i="1"/>
  <c r="I404" i="1"/>
  <c r="I573" i="1"/>
  <c r="I644" i="1"/>
  <c r="I557" i="1"/>
  <c r="H230" i="2"/>
  <c r="I571" i="1"/>
  <c r="H164" i="2"/>
  <c r="H131" i="2"/>
  <c r="I653" i="1"/>
  <c r="I239" i="1"/>
  <c r="I47" i="1"/>
  <c r="I245" i="1"/>
  <c r="I580" i="1"/>
  <c r="H426" i="2"/>
  <c r="I635" i="1"/>
  <c r="I313" i="1"/>
  <c r="H228" i="2"/>
  <c r="I247" i="1"/>
  <c r="H157" i="2"/>
  <c r="I526" i="1"/>
  <c r="I494" i="1"/>
  <c r="H25" i="2"/>
  <c r="H346" i="2"/>
  <c r="H159" i="2"/>
  <c r="H119" i="2"/>
  <c r="I662" i="1"/>
  <c r="H469" i="2"/>
  <c r="I290" i="1"/>
  <c r="H135" i="2"/>
  <c r="I646" i="1"/>
  <c r="H485" i="2"/>
  <c r="I274" i="1"/>
  <c r="H215" i="2"/>
  <c r="I566" i="1"/>
  <c r="I591" i="1"/>
  <c r="I177" i="1"/>
  <c r="I477" i="1"/>
  <c r="H420" i="2"/>
  <c r="I341" i="1"/>
  <c r="I639" i="1"/>
  <c r="I670" i="1"/>
  <c r="H493" i="2"/>
  <c r="H320" i="2"/>
  <c r="I24" i="1"/>
  <c r="I229" i="1"/>
  <c r="I500" i="1"/>
  <c r="I413" i="1"/>
  <c r="H484" i="2"/>
  <c r="I376" i="1"/>
  <c r="I666" i="1"/>
  <c r="H51" i="2"/>
  <c r="I230" i="1"/>
  <c r="I525" i="1"/>
  <c r="I517" i="1"/>
  <c r="I393" i="1"/>
  <c r="H375" i="2"/>
  <c r="I406" i="1"/>
  <c r="H74" i="2"/>
  <c r="H23" i="2"/>
  <c r="H391" i="2"/>
  <c r="I386" i="1"/>
  <c r="H138" i="2"/>
  <c r="H41" i="2"/>
  <c r="H471" i="2"/>
  <c r="I304" i="1"/>
  <c r="I523" i="1"/>
  <c r="H121" i="2"/>
  <c r="H197" i="2"/>
  <c r="I136" i="1"/>
  <c r="H394" i="2"/>
  <c r="I632" i="1"/>
  <c r="H235" i="2"/>
  <c r="H168" i="2"/>
  <c r="H251" i="2"/>
  <c r="H504" i="2"/>
  <c r="H474" i="2"/>
  <c r="I246" i="1"/>
  <c r="I273" i="1"/>
  <c r="I160" i="1"/>
  <c r="I334" i="1"/>
  <c r="H64" i="2"/>
  <c r="H253" i="2"/>
  <c r="I535" i="1"/>
  <c r="I491" i="1"/>
  <c r="I652" i="1"/>
  <c r="H126" i="2"/>
  <c r="H167" i="2"/>
  <c r="H435" i="2"/>
  <c r="H17" i="2"/>
  <c r="H304" i="2"/>
  <c r="I319" i="1"/>
  <c r="H436" i="2"/>
  <c r="I643" i="1"/>
  <c r="I206" i="1"/>
  <c r="I113" i="1"/>
  <c r="H217" i="2"/>
  <c r="I587" i="1"/>
  <c r="I175" i="1"/>
  <c r="I28" i="1"/>
  <c r="H233" i="2"/>
  <c r="I259" i="1"/>
  <c r="I86" i="1"/>
  <c r="H290" i="2"/>
  <c r="H313" i="2"/>
  <c r="H188" i="2"/>
  <c r="H403" i="2"/>
  <c r="I174" i="1"/>
  <c r="I625" i="1"/>
  <c r="H390" i="2"/>
  <c r="I12" i="1"/>
  <c r="I583" i="1"/>
  <c r="H535" i="2"/>
  <c r="H373" i="2"/>
  <c r="H441" i="2"/>
  <c r="I79" i="1"/>
  <c r="H54" i="2"/>
  <c r="I286" i="1"/>
  <c r="I299" i="1"/>
  <c r="I466" i="1"/>
  <c r="H250" i="2"/>
  <c r="I329" i="1"/>
  <c r="I527" i="1"/>
  <c r="H437" i="2"/>
  <c r="H505" i="2"/>
  <c r="I567" i="1"/>
  <c r="I354" i="1"/>
  <c r="I705" i="1"/>
  <c r="I469" i="1"/>
  <c r="I178" i="1"/>
  <c r="I538" i="1"/>
  <c r="H518" i="2"/>
  <c r="H140" i="2"/>
  <c r="I637" i="1"/>
  <c r="H239" i="2"/>
  <c r="I708" i="1"/>
  <c r="H156" i="2"/>
  <c r="I621" i="1"/>
  <c r="H255" i="2"/>
  <c r="I628" i="1"/>
  <c r="H236" i="2"/>
  <c r="I541" i="1"/>
  <c r="H335" i="2"/>
  <c r="I364" i="1"/>
  <c r="H99" i="2"/>
  <c r="I83" i="1"/>
  <c r="H19" i="2"/>
  <c r="I634" i="1"/>
  <c r="I278" i="1"/>
  <c r="I292" i="1"/>
  <c r="I309" i="1"/>
  <c r="I127" i="1"/>
  <c r="I77" i="1"/>
  <c r="I385" i="1"/>
  <c r="H503" i="2"/>
  <c r="I390" i="1"/>
  <c r="I545" i="1"/>
  <c r="I171" i="1"/>
  <c r="I201" i="1"/>
  <c r="I379" i="1"/>
  <c r="I638" i="1"/>
  <c r="H475" i="2"/>
  <c r="I688" i="1"/>
  <c r="I271" i="1"/>
  <c r="I391" i="1"/>
  <c r="H295" i="2"/>
  <c r="I532" i="1"/>
  <c r="H332" i="2"/>
  <c r="I445" i="1"/>
  <c r="H431" i="2"/>
  <c r="I516" i="1"/>
  <c r="H348" i="2"/>
  <c r="I429" i="1"/>
  <c r="H447" i="2"/>
  <c r="I436" i="1"/>
  <c r="H428" i="2"/>
  <c r="I343" i="1"/>
  <c r="H527" i="2"/>
  <c r="H124" i="2"/>
  <c r="H406" i="2"/>
  <c r="H508" i="2"/>
  <c r="I407" i="1"/>
  <c r="H225" i="2"/>
  <c r="H68" i="2"/>
  <c r="H241" i="2"/>
  <c r="H84" i="2"/>
  <c r="H65" i="2"/>
  <c r="H399" i="2"/>
  <c r="I355" i="1"/>
  <c r="I703" i="1"/>
  <c r="H273" i="2"/>
  <c r="H389" i="2"/>
  <c r="I387" i="1"/>
  <c r="I321" i="1"/>
  <c r="H305" i="2"/>
  <c r="H148" i="2"/>
  <c r="I169" i="1"/>
  <c r="H463" i="2"/>
  <c r="I303" i="1"/>
  <c r="H238" i="2"/>
  <c r="H31" i="2"/>
  <c r="H154" i="2"/>
  <c r="I340" i="1"/>
  <c r="I542" i="1"/>
  <c r="I222" i="1"/>
  <c r="I419" i="1"/>
  <c r="I133" i="1"/>
  <c r="I18" i="1"/>
  <c r="I10" i="1"/>
  <c r="I351" i="1"/>
  <c r="I114" i="1"/>
  <c r="H70" i="2"/>
  <c r="H18" i="2"/>
  <c r="I35" i="1"/>
  <c r="I19" i="1"/>
  <c r="H350" i="2"/>
  <c r="H100" i="2"/>
  <c r="I474" i="1"/>
  <c r="H329" i="2"/>
  <c r="H15" i="2"/>
  <c r="H133" i="2"/>
  <c r="H170" i="2"/>
  <c r="I224" i="1"/>
  <c r="H234" i="2"/>
  <c r="I208" i="1"/>
  <c r="I502" i="1"/>
  <c r="I323" i="1"/>
  <c r="I237" i="1"/>
  <c r="I515" i="1"/>
  <c r="H216" i="2"/>
  <c r="I691" i="1"/>
  <c r="H488" i="2"/>
  <c r="I493" i="1"/>
  <c r="I236" i="1"/>
  <c r="I130" i="1"/>
  <c r="H155" i="2"/>
  <c r="I138" i="1"/>
  <c r="I654" i="1"/>
  <c r="I558" i="1"/>
  <c r="I288" i="1"/>
  <c r="H114" i="2"/>
  <c r="I135" i="1"/>
  <c r="H55" i="2"/>
  <c r="H538" i="2"/>
  <c r="H405" i="2"/>
  <c r="I356" i="1"/>
  <c r="H71" i="2"/>
  <c r="I710" i="1"/>
  <c r="H421" i="2"/>
  <c r="I338" i="1"/>
  <c r="H151" i="2"/>
  <c r="I630" i="1"/>
  <c r="H501" i="2"/>
  <c r="I256" i="1"/>
  <c r="I676" i="1"/>
  <c r="I686" i="1"/>
  <c r="H355" i="2"/>
  <c r="I107" i="1"/>
  <c r="I294" i="1"/>
  <c r="I374" i="1"/>
  <c r="H37" i="2"/>
  <c r="I554" i="1"/>
  <c r="I460" i="1"/>
  <c r="I105" i="1"/>
  <c r="I223" i="1"/>
  <c r="I362" i="1"/>
  <c r="I645" i="1"/>
  <c r="H247" i="2"/>
  <c r="H341" i="2"/>
  <c r="I308" i="1"/>
  <c r="I212" i="1"/>
  <c r="H510" i="2"/>
  <c r="I396" i="1"/>
  <c r="I30" i="1"/>
  <c r="H500" i="2"/>
  <c r="I624" i="1"/>
  <c r="H72" i="2"/>
  <c r="I543" i="1"/>
  <c r="H522" i="2"/>
  <c r="H282" i="2"/>
  <c r="H344" i="2"/>
  <c r="I433" i="1"/>
  <c r="H427" i="2"/>
  <c r="I332" i="1"/>
  <c r="H360" i="2"/>
  <c r="I417" i="1"/>
  <c r="H443" i="2"/>
  <c r="I316" i="1"/>
  <c r="H440" i="2"/>
  <c r="I331" i="1"/>
  <c r="H523" i="2"/>
  <c r="I234" i="1"/>
  <c r="I181" i="1"/>
  <c r="H185" i="2"/>
  <c r="I641" i="1"/>
  <c r="H211" i="2"/>
  <c r="I102" i="1"/>
  <c r="H194" i="2"/>
  <c r="I399" i="1"/>
  <c r="H263" i="2"/>
  <c r="H357" i="2"/>
  <c r="H87" i="2"/>
  <c r="H181" i="2"/>
  <c r="H249" i="2"/>
  <c r="I9" i="1"/>
  <c r="H465" i="2"/>
  <c r="I483" i="1"/>
  <c r="H502" i="2"/>
  <c r="H351" i="2"/>
  <c r="H285" i="2"/>
  <c r="I503" i="1"/>
  <c r="I151" i="1"/>
  <c r="I168" i="1"/>
  <c r="I44" i="1"/>
  <c r="I439" i="1"/>
  <c r="I134" i="1"/>
  <c r="I96" i="1"/>
  <c r="I21" i="1"/>
  <c r="I74" i="1"/>
  <c r="I43" i="1"/>
  <c r="H266" i="2"/>
  <c r="H79" i="2"/>
  <c r="I585" i="1"/>
  <c r="H323" i="2"/>
  <c r="H244" i="2"/>
  <c r="I478" i="1"/>
  <c r="H429" i="2"/>
  <c r="I556" i="1"/>
  <c r="I70" i="1"/>
  <c r="H306" i="2"/>
  <c r="H314" i="2"/>
  <c r="H117" i="2"/>
  <c r="I420" i="1"/>
  <c r="I622" i="1"/>
  <c r="I215" i="1"/>
  <c r="I34" i="1"/>
  <c r="I451" i="1"/>
  <c r="H519" i="2"/>
  <c r="I706" i="1"/>
  <c r="H534" i="2"/>
  <c r="H150" i="2"/>
  <c r="I367" i="1"/>
  <c r="I614" i="1"/>
  <c r="H359" i="2"/>
  <c r="I533" i="1"/>
  <c r="I457" i="1"/>
  <c r="H366" i="2"/>
  <c r="H330" i="2"/>
  <c r="H76" i="2"/>
  <c r="I701" i="1"/>
  <c r="H175" i="2"/>
  <c r="H374" i="2"/>
  <c r="H92" i="2"/>
  <c r="I685" i="1"/>
  <c r="H191" i="2"/>
  <c r="I692" i="1"/>
  <c r="H172" i="2"/>
  <c r="I605" i="1"/>
  <c r="H271" i="2"/>
  <c r="H466" i="2"/>
  <c r="H287" i="2"/>
  <c r="I55" i="1"/>
  <c r="H91" i="2"/>
  <c r="I348" i="1"/>
  <c r="I505" i="1"/>
  <c r="I330" i="1"/>
  <c r="I489" i="1"/>
  <c r="I512" i="1"/>
  <c r="H143" i="2"/>
  <c r="I220" i="1"/>
  <c r="H52" i="2"/>
  <c r="I315" i="1"/>
  <c r="I182" i="1"/>
  <c r="H33" i="2"/>
  <c r="H132" i="2"/>
  <c r="I266" i="1"/>
  <c r="I425" i="1"/>
  <c r="I448" i="1"/>
  <c r="H207" i="2"/>
  <c r="H178" i="2"/>
  <c r="H515" i="2"/>
  <c r="I711" i="1"/>
  <c r="I610" i="1"/>
  <c r="H477" i="2"/>
  <c r="H354" i="2"/>
  <c r="I531" i="1"/>
  <c r="H365" i="2"/>
  <c r="I416" i="1"/>
  <c r="H448" i="2"/>
  <c r="I307" i="1"/>
  <c r="H381" i="2"/>
  <c r="I400" i="1"/>
  <c r="H464" i="2"/>
  <c r="I291" i="1"/>
  <c r="H461" i="2"/>
  <c r="I314" i="1"/>
  <c r="I388" i="1"/>
  <c r="I209" i="1"/>
  <c r="I277" i="1"/>
  <c r="I548" i="1"/>
  <c r="I81" i="1"/>
  <c r="H47" i="2"/>
  <c r="I62" i="1"/>
  <c r="H319" i="2"/>
  <c r="H300" i="2"/>
  <c r="H499" i="2"/>
  <c r="H261" i="2"/>
  <c r="I65" i="1"/>
  <c r="H81" i="2"/>
  <c r="I282" i="1"/>
  <c r="I161" i="1"/>
  <c r="H49" i="2"/>
  <c r="H404" i="2"/>
  <c r="I333" i="1"/>
  <c r="I437" i="1"/>
  <c r="I56" i="1"/>
  <c r="I284" i="1"/>
  <c r="I88" i="1"/>
  <c r="I602" i="1"/>
  <c r="I606" i="1"/>
  <c r="I486" i="1"/>
  <c r="I687" i="1"/>
  <c r="I216" i="1"/>
  <c r="I337" i="1"/>
  <c r="I90" i="1"/>
  <c r="I623" i="1"/>
  <c r="I200" i="1"/>
  <c r="I265" i="1"/>
  <c r="I72" i="1"/>
  <c r="I289" i="1"/>
  <c r="I97" i="1"/>
  <c r="H134" i="2"/>
  <c r="H36" i="2"/>
  <c r="H10" i="2"/>
  <c r="H530" i="2"/>
  <c r="I495" i="1"/>
  <c r="I227" i="1"/>
  <c r="H491" i="2"/>
  <c r="H424" i="2"/>
  <c r="H507" i="2"/>
  <c r="H248" i="2"/>
  <c r="H331" i="2"/>
  <c r="I125" i="1"/>
  <c r="H458" i="2"/>
  <c r="H380" i="2"/>
  <c r="H372" i="2"/>
  <c r="I596" i="1"/>
  <c r="H370" i="2"/>
  <c r="H166" i="2"/>
  <c r="I631" i="1"/>
  <c r="H425" i="2"/>
  <c r="H139" i="2"/>
  <c r="I54" i="1"/>
  <c r="H145" i="2"/>
  <c r="I305" i="1"/>
  <c r="I627" i="1"/>
  <c r="H506" i="2"/>
  <c r="H418" i="2"/>
  <c r="I719" i="1"/>
  <c r="I203" i="1"/>
  <c r="I179" i="1"/>
  <c r="I132" i="1"/>
  <c r="H213" i="2"/>
  <c r="I552" i="1"/>
  <c r="I163" i="1"/>
  <c r="I60" i="1"/>
  <c r="H229" i="2"/>
  <c r="I536" i="1"/>
  <c r="I73" i="1"/>
  <c r="H278" i="2"/>
  <c r="H309" i="2"/>
  <c r="I456" i="1"/>
  <c r="H265" i="2"/>
  <c r="I170" i="1"/>
  <c r="H116" i="2"/>
  <c r="I660" i="1"/>
  <c r="I311" i="1"/>
  <c r="I384" i="1"/>
  <c r="I295" i="1"/>
  <c r="H7" i="2"/>
  <c r="H352" i="2"/>
  <c r="I677" i="1"/>
  <c r="H254" i="2"/>
  <c r="I414" i="1"/>
  <c r="H106" i="2"/>
  <c r="I492" i="1"/>
  <c r="I570" i="1"/>
  <c r="H101" i="2"/>
  <c r="I226" i="1"/>
  <c r="I45" i="1"/>
  <c r="I31" i="1"/>
  <c r="I51" i="1"/>
  <c r="I85" i="1"/>
  <c r="H531" i="2"/>
  <c r="I459" i="1"/>
  <c r="H520" i="2"/>
  <c r="H280" i="2"/>
  <c r="I497" i="1"/>
  <c r="H363" i="2"/>
  <c r="I402" i="1"/>
  <c r="H296" i="2"/>
  <c r="I481" i="1"/>
  <c r="H379" i="2"/>
  <c r="I382" i="1"/>
  <c r="H376" i="2"/>
  <c r="I401" i="1"/>
  <c r="H459" i="2"/>
  <c r="I300" i="1"/>
  <c r="I183" i="1"/>
  <c r="I589" i="1"/>
  <c r="I121" i="1"/>
  <c r="H358" i="2"/>
  <c r="H204" i="2"/>
  <c r="H303" i="2"/>
  <c r="H220" i="2"/>
  <c r="H63" i="2"/>
  <c r="H44" i="2"/>
  <c r="I690" i="1"/>
  <c r="I39" i="1"/>
  <c r="H198" i="2"/>
  <c r="H456" i="2"/>
  <c r="I619" i="1"/>
  <c r="H524" i="2"/>
  <c r="I427" i="1"/>
  <c r="H284" i="2"/>
  <c r="H127" i="2"/>
  <c r="H108" i="2"/>
  <c r="I626" i="1"/>
  <c r="I328" i="1"/>
  <c r="I15" i="1"/>
  <c r="H240" i="2"/>
  <c r="I140" i="1"/>
  <c r="H104" i="2"/>
  <c r="H393" i="2"/>
  <c r="H60" i="2"/>
  <c r="I204" i="1"/>
  <c r="I281" i="1"/>
  <c r="I94" i="1"/>
  <c r="H162" i="2"/>
  <c r="I173" i="1"/>
  <c r="I211" i="1"/>
  <c r="I76" i="1"/>
  <c r="H222" i="2"/>
  <c r="I84" i="1"/>
  <c r="H182" i="2"/>
  <c r="H32" i="2"/>
  <c r="H490" i="2"/>
  <c r="G543" i="2"/>
  <c r="I542" i="2"/>
  <c r="G545" i="2"/>
  <c r="G547" i="2" s="1"/>
  <c r="G544" i="2"/>
  <c r="G542" i="2" l="1"/>
  <c r="G546" i="2" s="1"/>
  <c r="G548" i="2" s="1"/>
  <c r="I551" i="2"/>
  <c r="I546" i="2"/>
  <c r="G720" i="1" l="1"/>
  <c r="G719" i="1"/>
  <c r="G718" i="1"/>
  <c r="G717" i="1"/>
  <c r="G716" i="1"/>
  <c r="G715" i="1"/>
  <c r="G714" i="1"/>
  <c r="G713" i="1"/>
  <c r="G711" i="1"/>
  <c r="G710" i="1"/>
  <c r="G709" i="1"/>
  <c r="G708" i="1"/>
  <c r="G707" i="1"/>
  <c r="G706" i="1"/>
  <c r="G705" i="1"/>
  <c r="G704" i="1"/>
  <c r="G703" i="1"/>
  <c r="G702" i="1"/>
  <c r="G701" i="1"/>
  <c r="G699" i="1"/>
  <c r="G698" i="1"/>
  <c r="G697" i="1"/>
  <c r="G696" i="1"/>
  <c r="G695" i="1"/>
  <c r="G694" i="1"/>
  <c r="G693" i="1"/>
  <c r="G692" i="1"/>
  <c r="G691" i="1"/>
  <c r="G690" i="1"/>
  <c r="G688" i="1"/>
  <c r="G687" i="1"/>
  <c r="G686" i="1"/>
  <c r="G685" i="1"/>
  <c r="G684" i="1"/>
  <c r="G683" i="1"/>
  <c r="G682" i="1"/>
  <c r="G679" i="1"/>
  <c r="G678" i="1"/>
  <c r="G676" i="1"/>
  <c r="G675" i="1"/>
  <c r="G674" i="1"/>
  <c r="G673" i="1"/>
  <c r="G671" i="1"/>
  <c r="G670" i="1"/>
  <c r="G669" i="1"/>
  <c r="G668" i="1"/>
  <c r="G667" i="1"/>
  <c r="G666" i="1"/>
  <c r="G665" i="1"/>
  <c r="G664" i="1"/>
  <c r="G663" i="1"/>
  <c r="G662" i="1"/>
  <c r="G661" i="1"/>
  <c r="G660" i="1"/>
  <c r="G658" i="1"/>
  <c r="G657" i="1"/>
  <c r="G656" i="1"/>
  <c r="G654" i="1"/>
  <c r="G653" i="1"/>
  <c r="G652" i="1"/>
  <c r="G650" i="1"/>
  <c r="G649" i="1"/>
  <c r="G648" i="1"/>
  <c r="G647" i="1"/>
  <c r="G646" i="1"/>
  <c r="G645" i="1"/>
  <c r="G643" i="1"/>
  <c r="G641" i="1"/>
  <c r="G640" i="1"/>
  <c r="G639" i="1"/>
  <c r="G638" i="1"/>
  <c r="G635" i="1"/>
  <c r="G634" i="1"/>
  <c r="G633" i="1"/>
  <c r="G632" i="1"/>
  <c r="G631" i="1"/>
  <c r="G630" i="1"/>
  <c r="G629" i="1"/>
  <c r="G628" i="1"/>
  <c r="G627" i="1"/>
  <c r="G626" i="1"/>
  <c r="G625" i="1"/>
  <c r="G623" i="1"/>
  <c r="G622" i="1"/>
  <c r="G621" i="1"/>
  <c r="G620" i="1"/>
  <c r="G619" i="1"/>
  <c r="G617" i="1"/>
  <c r="G616" i="1"/>
  <c r="G615" i="1"/>
  <c r="G614" i="1"/>
  <c r="G613" i="1"/>
  <c r="G612" i="1"/>
  <c r="G611" i="1"/>
  <c r="G610" i="1"/>
  <c r="G609" i="1"/>
  <c r="G608" i="1"/>
  <c r="G607" i="1"/>
  <c r="G606" i="1"/>
  <c r="G605" i="1"/>
  <c r="G604" i="1"/>
  <c r="G602" i="1"/>
  <c r="G601" i="1"/>
  <c r="G600" i="1"/>
  <c r="G599" i="1"/>
  <c r="G598" i="1"/>
  <c r="G597"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7" i="1"/>
  <c r="G556" i="1"/>
  <c r="G555" i="1"/>
  <c r="G554" i="1"/>
  <c r="G553" i="1"/>
  <c r="G552" i="1"/>
  <c r="G551" i="1"/>
  <c r="G550" i="1"/>
  <c r="G548" i="1"/>
  <c r="G547" i="1"/>
  <c r="G546" i="1"/>
  <c r="G545" i="1"/>
  <c r="G544" i="1"/>
  <c r="G543" i="1"/>
  <c r="G542" i="1"/>
  <c r="G541" i="1"/>
  <c r="G539" i="1"/>
  <c r="G538" i="1"/>
  <c r="G537" i="1"/>
  <c r="G536" i="1"/>
  <c r="G535" i="1"/>
  <c r="G534" i="1"/>
  <c r="G533" i="1"/>
  <c r="G532" i="1"/>
  <c r="G531" i="1"/>
  <c r="G530" i="1"/>
  <c r="G529" i="1"/>
  <c r="G528" i="1"/>
  <c r="G527" i="1"/>
  <c r="G526" i="1"/>
  <c r="G525" i="1"/>
  <c r="G522" i="1"/>
  <c r="G521" i="1"/>
  <c r="G520" i="1"/>
  <c r="G519" i="1"/>
  <c r="G518" i="1"/>
  <c r="G517" i="1"/>
  <c r="G516" i="1"/>
  <c r="G515" i="1"/>
  <c r="G514" i="1"/>
  <c r="G511" i="1"/>
  <c r="H510" i="1"/>
  <c r="G510" i="1"/>
  <c r="H509" i="1"/>
  <c r="G509" i="1"/>
  <c r="H508" i="1"/>
  <c r="G508" i="1"/>
  <c r="G507" i="1"/>
  <c r="G505" i="1"/>
  <c r="G503" i="1"/>
  <c r="G502" i="1"/>
  <c r="G501" i="1"/>
  <c r="G500" i="1"/>
  <c r="G499" i="1"/>
  <c r="G498" i="1"/>
  <c r="G497" i="1"/>
  <c r="G496" i="1"/>
  <c r="G495" i="1"/>
  <c r="G494" i="1"/>
  <c r="G493" i="1"/>
  <c r="G492"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0" i="1"/>
  <c r="G459" i="1"/>
  <c r="G458" i="1"/>
  <c r="G457" i="1"/>
  <c r="G456" i="1"/>
  <c r="G455" i="1"/>
  <c r="G454" i="1"/>
  <c r="G453" i="1"/>
  <c r="G452" i="1"/>
  <c r="G450" i="1"/>
  <c r="G449" i="1"/>
  <c r="G448" i="1"/>
  <c r="G447" i="1"/>
  <c r="G446" i="1"/>
  <c r="G445" i="1"/>
  <c r="G444" i="1"/>
  <c r="G443" i="1"/>
  <c r="G442" i="1"/>
  <c r="G441" i="1"/>
  <c r="G440" i="1"/>
  <c r="G439" i="1"/>
  <c r="G438" i="1"/>
  <c r="G437" i="1"/>
  <c r="G436" i="1"/>
  <c r="G435" i="1"/>
  <c r="G434" i="1"/>
  <c r="G433" i="1"/>
  <c r="G432" i="1"/>
  <c r="G430" i="1"/>
  <c r="G429" i="1"/>
  <c r="G428" i="1"/>
  <c r="G427" i="1"/>
  <c r="G426" i="1"/>
  <c r="G425" i="1"/>
  <c r="G424" i="1"/>
  <c r="G423" i="1"/>
  <c r="G422" i="1"/>
  <c r="G421" i="1"/>
  <c r="G420" i="1"/>
  <c r="G419" i="1"/>
  <c r="G418" i="1"/>
  <c r="G417" i="1"/>
  <c r="G415" i="1"/>
  <c r="G414" i="1"/>
  <c r="G412" i="1"/>
  <c r="G411" i="1"/>
  <c r="G410" i="1"/>
  <c r="G409" i="1"/>
  <c r="G408" i="1"/>
  <c r="G407" i="1"/>
  <c r="G404" i="1"/>
  <c r="G403" i="1"/>
  <c r="G402" i="1"/>
  <c r="G401" i="1"/>
  <c r="G399" i="1"/>
  <c r="G398" i="1"/>
  <c r="G397" i="1"/>
  <c r="G396" i="1"/>
  <c r="G395" i="1"/>
  <c r="G393" i="1"/>
  <c r="G392" i="1"/>
  <c r="G391" i="1"/>
  <c r="G390" i="1"/>
  <c r="G389" i="1"/>
  <c r="G388" i="1"/>
  <c r="G387" i="1"/>
  <c r="G386" i="1"/>
  <c r="G385" i="1"/>
  <c r="G384" i="1"/>
  <c r="G383" i="1"/>
  <c r="G382" i="1"/>
  <c r="G381" i="1"/>
  <c r="G380" i="1"/>
  <c r="G379" i="1"/>
  <c r="G378" i="1"/>
  <c r="G375" i="1"/>
  <c r="G374" i="1"/>
  <c r="G373" i="1"/>
  <c r="G372" i="1"/>
  <c r="G371" i="1"/>
  <c r="G370" i="1"/>
  <c r="G369" i="1"/>
  <c r="G368" i="1"/>
  <c r="G367" i="1"/>
  <c r="G366" i="1"/>
  <c r="G365" i="1"/>
  <c r="G364" i="1"/>
  <c r="G363" i="1"/>
  <c r="G362" i="1"/>
  <c r="G361" i="1"/>
  <c r="G359" i="1"/>
  <c r="G358" i="1"/>
  <c r="H357" i="1"/>
  <c r="G357" i="1"/>
  <c r="H356" i="1"/>
  <c r="G356" i="1"/>
  <c r="H355" i="1"/>
  <c r="G355" i="1"/>
  <c r="H354" i="1"/>
  <c r="G354" i="1"/>
  <c r="H353" i="1"/>
  <c r="G353" i="1"/>
  <c r="H352" i="1"/>
  <c r="G352" i="1"/>
  <c r="H351" i="1"/>
  <c r="G351" i="1"/>
  <c r="H350" i="1"/>
  <c r="G350" i="1"/>
  <c r="H349" i="1"/>
  <c r="G349" i="1"/>
  <c r="H348" i="1"/>
  <c r="G348" i="1"/>
  <c r="H347" i="1"/>
  <c r="G347" i="1"/>
  <c r="G344" i="1"/>
  <c r="G343" i="1"/>
  <c r="G342" i="1"/>
  <c r="G341" i="1"/>
  <c r="G340" i="1"/>
  <c r="G339" i="1"/>
  <c r="G338" i="1"/>
  <c r="G337" i="1"/>
  <c r="G336" i="1"/>
  <c r="G335" i="1"/>
  <c r="G334" i="1"/>
  <c r="G333" i="1"/>
  <c r="G332" i="1"/>
  <c r="G331" i="1"/>
  <c r="G330" i="1"/>
  <c r="G329" i="1"/>
  <c r="G328" i="1"/>
  <c r="G327" i="1"/>
  <c r="G326" i="1"/>
  <c r="G325" i="1"/>
  <c r="G324" i="1"/>
  <c r="G323" i="1"/>
  <c r="G322" i="1"/>
  <c r="G320" i="1"/>
  <c r="G319" i="1"/>
  <c r="G318" i="1"/>
  <c r="G317" i="1"/>
  <c r="G316" i="1"/>
  <c r="G315" i="1"/>
  <c r="G314" i="1"/>
  <c r="G313" i="1"/>
  <c r="G311" i="1"/>
  <c r="G310" i="1"/>
  <c r="G309" i="1"/>
  <c r="G308" i="1"/>
  <c r="G307" i="1"/>
  <c r="G306" i="1"/>
  <c r="G305" i="1"/>
  <c r="G304" i="1"/>
  <c r="G303" i="1"/>
  <c r="G302" i="1"/>
  <c r="G301" i="1"/>
  <c r="G300" i="1"/>
  <c r="G299" i="1"/>
  <c r="G298" i="1"/>
  <c r="G297" i="1"/>
  <c r="G296" i="1"/>
  <c r="G295" i="1"/>
  <c r="G294" i="1"/>
  <c r="G293"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0" i="1"/>
  <c r="G258" i="1"/>
  <c r="G257" i="1"/>
  <c r="G256" i="1"/>
  <c r="G255" i="1"/>
  <c r="G254" i="1"/>
  <c r="G253" i="1"/>
  <c r="G251" i="1"/>
  <c r="G250" i="1"/>
  <c r="G249" i="1"/>
  <c r="G248" i="1"/>
  <c r="G246" i="1"/>
  <c r="G245" i="1"/>
  <c r="G244" i="1"/>
  <c r="G243" i="1"/>
  <c r="G242" i="1"/>
  <c r="G240" i="1"/>
  <c r="G238" i="1"/>
  <c r="G237" i="1"/>
  <c r="G235" i="1"/>
  <c r="G234" i="1"/>
  <c r="G233" i="1"/>
  <c r="G230" i="1"/>
  <c r="G228" i="1"/>
  <c r="G227" i="1"/>
  <c r="G225" i="1"/>
  <c r="G222" i="1"/>
  <c r="G220" i="1"/>
  <c r="G219" i="1"/>
  <c r="G218" i="1"/>
  <c r="G217" i="1"/>
  <c r="G216" i="1"/>
  <c r="G215" i="1"/>
  <c r="G214" i="1"/>
  <c r="G213" i="1"/>
  <c r="G211" i="1"/>
  <c r="G210" i="1"/>
  <c r="G209" i="1"/>
  <c r="G208" i="1"/>
  <c r="H207" i="1"/>
  <c r="G207" i="1"/>
  <c r="G206" i="1"/>
  <c r="G204" i="1"/>
  <c r="G203" i="1"/>
  <c r="G202" i="1"/>
  <c r="G201" i="1"/>
  <c r="H200" i="1"/>
  <c r="G200" i="1"/>
  <c r="G199" i="1"/>
  <c r="G197" i="1"/>
  <c r="G196" i="1"/>
  <c r="G195" i="1"/>
  <c r="G194" i="1"/>
  <c r="G193" i="1"/>
  <c r="G192" i="1"/>
  <c r="G191" i="1"/>
  <c r="G190" i="1"/>
  <c r="G189" i="1"/>
  <c r="G188" i="1"/>
  <c r="G187" i="1"/>
  <c r="G186" i="1"/>
  <c r="G185" i="1"/>
  <c r="G183" i="1"/>
  <c r="G182" i="1"/>
  <c r="G181" i="1"/>
  <c r="G180" i="1"/>
  <c r="G179" i="1"/>
  <c r="G178" i="1"/>
  <c r="G176" i="1"/>
  <c r="G175" i="1"/>
  <c r="G174" i="1"/>
  <c r="G173" i="1"/>
  <c r="G172" i="1"/>
  <c r="G171" i="1"/>
  <c r="G169" i="1"/>
  <c r="G168" i="1"/>
  <c r="G167" i="1"/>
  <c r="G166" i="1"/>
  <c r="G165" i="1"/>
  <c r="G164" i="1"/>
  <c r="G163" i="1"/>
  <c r="G161" i="1"/>
  <c r="G160" i="1"/>
  <c r="G159" i="1"/>
  <c r="G158" i="1"/>
  <c r="G155" i="1"/>
  <c r="G153" i="1"/>
  <c r="G152" i="1"/>
  <c r="G151" i="1"/>
  <c r="G150" i="1"/>
  <c r="G148" i="1"/>
  <c r="G147" i="1"/>
  <c r="G146" i="1"/>
  <c r="G145" i="1"/>
  <c r="G144" i="1"/>
  <c r="G143" i="1"/>
  <c r="G142" i="1"/>
  <c r="G141" i="1"/>
  <c r="G140" i="1"/>
  <c r="G139" i="1"/>
  <c r="G138" i="1"/>
  <c r="G136" i="1"/>
  <c r="G135" i="1"/>
  <c r="G133" i="1"/>
  <c r="G132" i="1"/>
  <c r="G131" i="1"/>
  <c r="G129" i="1"/>
  <c r="G128" i="1"/>
  <c r="G127" i="1"/>
  <c r="G125" i="1"/>
  <c r="G124" i="1"/>
  <c r="G123" i="1"/>
  <c r="G122" i="1"/>
  <c r="G121" i="1"/>
  <c r="G119" i="1"/>
  <c r="G118" i="1"/>
  <c r="G116" i="1"/>
  <c r="G115" i="1"/>
  <c r="G114" i="1"/>
  <c r="G113" i="1"/>
  <c r="G111" i="1"/>
  <c r="G110" i="1"/>
  <c r="G109" i="1"/>
  <c r="G107" i="1"/>
  <c r="G106" i="1"/>
  <c r="G105" i="1"/>
  <c r="G104" i="1"/>
  <c r="G103" i="1"/>
  <c r="G102" i="1"/>
  <c r="G100" i="1"/>
  <c r="G99" i="1"/>
  <c r="G98" i="1"/>
  <c r="G97" i="1"/>
  <c r="G96" i="1"/>
  <c r="G95" i="1"/>
  <c r="G93" i="1"/>
  <c r="G92" i="1"/>
  <c r="G91" i="1"/>
  <c r="G90" i="1"/>
  <c r="G89" i="1"/>
  <c r="G88" i="1"/>
  <c r="G86" i="1"/>
  <c r="G85" i="1"/>
  <c r="G84" i="1"/>
  <c r="G83" i="1"/>
  <c r="G82" i="1"/>
  <c r="G81" i="1"/>
  <c r="G79" i="1"/>
  <c r="G78" i="1"/>
  <c r="G77" i="1"/>
  <c r="G76" i="1"/>
  <c r="G75" i="1"/>
  <c r="G74" i="1"/>
  <c r="G73" i="1"/>
  <c r="G72" i="1"/>
  <c r="G71" i="1"/>
  <c r="G70" i="1"/>
  <c r="G67" i="1"/>
  <c r="G66" i="1"/>
  <c r="G65" i="1"/>
  <c r="G64" i="1"/>
  <c r="G62" i="1"/>
  <c r="G61" i="1"/>
  <c r="G59" i="1"/>
  <c r="G58" i="1"/>
  <c r="G56" i="1"/>
  <c r="G55" i="1"/>
  <c r="G54" i="1"/>
  <c r="G52" i="1"/>
  <c r="H51" i="1"/>
  <c r="G51" i="1"/>
  <c r="H50" i="1"/>
  <c r="G50" i="1"/>
  <c r="G47" i="1"/>
  <c r="H45" i="1"/>
  <c r="G45" i="1"/>
  <c r="G44" i="1"/>
  <c r="G43" i="1"/>
  <c r="G42" i="1"/>
  <c r="G41" i="1"/>
  <c r="G39" i="1"/>
  <c r="G38" i="1"/>
  <c r="G37" i="1"/>
  <c r="G35" i="1"/>
  <c r="G34" i="1"/>
  <c r="F31" i="1"/>
  <c r="G30" i="1"/>
  <c r="G28" i="1"/>
  <c r="G26" i="1"/>
  <c r="G25" i="1"/>
  <c r="G24" i="1"/>
  <c r="G23" i="1"/>
  <c r="G21" i="1"/>
  <c r="G19" i="1"/>
  <c r="G18" i="1"/>
  <c r="G15" i="1"/>
  <c r="G14" i="1"/>
  <c r="G13" i="1"/>
  <c r="G12" i="1"/>
  <c r="G11" i="1"/>
  <c r="G10" i="1"/>
  <c r="G9" i="1"/>
  <c r="G8" i="1"/>
  <c r="G7" i="1"/>
  <c r="G6" i="1"/>
  <c r="G31" i="1" l="1"/>
  <c r="G48" i="1"/>
  <c r="H27" i="2" a="1"/>
  <c r="H27" i="3" a="1"/>
  <c r="G721" i="1" l="1"/>
  <c r="H729" i="1" s="1"/>
  <c r="I729" i="1" s="1"/>
  <c r="H27" i="2"/>
  <c r="H27" i="3"/>
  <c r="G722" i="1"/>
  <c r="G724" i="1" l="1"/>
  <c r="G726" i="1" s="1"/>
  <c r="G723" i="1"/>
  <c r="G725" i="1" s="1"/>
  <c r="G727" i="1" s="1"/>
  <c r="J738" i="9" l="1"/>
  <c r="J731" i="9"/>
  <c r="P710" i="14"/>
  <c r="O710" i="14"/>
  <c r="N710" i="14"/>
  <c r="P709" i="14"/>
  <c r="O709" i="14"/>
  <c r="N709" i="14"/>
  <c r="P708" i="14"/>
  <c r="O708" i="14"/>
  <c r="N708" i="14"/>
  <c r="P707" i="14"/>
  <c r="O707" i="14"/>
  <c r="N707" i="14"/>
  <c r="P706" i="14"/>
  <c r="O706" i="14"/>
  <c r="N706" i="14"/>
  <c r="P705" i="14"/>
  <c r="O705" i="14"/>
  <c r="N705" i="14"/>
  <c r="P704" i="14"/>
  <c r="O704" i="14"/>
  <c r="N704" i="14"/>
  <c r="P703" i="14"/>
  <c r="O703" i="14"/>
  <c r="N703" i="14"/>
  <c r="P702" i="14"/>
  <c r="O702" i="14"/>
  <c r="N702" i="14"/>
  <c r="P701" i="14"/>
  <c r="O701" i="14"/>
  <c r="N701" i="14"/>
  <c r="P700" i="14"/>
  <c r="O700" i="14"/>
  <c r="R700" i="14" s="1"/>
  <c r="N700" i="14"/>
  <c r="P680" i="14"/>
  <c r="O680" i="14"/>
  <c r="R680" i="14" s="1"/>
  <c r="N680" i="14"/>
  <c r="P679" i="14"/>
  <c r="O679" i="14"/>
  <c r="N679" i="14"/>
  <c r="P678" i="14"/>
  <c r="O678" i="14"/>
  <c r="N678" i="14"/>
  <c r="P677" i="14"/>
  <c r="O677" i="14"/>
  <c r="R677" i="14" s="1"/>
  <c r="N677" i="14"/>
  <c r="P676" i="14"/>
  <c r="O676" i="14"/>
  <c r="N676" i="14"/>
  <c r="P675" i="14"/>
  <c r="O675" i="14"/>
  <c r="N675" i="14"/>
  <c r="P674" i="14"/>
  <c r="O674" i="14"/>
  <c r="N674" i="14"/>
  <c r="P673" i="14"/>
  <c r="O673" i="14"/>
  <c r="N673" i="14"/>
  <c r="P672" i="14"/>
  <c r="O672" i="14"/>
  <c r="R672" i="14" s="1"/>
  <c r="N672" i="14"/>
  <c r="P671" i="14"/>
  <c r="O671" i="14"/>
  <c r="N671" i="14"/>
  <c r="P670" i="14"/>
  <c r="O670" i="14"/>
  <c r="N670" i="14"/>
  <c r="P669" i="14"/>
  <c r="O669" i="14"/>
  <c r="N669" i="14"/>
  <c r="P668" i="14"/>
  <c r="O668" i="14"/>
  <c r="N668" i="14"/>
  <c r="P667" i="14"/>
  <c r="O667" i="14"/>
  <c r="N667" i="14"/>
  <c r="P666" i="14"/>
  <c r="O666" i="14"/>
  <c r="N666" i="14"/>
  <c r="P665" i="14"/>
  <c r="O665" i="14"/>
  <c r="N665" i="14"/>
  <c r="P664" i="14"/>
  <c r="O664" i="14"/>
  <c r="N664" i="14"/>
  <c r="P663" i="14"/>
  <c r="O663" i="14"/>
  <c r="N663" i="14"/>
  <c r="P662" i="14"/>
  <c r="O662" i="14"/>
  <c r="N662" i="14"/>
  <c r="P661" i="14"/>
  <c r="O661" i="14"/>
  <c r="N661" i="14"/>
  <c r="P660" i="14"/>
  <c r="O660" i="14"/>
  <c r="N660" i="14"/>
  <c r="P659" i="14"/>
  <c r="O659" i="14"/>
  <c r="R659" i="14" s="1"/>
  <c r="N659" i="14"/>
  <c r="P658" i="14"/>
  <c r="O658" i="14"/>
  <c r="N658" i="14"/>
  <c r="P657" i="14"/>
  <c r="O657" i="14"/>
  <c r="N657" i="14"/>
  <c r="P656" i="14"/>
  <c r="O656" i="14"/>
  <c r="N656" i="14"/>
  <c r="P655" i="14"/>
  <c r="O655" i="14"/>
  <c r="R655" i="14" s="1"/>
  <c r="N655" i="14"/>
  <c r="P654" i="14"/>
  <c r="O654" i="14"/>
  <c r="N654" i="14"/>
  <c r="P653" i="14"/>
  <c r="O653" i="14"/>
  <c r="N653" i="14"/>
  <c r="P652" i="14"/>
  <c r="O652" i="14"/>
  <c r="N652" i="14"/>
  <c r="P651" i="14"/>
  <c r="O651" i="14"/>
  <c r="R651" i="14" s="1"/>
  <c r="N651" i="14"/>
  <c r="P650" i="14"/>
  <c r="O650" i="14"/>
  <c r="N650" i="14"/>
  <c r="P649" i="14"/>
  <c r="O649" i="14"/>
  <c r="N649" i="14"/>
  <c r="P648" i="14"/>
  <c r="O648" i="14"/>
  <c r="N648" i="14"/>
  <c r="P647" i="14"/>
  <c r="O647" i="14"/>
  <c r="N647" i="14"/>
  <c r="P646" i="14"/>
  <c r="O646" i="14"/>
  <c r="N646" i="14"/>
  <c r="P645" i="14"/>
  <c r="O645" i="14"/>
  <c r="N645" i="14"/>
  <c r="P644" i="14"/>
  <c r="O644" i="14"/>
  <c r="R644" i="14" s="1"/>
  <c r="N644" i="14"/>
  <c r="P643" i="14"/>
  <c r="O643" i="14"/>
  <c r="N643" i="14"/>
  <c r="P642" i="14"/>
  <c r="O642" i="14"/>
  <c r="R642" i="14" s="1"/>
  <c r="N642" i="14"/>
  <c r="P641" i="14"/>
  <c r="O641" i="14"/>
  <c r="N641" i="14"/>
  <c r="P640" i="14"/>
  <c r="O640" i="14"/>
  <c r="N640" i="14"/>
  <c r="P639" i="14"/>
  <c r="O639" i="14"/>
  <c r="N639" i="14"/>
  <c r="P638" i="14"/>
  <c r="O638" i="14"/>
  <c r="N638" i="14"/>
  <c r="P637" i="14"/>
  <c r="O637" i="14"/>
  <c r="R637" i="14" s="1"/>
  <c r="N637" i="14"/>
  <c r="P636" i="14"/>
  <c r="O636" i="14"/>
  <c r="R636" i="14" s="1"/>
  <c r="N636" i="14"/>
  <c r="P634" i="14"/>
  <c r="O634" i="14"/>
  <c r="N634" i="14"/>
  <c r="P633" i="14"/>
  <c r="O633" i="14"/>
  <c r="N633" i="14"/>
  <c r="P629" i="14"/>
  <c r="O629" i="14"/>
  <c r="N629" i="14"/>
  <c r="P628" i="14"/>
  <c r="O628" i="14"/>
  <c r="N628" i="14"/>
  <c r="P627" i="14"/>
  <c r="O627" i="14"/>
  <c r="N627" i="14"/>
  <c r="P626" i="14"/>
  <c r="O626" i="14"/>
  <c r="N626" i="14"/>
  <c r="P624" i="14"/>
  <c r="O624" i="14"/>
  <c r="R624" i="14" s="1"/>
  <c r="N624" i="14"/>
  <c r="P623" i="14"/>
  <c r="O623" i="14"/>
  <c r="N623" i="14"/>
  <c r="P622" i="14"/>
  <c r="O622" i="14"/>
  <c r="N622" i="14"/>
  <c r="P621" i="14"/>
  <c r="O621" i="14"/>
  <c r="N621" i="14"/>
  <c r="P618" i="14"/>
  <c r="O618" i="14"/>
  <c r="R618" i="14" s="1"/>
  <c r="N618" i="14"/>
  <c r="P617" i="14"/>
  <c r="O617" i="14"/>
  <c r="N617" i="14"/>
  <c r="P616" i="14"/>
  <c r="O616" i="14"/>
  <c r="N616" i="14"/>
  <c r="P615" i="14"/>
  <c r="O615" i="14"/>
  <c r="N615" i="14"/>
  <c r="P614" i="14"/>
  <c r="O614" i="14"/>
  <c r="N614" i="14"/>
  <c r="P613" i="14"/>
  <c r="O613" i="14"/>
  <c r="N613" i="14"/>
  <c r="P612" i="14"/>
  <c r="O612" i="14"/>
  <c r="N612" i="14"/>
  <c r="P611" i="14"/>
  <c r="O611" i="14"/>
  <c r="N611" i="14"/>
  <c r="P610" i="14"/>
  <c r="O610" i="14"/>
  <c r="N610" i="14"/>
  <c r="P609" i="14"/>
  <c r="O609" i="14"/>
  <c r="N609" i="14"/>
  <c r="P608" i="14"/>
  <c r="O608" i="14"/>
  <c r="N608" i="14"/>
  <c r="P607" i="14"/>
  <c r="O607" i="14"/>
  <c r="N607" i="14"/>
  <c r="P606" i="14"/>
  <c r="O606" i="14"/>
  <c r="N606" i="14"/>
  <c r="P605" i="14"/>
  <c r="O605" i="14"/>
  <c r="N605" i="14"/>
  <c r="P604" i="14"/>
  <c r="O604" i="14"/>
  <c r="N604" i="14"/>
  <c r="P603" i="14"/>
  <c r="O603" i="14"/>
  <c r="R603" i="14" s="1"/>
  <c r="N603" i="14"/>
  <c r="P602" i="14"/>
  <c r="O602" i="14"/>
  <c r="N602" i="14"/>
  <c r="P601" i="14"/>
  <c r="O601" i="14"/>
  <c r="N601" i="14"/>
  <c r="P600" i="14"/>
  <c r="O600" i="14"/>
  <c r="N600" i="14"/>
  <c r="P599" i="14"/>
  <c r="O599" i="14"/>
  <c r="N599" i="14"/>
  <c r="P598" i="14"/>
  <c r="O598" i="14"/>
  <c r="N598" i="14"/>
  <c r="P597" i="14"/>
  <c r="O597" i="14"/>
  <c r="N597" i="14"/>
  <c r="P596" i="14"/>
  <c r="O596" i="14"/>
  <c r="R596" i="14" s="1"/>
  <c r="N596" i="14"/>
  <c r="P595" i="14"/>
  <c r="O595" i="14"/>
  <c r="N595" i="14"/>
  <c r="P594" i="14"/>
  <c r="O594" i="14"/>
  <c r="N594" i="14"/>
  <c r="P593" i="14"/>
  <c r="O593" i="14"/>
  <c r="N593" i="14"/>
  <c r="P592" i="14"/>
  <c r="O592" i="14"/>
  <c r="N592" i="14"/>
  <c r="P591" i="14"/>
  <c r="O591" i="14"/>
  <c r="N591" i="14"/>
  <c r="P590" i="14"/>
  <c r="O590" i="14"/>
  <c r="N590" i="14"/>
  <c r="P589" i="14"/>
  <c r="O589" i="14"/>
  <c r="N589" i="14"/>
  <c r="P588" i="14"/>
  <c r="O588" i="14"/>
  <c r="N588" i="14"/>
  <c r="P587" i="14"/>
  <c r="O587" i="14"/>
  <c r="N587" i="14"/>
  <c r="P586" i="14"/>
  <c r="O586" i="14"/>
  <c r="N586" i="14"/>
  <c r="P585" i="14"/>
  <c r="O585" i="14"/>
  <c r="N585" i="14"/>
  <c r="P584" i="14"/>
  <c r="O584" i="14"/>
  <c r="N584" i="14"/>
  <c r="P583" i="14"/>
  <c r="O583" i="14"/>
  <c r="N583" i="14"/>
  <c r="P582" i="14"/>
  <c r="O582" i="14"/>
  <c r="N582" i="14"/>
  <c r="P581" i="14"/>
  <c r="O581" i="14"/>
  <c r="N581" i="14"/>
  <c r="P580" i="14"/>
  <c r="O580" i="14"/>
  <c r="N580" i="14"/>
  <c r="P579" i="14"/>
  <c r="O579" i="14"/>
  <c r="N579" i="14"/>
  <c r="P578" i="14"/>
  <c r="O578" i="14"/>
  <c r="N578" i="14"/>
  <c r="P577" i="14"/>
  <c r="O577" i="14"/>
  <c r="N577" i="14"/>
  <c r="P576" i="14"/>
  <c r="O576" i="14"/>
  <c r="N576" i="14"/>
  <c r="P575" i="14"/>
  <c r="O575" i="14"/>
  <c r="N575" i="14"/>
  <c r="P574" i="14"/>
  <c r="O574" i="14"/>
  <c r="N574" i="14"/>
  <c r="P571" i="14"/>
  <c r="O571" i="14"/>
  <c r="N571" i="14"/>
  <c r="P570" i="14"/>
  <c r="O570" i="14"/>
  <c r="N570" i="14"/>
  <c r="P569" i="14"/>
  <c r="O569" i="14"/>
  <c r="N569" i="14"/>
  <c r="P568" i="14"/>
  <c r="O568" i="14"/>
  <c r="N568" i="14"/>
  <c r="P567" i="14"/>
  <c r="O567" i="14"/>
  <c r="N567" i="14"/>
  <c r="P566" i="14"/>
  <c r="O566" i="14"/>
  <c r="N566" i="14"/>
  <c r="P565" i="14"/>
  <c r="O565" i="14"/>
  <c r="N565" i="14"/>
  <c r="P564" i="14"/>
  <c r="O564" i="14"/>
  <c r="N564" i="14"/>
  <c r="P563" i="14"/>
  <c r="O563" i="14"/>
  <c r="N563" i="14"/>
  <c r="P562" i="14"/>
  <c r="O562" i="14"/>
  <c r="N562" i="14"/>
  <c r="P561" i="14"/>
  <c r="O561" i="14"/>
  <c r="N561" i="14"/>
  <c r="P560" i="14"/>
  <c r="O560" i="14"/>
  <c r="N560" i="14"/>
  <c r="P559" i="14"/>
  <c r="O559" i="14"/>
  <c r="N559" i="14"/>
  <c r="P558" i="14"/>
  <c r="O558" i="14"/>
  <c r="R558" i="14" s="1"/>
  <c r="N558" i="14"/>
  <c r="P557" i="14"/>
  <c r="O557" i="14"/>
  <c r="N557" i="14"/>
  <c r="P556" i="14"/>
  <c r="O556" i="14"/>
  <c r="N556" i="14"/>
  <c r="P555" i="14"/>
  <c r="O555" i="14"/>
  <c r="N555" i="14"/>
  <c r="P554" i="14"/>
  <c r="O554" i="14"/>
  <c r="N554" i="14"/>
  <c r="P553" i="14"/>
  <c r="O553" i="14"/>
  <c r="N553" i="14"/>
  <c r="P552" i="14"/>
  <c r="O552" i="14"/>
  <c r="N552" i="14"/>
  <c r="P551" i="14"/>
  <c r="O551" i="14"/>
  <c r="N551" i="14"/>
  <c r="P550" i="14"/>
  <c r="O550" i="14"/>
  <c r="N550" i="14"/>
  <c r="P549" i="14"/>
  <c r="O549" i="14"/>
  <c r="R549" i="14" s="1"/>
  <c r="N549" i="14"/>
  <c r="P548" i="14"/>
  <c r="O548" i="14"/>
  <c r="N548" i="14"/>
  <c r="P547" i="14"/>
  <c r="O547" i="14"/>
  <c r="N547" i="14"/>
  <c r="P546" i="14"/>
  <c r="O546" i="14"/>
  <c r="N546" i="14"/>
  <c r="P545" i="14"/>
  <c r="O545" i="14"/>
  <c r="N545" i="14"/>
  <c r="P544" i="14"/>
  <c r="O544" i="14"/>
  <c r="N544" i="14"/>
  <c r="P543" i="14"/>
  <c r="O543" i="14"/>
  <c r="N543" i="14"/>
  <c r="P542" i="14"/>
  <c r="O542" i="14"/>
  <c r="N542" i="14"/>
  <c r="P541" i="14"/>
  <c r="O541" i="14"/>
  <c r="N541" i="14"/>
  <c r="P540" i="14"/>
  <c r="O540" i="14"/>
  <c r="R540" i="14" s="1"/>
  <c r="N540" i="14"/>
  <c r="P523" i="14"/>
  <c r="O523" i="14"/>
  <c r="R523" i="14" s="1"/>
  <c r="N523" i="14"/>
  <c r="P522" i="14"/>
  <c r="O522" i="14"/>
  <c r="N522" i="14"/>
  <c r="P521" i="14"/>
  <c r="O521" i="14"/>
  <c r="N521" i="14"/>
  <c r="P520" i="14"/>
  <c r="O520" i="14"/>
  <c r="N520" i="14"/>
  <c r="P519" i="14"/>
  <c r="O519" i="14"/>
  <c r="N519" i="14"/>
  <c r="P518" i="14"/>
  <c r="O518" i="14"/>
  <c r="N518" i="14"/>
  <c r="P517" i="14"/>
  <c r="O517" i="14"/>
  <c r="N517" i="14"/>
  <c r="P516" i="14"/>
  <c r="O516" i="14"/>
  <c r="N516" i="14"/>
  <c r="P515" i="14"/>
  <c r="O515" i="14"/>
  <c r="N515" i="14"/>
  <c r="P514" i="14"/>
  <c r="O514" i="14"/>
  <c r="N514" i="14"/>
  <c r="P513" i="14"/>
  <c r="O513" i="14"/>
  <c r="R513" i="14" s="1"/>
  <c r="N513" i="14"/>
  <c r="P512" i="14"/>
  <c r="O512" i="14"/>
  <c r="R512" i="14" s="1"/>
  <c r="N512" i="14"/>
  <c r="P490" i="14"/>
  <c r="O490" i="14"/>
  <c r="N490" i="14"/>
  <c r="P489" i="14"/>
  <c r="O489" i="14"/>
  <c r="N489" i="14"/>
  <c r="P488" i="14"/>
  <c r="O488" i="14"/>
  <c r="N488" i="14"/>
  <c r="P487" i="14"/>
  <c r="O487" i="14"/>
  <c r="N487" i="14"/>
  <c r="P486" i="14"/>
  <c r="O486" i="14"/>
  <c r="N486" i="14"/>
  <c r="P485" i="14"/>
  <c r="O485" i="14"/>
  <c r="N485" i="14"/>
  <c r="P484" i="14"/>
  <c r="O484" i="14"/>
  <c r="N484" i="14"/>
  <c r="P483" i="14"/>
  <c r="O483" i="14"/>
  <c r="N483" i="14"/>
  <c r="P482" i="14"/>
  <c r="O482" i="14"/>
  <c r="N482" i="14"/>
  <c r="P481" i="14"/>
  <c r="O481" i="14"/>
  <c r="N481" i="14"/>
  <c r="P480" i="14"/>
  <c r="O480" i="14"/>
  <c r="R480" i="14" s="1"/>
  <c r="N480" i="14"/>
  <c r="P479" i="14"/>
  <c r="O479" i="14"/>
  <c r="N479" i="14"/>
  <c r="P478" i="14"/>
  <c r="O478" i="14"/>
  <c r="N478" i="14"/>
  <c r="P477" i="14"/>
  <c r="O477" i="14"/>
  <c r="R477" i="14" s="1"/>
  <c r="N477" i="14"/>
  <c r="P476" i="14"/>
  <c r="O476" i="14"/>
  <c r="N476" i="14"/>
  <c r="P475" i="14"/>
  <c r="O475" i="14"/>
  <c r="N475" i="14"/>
  <c r="P474" i="14"/>
  <c r="O474" i="14"/>
  <c r="N474" i="14"/>
  <c r="P473" i="14"/>
  <c r="O473" i="14"/>
  <c r="N473" i="14"/>
  <c r="P472" i="14"/>
  <c r="O472" i="14"/>
  <c r="N472" i="14"/>
  <c r="P471" i="14"/>
  <c r="O471" i="14"/>
  <c r="R471" i="14" s="1"/>
  <c r="N471" i="14"/>
  <c r="P470" i="14"/>
  <c r="O470" i="14"/>
  <c r="N470" i="14"/>
  <c r="P469" i="14"/>
  <c r="O469" i="14"/>
  <c r="N469" i="14"/>
  <c r="P468" i="14"/>
  <c r="O468" i="14"/>
  <c r="N468" i="14"/>
  <c r="P467" i="14"/>
  <c r="O467" i="14"/>
  <c r="N467" i="14"/>
  <c r="P466" i="14"/>
  <c r="O466" i="14"/>
  <c r="N466" i="14"/>
  <c r="P465" i="14"/>
  <c r="O465" i="14"/>
  <c r="R465" i="14" s="1"/>
  <c r="N465" i="14"/>
  <c r="P464" i="14"/>
  <c r="O464" i="14"/>
  <c r="N464" i="14"/>
  <c r="P463" i="14"/>
  <c r="O463" i="14"/>
  <c r="N463" i="14"/>
  <c r="P462" i="14"/>
  <c r="O462" i="14"/>
  <c r="N462" i="14"/>
  <c r="P461" i="14"/>
  <c r="O461" i="14"/>
  <c r="R461" i="14" s="1"/>
  <c r="N461" i="14"/>
  <c r="P460" i="14"/>
  <c r="O460" i="14"/>
  <c r="N460" i="14"/>
  <c r="P459" i="14"/>
  <c r="O459" i="14"/>
  <c r="R459" i="14" s="1"/>
  <c r="N459" i="14"/>
  <c r="P458" i="14"/>
  <c r="O458" i="14"/>
  <c r="N458" i="14"/>
  <c r="P457" i="14"/>
  <c r="O457" i="14"/>
  <c r="N457" i="14"/>
  <c r="P456" i="14"/>
  <c r="O456" i="14"/>
  <c r="N456" i="14"/>
  <c r="P455" i="14"/>
  <c r="O455" i="14"/>
  <c r="N455" i="14"/>
  <c r="P454" i="14"/>
  <c r="O454" i="14"/>
  <c r="N454" i="14"/>
  <c r="P453" i="14"/>
  <c r="O453" i="14"/>
  <c r="N453" i="14"/>
  <c r="P452" i="14"/>
  <c r="O452" i="14"/>
  <c r="N452" i="14"/>
  <c r="P451" i="14"/>
  <c r="O451" i="14"/>
  <c r="R451" i="14" s="1"/>
  <c r="N451" i="14"/>
  <c r="P450" i="14"/>
  <c r="O450" i="14"/>
  <c r="N450" i="14"/>
  <c r="P449" i="14"/>
  <c r="O449" i="14"/>
  <c r="N449" i="14"/>
  <c r="P448" i="14"/>
  <c r="O448" i="14"/>
  <c r="R448" i="14" s="1"/>
  <c r="N448" i="14"/>
  <c r="P447" i="14"/>
  <c r="O447" i="14"/>
  <c r="N447" i="14"/>
  <c r="P442" i="14"/>
  <c r="O442" i="14"/>
  <c r="N442" i="14"/>
  <c r="P441" i="14"/>
  <c r="O441" i="14"/>
  <c r="N441" i="14"/>
  <c r="P440" i="14"/>
  <c r="O440" i="14"/>
  <c r="N440" i="14"/>
  <c r="P439" i="14"/>
  <c r="O439" i="14"/>
  <c r="N439" i="14"/>
  <c r="P438" i="14"/>
  <c r="O438" i="14"/>
  <c r="N438" i="14"/>
  <c r="P437" i="14"/>
  <c r="O437" i="14"/>
  <c r="N437" i="14"/>
  <c r="P436" i="14"/>
  <c r="O436" i="14"/>
  <c r="N436" i="14"/>
  <c r="P435" i="14"/>
  <c r="O435" i="14"/>
  <c r="N435" i="14"/>
  <c r="P434" i="14"/>
  <c r="O434" i="14"/>
  <c r="N434" i="14"/>
  <c r="P433" i="14"/>
  <c r="O433" i="14"/>
  <c r="N433" i="14"/>
  <c r="P432" i="14"/>
  <c r="O432" i="14"/>
  <c r="N432" i="14"/>
  <c r="P431" i="14"/>
  <c r="O431" i="14"/>
  <c r="R431" i="14" s="1"/>
  <c r="N431" i="14"/>
  <c r="P430" i="14"/>
  <c r="O430" i="14"/>
  <c r="N430" i="14"/>
  <c r="P429" i="14"/>
  <c r="O429" i="14"/>
  <c r="N429" i="14"/>
  <c r="P428" i="14"/>
  <c r="O428" i="14"/>
  <c r="N428" i="14"/>
  <c r="P427" i="14"/>
  <c r="O427" i="14"/>
  <c r="R427" i="14" s="1"/>
  <c r="N427" i="14"/>
  <c r="P426" i="14"/>
  <c r="O426" i="14"/>
  <c r="N426" i="14"/>
  <c r="P425" i="14"/>
  <c r="O425" i="14"/>
  <c r="N425" i="14"/>
  <c r="P424" i="14"/>
  <c r="O424" i="14"/>
  <c r="N424" i="14"/>
  <c r="P423" i="14"/>
  <c r="O423" i="14"/>
  <c r="N423" i="14"/>
  <c r="P422" i="14"/>
  <c r="O422" i="14"/>
  <c r="N422" i="14"/>
  <c r="P421" i="14"/>
  <c r="O421" i="14"/>
  <c r="N421" i="14"/>
  <c r="P420" i="14"/>
  <c r="O420" i="14"/>
  <c r="N420" i="14"/>
  <c r="P419" i="14"/>
  <c r="O419" i="14"/>
  <c r="N419" i="14"/>
  <c r="P418" i="14"/>
  <c r="O418" i="14"/>
  <c r="N418" i="14"/>
  <c r="P417" i="14"/>
  <c r="O417" i="14"/>
  <c r="N417" i="14"/>
  <c r="P416" i="14"/>
  <c r="O416" i="14"/>
  <c r="R416" i="14" s="1"/>
  <c r="N416" i="14"/>
  <c r="P415" i="14"/>
  <c r="O415" i="14"/>
  <c r="N415" i="14"/>
  <c r="P414" i="14"/>
  <c r="O414" i="14"/>
  <c r="N414" i="14"/>
  <c r="P413" i="14"/>
  <c r="O413" i="14"/>
  <c r="R413" i="14" s="1"/>
  <c r="N413" i="14"/>
  <c r="P412" i="14"/>
  <c r="O412" i="14"/>
  <c r="N412" i="14"/>
  <c r="P411" i="14"/>
  <c r="O411" i="14"/>
  <c r="N411" i="14"/>
  <c r="P410" i="14"/>
  <c r="O410" i="14"/>
  <c r="N410" i="14"/>
  <c r="P409" i="14"/>
  <c r="O409" i="14"/>
  <c r="N409" i="14"/>
  <c r="P408" i="14"/>
  <c r="O408" i="14"/>
  <c r="N408" i="14"/>
  <c r="P407" i="14"/>
  <c r="O407" i="14"/>
  <c r="N407" i="14"/>
  <c r="P406" i="14"/>
  <c r="O406" i="14"/>
  <c r="R406" i="14" s="1"/>
  <c r="N406" i="14"/>
  <c r="P405" i="14"/>
  <c r="O405" i="14"/>
  <c r="R405" i="14" s="1"/>
  <c r="N405" i="14"/>
  <c r="P404" i="14"/>
  <c r="O404" i="14"/>
  <c r="N404" i="14"/>
  <c r="P403" i="14"/>
  <c r="O403" i="14"/>
  <c r="N403" i="14"/>
  <c r="P402" i="14"/>
  <c r="O402" i="14"/>
  <c r="N402" i="14"/>
  <c r="P401" i="14"/>
  <c r="O401" i="14"/>
  <c r="N401" i="14"/>
  <c r="P400" i="14"/>
  <c r="O400" i="14"/>
  <c r="R400" i="14" s="1"/>
  <c r="N400" i="14"/>
  <c r="P399" i="14"/>
  <c r="O399" i="14"/>
  <c r="N399" i="14"/>
  <c r="P398" i="14"/>
  <c r="O398" i="14"/>
  <c r="N398" i="14"/>
  <c r="P397" i="14"/>
  <c r="O397" i="14"/>
  <c r="N397" i="14"/>
  <c r="P396" i="14"/>
  <c r="O396" i="14"/>
  <c r="N396" i="14"/>
  <c r="P395" i="14"/>
  <c r="O395" i="14"/>
  <c r="N395" i="14"/>
  <c r="P394" i="14"/>
  <c r="O394" i="14"/>
  <c r="R394" i="14" s="1"/>
  <c r="N394" i="14"/>
  <c r="P393" i="14"/>
  <c r="O393" i="14"/>
  <c r="N393" i="14"/>
  <c r="P392" i="14"/>
  <c r="O392" i="14"/>
  <c r="N392" i="14"/>
  <c r="P391" i="14"/>
  <c r="O391" i="14"/>
  <c r="N391" i="14"/>
  <c r="P390" i="14"/>
  <c r="O390" i="14"/>
  <c r="N390" i="14"/>
  <c r="P389" i="14"/>
  <c r="O389" i="14"/>
  <c r="N389" i="14"/>
  <c r="P388" i="14"/>
  <c r="O388" i="14"/>
  <c r="N388" i="14"/>
  <c r="P387" i="14"/>
  <c r="O387" i="14"/>
  <c r="N387" i="14"/>
  <c r="P386" i="14"/>
  <c r="O386" i="14"/>
  <c r="N386" i="14"/>
  <c r="P385" i="14"/>
  <c r="O385" i="14"/>
  <c r="N385" i="14"/>
  <c r="P384" i="14"/>
  <c r="O384" i="14"/>
  <c r="N384" i="14"/>
  <c r="P383" i="14"/>
  <c r="O383" i="14"/>
  <c r="N383" i="14"/>
  <c r="P382" i="14"/>
  <c r="O382" i="14"/>
  <c r="N382" i="14"/>
  <c r="P381" i="14"/>
  <c r="O381" i="14"/>
  <c r="N381" i="14"/>
  <c r="P380" i="14"/>
  <c r="O380" i="14"/>
  <c r="N380" i="14"/>
  <c r="P379" i="14"/>
  <c r="O379" i="14"/>
  <c r="N379" i="14"/>
  <c r="P378" i="14"/>
  <c r="O378" i="14"/>
  <c r="N378" i="14"/>
  <c r="P377" i="14"/>
  <c r="O377" i="14"/>
  <c r="R377" i="14" s="1"/>
  <c r="N377" i="14"/>
  <c r="P376" i="14"/>
  <c r="O376" i="14"/>
  <c r="R376" i="14" s="1"/>
  <c r="N376" i="14"/>
  <c r="P375" i="14"/>
  <c r="O375" i="14"/>
  <c r="N375" i="14"/>
  <c r="P374" i="14"/>
  <c r="O374" i="14"/>
  <c r="N374" i="14"/>
  <c r="P373" i="14"/>
  <c r="O373" i="14"/>
  <c r="N373" i="14"/>
  <c r="P372" i="14"/>
  <c r="O372" i="14"/>
  <c r="N372" i="14"/>
  <c r="P371" i="14"/>
  <c r="O371" i="14"/>
  <c r="N371" i="14"/>
  <c r="P370" i="14"/>
  <c r="O370" i="14"/>
  <c r="N370" i="14"/>
  <c r="P369" i="14"/>
  <c r="O369" i="14"/>
  <c r="N369" i="14"/>
  <c r="P368" i="14"/>
  <c r="O368" i="14"/>
  <c r="N368" i="14"/>
  <c r="P367" i="14"/>
  <c r="O367" i="14"/>
  <c r="N367" i="14"/>
  <c r="P366" i="14"/>
  <c r="O366" i="14"/>
  <c r="N366" i="14"/>
  <c r="P365" i="14"/>
  <c r="O365" i="14"/>
  <c r="N365" i="14"/>
  <c r="P364" i="14"/>
  <c r="O364" i="14"/>
  <c r="N364" i="14"/>
  <c r="P363" i="14"/>
  <c r="O363" i="14"/>
  <c r="N363" i="14"/>
  <c r="P362" i="14"/>
  <c r="O362" i="14"/>
  <c r="N362" i="14"/>
  <c r="P361" i="14"/>
  <c r="O361" i="14"/>
  <c r="N361" i="14"/>
  <c r="P360" i="14"/>
  <c r="O360" i="14"/>
  <c r="R360" i="14" s="1"/>
  <c r="N360" i="14"/>
  <c r="P359" i="14"/>
  <c r="O359" i="14"/>
  <c r="N359" i="14"/>
  <c r="P358" i="14"/>
  <c r="O358" i="14"/>
  <c r="N358" i="14"/>
  <c r="P357" i="14"/>
  <c r="O357" i="14"/>
  <c r="N357" i="14"/>
  <c r="P356" i="14"/>
  <c r="O356" i="14"/>
  <c r="N356" i="14"/>
  <c r="P355" i="14"/>
  <c r="O355" i="14"/>
  <c r="N355" i="14"/>
  <c r="P354" i="14"/>
  <c r="O354" i="14"/>
  <c r="N354" i="14"/>
  <c r="P353" i="14"/>
  <c r="O353" i="14"/>
  <c r="N353" i="14"/>
  <c r="P352" i="14"/>
  <c r="O352" i="14"/>
  <c r="N352" i="14"/>
  <c r="P351" i="14"/>
  <c r="O351" i="14"/>
  <c r="N351" i="14"/>
  <c r="P350" i="14"/>
  <c r="O350" i="14"/>
  <c r="N350" i="14"/>
  <c r="P349" i="14"/>
  <c r="O349" i="14"/>
  <c r="N349" i="14"/>
  <c r="P348" i="14"/>
  <c r="O348" i="14"/>
  <c r="N348" i="14"/>
  <c r="P347" i="14"/>
  <c r="O347" i="14"/>
  <c r="N347" i="14"/>
  <c r="P346" i="14"/>
  <c r="O346" i="14"/>
  <c r="R346" i="14" s="1"/>
  <c r="N346" i="14"/>
  <c r="P345" i="14"/>
  <c r="O345" i="14"/>
  <c r="R345" i="14" s="1"/>
  <c r="N345" i="14"/>
  <c r="P344" i="14"/>
  <c r="O344" i="14"/>
  <c r="N344" i="14"/>
  <c r="P343" i="14"/>
  <c r="O343" i="14"/>
  <c r="N343" i="14"/>
  <c r="P342" i="14"/>
  <c r="O342" i="14"/>
  <c r="N342" i="14"/>
  <c r="P341" i="14"/>
  <c r="O341" i="14"/>
  <c r="R341" i="14" s="1"/>
  <c r="N341" i="14"/>
  <c r="P340" i="14"/>
  <c r="O340" i="14"/>
  <c r="N340" i="14"/>
  <c r="P339" i="14"/>
  <c r="O339" i="14"/>
  <c r="N339" i="14"/>
  <c r="P338" i="14"/>
  <c r="O338" i="14"/>
  <c r="N338" i="14"/>
  <c r="P337" i="14"/>
  <c r="O337" i="14"/>
  <c r="N337" i="14"/>
  <c r="P336" i="14"/>
  <c r="O336" i="14"/>
  <c r="R336" i="14" s="1"/>
  <c r="N336" i="14"/>
  <c r="P335" i="14"/>
  <c r="O335" i="14"/>
  <c r="N335" i="14"/>
  <c r="P334" i="14"/>
  <c r="O334" i="14"/>
  <c r="N334" i="14"/>
  <c r="P333" i="14"/>
  <c r="O333" i="14"/>
  <c r="N333" i="14"/>
  <c r="P332" i="14"/>
  <c r="O332" i="14"/>
  <c r="N332" i="14"/>
  <c r="P331" i="14"/>
  <c r="O331" i="14"/>
  <c r="N331" i="14"/>
  <c r="P330" i="14"/>
  <c r="O330" i="14"/>
  <c r="N330" i="14"/>
  <c r="P329" i="14"/>
  <c r="O329" i="14"/>
  <c r="N329" i="14"/>
  <c r="P328" i="14"/>
  <c r="O328" i="14"/>
  <c r="N328" i="14"/>
  <c r="P327" i="14"/>
  <c r="O327" i="14"/>
  <c r="N327" i="14"/>
  <c r="P326" i="14"/>
  <c r="O326" i="14"/>
  <c r="N326" i="14"/>
  <c r="P325" i="14"/>
  <c r="O325" i="14"/>
  <c r="N325" i="14"/>
  <c r="P324" i="14"/>
  <c r="O324" i="14"/>
  <c r="N324" i="14"/>
  <c r="P323" i="14"/>
  <c r="O323" i="14"/>
  <c r="N323" i="14"/>
  <c r="P322" i="14"/>
  <c r="O322" i="14"/>
  <c r="N322" i="14"/>
  <c r="P321" i="14"/>
  <c r="O321" i="14"/>
  <c r="R321" i="14" s="1"/>
  <c r="N321" i="14"/>
  <c r="P320" i="14"/>
  <c r="O320" i="14"/>
  <c r="N320" i="14"/>
  <c r="P319" i="14"/>
  <c r="O319" i="14"/>
  <c r="N319" i="14"/>
  <c r="P318" i="14"/>
  <c r="O318" i="14"/>
  <c r="N318" i="14"/>
  <c r="P317" i="14"/>
  <c r="O317" i="14"/>
  <c r="N317" i="14"/>
  <c r="P316" i="14"/>
  <c r="O316" i="14"/>
  <c r="N316" i="14"/>
  <c r="P315" i="14"/>
  <c r="O315" i="14"/>
  <c r="N315" i="14"/>
  <c r="P314" i="14"/>
  <c r="O314" i="14"/>
  <c r="N314" i="14"/>
  <c r="P313" i="14"/>
  <c r="O313" i="14"/>
  <c r="N313" i="14"/>
  <c r="P312" i="14"/>
  <c r="O312" i="14"/>
  <c r="R312" i="14" s="1"/>
  <c r="N312" i="14"/>
  <c r="P311" i="14"/>
  <c r="O311" i="14"/>
  <c r="N311" i="14"/>
  <c r="P310" i="14"/>
  <c r="O310" i="14"/>
  <c r="N310" i="14"/>
  <c r="P309" i="14"/>
  <c r="O309" i="14"/>
  <c r="N309" i="14"/>
  <c r="P308" i="14"/>
  <c r="O308" i="14"/>
  <c r="N308" i="14"/>
  <c r="P307" i="14"/>
  <c r="O307" i="14"/>
  <c r="N307" i="14"/>
  <c r="P306" i="14"/>
  <c r="O306" i="14"/>
  <c r="N306" i="14"/>
  <c r="P305" i="14"/>
  <c r="O305" i="14"/>
  <c r="N305" i="14"/>
  <c r="P304" i="14"/>
  <c r="O304" i="14"/>
  <c r="N304" i="14"/>
  <c r="P303" i="14"/>
  <c r="O303" i="14"/>
  <c r="N303" i="14"/>
  <c r="P302" i="14"/>
  <c r="O302" i="14"/>
  <c r="N302" i="14"/>
  <c r="P301" i="14"/>
  <c r="O301" i="14"/>
  <c r="N301" i="14"/>
  <c r="P300" i="14"/>
  <c r="O300" i="14"/>
  <c r="N300" i="14"/>
  <c r="P299" i="14"/>
  <c r="O299" i="14"/>
  <c r="N299" i="14"/>
  <c r="P298" i="14"/>
  <c r="O298" i="14"/>
  <c r="N298" i="14"/>
  <c r="P297" i="14"/>
  <c r="O297" i="14"/>
  <c r="N297" i="14"/>
  <c r="P296" i="14"/>
  <c r="O296" i="14"/>
  <c r="N296" i="14"/>
  <c r="P295" i="14"/>
  <c r="O295" i="14"/>
  <c r="N295" i="14"/>
  <c r="P294" i="14"/>
  <c r="O294" i="14"/>
  <c r="N294" i="14"/>
  <c r="P293" i="14"/>
  <c r="O293" i="14"/>
  <c r="N293" i="14"/>
  <c r="P292" i="14"/>
  <c r="O292" i="14"/>
  <c r="R292" i="14" s="1"/>
  <c r="N292" i="14"/>
  <c r="P291" i="14"/>
  <c r="O291" i="14"/>
  <c r="N291" i="14"/>
  <c r="P290" i="14"/>
  <c r="O290" i="14"/>
  <c r="N290" i="14"/>
  <c r="P289" i="14"/>
  <c r="O289" i="14"/>
  <c r="N289" i="14"/>
  <c r="P288" i="14"/>
  <c r="O288" i="14"/>
  <c r="N288" i="14"/>
  <c r="P287" i="14"/>
  <c r="O287" i="14"/>
  <c r="N287" i="14"/>
  <c r="P286" i="14"/>
  <c r="O286" i="14"/>
  <c r="N286" i="14"/>
  <c r="P285" i="14"/>
  <c r="O285" i="14"/>
  <c r="N285" i="14"/>
  <c r="P284" i="14"/>
  <c r="O284" i="14"/>
  <c r="N284" i="14"/>
  <c r="P283" i="14"/>
  <c r="O283" i="14"/>
  <c r="N283" i="14"/>
  <c r="P282" i="14"/>
  <c r="O282" i="14"/>
  <c r="N282" i="14"/>
  <c r="P281" i="14"/>
  <c r="O281" i="14"/>
  <c r="N281" i="14"/>
  <c r="P280" i="14"/>
  <c r="O280" i="14"/>
  <c r="N280" i="14"/>
  <c r="P279" i="14"/>
  <c r="O279" i="14"/>
  <c r="N279" i="14"/>
  <c r="P278" i="14"/>
  <c r="O278" i="14"/>
  <c r="N278" i="14"/>
  <c r="P277" i="14"/>
  <c r="O277" i="14"/>
  <c r="N277" i="14"/>
  <c r="P276" i="14"/>
  <c r="O276" i="14"/>
  <c r="N276" i="14"/>
  <c r="P275" i="14"/>
  <c r="O275" i="14"/>
  <c r="N275" i="14"/>
  <c r="P274" i="14"/>
  <c r="O274" i="14"/>
  <c r="N274" i="14"/>
  <c r="P273" i="14"/>
  <c r="O273" i="14"/>
  <c r="N273" i="14"/>
  <c r="P272" i="14"/>
  <c r="O272" i="14"/>
  <c r="N272" i="14"/>
  <c r="P271" i="14"/>
  <c r="O271" i="14"/>
  <c r="N271" i="14"/>
  <c r="P270" i="14"/>
  <c r="O270" i="14"/>
  <c r="N270" i="14"/>
  <c r="P269" i="14"/>
  <c r="O269" i="14"/>
  <c r="N269" i="14"/>
  <c r="P268" i="14"/>
  <c r="O268" i="14"/>
  <c r="N268" i="14"/>
  <c r="P267" i="14"/>
  <c r="O267" i="14"/>
  <c r="N267" i="14"/>
  <c r="P266" i="14"/>
  <c r="O266" i="14"/>
  <c r="N266" i="14"/>
  <c r="P265" i="14"/>
  <c r="O265" i="14"/>
  <c r="N265" i="14"/>
  <c r="P264" i="14"/>
  <c r="O264" i="14"/>
  <c r="N264" i="14"/>
  <c r="P263" i="14"/>
  <c r="O263" i="14"/>
  <c r="N263" i="14"/>
  <c r="P262" i="14"/>
  <c r="O262" i="14"/>
  <c r="R262" i="14" s="1"/>
  <c r="N262" i="14"/>
  <c r="P261" i="14"/>
  <c r="O261" i="14"/>
  <c r="R261" i="14" s="1"/>
  <c r="N261" i="14"/>
  <c r="P230" i="14"/>
  <c r="O230" i="14"/>
  <c r="N230" i="14"/>
  <c r="P229" i="14"/>
  <c r="O229" i="14"/>
  <c r="R229" i="14" s="1"/>
  <c r="N229" i="14"/>
  <c r="P228" i="14"/>
  <c r="O228" i="14"/>
  <c r="N228" i="14"/>
  <c r="P227" i="14"/>
  <c r="O227" i="14"/>
  <c r="N227" i="14"/>
  <c r="P226" i="14"/>
  <c r="O226" i="14"/>
  <c r="R226" i="14" s="1"/>
  <c r="N226" i="14"/>
  <c r="P223" i="14"/>
  <c r="O223" i="14"/>
  <c r="R223" i="14" s="1"/>
  <c r="N223" i="14"/>
  <c r="P204" i="14"/>
  <c r="O204" i="14"/>
  <c r="N204" i="14"/>
  <c r="P203" i="14"/>
  <c r="O203" i="14"/>
  <c r="N203" i="14"/>
  <c r="P202" i="14"/>
  <c r="O202" i="14"/>
  <c r="N202" i="14"/>
  <c r="P201" i="14"/>
  <c r="O201" i="14"/>
  <c r="N201" i="14"/>
  <c r="P200" i="14"/>
  <c r="O200" i="14"/>
  <c r="N200" i="14"/>
  <c r="P199" i="14"/>
  <c r="O199" i="14"/>
  <c r="N199" i="14"/>
  <c r="P198" i="14"/>
  <c r="O198" i="14"/>
  <c r="R198" i="14" s="1"/>
  <c r="N198" i="14"/>
  <c r="P197" i="14"/>
  <c r="O197" i="14"/>
  <c r="N197" i="14"/>
  <c r="P196" i="14"/>
  <c r="O196" i="14"/>
  <c r="N196" i="14"/>
  <c r="P195" i="14"/>
  <c r="O195" i="14"/>
  <c r="N195" i="14"/>
  <c r="P194" i="14"/>
  <c r="O194" i="14"/>
  <c r="N194" i="14"/>
  <c r="P193" i="14"/>
  <c r="O193" i="14"/>
  <c r="N193" i="14"/>
  <c r="P192" i="14"/>
  <c r="O192" i="14"/>
  <c r="N192" i="14"/>
  <c r="P191" i="14"/>
  <c r="O191" i="14"/>
  <c r="N191" i="14"/>
  <c r="P190" i="14"/>
  <c r="O190" i="14"/>
  <c r="R190" i="14" s="1"/>
  <c r="N190" i="14"/>
  <c r="P189" i="14"/>
  <c r="O189" i="14"/>
  <c r="N189" i="14"/>
  <c r="P188" i="14"/>
  <c r="O188" i="14"/>
  <c r="N188" i="14"/>
  <c r="P187" i="14"/>
  <c r="O187" i="14"/>
  <c r="N187" i="14"/>
  <c r="P186" i="14"/>
  <c r="O186" i="14"/>
  <c r="N186" i="14"/>
  <c r="P185" i="14"/>
  <c r="O185" i="14"/>
  <c r="R185" i="14" s="1"/>
  <c r="N185" i="14"/>
  <c r="P184" i="14"/>
  <c r="O184" i="14"/>
  <c r="R184" i="14" s="1"/>
  <c r="N184" i="14"/>
  <c r="P169" i="14"/>
  <c r="O169" i="14"/>
  <c r="N169" i="14"/>
  <c r="P168" i="14"/>
  <c r="O168" i="14"/>
  <c r="N168" i="14"/>
  <c r="P167" i="14"/>
  <c r="O167" i="14"/>
  <c r="N167" i="14"/>
  <c r="P166" i="14"/>
  <c r="O166" i="14"/>
  <c r="N166" i="14"/>
  <c r="P165" i="14"/>
  <c r="O165" i="14"/>
  <c r="N165" i="14"/>
  <c r="P164" i="14"/>
  <c r="O164" i="14"/>
  <c r="N164" i="14"/>
  <c r="P163" i="14"/>
  <c r="O163" i="14"/>
  <c r="N163" i="14"/>
  <c r="P162" i="14"/>
  <c r="O162" i="14"/>
  <c r="R162" i="14" s="1"/>
  <c r="N162" i="14"/>
  <c r="P161" i="14"/>
  <c r="O161" i="14"/>
  <c r="N161" i="14"/>
  <c r="P160" i="14"/>
  <c r="O160" i="14"/>
  <c r="N160" i="14"/>
  <c r="P159" i="14"/>
  <c r="O159" i="14"/>
  <c r="N159" i="14"/>
  <c r="P158" i="14"/>
  <c r="O158" i="14"/>
  <c r="N158" i="14"/>
  <c r="P157" i="14"/>
  <c r="O157" i="14"/>
  <c r="R157" i="14" s="1"/>
  <c r="N157" i="14"/>
  <c r="P156" i="14"/>
  <c r="O156" i="14"/>
  <c r="R156" i="14" s="1"/>
  <c r="N156" i="14"/>
  <c r="P148" i="14"/>
  <c r="O148" i="14"/>
  <c r="N148" i="14"/>
  <c r="P147" i="14"/>
  <c r="O147" i="14"/>
  <c r="N147" i="14"/>
  <c r="P146" i="14"/>
  <c r="O146" i="14"/>
  <c r="N146" i="14"/>
  <c r="P145" i="14"/>
  <c r="O145" i="14"/>
  <c r="N145" i="14"/>
  <c r="P144" i="14"/>
  <c r="O144" i="14"/>
  <c r="N144" i="14"/>
  <c r="P143" i="14"/>
  <c r="O143" i="14"/>
  <c r="R143" i="14" s="1"/>
  <c r="N143" i="14"/>
  <c r="P142" i="14"/>
  <c r="O142" i="14"/>
  <c r="N142" i="14"/>
  <c r="P141" i="14"/>
  <c r="O141" i="14"/>
  <c r="N141" i="14"/>
  <c r="P140" i="14"/>
  <c r="O140" i="14"/>
  <c r="R140" i="14" s="1"/>
  <c r="N140" i="14"/>
  <c r="P139" i="14"/>
  <c r="O139" i="14"/>
  <c r="N139" i="14"/>
  <c r="P138" i="14"/>
  <c r="O138" i="14"/>
  <c r="R138" i="14" s="1"/>
  <c r="N138" i="14"/>
  <c r="P137" i="14"/>
  <c r="O137" i="14"/>
  <c r="R137" i="14" s="1"/>
  <c r="N137" i="14"/>
  <c r="P129" i="14"/>
  <c r="O129" i="14"/>
  <c r="N129" i="14"/>
  <c r="P128" i="14"/>
  <c r="O128" i="14"/>
  <c r="N128" i="14"/>
  <c r="P127" i="14"/>
  <c r="O127" i="14"/>
  <c r="N127" i="14"/>
  <c r="P126" i="14"/>
  <c r="O126" i="14"/>
  <c r="R126" i="14" s="1"/>
  <c r="N126" i="14"/>
  <c r="P125" i="14"/>
  <c r="O125" i="14"/>
  <c r="N125" i="14"/>
  <c r="P124" i="14"/>
  <c r="O124" i="14"/>
  <c r="N124" i="14"/>
  <c r="P123" i="14"/>
  <c r="O123" i="14"/>
  <c r="N123" i="14"/>
  <c r="P122" i="14"/>
  <c r="O122" i="14"/>
  <c r="N122" i="14"/>
  <c r="P121" i="14"/>
  <c r="O121" i="14"/>
  <c r="N121" i="14"/>
  <c r="P120" i="14"/>
  <c r="O120" i="14"/>
  <c r="R120" i="14" s="1"/>
  <c r="N120" i="14"/>
  <c r="P119" i="14"/>
  <c r="O119" i="14"/>
  <c r="N119" i="14"/>
  <c r="P118" i="14"/>
  <c r="O118" i="14"/>
  <c r="N118" i="14"/>
  <c r="P117" i="14"/>
  <c r="O117" i="14"/>
  <c r="R117" i="14" s="1"/>
  <c r="N117" i="14"/>
  <c r="P116" i="14"/>
  <c r="O116" i="14"/>
  <c r="N116" i="14"/>
  <c r="P115" i="14"/>
  <c r="O115" i="14"/>
  <c r="N115" i="14"/>
  <c r="P114" i="14"/>
  <c r="O114" i="14"/>
  <c r="N114" i="14"/>
  <c r="P113" i="14"/>
  <c r="O113" i="14"/>
  <c r="R113" i="14" s="1"/>
  <c r="N113" i="14"/>
  <c r="P112" i="14"/>
  <c r="O112" i="14"/>
  <c r="R112" i="14" s="1"/>
  <c r="N112" i="14"/>
  <c r="P93" i="14"/>
  <c r="O93" i="14"/>
  <c r="N93" i="14"/>
  <c r="P92" i="14"/>
  <c r="O92" i="14"/>
  <c r="N92" i="14"/>
  <c r="P91" i="14"/>
  <c r="O91" i="14"/>
  <c r="N91" i="14"/>
  <c r="P90" i="14"/>
  <c r="O90" i="14"/>
  <c r="N90" i="14"/>
  <c r="P89" i="14"/>
  <c r="O89" i="14"/>
  <c r="N89" i="14"/>
  <c r="P88" i="14"/>
  <c r="O88" i="14"/>
  <c r="N88" i="14"/>
  <c r="P87" i="14"/>
  <c r="O87" i="14"/>
  <c r="R87" i="14" s="1"/>
  <c r="N87" i="14"/>
  <c r="P86" i="14"/>
  <c r="O86" i="14"/>
  <c r="N86" i="14"/>
  <c r="P85" i="14"/>
  <c r="O85" i="14"/>
  <c r="N85" i="14"/>
  <c r="P84" i="14"/>
  <c r="O84" i="14"/>
  <c r="N84" i="14"/>
  <c r="P83" i="14"/>
  <c r="O83" i="14"/>
  <c r="N83" i="14"/>
  <c r="P82" i="14"/>
  <c r="O82" i="14"/>
  <c r="N82" i="14"/>
  <c r="P81" i="14"/>
  <c r="O81" i="14"/>
  <c r="N81" i="14"/>
  <c r="P80" i="14"/>
  <c r="O80" i="14"/>
  <c r="R80" i="14" s="1"/>
  <c r="N80" i="14"/>
  <c r="P79" i="14"/>
  <c r="O79" i="14"/>
  <c r="N79" i="14"/>
  <c r="P78" i="14"/>
  <c r="O78" i="14"/>
  <c r="N78" i="14"/>
  <c r="P77" i="14"/>
  <c r="O77" i="14"/>
  <c r="R77" i="14" s="1"/>
  <c r="N77" i="14"/>
  <c r="P76" i="14"/>
  <c r="O76" i="14"/>
  <c r="N76" i="14"/>
  <c r="P75" i="14"/>
  <c r="O75" i="14"/>
  <c r="N75" i="14"/>
  <c r="P74" i="14"/>
  <c r="O74" i="14"/>
  <c r="N74" i="14"/>
  <c r="P73" i="14"/>
  <c r="O73" i="14"/>
  <c r="N73" i="14"/>
  <c r="P72" i="14"/>
  <c r="O72" i="14"/>
  <c r="N72" i="14"/>
  <c r="P71" i="14"/>
  <c r="O71" i="14"/>
  <c r="N71" i="14"/>
  <c r="P70" i="14"/>
  <c r="O70" i="14"/>
  <c r="N70" i="14"/>
  <c r="P69" i="14"/>
  <c r="O69" i="14"/>
  <c r="R69" i="14" s="1"/>
  <c r="N69" i="14"/>
  <c r="P68" i="14"/>
  <c r="O68" i="14"/>
  <c r="R68" i="14" s="1"/>
  <c r="N68" i="14"/>
  <c r="P56" i="14"/>
  <c r="O56" i="14"/>
  <c r="N56" i="14"/>
  <c r="P55" i="14"/>
  <c r="O55" i="14"/>
  <c r="N55" i="14"/>
  <c r="P54" i="14"/>
  <c r="O54" i="14"/>
  <c r="R54" i="14" s="1"/>
  <c r="N54" i="14"/>
  <c r="P53" i="14"/>
  <c r="O53" i="14"/>
  <c r="R53" i="14" s="1"/>
  <c r="N53" i="14"/>
  <c r="P52" i="14"/>
  <c r="O52" i="14"/>
  <c r="N52" i="14"/>
  <c r="P51" i="14"/>
  <c r="O51" i="14"/>
  <c r="N51" i="14"/>
  <c r="P50" i="14"/>
  <c r="O50" i="14"/>
  <c r="N50" i="14"/>
  <c r="P49" i="14"/>
  <c r="O49" i="14"/>
  <c r="R49" i="14" s="1"/>
  <c r="N49" i="14"/>
  <c r="P48" i="14"/>
  <c r="O48" i="14"/>
  <c r="N48" i="14"/>
  <c r="P47" i="14"/>
  <c r="O47" i="14"/>
  <c r="N47" i="14"/>
  <c r="P46" i="14"/>
  <c r="O46" i="14"/>
  <c r="R46" i="14" s="1"/>
  <c r="N46" i="14"/>
  <c r="P45" i="14"/>
  <c r="O45" i="14"/>
  <c r="N45" i="14"/>
  <c r="P44" i="14"/>
  <c r="O44" i="14"/>
  <c r="N44" i="14"/>
  <c r="P43" i="14"/>
  <c r="O43" i="14"/>
  <c r="N43" i="14"/>
  <c r="P42" i="14"/>
  <c r="O42" i="14"/>
  <c r="N42" i="14"/>
  <c r="P41" i="14"/>
  <c r="O41" i="14"/>
  <c r="N41" i="14"/>
  <c r="P40" i="14"/>
  <c r="O40" i="14"/>
  <c r="R40" i="14" s="1"/>
  <c r="N40" i="14"/>
  <c r="P39" i="14"/>
  <c r="O39" i="14"/>
  <c r="N39" i="14"/>
  <c r="P38" i="14"/>
  <c r="O38" i="14"/>
  <c r="N38" i="14"/>
  <c r="P37" i="14"/>
  <c r="O37" i="14"/>
  <c r="N37" i="14"/>
  <c r="P36" i="14"/>
  <c r="O36" i="14"/>
  <c r="R36" i="14" s="1"/>
  <c r="N36" i="14"/>
  <c r="P35" i="14"/>
  <c r="O35" i="14"/>
  <c r="N35" i="14"/>
  <c r="P34" i="14"/>
  <c r="O34" i="14"/>
  <c r="N34" i="14"/>
  <c r="P33" i="14"/>
  <c r="O33" i="14"/>
  <c r="R33" i="14" s="1"/>
  <c r="N33" i="14"/>
  <c r="P32" i="14"/>
  <c r="O32" i="14"/>
  <c r="R32" i="14" s="1"/>
  <c r="N32" i="14"/>
  <c r="P31" i="14"/>
  <c r="O31" i="14"/>
  <c r="N31" i="14"/>
  <c r="P30" i="14"/>
  <c r="O30" i="14"/>
  <c r="N30" i="14"/>
  <c r="P29" i="14"/>
  <c r="O29" i="14"/>
  <c r="R29" i="14" s="1"/>
  <c r="N29" i="14"/>
  <c r="P28" i="14"/>
  <c r="O28" i="14"/>
  <c r="N28" i="14"/>
  <c r="P27" i="14"/>
  <c r="O27" i="14"/>
  <c r="R27" i="14" s="1"/>
  <c r="N27" i="14"/>
  <c r="P26" i="14"/>
  <c r="O26" i="14"/>
  <c r="N26" i="14"/>
  <c r="P25" i="14"/>
  <c r="O25" i="14"/>
  <c r="N25" i="14"/>
  <c r="P24" i="14"/>
  <c r="O24" i="14"/>
  <c r="N24" i="14"/>
  <c r="P23" i="14"/>
  <c r="O23" i="14"/>
  <c r="N23" i="14"/>
  <c r="P22" i="14"/>
  <c r="O22" i="14"/>
  <c r="R22" i="14" s="1"/>
  <c r="N22" i="14"/>
  <c r="P21" i="14"/>
  <c r="O21" i="14"/>
  <c r="N21" i="14"/>
  <c r="P20" i="14"/>
  <c r="O20" i="14"/>
  <c r="N20" i="14"/>
  <c r="P19" i="14"/>
  <c r="O19" i="14"/>
  <c r="N19" i="14"/>
  <c r="P18" i="14"/>
  <c r="O18" i="14"/>
  <c r="N18" i="14"/>
  <c r="P17" i="14"/>
  <c r="O17" i="14"/>
  <c r="R17" i="14" s="1"/>
  <c r="N17" i="14"/>
  <c r="P16" i="14"/>
  <c r="O16" i="14"/>
  <c r="R16" i="14" s="1"/>
  <c r="N16" i="14"/>
  <c r="P15" i="14"/>
  <c r="O15" i="14"/>
  <c r="N15" i="14"/>
  <c r="P14" i="14"/>
  <c r="O14" i="14"/>
  <c r="N14" i="14"/>
  <c r="P13" i="14"/>
  <c r="O13" i="14"/>
  <c r="R13" i="14" s="1"/>
  <c r="N13" i="14"/>
  <c r="P10" i="14"/>
  <c r="O10" i="14"/>
  <c r="R10" i="14" s="1"/>
  <c r="N10" i="14"/>
  <c r="P9" i="14"/>
  <c r="O9" i="14"/>
  <c r="N9" i="14"/>
  <c r="P6" i="14"/>
  <c r="O6" i="14"/>
  <c r="N6" i="14"/>
  <c r="P718" i="11"/>
  <c r="O718" i="11"/>
  <c r="R718" i="11" s="1"/>
  <c r="N718" i="11"/>
  <c r="P717" i="11"/>
  <c r="O717" i="11"/>
  <c r="R717" i="11" s="1"/>
  <c r="N717" i="11"/>
  <c r="P710" i="11"/>
  <c r="O710" i="11"/>
  <c r="R710" i="11" s="1"/>
  <c r="N710" i="11"/>
  <c r="P709" i="11"/>
  <c r="O709" i="11"/>
  <c r="R709" i="11" s="1"/>
  <c r="N709" i="11"/>
  <c r="P708" i="11"/>
  <c r="O708" i="11"/>
  <c r="R708" i="11" s="1"/>
  <c r="N708" i="11"/>
  <c r="P707" i="11"/>
  <c r="O707" i="11"/>
  <c r="R707" i="11" s="1"/>
  <c r="N707" i="11"/>
  <c r="P706" i="11"/>
  <c r="O706" i="11"/>
  <c r="R706" i="11" s="1"/>
  <c r="N706" i="11"/>
  <c r="P705" i="11"/>
  <c r="O705" i="11"/>
  <c r="R705" i="11" s="1"/>
  <c r="N705" i="11"/>
  <c r="P704" i="11"/>
  <c r="O704" i="11"/>
  <c r="R704" i="11" s="1"/>
  <c r="N704" i="11"/>
  <c r="P703" i="11"/>
  <c r="O703" i="11"/>
  <c r="R703" i="11" s="1"/>
  <c r="N703" i="11"/>
  <c r="P702" i="11"/>
  <c r="O702" i="11"/>
  <c r="R702" i="11" s="1"/>
  <c r="N702" i="11"/>
  <c r="P701" i="11"/>
  <c r="O701" i="11"/>
  <c r="R701" i="11" s="1"/>
  <c r="N701" i="11"/>
  <c r="P700" i="11"/>
  <c r="O700" i="11"/>
  <c r="R700" i="11" s="1"/>
  <c r="N700" i="11"/>
  <c r="P695" i="11"/>
  <c r="O695" i="11"/>
  <c r="R695" i="11" s="1"/>
  <c r="N695" i="11"/>
  <c r="P680" i="11"/>
  <c r="O680" i="11"/>
  <c r="R680" i="11" s="1"/>
  <c r="N680" i="11"/>
  <c r="P679" i="11"/>
  <c r="O679" i="11"/>
  <c r="R679" i="11" s="1"/>
  <c r="N679" i="11"/>
  <c r="P678" i="11"/>
  <c r="O678" i="11"/>
  <c r="R678" i="11" s="1"/>
  <c r="N678" i="11"/>
  <c r="P677" i="11"/>
  <c r="O677" i="11"/>
  <c r="R677" i="11" s="1"/>
  <c r="N677" i="11"/>
  <c r="P676" i="11"/>
  <c r="O676" i="11"/>
  <c r="R676" i="11" s="1"/>
  <c r="N676" i="11"/>
  <c r="P675" i="11"/>
  <c r="O675" i="11"/>
  <c r="R675" i="11" s="1"/>
  <c r="N675" i="11"/>
  <c r="P674" i="11"/>
  <c r="O674" i="11"/>
  <c r="R674" i="11" s="1"/>
  <c r="N674" i="11"/>
  <c r="P673" i="11"/>
  <c r="O673" i="11"/>
  <c r="R673" i="11" s="1"/>
  <c r="N673" i="11"/>
  <c r="P672" i="11"/>
  <c r="O672" i="11"/>
  <c r="R672" i="11" s="1"/>
  <c r="N672" i="11"/>
  <c r="P671" i="11"/>
  <c r="O671" i="11"/>
  <c r="R671" i="11" s="1"/>
  <c r="N671" i="11"/>
  <c r="P670" i="11"/>
  <c r="O670" i="11"/>
  <c r="R670" i="11" s="1"/>
  <c r="N670" i="11"/>
  <c r="P669" i="11"/>
  <c r="O669" i="11"/>
  <c r="R669" i="11" s="1"/>
  <c r="N669" i="11"/>
  <c r="P668" i="11"/>
  <c r="O668" i="11"/>
  <c r="R668" i="11" s="1"/>
  <c r="N668" i="11"/>
  <c r="P667" i="11"/>
  <c r="O667" i="11"/>
  <c r="R667" i="11" s="1"/>
  <c r="N667" i="11"/>
  <c r="P666" i="11"/>
  <c r="O666" i="11"/>
  <c r="R666" i="11" s="1"/>
  <c r="N666" i="11"/>
  <c r="P665" i="11"/>
  <c r="O665" i="11"/>
  <c r="R665" i="11" s="1"/>
  <c r="N665" i="11"/>
  <c r="P664" i="11"/>
  <c r="O664" i="11"/>
  <c r="R664" i="11" s="1"/>
  <c r="N664" i="11"/>
  <c r="P663" i="11"/>
  <c r="O663" i="11"/>
  <c r="R663" i="11" s="1"/>
  <c r="N663" i="11"/>
  <c r="P662" i="11"/>
  <c r="O662" i="11"/>
  <c r="R662" i="11" s="1"/>
  <c r="N662" i="11"/>
  <c r="P661" i="11"/>
  <c r="O661" i="11"/>
  <c r="R661" i="11" s="1"/>
  <c r="N661" i="11"/>
  <c r="P660" i="11"/>
  <c r="O660" i="11"/>
  <c r="R660" i="11" s="1"/>
  <c r="N660" i="11"/>
  <c r="P659" i="11"/>
  <c r="O659" i="11"/>
  <c r="R659" i="11" s="1"/>
  <c r="N659" i="11"/>
  <c r="P658" i="11"/>
  <c r="O658" i="11"/>
  <c r="R658" i="11" s="1"/>
  <c r="N658" i="11"/>
  <c r="P657" i="11"/>
  <c r="O657" i="11"/>
  <c r="R657" i="11" s="1"/>
  <c r="N657" i="11"/>
  <c r="P656" i="11"/>
  <c r="O656" i="11"/>
  <c r="R656" i="11" s="1"/>
  <c r="N656" i="11"/>
  <c r="P655" i="11"/>
  <c r="O655" i="11"/>
  <c r="R655" i="11" s="1"/>
  <c r="N655" i="11"/>
  <c r="P654" i="11"/>
  <c r="O654" i="11"/>
  <c r="R654" i="11" s="1"/>
  <c r="N654" i="11"/>
  <c r="P653" i="11"/>
  <c r="O653" i="11"/>
  <c r="R653" i="11" s="1"/>
  <c r="N653" i="11"/>
  <c r="P652" i="11"/>
  <c r="O652" i="11"/>
  <c r="R652" i="11" s="1"/>
  <c r="N652" i="11"/>
  <c r="P651" i="11"/>
  <c r="O651" i="11"/>
  <c r="R651" i="11" s="1"/>
  <c r="N651" i="11"/>
  <c r="P650" i="11"/>
  <c r="O650" i="11"/>
  <c r="R650" i="11" s="1"/>
  <c r="N650" i="11"/>
  <c r="P649" i="11"/>
  <c r="O649" i="11"/>
  <c r="R649" i="11" s="1"/>
  <c r="N649" i="11"/>
  <c r="P648" i="11"/>
  <c r="O648" i="11"/>
  <c r="R648" i="11" s="1"/>
  <c r="N648" i="11"/>
  <c r="P647" i="11"/>
  <c r="O647" i="11"/>
  <c r="R647" i="11" s="1"/>
  <c r="N647" i="11"/>
  <c r="P646" i="11"/>
  <c r="O646" i="11"/>
  <c r="R646" i="11" s="1"/>
  <c r="N646" i="11"/>
  <c r="P645" i="11"/>
  <c r="O645" i="11"/>
  <c r="R645" i="11" s="1"/>
  <c r="N645" i="11"/>
  <c r="P644" i="11"/>
  <c r="O644" i="11"/>
  <c r="R644" i="11" s="1"/>
  <c r="N644" i="11"/>
  <c r="P643" i="11"/>
  <c r="O643" i="11"/>
  <c r="R643" i="11" s="1"/>
  <c r="N643" i="11"/>
  <c r="P642" i="11"/>
  <c r="O642" i="11"/>
  <c r="R642" i="11" s="1"/>
  <c r="N642" i="11"/>
  <c r="P641" i="11"/>
  <c r="O641" i="11"/>
  <c r="R641" i="11" s="1"/>
  <c r="N641" i="11"/>
  <c r="P640" i="11"/>
  <c r="O640" i="11"/>
  <c r="R640" i="11" s="1"/>
  <c r="N640" i="11"/>
  <c r="P639" i="11"/>
  <c r="O639" i="11"/>
  <c r="R639" i="11" s="1"/>
  <c r="N639" i="11"/>
  <c r="P638" i="11"/>
  <c r="O638" i="11"/>
  <c r="R638" i="11" s="1"/>
  <c r="N638" i="11"/>
  <c r="P637" i="11"/>
  <c r="O637" i="11"/>
  <c r="R637" i="11" s="1"/>
  <c r="N637" i="11"/>
  <c r="P636" i="11"/>
  <c r="O636" i="11"/>
  <c r="R636" i="11" s="1"/>
  <c r="N636" i="11"/>
  <c r="P634" i="11"/>
  <c r="O634" i="11"/>
  <c r="R634" i="11" s="1"/>
  <c r="N634" i="11"/>
  <c r="P633" i="11"/>
  <c r="O633" i="11"/>
  <c r="R633" i="11" s="1"/>
  <c r="N633" i="11"/>
  <c r="P629" i="11"/>
  <c r="O629" i="11"/>
  <c r="R629" i="11" s="1"/>
  <c r="N629" i="11"/>
  <c r="P628" i="11"/>
  <c r="O628" i="11"/>
  <c r="R628" i="11" s="1"/>
  <c r="N628" i="11"/>
  <c r="P627" i="11"/>
  <c r="O627" i="11"/>
  <c r="R627" i="11" s="1"/>
  <c r="N627" i="11"/>
  <c r="P626" i="11"/>
  <c r="O626" i="11"/>
  <c r="R626" i="11" s="1"/>
  <c r="N626" i="11"/>
  <c r="P624" i="11"/>
  <c r="O624" i="11"/>
  <c r="R624" i="11" s="1"/>
  <c r="N624" i="11"/>
  <c r="P623" i="11"/>
  <c r="O623" i="11"/>
  <c r="R623" i="11" s="1"/>
  <c r="N623" i="11"/>
  <c r="P622" i="11"/>
  <c r="O622" i="11"/>
  <c r="R622" i="11" s="1"/>
  <c r="N622" i="11"/>
  <c r="P621" i="11"/>
  <c r="O621" i="11"/>
  <c r="R621" i="11" s="1"/>
  <c r="N621" i="11"/>
  <c r="P618" i="11"/>
  <c r="O618" i="11"/>
  <c r="R618" i="11" s="1"/>
  <c r="N618" i="11"/>
  <c r="P615" i="11"/>
  <c r="O615" i="11"/>
  <c r="R615" i="11" s="1"/>
  <c r="N615" i="11"/>
  <c r="P614" i="11"/>
  <c r="O614" i="11"/>
  <c r="R614" i="11" s="1"/>
  <c r="N614" i="11"/>
  <c r="P613" i="11"/>
  <c r="O613" i="11"/>
  <c r="R613" i="11" s="1"/>
  <c r="N613" i="11"/>
  <c r="P612" i="11"/>
  <c r="O612" i="11"/>
  <c r="R612" i="11" s="1"/>
  <c r="N612" i="11"/>
  <c r="P611" i="11"/>
  <c r="O611" i="11"/>
  <c r="R611" i="11" s="1"/>
  <c r="N611" i="11"/>
  <c r="P610" i="11"/>
  <c r="O610" i="11"/>
  <c r="R610" i="11" s="1"/>
  <c r="N610" i="11"/>
  <c r="P609" i="11"/>
  <c r="O609" i="11"/>
  <c r="R609" i="11" s="1"/>
  <c r="N609" i="11"/>
  <c r="P608" i="11"/>
  <c r="O608" i="11"/>
  <c r="R608" i="11" s="1"/>
  <c r="N608" i="11"/>
  <c r="P607" i="11"/>
  <c r="O607" i="11"/>
  <c r="R607" i="11" s="1"/>
  <c r="N607" i="11"/>
  <c r="P606" i="11"/>
  <c r="O606" i="11"/>
  <c r="R606" i="11" s="1"/>
  <c r="N606" i="11"/>
  <c r="P605" i="11"/>
  <c r="O605" i="11"/>
  <c r="R605" i="11" s="1"/>
  <c r="N605" i="11"/>
  <c r="P604" i="11"/>
  <c r="O604" i="11"/>
  <c r="R604" i="11" s="1"/>
  <c r="N604" i="11"/>
  <c r="P603" i="11"/>
  <c r="O603" i="11"/>
  <c r="R603" i="11" s="1"/>
  <c r="N603" i="11"/>
  <c r="P602" i="11"/>
  <c r="O602" i="11"/>
  <c r="R602" i="11" s="1"/>
  <c r="N602" i="11"/>
  <c r="P601" i="11"/>
  <c r="O601" i="11"/>
  <c r="R601" i="11" s="1"/>
  <c r="N601" i="11"/>
  <c r="P600" i="11"/>
  <c r="O600" i="11"/>
  <c r="R600" i="11" s="1"/>
  <c r="N600" i="11"/>
  <c r="P599" i="11"/>
  <c r="O599" i="11"/>
  <c r="R599" i="11" s="1"/>
  <c r="N599" i="11"/>
  <c r="P598" i="11"/>
  <c r="O598" i="11"/>
  <c r="R598" i="11" s="1"/>
  <c r="N598" i="11"/>
  <c r="P597" i="11"/>
  <c r="O597" i="11"/>
  <c r="R597" i="11" s="1"/>
  <c r="N597" i="11"/>
  <c r="P596" i="11"/>
  <c r="O596" i="11"/>
  <c r="R596" i="11" s="1"/>
  <c r="N596" i="11"/>
  <c r="P595" i="11"/>
  <c r="O595" i="11"/>
  <c r="R595" i="11" s="1"/>
  <c r="N595" i="11"/>
  <c r="P594" i="11"/>
  <c r="O594" i="11"/>
  <c r="R594" i="11" s="1"/>
  <c r="N594" i="11"/>
  <c r="P593" i="11"/>
  <c r="O593" i="11"/>
  <c r="R593" i="11" s="1"/>
  <c r="N593" i="11"/>
  <c r="P592" i="11"/>
  <c r="O592" i="11"/>
  <c r="R592" i="11" s="1"/>
  <c r="N592" i="11"/>
  <c r="P591" i="11"/>
  <c r="O591" i="11"/>
  <c r="R591" i="11" s="1"/>
  <c r="N591" i="11"/>
  <c r="P590" i="11"/>
  <c r="O590" i="11"/>
  <c r="R590" i="11" s="1"/>
  <c r="N590" i="11"/>
  <c r="P589" i="11"/>
  <c r="O589" i="11"/>
  <c r="R589" i="11" s="1"/>
  <c r="N589" i="11"/>
  <c r="P588" i="11"/>
  <c r="O588" i="11"/>
  <c r="R588" i="11" s="1"/>
  <c r="N588" i="11"/>
  <c r="P587" i="11"/>
  <c r="O587" i="11"/>
  <c r="R587" i="11" s="1"/>
  <c r="N587" i="11"/>
  <c r="P586" i="11"/>
  <c r="O586" i="11"/>
  <c r="R586" i="11" s="1"/>
  <c r="N586" i="11"/>
  <c r="P585" i="11"/>
  <c r="O585" i="11"/>
  <c r="R585" i="11" s="1"/>
  <c r="N585" i="11"/>
  <c r="P584" i="11"/>
  <c r="O584" i="11"/>
  <c r="R584" i="11" s="1"/>
  <c r="N584" i="11"/>
  <c r="P583" i="11"/>
  <c r="O583" i="11"/>
  <c r="R583" i="11" s="1"/>
  <c r="N583" i="11"/>
  <c r="P582" i="11"/>
  <c r="O582" i="11"/>
  <c r="R582" i="11" s="1"/>
  <c r="N582" i="11"/>
  <c r="P581" i="11"/>
  <c r="O581" i="11"/>
  <c r="R581" i="11" s="1"/>
  <c r="N581" i="11"/>
  <c r="P580" i="11"/>
  <c r="O580" i="11"/>
  <c r="R580" i="11" s="1"/>
  <c r="N580" i="11"/>
  <c r="P579" i="11"/>
  <c r="O579" i="11"/>
  <c r="R579" i="11" s="1"/>
  <c r="N579" i="11"/>
  <c r="P578" i="11"/>
  <c r="O578" i="11"/>
  <c r="R578" i="11" s="1"/>
  <c r="N578" i="11"/>
  <c r="P577" i="11"/>
  <c r="O577" i="11"/>
  <c r="R577" i="11" s="1"/>
  <c r="N577" i="11"/>
  <c r="P576" i="11"/>
  <c r="O576" i="11"/>
  <c r="R576" i="11" s="1"/>
  <c r="N576" i="11"/>
  <c r="P575" i="11"/>
  <c r="O575" i="11"/>
  <c r="R575" i="11" s="1"/>
  <c r="N575" i="11"/>
  <c r="P574" i="11"/>
  <c r="O574" i="11"/>
  <c r="R574" i="11" s="1"/>
  <c r="N574" i="11"/>
  <c r="P571" i="11"/>
  <c r="O571" i="11"/>
  <c r="R571" i="11" s="1"/>
  <c r="N571" i="11"/>
  <c r="P570" i="11"/>
  <c r="O570" i="11"/>
  <c r="R570" i="11" s="1"/>
  <c r="N570" i="11"/>
  <c r="P569" i="11"/>
  <c r="O569" i="11"/>
  <c r="R569" i="11" s="1"/>
  <c r="N569" i="11"/>
  <c r="P568" i="11"/>
  <c r="O568" i="11"/>
  <c r="R568" i="11" s="1"/>
  <c r="N568" i="11"/>
  <c r="P567" i="11"/>
  <c r="O567" i="11"/>
  <c r="R567" i="11" s="1"/>
  <c r="N567" i="11"/>
  <c r="P566" i="11"/>
  <c r="O566" i="11"/>
  <c r="R566" i="11" s="1"/>
  <c r="N566" i="11"/>
  <c r="P565" i="11"/>
  <c r="O565" i="11"/>
  <c r="R565" i="11" s="1"/>
  <c r="N565" i="11"/>
  <c r="P564" i="11"/>
  <c r="O564" i="11"/>
  <c r="R564" i="11" s="1"/>
  <c r="N564" i="11"/>
  <c r="P563" i="11"/>
  <c r="O563" i="11"/>
  <c r="R563" i="11" s="1"/>
  <c r="N563" i="11"/>
  <c r="P562" i="11"/>
  <c r="O562" i="11"/>
  <c r="R562" i="11" s="1"/>
  <c r="N562" i="11"/>
  <c r="P561" i="11"/>
  <c r="O561" i="11"/>
  <c r="R561" i="11" s="1"/>
  <c r="N561" i="11"/>
  <c r="P560" i="11"/>
  <c r="O560" i="11"/>
  <c r="R560" i="11" s="1"/>
  <c r="N560" i="11"/>
  <c r="P559" i="11"/>
  <c r="O559" i="11"/>
  <c r="R559" i="11" s="1"/>
  <c r="N559" i="11"/>
  <c r="P557" i="11"/>
  <c r="O557" i="11"/>
  <c r="R557" i="11" s="1"/>
  <c r="N557" i="11"/>
  <c r="P556" i="11"/>
  <c r="O556" i="11"/>
  <c r="R556" i="11" s="1"/>
  <c r="N556" i="11"/>
  <c r="P555" i="11"/>
  <c r="O555" i="11"/>
  <c r="R555" i="11" s="1"/>
  <c r="N555" i="11"/>
  <c r="P554" i="11"/>
  <c r="O554" i="11"/>
  <c r="R554" i="11" s="1"/>
  <c r="N554" i="11"/>
  <c r="P553" i="11"/>
  <c r="O553" i="11"/>
  <c r="R553" i="11" s="1"/>
  <c r="N553" i="11"/>
  <c r="P552" i="11"/>
  <c r="O552" i="11"/>
  <c r="R552" i="11" s="1"/>
  <c r="N552" i="11"/>
  <c r="P551" i="11"/>
  <c r="O551" i="11"/>
  <c r="R551" i="11" s="1"/>
  <c r="N551" i="11"/>
  <c r="P550" i="11"/>
  <c r="O550" i="11"/>
  <c r="R550" i="11" s="1"/>
  <c r="N550" i="11"/>
  <c r="P548" i="11"/>
  <c r="O548" i="11"/>
  <c r="R548" i="11" s="1"/>
  <c r="N548" i="11"/>
  <c r="P547" i="11"/>
  <c r="O547" i="11"/>
  <c r="R547" i="11" s="1"/>
  <c r="N547" i="11"/>
  <c r="P546" i="11"/>
  <c r="O546" i="11"/>
  <c r="R546" i="11" s="1"/>
  <c r="N546" i="11"/>
  <c r="P545" i="11"/>
  <c r="O545" i="11"/>
  <c r="R545" i="11" s="1"/>
  <c r="N545" i="11"/>
  <c r="P544" i="11"/>
  <c r="O544" i="11"/>
  <c r="R544" i="11" s="1"/>
  <c r="N544" i="11"/>
  <c r="P543" i="11"/>
  <c r="O543" i="11"/>
  <c r="R543" i="11" s="1"/>
  <c r="N543" i="11"/>
  <c r="P542" i="11"/>
  <c r="O542" i="11"/>
  <c r="R542" i="11" s="1"/>
  <c r="N542" i="11"/>
  <c r="P541" i="11"/>
  <c r="O541" i="11"/>
  <c r="R541" i="11" s="1"/>
  <c r="N541" i="11"/>
  <c r="P540" i="11"/>
  <c r="O540" i="11"/>
  <c r="R540" i="11" s="1"/>
  <c r="N540" i="11"/>
  <c r="P523" i="11"/>
  <c r="O523" i="11"/>
  <c r="R523" i="11" s="1"/>
  <c r="N523" i="11"/>
  <c r="P522" i="11"/>
  <c r="O522" i="11"/>
  <c r="R522" i="11" s="1"/>
  <c r="N522" i="11"/>
  <c r="P521" i="11"/>
  <c r="O521" i="11"/>
  <c r="R521" i="11" s="1"/>
  <c r="N521" i="11"/>
  <c r="P520" i="11"/>
  <c r="O520" i="11"/>
  <c r="R520" i="11" s="1"/>
  <c r="N520" i="11"/>
  <c r="P519" i="11"/>
  <c r="O519" i="11"/>
  <c r="R519" i="11" s="1"/>
  <c r="N519" i="11"/>
  <c r="P518" i="11"/>
  <c r="O518" i="11"/>
  <c r="R518" i="11" s="1"/>
  <c r="N518" i="11"/>
  <c r="P517" i="11"/>
  <c r="O517" i="11"/>
  <c r="R517" i="11" s="1"/>
  <c r="N517" i="11"/>
  <c r="P516" i="11"/>
  <c r="O516" i="11"/>
  <c r="R516" i="11" s="1"/>
  <c r="N516" i="11"/>
  <c r="P515" i="11"/>
  <c r="O515" i="11"/>
  <c r="R515" i="11" s="1"/>
  <c r="N515" i="11"/>
  <c r="P514" i="11"/>
  <c r="O514" i="11"/>
  <c r="R514" i="11" s="1"/>
  <c r="N514" i="11"/>
  <c r="P513" i="11"/>
  <c r="O513" i="11"/>
  <c r="R513" i="11" s="1"/>
  <c r="N513" i="11"/>
  <c r="P512" i="11"/>
  <c r="O512" i="11"/>
  <c r="R512" i="11" s="1"/>
  <c r="N512" i="11"/>
  <c r="P489" i="11"/>
  <c r="O489" i="11"/>
  <c r="R489" i="11" s="1"/>
  <c r="N489" i="11"/>
  <c r="P488" i="11"/>
  <c r="O488" i="11"/>
  <c r="R488" i="11" s="1"/>
  <c r="N488" i="11"/>
  <c r="P487" i="11"/>
  <c r="O487" i="11"/>
  <c r="R487" i="11" s="1"/>
  <c r="N487" i="11"/>
  <c r="P486" i="11"/>
  <c r="O486" i="11"/>
  <c r="R486" i="11" s="1"/>
  <c r="N486" i="11"/>
  <c r="P483" i="11"/>
  <c r="O483" i="11"/>
  <c r="R483" i="11" s="1"/>
  <c r="N483" i="11"/>
  <c r="P482" i="11"/>
  <c r="O482" i="11"/>
  <c r="R482" i="11" s="1"/>
  <c r="N482" i="11"/>
  <c r="P481" i="11"/>
  <c r="O481" i="11"/>
  <c r="R481" i="11" s="1"/>
  <c r="N481" i="11"/>
  <c r="P480" i="11"/>
  <c r="O480" i="11"/>
  <c r="R480" i="11" s="1"/>
  <c r="N480" i="11"/>
  <c r="P478" i="11"/>
  <c r="O478" i="11"/>
  <c r="R478" i="11" s="1"/>
  <c r="N478" i="11"/>
  <c r="P477" i="11"/>
  <c r="O477" i="11"/>
  <c r="R477" i="11" s="1"/>
  <c r="N477" i="11"/>
  <c r="P474" i="11"/>
  <c r="O474" i="11"/>
  <c r="R474" i="11" s="1"/>
  <c r="N474" i="11"/>
  <c r="P473" i="11"/>
  <c r="O473" i="11"/>
  <c r="R473" i="11" s="1"/>
  <c r="N473" i="11"/>
  <c r="P472" i="11"/>
  <c r="O472" i="11"/>
  <c r="R472" i="11" s="1"/>
  <c r="N472" i="11"/>
  <c r="P471" i="11"/>
  <c r="O471" i="11"/>
  <c r="R471" i="11" s="1"/>
  <c r="N471" i="11"/>
  <c r="P466" i="11"/>
  <c r="O466" i="11"/>
  <c r="R466" i="11" s="1"/>
  <c r="N466" i="11"/>
  <c r="P465" i="11"/>
  <c r="O465" i="11"/>
  <c r="R465" i="11" s="1"/>
  <c r="N465" i="11"/>
  <c r="P461" i="11"/>
  <c r="O461" i="11"/>
  <c r="R461" i="11" s="1"/>
  <c r="N461" i="11"/>
  <c r="P458" i="11"/>
  <c r="O458" i="11"/>
  <c r="R458" i="11" s="1"/>
  <c r="N458" i="11"/>
  <c r="P457" i="11"/>
  <c r="O457" i="11"/>
  <c r="R457" i="11" s="1"/>
  <c r="N457" i="11"/>
  <c r="P456" i="11"/>
  <c r="O456" i="11"/>
  <c r="R456" i="11" s="1"/>
  <c r="N456" i="11"/>
  <c r="P455" i="11"/>
  <c r="O455" i="11"/>
  <c r="R455" i="11" s="1"/>
  <c r="N455" i="11"/>
  <c r="P454" i="11"/>
  <c r="O454" i="11"/>
  <c r="R454" i="11" s="1"/>
  <c r="N454" i="11"/>
  <c r="P453" i="11"/>
  <c r="O453" i="11"/>
  <c r="R453" i="11" s="1"/>
  <c r="N453" i="11"/>
  <c r="P452" i="11"/>
  <c r="O452" i="11"/>
  <c r="R452" i="11" s="1"/>
  <c r="N452" i="11"/>
  <c r="P451" i="11"/>
  <c r="O451" i="11"/>
  <c r="R451" i="11" s="1"/>
  <c r="N451" i="11"/>
  <c r="P449" i="11"/>
  <c r="O449" i="11"/>
  <c r="R449" i="11" s="1"/>
  <c r="N449" i="11"/>
  <c r="P448" i="11"/>
  <c r="O448" i="11"/>
  <c r="R448" i="11" s="1"/>
  <c r="N448" i="11"/>
  <c r="P442" i="11"/>
  <c r="O442" i="11"/>
  <c r="R442" i="11" s="1"/>
  <c r="N442" i="11"/>
  <c r="P441" i="11"/>
  <c r="O441" i="11"/>
  <c r="R441" i="11" s="1"/>
  <c r="N441" i="11"/>
  <c r="P440" i="11"/>
  <c r="O440" i="11"/>
  <c r="R440" i="11" s="1"/>
  <c r="N440" i="11"/>
  <c r="P439" i="11"/>
  <c r="O439" i="11"/>
  <c r="R439" i="11" s="1"/>
  <c r="N439" i="11"/>
  <c r="P438" i="11"/>
  <c r="O438" i="11"/>
  <c r="R438" i="11" s="1"/>
  <c r="N438" i="11"/>
  <c r="P437" i="11"/>
  <c r="O437" i="11"/>
  <c r="R437" i="11" s="1"/>
  <c r="N437" i="11"/>
  <c r="P436" i="11"/>
  <c r="O436" i="11"/>
  <c r="R436" i="11" s="1"/>
  <c r="N436" i="11"/>
  <c r="P435" i="11"/>
  <c r="O435" i="11"/>
  <c r="R435" i="11" s="1"/>
  <c r="N435" i="11"/>
  <c r="P434" i="11"/>
  <c r="O434" i="11"/>
  <c r="R434" i="11" s="1"/>
  <c r="N434" i="11"/>
  <c r="P433" i="11"/>
  <c r="O433" i="11"/>
  <c r="R433" i="11" s="1"/>
  <c r="N433" i="11"/>
  <c r="P432" i="11"/>
  <c r="O432" i="11"/>
  <c r="R432" i="11" s="1"/>
  <c r="N432" i="11"/>
  <c r="P431" i="11"/>
  <c r="O431" i="11"/>
  <c r="R431" i="11" s="1"/>
  <c r="N431" i="11"/>
  <c r="P428" i="11"/>
  <c r="O428" i="11"/>
  <c r="R428" i="11" s="1"/>
  <c r="N428" i="11"/>
  <c r="P427" i="11"/>
  <c r="O427" i="11"/>
  <c r="R427" i="11" s="1"/>
  <c r="N427" i="11"/>
  <c r="P426" i="11"/>
  <c r="O426" i="11"/>
  <c r="R426" i="11" s="1"/>
  <c r="N426" i="11"/>
  <c r="P424" i="11"/>
  <c r="O424" i="11"/>
  <c r="R424" i="11" s="1"/>
  <c r="N424" i="11"/>
  <c r="P422" i="11"/>
  <c r="O422" i="11"/>
  <c r="R422" i="11" s="1"/>
  <c r="N422" i="11"/>
  <c r="P421" i="11"/>
  <c r="O421" i="11"/>
  <c r="R421" i="11" s="1"/>
  <c r="N421" i="11"/>
  <c r="P419" i="11"/>
  <c r="O419" i="11"/>
  <c r="R419" i="11" s="1"/>
  <c r="N419" i="11"/>
  <c r="P418" i="11"/>
  <c r="O418" i="11"/>
  <c r="R418" i="11" s="1"/>
  <c r="N418" i="11"/>
  <c r="P417" i="11"/>
  <c r="O417" i="11"/>
  <c r="R417" i="11" s="1"/>
  <c r="N417" i="11"/>
  <c r="P416" i="11"/>
  <c r="O416" i="11"/>
  <c r="R416" i="11" s="1"/>
  <c r="N416" i="11"/>
  <c r="P415" i="11"/>
  <c r="O415" i="11"/>
  <c r="R415" i="11" s="1"/>
  <c r="N415" i="11"/>
  <c r="P414" i="11"/>
  <c r="O414" i="11"/>
  <c r="R414" i="11" s="1"/>
  <c r="N414" i="11"/>
  <c r="P413" i="11"/>
  <c r="O413" i="11"/>
  <c r="R413" i="11" s="1"/>
  <c r="N413" i="11"/>
  <c r="P412" i="11"/>
  <c r="O412" i="11"/>
  <c r="R412" i="11" s="1"/>
  <c r="N412" i="11"/>
  <c r="P411" i="11"/>
  <c r="O411" i="11"/>
  <c r="R411" i="11" s="1"/>
  <c r="N411" i="11"/>
  <c r="P409" i="11"/>
  <c r="O409" i="11"/>
  <c r="R409" i="11" s="1"/>
  <c r="N409" i="11"/>
  <c r="P408" i="11"/>
  <c r="O408" i="11"/>
  <c r="R408" i="11" s="1"/>
  <c r="N408" i="11"/>
  <c r="P406" i="11"/>
  <c r="O406" i="11"/>
  <c r="R406" i="11" s="1"/>
  <c r="N406" i="11"/>
  <c r="P405" i="11"/>
  <c r="O405" i="11"/>
  <c r="R405" i="11" s="1"/>
  <c r="N405" i="11"/>
  <c r="P404" i="11"/>
  <c r="O404" i="11"/>
  <c r="R404" i="11" s="1"/>
  <c r="N404" i="11"/>
  <c r="P403" i="11"/>
  <c r="O403" i="11"/>
  <c r="R403" i="11" s="1"/>
  <c r="N403" i="11"/>
  <c r="P402" i="11"/>
  <c r="O402" i="11"/>
  <c r="R402" i="11" s="1"/>
  <c r="N402" i="11"/>
  <c r="P401" i="11"/>
  <c r="O401" i="11"/>
  <c r="R401" i="11" s="1"/>
  <c r="N401" i="11"/>
  <c r="P400" i="11"/>
  <c r="O400" i="11"/>
  <c r="R400" i="11" s="1"/>
  <c r="N400" i="11"/>
  <c r="P399" i="11"/>
  <c r="O399" i="11"/>
  <c r="R399" i="11" s="1"/>
  <c r="N399" i="11"/>
  <c r="P398" i="11"/>
  <c r="O398" i="11"/>
  <c r="R398" i="11" s="1"/>
  <c r="N398" i="11"/>
  <c r="P397" i="11"/>
  <c r="O397" i="11"/>
  <c r="R397" i="11" s="1"/>
  <c r="N397" i="11"/>
  <c r="P396" i="11"/>
  <c r="O396" i="11"/>
  <c r="R396" i="11" s="1"/>
  <c r="N396" i="11"/>
  <c r="P395" i="11"/>
  <c r="O395" i="11"/>
  <c r="R395" i="11" s="1"/>
  <c r="N395" i="11"/>
  <c r="P394" i="11"/>
  <c r="O394" i="11"/>
  <c r="R394" i="11" s="1"/>
  <c r="N394" i="11"/>
  <c r="P393" i="11"/>
  <c r="O393" i="11"/>
  <c r="R393" i="11" s="1"/>
  <c r="N393" i="11"/>
  <c r="P392" i="11"/>
  <c r="O392" i="11"/>
  <c r="R392" i="11" s="1"/>
  <c r="N392" i="11"/>
  <c r="P391" i="11"/>
  <c r="O391" i="11"/>
  <c r="R391" i="11" s="1"/>
  <c r="N391" i="11"/>
  <c r="P390" i="11"/>
  <c r="O390" i="11"/>
  <c r="R390" i="11" s="1"/>
  <c r="N390" i="11"/>
  <c r="P389" i="11"/>
  <c r="O389" i="11"/>
  <c r="R389" i="11" s="1"/>
  <c r="N389" i="11"/>
  <c r="P388" i="11"/>
  <c r="O388" i="11"/>
  <c r="R388" i="11" s="1"/>
  <c r="N388" i="11"/>
  <c r="P387" i="11"/>
  <c r="O387" i="11"/>
  <c r="R387" i="11" s="1"/>
  <c r="N387" i="11"/>
  <c r="P386" i="11"/>
  <c r="O386" i="11"/>
  <c r="R386" i="11" s="1"/>
  <c r="N386" i="11"/>
  <c r="P385" i="11"/>
  <c r="O385" i="11"/>
  <c r="R385" i="11" s="1"/>
  <c r="N385" i="11"/>
  <c r="P384" i="11"/>
  <c r="O384" i="11"/>
  <c r="R384" i="11" s="1"/>
  <c r="N384" i="11"/>
  <c r="P383" i="11"/>
  <c r="O383" i="11"/>
  <c r="R383" i="11" s="1"/>
  <c r="N383" i="11"/>
  <c r="P382" i="11"/>
  <c r="O382" i="11"/>
  <c r="R382" i="11" s="1"/>
  <c r="N382" i="11"/>
  <c r="P381" i="11"/>
  <c r="O381" i="11"/>
  <c r="R381" i="11" s="1"/>
  <c r="N381" i="11"/>
  <c r="P380" i="11"/>
  <c r="O380" i="11"/>
  <c r="R380" i="11" s="1"/>
  <c r="N380" i="11"/>
  <c r="P379" i="11"/>
  <c r="O379" i="11"/>
  <c r="R379" i="11" s="1"/>
  <c r="N379" i="11"/>
  <c r="P378" i="11"/>
  <c r="O378" i="11"/>
  <c r="R378" i="11" s="1"/>
  <c r="N378" i="11"/>
  <c r="P377" i="11"/>
  <c r="O377" i="11"/>
  <c r="R377" i="11" s="1"/>
  <c r="N377" i="11"/>
  <c r="P376" i="11"/>
  <c r="O376" i="11"/>
  <c r="R376" i="11" s="1"/>
  <c r="N376" i="11"/>
  <c r="P375" i="11"/>
  <c r="O375" i="11"/>
  <c r="R375" i="11" s="1"/>
  <c r="N375" i="11"/>
  <c r="P374" i="11"/>
  <c r="O374" i="11"/>
  <c r="R374" i="11" s="1"/>
  <c r="N374" i="11"/>
  <c r="P373" i="11"/>
  <c r="O373" i="11"/>
  <c r="R373" i="11" s="1"/>
  <c r="N373" i="11"/>
  <c r="P372" i="11"/>
  <c r="O372" i="11"/>
  <c r="R372" i="11" s="1"/>
  <c r="N372" i="11"/>
  <c r="P371" i="11"/>
  <c r="O371" i="11"/>
  <c r="R371" i="11" s="1"/>
  <c r="N371" i="11"/>
  <c r="P370" i="11"/>
  <c r="O370" i="11"/>
  <c r="R370" i="11" s="1"/>
  <c r="N370" i="11"/>
  <c r="P369" i="11"/>
  <c r="O369" i="11"/>
  <c r="R369" i="11" s="1"/>
  <c r="N369" i="11"/>
  <c r="P368" i="11"/>
  <c r="O368" i="11"/>
  <c r="R368" i="11" s="1"/>
  <c r="N368" i="11"/>
  <c r="P367" i="11"/>
  <c r="O367" i="11"/>
  <c r="R367" i="11" s="1"/>
  <c r="N367" i="11"/>
  <c r="P366" i="11"/>
  <c r="O366" i="11"/>
  <c r="R366" i="11" s="1"/>
  <c r="N366" i="11"/>
  <c r="P365" i="11"/>
  <c r="O365" i="11"/>
  <c r="R365" i="11" s="1"/>
  <c r="N365" i="11"/>
  <c r="P364" i="11"/>
  <c r="O364" i="11"/>
  <c r="R364" i="11" s="1"/>
  <c r="N364" i="11"/>
  <c r="P363" i="11"/>
  <c r="O363" i="11"/>
  <c r="R363" i="11" s="1"/>
  <c r="N363" i="11"/>
  <c r="P362" i="11"/>
  <c r="O362" i="11"/>
  <c r="R362" i="11" s="1"/>
  <c r="N362" i="11"/>
  <c r="P361" i="11"/>
  <c r="O361" i="11"/>
  <c r="R361" i="11" s="1"/>
  <c r="N361" i="11"/>
  <c r="P360" i="11"/>
  <c r="O360" i="11"/>
  <c r="R360" i="11" s="1"/>
  <c r="N360" i="11"/>
  <c r="P359" i="11"/>
  <c r="O359" i="11"/>
  <c r="R359" i="11" s="1"/>
  <c r="N359" i="11"/>
  <c r="P358" i="11"/>
  <c r="O358" i="11"/>
  <c r="R358" i="11" s="1"/>
  <c r="N358" i="11"/>
  <c r="P357" i="11"/>
  <c r="O357" i="11"/>
  <c r="R357" i="11" s="1"/>
  <c r="N357" i="11"/>
  <c r="P356" i="11"/>
  <c r="O356" i="11"/>
  <c r="R356" i="11" s="1"/>
  <c r="N356" i="11"/>
  <c r="P355" i="11"/>
  <c r="O355" i="11"/>
  <c r="R355" i="11" s="1"/>
  <c r="N355" i="11"/>
  <c r="P354" i="11"/>
  <c r="O354" i="11"/>
  <c r="R354" i="11" s="1"/>
  <c r="N354" i="11"/>
  <c r="P353" i="11"/>
  <c r="O353" i="11"/>
  <c r="R353" i="11" s="1"/>
  <c r="N353" i="11"/>
  <c r="P352" i="11"/>
  <c r="O352" i="11"/>
  <c r="R352" i="11" s="1"/>
  <c r="N352" i="11"/>
  <c r="P351" i="11"/>
  <c r="O351" i="11"/>
  <c r="R351" i="11" s="1"/>
  <c r="N351" i="11"/>
  <c r="P350" i="11"/>
  <c r="O350" i="11"/>
  <c r="R350" i="11" s="1"/>
  <c r="N350" i="11"/>
  <c r="P349" i="11"/>
  <c r="O349" i="11"/>
  <c r="R349" i="11" s="1"/>
  <c r="N349" i="11"/>
  <c r="P348" i="11"/>
  <c r="O348" i="11"/>
  <c r="R348" i="11" s="1"/>
  <c r="N348" i="11"/>
  <c r="P347" i="11"/>
  <c r="O347" i="11"/>
  <c r="R347" i="11" s="1"/>
  <c r="N347" i="11"/>
  <c r="P346" i="11"/>
  <c r="O346" i="11"/>
  <c r="R346" i="11" s="1"/>
  <c r="N346" i="11"/>
  <c r="P345" i="11"/>
  <c r="O345" i="11"/>
  <c r="R345" i="11" s="1"/>
  <c r="N345" i="11"/>
  <c r="P344" i="11"/>
  <c r="O344" i="11"/>
  <c r="R344" i="11" s="1"/>
  <c r="N344" i="11"/>
  <c r="P341" i="11"/>
  <c r="O341" i="11"/>
  <c r="R341" i="11" s="1"/>
  <c r="N341" i="11"/>
  <c r="P340" i="11"/>
  <c r="O340" i="11"/>
  <c r="R340" i="11" s="1"/>
  <c r="N340" i="11"/>
  <c r="P339" i="11"/>
  <c r="O339" i="11"/>
  <c r="R339" i="11" s="1"/>
  <c r="N339" i="11"/>
  <c r="P338" i="11"/>
  <c r="O338" i="11"/>
  <c r="R338" i="11" s="1"/>
  <c r="N338" i="11"/>
  <c r="P336" i="11"/>
  <c r="O336" i="11"/>
  <c r="R336" i="11" s="1"/>
  <c r="N336" i="11"/>
  <c r="P335" i="11"/>
  <c r="O335" i="11"/>
  <c r="R335" i="11" s="1"/>
  <c r="N335" i="11"/>
  <c r="P334" i="11"/>
  <c r="O334" i="11"/>
  <c r="R334" i="11" s="1"/>
  <c r="N334" i="11"/>
  <c r="P333" i="11"/>
  <c r="O333" i="11"/>
  <c r="R333" i="11" s="1"/>
  <c r="N333" i="11"/>
  <c r="P332" i="11"/>
  <c r="O332" i="11"/>
  <c r="R332" i="11" s="1"/>
  <c r="N332" i="11"/>
  <c r="P331" i="11"/>
  <c r="O331" i="11"/>
  <c r="R331" i="11" s="1"/>
  <c r="N331" i="11"/>
  <c r="P330" i="11"/>
  <c r="O330" i="11"/>
  <c r="R330" i="11" s="1"/>
  <c r="N330" i="11"/>
  <c r="P329" i="11"/>
  <c r="O329" i="11"/>
  <c r="R329" i="11" s="1"/>
  <c r="N329" i="11"/>
  <c r="P328" i="11"/>
  <c r="O328" i="11"/>
  <c r="R328" i="11" s="1"/>
  <c r="N328" i="11"/>
  <c r="P327" i="11"/>
  <c r="O327" i="11"/>
  <c r="R327" i="11" s="1"/>
  <c r="N327" i="11"/>
  <c r="P326" i="11"/>
  <c r="O326" i="11"/>
  <c r="R326" i="11" s="1"/>
  <c r="N326" i="11"/>
  <c r="P325" i="11"/>
  <c r="O325" i="11"/>
  <c r="R325" i="11" s="1"/>
  <c r="N325" i="11"/>
  <c r="P324" i="11"/>
  <c r="O324" i="11"/>
  <c r="R324" i="11" s="1"/>
  <c r="N324" i="11"/>
  <c r="P323" i="11"/>
  <c r="O323" i="11"/>
  <c r="R323" i="11" s="1"/>
  <c r="N323" i="11"/>
  <c r="P322" i="11"/>
  <c r="O322" i="11"/>
  <c r="R322" i="11" s="1"/>
  <c r="N322" i="11"/>
  <c r="P321" i="11"/>
  <c r="O321" i="11"/>
  <c r="R321" i="11" s="1"/>
  <c r="N321" i="11"/>
  <c r="P320" i="11"/>
  <c r="O320" i="11"/>
  <c r="R320" i="11" s="1"/>
  <c r="N320" i="11"/>
  <c r="P319" i="11"/>
  <c r="O319" i="11"/>
  <c r="R319" i="11" s="1"/>
  <c r="N319" i="11"/>
  <c r="P318" i="11"/>
  <c r="O318" i="11"/>
  <c r="R318" i="11" s="1"/>
  <c r="N318" i="11"/>
  <c r="P317" i="11"/>
  <c r="O317" i="11"/>
  <c r="R317" i="11" s="1"/>
  <c r="N317" i="11"/>
  <c r="P316" i="11"/>
  <c r="O316" i="11"/>
  <c r="R316" i="11" s="1"/>
  <c r="N316" i="11"/>
  <c r="P315" i="11"/>
  <c r="O315" i="11"/>
  <c r="R315" i="11" s="1"/>
  <c r="N315" i="11"/>
  <c r="P314" i="11"/>
  <c r="O314" i="11"/>
  <c r="R314" i="11" s="1"/>
  <c r="N314" i="11"/>
  <c r="P313" i="11"/>
  <c r="O313" i="11"/>
  <c r="R313" i="11" s="1"/>
  <c r="N313" i="11"/>
  <c r="P312" i="11"/>
  <c r="O312" i="11"/>
  <c r="R312" i="11" s="1"/>
  <c r="N312" i="11"/>
  <c r="P311" i="11"/>
  <c r="O311" i="11"/>
  <c r="R311" i="11" s="1"/>
  <c r="N311" i="11"/>
  <c r="P310" i="11"/>
  <c r="O310" i="11"/>
  <c r="R310" i="11" s="1"/>
  <c r="N310" i="11"/>
  <c r="P309" i="11"/>
  <c r="O309" i="11"/>
  <c r="R309" i="11" s="1"/>
  <c r="N309" i="11"/>
  <c r="P308" i="11"/>
  <c r="O308" i="11"/>
  <c r="R308" i="11" s="1"/>
  <c r="N308" i="11"/>
  <c r="P307" i="11"/>
  <c r="O307" i="11"/>
  <c r="R307" i="11" s="1"/>
  <c r="N307" i="11"/>
  <c r="P306" i="11"/>
  <c r="O306" i="11"/>
  <c r="R306" i="11" s="1"/>
  <c r="N306" i="11"/>
  <c r="P305" i="11"/>
  <c r="O305" i="11"/>
  <c r="R305" i="11" s="1"/>
  <c r="N305" i="11"/>
  <c r="P304" i="11"/>
  <c r="O304" i="11"/>
  <c r="R304" i="11" s="1"/>
  <c r="N304" i="11"/>
  <c r="P303" i="11"/>
  <c r="O303" i="11"/>
  <c r="R303" i="11" s="1"/>
  <c r="N303" i="11"/>
  <c r="P302" i="11"/>
  <c r="O302" i="11"/>
  <c r="R302" i="11" s="1"/>
  <c r="N302" i="11"/>
  <c r="P301" i="11"/>
  <c r="O301" i="11"/>
  <c r="R301" i="11" s="1"/>
  <c r="N301" i="11"/>
  <c r="P300" i="11"/>
  <c r="O300" i="11"/>
  <c r="R300" i="11" s="1"/>
  <c r="N300" i="11"/>
  <c r="P299" i="11"/>
  <c r="O299" i="11"/>
  <c r="R299" i="11" s="1"/>
  <c r="N299" i="11"/>
  <c r="P298" i="11"/>
  <c r="O298" i="11"/>
  <c r="R298" i="11" s="1"/>
  <c r="N298" i="11"/>
  <c r="P297" i="11"/>
  <c r="O297" i="11"/>
  <c r="R297" i="11" s="1"/>
  <c r="N297" i="11"/>
  <c r="P296" i="11"/>
  <c r="O296" i="11"/>
  <c r="R296" i="11" s="1"/>
  <c r="N296" i="11"/>
  <c r="P295" i="11"/>
  <c r="O295" i="11"/>
  <c r="R295" i="11" s="1"/>
  <c r="N295" i="11"/>
  <c r="P294" i="11"/>
  <c r="O294" i="11"/>
  <c r="R294" i="11" s="1"/>
  <c r="N294" i="11"/>
  <c r="P293" i="11"/>
  <c r="O293" i="11"/>
  <c r="R293" i="11" s="1"/>
  <c r="N293" i="11"/>
  <c r="P292" i="11"/>
  <c r="O292" i="11"/>
  <c r="R292" i="11" s="1"/>
  <c r="N292" i="11"/>
  <c r="P291" i="11"/>
  <c r="O291" i="11"/>
  <c r="R291" i="11" s="1"/>
  <c r="N291" i="11"/>
  <c r="P290" i="11"/>
  <c r="O290" i="11"/>
  <c r="R290" i="11" s="1"/>
  <c r="N290" i="11"/>
  <c r="P289" i="11"/>
  <c r="O289" i="11"/>
  <c r="R289" i="11" s="1"/>
  <c r="N289" i="11"/>
  <c r="P288" i="11"/>
  <c r="O288" i="11"/>
  <c r="R288" i="11" s="1"/>
  <c r="N288" i="11"/>
  <c r="P287" i="11"/>
  <c r="O287" i="11"/>
  <c r="R287" i="11" s="1"/>
  <c r="N287" i="11"/>
  <c r="P286" i="11"/>
  <c r="O286" i="11"/>
  <c r="R286" i="11" s="1"/>
  <c r="N286" i="11"/>
  <c r="P285" i="11"/>
  <c r="O285" i="11"/>
  <c r="R285" i="11" s="1"/>
  <c r="N285" i="11"/>
  <c r="P284" i="11"/>
  <c r="O284" i="11"/>
  <c r="R284" i="11" s="1"/>
  <c r="N284" i="11"/>
  <c r="P283" i="11"/>
  <c r="O283" i="11"/>
  <c r="R283" i="11" s="1"/>
  <c r="N283" i="11"/>
  <c r="P282" i="11"/>
  <c r="O282" i="11"/>
  <c r="R282" i="11" s="1"/>
  <c r="N282" i="11"/>
  <c r="P281" i="11"/>
  <c r="O281" i="11"/>
  <c r="R281" i="11" s="1"/>
  <c r="N281" i="11"/>
  <c r="P280" i="11"/>
  <c r="O280" i="11"/>
  <c r="R280" i="11" s="1"/>
  <c r="N280" i="11"/>
  <c r="P279" i="11"/>
  <c r="O279" i="11"/>
  <c r="R279" i="11" s="1"/>
  <c r="N279" i="11"/>
  <c r="P278" i="11"/>
  <c r="O278" i="11"/>
  <c r="R278" i="11" s="1"/>
  <c r="N278" i="11"/>
  <c r="P277" i="11"/>
  <c r="O277" i="11"/>
  <c r="R277" i="11" s="1"/>
  <c r="N277" i="11"/>
  <c r="P276" i="11"/>
  <c r="O276" i="11"/>
  <c r="R276" i="11" s="1"/>
  <c r="N276" i="11"/>
  <c r="P275" i="11"/>
  <c r="O275" i="11"/>
  <c r="R275" i="11" s="1"/>
  <c r="N275" i="11"/>
  <c r="P274" i="11"/>
  <c r="O274" i="11"/>
  <c r="R274" i="11" s="1"/>
  <c r="N274" i="11"/>
  <c r="P273" i="11"/>
  <c r="O273" i="11"/>
  <c r="R273" i="11" s="1"/>
  <c r="N273" i="11"/>
  <c r="P272" i="11"/>
  <c r="O272" i="11"/>
  <c r="R272" i="11" s="1"/>
  <c r="N272" i="11"/>
  <c r="P271" i="11"/>
  <c r="O271" i="11"/>
  <c r="R271" i="11" s="1"/>
  <c r="N271" i="11"/>
  <c r="P270" i="11"/>
  <c r="O270" i="11"/>
  <c r="R270" i="11" s="1"/>
  <c r="N270" i="11"/>
  <c r="P269" i="11"/>
  <c r="O269" i="11"/>
  <c r="R269" i="11" s="1"/>
  <c r="N269" i="11"/>
  <c r="P268" i="11"/>
  <c r="O268" i="11"/>
  <c r="R268" i="11" s="1"/>
  <c r="N268" i="11"/>
  <c r="P267" i="11"/>
  <c r="O267" i="11"/>
  <c r="R267" i="11" s="1"/>
  <c r="N267" i="11"/>
  <c r="P266" i="11"/>
  <c r="O266" i="11"/>
  <c r="R266" i="11" s="1"/>
  <c r="N266" i="11"/>
  <c r="P265" i="11"/>
  <c r="O265" i="11"/>
  <c r="R265" i="11" s="1"/>
  <c r="N265" i="11"/>
  <c r="P264" i="11"/>
  <c r="O264" i="11"/>
  <c r="R264" i="11" s="1"/>
  <c r="N264" i="11"/>
  <c r="P263" i="11"/>
  <c r="O263" i="11"/>
  <c r="R263" i="11" s="1"/>
  <c r="N263" i="11"/>
  <c r="P262" i="11"/>
  <c r="O262" i="11"/>
  <c r="R262" i="11" s="1"/>
  <c r="N262" i="11"/>
  <c r="P261" i="11"/>
  <c r="O261" i="11"/>
  <c r="R261" i="11" s="1"/>
  <c r="N261" i="11"/>
  <c r="P244" i="11"/>
  <c r="O244" i="11"/>
  <c r="R244" i="11" s="1"/>
  <c r="N244" i="11"/>
  <c r="P239" i="11"/>
  <c r="O239" i="11"/>
  <c r="R239" i="11" s="1"/>
  <c r="N239" i="11"/>
  <c r="P236" i="11"/>
  <c r="O236" i="11"/>
  <c r="R236" i="11" s="1"/>
  <c r="N236" i="11"/>
  <c r="P234" i="11"/>
  <c r="O234" i="11"/>
  <c r="R234" i="11" s="1"/>
  <c r="N234" i="11"/>
  <c r="P230" i="11"/>
  <c r="O230" i="11"/>
  <c r="R230" i="11" s="1"/>
  <c r="N230" i="11"/>
  <c r="P229" i="11"/>
  <c r="O229" i="11"/>
  <c r="R229" i="11" s="1"/>
  <c r="N229" i="11"/>
  <c r="P228" i="11"/>
  <c r="O228" i="11"/>
  <c r="R228" i="11" s="1"/>
  <c r="N228" i="11"/>
  <c r="P227" i="11"/>
  <c r="O227" i="11"/>
  <c r="R227" i="11" s="1"/>
  <c r="N227" i="11"/>
  <c r="P226" i="11"/>
  <c r="O226" i="11"/>
  <c r="R226" i="11" s="1"/>
  <c r="N226" i="11"/>
  <c r="P223" i="11"/>
  <c r="O223" i="11"/>
  <c r="R223" i="11" s="1"/>
  <c r="N223" i="11"/>
  <c r="P222" i="11"/>
  <c r="O222" i="11"/>
  <c r="R222" i="11" s="1"/>
  <c r="N222" i="11"/>
  <c r="P220" i="11"/>
  <c r="O220" i="11"/>
  <c r="R220" i="11" s="1"/>
  <c r="N220" i="11"/>
  <c r="P219" i="11"/>
  <c r="O219" i="11"/>
  <c r="R219" i="11" s="1"/>
  <c r="N219" i="11"/>
  <c r="P217" i="11"/>
  <c r="O217" i="11"/>
  <c r="R217" i="11" s="1"/>
  <c r="N217" i="11"/>
  <c r="P216" i="11"/>
  <c r="O216" i="11"/>
  <c r="R216" i="11" s="1"/>
  <c r="N216" i="11"/>
  <c r="P215" i="11"/>
  <c r="O215" i="11"/>
  <c r="R215" i="11" s="1"/>
  <c r="N215" i="11"/>
  <c r="P214" i="11"/>
  <c r="O214" i="11"/>
  <c r="R214" i="11" s="1"/>
  <c r="N214" i="11"/>
  <c r="P213" i="11"/>
  <c r="O213" i="11"/>
  <c r="R213" i="11" s="1"/>
  <c r="N213" i="11"/>
  <c r="P211" i="11"/>
  <c r="O211" i="11"/>
  <c r="R211" i="11" s="1"/>
  <c r="N211" i="11"/>
  <c r="P210" i="11"/>
  <c r="O210" i="11"/>
  <c r="R210" i="11" s="1"/>
  <c r="N210" i="11"/>
  <c r="P209" i="11"/>
  <c r="O209" i="11"/>
  <c r="R209" i="11" s="1"/>
  <c r="N209" i="11"/>
  <c r="P208" i="11"/>
  <c r="O208" i="11"/>
  <c r="R208" i="11" s="1"/>
  <c r="N208" i="11"/>
  <c r="P207" i="11"/>
  <c r="O207" i="11"/>
  <c r="R207" i="11" s="1"/>
  <c r="N207" i="11"/>
  <c r="P206" i="11"/>
  <c r="O206" i="11"/>
  <c r="R206" i="11" s="1"/>
  <c r="N206" i="11"/>
  <c r="P204" i="11"/>
  <c r="O204" i="11"/>
  <c r="R204" i="11" s="1"/>
  <c r="N204" i="11"/>
  <c r="P203" i="11"/>
  <c r="O203" i="11"/>
  <c r="R203" i="11" s="1"/>
  <c r="N203" i="11"/>
  <c r="P202" i="11"/>
  <c r="O202" i="11"/>
  <c r="R202" i="11" s="1"/>
  <c r="N202" i="11"/>
  <c r="P201" i="11"/>
  <c r="O201" i="11"/>
  <c r="R201" i="11" s="1"/>
  <c r="N201" i="11"/>
  <c r="P200" i="11"/>
  <c r="O200" i="11"/>
  <c r="R200" i="11" s="1"/>
  <c r="N200" i="11"/>
  <c r="P199" i="11"/>
  <c r="O199" i="11"/>
  <c r="R199" i="11" s="1"/>
  <c r="N199" i="11"/>
  <c r="P198" i="11"/>
  <c r="O198" i="11"/>
  <c r="R198" i="11" s="1"/>
  <c r="N198" i="11"/>
  <c r="P197" i="11"/>
  <c r="O197" i="11"/>
  <c r="R197" i="11" s="1"/>
  <c r="N197" i="11"/>
  <c r="P196" i="11"/>
  <c r="O196" i="11"/>
  <c r="R196" i="11" s="1"/>
  <c r="N196" i="11"/>
  <c r="P195" i="11"/>
  <c r="O195" i="11"/>
  <c r="R195" i="11" s="1"/>
  <c r="N195" i="11"/>
  <c r="P194" i="11"/>
  <c r="O194" i="11"/>
  <c r="R194" i="11" s="1"/>
  <c r="N194" i="11"/>
  <c r="P193" i="11"/>
  <c r="O193" i="11"/>
  <c r="R193" i="11" s="1"/>
  <c r="N193" i="11"/>
  <c r="P192" i="11"/>
  <c r="O192" i="11"/>
  <c r="R192" i="11" s="1"/>
  <c r="N192" i="11"/>
  <c r="P191" i="11"/>
  <c r="O191" i="11"/>
  <c r="R191" i="11" s="1"/>
  <c r="N191" i="11"/>
  <c r="P190" i="11"/>
  <c r="O190" i="11"/>
  <c r="R190" i="11" s="1"/>
  <c r="N190" i="11"/>
  <c r="P188" i="11"/>
  <c r="O188" i="11"/>
  <c r="R188" i="11" s="1"/>
  <c r="N188" i="11"/>
  <c r="P187" i="11"/>
  <c r="O187" i="11"/>
  <c r="R187" i="11" s="1"/>
  <c r="N187" i="11"/>
  <c r="P186" i="11"/>
  <c r="O186" i="11"/>
  <c r="R186" i="11" s="1"/>
  <c r="N186" i="11"/>
  <c r="P185" i="11"/>
  <c r="O185" i="11"/>
  <c r="R185" i="11" s="1"/>
  <c r="N185" i="11"/>
  <c r="P184" i="11"/>
  <c r="O184" i="11"/>
  <c r="R184" i="11" s="1"/>
  <c r="N184" i="11"/>
  <c r="P183" i="11"/>
  <c r="O183" i="11"/>
  <c r="R183" i="11" s="1"/>
  <c r="N183" i="11"/>
  <c r="P182" i="11"/>
  <c r="O182" i="11"/>
  <c r="R182" i="11" s="1"/>
  <c r="N182" i="11"/>
  <c r="P181" i="11"/>
  <c r="O181" i="11"/>
  <c r="R181" i="11" s="1"/>
  <c r="N181" i="11"/>
  <c r="P180" i="11"/>
  <c r="O180" i="11"/>
  <c r="R180" i="11" s="1"/>
  <c r="N180" i="11"/>
  <c r="P178" i="11"/>
  <c r="O178" i="11"/>
  <c r="R178" i="11" s="1"/>
  <c r="N178" i="11"/>
  <c r="P175" i="11"/>
  <c r="O175" i="11"/>
  <c r="R175" i="11" s="1"/>
  <c r="N175" i="11"/>
  <c r="P174" i="11"/>
  <c r="O174" i="11"/>
  <c r="R174" i="11" s="1"/>
  <c r="N174" i="11"/>
  <c r="P173" i="11"/>
  <c r="O173" i="11"/>
  <c r="R173" i="11" s="1"/>
  <c r="N173" i="11"/>
  <c r="P171" i="11"/>
  <c r="O171" i="11"/>
  <c r="R171" i="11" s="1"/>
  <c r="N171" i="11"/>
  <c r="P169" i="11"/>
  <c r="O169" i="11"/>
  <c r="R169" i="11" s="1"/>
  <c r="N169" i="11"/>
  <c r="P168" i="11"/>
  <c r="O168" i="11"/>
  <c r="R168" i="11" s="1"/>
  <c r="N168" i="11"/>
  <c r="P167" i="11"/>
  <c r="O167" i="11"/>
  <c r="R167" i="11" s="1"/>
  <c r="N167" i="11"/>
  <c r="P166" i="11"/>
  <c r="O166" i="11"/>
  <c r="R166" i="11" s="1"/>
  <c r="N166" i="11"/>
  <c r="P165" i="11"/>
  <c r="O165" i="11"/>
  <c r="R165" i="11" s="1"/>
  <c r="N165" i="11"/>
  <c r="P164" i="11"/>
  <c r="O164" i="11"/>
  <c r="R164" i="11" s="1"/>
  <c r="N164" i="11"/>
  <c r="P163" i="11"/>
  <c r="O163" i="11"/>
  <c r="R163" i="11" s="1"/>
  <c r="N163" i="11"/>
  <c r="P162" i="11"/>
  <c r="O162" i="11"/>
  <c r="R162" i="11" s="1"/>
  <c r="N162" i="11"/>
  <c r="P161" i="11"/>
  <c r="O161" i="11"/>
  <c r="R161" i="11" s="1"/>
  <c r="N161" i="11"/>
  <c r="P160" i="11"/>
  <c r="O160" i="11"/>
  <c r="R160" i="11" s="1"/>
  <c r="N160" i="11"/>
  <c r="P159" i="11"/>
  <c r="O159" i="11"/>
  <c r="R159" i="11" s="1"/>
  <c r="N159" i="11"/>
  <c r="P158" i="11"/>
  <c r="O158" i="11"/>
  <c r="R158" i="11" s="1"/>
  <c r="N158" i="11"/>
  <c r="P157" i="11"/>
  <c r="O157" i="11"/>
  <c r="R157" i="11" s="1"/>
  <c r="N157" i="11"/>
  <c r="P156" i="11"/>
  <c r="O156" i="11"/>
  <c r="R156" i="11" s="1"/>
  <c r="N156" i="11"/>
  <c r="P155" i="11"/>
  <c r="O155" i="11"/>
  <c r="R155" i="11" s="1"/>
  <c r="N155" i="11"/>
  <c r="P153" i="11"/>
  <c r="O153" i="11"/>
  <c r="R153" i="11" s="1"/>
  <c r="N153" i="11"/>
  <c r="P152" i="11"/>
  <c r="O152" i="11"/>
  <c r="R152" i="11" s="1"/>
  <c r="N152" i="11"/>
  <c r="P151" i="11"/>
  <c r="O151" i="11"/>
  <c r="R151" i="11" s="1"/>
  <c r="N151" i="11"/>
  <c r="P150" i="11"/>
  <c r="O150" i="11"/>
  <c r="R150" i="11" s="1"/>
  <c r="N150" i="11"/>
  <c r="P148" i="11"/>
  <c r="O148" i="11"/>
  <c r="R148" i="11" s="1"/>
  <c r="N148" i="11"/>
  <c r="P146" i="11"/>
  <c r="O146" i="11"/>
  <c r="R146" i="11" s="1"/>
  <c r="N146" i="11"/>
  <c r="P145" i="11"/>
  <c r="O145" i="11"/>
  <c r="R145" i="11" s="1"/>
  <c r="N145" i="11"/>
  <c r="P144" i="11"/>
  <c r="O144" i="11"/>
  <c r="R144" i="11" s="1"/>
  <c r="N144" i="11"/>
  <c r="P143" i="11"/>
  <c r="O143" i="11"/>
  <c r="R143" i="11" s="1"/>
  <c r="N143" i="11"/>
  <c r="P141" i="11"/>
  <c r="O141" i="11"/>
  <c r="R141" i="11" s="1"/>
  <c r="N141" i="11"/>
  <c r="P140" i="11"/>
  <c r="O140" i="11"/>
  <c r="R140" i="11" s="1"/>
  <c r="N140" i="11"/>
  <c r="P138" i="11"/>
  <c r="O138" i="11"/>
  <c r="R138" i="11" s="1"/>
  <c r="N138" i="11"/>
  <c r="P137" i="11"/>
  <c r="O137" i="11"/>
  <c r="R137" i="11" s="1"/>
  <c r="N137" i="11"/>
  <c r="P136" i="11"/>
  <c r="O136" i="11"/>
  <c r="R136" i="11" s="1"/>
  <c r="N136" i="11"/>
  <c r="P135" i="11"/>
  <c r="O135" i="11"/>
  <c r="R135" i="11" s="1"/>
  <c r="N135" i="11"/>
  <c r="P133" i="11"/>
  <c r="O133" i="11"/>
  <c r="R133" i="11" s="1"/>
  <c r="N133" i="11"/>
  <c r="P132" i="11"/>
  <c r="O132" i="11"/>
  <c r="R132" i="11" s="1"/>
  <c r="N132" i="11"/>
  <c r="P131" i="11"/>
  <c r="O131" i="11"/>
  <c r="R131" i="11" s="1"/>
  <c r="N131" i="11"/>
  <c r="P129" i="11"/>
  <c r="O129" i="11"/>
  <c r="R129" i="11" s="1"/>
  <c r="N129" i="11"/>
  <c r="P128" i="11"/>
  <c r="O128" i="11"/>
  <c r="R128" i="11" s="1"/>
  <c r="N128" i="11"/>
  <c r="P127" i="11"/>
  <c r="O127" i="11"/>
  <c r="R127" i="11" s="1"/>
  <c r="N127" i="11"/>
  <c r="P126" i="11"/>
  <c r="O126" i="11"/>
  <c r="R126" i="11" s="1"/>
  <c r="N126" i="11"/>
  <c r="P125" i="11"/>
  <c r="O125" i="11"/>
  <c r="R125" i="11" s="1"/>
  <c r="N125" i="11"/>
  <c r="P124" i="11"/>
  <c r="O124" i="11"/>
  <c r="R124" i="11" s="1"/>
  <c r="N124" i="11"/>
  <c r="P123" i="11"/>
  <c r="O123" i="11"/>
  <c r="R123" i="11" s="1"/>
  <c r="N123" i="11"/>
  <c r="P122" i="11"/>
  <c r="O122" i="11"/>
  <c r="R122" i="11" s="1"/>
  <c r="N122" i="11"/>
  <c r="P121" i="11"/>
  <c r="O121" i="11"/>
  <c r="R121" i="11" s="1"/>
  <c r="N121" i="11"/>
  <c r="P120" i="11"/>
  <c r="O120" i="11"/>
  <c r="R120" i="11" s="1"/>
  <c r="N120" i="11"/>
  <c r="P119" i="11"/>
  <c r="O119" i="11"/>
  <c r="R119" i="11" s="1"/>
  <c r="N119" i="11"/>
  <c r="P118" i="11"/>
  <c r="O118" i="11"/>
  <c r="R118" i="11" s="1"/>
  <c r="N118" i="11"/>
  <c r="P117" i="11"/>
  <c r="O117" i="11"/>
  <c r="R117" i="11" s="1"/>
  <c r="N117" i="11"/>
  <c r="P116" i="11"/>
  <c r="O116" i="11"/>
  <c r="R116" i="11" s="1"/>
  <c r="N116" i="11"/>
  <c r="P115" i="11"/>
  <c r="O115" i="11"/>
  <c r="R115" i="11" s="1"/>
  <c r="N115" i="11"/>
  <c r="P114" i="11"/>
  <c r="O114" i="11"/>
  <c r="R114" i="11" s="1"/>
  <c r="N114" i="11"/>
  <c r="P113" i="11"/>
  <c r="O113" i="11"/>
  <c r="R113" i="11" s="1"/>
  <c r="N113" i="11"/>
  <c r="P112" i="11"/>
  <c r="O112" i="11"/>
  <c r="R112" i="11" s="1"/>
  <c r="N112" i="11"/>
  <c r="P111" i="11"/>
  <c r="O111" i="11"/>
  <c r="R111" i="11" s="1"/>
  <c r="N111" i="11"/>
  <c r="P110" i="11"/>
  <c r="O110" i="11"/>
  <c r="R110" i="11" s="1"/>
  <c r="N110" i="11"/>
  <c r="P107" i="11"/>
  <c r="O107" i="11"/>
  <c r="R107" i="11" s="1"/>
  <c r="N107" i="11"/>
  <c r="P106" i="11"/>
  <c r="O106" i="11"/>
  <c r="R106" i="11" s="1"/>
  <c r="N106" i="11"/>
  <c r="P105" i="11"/>
  <c r="O105" i="11"/>
  <c r="R105" i="11" s="1"/>
  <c r="N105" i="11"/>
  <c r="P104" i="11"/>
  <c r="O104" i="11"/>
  <c r="R104" i="11" s="1"/>
  <c r="N104" i="11"/>
  <c r="P103" i="11"/>
  <c r="O103" i="11"/>
  <c r="R103" i="11" s="1"/>
  <c r="N103" i="11"/>
  <c r="P102" i="11"/>
  <c r="O102" i="11"/>
  <c r="R102" i="11" s="1"/>
  <c r="N102" i="11"/>
  <c r="P100" i="11"/>
  <c r="O100" i="11"/>
  <c r="R100" i="11" s="1"/>
  <c r="N100" i="11"/>
  <c r="P99" i="11"/>
  <c r="O99" i="11"/>
  <c r="R99" i="11" s="1"/>
  <c r="N99" i="11"/>
  <c r="P98" i="11"/>
  <c r="O98" i="11"/>
  <c r="R98" i="11" s="1"/>
  <c r="N98" i="11"/>
  <c r="P97" i="11"/>
  <c r="O97" i="11"/>
  <c r="R97" i="11" s="1"/>
  <c r="N97" i="11"/>
  <c r="P96" i="11"/>
  <c r="O96" i="11"/>
  <c r="R96" i="11" s="1"/>
  <c r="N96" i="11"/>
  <c r="P95" i="11"/>
  <c r="O95" i="11"/>
  <c r="R95" i="11" s="1"/>
  <c r="N95" i="11"/>
  <c r="P93" i="11"/>
  <c r="O93" i="11"/>
  <c r="R93" i="11" s="1"/>
  <c r="N93" i="11"/>
  <c r="P92" i="11"/>
  <c r="O92" i="11"/>
  <c r="R92" i="11" s="1"/>
  <c r="N92" i="11"/>
  <c r="P91" i="11"/>
  <c r="O91" i="11"/>
  <c r="R91" i="11" s="1"/>
  <c r="N91" i="11"/>
  <c r="P90" i="11"/>
  <c r="O90" i="11"/>
  <c r="R90" i="11" s="1"/>
  <c r="N90" i="11"/>
  <c r="P89" i="11"/>
  <c r="O89" i="11"/>
  <c r="R89" i="11" s="1"/>
  <c r="N89" i="11"/>
  <c r="P88" i="11"/>
  <c r="O88" i="11"/>
  <c r="R88" i="11" s="1"/>
  <c r="N88" i="11"/>
  <c r="P87" i="11"/>
  <c r="O87" i="11"/>
  <c r="R87" i="11" s="1"/>
  <c r="N87" i="11"/>
  <c r="P86" i="11"/>
  <c r="O86" i="11"/>
  <c r="R86" i="11" s="1"/>
  <c r="N86" i="11"/>
  <c r="P85" i="11"/>
  <c r="O85" i="11"/>
  <c r="R85" i="11" s="1"/>
  <c r="N85" i="11"/>
  <c r="P84" i="11"/>
  <c r="O84" i="11"/>
  <c r="R84" i="11" s="1"/>
  <c r="N84" i="11"/>
  <c r="P83" i="11"/>
  <c r="O83" i="11"/>
  <c r="R83" i="11" s="1"/>
  <c r="N83" i="11"/>
  <c r="P82" i="11"/>
  <c r="O82" i="11"/>
  <c r="R82" i="11" s="1"/>
  <c r="N82" i="11"/>
  <c r="P81" i="11"/>
  <c r="O81" i="11"/>
  <c r="R81" i="11" s="1"/>
  <c r="N81" i="11"/>
  <c r="P80" i="11"/>
  <c r="O80" i="11"/>
  <c r="R80" i="11" s="1"/>
  <c r="N80" i="11"/>
  <c r="P77" i="11"/>
  <c r="O77" i="11"/>
  <c r="R77" i="11" s="1"/>
  <c r="N77" i="11"/>
  <c r="P76" i="11"/>
  <c r="O76" i="11"/>
  <c r="R76" i="11" s="1"/>
  <c r="N76" i="11"/>
  <c r="P75" i="11"/>
  <c r="O75" i="11"/>
  <c r="R75" i="11" s="1"/>
  <c r="N75" i="11"/>
  <c r="P74" i="11"/>
  <c r="O74" i="11"/>
  <c r="R74" i="11" s="1"/>
  <c r="N74" i="11"/>
  <c r="P73" i="11"/>
  <c r="O73" i="11"/>
  <c r="R73" i="11" s="1"/>
  <c r="N73" i="11"/>
  <c r="P72" i="11"/>
  <c r="O72" i="11"/>
  <c r="R72" i="11" s="1"/>
  <c r="N72" i="11"/>
  <c r="P71" i="11"/>
  <c r="O71" i="11"/>
  <c r="R71" i="11" s="1"/>
  <c r="N71" i="11"/>
  <c r="P70" i="11"/>
  <c r="O70" i="11"/>
  <c r="R70" i="11" s="1"/>
  <c r="N70" i="11"/>
  <c r="P69" i="11"/>
  <c r="O69" i="11"/>
  <c r="R69" i="11" s="1"/>
  <c r="N69" i="11"/>
  <c r="P68" i="11"/>
  <c r="O68" i="11"/>
  <c r="R68" i="11" s="1"/>
  <c r="N68" i="11"/>
  <c r="P65" i="11"/>
  <c r="O65" i="11"/>
  <c r="R65" i="11" s="1"/>
  <c r="N65" i="11"/>
  <c r="P64" i="11"/>
  <c r="O64" i="11"/>
  <c r="R64" i="11" s="1"/>
  <c r="N64" i="11"/>
  <c r="P62" i="11"/>
  <c r="O62" i="11"/>
  <c r="R62" i="11" s="1"/>
  <c r="N62" i="11"/>
  <c r="P61" i="11"/>
  <c r="O61" i="11"/>
  <c r="R61" i="11" s="1"/>
  <c r="N61" i="11"/>
  <c r="P59" i="11"/>
  <c r="O59" i="11"/>
  <c r="R59" i="11" s="1"/>
  <c r="N59" i="11"/>
  <c r="P58" i="11"/>
  <c r="O58" i="11"/>
  <c r="R58" i="11" s="1"/>
  <c r="N58" i="11"/>
  <c r="P56" i="11"/>
  <c r="O56" i="11"/>
  <c r="R56" i="11" s="1"/>
  <c r="N56" i="11"/>
  <c r="P54" i="11"/>
  <c r="O54" i="11"/>
  <c r="R54" i="11" s="1"/>
  <c r="N54" i="11"/>
  <c r="P53" i="11"/>
  <c r="O53" i="11"/>
  <c r="R53" i="11" s="1"/>
  <c r="N53" i="11"/>
  <c r="P52" i="11"/>
  <c r="O52" i="11"/>
  <c r="R52" i="11" s="1"/>
  <c r="N52" i="11"/>
  <c r="P51" i="11"/>
  <c r="O51" i="11"/>
  <c r="R51" i="11" s="1"/>
  <c r="N51" i="11"/>
  <c r="P50" i="11"/>
  <c r="O50" i="11"/>
  <c r="R50" i="11" s="1"/>
  <c r="N50" i="11"/>
  <c r="P49" i="11"/>
  <c r="O49" i="11"/>
  <c r="R49" i="11" s="1"/>
  <c r="N49" i="11"/>
  <c r="P48" i="11"/>
  <c r="O48" i="11"/>
  <c r="R48" i="11" s="1"/>
  <c r="N48" i="11"/>
  <c r="P47" i="11"/>
  <c r="O47" i="11"/>
  <c r="R47" i="11" s="1"/>
  <c r="N47" i="11"/>
  <c r="P46" i="11"/>
  <c r="O46" i="11"/>
  <c r="R46" i="11" s="1"/>
  <c r="N46" i="11"/>
  <c r="P45" i="11"/>
  <c r="O45" i="11"/>
  <c r="R45" i="11" s="1"/>
  <c r="N45" i="11"/>
  <c r="P44" i="11"/>
  <c r="O44" i="11"/>
  <c r="R44" i="11" s="1"/>
  <c r="N44" i="11"/>
  <c r="P43" i="11"/>
  <c r="O43" i="11"/>
  <c r="R43" i="11" s="1"/>
  <c r="N43" i="11"/>
  <c r="P42" i="11"/>
  <c r="O42" i="11"/>
  <c r="R42" i="11" s="1"/>
  <c r="N42" i="11"/>
  <c r="P41" i="11"/>
  <c r="O41" i="11"/>
  <c r="R41" i="11" s="1"/>
  <c r="N41" i="11"/>
  <c r="P40" i="11"/>
  <c r="O40" i="11"/>
  <c r="R40" i="11" s="1"/>
  <c r="N40" i="11"/>
  <c r="P39" i="11"/>
  <c r="O39" i="11"/>
  <c r="R39" i="11" s="1"/>
  <c r="N39" i="11"/>
  <c r="P38" i="11"/>
  <c r="O38" i="11"/>
  <c r="R38" i="11" s="1"/>
  <c r="N38" i="11"/>
  <c r="P36" i="11"/>
  <c r="O36" i="11"/>
  <c r="R36" i="11" s="1"/>
  <c r="N36" i="11"/>
  <c r="P35" i="11"/>
  <c r="O35" i="11"/>
  <c r="R35" i="11" s="1"/>
  <c r="N35" i="11"/>
  <c r="P34" i="11"/>
  <c r="O34" i="11"/>
  <c r="R34" i="11" s="1"/>
  <c r="N34" i="11"/>
  <c r="P33" i="11"/>
  <c r="O33" i="11"/>
  <c r="R33" i="11" s="1"/>
  <c r="N33" i="11"/>
  <c r="P32" i="11"/>
  <c r="O32" i="11"/>
  <c r="R32" i="11" s="1"/>
  <c r="N32" i="11"/>
  <c r="P31" i="11"/>
  <c r="O31" i="11"/>
  <c r="R31" i="11" s="1"/>
  <c r="N31" i="11"/>
  <c r="P30" i="11"/>
  <c r="O30" i="11"/>
  <c r="R30" i="11" s="1"/>
  <c r="N30" i="11"/>
  <c r="P29" i="11"/>
  <c r="O29" i="11"/>
  <c r="R29" i="11" s="1"/>
  <c r="N29" i="11"/>
  <c r="P28" i="11"/>
  <c r="O28" i="11"/>
  <c r="R28" i="11" s="1"/>
  <c r="N28" i="11"/>
  <c r="P27" i="11"/>
  <c r="O27" i="11"/>
  <c r="R27" i="11" s="1"/>
  <c r="N27" i="11"/>
  <c r="P26" i="11"/>
  <c r="O26" i="11"/>
  <c r="R26" i="11" s="1"/>
  <c r="N26" i="11"/>
  <c r="P25" i="11"/>
  <c r="O25" i="11"/>
  <c r="R25" i="11" s="1"/>
  <c r="N25" i="11"/>
  <c r="P24" i="11"/>
  <c r="O24" i="11"/>
  <c r="R24" i="11" s="1"/>
  <c r="N24" i="11"/>
  <c r="P23" i="11"/>
  <c r="O23" i="11"/>
  <c r="R23" i="11" s="1"/>
  <c r="N23" i="11"/>
  <c r="P22" i="11"/>
  <c r="O22" i="11"/>
  <c r="R22" i="11" s="1"/>
  <c r="N22" i="11"/>
  <c r="P21" i="11"/>
  <c r="O21" i="11"/>
  <c r="R21" i="11" s="1"/>
  <c r="N21" i="11"/>
  <c r="P20" i="11"/>
  <c r="O20" i="11"/>
  <c r="R20" i="11" s="1"/>
  <c r="N20" i="11"/>
  <c r="P19" i="11"/>
  <c r="O19" i="11"/>
  <c r="R19" i="11" s="1"/>
  <c r="N19" i="11"/>
  <c r="P18" i="11"/>
  <c r="O18" i="11"/>
  <c r="R18" i="11" s="1"/>
  <c r="N18" i="11"/>
  <c r="P17" i="11"/>
  <c r="O17" i="11"/>
  <c r="R17" i="11" s="1"/>
  <c r="N17" i="11"/>
  <c r="P16" i="11"/>
  <c r="O16" i="11"/>
  <c r="R16" i="11" s="1"/>
  <c r="N16" i="11"/>
  <c r="P13" i="11"/>
  <c r="O13" i="11"/>
  <c r="R13" i="11" s="1"/>
  <c r="N13" i="11"/>
  <c r="P10" i="11"/>
  <c r="O10" i="11"/>
  <c r="R10" i="11" s="1"/>
  <c r="N10" i="11"/>
  <c r="P9" i="11"/>
  <c r="O9" i="11"/>
  <c r="R9" i="11" s="1"/>
  <c r="N9" i="11"/>
  <c r="P6" i="11"/>
  <c r="O6" i="11"/>
  <c r="R6" i="11" s="1"/>
  <c r="N6" i="11"/>
  <c r="N718" i="9"/>
  <c r="M718" i="9"/>
  <c r="P718" i="9" s="1"/>
  <c r="L718" i="9"/>
  <c r="N717" i="9"/>
  <c r="M717" i="9"/>
  <c r="P717" i="9" s="1"/>
  <c r="L717" i="9"/>
  <c r="N710" i="9"/>
  <c r="M710" i="9"/>
  <c r="P710" i="9" s="1"/>
  <c r="L710" i="9"/>
  <c r="N709" i="9"/>
  <c r="M709" i="9"/>
  <c r="P709" i="9" s="1"/>
  <c r="L709" i="9"/>
  <c r="N708" i="9"/>
  <c r="M708" i="9"/>
  <c r="P708" i="9" s="1"/>
  <c r="L708" i="9"/>
  <c r="N707" i="9"/>
  <c r="M707" i="9"/>
  <c r="P707" i="9" s="1"/>
  <c r="L707" i="9"/>
  <c r="N706" i="9"/>
  <c r="M706" i="9"/>
  <c r="P706" i="9" s="1"/>
  <c r="L706" i="9"/>
  <c r="N705" i="9"/>
  <c r="M705" i="9"/>
  <c r="P705" i="9" s="1"/>
  <c r="L705" i="9"/>
  <c r="N704" i="9"/>
  <c r="M704" i="9"/>
  <c r="P704" i="9" s="1"/>
  <c r="L704" i="9"/>
  <c r="N703" i="9"/>
  <c r="M703" i="9"/>
  <c r="P703" i="9" s="1"/>
  <c r="L703" i="9"/>
  <c r="N702" i="9"/>
  <c r="M702" i="9"/>
  <c r="P702" i="9" s="1"/>
  <c r="L702" i="9"/>
  <c r="N701" i="9"/>
  <c r="M701" i="9"/>
  <c r="P701" i="9" s="1"/>
  <c r="L701" i="9"/>
  <c r="N700" i="9"/>
  <c r="M700" i="9"/>
  <c r="P700" i="9" s="1"/>
  <c r="L700" i="9"/>
  <c r="N695" i="9"/>
  <c r="M695" i="9"/>
  <c r="P695" i="9" s="1"/>
  <c r="L695" i="9"/>
  <c r="N680" i="9"/>
  <c r="M680" i="9"/>
  <c r="P680" i="9" s="1"/>
  <c r="L680" i="9"/>
  <c r="N679" i="9"/>
  <c r="M679" i="9"/>
  <c r="P679" i="9" s="1"/>
  <c r="L679" i="9"/>
  <c r="N678" i="9"/>
  <c r="M678" i="9"/>
  <c r="P678" i="9" s="1"/>
  <c r="L678" i="9"/>
  <c r="N677" i="9"/>
  <c r="M677" i="9"/>
  <c r="P677" i="9" s="1"/>
  <c r="L677" i="9"/>
  <c r="N676" i="9"/>
  <c r="M676" i="9"/>
  <c r="P676" i="9" s="1"/>
  <c r="L676" i="9"/>
  <c r="N675" i="9"/>
  <c r="M675" i="9"/>
  <c r="P675" i="9" s="1"/>
  <c r="L675" i="9"/>
  <c r="N674" i="9"/>
  <c r="M674" i="9"/>
  <c r="P674" i="9" s="1"/>
  <c r="L674" i="9"/>
  <c r="N673" i="9"/>
  <c r="M673" i="9"/>
  <c r="P673" i="9" s="1"/>
  <c r="L673" i="9"/>
  <c r="N672" i="9"/>
  <c r="M672" i="9"/>
  <c r="P672" i="9" s="1"/>
  <c r="L672" i="9"/>
  <c r="N671" i="9"/>
  <c r="M671" i="9"/>
  <c r="P671" i="9" s="1"/>
  <c r="L671" i="9"/>
  <c r="N670" i="9"/>
  <c r="M670" i="9"/>
  <c r="P670" i="9" s="1"/>
  <c r="L670" i="9"/>
  <c r="N669" i="9"/>
  <c r="M669" i="9"/>
  <c r="P669" i="9" s="1"/>
  <c r="L669" i="9"/>
  <c r="N668" i="9"/>
  <c r="M668" i="9"/>
  <c r="P668" i="9" s="1"/>
  <c r="L668" i="9"/>
  <c r="N667" i="9"/>
  <c r="M667" i="9"/>
  <c r="P667" i="9" s="1"/>
  <c r="L667" i="9"/>
  <c r="N666" i="9"/>
  <c r="M666" i="9"/>
  <c r="P666" i="9" s="1"/>
  <c r="L666" i="9"/>
  <c r="N665" i="9"/>
  <c r="M665" i="9"/>
  <c r="P665" i="9" s="1"/>
  <c r="L665" i="9"/>
  <c r="N664" i="9"/>
  <c r="M664" i="9"/>
  <c r="P664" i="9" s="1"/>
  <c r="L664" i="9"/>
  <c r="N663" i="9"/>
  <c r="M663" i="9"/>
  <c r="P663" i="9" s="1"/>
  <c r="L663" i="9"/>
  <c r="N662" i="9"/>
  <c r="M662" i="9"/>
  <c r="P662" i="9" s="1"/>
  <c r="L662" i="9"/>
  <c r="N661" i="9"/>
  <c r="M661" i="9"/>
  <c r="P661" i="9" s="1"/>
  <c r="L661" i="9"/>
  <c r="N660" i="9"/>
  <c r="M660" i="9"/>
  <c r="P660" i="9" s="1"/>
  <c r="L660" i="9"/>
  <c r="N659" i="9"/>
  <c r="M659" i="9"/>
  <c r="P659" i="9" s="1"/>
  <c r="L659" i="9"/>
  <c r="N658" i="9"/>
  <c r="M658" i="9"/>
  <c r="P658" i="9" s="1"/>
  <c r="L658" i="9"/>
  <c r="N657" i="9"/>
  <c r="M657" i="9"/>
  <c r="P657" i="9" s="1"/>
  <c r="L657" i="9"/>
  <c r="N656" i="9"/>
  <c r="M656" i="9"/>
  <c r="P656" i="9" s="1"/>
  <c r="L656" i="9"/>
  <c r="N655" i="9"/>
  <c r="M655" i="9"/>
  <c r="P655" i="9" s="1"/>
  <c r="L655" i="9"/>
  <c r="N654" i="9"/>
  <c r="M654" i="9"/>
  <c r="P654" i="9" s="1"/>
  <c r="L654" i="9"/>
  <c r="N653" i="9"/>
  <c r="M653" i="9"/>
  <c r="P653" i="9" s="1"/>
  <c r="L653" i="9"/>
  <c r="N652" i="9"/>
  <c r="M652" i="9"/>
  <c r="P652" i="9" s="1"/>
  <c r="L652" i="9"/>
  <c r="N651" i="9"/>
  <c r="M651" i="9"/>
  <c r="P651" i="9" s="1"/>
  <c r="L651" i="9"/>
  <c r="N650" i="9"/>
  <c r="M650" i="9"/>
  <c r="P650" i="9" s="1"/>
  <c r="L650" i="9"/>
  <c r="N649" i="9"/>
  <c r="M649" i="9"/>
  <c r="P649" i="9" s="1"/>
  <c r="L649" i="9"/>
  <c r="N648" i="9"/>
  <c r="M648" i="9"/>
  <c r="P648" i="9" s="1"/>
  <c r="L648" i="9"/>
  <c r="N647" i="9"/>
  <c r="M647" i="9"/>
  <c r="P647" i="9" s="1"/>
  <c r="L647" i="9"/>
  <c r="N646" i="9"/>
  <c r="M646" i="9"/>
  <c r="P646" i="9" s="1"/>
  <c r="L646" i="9"/>
  <c r="N645" i="9"/>
  <c r="M645" i="9"/>
  <c r="P645" i="9" s="1"/>
  <c r="L645" i="9"/>
  <c r="N644" i="9"/>
  <c r="M644" i="9"/>
  <c r="P644" i="9" s="1"/>
  <c r="L644" i="9"/>
  <c r="N643" i="9"/>
  <c r="M643" i="9"/>
  <c r="P643" i="9" s="1"/>
  <c r="L643" i="9"/>
  <c r="N642" i="9"/>
  <c r="M642" i="9"/>
  <c r="P642" i="9" s="1"/>
  <c r="L642" i="9"/>
  <c r="N641" i="9"/>
  <c r="M641" i="9"/>
  <c r="P641" i="9" s="1"/>
  <c r="L641" i="9"/>
  <c r="N640" i="9"/>
  <c r="M640" i="9"/>
  <c r="P640" i="9" s="1"/>
  <c r="L640" i="9"/>
  <c r="N639" i="9"/>
  <c r="M639" i="9"/>
  <c r="P639" i="9" s="1"/>
  <c r="L639" i="9"/>
  <c r="N638" i="9"/>
  <c r="M638" i="9"/>
  <c r="P638" i="9" s="1"/>
  <c r="L638" i="9"/>
  <c r="N637" i="9"/>
  <c r="M637" i="9"/>
  <c r="P637" i="9" s="1"/>
  <c r="L637" i="9"/>
  <c r="N636" i="9"/>
  <c r="M636" i="9"/>
  <c r="P636" i="9" s="1"/>
  <c r="L636" i="9"/>
  <c r="N634" i="9"/>
  <c r="M634" i="9"/>
  <c r="P634" i="9" s="1"/>
  <c r="L634" i="9"/>
  <c r="N633" i="9"/>
  <c r="M633" i="9"/>
  <c r="P633" i="9" s="1"/>
  <c r="L633" i="9"/>
  <c r="N629" i="9"/>
  <c r="M629" i="9"/>
  <c r="P629" i="9" s="1"/>
  <c r="L629" i="9"/>
  <c r="N628" i="9"/>
  <c r="M628" i="9"/>
  <c r="P628" i="9" s="1"/>
  <c r="L628" i="9"/>
  <c r="N627" i="9"/>
  <c r="M627" i="9"/>
  <c r="P627" i="9" s="1"/>
  <c r="L627" i="9"/>
  <c r="N626" i="9"/>
  <c r="M626" i="9"/>
  <c r="P626" i="9" s="1"/>
  <c r="L626" i="9"/>
  <c r="N624" i="9"/>
  <c r="M624" i="9"/>
  <c r="P624" i="9" s="1"/>
  <c r="L624" i="9"/>
  <c r="N623" i="9"/>
  <c r="M623" i="9"/>
  <c r="P623" i="9" s="1"/>
  <c r="L623" i="9"/>
  <c r="N622" i="9"/>
  <c r="M622" i="9"/>
  <c r="P622" i="9" s="1"/>
  <c r="L622" i="9"/>
  <c r="N621" i="9"/>
  <c r="M621" i="9"/>
  <c r="P621" i="9" s="1"/>
  <c r="L621" i="9"/>
  <c r="N618" i="9"/>
  <c r="M618" i="9"/>
  <c r="P618" i="9" s="1"/>
  <c r="L618" i="9"/>
  <c r="N615" i="9"/>
  <c r="M615" i="9"/>
  <c r="P615" i="9" s="1"/>
  <c r="L615" i="9"/>
  <c r="N614" i="9"/>
  <c r="M614" i="9"/>
  <c r="P614" i="9" s="1"/>
  <c r="L614" i="9"/>
  <c r="N613" i="9"/>
  <c r="M613" i="9"/>
  <c r="P613" i="9" s="1"/>
  <c r="L613" i="9"/>
  <c r="N612" i="9"/>
  <c r="M612" i="9"/>
  <c r="P612" i="9" s="1"/>
  <c r="L612" i="9"/>
  <c r="N611" i="9"/>
  <c r="M611" i="9"/>
  <c r="P611" i="9" s="1"/>
  <c r="L611" i="9"/>
  <c r="N610" i="9"/>
  <c r="M610" i="9"/>
  <c r="P610" i="9" s="1"/>
  <c r="L610" i="9"/>
  <c r="N609" i="9"/>
  <c r="M609" i="9"/>
  <c r="P609" i="9" s="1"/>
  <c r="L609" i="9"/>
  <c r="N608" i="9"/>
  <c r="M608" i="9"/>
  <c r="P608" i="9" s="1"/>
  <c r="L608" i="9"/>
  <c r="N607" i="9"/>
  <c r="M607" i="9"/>
  <c r="P607" i="9" s="1"/>
  <c r="L607" i="9"/>
  <c r="N606" i="9"/>
  <c r="M606" i="9"/>
  <c r="P606" i="9" s="1"/>
  <c r="L606" i="9"/>
  <c r="N605" i="9"/>
  <c r="M605" i="9"/>
  <c r="P605" i="9" s="1"/>
  <c r="L605" i="9"/>
  <c r="N604" i="9"/>
  <c r="M604" i="9"/>
  <c r="P604" i="9" s="1"/>
  <c r="L604" i="9"/>
  <c r="N603" i="9"/>
  <c r="M603" i="9"/>
  <c r="P603" i="9" s="1"/>
  <c r="L603" i="9"/>
  <c r="N602" i="9"/>
  <c r="M602" i="9"/>
  <c r="P602" i="9" s="1"/>
  <c r="L602" i="9"/>
  <c r="N601" i="9"/>
  <c r="M601" i="9"/>
  <c r="P601" i="9" s="1"/>
  <c r="L601" i="9"/>
  <c r="N600" i="9"/>
  <c r="M600" i="9"/>
  <c r="P600" i="9" s="1"/>
  <c r="L600" i="9"/>
  <c r="N599" i="9"/>
  <c r="M599" i="9"/>
  <c r="P599" i="9" s="1"/>
  <c r="L599" i="9"/>
  <c r="N598" i="9"/>
  <c r="M598" i="9"/>
  <c r="P598" i="9" s="1"/>
  <c r="L598" i="9"/>
  <c r="N597" i="9"/>
  <c r="M597" i="9"/>
  <c r="P597" i="9" s="1"/>
  <c r="L597" i="9"/>
  <c r="N596" i="9"/>
  <c r="M596" i="9"/>
  <c r="P596" i="9" s="1"/>
  <c r="L596" i="9"/>
  <c r="N595" i="9"/>
  <c r="M595" i="9"/>
  <c r="P595" i="9" s="1"/>
  <c r="L595" i="9"/>
  <c r="N594" i="9"/>
  <c r="M594" i="9"/>
  <c r="P594" i="9" s="1"/>
  <c r="L594" i="9"/>
  <c r="N593" i="9"/>
  <c r="M593" i="9"/>
  <c r="P593" i="9" s="1"/>
  <c r="L593" i="9"/>
  <c r="N592" i="9"/>
  <c r="M592" i="9"/>
  <c r="P592" i="9" s="1"/>
  <c r="L592" i="9"/>
  <c r="N591" i="9"/>
  <c r="M591" i="9"/>
  <c r="P591" i="9" s="1"/>
  <c r="L591" i="9"/>
  <c r="N590" i="9"/>
  <c r="M590" i="9"/>
  <c r="P590" i="9" s="1"/>
  <c r="L590" i="9"/>
  <c r="N589" i="9"/>
  <c r="M589" i="9"/>
  <c r="P589" i="9" s="1"/>
  <c r="L589" i="9"/>
  <c r="N588" i="9"/>
  <c r="M588" i="9"/>
  <c r="P588" i="9" s="1"/>
  <c r="L588" i="9"/>
  <c r="N587" i="9"/>
  <c r="M587" i="9"/>
  <c r="P587" i="9" s="1"/>
  <c r="L587" i="9"/>
  <c r="N586" i="9"/>
  <c r="M586" i="9"/>
  <c r="P586" i="9" s="1"/>
  <c r="L586" i="9"/>
  <c r="N585" i="9"/>
  <c r="M585" i="9"/>
  <c r="P585" i="9" s="1"/>
  <c r="L585" i="9"/>
  <c r="N584" i="9"/>
  <c r="M584" i="9"/>
  <c r="P584" i="9" s="1"/>
  <c r="L584" i="9"/>
  <c r="N583" i="9"/>
  <c r="M583" i="9"/>
  <c r="P583" i="9" s="1"/>
  <c r="L583" i="9"/>
  <c r="N582" i="9"/>
  <c r="M582" i="9"/>
  <c r="P582" i="9" s="1"/>
  <c r="L582" i="9"/>
  <c r="N581" i="9"/>
  <c r="M581" i="9"/>
  <c r="P581" i="9" s="1"/>
  <c r="L581" i="9"/>
  <c r="N580" i="9"/>
  <c r="M580" i="9"/>
  <c r="P580" i="9" s="1"/>
  <c r="L580" i="9"/>
  <c r="N579" i="9"/>
  <c r="M579" i="9"/>
  <c r="P579" i="9" s="1"/>
  <c r="L579" i="9"/>
  <c r="N578" i="9"/>
  <c r="M578" i="9"/>
  <c r="P578" i="9" s="1"/>
  <c r="L578" i="9"/>
  <c r="N577" i="9"/>
  <c r="M577" i="9"/>
  <c r="P577" i="9" s="1"/>
  <c r="L577" i="9"/>
  <c r="N576" i="9"/>
  <c r="M576" i="9"/>
  <c r="P576" i="9" s="1"/>
  <c r="L576" i="9"/>
  <c r="N575" i="9"/>
  <c r="M575" i="9"/>
  <c r="P575" i="9" s="1"/>
  <c r="L575" i="9"/>
  <c r="N574" i="9"/>
  <c r="M574" i="9"/>
  <c r="P574" i="9" s="1"/>
  <c r="L574" i="9"/>
  <c r="N571" i="9"/>
  <c r="M571" i="9"/>
  <c r="P571" i="9" s="1"/>
  <c r="L571" i="9"/>
  <c r="N570" i="9"/>
  <c r="M570" i="9"/>
  <c r="P570" i="9" s="1"/>
  <c r="L570" i="9"/>
  <c r="N569" i="9"/>
  <c r="M569" i="9"/>
  <c r="P569" i="9" s="1"/>
  <c r="L569" i="9"/>
  <c r="N568" i="9"/>
  <c r="M568" i="9"/>
  <c r="P568" i="9" s="1"/>
  <c r="L568" i="9"/>
  <c r="N567" i="9"/>
  <c r="M567" i="9"/>
  <c r="P567" i="9" s="1"/>
  <c r="L567" i="9"/>
  <c r="N566" i="9"/>
  <c r="M566" i="9"/>
  <c r="P566" i="9" s="1"/>
  <c r="L566" i="9"/>
  <c r="N565" i="9"/>
  <c r="M565" i="9"/>
  <c r="P565" i="9" s="1"/>
  <c r="L565" i="9"/>
  <c r="N564" i="9"/>
  <c r="M564" i="9"/>
  <c r="P564" i="9" s="1"/>
  <c r="L564" i="9"/>
  <c r="N563" i="9"/>
  <c r="M563" i="9"/>
  <c r="P563" i="9" s="1"/>
  <c r="L563" i="9"/>
  <c r="N562" i="9"/>
  <c r="M562" i="9"/>
  <c r="P562" i="9" s="1"/>
  <c r="L562" i="9"/>
  <c r="N561" i="9"/>
  <c r="M561" i="9"/>
  <c r="P561" i="9" s="1"/>
  <c r="L561" i="9"/>
  <c r="N560" i="9"/>
  <c r="M560" i="9"/>
  <c r="P560" i="9" s="1"/>
  <c r="L560" i="9"/>
  <c r="N559" i="9"/>
  <c r="M559" i="9"/>
  <c r="P559" i="9" s="1"/>
  <c r="L559" i="9"/>
  <c r="N557" i="9"/>
  <c r="M557" i="9"/>
  <c r="P557" i="9" s="1"/>
  <c r="L557" i="9"/>
  <c r="N556" i="9"/>
  <c r="M556" i="9"/>
  <c r="P556" i="9" s="1"/>
  <c r="L556" i="9"/>
  <c r="N555" i="9"/>
  <c r="M555" i="9"/>
  <c r="P555" i="9" s="1"/>
  <c r="L555" i="9"/>
  <c r="N554" i="9"/>
  <c r="M554" i="9"/>
  <c r="P554" i="9" s="1"/>
  <c r="L554" i="9"/>
  <c r="N553" i="9"/>
  <c r="M553" i="9"/>
  <c r="P553" i="9" s="1"/>
  <c r="L553" i="9"/>
  <c r="N552" i="9"/>
  <c r="M552" i="9"/>
  <c r="P552" i="9" s="1"/>
  <c r="L552" i="9"/>
  <c r="N551" i="9"/>
  <c r="M551" i="9"/>
  <c r="P551" i="9" s="1"/>
  <c r="L551" i="9"/>
  <c r="N550" i="9"/>
  <c r="M550" i="9"/>
  <c r="P550" i="9" s="1"/>
  <c r="L550" i="9"/>
  <c r="N548" i="9"/>
  <c r="M548" i="9"/>
  <c r="P548" i="9" s="1"/>
  <c r="L548" i="9"/>
  <c r="N547" i="9"/>
  <c r="M547" i="9"/>
  <c r="P547" i="9" s="1"/>
  <c r="L547" i="9"/>
  <c r="N546" i="9"/>
  <c r="M546" i="9"/>
  <c r="P546" i="9" s="1"/>
  <c r="L546" i="9"/>
  <c r="N545" i="9"/>
  <c r="M545" i="9"/>
  <c r="P545" i="9" s="1"/>
  <c r="L545" i="9"/>
  <c r="N544" i="9"/>
  <c r="M544" i="9"/>
  <c r="P544" i="9" s="1"/>
  <c r="L544" i="9"/>
  <c r="N543" i="9"/>
  <c r="M543" i="9"/>
  <c r="P543" i="9" s="1"/>
  <c r="L543" i="9"/>
  <c r="N542" i="9"/>
  <c r="M542" i="9"/>
  <c r="P542" i="9" s="1"/>
  <c r="L542" i="9"/>
  <c r="N541" i="9"/>
  <c r="M541" i="9"/>
  <c r="P541" i="9" s="1"/>
  <c r="L541" i="9"/>
  <c r="N540" i="9"/>
  <c r="M540" i="9"/>
  <c r="P540" i="9" s="1"/>
  <c r="L540" i="9"/>
  <c r="N523" i="9"/>
  <c r="M523" i="9"/>
  <c r="P523" i="9" s="1"/>
  <c r="L523" i="9"/>
  <c r="N522" i="9"/>
  <c r="M522" i="9"/>
  <c r="P522" i="9" s="1"/>
  <c r="L522" i="9"/>
  <c r="N521" i="9"/>
  <c r="M521" i="9"/>
  <c r="P521" i="9" s="1"/>
  <c r="L521" i="9"/>
  <c r="N520" i="9"/>
  <c r="M520" i="9"/>
  <c r="P520" i="9" s="1"/>
  <c r="L520" i="9"/>
  <c r="N519" i="9"/>
  <c r="M519" i="9"/>
  <c r="P519" i="9" s="1"/>
  <c r="L519" i="9"/>
  <c r="N518" i="9"/>
  <c r="M518" i="9"/>
  <c r="P518" i="9" s="1"/>
  <c r="L518" i="9"/>
  <c r="N517" i="9"/>
  <c r="M517" i="9"/>
  <c r="P517" i="9" s="1"/>
  <c r="L517" i="9"/>
  <c r="N516" i="9"/>
  <c r="M516" i="9"/>
  <c r="P516" i="9" s="1"/>
  <c r="L516" i="9"/>
  <c r="N515" i="9"/>
  <c r="M515" i="9"/>
  <c r="P515" i="9" s="1"/>
  <c r="L515" i="9"/>
  <c r="N514" i="9"/>
  <c r="M514" i="9"/>
  <c r="P514" i="9" s="1"/>
  <c r="L514" i="9"/>
  <c r="N513" i="9"/>
  <c r="M513" i="9"/>
  <c r="P513" i="9" s="1"/>
  <c r="L513" i="9"/>
  <c r="N512" i="9"/>
  <c r="M512" i="9"/>
  <c r="P512" i="9" s="1"/>
  <c r="L512" i="9"/>
  <c r="N489" i="9"/>
  <c r="M489" i="9"/>
  <c r="P489" i="9" s="1"/>
  <c r="L489" i="9"/>
  <c r="N488" i="9"/>
  <c r="M488" i="9"/>
  <c r="P488" i="9" s="1"/>
  <c r="L488" i="9"/>
  <c r="N487" i="9"/>
  <c r="M487" i="9"/>
  <c r="P487" i="9" s="1"/>
  <c r="L487" i="9"/>
  <c r="N486" i="9"/>
  <c r="M486" i="9"/>
  <c r="P486" i="9" s="1"/>
  <c r="L486" i="9"/>
  <c r="N483" i="9"/>
  <c r="M483" i="9"/>
  <c r="P483" i="9" s="1"/>
  <c r="L483" i="9"/>
  <c r="N482" i="9"/>
  <c r="M482" i="9"/>
  <c r="P482" i="9" s="1"/>
  <c r="L482" i="9"/>
  <c r="N481" i="9"/>
  <c r="M481" i="9"/>
  <c r="P481" i="9" s="1"/>
  <c r="L481" i="9"/>
  <c r="N480" i="9"/>
  <c r="M480" i="9"/>
  <c r="P480" i="9" s="1"/>
  <c r="L480" i="9"/>
  <c r="N478" i="9"/>
  <c r="M478" i="9"/>
  <c r="P478" i="9" s="1"/>
  <c r="L478" i="9"/>
  <c r="N477" i="9"/>
  <c r="M477" i="9"/>
  <c r="P477" i="9" s="1"/>
  <c r="L477" i="9"/>
  <c r="N474" i="9"/>
  <c r="M474" i="9"/>
  <c r="P474" i="9" s="1"/>
  <c r="L474" i="9"/>
  <c r="N473" i="9"/>
  <c r="M473" i="9"/>
  <c r="P473" i="9" s="1"/>
  <c r="L473" i="9"/>
  <c r="N472" i="9"/>
  <c r="M472" i="9"/>
  <c r="P472" i="9" s="1"/>
  <c r="L472" i="9"/>
  <c r="N471" i="9"/>
  <c r="M471" i="9"/>
  <c r="P471" i="9" s="1"/>
  <c r="L471" i="9"/>
  <c r="N466" i="9"/>
  <c r="M466" i="9"/>
  <c r="P466" i="9" s="1"/>
  <c r="L466" i="9"/>
  <c r="N465" i="9"/>
  <c r="M465" i="9"/>
  <c r="P465" i="9" s="1"/>
  <c r="L465" i="9"/>
  <c r="N461" i="9"/>
  <c r="M461" i="9"/>
  <c r="P461" i="9" s="1"/>
  <c r="L461" i="9"/>
  <c r="N458" i="9"/>
  <c r="M458" i="9"/>
  <c r="P458" i="9" s="1"/>
  <c r="L458" i="9"/>
  <c r="N457" i="9"/>
  <c r="M457" i="9"/>
  <c r="P457" i="9" s="1"/>
  <c r="L457" i="9"/>
  <c r="N456" i="9"/>
  <c r="M456" i="9"/>
  <c r="P456" i="9" s="1"/>
  <c r="L456" i="9"/>
  <c r="N455" i="9"/>
  <c r="M455" i="9"/>
  <c r="P455" i="9" s="1"/>
  <c r="L455" i="9"/>
  <c r="N454" i="9"/>
  <c r="M454" i="9"/>
  <c r="P454" i="9" s="1"/>
  <c r="L454" i="9"/>
  <c r="N453" i="9"/>
  <c r="M453" i="9"/>
  <c r="P453" i="9" s="1"/>
  <c r="L453" i="9"/>
  <c r="N452" i="9"/>
  <c r="M452" i="9"/>
  <c r="P452" i="9" s="1"/>
  <c r="L452" i="9"/>
  <c r="N451" i="9"/>
  <c r="M451" i="9"/>
  <c r="P451" i="9" s="1"/>
  <c r="L451" i="9"/>
  <c r="N449" i="9"/>
  <c r="M449" i="9"/>
  <c r="P449" i="9" s="1"/>
  <c r="L449" i="9"/>
  <c r="N448" i="9"/>
  <c r="M448" i="9"/>
  <c r="P448" i="9" s="1"/>
  <c r="L448" i="9"/>
  <c r="N442" i="9"/>
  <c r="M442" i="9"/>
  <c r="P442" i="9" s="1"/>
  <c r="L442" i="9"/>
  <c r="N441" i="9"/>
  <c r="M441" i="9"/>
  <c r="P441" i="9" s="1"/>
  <c r="L441" i="9"/>
  <c r="N440" i="9"/>
  <c r="M440" i="9"/>
  <c r="P440" i="9" s="1"/>
  <c r="L440" i="9"/>
  <c r="N439" i="9"/>
  <c r="M439" i="9"/>
  <c r="P439" i="9" s="1"/>
  <c r="L439" i="9"/>
  <c r="N438" i="9"/>
  <c r="M438" i="9"/>
  <c r="P438" i="9" s="1"/>
  <c r="L438" i="9"/>
  <c r="N437" i="9"/>
  <c r="M437" i="9"/>
  <c r="P437" i="9" s="1"/>
  <c r="L437" i="9"/>
  <c r="N436" i="9"/>
  <c r="M436" i="9"/>
  <c r="P436" i="9" s="1"/>
  <c r="L436" i="9"/>
  <c r="N435" i="9"/>
  <c r="M435" i="9"/>
  <c r="P435" i="9" s="1"/>
  <c r="L435" i="9"/>
  <c r="N434" i="9"/>
  <c r="M434" i="9"/>
  <c r="P434" i="9" s="1"/>
  <c r="L434" i="9"/>
  <c r="N433" i="9"/>
  <c r="M433" i="9"/>
  <c r="P433" i="9" s="1"/>
  <c r="L433" i="9"/>
  <c r="N432" i="9"/>
  <c r="M432" i="9"/>
  <c r="P432" i="9" s="1"/>
  <c r="L432" i="9"/>
  <c r="N431" i="9"/>
  <c r="M431" i="9"/>
  <c r="P431" i="9" s="1"/>
  <c r="L431" i="9"/>
  <c r="N428" i="9"/>
  <c r="M428" i="9"/>
  <c r="P428" i="9" s="1"/>
  <c r="L428" i="9"/>
  <c r="N427" i="9"/>
  <c r="M427" i="9"/>
  <c r="P427" i="9" s="1"/>
  <c r="L427" i="9"/>
  <c r="N426" i="9"/>
  <c r="M426" i="9"/>
  <c r="P426" i="9" s="1"/>
  <c r="L426" i="9"/>
  <c r="N424" i="9"/>
  <c r="M424" i="9"/>
  <c r="P424" i="9" s="1"/>
  <c r="L424" i="9"/>
  <c r="N422" i="9"/>
  <c r="M422" i="9"/>
  <c r="P422" i="9" s="1"/>
  <c r="L422" i="9"/>
  <c r="N421" i="9"/>
  <c r="M421" i="9"/>
  <c r="P421" i="9" s="1"/>
  <c r="L421" i="9"/>
  <c r="N419" i="9"/>
  <c r="M419" i="9"/>
  <c r="P419" i="9" s="1"/>
  <c r="L419" i="9"/>
  <c r="N418" i="9"/>
  <c r="M418" i="9"/>
  <c r="P418" i="9" s="1"/>
  <c r="L418" i="9"/>
  <c r="N417" i="9"/>
  <c r="M417" i="9"/>
  <c r="P417" i="9" s="1"/>
  <c r="L417" i="9"/>
  <c r="N416" i="9"/>
  <c r="M416" i="9"/>
  <c r="P416" i="9" s="1"/>
  <c r="L416" i="9"/>
  <c r="N415" i="9"/>
  <c r="M415" i="9"/>
  <c r="P415" i="9" s="1"/>
  <c r="L415" i="9"/>
  <c r="N414" i="9"/>
  <c r="M414" i="9"/>
  <c r="P414" i="9" s="1"/>
  <c r="L414" i="9"/>
  <c r="N413" i="9"/>
  <c r="M413" i="9"/>
  <c r="P413" i="9" s="1"/>
  <c r="L413" i="9"/>
  <c r="N412" i="9"/>
  <c r="M412" i="9"/>
  <c r="P412" i="9" s="1"/>
  <c r="L412" i="9"/>
  <c r="N411" i="9"/>
  <c r="M411" i="9"/>
  <c r="P411" i="9" s="1"/>
  <c r="L411" i="9"/>
  <c r="N409" i="9"/>
  <c r="M409" i="9"/>
  <c r="P409" i="9" s="1"/>
  <c r="L409" i="9"/>
  <c r="N408" i="9"/>
  <c r="M408" i="9"/>
  <c r="P408" i="9" s="1"/>
  <c r="L408" i="9"/>
  <c r="N406" i="9"/>
  <c r="M406" i="9"/>
  <c r="P406" i="9" s="1"/>
  <c r="L406" i="9"/>
  <c r="N405" i="9"/>
  <c r="M405" i="9"/>
  <c r="P405" i="9" s="1"/>
  <c r="L405" i="9"/>
  <c r="N404" i="9"/>
  <c r="M404" i="9"/>
  <c r="P404" i="9" s="1"/>
  <c r="L404" i="9"/>
  <c r="N403" i="9"/>
  <c r="M403" i="9"/>
  <c r="P403" i="9" s="1"/>
  <c r="L403" i="9"/>
  <c r="N402" i="9"/>
  <c r="M402" i="9"/>
  <c r="P402" i="9" s="1"/>
  <c r="L402" i="9"/>
  <c r="N401" i="9"/>
  <c r="M401" i="9"/>
  <c r="P401" i="9" s="1"/>
  <c r="L401" i="9"/>
  <c r="N400" i="9"/>
  <c r="M400" i="9"/>
  <c r="P400" i="9" s="1"/>
  <c r="L400" i="9"/>
  <c r="N399" i="9"/>
  <c r="M399" i="9"/>
  <c r="P399" i="9" s="1"/>
  <c r="L399" i="9"/>
  <c r="N398" i="9"/>
  <c r="M398" i="9"/>
  <c r="P398" i="9" s="1"/>
  <c r="L398" i="9"/>
  <c r="N397" i="9"/>
  <c r="M397" i="9"/>
  <c r="P397" i="9" s="1"/>
  <c r="L397" i="9"/>
  <c r="N396" i="9"/>
  <c r="M396" i="9"/>
  <c r="P396" i="9" s="1"/>
  <c r="L396" i="9"/>
  <c r="N395" i="9"/>
  <c r="M395" i="9"/>
  <c r="P395" i="9" s="1"/>
  <c r="L395" i="9"/>
  <c r="N394" i="9"/>
  <c r="M394" i="9"/>
  <c r="P394" i="9" s="1"/>
  <c r="L394" i="9"/>
  <c r="N393" i="9"/>
  <c r="M393" i="9"/>
  <c r="P393" i="9" s="1"/>
  <c r="L393" i="9"/>
  <c r="N392" i="9"/>
  <c r="M392" i="9"/>
  <c r="P392" i="9" s="1"/>
  <c r="L392" i="9"/>
  <c r="N391" i="9"/>
  <c r="M391" i="9"/>
  <c r="P391" i="9" s="1"/>
  <c r="L391" i="9"/>
  <c r="N390" i="9"/>
  <c r="M390" i="9"/>
  <c r="P390" i="9" s="1"/>
  <c r="L390" i="9"/>
  <c r="N389" i="9"/>
  <c r="M389" i="9"/>
  <c r="P389" i="9" s="1"/>
  <c r="L389" i="9"/>
  <c r="N388" i="9"/>
  <c r="M388" i="9"/>
  <c r="P388" i="9" s="1"/>
  <c r="L388" i="9"/>
  <c r="N387" i="9"/>
  <c r="M387" i="9"/>
  <c r="P387" i="9" s="1"/>
  <c r="L387" i="9"/>
  <c r="N386" i="9"/>
  <c r="M386" i="9"/>
  <c r="P386" i="9" s="1"/>
  <c r="L386" i="9"/>
  <c r="N385" i="9"/>
  <c r="M385" i="9"/>
  <c r="P385" i="9" s="1"/>
  <c r="L385" i="9"/>
  <c r="N384" i="9"/>
  <c r="M384" i="9"/>
  <c r="P384" i="9" s="1"/>
  <c r="L384" i="9"/>
  <c r="N383" i="9"/>
  <c r="M383" i="9"/>
  <c r="P383" i="9" s="1"/>
  <c r="L383" i="9"/>
  <c r="N382" i="9"/>
  <c r="M382" i="9"/>
  <c r="P382" i="9" s="1"/>
  <c r="L382" i="9"/>
  <c r="N381" i="9"/>
  <c r="M381" i="9"/>
  <c r="P381" i="9" s="1"/>
  <c r="L381" i="9"/>
  <c r="N380" i="9"/>
  <c r="M380" i="9"/>
  <c r="P380" i="9" s="1"/>
  <c r="L380" i="9"/>
  <c r="N379" i="9"/>
  <c r="M379" i="9"/>
  <c r="P379" i="9" s="1"/>
  <c r="L379" i="9"/>
  <c r="N378" i="9"/>
  <c r="M378" i="9"/>
  <c r="P378" i="9" s="1"/>
  <c r="L378" i="9"/>
  <c r="N377" i="9"/>
  <c r="M377" i="9"/>
  <c r="P377" i="9" s="1"/>
  <c r="L377" i="9"/>
  <c r="N376" i="9"/>
  <c r="M376" i="9"/>
  <c r="P376" i="9" s="1"/>
  <c r="L376" i="9"/>
  <c r="N375" i="9"/>
  <c r="M375" i="9"/>
  <c r="P375" i="9" s="1"/>
  <c r="L375" i="9"/>
  <c r="N374" i="9"/>
  <c r="M374" i="9"/>
  <c r="P374" i="9" s="1"/>
  <c r="L374" i="9"/>
  <c r="N373" i="9"/>
  <c r="M373" i="9"/>
  <c r="P373" i="9" s="1"/>
  <c r="L373" i="9"/>
  <c r="N372" i="9"/>
  <c r="M372" i="9"/>
  <c r="P372" i="9" s="1"/>
  <c r="L372" i="9"/>
  <c r="N371" i="9"/>
  <c r="M371" i="9"/>
  <c r="P371" i="9" s="1"/>
  <c r="L371" i="9"/>
  <c r="N370" i="9"/>
  <c r="M370" i="9"/>
  <c r="P370" i="9" s="1"/>
  <c r="L370" i="9"/>
  <c r="N369" i="9"/>
  <c r="M369" i="9"/>
  <c r="P369" i="9" s="1"/>
  <c r="L369" i="9"/>
  <c r="N368" i="9"/>
  <c r="M368" i="9"/>
  <c r="P368" i="9" s="1"/>
  <c r="L368" i="9"/>
  <c r="N367" i="9"/>
  <c r="M367" i="9"/>
  <c r="P367" i="9" s="1"/>
  <c r="L367" i="9"/>
  <c r="N366" i="9"/>
  <c r="M366" i="9"/>
  <c r="P366" i="9" s="1"/>
  <c r="L366" i="9"/>
  <c r="N365" i="9"/>
  <c r="M365" i="9"/>
  <c r="P365" i="9" s="1"/>
  <c r="L365" i="9"/>
  <c r="N364" i="9"/>
  <c r="M364" i="9"/>
  <c r="P364" i="9" s="1"/>
  <c r="L364" i="9"/>
  <c r="N363" i="9"/>
  <c r="M363" i="9"/>
  <c r="P363" i="9" s="1"/>
  <c r="L363" i="9"/>
  <c r="N362" i="9"/>
  <c r="M362" i="9"/>
  <c r="P362" i="9" s="1"/>
  <c r="L362" i="9"/>
  <c r="N361" i="9"/>
  <c r="M361" i="9"/>
  <c r="P361" i="9" s="1"/>
  <c r="L361" i="9"/>
  <c r="N360" i="9"/>
  <c r="M360" i="9"/>
  <c r="P360" i="9" s="1"/>
  <c r="L360" i="9"/>
  <c r="N359" i="9"/>
  <c r="M359" i="9"/>
  <c r="P359" i="9" s="1"/>
  <c r="L359" i="9"/>
  <c r="N358" i="9"/>
  <c r="M358" i="9"/>
  <c r="P358" i="9" s="1"/>
  <c r="L358" i="9"/>
  <c r="N357" i="9"/>
  <c r="M357" i="9"/>
  <c r="P357" i="9" s="1"/>
  <c r="L357" i="9"/>
  <c r="N356" i="9"/>
  <c r="M356" i="9"/>
  <c r="P356" i="9" s="1"/>
  <c r="L356" i="9"/>
  <c r="N355" i="9"/>
  <c r="M355" i="9"/>
  <c r="P355" i="9" s="1"/>
  <c r="L355" i="9"/>
  <c r="N354" i="9"/>
  <c r="M354" i="9"/>
  <c r="P354" i="9" s="1"/>
  <c r="L354" i="9"/>
  <c r="N353" i="9"/>
  <c r="M353" i="9"/>
  <c r="P353" i="9" s="1"/>
  <c r="L353" i="9"/>
  <c r="N352" i="9"/>
  <c r="M352" i="9"/>
  <c r="P352" i="9" s="1"/>
  <c r="L352" i="9"/>
  <c r="N351" i="9"/>
  <c r="M351" i="9"/>
  <c r="P351" i="9" s="1"/>
  <c r="L351" i="9"/>
  <c r="N350" i="9"/>
  <c r="M350" i="9"/>
  <c r="P350" i="9" s="1"/>
  <c r="L350" i="9"/>
  <c r="N349" i="9"/>
  <c r="M349" i="9"/>
  <c r="P349" i="9" s="1"/>
  <c r="L349" i="9"/>
  <c r="N348" i="9"/>
  <c r="M348" i="9"/>
  <c r="P348" i="9" s="1"/>
  <c r="L348" i="9"/>
  <c r="N347" i="9"/>
  <c r="M347" i="9"/>
  <c r="P347" i="9" s="1"/>
  <c r="L347" i="9"/>
  <c r="N346" i="9"/>
  <c r="M346" i="9"/>
  <c r="P346" i="9" s="1"/>
  <c r="L346" i="9"/>
  <c r="N345" i="9"/>
  <c r="M345" i="9"/>
  <c r="P345" i="9" s="1"/>
  <c r="L345" i="9"/>
  <c r="N344" i="9"/>
  <c r="M344" i="9"/>
  <c r="P344" i="9" s="1"/>
  <c r="L344" i="9"/>
  <c r="N341" i="9"/>
  <c r="M341" i="9"/>
  <c r="P341" i="9" s="1"/>
  <c r="L341" i="9"/>
  <c r="N340" i="9"/>
  <c r="M340" i="9"/>
  <c r="P340" i="9" s="1"/>
  <c r="L340" i="9"/>
  <c r="N339" i="9"/>
  <c r="M339" i="9"/>
  <c r="P339" i="9" s="1"/>
  <c r="L339" i="9"/>
  <c r="N338" i="9"/>
  <c r="M338" i="9"/>
  <c r="P338" i="9" s="1"/>
  <c r="L338" i="9"/>
  <c r="N336" i="9"/>
  <c r="M336" i="9"/>
  <c r="P336" i="9" s="1"/>
  <c r="L336" i="9"/>
  <c r="N335" i="9"/>
  <c r="M335" i="9"/>
  <c r="P335" i="9" s="1"/>
  <c r="L335" i="9"/>
  <c r="N334" i="9"/>
  <c r="M334" i="9"/>
  <c r="P334" i="9" s="1"/>
  <c r="L334" i="9"/>
  <c r="N333" i="9"/>
  <c r="M333" i="9"/>
  <c r="P333" i="9" s="1"/>
  <c r="L333" i="9"/>
  <c r="N332" i="9"/>
  <c r="M332" i="9"/>
  <c r="P332" i="9" s="1"/>
  <c r="L332" i="9"/>
  <c r="N331" i="9"/>
  <c r="M331" i="9"/>
  <c r="P331" i="9" s="1"/>
  <c r="L331" i="9"/>
  <c r="N330" i="9"/>
  <c r="M330" i="9"/>
  <c r="P330" i="9" s="1"/>
  <c r="L330" i="9"/>
  <c r="N329" i="9"/>
  <c r="M329" i="9"/>
  <c r="P329" i="9" s="1"/>
  <c r="L329" i="9"/>
  <c r="N328" i="9"/>
  <c r="M328" i="9"/>
  <c r="P328" i="9" s="1"/>
  <c r="L328" i="9"/>
  <c r="N327" i="9"/>
  <c r="M327" i="9"/>
  <c r="P327" i="9" s="1"/>
  <c r="L327" i="9"/>
  <c r="N326" i="9"/>
  <c r="M326" i="9"/>
  <c r="P326" i="9" s="1"/>
  <c r="L326" i="9"/>
  <c r="N325" i="9"/>
  <c r="M325" i="9"/>
  <c r="P325" i="9" s="1"/>
  <c r="L325" i="9"/>
  <c r="N324" i="9"/>
  <c r="M324" i="9"/>
  <c r="P324" i="9" s="1"/>
  <c r="L324" i="9"/>
  <c r="N323" i="9"/>
  <c r="M323" i="9"/>
  <c r="P323" i="9" s="1"/>
  <c r="L323" i="9"/>
  <c r="N322" i="9"/>
  <c r="M322" i="9"/>
  <c r="P322" i="9" s="1"/>
  <c r="L322" i="9"/>
  <c r="N321" i="9"/>
  <c r="M321" i="9"/>
  <c r="P321" i="9" s="1"/>
  <c r="L321" i="9"/>
  <c r="N320" i="9"/>
  <c r="M320" i="9"/>
  <c r="P320" i="9" s="1"/>
  <c r="L320" i="9"/>
  <c r="N319" i="9"/>
  <c r="M319" i="9"/>
  <c r="P319" i="9" s="1"/>
  <c r="L319" i="9"/>
  <c r="N318" i="9"/>
  <c r="M318" i="9"/>
  <c r="P318" i="9" s="1"/>
  <c r="L318" i="9"/>
  <c r="N317" i="9"/>
  <c r="M317" i="9"/>
  <c r="P317" i="9" s="1"/>
  <c r="L317" i="9"/>
  <c r="N316" i="9"/>
  <c r="M316" i="9"/>
  <c r="P316" i="9" s="1"/>
  <c r="L316" i="9"/>
  <c r="N315" i="9"/>
  <c r="M315" i="9"/>
  <c r="P315" i="9" s="1"/>
  <c r="L315" i="9"/>
  <c r="N314" i="9"/>
  <c r="M314" i="9"/>
  <c r="P314" i="9" s="1"/>
  <c r="L314" i="9"/>
  <c r="N313" i="9"/>
  <c r="M313" i="9"/>
  <c r="P313" i="9" s="1"/>
  <c r="L313" i="9"/>
  <c r="N312" i="9"/>
  <c r="M312" i="9"/>
  <c r="P312" i="9" s="1"/>
  <c r="L312" i="9"/>
  <c r="N311" i="9"/>
  <c r="M311" i="9"/>
  <c r="P311" i="9" s="1"/>
  <c r="L311" i="9"/>
  <c r="N310" i="9"/>
  <c r="M310" i="9"/>
  <c r="P310" i="9" s="1"/>
  <c r="L310" i="9"/>
  <c r="N309" i="9"/>
  <c r="M309" i="9"/>
  <c r="P309" i="9" s="1"/>
  <c r="L309" i="9"/>
  <c r="N308" i="9"/>
  <c r="M308" i="9"/>
  <c r="P308" i="9" s="1"/>
  <c r="L308" i="9"/>
  <c r="N307" i="9"/>
  <c r="M307" i="9"/>
  <c r="P307" i="9" s="1"/>
  <c r="L307" i="9"/>
  <c r="N306" i="9"/>
  <c r="M306" i="9"/>
  <c r="P306" i="9" s="1"/>
  <c r="L306" i="9"/>
  <c r="N305" i="9"/>
  <c r="M305" i="9"/>
  <c r="P305" i="9" s="1"/>
  <c r="L305" i="9"/>
  <c r="N304" i="9"/>
  <c r="M304" i="9"/>
  <c r="P304" i="9" s="1"/>
  <c r="L304" i="9"/>
  <c r="N303" i="9"/>
  <c r="M303" i="9"/>
  <c r="P303" i="9" s="1"/>
  <c r="L303" i="9"/>
  <c r="N302" i="9"/>
  <c r="M302" i="9"/>
  <c r="P302" i="9" s="1"/>
  <c r="L302" i="9"/>
  <c r="N301" i="9"/>
  <c r="M301" i="9"/>
  <c r="P301" i="9" s="1"/>
  <c r="L301" i="9"/>
  <c r="N300" i="9"/>
  <c r="M300" i="9"/>
  <c r="P300" i="9" s="1"/>
  <c r="L300" i="9"/>
  <c r="N299" i="9"/>
  <c r="M299" i="9"/>
  <c r="P299" i="9" s="1"/>
  <c r="L299" i="9"/>
  <c r="N298" i="9"/>
  <c r="M298" i="9"/>
  <c r="P298" i="9" s="1"/>
  <c r="L298" i="9"/>
  <c r="N297" i="9"/>
  <c r="M297" i="9"/>
  <c r="P297" i="9" s="1"/>
  <c r="L297" i="9"/>
  <c r="N296" i="9"/>
  <c r="M296" i="9"/>
  <c r="P296" i="9" s="1"/>
  <c r="L296" i="9"/>
  <c r="N295" i="9"/>
  <c r="M295" i="9"/>
  <c r="P295" i="9" s="1"/>
  <c r="L295" i="9"/>
  <c r="N294" i="9"/>
  <c r="M294" i="9"/>
  <c r="P294" i="9" s="1"/>
  <c r="L294" i="9"/>
  <c r="N293" i="9"/>
  <c r="M293" i="9"/>
  <c r="P293" i="9" s="1"/>
  <c r="L293" i="9"/>
  <c r="N292" i="9"/>
  <c r="M292" i="9"/>
  <c r="P292" i="9" s="1"/>
  <c r="L292" i="9"/>
  <c r="N291" i="9"/>
  <c r="M291" i="9"/>
  <c r="P291" i="9" s="1"/>
  <c r="L291" i="9"/>
  <c r="N290" i="9"/>
  <c r="M290" i="9"/>
  <c r="P290" i="9" s="1"/>
  <c r="L290" i="9"/>
  <c r="N289" i="9"/>
  <c r="M289" i="9"/>
  <c r="P289" i="9" s="1"/>
  <c r="L289" i="9"/>
  <c r="N288" i="9"/>
  <c r="M288" i="9"/>
  <c r="P288" i="9" s="1"/>
  <c r="L288" i="9"/>
  <c r="N287" i="9"/>
  <c r="M287" i="9"/>
  <c r="P287" i="9" s="1"/>
  <c r="L287" i="9"/>
  <c r="N286" i="9"/>
  <c r="M286" i="9"/>
  <c r="P286" i="9" s="1"/>
  <c r="L286" i="9"/>
  <c r="N285" i="9"/>
  <c r="M285" i="9"/>
  <c r="P285" i="9" s="1"/>
  <c r="L285" i="9"/>
  <c r="N284" i="9"/>
  <c r="M284" i="9"/>
  <c r="P284" i="9" s="1"/>
  <c r="L284" i="9"/>
  <c r="N283" i="9"/>
  <c r="M283" i="9"/>
  <c r="P283" i="9" s="1"/>
  <c r="L283" i="9"/>
  <c r="N282" i="9"/>
  <c r="M282" i="9"/>
  <c r="P282" i="9" s="1"/>
  <c r="L282" i="9"/>
  <c r="N281" i="9"/>
  <c r="M281" i="9"/>
  <c r="P281" i="9" s="1"/>
  <c r="L281" i="9"/>
  <c r="N280" i="9"/>
  <c r="M280" i="9"/>
  <c r="P280" i="9" s="1"/>
  <c r="L280" i="9"/>
  <c r="N279" i="9"/>
  <c r="M279" i="9"/>
  <c r="P279" i="9" s="1"/>
  <c r="L279" i="9"/>
  <c r="N278" i="9"/>
  <c r="M278" i="9"/>
  <c r="P278" i="9" s="1"/>
  <c r="L278" i="9"/>
  <c r="N277" i="9"/>
  <c r="M277" i="9"/>
  <c r="P277" i="9" s="1"/>
  <c r="L277" i="9"/>
  <c r="N276" i="9"/>
  <c r="M276" i="9"/>
  <c r="P276" i="9" s="1"/>
  <c r="L276" i="9"/>
  <c r="N275" i="9"/>
  <c r="M275" i="9"/>
  <c r="P275" i="9" s="1"/>
  <c r="L275" i="9"/>
  <c r="N274" i="9"/>
  <c r="M274" i="9"/>
  <c r="P274" i="9" s="1"/>
  <c r="L274" i="9"/>
  <c r="N273" i="9"/>
  <c r="M273" i="9"/>
  <c r="P273" i="9" s="1"/>
  <c r="L273" i="9"/>
  <c r="N272" i="9"/>
  <c r="M272" i="9"/>
  <c r="P272" i="9" s="1"/>
  <c r="L272" i="9"/>
  <c r="N271" i="9"/>
  <c r="M271" i="9"/>
  <c r="P271" i="9" s="1"/>
  <c r="L271" i="9"/>
  <c r="N270" i="9"/>
  <c r="M270" i="9"/>
  <c r="P270" i="9" s="1"/>
  <c r="L270" i="9"/>
  <c r="N269" i="9"/>
  <c r="M269" i="9"/>
  <c r="P269" i="9" s="1"/>
  <c r="L269" i="9"/>
  <c r="N268" i="9"/>
  <c r="M268" i="9"/>
  <c r="P268" i="9" s="1"/>
  <c r="L268" i="9"/>
  <c r="N267" i="9"/>
  <c r="M267" i="9"/>
  <c r="P267" i="9" s="1"/>
  <c r="L267" i="9"/>
  <c r="N266" i="9"/>
  <c r="M266" i="9"/>
  <c r="P266" i="9" s="1"/>
  <c r="L266" i="9"/>
  <c r="N265" i="9"/>
  <c r="M265" i="9"/>
  <c r="P265" i="9" s="1"/>
  <c r="L265" i="9"/>
  <c r="N264" i="9"/>
  <c r="M264" i="9"/>
  <c r="P264" i="9" s="1"/>
  <c r="L264" i="9"/>
  <c r="N263" i="9"/>
  <c r="M263" i="9"/>
  <c r="P263" i="9" s="1"/>
  <c r="L263" i="9"/>
  <c r="N262" i="9"/>
  <c r="M262" i="9"/>
  <c r="P262" i="9" s="1"/>
  <c r="L262" i="9"/>
  <c r="N261" i="9"/>
  <c r="M261" i="9"/>
  <c r="P261" i="9" s="1"/>
  <c r="L261" i="9"/>
  <c r="N244" i="9"/>
  <c r="M244" i="9"/>
  <c r="P244" i="9" s="1"/>
  <c r="L244" i="9"/>
  <c r="N239" i="9"/>
  <c r="M239" i="9"/>
  <c r="P239" i="9" s="1"/>
  <c r="L239" i="9"/>
  <c r="N236" i="9"/>
  <c r="M236" i="9"/>
  <c r="P236" i="9" s="1"/>
  <c r="L236" i="9"/>
  <c r="N234" i="9"/>
  <c r="M234" i="9"/>
  <c r="P234" i="9" s="1"/>
  <c r="L234" i="9"/>
  <c r="N230" i="9"/>
  <c r="M230" i="9"/>
  <c r="P230" i="9" s="1"/>
  <c r="L230" i="9"/>
  <c r="N229" i="9"/>
  <c r="M229" i="9"/>
  <c r="P229" i="9" s="1"/>
  <c r="L229" i="9"/>
  <c r="N228" i="9"/>
  <c r="M228" i="9"/>
  <c r="P228" i="9" s="1"/>
  <c r="L228" i="9"/>
  <c r="N227" i="9"/>
  <c r="M227" i="9"/>
  <c r="P227" i="9" s="1"/>
  <c r="L227" i="9"/>
  <c r="N226" i="9"/>
  <c r="M226" i="9"/>
  <c r="P226" i="9" s="1"/>
  <c r="L226" i="9"/>
  <c r="N223" i="9"/>
  <c r="M223" i="9"/>
  <c r="P223" i="9" s="1"/>
  <c r="L223" i="9"/>
  <c r="N222" i="9"/>
  <c r="M222" i="9"/>
  <c r="P222" i="9" s="1"/>
  <c r="L222" i="9"/>
  <c r="N220" i="9"/>
  <c r="M220" i="9"/>
  <c r="P220" i="9" s="1"/>
  <c r="L220" i="9"/>
  <c r="N219" i="9"/>
  <c r="M219" i="9"/>
  <c r="P219" i="9" s="1"/>
  <c r="L219" i="9"/>
  <c r="N217" i="9"/>
  <c r="M217" i="9"/>
  <c r="P217" i="9" s="1"/>
  <c r="L217" i="9"/>
  <c r="N216" i="9"/>
  <c r="M216" i="9"/>
  <c r="P216" i="9" s="1"/>
  <c r="L216" i="9"/>
  <c r="N215" i="9"/>
  <c r="M215" i="9"/>
  <c r="P215" i="9" s="1"/>
  <c r="L215" i="9"/>
  <c r="N214" i="9"/>
  <c r="M214" i="9"/>
  <c r="P214" i="9" s="1"/>
  <c r="L214" i="9"/>
  <c r="N213" i="9"/>
  <c r="M213" i="9"/>
  <c r="P213" i="9" s="1"/>
  <c r="L213" i="9"/>
  <c r="N211" i="9"/>
  <c r="M211" i="9"/>
  <c r="P211" i="9" s="1"/>
  <c r="L211" i="9"/>
  <c r="N210" i="9"/>
  <c r="M210" i="9"/>
  <c r="P210" i="9" s="1"/>
  <c r="L210" i="9"/>
  <c r="N209" i="9"/>
  <c r="M209" i="9"/>
  <c r="P209" i="9" s="1"/>
  <c r="L209" i="9"/>
  <c r="N208" i="9"/>
  <c r="M208" i="9"/>
  <c r="P208" i="9" s="1"/>
  <c r="L208" i="9"/>
  <c r="N207" i="9"/>
  <c r="M207" i="9"/>
  <c r="P207" i="9" s="1"/>
  <c r="L207" i="9"/>
  <c r="N206" i="9"/>
  <c r="M206" i="9"/>
  <c r="P206" i="9" s="1"/>
  <c r="L206" i="9"/>
  <c r="N204" i="9"/>
  <c r="M204" i="9"/>
  <c r="P204" i="9" s="1"/>
  <c r="L204" i="9"/>
  <c r="N203" i="9"/>
  <c r="M203" i="9"/>
  <c r="P203" i="9" s="1"/>
  <c r="L203" i="9"/>
  <c r="N202" i="9"/>
  <c r="M202" i="9"/>
  <c r="P202" i="9" s="1"/>
  <c r="L202" i="9"/>
  <c r="N201" i="9"/>
  <c r="M201" i="9"/>
  <c r="P201" i="9" s="1"/>
  <c r="L201" i="9"/>
  <c r="N200" i="9"/>
  <c r="M200" i="9"/>
  <c r="P200" i="9" s="1"/>
  <c r="L200" i="9"/>
  <c r="N199" i="9"/>
  <c r="M199" i="9"/>
  <c r="P199" i="9" s="1"/>
  <c r="L199" i="9"/>
  <c r="N198" i="9"/>
  <c r="M198" i="9"/>
  <c r="P198" i="9" s="1"/>
  <c r="L198" i="9"/>
  <c r="N197" i="9"/>
  <c r="M197" i="9"/>
  <c r="P197" i="9" s="1"/>
  <c r="L197" i="9"/>
  <c r="N196" i="9"/>
  <c r="M196" i="9"/>
  <c r="P196" i="9" s="1"/>
  <c r="L196" i="9"/>
  <c r="N195" i="9"/>
  <c r="M195" i="9"/>
  <c r="P195" i="9" s="1"/>
  <c r="L195" i="9"/>
  <c r="N194" i="9"/>
  <c r="M194" i="9"/>
  <c r="P194" i="9" s="1"/>
  <c r="L194" i="9"/>
  <c r="N193" i="9"/>
  <c r="M193" i="9"/>
  <c r="P193" i="9" s="1"/>
  <c r="L193" i="9"/>
  <c r="N192" i="9"/>
  <c r="M192" i="9"/>
  <c r="P192" i="9" s="1"/>
  <c r="L192" i="9"/>
  <c r="N191" i="9"/>
  <c r="M191" i="9"/>
  <c r="P191" i="9" s="1"/>
  <c r="L191" i="9"/>
  <c r="N190" i="9"/>
  <c r="M190" i="9"/>
  <c r="P190" i="9" s="1"/>
  <c r="L190" i="9"/>
  <c r="N188" i="9"/>
  <c r="M188" i="9"/>
  <c r="P188" i="9" s="1"/>
  <c r="L188" i="9"/>
  <c r="N187" i="9"/>
  <c r="M187" i="9"/>
  <c r="P187" i="9" s="1"/>
  <c r="L187" i="9"/>
  <c r="N186" i="9"/>
  <c r="M186" i="9"/>
  <c r="P186" i="9" s="1"/>
  <c r="L186" i="9"/>
  <c r="N185" i="9"/>
  <c r="M185" i="9"/>
  <c r="P185" i="9" s="1"/>
  <c r="L185" i="9"/>
  <c r="N184" i="9"/>
  <c r="M184" i="9"/>
  <c r="P184" i="9" s="1"/>
  <c r="L184" i="9"/>
  <c r="N183" i="9"/>
  <c r="M183" i="9"/>
  <c r="P183" i="9" s="1"/>
  <c r="L183" i="9"/>
  <c r="N182" i="9"/>
  <c r="M182" i="9"/>
  <c r="P182" i="9" s="1"/>
  <c r="L182" i="9"/>
  <c r="N181" i="9"/>
  <c r="M181" i="9"/>
  <c r="P181" i="9" s="1"/>
  <c r="L181" i="9"/>
  <c r="N180" i="9"/>
  <c r="M180" i="9"/>
  <c r="P180" i="9" s="1"/>
  <c r="L180" i="9"/>
  <c r="N178" i="9"/>
  <c r="M178" i="9"/>
  <c r="P178" i="9" s="1"/>
  <c r="L178" i="9"/>
  <c r="N175" i="9"/>
  <c r="M175" i="9"/>
  <c r="P175" i="9" s="1"/>
  <c r="L175" i="9"/>
  <c r="N174" i="9"/>
  <c r="M174" i="9"/>
  <c r="P174" i="9" s="1"/>
  <c r="L174" i="9"/>
  <c r="N173" i="9"/>
  <c r="M173" i="9"/>
  <c r="P173" i="9" s="1"/>
  <c r="L173" i="9"/>
  <c r="N171" i="9"/>
  <c r="M171" i="9"/>
  <c r="P171" i="9" s="1"/>
  <c r="L171" i="9"/>
  <c r="N169" i="9"/>
  <c r="M169" i="9"/>
  <c r="P169" i="9" s="1"/>
  <c r="L169" i="9"/>
  <c r="N168" i="9"/>
  <c r="M168" i="9"/>
  <c r="P168" i="9" s="1"/>
  <c r="L168" i="9"/>
  <c r="N167" i="9"/>
  <c r="M167" i="9"/>
  <c r="P167" i="9" s="1"/>
  <c r="L167" i="9"/>
  <c r="N166" i="9"/>
  <c r="M166" i="9"/>
  <c r="P166" i="9" s="1"/>
  <c r="L166" i="9"/>
  <c r="N165" i="9"/>
  <c r="M165" i="9"/>
  <c r="P165" i="9" s="1"/>
  <c r="L165" i="9"/>
  <c r="N164" i="9"/>
  <c r="M164" i="9"/>
  <c r="P164" i="9" s="1"/>
  <c r="L164" i="9"/>
  <c r="N163" i="9"/>
  <c r="M163" i="9"/>
  <c r="P163" i="9" s="1"/>
  <c r="L163" i="9"/>
  <c r="N162" i="9"/>
  <c r="M162" i="9"/>
  <c r="P162" i="9" s="1"/>
  <c r="L162" i="9"/>
  <c r="N161" i="9"/>
  <c r="M161" i="9"/>
  <c r="P161" i="9" s="1"/>
  <c r="L161" i="9"/>
  <c r="N160" i="9"/>
  <c r="M160" i="9"/>
  <c r="P160" i="9" s="1"/>
  <c r="L160" i="9"/>
  <c r="N159" i="9"/>
  <c r="M159" i="9"/>
  <c r="P159" i="9" s="1"/>
  <c r="L159" i="9"/>
  <c r="N158" i="9"/>
  <c r="M158" i="9"/>
  <c r="P158" i="9" s="1"/>
  <c r="L158" i="9"/>
  <c r="N157" i="9"/>
  <c r="M157" i="9"/>
  <c r="P157" i="9" s="1"/>
  <c r="L157" i="9"/>
  <c r="N156" i="9"/>
  <c r="M156" i="9"/>
  <c r="P156" i="9" s="1"/>
  <c r="L156" i="9"/>
  <c r="N155" i="9"/>
  <c r="M155" i="9"/>
  <c r="P155" i="9" s="1"/>
  <c r="L155" i="9"/>
  <c r="N153" i="9"/>
  <c r="M153" i="9"/>
  <c r="P153" i="9" s="1"/>
  <c r="L153" i="9"/>
  <c r="N152" i="9"/>
  <c r="M152" i="9"/>
  <c r="P152" i="9" s="1"/>
  <c r="L152" i="9"/>
  <c r="N151" i="9"/>
  <c r="M151" i="9"/>
  <c r="P151" i="9" s="1"/>
  <c r="L151" i="9"/>
  <c r="N150" i="9"/>
  <c r="M150" i="9"/>
  <c r="P150" i="9" s="1"/>
  <c r="L150" i="9"/>
  <c r="N148" i="9"/>
  <c r="M148" i="9"/>
  <c r="P148" i="9" s="1"/>
  <c r="L148" i="9"/>
  <c r="N146" i="9"/>
  <c r="M146" i="9"/>
  <c r="P146" i="9" s="1"/>
  <c r="L146" i="9"/>
  <c r="N145" i="9"/>
  <c r="M145" i="9"/>
  <c r="P145" i="9" s="1"/>
  <c r="L145" i="9"/>
  <c r="N144" i="9"/>
  <c r="M144" i="9"/>
  <c r="P144" i="9" s="1"/>
  <c r="L144" i="9"/>
  <c r="N143" i="9"/>
  <c r="M143" i="9"/>
  <c r="P143" i="9" s="1"/>
  <c r="L143" i="9"/>
  <c r="N141" i="9"/>
  <c r="M141" i="9"/>
  <c r="P141" i="9" s="1"/>
  <c r="L141" i="9"/>
  <c r="N140" i="9"/>
  <c r="M140" i="9"/>
  <c r="P140" i="9" s="1"/>
  <c r="L140" i="9"/>
  <c r="N138" i="9"/>
  <c r="M138" i="9"/>
  <c r="P138" i="9" s="1"/>
  <c r="L138" i="9"/>
  <c r="N137" i="9"/>
  <c r="M137" i="9"/>
  <c r="P137" i="9" s="1"/>
  <c r="L137" i="9"/>
  <c r="N136" i="9"/>
  <c r="M136" i="9"/>
  <c r="P136" i="9" s="1"/>
  <c r="L136" i="9"/>
  <c r="N135" i="9"/>
  <c r="M135" i="9"/>
  <c r="P135" i="9" s="1"/>
  <c r="L135" i="9"/>
  <c r="N133" i="9"/>
  <c r="M133" i="9"/>
  <c r="P133" i="9" s="1"/>
  <c r="L133" i="9"/>
  <c r="N132" i="9"/>
  <c r="M132" i="9"/>
  <c r="P132" i="9" s="1"/>
  <c r="L132" i="9"/>
  <c r="N131" i="9"/>
  <c r="M131" i="9"/>
  <c r="P131" i="9" s="1"/>
  <c r="L131" i="9"/>
  <c r="N129" i="9"/>
  <c r="M129" i="9"/>
  <c r="P129" i="9" s="1"/>
  <c r="L129" i="9"/>
  <c r="N128" i="9"/>
  <c r="M128" i="9"/>
  <c r="P128" i="9" s="1"/>
  <c r="L128" i="9"/>
  <c r="N127" i="9"/>
  <c r="M127" i="9"/>
  <c r="P127" i="9" s="1"/>
  <c r="L127" i="9"/>
  <c r="N126" i="9"/>
  <c r="M126" i="9"/>
  <c r="P126" i="9" s="1"/>
  <c r="L126" i="9"/>
  <c r="N125" i="9"/>
  <c r="M125" i="9"/>
  <c r="P125" i="9" s="1"/>
  <c r="L125" i="9"/>
  <c r="N124" i="9"/>
  <c r="M124" i="9"/>
  <c r="P124" i="9" s="1"/>
  <c r="L124" i="9"/>
  <c r="N123" i="9"/>
  <c r="M123" i="9"/>
  <c r="P123" i="9" s="1"/>
  <c r="L123" i="9"/>
  <c r="N122" i="9"/>
  <c r="M122" i="9"/>
  <c r="P122" i="9" s="1"/>
  <c r="L122" i="9"/>
  <c r="N121" i="9"/>
  <c r="M121" i="9"/>
  <c r="P121" i="9" s="1"/>
  <c r="L121" i="9"/>
  <c r="N120" i="9"/>
  <c r="M120" i="9"/>
  <c r="P120" i="9" s="1"/>
  <c r="L120" i="9"/>
  <c r="N119" i="9"/>
  <c r="M119" i="9"/>
  <c r="P119" i="9" s="1"/>
  <c r="L119" i="9"/>
  <c r="N118" i="9"/>
  <c r="M118" i="9"/>
  <c r="P118" i="9" s="1"/>
  <c r="L118" i="9"/>
  <c r="N117" i="9"/>
  <c r="M117" i="9"/>
  <c r="P117" i="9" s="1"/>
  <c r="L117" i="9"/>
  <c r="N116" i="9"/>
  <c r="M116" i="9"/>
  <c r="P116" i="9" s="1"/>
  <c r="L116" i="9"/>
  <c r="N115" i="9"/>
  <c r="M115" i="9"/>
  <c r="P115" i="9" s="1"/>
  <c r="L115" i="9"/>
  <c r="N114" i="9"/>
  <c r="M114" i="9"/>
  <c r="P114" i="9" s="1"/>
  <c r="L114" i="9"/>
  <c r="N113" i="9"/>
  <c r="M113" i="9"/>
  <c r="P113" i="9" s="1"/>
  <c r="L113" i="9"/>
  <c r="N112" i="9"/>
  <c r="M112" i="9"/>
  <c r="P112" i="9" s="1"/>
  <c r="L112" i="9"/>
  <c r="N111" i="9"/>
  <c r="M111" i="9"/>
  <c r="P111" i="9" s="1"/>
  <c r="L111" i="9"/>
  <c r="N110" i="9"/>
  <c r="M110" i="9"/>
  <c r="P110" i="9" s="1"/>
  <c r="L110" i="9"/>
  <c r="N107" i="9"/>
  <c r="M107" i="9"/>
  <c r="P107" i="9" s="1"/>
  <c r="L107" i="9"/>
  <c r="N106" i="9"/>
  <c r="M106" i="9"/>
  <c r="P106" i="9" s="1"/>
  <c r="L106" i="9"/>
  <c r="N105" i="9"/>
  <c r="M105" i="9"/>
  <c r="P105" i="9" s="1"/>
  <c r="L105" i="9"/>
  <c r="N104" i="9"/>
  <c r="M104" i="9"/>
  <c r="P104" i="9" s="1"/>
  <c r="L104" i="9"/>
  <c r="N103" i="9"/>
  <c r="M103" i="9"/>
  <c r="P103" i="9" s="1"/>
  <c r="L103" i="9"/>
  <c r="N102" i="9"/>
  <c r="M102" i="9"/>
  <c r="P102" i="9" s="1"/>
  <c r="L102" i="9"/>
  <c r="N100" i="9"/>
  <c r="M100" i="9"/>
  <c r="P100" i="9" s="1"/>
  <c r="L100" i="9"/>
  <c r="N99" i="9"/>
  <c r="M99" i="9"/>
  <c r="P99" i="9" s="1"/>
  <c r="L99" i="9"/>
  <c r="N98" i="9"/>
  <c r="M98" i="9"/>
  <c r="P98" i="9" s="1"/>
  <c r="L98" i="9"/>
  <c r="N97" i="9"/>
  <c r="M97" i="9"/>
  <c r="P97" i="9" s="1"/>
  <c r="L97" i="9"/>
  <c r="N96" i="9"/>
  <c r="M96" i="9"/>
  <c r="P96" i="9" s="1"/>
  <c r="L96" i="9"/>
  <c r="N95" i="9"/>
  <c r="M95" i="9"/>
  <c r="P95" i="9" s="1"/>
  <c r="L95" i="9"/>
  <c r="N93" i="9"/>
  <c r="M93" i="9"/>
  <c r="P93" i="9" s="1"/>
  <c r="L93" i="9"/>
  <c r="N92" i="9"/>
  <c r="M92" i="9"/>
  <c r="P92" i="9" s="1"/>
  <c r="L92" i="9"/>
  <c r="N91" i="9"/>
  <c r="M91" i="9"/>
  <c r="P91" i="9" s="1"/>
  <c r="L91" i="9"/>
  <c r="N90" i="9"/>
  <c r="M90" i="9"/>
  <c r="P90" i="9" s="1"/>
  <c r="L90" i="9"/>
  <c r="N89" i="9"/>
  <c r="M89" i="9"/>
  <c r="P89" i="9" s="1"/>
  <c r="L89" i="9"/>
  <c r="N88" i="9"/>
  <c r="M88" i="9"/>
  <c r="P88" i="9" s="1"/>
  <c r="L88" i="9"/>
  <c r="N87" i="9"/>
  <c r="M87" i="9"/>
  <c r="P87" i="9" s="1"/>
  <c r="L87" i="9"/>
  <c r="N86" i="9"/>
  <c r="M86" i="9"/>
  <c r="P86" i="9" s="1"/>
  <c r="L86" i="9"/>
  <c r="N85" i="9"/>
  <c r="M85" i="9"/>
  <c r="P85" i="9" s="1"/>
  <c r="L85" i="9"/>
  <c r="N84" i="9"/>
  <c r="M84" i="9"/>
  <c r="P84" i="9" s="1"/>
  <c r="L84" i="9"/>
  <c r="N83" i="9"/>
  <c r="M83" i="9"/>
  <c r="P83" i="9" s="1"/>
  <c r="L83" i="9"/>
  <c r="N82" i="9"/>
  <c r="M82" i="9"/>
  <c r="P82" i="9" s="1"/>
  <c r="L82" i="9"/>
  <c r="N81" i="9"/>
  <c r="M81" i="9"/>
  <c r="P81" i="9" s="1"/>
  <c r="L81" i="9"/>
  <c r="N80" i="9"/>
  <c r="M80" i="9"/>
  <c r="P80" i="9" s="1"/>
  <c r="L80" i="9"/>
  <c r="N77" i="9"/>
  <c r="M77" i="9"/>
  <c r="P77" i="9" s="1"/>
  <c r="L77" i="9"/>
  <c r="N76" i="9"/>
  <c r="M76" i="9"/>
  <c r="P76" i="9" s="1"/>
  <c r="L76" i="9"/>
  <c r="N75" i="9"/>
  <c r="M75" i="9"/>
  <c r="P75" i="9" s="1"/>
  <c r="L75" i="9"/>
  <c r="N74" i="9"/>
  <c r="M74" i="9"/>
  <c r="P74" i="9" s="1"/>
  <c r="L74" i="9"/>
  <c r="N73" i="9"/>
  <c r="M73" i="9"/>
  <c r="P73" i="9" s="1"/>
  <c r="L73" i="9"/>
  <c r="N72" i="9"/>
  <c r="M72" i="9"/>
  <c r="P72" i="9" s="1"/>
  <c r="L72" i="9"/>
  <c r="N71" i="9"/>
  <c r="M71" i="9"/>
  <c r="P71" i="9" s="1"/>
  <c r="L71" i="9"/>
  <c r="N70" i="9"/>
  <c r="M70" i="9"/>
  <c r="P70" i="9" s="1"/>
  <c r="L70" i="9"/>
  <c r="N69" i="9"/>
  <c r="M69" i="9"/>
  <c r="P69" i="9" s="1"/>
  <c r="L69" i="9"/>
  <c r="N68" i="9"/>
  <c r="M68" i="9"/>
  <c r="P68" i="9" s="1"/>
  <c r="L68" i="9"/>
  <c r="N65" i="9"/>
  <c r="M65" i="9"/>
  <c r="P65" i="9" s="1"/>
  <c r="L65" i="9"/>
  <c r="N64" i="9"/>
  <c r="M64" i="9"/>
  <c r="P64" i="9" s="1"/>
  <c r="L64" i="9"/>
  <c r="N62" i="9"/>
  <c r="M62" i="9"/>
  <c r="P62" i="9" s="1"/>
  <c r="L62" i="9"/>
  <c r="N61" i="9"/>
  <c r="M61" i="9"/>
  <c r="P61" i="9" s="1"/>
  <c r="L61" i="9"/>
  <c r="N59" i="9"/>
  <c r="M59" i="9"/>
  <c r="P59" i="9" s="1"/>
  <c r="L59" i="9"/>
  <c r="N58" i="9"/>
  <c r="M58" i="9"/>
  <c r="P58" i="9" s="1"/>
  <c r="L58" i="9"/>
  <c r="N56" i="9"/>
  <c r="M56" i="9"/>
  <c r="P56" i="9" s="1"/>
  <c r="L56" i="9"/>
  <c r="N54" i="9"/>
  <c r="M54" i="9"/>
  <c r="P54" i="9" s="1"/>
  <c r="L54" i="9"/>
  <c r="N53" i="9"/>
  <c r="M53" i="9"/>
  <c r="P53" i="9" s="1"/>
  <c r="L53" i="9"/>
  <c r="N52" i="9"/>
  <c r="M52" i="9"/>
  <c r="P52" i="9" s="1"/>
  <c r="L52" i="9"/>
  <c r="N51" i="9"/>
  <c r="M51" i="9"/>
  <c r="P51" i="9" s="1"/>
  <c r="L51" i="9"/>
  <c r="N50" i="9"/>
  <c r="M50" i="9"/>
  <c r="P50" i="9" s="1"/>
  <c r="L50" i="9"/>
  <c r="N49" i="9"/>
  <c r="M49" i="9"/>
  <c r="P49" i="9" s="1"/>
  <c r="L49" i="9"/>
  <c r="N48" i="9"/>
  <c r="M48" i="9"/>
  <c r="P48" i="9" s="1"/>
  <c r="L48" i="9"/>
  <c r="N47" i="9"/>
  <c r="M47" i="9"/>
  <c r="P47" i="9" s="1"/>
  <c r="L47" i="9"/>
  <c r="N46" i="9"/>
  <c r="M46" i="9"/>
  <c r="P46" i="9" s="1"/>
  <c r="L46" i="9"/>
  <c r="N45" i="9"/>
  <c r="M45" i="9"/>
  <c r="P45" i="9" s="1"/>
  <c r="L45" i="9"/>
  <c r="N44" i="9"/>
  <c r="M44" i="9"/>
  <c r="P44" i="9" s="1"/>
  <c r="L44" i="9"/>
  <c r="N43" i="9"/>
  <c r="M43" i="9"/>
  <c r="P43" i="9" s="1"/>
  <c r="L43" i="9"/>
  <c r="N42" i="9"/>
  <c r="M42" i="9"/>
  <c r="P42" i="9" s="1"/>
  <c r="L42" i="9"/>
  <c r="N41" i="9"/>
  <c r="M41" i="9"/>
  <c r="P41" i="9" s="1"/>
  <c r="L41" i="9"/>
  <c r="N40" i="9"/>
  <c r="M40" i="9"/>
  <c r="P40" i="9" s="1"/>
  <c r="L40" i="9"/>
  <c r="N39" i="9"/>
  <c r="M39" i="9"/>
  <c r="P39" i="9" s="1"/>
  <c r="L39" i="9"/>
  <c r="N38" i="9"/>
  <c r="M38" i="9"/>
  <c r="P38" i="9" s="1"/>
  <c r="L38" i="9"/>
  <c r="N36" i="9"/>
  <c r="M36" i="9"/>
  <c r="P36" i="9" s="1"/>
  <c r="L36" i="9"/>
  <c r="N35" i="9"/>
  <c r="M35" i="9"/>
  <c r="P35" i="9" s="1"/>
  <c r="L35" i="9"/>
  <c r="N34" i="9"/>
  <c r="M34" i="9"/>
  <c r="P34" i="9" s="1"/>
  <c r="L34" i="9"/>
  <c r="N33" i="9"/>
  <c r="M33" i="9"/>
  <c r="P33" i="9" s="1"/>
  <c r="L33" i="9"/>
  <c r="N32" i="9"/>
  <c r="M32" i="9"/>
  <c r="P32" i="9" s="1"/>
  <c r="L32" i="9"/>
  <c r="N31" i="9"/>
  <c r="M31" i="9"/>
  <c r="P31" i="9" s="1"/>
  <c r="L31" i="9"/>
  <c r="N30" i="9"/>
  <c r="M30" i="9"/>
  <c r="P30" i="9" s="1"/>
  <c r="L30" i="9"/>
  <c r="N29" i="9"/>
  <c r="M29" i="9"/>
  <c r="P29" i="9" s="1"/>
  <c r="L29" i="9"/>
  <c r="N28" i="9"/>
  <c r="M28" i="9"/>
  <c r="P28" i="9" s="1"/>
  <c r="L28" i="9"/>
  <c r="N27" i="9"/>
  <c r="M27" i="9"/>
  <c r="P27" i="9" s="1"/>
  <c r="L27" i="9"/>
  <c r="N26" i="9"/>
  <c r="M26" i="9"/>
  <c r="P26" i="9" s="1"/>
  <c r="L26" i="9"/>
  <c r="N25" i="9"/>
  <c r="M25" i="9"/>
  <c r="P25" i="9" s="1"/>
  <c r="L25" i="9"/>
  <c r="N24" i="9"/>
  <c r="M24" i="9"/>
  <c r="P24" i="9" s="1"/>
  <c r="L24" i="9"/>
  <c r="N23" i="9"/>
  <c r="M23" i="9"/>
  <c r="P23" i="9" s="1"/>
  <c r="L23" i="9"/>
  <c r="N22" i="9"/>
  <c r="M22" i="9"/>
  <c r="P22" i="9" s="1"/>
  <c r="L22" i="9"/>
  <c r="N21" i="9"/>
  <c r="M21" i="9"/>
  <c r="P21" i="9" s="1"/>
  <c r="L21" i="9"/>
  <c r="N20" i="9"/>
  <c r="M20" i="9"/>
  <c r="P20" i="9" s="1"/>
  <c r="L20" i="9"/>
  <c r="N19" i="9"/>
  <c r="M19" i="9"/>
  <c r="P19" i="9" s="1"/>
  <c r="L19" i="9"/>
  <c r="N18" i="9"/>
  <c r="M18" i="9"/>
  <c r="P18" i="9" s="1"/>
  <c r="L18" i="9"/>
  <c r="N17" i="9"/>
  <c r="M17" i="9"/>
  <c r="P17" i="9" s="1"/>
  <c r="L17" i="9"/>
  <c r="N16" i="9"/>
  <c r="M16" i="9"/>
  <c r="P16" i="9" s="1"/>
  <c r="L16" i="9"/>
  <c r="N13" i="9"/>
  <c r="M13" i="9"/>
  <c r="P13" i="9" s="1"/>
  <c r="L13" i="9"/>
  <c r="N10" i="9"/>
  <c r="M10" i="9"/>
  <c r="P10" i="9" s="1"/>
  <c r="L10" i="9"/>
  <c r="N9" i="9"/>
  <c r="M9" i="9"/>
  <c r="P9" i="9" s="1"/>
  <c r="L9" i="9"/>
  <c r="N6" i="9"/>
  <c r="M6" i="9"/>
  <c r="P6" i="9" s="1"/>
  <c r="L6" i="9"/>
  <c r="L718" i="7"/>
  <c r="K718" i="7"/>
  <c r="N718" i="7" s="1"/>
  <c r="J718" i="7"/>
  <c r="L717" i="7"/>
  <c r="K717" i="7"/>
  <c r="N717" i="7" s="1"/>
  <c r="J717" i="7"/>
  <c r="L710" i="7"/>
  <c r="K710" i="7"/>
  <c r="N710" i="7" s="1"/>
  <c r="J710" i="7"/>
  <c r="L709" i="7"/>
  <c r="K709" i="7"/>
  <c r="N709" i="7" s="1"/>
  <c r="J709" i="7"/>
  <c r="L708" i="7"/>
  <c r="K708" i="7"/>
  <c r="N708" i="7" s="1"/>
  <c r="J708" i="7"/>
  <c r="L707" i="7"/>
  <c r="K707" i="7"/>
  <c r="N707" i="7" s="1"/>
  <c r="J707" i="7"/>
  <c r="L706" i="7"/>
  <c r="K706" i="7"/>
  <c r="N706" i="7" s="1"/>
  <c r="J706" i="7"/>
  <c r="L705" i="7"/>
  <c r="K705" i="7"/>
  <c r="N705" i="7" s="1"/>
  <c r="J705" i="7"/>
  <c r="L704" i="7"/>
  <c r="K704" i="7"/>
  <c r="N704" i="7" s="1"/>
  <c r="J704" i="7"/>
  <c r="L703" i="7"/>
  <c r="K703" i="7"/>
  <c r="N703" i="7" s="1"/>
  <c r="J703" i="7"/>
  <c r="L702" i="7"/>
  <c r="K702" i="7"/>
  <c r="N702" i="7" s="1"/>
  <c r="J702" i="7"/>
  <c r="L701" i="7"/>
  <c r="K701" i="7"/>
  <c r="N701" i="7" s="1"/>
  <c r="J701" i="7"/>
  <c r="L700" i="7"/>
  <c r="K700" i="7"/>
  <c r="N700" i="7" s="1"/>
  <c r="J700" i="7"/>
  <c r="L695" i="7"/>
  <c r="K695" i="7"/>
  <c r="N695" i="7" s="1"/>
  <c r="J695" i="7"/>
  <c r="L680" i="7"/>
  <c r="K680" i="7"/>
  <c r="N680" i="7" s="1"/>
  <c r="J680" i="7"/>
  <c r="L679" i="7"/>
  <c r="K679" i="7"/>
  <c r="N679" i="7" s="1"/>
  <c r="J679" i="7"/>
  <c r="L678" i="7"/>
  <c r="K678" i="7"/>
  <c r="N678" i="7" s="1"/>
  <c r="J678" i="7"/>
  <c r="L677" i="7"/>
  <c r="K677" i="7"/>
  <c r="N677" i="7" s="1"/>
  <c r="J677" i="7"/>
  <c r="L676" i="7"/>
  <c r="K676" i="7"/>
  <c r="N676" i="7" s="1"/>
  <c r="J676" i="7"/>
  <c r="L675" i="7"/>
  <c r="K675" i="7"/>
  <c r="N675" i="7" s="1"/>
  <c r="J675" i="7"/>
  <c r="L674" i="7"/>
  <c r="K674" i="7"/>
  <c r="N674" i="7" s="1"/>
  <c r="J674" i="7"/>
  <c r="L673" i="7"/>
  <c r="K673" i="7"/>
  <c r="N673" i="7" s="1"/>
  <c r="J673" i="7"/>
  <c r="L672" i="7"/>
  <c r="K672" i="7"/>
  <c r="N672" i="7" s="1"/>
  <c r="J672" i="7"/>
  <c r="L671" i="7"/>
  <c r="K671" i="7"/>
  <c r="N671" i="7" s="1"/>
  <c r="J671" i="7"/>
  <c r="L670" i="7"/>
  <c r="K670" i="7"/>
  <c r="N670" i="7" s="1"/>
  <c r="J670" i="7"/>
  <c r="L669" i="7"/>
  <c r="K669" i="7"/>
  <c r="N669" i="7" s="1"/>
  <c r="J669" i="7"/>
  <c r="L668" i="7"/>
  <c r="K668" i="7"/>
  <c r="N668" i="7" s="1"/>
  <c r="J668" i="7"/>
  <c r="L667" i="7"/>
  <c r="K667" i="7"/>
  <c r="N667" i="7" s="1"/>
  <c r="J667" i="7"/>
  <c r="L666" i="7"/>
  <c r="K666" i="7"/>
  <c r="N666" i="7" s="1"/>
  <c r="J666" i="7"/>
  <c r="L665" i="7"/>
  <c r="K665" i="7"/>
  <c r="N665" i="7" s="1"/>
  <c r="J665" i="7"/>
  <c r="L664" i="7"/>
  <c r="K664" i="7"/>
  <c r="N664" i="7" s="1"/>
  <c r="J664" i="7"/>
  <c r="L663" i="7"/>
  <c r="K663" i="7"/>
  <c r="N663" i="7" s="1"/>
  <c r="J663" i="7"/>
  <c r="L662" i="7"/>
  <c r="K662" i="7"/>
  <c r="N662" i="7" s="1"/>
  <c r="J662" i="7"/>
  <c r="L661" i="7"/>
  <c r="K661" i="7"/>
  <c r="N661" i="7" s="1"/>
  <c r="J661" i="7"/>
  <c r="L660" i="7"/>
  <c r="K660" i="7"/>
  <c r="N660" i="7" s="1"/>
  <c r="J660" i="7"/>
  <c r="L659" i="7"/>
  <c r="K659" i="7"/>
  <c r="N659" i="7" s="1"/>
  <c r="J659" i="7"/>
  <c r="L658" i="7"/>
  <c r="K658" i="7"/>
  <c r="N658" i="7" s="1"/>
  <c r="J658" i="7"/>
  <c r="L657" i="7"/>
  <c r="K657" i="7"/>
  <c r="N657" i="7" s="1"/>
  <c r="J657" i="7"/>
  <c r="L656" i="7"/>
  <c r="K656" i="7"/>
  <c r="N656" i="7" s="1"/>
  <c r="J656" i="7"/>
  <c r="L655" i="7"/>
  <c r="K655" i="7"/>
  <c r="N655" i="7" s="1"/>
  <c r="J655" i="7"/>
  <c r="L654" i="7"/>
  <c r="K654" i="7"/>
  <c r="N654" i="7" s="1"/>
  <c r="J654" i="7"/>
  <c r="L653" i="7"/>
  <c r="K653" i="7"/>
  <c r="N653" i="7" s="1"/>
  <c r="J653" i="7"/>
  <c r="L652" i="7"/>
  <c r="K652" i="7"/>
  <c r="N652" i="7" s="1"/>
  <c r="J652" i="7"/>
  <c r="L651" i="7"/>
  <c r="K651" i="7"/>
  <c r="N651" i="7" s="1"/>
  <c r="J651" i="7"/>
  <c r="L650" i="7"/>
  <c r="K650" i="7"/>
  <c r="N650" i="7" s="1"/>
  <c r="J650" i="7"/>
  <c r="L649" i="7"/>
  <c r="K649" i="7"/>
  <c r="N649" i="7" s="1"/>
  <c r="J649" i="7"/>
  <c r="L648" i="7"/>
  <c r="K648" i="7"/>
  <c r="N648" i="7" s="1"/>
  <c r="J648" i="7"/>
  <c r="L647" i="7"/>
  <c r="K647" i="7"/>
  <c r="N647" i="7" s="1"/>
  <c r="J647" i="7"/>
  <c r="L646" i="7"/>
  <c r="K646" i="7"/>
  <c r="N646" i="7" s="1"/>
  <c r="J646" i="7"/>
  <c r="L645" i="7"/>
  <c r="K645" i="7"/>
  <c r="N645" i="7" s="1"/>
  <c r="J645" i="7"/>
  <c r="L644" i="7"/>
  <c r="K644" i="7"/>
  <c r="N644" i="7" s="1"/>
  <c r="J644" i="7"/>
  <c r="L643" i="7"/>
  <c r="K643" i="7"/>
  <c r="N643" i="7" s="1"/>
  <c r="J643" i="7"/>
  <c r="L642" i="7"/>
  <c r="K642" i="7"/>
  <c r="N642" i="7" s="1"/>
  <c r="J642" i="7"/>
  <c r="L641" i="7"/>
  <c r="K641" i="7"/>
  <c r="N641" i="7" s="1"/>
  <c r="J641" i="7"/>
  <c r="L640" i="7"/>
  <c r="K640" i="7"/>
  <c r="N640" i="7" s="1"/>
  <c r="J640" i="7"/>
  <c r="L639" i="7"/>
  <c r="K639" i="7"/>
  <c r="N639" i="7" s="1"/>
  <c r="J639" i="7"/>
  <c r="L638" i="7"/>
  <c r="K638" i="7"/>
  <c r="N638" i="7" s="1"/>
  <c r="J638" i="7"/>
  <c r="L637" i="7"/>
  <c r="K637" i="7"/>
  <c r="N637" i="7" s="1"/>
  <c r="J637" i="7"/>
  <c r="L636" i="7"/>
  <c r="K636" i="7"/>
  <c r="N636" i="7" s="1"/>
  <c r="J636" i="7"/>
  <c r="L634" i="7"/>
  <c r="K634" i="7"/>
  <c r="N634" i="7" s="1"/>
  <c r="J634" i="7"/>
  <c r="L633" i="7"/>
  <c r="K633" i="7"/>
  <c r="N633" i="7" s="1"/>
  <c r="J633" i="7"/>
  <c r="L629" i="7"/>
  <c r="K629" i="7"/>
  <c r="N629" i="7" s="1"/>
  <c r="J629" i="7"/>
  <c r="L628" i="7"/>
  <c r="K628" i="7"/>
  <c r="N628" i="7" s="1"/>
  <c r="J628" i="7"/>
  <c r="L627" i="7"/>
  <c r="K627" i="7"/>
  <c r="N627" i="7" s="1"/>
  <c r="J627" i="7"/>
  <c r="L626" i="7"/>
  <c r="K626" i="7"/>
  <c r="N626" i="7" s="1"/>
  <c r="J626" i="7"/>
  <c r="L624" i="7"/>
  <c r="K624" i="7"/>
  <c r="N624" i="7" s="1"/>
  <c r="J624" i="7"/>
  <c r="L623" i="7"/>
  <c r="K623" i="7"/>
  <c r="N623" i="7" s="1"/>
  <c r="J623" i="7"/>
  <c r="L622" i="7"/>
  <c r="K622" i="7"/>
  <c r="N622" i="7" s="1"/>
  <c r="J622" i="7"/>
  <c r="L621" i="7"/>
  <c r="K621" i="7"/>
  <c r="N621" i="7" s="1"/>
  <c r="J621" i="7"/>
  <c r="L618" i="7"/>
  <c r="K618" i="7"/>
  <c r="N618" i="7" s="1"/>
  <c r="J618" i="7"/>
  <c r="L615" i="7"/>
  <c r="K615" i="7"/>
  <c r="N615" i="7" s="1"/>
  <c r="J615" i="7"/>
  <c r="L614" i="7"/>
  <c r="K614" i="7"/>
  <c r="N614" i="7" s="1"/>
  <c r="J614" i="7"/>
  <c r="L613" i="7"/>
  <c r="K613" i="7"/>
  <c r="N613" i="7" s="1"/>
  <c r="J613" i="7"/>
  <c r="L612" i="7"/>
  <c r="K612" i="7"/>
  <c r="N612" i="7" s="1"/>
  <c r="J612" i="7"/>
  <c r="L611" i="7"/>
  <c r="K611" i="7"/>
  <c r="N611" i="7" s="1"/>
  <c r="J611" i="7"/>
  <c r="L610" i="7"/>
  <c r="K610" i="7"/>
  <c r="N610" i="7" s="1"/>
  <c r="J610" i="7"/>
  <c r="L609" i="7"/>
  <c r="K609" i="7"/>
  <c r="N609" i="7" s="1"/>
  <c r="J609" i="7"/>
  <c r="L608" i="7"/>
  <c r="K608" i="7"/>
  <c r="N608" i="7" s="1"/>
  <c r="J608" i="7"/>
  <c r="L607" i="7"/>
  <c r="K607" i="7"/>
  <c r="N607" i="7" s="1"/>
  <c r="J607" i="7"/>
  <c r="L606" i="7"/>
  <c r="K606" i="7"/>
  <c r="N606" i="7" s="1"/>
  <c r="J606" i="7"/>
  <c r="L605" i="7"/>
  <c r="K605" i="7"/>
  <c r="N605" i="7" s="1"/>
  <c r="J605" i="7"/>
  <c r="L604" i="7"/>
  <c r="K604" i="7"/>
  <c r="N604" i="7" s="1"/>
  <c r="J604" i="7"/>
  <c r="L603" i="7"/>
  <c r="K603" i="7"/>
  <c r="N603" i="7" s="1"/>
  <c r="J603" i="7"/>
  <c r="L602" i="7"/>
  <c r="K602" i="7"/>
  <c r="N602" i="7" s="1"/>
  <c r="J602" i="7"/>
  <c r="L601" i="7"/>
  <c r="K601" i="7"/>
  <c r="N601" i="7" s="1"/>
  <c r="J601" i="7"/>
  <c r="L600" i="7"/>
  <c r="K600" i="7"/>
  <c r="N600" i="7" s="1"/>
  <c r="J600" i="7"/>
  <c r="L599" i="7"/>
  <c r="K599" i="7"/>
  <c r="N599" i="7" s="1"/>
  <c r="J599" i="7"/>
  <c r="L598" i="7"/>
  <c r="K598" i="7"/>
  <c r="N598" i="7" s="1"/>
  <c r="J598" i="7"/>
  <c r="L597" i="7"/>
  <c r="K597" i="7"/>
  <c r="N597" i="7" s="1"/>
  <c r="J597" i="7"/>
  <c r="L596" i="7"/>
  <c r="K596" i="7"/>
  <c r="N596" i="7" s="1"/>
  <c r="J596" i="7"/>
  <c r="L595" i="7"/>
  <c r="K595" i="7"/>
  <c r="N595" i="7" s="1"/>
  <c r="J595" i="7"/>
  <c r="L594" i="7"/>
  <c r="K594" i="7"/>
  <c r="N594" i="7" s="1"/>
  <c r="J594" i="7"/>
  <c r="L593" i="7"/>
  <c r="K593" i="7"/>
  <c r="N593" i="7" s="1"/>
  <c r="J593" i="7"/>
  <c r="L592" i="7"/>
  <c r="K592" i="7"/>
  <c r="N592" i="7" s="1"/>
  <c r="J592" i="7"/>
  <c r="L591" i="7"/>
  <c r="K591" i="7"/>
  <c r="N591" i="7" s="1"/>
  <c r="J591" i="7"/>
  <c r="L590" i="7"/>
  <c r="K590" i="7"/>
  <c r="N590" i="7" s="1"/>
  <c r="J590" i="7"/>
  <c r="L589" i="7"/>
  <c r="K589" i="7"/>
  <c r="N589" i="7" s="1"/>
  <c r="J589" i="7"/>
  <c r="L588" i="7"/>
  <c r="K588" i="7"/>
  <c r="N588" i="7" s="1"/>
  <c r="J588" i="7"/>
  <c r="L587" i="7"/>
  <c r="K587" i="7"/>
  <c r="N587" i="7" s="1"/>
  <c r="J587" i="7"/>
  <c r="L586" i="7"/>
  <c r="K586" i="7"/>
  <c r="N586" i="7" s="1"/>
  <c r="J586" i="7"/>
  <c r="L585" i="7"/>
  <c r="K585" i="7"/>
  <c r="N585" i="7" s="1"/>
  <c r="J585" i="7"/>
  <c r="L584" i="7"/>
  <c r="K584" i="7"/>
  <c r="N584" i="7" s="1"/>
  <c r="J584" i="7"/>
  <c r="L583" i="7"/>
  <c r="K583" i="7"/>
  <c r="N583" i="7" s="1"/>
  <c r="J583" i="7"/>
  <c r="L582" i="7"/>
  <c r="K582" i="7"/>
  <c r="N582" i="7" s="1"/>
  <c r="J582" i="7"/>
  <c r="L581" i="7"/>
  <c r="K581" i="7"/>
  <c r="N581" i="7" s="1"/>
  <c r="J581" i="7"/>
  <c r="L580" i="7"/>
  <c r="K580" i="7"/>
  <c r="N580" i="7" s="1"/>
  <c r="J580" i="7"/>
  <c r="L579" i="7"/>
  <c r="K579" i="7"/>
  <c r="N579" i="7" s="1"/>
  <c r="J579" i="7"/>
  <c r="L578" i="7"/>
  <c r="K578" i="7"/>
  <c r="N578" i="7" s="1"/>
  <c r="J578" i="7"/>
  <c r="L577" i="7"/>
  <c r="K577" i="7"/>
  <c r="N577" i="7" s="1"/>
  <c r="J577" i="7"/>
  <c r="L576" i="7"/>
  <c r="K576" i="7"/>
  <c r="N576" i="7" s="1"/>
  <c r="J576" i="7"/>
  <c r="L575" i="7"/>
  <c r="K575" i="7"/>
  <c r="N575" i="7" s="1"/>
  <c r="J575" i="7"/>
  <c r="L574" i="7"/>
  <c r="K574" i="7"/>
  <c r="N574" i="7" s="1"/>
  <c r="J574" i="7"/>
  <c r="L571" i="7"/>
  <c r="K571" i="7"/>
  <c r="N571" i="7" s="1"/>
  <c r="J571" i="7"/>
  <c r="L570" i="7"/>
  <c r="K570" i="7"/>
  <c r="N570" i="7" s="1"/>
  <c r="J570" i="7"/>
  <c r="L569" i="7"/>
  <c r="K569" i="7"/>
  <c r="N569" i="7" s="1"/>
  <c r="J569" i="7"/>
  <c r="L568" i="7"/>
  <c r="K568" i="7"/>
  <c r="N568" i="7" s="1"/>
  <c r="J568" i="7"/>
  <c r="L567" i="7"/>
  <c r="K567" i="7"/>
  <c r="N567" i="7" s="1"/>
  <c r="J567" i="7"/>
  <c r="L566" i="7"/>
  <c r="K566" i="7"/>
  <c r="N566" i="7" s="1"/>
  <c r="J566" i="7"/>
  <c r="L565" i="7"/>
  <c r="K565" i="7"/>
  <c r="N565" i="7" s="1"/>
  <c r="J565" i="7"/>
  <c r="L564" i="7"/>
  <c r="K564" i="7"/>
  <c r="N564" i="7" s="1"/>
  <c r="J564" i="7"/>
  <c r="L563" i="7"/>
  <c r="K563" i="7"/>
  <c r="N563" i="7" s="1"/>
  <c r="J563" i="7"/>
  <c r="L562" i="7"/>
  <c r="K562" i="7"/>
  <c r="N562" i="7" s="1"/>
  <c r="J562" i="7"/>
  <c r="L561" i="7"/>
  <c r="K561" i="7"/>
  <c r="N561" i="7" s="1"/>
  <c r="J561" i="7"/>
  <c r="L560" i="7"/>
  <c r="K560" i="7"/>
  <c r="N560" i="7" s="1"/>
  <c r="J560" i="7"/>
  <c r="L559" i="7"/>
  <c r="K559" i="7"/>
  <c r="N559" i="7" s="1"/>
  <c r="J559" i="7"/>
  <c r="L557" i="7"/>
  <c r="K557" i="7"/>
  <c r="N557" i="7" s="1"/>
  <c r="J557" i="7"/>
  <c r="L556" i="7"/>
  <c r="K556" i="7"/>
  <c r="N556" i="7" s="1"/>
  <c r="J556" i="7"/>
  <c r="L555" i="7"/>
  <c r="K555" i="7"/>
  <c r="N555" i="7" s="1"/>
  <c r="J555" i="7"/>
  <c r="L554" i="7"/>
  <c r="K554" i="7"/>
  <c r="N554" i="7" s="1"/>
  <c r="J554" i="7"/>
  <c r="L553" i="7"/>
  <c r="K553" i="7"/>
  <c r="N553" i="7" s="1"/>
  <c r="J553" i="7"/>
  <c r="L552" i="7"/>
  <c r="K552" i="7"/>
  <c r="N552" i="7" s="1"/>
  <c r="J552" i="7"/>
  <c r="L551" i="7"/>
  <c r="K551" i="7"/>
  <c r="N551" i="7" s="1"/>
  <c r="J551" i="7"/>
  <c r="L550" i="7"/>
  <c r="K550" i="7"/>
  <c r="N550" i="7" s="1"/>
  <c r="J550" i="7"/>
  <c r="L548" i="7"/>
  <c r="K548" i="7"/>
  <c r="N548" i="7" s="1"/>
  <c r="J548" i="7"/>
  <c r="L547" i="7"/>
  <c r="K547" i="7"/>
  <c r="N547" i="7" s="1"/>
  <c r="J547" i="7"/>
  <c r="L546" i="7"/>
  <c r="K546" i="7"/>
  <c r="N546" i="7" s="1"/>
  <c r="J546" i="7"/>
  <c r="L545" i="7"/>
  <c r="K545" i="7"/>
  <c r="N545" i="7" s="1"/>
  <c r="J545" i="7"/>
  <c r="L544" i="7"/>
  <c r="K544" i="7"/>
  <c r="N544" i="7" s="1"/>
  <c r="J544" i="7"/>
  <c r="L543" i="7"/>
  <c r="K543" i="7"/>
  <c r="N543" i="7" s="1"/>
  <c r="J543" i="7"/>
  <c r="L542" i="7"/>
  <c r="K542" i="7"/>
  <c r="N542" i="7" s="1"/>
  <c r="J542" i="7"/>
  <c r="L541" i="7"/>
  <c r="K541" i="7"/>
  <c r="N541" i="7" s="1"/>
  <c r="J541" i="7"/>
  <c r="L540" i="7"/>
  <c r="K540" i="7"/>
  <c r="N540" i="7" s="1"/>
  <c r="J540" i="7"/>
  <c r="L523" i="7"/>
  <c r="K523" i="7"/>
  <c r="N523" i="7" s="1"/>
  <c r="J523" i="7"/>
  <c r="L522" i="7"/>
  <c r="K522" i="7"/>
  <c r="N522" i="7" s="1"/>
  <c r="J522" i="7"/>
  <c r="L521" i="7"/>
  <c r="K521" i="7"/>
  <c r="N521" i="7" s="1"/>
  <c r="J521" i="7"/>
  <c r="L520" i="7"/>
  <c r="K520" i="7"/>
  <c r="N520" i="7" s="1"/>
  <c r="J520" i="7"/>
  <c r="L519" i="7"/>
  <c r="K519" i="7"/>
  <c r="N519" i="7" s="1"/>
  <c r="J519" i="7"/>
  <c r="L518" i="7"/>
  <c r="K518" i="7"/>
  <c r="N518" i="7" s="1"/>
  <c r="J518" i="7"/>
  <c r="L517" i="7"/>
  <c r="K517" i="7"/>
  <c r="N517" i="7" s="1"/>
  <c r="J517" i="7"/>
  <c r="L516" i="7"/>
  <c r="K516" i="7"/>
  <c r="N516" i="7" s="1"/>
  <c r="J516" i="7"/>
  <c r="L515" i="7"/>
  <c r="K515" i="7"/>
  <c r="N515" i="7" s="1"/>
  <c r="J515" i="7"/>
  <c r="L514" i="7"/>
  <c r="K514" i="7"/>
  <c r="N514" i="7" s="1"/>
  <c r="J514" i="7"/>
  <c r="L513" i="7"/>
  <c r="K513" i="7"/>
  <c r="N513" i="7" s="1"/>
  <c r="J513" i="7"/>
  <c r="L512" i="7"/>
  <c r="K512" i="7"/>
  <c r="N512" i="7" s="1"/>
  <c r="J512" i="7"/>
  <c r="L489" i="7"/>
  <c r="K489" i="7"/>
  <c r="N489" i="7" s="1"/>
  <c r="J489" i="7"/>
  <c r="L488" i="7"/>
  <c r="K488" i="7"/>
  <c r="N488" i="7" s="1"/>
  <c r="J488" i="7"/>
  <c r="L487" i="7"/>
  <c r="K487" i="7"/>
  <c r="N487" i="7" s="1"/>
  <c r="J487" i="7"/>
  <c r="L486" i="7"/>
  <c r="K486" i="7"/>
  <c r="N486" i="7" s="1"/>
  <c r="J486" i="7"/>
  <c r="L483" i="7"/>
  <c r="K483" i="7"/>
  <c r="N483" i="7" s="1"/>
  <c r="J483" i="7"/>
  <c r="L482" i="7"/>
  <c r="K482" i="7"/>
  <c r="N482" i="7" s="1"/>
  <c r="J482" i="7"/>
  <c r="L481" i="7"/>
  <c r="K481" i="7"/>
  <c r="N481" i="7" s="1"/>
  <c r="J481" i="7"/>
  <c r="L480" i="7"/>
  <c r="K480" i="7"/>
  <c r="N480" i="7" s="1"/>
  <c r="J480" i="7"/>
  <c r="L478" i="7"/>
  <c r="K478" i="7"/>
  <c r="N478" i="7" s="1"/>
  <c r="J478" i="7"/>
  <c r="L477" i="7"/>
  <c r="K477" i="7"/>
  <c r="N477" i="7" s="1"/>
  <c r="J477" i="7"/>
  <c r="L474" i="7"/>
  <c r="K474" i="7"/>
  <c r="N474" i="7" s="1"/>
  <c r="J474" i="7"/>
  <c r="L473" i="7"/>
  <c r="K473" i="7"/>
  <c r="N473" i="7" s="1"/>
  <c r="J473" i="7"/>
  <c r="L472" i="7"/>
  <c r="K472" i="7"/>
  <c r="N472" i="7" s="1"/>
  <c r="J472" i="7"/>
  <c r="L471" i="7"/>
  <c r="K471" i="7"/>
  <c r="N471" i="7" s="1"/>
  <c r="J471" i="7"/>
  <c r="L466" i="7"/>
  <c r="K466" i="7"/>
  <c r="N466" i="7" s="1"/>
  <c r="J466" i="7"/>
  <c r="L465" i="7"/>
  <c r="K465" i="7"/>
  <c r="N465" i="7" s="1"/>
  <c r="J465" i="7"/>
  <c r="L463" i="7"/>
  <c r="K463" i="7"/>
  <c r="N463" i="7" s="1"/>
  <c r="J463" i="7"/>
  <c r="L461" i="7"/>
  <c r="K461" i="7"/>
  <c r="N461" i="7" s="1"/>
  <c r="J461" i="7"/>
  <c r="L458" i="7"/>
  <c r="K458" i="7"/>
  <c r="N458" i="7" s="1"/>
  <c r="J458" i="7"/>
  <c r="L457" i="7"/>
  <c r="K457" i="7"/>
  <c r="N457" i="7" s="1"/>
  <c r="J457" i="7"/>
  <c r="L456" i="7"/>
  <c r="K456" i="7"/>
  <c r="N456" i="7" s="1"/>
  <c r="J456" i="7"/>
  <c r="L455" i="7"/>
  <c r="K455" i="7"/>
  <c r="N455" i="7" s="1"/>
  <c r="J455" i="7"/>
  <c r="L454" i="7"/>
  <c r="K454" i="7"/>
  <c r="N454" i="7" s="1"/>
  <c r="J454" i="7"/>
  <c r="L453" i="7"/>
  <c r="K453" i="7"/>
  <c r="N453" i="7" s="1"/>
  <c r="J453" i="7"/>
  <c r="L452" i="7"/>
  <c r="K452" i="7"/>
  <c r="N452" i="7" s="1"/>
  <c r="J452" i="7"/>
  <c r="L451" i="7"/>
  <c r="K451" i="7"/>
  <c r="N451" i="7" s="1"/>
  <c r="J451" i="7"/>
  <c r="L449" i="7"/>
  <c r="K449" i="7"/>
  <c r="N449" i="7" s="1"/>
  <c r="J449" i="7"/>
  <c r="L448" i="7"/>
  <c r="K448" i="7"/>
  <c r="N448" i="7" s="1"/>
  <c r="J448" i="7"/>
  <c r="L442" i="7"/>
  <c r="K442" i="7"/>
  <c r="N442" i="7" s="1"/>
  <c r="J442" i="7"/>
  <c r="L441" i="7"/>
  <c r="K441" i="7"/>
  <c r="N441" i="7" s="1"/>
  <c r="J441" i="7"/>
  <c r="L440" i="7"/>
  <c r="K440" i="7"/>
  <c r="N440" i="7" s="1"/>
  <c r="J440" i="7"/>
  <c r="L439" i="7"/>
  <c r="K439" i="7"/>
  <c r="N439" i="7" s="1"/>
  <c r="J439" i="7"/>
  <c r="L438" i="7"/>
  <c r="K438" i="7"/>
  <c r="N438" i="7" s="1"/>
  <c r="J438" i="7"/>
  <c r="L437" i="7"/>
  <c r="K437" i="7"/>
  <c r="N437" i="7" s="1"/>
  <c r="J437" i="7"/>
  <c r="L436" i="7"/>
  <c r="K436" i="7"/>
  <c r="N436" i="7" s="1"/>
  <c r="J436" i="7"/>
  <c r="L435" i="7"/>
  <c r="K435" i="7"/>
  <c r="N435" i="7" s="1"/>
  <c r="J435" i="7"/>
  <c r="L434" i="7"/>
  <c r="K434" i="7"/>
  <c r="N434" i="7" s="1"/>
  <c r="J434" i="7"/>
  <c r="L433" i="7"/>
  <c r="K433" i="7"/>
  <c r="N433" i="7" s="1"/>
  <c r="J433" i="7"/>
  <c r="L432" i="7"/>
  <c r="K432" i="7"/>
  <c r="N432" i="7" s="1"/>
  <c r="J432" i="7"/>
  <c r="L431" i="7"/>
  <c r="K431" i="7"/>
  <c r="N431" i="7" s="1"/>
  <c r="J431" i="7"/>
  <c r="L428" i="7"/>
  <c r="K428" i="7"/>
  <c r="N428" i="7" s="1"/>
  <c r="J428" i="7"/>
  <c r="L427" i="7"/>
  <c r="K427" i="7"/>
  <c r="N427" i="7" s="1"/>
  <c r="J427" i="7"/>
  <c r="L426" i="7"/>
  <c r="K426" i="7"/>
  <c r="N426" i="7" s="1"/>
  <c r="J426" i="7"/>
  <c r="L424" i="7"/>
  <c r="K424" i="7"/>
  <c r="N424" i="7" s="1"/>
  <c r="J424" i="7"/>
  <c r="L422" i="7"/>
  <c r="K422" i="7"/>
  <c r="N422" i="7" s="1"/>
  <c r="J422" i="7"/>
  <c r="L421" i="7"/>
  <c r="K421" i="7"/>
  <c r="N421" i="7" s="1"/>
  <c r="J421" i="7"/>
  <c r="L419" i="7"/>
  <c r="K419" i="7"/>
  <c r="N419" i="7" s="1"/>
  <c r="J419" i="7"/>
  <c r="L418" i="7"/>
  <c r="K418" i="7"/>
  <c r="N418" i="7" s="1"/>
  <c r="J418" i="7"/>
  <c r="L417" i="7"/>
  <c r="K417" i="7"/>
  <c r="N417" i="7" s="1"/>
  <c r="J417" i="7"/>
  <c r="L416" i="7"/>
  <c r="K416" i="7"/>
  <c r="N416" i="7" s="1"/>
  <c r="J416" i="7"/>
  <c r="L415" i="7"/>
  <c r="K415" i="7"/>
  <c r="N415" i="7" s="1"/>
  <c r="J415" i="7"/>
  <c r="L414" i="7"/>
  <c r="K414" i="7"/>
  <c r="N414" i="7" s="1"/>
  <c r="J414" i="7"/>
  <c r="L413" i="7"/>
  <c r="K413" i="7"/>
  <c r="N413" i="7" s="1"/>
  <c r="J413" i="7"/>
  <c r="L412" i="7"/>
  <c r="K412" i="7"/>
  <c r="N412" i="7" s="1"/>
  <c r="J412" i="7"/>
  <c r="L411" i="7"/>
  <c r="K411" i="7"/>
  <c r="N411" i="7" s="1"/>
  <c r="J411" i="7"/>
  <c r="L410" i="7"/>
  <c r="K410" i="7"/>
  <c r="N410" i="7" s="1"/>
  <c r="J410" i="7"/>
  <c r="L409" i="7"/>
  <c r="K409" i="7"/>
  <c r="N409" i="7" s="1"/>
  <c r="J409" i="7"/>
  <c r="L408" i="7"/>
  <c r="K408" i="7"/>
  <c r="N408" i="7" s="1"/>
  <c r="J408" i="7"/>
  <c r="L406" i="7"/>
  <c r="K406" i="7"/>
  <c r="N406" i="7" s="1"/>
  <c r="J406" i="7"/>
  <c r="L405" i="7"/>
  <c r="K405" i="7"/>
  <c r="N405" i="7" s="1"/>
  <c r="J405" i="7"/>
  <c r="L404" i="7"/>
  <c r="K404" i="7"/>
  <c r="N404" i="7" s="1"/>
  <c r="J404" i="7"/>
  <c r="L403" i="7"/>
  <c r="K403" i="7"/>
  <c r="N403" i="7" s="1"/>
  <c r="J403" i="7"/>
  <c r="L402" i="7"/>
  <c r="K402" i="7"/>
  <c r="N402" i="7" s="1"/>
  <c r="J402" i="7"/>
  <c r="L401" i="7"/>
  <c r="K401" i="7"/>
  <c r="N401" i="7" s="1"/>
  <c r="J401" i="7"/>
  <c r="L400" i="7"/>
  <c r="K400" i="7"/>
  <c r="N400" i="7" s="1"/>
  <c r="J400" i="7"/>
  <c r="L399" i="7"/>
  <c r="K399" i="7"/>
  <c r="N399" i="7" s="1"/>
  <c r="J399" i="7"/>
  <c r="L398" i="7"/>
  <c r="K398" i="7"/>
  <c r="N398" i="7" s="1"/>
  <c r="J398" i="7"/>
  <c r="L397" i="7"/>
  <c r="K397" i="7"/>
  <c r="N397" i="7" s="1"/>
  <c r="J397" i="7"/>
  <c r="L396" i="7"/>
  <c r="K396" i="7"/>
  <c r="N396" i="7" s="1"/>
  <c r="J396" i="7"/>
  <c r="L395" i="7"/>
  <c r="K395" i="7"/>
  <c r="N395" i="7" s="1"/>
  <c r="J395" i="7"/>
  <c r="L394" i="7"/>
  <c r="K394" i="7"/>
  <c r="N394" i="7" s="1"/>
  <c r="J394" i="7"/>
  <c r="L393" i="7"/>
  <c r="K393" i="7"/>
  <c r="N393" i="7" s="1"/>
  <c r="J393" i="7"/>
  <c r="L392" i="7"/>
  <c r="K392" i="7"/>
  <c r="N392" i="7" s="1"/>
  <c r="J392" i="7"/>
  <c r="L391" i="7"/>
  <c r="K391" i="7"/>
  <c r="N391" i="7" s="1"/>
  <c r="J391" i="7"/>
  <c r="L390" i="7"/>
  <c r="K390" i="7"/>
  <c r="N390" i="7" s="1"/>
  <c r="J390" i="7"/>
  <c r="L389" i="7"/>
  <c r="K389" i="7"/>
  <c r="N389" i="7" s="1"/>
  <c r="J389" i="7"/>
  <c r="L388" i="7"/>
  <c r="K388" i="7"/>
  <c r="N388" i="7" s="1"/>
  <c r="J388" i="7"/>
  <c r="L387" i="7"/>
  <c r="K387" i="7"/>
  <c r="N387" i="7" s="1"/>
  <c r="J387" i="7"/>
  <c r="L386" i="7"/>
  <c r="K386" i="7"/>
  <c r="N386" i="7" s="1"/>
  <c r="J386" i="7"/>
  <c r="L385" i="7"/>
  <c r="K385" i="7"/>
  <c r="N385" i="7" s="1"/>
  <c r="J385" i="7"/>
  <c r="L384" i="7"/>
  <c r="K384" i="7"/>
  <c r="N384" i="7" s="1"/>
  <c r="J384" i="7"/>
  <c r="L383" i="7"/>
  <c r="K383" i="7"/>
  <c r="N383" i="7" s="1"/>
  <c r="J383" i="7"/>
  <c r="L382" i="7"/>
  <c r="K382" i="7"/>
  <c r="N382" i="7" s="1"/>
  <c r="J382" i="7"/>
  <c r="L381" i="7"/>
  <c r="K381" i="7"/>
  <c r="N381" i="7" s="1"/>
  <c r="J381" i="7"/>
  <c r="L380" i="7"/>
  <c r="K380" i="7"/>
  <c r="N380" i="7" s="1"/>
  <c r="J380" i="7"/>
  <c r="L379" i="7"/>
  <c r="K379" i="7"/>
  <c r="N379" i="7" s="1"/>
  <c r="J379" i="7"/>
  <c r="L378" i="7"/>
  <c r="K378" i="7"/>
  <c r="N378" i="7" s="1"/>
  <c r="J378" i="7"/>
  <c r="L377" i="7"/>
  <c r="K377" i="7"/>
  <c r="N377" i="7" s="1"/>
  <c r="J377" i="7"/>
  <c r="L376" i="7"/>
  <c r="K376" i="7"/>
  <c r="N376" i="7" s="1"/>
  <c r="J376" i="7"/>
  <c r="L375" i="7"/>
  <c r="K375" i="7"/>
  <c r="N375" i="7" s="1"/>
  <c r="J375" i="7"/>
  <c r="L374" i="7"/>
  <c r="K374" i="7"/>
  <c r="N374" i="7" s="1"/>
  <c r="J374" i="7"/>
  <c r="L373" i="7"/>
  <c r="K373" i="7"/>
  <c r="N373" i="7" s="1"/>
  <c r="J373" i="7"/>
  <c r="L372" i="7"/>
  <c r="K372" i="7"/>
  <c r="N372" i="7" s="1"/>
  <c r="J372" i="7"/>
  <c r="L371" i="7"/>
  <c r="K371" i="7"/>
  <c r="N371" i="7" s="1"/>
  <c r="J371" i="7"/>
  <c r="L370" i="7"/>
  <c r="K370" i="7"/>
  <c r="N370" i="7" s="1"/>
  <c r="J370" i="7"/>
  <c r="L369" i="7"/>
  <c r="K369" i="7"/>
  <c r="N369" i="7" s="1"/>
  <c r="J369" i="7"/>
  <c r="L368" i="7"/>
  <c r="K368" i="7"/>
  <c r="N368" i="7" s="1"/>
  <c r="J368" i="7"/>
  <c r="L367" i="7"/>
  <c r="K367" i="7"/>
  <c r="N367" i="7" s="1"/>
  <c r="J367" i="7"/>
  <c r="L366" i="7"/>
  <c r="K366" i="7"/>
  <c r="N366" i="7" s="1"/>
  <c r="J366" i="7"/>
  <c r="L365" i="7"/>
  <c r="K365" i="7"/>
  <c r="N365" i="7" s="1"/>
  <c r="J365" i="7"/>
  <c r="L364" i="7"/>
  <c r="K364" i="7"/>
  <c r="N364" i="7" s="1"/>
  <c r="J364" i="7"/>
  <c r="L363" i="7"/>
  <c r="K363" i="7"/>
  <c r="N363" i="7" s="1"/>
  <c r="J363" i="7"/>
  <c r="L362" i="7"/>
  <c r="K362" i="7"/>
  <c r="N362" i="7" s="1"/>
  <c r="J362" i="7"/>
  <c r="L361" i="7"/>
  <c r="K361" i="7"/>
  <c r="N361" i="7" s="1"/>
  <c r="J361" i="7"/>
  <c r="L360" i="7"/>
  <c r="K360" i="7"/>
  <c r="N360" i="7" s="1"/>
  <c r="J360" i="7"/>
  <c r="L359" i="7"/>
  <c r="K359" i="7"/>
  <c r="N359" i="7" s="1"/>
  <c r="J359" i="7"/>
  <c r="L358" i="7"/>
  <c r="K358" i="7"/>
  <c r="N358" i="7" s="1"/>
  <c r="J358" i="7"/>
  <c r="L357" i="7"/>
  <c r="K357" i="7"/>
  <c r="N357" i="7" s="1"/>
  <c r="J357" i="7"/>
  <c r="L356" i="7"/>
  <c r="K356" i="7"/>
  <c r="N356" i="7" s="1"/>
  <c r="J356" i="7"/>
  <c r="L355" i="7"/>
  <c r="K355" i="7"/>
  <c r="N355" i="7" s="1"/>
  <c r="J355" i="7"/>
  <c r="L354" i="7"/>
  <c r="K354" i="7"/>
  <c r="N354" i="7" s="1"/>
  <c r="J354" i="7"/>
  <c r="L353" i="7"/>
  <c r="K353" i="7"/>
  <c r="N353" i="7" s="1"/>
  <c r="J353" i="7"/>
  <c r="L352" i="7"/>
  <c r="K352" i="7"/>
  <c r="N352" i="7" s="1"/>
  <c r="J352" i="7"/>
  <c r="L351" i="7"/>
  <c r="K351" i="7"/>
  <c r="N351" i="7" s="1"/>
  <c r="J351" i="7"/>
  <c r="L350" i="7"/>
  <c r="K350" i="7"/>
  <c r="N350" i="7" s="1"/>
  <c r="J350" i="7"/>
  <c r="L349" i="7"/>
  <c r="K349" i="7"/>
  <c r="N349" i="7" s="1"/>
  <c r="J349" i="7"/>
  <c r="L348" i="7"/>
  <c r="K348" i="7"/>
  <c r="N348" i="7" s="1"/>
  <c r="J348" i="7"/>
  <c r="L347" i="7"/>
  <c r="K347" i="7"/>
  <c r="N347" i="7" s="1"/>
  <c r="J347" i="7"/>
  <c r="L346" i="7"/>
  <c r="K346" i="7"/>
  <c r="N346" i="7" s="1"/>
  <c r="J346" i="7"/>
  <c r="L345" i="7"/>
  <c r="K345" i="7"/>
  <c r="N345" i="7" s="1"/>
  <c r="J345" i="7"/>
  <c r="L344" i="7"/>
  <c r="K344" i="7"/>
  <c r="N344" i="7" s="1"/>
  <c r="J344" i="7"/>
  <c r="L341" i="7"/>
  <c r="K341" i="7"/>
  <c r="N341" i="7" s="1"/>
  <c r="J341" i="7"/>
  <c r="L340" i="7"/>
  <c r="K340" i="7"/>
  <c r="N340" i="7" s="1"/>
  <c r="J340" i="7"/>
  <c r="L339" i="7"/>
  <c r="K339" i="7"/>
  <c r="N339" i="7" s="1"/>
  <c r="J339" i="7"/>
  <c r="L338" i="7"/>
  <c r="K338" i="7"/>
  <c r="N338" i="7" s="1"/>
  <c r="J338" i="7"/>
  <c r="L336" i="7"/>
  <c r="K336" i="7"/>
  <c r="N336" i="7" s="1"/>
  <c r="J336" i="7"/>
  <c r="L335" i="7"/>
  <c r="K335" i="7"/>
  <c r="N335" i="7" s="1"/>
  <c r="J335" i="7"/>
  <c r="L334" i="7"/>
  <c r="K334" i="7"/>
  <c r="N334" i="7" s="1"/>
  <c r="J334" i="7"/>
  <c r="L333" i="7"/>
  <c r="K333" i="7"/>
  <c r="N333" i="7" s="1"/>
  <c r="J333" i="7"/>
  <c r="L332" i="7"/>
  <c r="K332" i="7"/>
  <c r="N332" i="7" s="1"/>
  <c r="J332" i="7"/>
  <c r="L331" i="7"/>
  <c r="K331" i="7"/>
  <c r="N331" i="7" s="1"/>
  <c r="J331" i="7"/>
  <c r="L330" i="7"/>
  <c r="K330" i="7"/>
  <c r="N330" i="7" s="1"/>
  <c r="J330" i="7"/>
  <c r="L329" i="7"/>
  <c r="K329" i="7"/>
  <c r="N329" i="7" s="1"/>
  <c r="J329" i="7"/>
  <c r="L328" i="7"/>
  <c r="K328" i="7"/>
  <c r="N328" i="7" s="1"/>
  <c r="J328" i="7"/>
  <c r="L327" i="7"/>
  <c r="K327" i="7"/>
  <c r="N327" i="7" s="1"/>
  <c r="J327" i="7"/>
  <c r="L326" i="7"/>
  <c r="K326" i="7"/>
  <c r="N326" i="7" s="1"/>
  <c r="J326" i="7"/>
  <c r="L325" i="7"/>
  <c r="K325" i="7"/>
  <c r="N325" i="7" s="1"/>
  <c r="J325" i="7"/>
  <c r="L324" i="7"/>
  <c r="K324" i="7"/>
  <c r="N324" i="7" s="1"/>
  <c r="J324" i="7"/>
  <c r="L323" i="7"/>
  <c r="K323" i="7"/>
  <c r="N323" i="7" s="1"/>
  <c r="J323" i="7"/>
  <c r="L322" i="7"/>
  <c r="K322" i="7"/>
  <c r="N322" i="7" s="1"/>
  <c r="J322" i="7"/>
  <c r="L321" i="7"/>
  <c r="K321" i="7"/>
  <c r="N321" i="7" s="1"/>
  <c r="J321" i="7"/>
  <c r="L320" i="7"/>
  <c r="K320" i="7"/>
  <c r="N320" i="7" s="1"/>
  <c r="J320" i="7"/>
  <c r="L319" i="7"/>
  <c r="K319" i="7"/>
  <c r="N319" i="7" s="1"/>
  <c r="J319" i="7"/>
  <c r="L318" i="7"/>
  <c r="K318" i="7"/>
  <c r="N318" i="7" s="1"/>
  <c r="J318" i="7"/>
  <c r="L317" i="7"/>
  <c r="K317" i="7"/>
  <c r="N317" i="7" s="1"/>
  <c r="J317" i="7"/>
  <c r="L316" i="7"/>
  <c r="K316" i="7"/>
  <c r="N316" i="7" s="1"/>
  <c r="J316" i="7"/>
  <c r="L315" i="7"/>
  <c r="K315" i="7"/>
  <c r="N315" i="7" s="1"/>
  <c r="J315" i="7"/>
  <c r="L314" i="7"/>
  <c r="K314" i="7"/>
  <c r="N314" i="7" s="1"/>
  <c r="J314" i="7"/>
  <c r="L313" i="7"/>
  <c r="K313" i="7"/>
  <c r="N313" i="7" s="1"/>
  <c r="J313" i="7"/>
  <c r="L312" i="7"/>
  <c r="K312" i="7"/>
  <c r="N312" i="7" s="1"/>
  <c r="J312" i="7"/>
  <c r="L311" i="7"/>
  <c r="K311" i="7"/>
  <c r="N311" i="7" s="1"/>
  <c r="J311" i="7"/>
  <c r="L310" i="7"/>
  <c r="K310" i="7"/>
  <c r="N310" i="7" s="1"/>
  <c r="J310" i="7"/>
  <c r="L309" i="7"/>
  <c r="K309" i="7"/>
  <c r="N309" i="7" s="1"/>
  <c r="J309" i="7"/>
  <c r="L308" i="7"/>
  <c r="K308" i="7"/>
  <c r="N308" i="7" s="1"/>
  <c r="J308" i="7"/>
  <c r="L307" i="7"/>
  <c r="K307" i="7"/>
  <c r="N307" i="7" s="1"/>
  <c r="J307" i="7"/>
  <c r="L306" i="7"/>
  <c r="K306" i="7"/>
  <c r="N306" i="7" s="1"/>
  <c r="J306" i="7"/>
  <c r="L305" i="7"/>
  <c r="K305" i="7"/>
  <c r="N305" i="7" s="1"/>
  <c r="J305" i="7"/>
  <c r="L304" i="7"/>
  <c r="K304" i="7"/>
  <c r="N304" i="7" s="1"/>
  <c r="J304" i="7"/>
  <c r="L303" i="7"/>
  <c r="K303" i="7"/>
  <c r="N303" i="7" s="1"/>
  <c r="J303" i="7"/>
  <c r="L302" i="7"/>
  <c r="K302" i="7"/>
  <c r="N302" i="7" s="1"/>
  <c r="J302" i="7"/>
  <c r="L301" i="7"/>
  <c r="K301" i="7"/>
  <c r="N301" i="7" s="1"/>
  <c r="J301" i="7"/>
  <c r="L300" i="7"/>
  <c r="K300" i="7"/>
  <c r="N300" i="7" s="1"/>
  <c r="J300" i="7"/>
  <c r="L299" i="7"/>
  <c r="K299" i="7"/>
  <c r="N299" i="7" s="1"/>
  <c r="J299" i="7"/>
  <c r="L298" i="7"/>
  <c r="K298" i="7"/>
  <c r="N298" i="7" s="1"/>
  <c r="J298" i="7"/>
  <c r="L297" i="7"/>
  <c r="K297" i="7"/>
  <c r="N297" i="7" s="1"/>
  <c r="J297" i="7"/>
  <c r="L296" i="7"/>
  <c r="K296" i="7"/>
  <c r="N296" i="7" s="1"/>
  <c r="J296" i="7"/>
  <c r="L295" i="7"/>
  <c r="K295" i="7"/>
  <c r="N295" i="7" s="1"/>
  <c r="J295" i="7"/>
  <c r="L294" i="7"/>
  <c r="K294" i="7"/>
  <c r="N294" i="7" s="1"/>
  <c r="J294" i="7"/>
  <c r="L293" i="7"/>
  <c r="K293" i="7"/>
  <c r="N293" i="7" s="1"/>
  <c r="J293" i="7"/>
  <c r="L292" i="7"/>
  <c r="K292" i="7"/>
  <c r="N292" i="7" s="1"/>
  <c r="J292" i="7"/>
  <c r="L291" i="7"/>
  <c r="K291" i="7"/>
  <c r="N291" i="7" s="1"/>
  <c r="J291" i="7"/>
  <c r="L290" i="7"/>
  <c r="K290" i="7"/>
  <c r="N290" i="7" s="1"/>
  <c r="J290" i="7"/>
  <c r="L289" i="7"/>
  <c r="K289" i="7"/>
  <c r="N289" i="7" s="1"/>
  <c r="J289" i="7"/>
  <c r="L288" i="7"/>
  <c r="K288" i="7"/>
  <c r="N288" i="7" s="1"/>
  <c r="J288" i="7"/>
  <c r="L287" i="7"/>
  <c r="K287" i="7"/>
  <c r="N287" i="7" s="1"/>
  <c r="J287" i="7"/>
  <c r="L286" i="7"/>
  <c r="K286" i="7"/>
  <c r="N286" i="7" s="1"/>
  <c r="J286" i="7"/>
  <c r="L285" i="7"/>
  <c r="K285" i="7"/>
  <c r="N285" i="7" s="1"/>
  <c r="J285" i="7"/>
  <c r="L284" i="7"/>
  <c r="K284" i="7"/>
  <c r="N284" i="7" s="1"/>
  <c r="J284" i="7"/>
  <c r="L283" i="7"/>
  <c r="K283" i="7"/>
  <c r="N283" i="7" s="1"/>
  <c r="J283" i="7"/>
  <c r="L282" i="7"/>
  <c r="K282" i="7"/>
  <c r="N282" i="7" s="1"/>
  <c r="J282" i="7"/>
  <c r="L281" i="7"/>
  <c r="K281" i="7"/>
  <c r="N281" i="7" s="1"/>
  <c r="J281" i="7"/>
  <c r="L280" i="7"/>
  <c r="K280" i="7"/>
  <c r="N280" i="7" s="1"/>
  <c r="J280" i="7"/>
  <c r="L279" i="7"/>
  <c r="K279" i="7"/>
  <c r="N279" i="7" s="1"/>
  <c r="J279" i="7"/>
  <c r="L278" i="7"/>
  <c r="K278" i="7"/>
  <c r="N278" i="7" s="1"/>
  <c r="J278" i="7"/>
  <c r="L277" i="7"/>
  <c r="K277" i="7"/>
  <c r="N277" i="7" s="1"/>
  <c r="J277" i="7"/>
  <c r="L276" i="7"/>
  <c r="K276" i="7"/>
  <c r="N276" i="7" s="1"/>
  <c r="J276" i="7"/>
  <c r="L275" i="7"/>
  <c r="K275" i="7"/>
  <c r="N275" i="7" s="1"/>
  <c r="J275" i="7"/>
  <c r="L274" i="7"/>
  <c r="K274" i="7"/>
  <c r="N274" i="7" s="1"/>
  <c r="J274" i="7"/>
  <c r="L273" i="7"/>
  <c r="K273" i="7"/>
  <c r="N273" i="7" s="1"/>
  <c r="J273" i="7"/>
  <c r="L272" i="7"/>
  <c r="K272" i="7"/>
  <c r="N272" i="7" s="1"/>
  <c r="J272" i="7"/>
  <c r="L271" i="7"/>
  <c r="K271" i="7"/>
  <c r="N271" i="7" s="1"/>
  <c r="J271" i="7"/>
  <c r="L270" i="7"/>
  <c r="K270" i="7"/>
  <c r="N270" i="7" s="1"/>
  <c r="J270" i="7"/>
  <c r="L269" i="7"/>
  <c r="K269" i="7"/>
  <c r="N269" i="7" s="1"/>
  <c r="J269" i="7"/>
  <c r="L268" i="7"/>
  <c r="K268" i="7"/>
  <c r="N268" i="7" s="1"/>
  <c r="J268" i="7"/>
  <c r="L267" i="7"/>
  <c r="K267" i="7"/>
  <c r="N267" i="7" s="1"/>
  <c r="J267" i="7"/>
  <c r="L266" i="7"/>
  <c r="K266" i="7"/>
  <c r="N266" i="7" s="1"/>
  <c r="J266" i="7"/>
  <c r="L265" i="7"/>
  <c r="K265" i="7"/>
  <c r="N265" i="7" s="1"/>
  <c r="J265" i="7"/>
  <c r="L264" i="7"/>
  <c r="K264" i="7"/>
  <c r="N264" i="7" s="1"/>
  <c r="J264" i="7"/>
  <c r="L263" i="7"/>
  <c r="K263" i="7"/>
  <c r="N263" i="7" s="1"/>
  <c r="J263" i="7"/>
  <c r="L262" i="7"/>
  <c r="K262" i="7"/>
  <c r="N262" i="7" s="1"/>
  <c r="J262" i="7"/>
  <c r="L261" i="7"/>
  <c r="K261" i="7"/>
  <c r="N261" i="7" s="1"/>
  <c r="J261" i="7"/>
  <c r="L244" i="7"/>
  <c r="K244" i="7"/>
  <c r="N244" i="7" s="1"/>
  <c r="J244" i="7"/>
  <c r="L239" i="7"/>
  <c r="K239" i="7"/>
  <c r="N239" i="7" s="1"/>
  <c r="J239" i="7"/>
  <c r="L236" i="7"/>
  <c r="K236" i="7"/>
  <c r="N236" i="7" s="1"/>
  <c r="J236" i="7"/>
  <c r="L234" i="7"/>
  <c r="K234" i="7"/>
  <c r="N234" i="7" s="1"/>
  <c r="J234" i="7"/>
  <c r="L230" i="7"/>
  <c r="K230" i="7"/>
  <c r="N230" i="7" s="1"/>
  <c r="J230" i="7"/>
  <c r="L229" i="7"/>
  <c r="K229" i="7"/>
  <c r="N229" i="7" s="1"/>
  <c r="J229" i="7"/>
  <c r="L228" i="7"/>
  <c r="K228" i="7"/>
  <c r="N228" i="7" s="1"/>
  <c r="J228" i="7"/>
  <c r="L227" i="7"/>
  <c r="K227" i="7"/>
  <c r="N227" i="7" s="1"/>
  <c r="J227" i="7"/>
  <c r="L226" i="7"/>
  <c r="K226" i="7"/>
  <c r="N226" i="7" s="1"/>
  <c r="J226" i="7"/>
  <c r="L223" i="7"/>
  <c r="K223" i="7"/>
  <c r="N223" i="7" s="1"/>
  <c r="J223" i="7"/>
  <c r="L222" i="7"/>
  <c r="K222" i="7"/>
  <c r="N222" i="7" s="1"/>
  <c r="J222" i="7"/>
  <c r="L220" i="7"/>
  <c r="K220" i="7"/>
  <c r="N220" i="7" s="1"/>
  <c r="J220" i="7"/>
  <c r="L219" i="7"/>
  <c r="K219" i="7"/>
  <c r="N219" i="7" s="1"/>
  <c r="J219" i="7"/>
  <c r="L217" i="7"/>
  <c r="K217" i="7"/>
  <c r="N217" i="7" s="1"/>
  <c r="J217" i="7"/>
  <c r="L216" i="7"/>
  <c r="K216" i="7"/>
  <c r="N216" i="7" s="1"/>
  <c r="J216" i="7"/>
  <c r="L215" i="7"/>
  <c r="K215" i="7"/>
  <c r="N215" i="7" s="1"/>
  <c r="J215" i="7"/>
  <c r="L214" i="7"/>
  <c r="K214" i="7"/>
  <c r="N214" i="7" s="1"/>
  <c r="J214" i="7"/>
  <c r="L213" i="7"/>
  <c r="K213" i="7"/>
  <c r="N213" i="7" s="1"/>
  <c r="J213" i="7"/>
  <c r="L211" i="7"/>
  <c r="K211" i="7"/>
  <c r="N211" i="7" s="1"/>
  <c r="J211" i="7"/>
  <c r="L210" i="7"/>
  <c r="K210" i="7"/>
  <c r="N210" i="7" s="1"/>
  <c r="J210" i="7"/>
  <c r="L209" i="7"/>
  <c r="K209" i="7"/>
  <c r="N209" i="7" s="1"/>
  <c r="J209" i="7"/>
  <c r="L208" i="7"/>
  <c r="K208" i="7"/>
  <c r="N208" i="7" s="1"/>
  <c r="J208" i="7"/>
  <c r="L207" i="7"/>
  <c r="K207" i="7"/>
  <c r="N207" i="7" s="1"/>
  <c r="J207" i="7"/>
  <c r="L206" i="7"/>
  <c r="K206" i="7"/>
  <c r="N206" i="7" s="1"/>
  <c r="J206" i="7"/>
  <c r="L204" i="7"/>
  <c r="K204" i="7"/>
  <c r="N204" i="7" s="1"/>
  <c r="J204" i="7"/>
  <c r="L203" i="7"/>
  <c r="K203" i="7"/>
  <c r="N203" i="7" s="1"/>
  <c r="J203" i="7"/>
  <c r="L202" i="7"/>
  <c r="K202" i="7"/>
  <c r="N202" i="7" s="1"/>
  <c r="J202" i="7"/>
  <c r="L201" i="7"/>
  <c r="K201" i="7"/>
  <c r="N201" i="7" s="1"/>
  <c r="J201" i="7"/>
  <c r="L200" i="7"/>
  <c r="K200" i="7"/>
  <c r="N200" i="7" s="1"/>
  <c r="J200" i="7"/>
  <c r="L199" i="7"/>
  <c r="K199" i="7"/>
  <c r="N199" i="7" s="1"/>
  <c r="J199" i="7"/>
  <c r="L198" i="7"/>
  <c r="K198" i="7"/>
  <c r="N198" i="7" s="1"/>
  <c r="J198" i="7"/>
  <c r="L197" i="7"/>
  <c r="K197" i="7"/>
  <c r="N197" i="7" s="1"/>
  <c r="J197" i="7"/>
  <c r="L196" i="7"/>
  <c r="K196" i="7"/>
  <c r="N196" i="7" s="1"/>
  <c r="J196" i="7"/>
  <c r="L195" i="7"/>
  <c r="K195" i="7"/>
  <c r="N195" i="7" s="1"/>
  <c r="J195" i="7"/>
  <c r="L194" i="7"/>
  <c r="K194" i="7"/>
  <c r="N194" i="7" s="1"/>
  <c r="J194" i="7"/>
  <c r="L193" i="7"/>
  <c r="K193" i="7"/>
  <c r="N193" i="7" s="1"/>
  <c r="J193" i="7"/>
  <c r="L192" i="7"/>
  <c r="K192" i="7"/>
  <c r="N192" i="7" s="1"/>
  <c r="J192" i="7"/>
  <c r="L191" i="7"/>
  <c r="K191" i="7"/>
  <c r="N191" i="7" s="1"/>
  <c r="J191" i="7"/>
  <c r="L190" i="7"/>
  <c r="K190" i="7"/>
  <c r="N190" i="7" s="1"/>
  <c r="J190" i="7"/>
  <c r="L188" i="7"/>
  <c r="K188" i="7"/>
  <c r="N188" i="7" s="1"/>
  <c r="J188" i="7"/>
  <c r="L187" i="7"/>
  <c r="K187" i="7"/>
  <c r="N187" i="7" s="1"/>
  <c r="J187" i="7"/>
  <c r="L186" i="7"/>
  <c r="K186" i="7"/>
  <c r="N186" i="7" s="1"/>
  <c r="J186" i="7"/>
  <c r="L185" i="7"/>
  <c r="K185" i="7"/>
  <c r="N185" i="7" s="1"/>
  <c r="J185" i="7"/>
  <c r="L184" i="7"/>
  <c r="K184" i="7"/>
  <c r="N184" i="7" s="1"/>
  <c r="J184" i="7"/>
  <c r="L183" i="7"/>
  <c r="K183" i="7"/>
  <c r="N183" i="7" s="1"/>
  <c r="J183" i="7"/>
  <c r="L182" i="7"/>
  <c r="K182" i="7"/>
  <c r="N182" i="7" s="1"/>
  <c r="J182" i="7"/>
  <c r="L181" i="7"/>
  <c r="K181" i="7"/>
  <c r="N181" i="7" s="1"/>
  <c r="J181" i="7"/>
  <c r="L180" i="7"/>
  <c r="K180" i="7"/>
  <c r="N180" i="7" s="1"/>
  <c r="J180" i="7"/>
  <c r="L178" i="7"/>
  <c r="K178" i="7"/>
  <c r="N178" i="7" s="1"/>
  <c r="J178" i="7"/>
  <c r="L175" i="7"/>
  <c r="K175" i="7"/>
  <c r="N175" i="7" s="1"/>
  <c r="J175" i="7"/>
  <c r="L174" i="7"/>
  <c r="K174" i="7"/>
  <c r="N174" i="7" s="1"/>
  <c r="J174" i="7"/>
  <c r="L173" i="7"/>
  <c r="K173" i="7"/>
  <c r="N173" i="7" s="1"/>
  <c r="J173" i="7"/>
  <c r="L171" i="7"/>
  <c r="K171" i="7"/>
  <c r="N171" i="7" s="1"/>
  <c r="J171" i="7"/>
  <c r="L169" i="7"/>
  <c r="K169" i="7"/>
  <c r="N169" i="7" s="1"/>
  <c r="J169" i="7"/>
  <c r="L168" i="7"/>
  <c r="K168" i="7"/>
  <c r="N168" i="7" s="1"/>
  <c r="J168" i="7"/>
  <c r="L167" i="7"/>
  <c r="K167" i="7"/>
  <c r="N167" i="7" s="1"/>
  <c r="J167" i="7"/>
  <c r="L166" i="7"/>
  <c r="K166" i="7"/>
  <c r="N166" i="7" s="1"/>
  <c r="J166" i="7"/>
  <c r="L165" i="7"/>
  <c r="K165" i="7"/>
  <c r="N165" i="7" s="1"/>
  <c r="J165" i="7"/>
  <c r="L164" i="7"/>
  <c r="K164" i="7"/>
  <c r="N164" i="7" s="1"/>
  <c r="J164" i="7"/>
  <c r="L163" i="7"/>
  <c r="K163" i="7"/>
  <c r="N163" i="7" s="1"/>
  <c r="J163" i="7"/>
  <c r="L162" i="7"/>
  <c r="K162" i="7"/>
  <c r="N162" i="7" s="1"/>
  <c r="J162" i="7"/>
  <c r="L161" i="7"/>
  <c r="K161" i="7"/>
  <c r="N161" i="7" s="1"/>
  <c r="J161" i="7"/>
  <c r="L160" i="7"/>
  <c r="K160" i="7"/>
  <c r="N160" i="7" s="1"/>
  <c r="J160" i="7"/>
  <c r="L159" i="7"/>
  <c r="K159" i="7"/>
  <c r="N159" i="7" s="1"/>
  <c r="J159" i="7"/>
  <c r="L158" i="7"/>
  <c r="K158" i="7"/>
  <c r="N158" i="7" s="1"/>
  <c r="J158" i="7"/>
  <c r="L157" i="7"/>
  <c r="K157" i="7"/>
  <c r="N157" i="7" s="1"/>
  <c r="J157" i="7"/>
  <c r="L156" i="7"/>
  <c r="K156" i="7"/>
  <c r="N156" i="7" s="1"/>
  <c r="J156" i="7"/>
  <c r="L155" i="7"/>
  <c r="K155" i="7"/>
  <c r="N155" i="7" s="1"/>
  <c r="J155" i="7"/>
  <c r="L153" i="7"/>
  <c r="K153" i="7"/>
  <c r="N153" i="7" s="1"/>
  <c r="J153" i="7"/>
  <c r="L152" i="7"/>
  <c r="K152" i="7"/>
  <c r="N152" i="7" s="1"/>
  <c r="J152" i="7"/>
  <c r="L151" i="7"/>
  <c r="K151" i="7"/>
  <c r="N151" i="7" s="1"/>
  <c r="J151" i="7"/>
  <c r="L150" i="7"/>
  <c r="K150" i="7"/>
  <c r="N150" i="7" s="1"/>
  <c r="J150" i="7"/>
  <c r="L148" i="7"/>
  <c r="K148" i="7"/>
  <c r="N148" i="7" s="1"/>
  <c r="J148" i="7"/>
  <c r="L146" i="7"/>
  <c r="K146" i="7"/>
  <c r="N146" i="7" s="1"/>
  <c r="J146" i="7"/>
  <c r="L145" i="7"/>
  <c r="K145" i="7"/>
  <c r="N145" i="7" s="1"/>
  <c r="J145" i="7"/>
  <c r="L144" i="7"/>
  <c r="K144" i="7"/>
  <c r="N144" i="7" s="1"/>
  <c r="J144" i="7"/>
  <c r="L143" i="7"/>
  <c r="K143" i="7"/>
  <c r="N143" i="7" s="1"/>
  <c r="J143" i="7"/>
  <c r="L141" i="7"/>
  <c r="K141" i="7"/>
  <c r="N141" i="7" s="1"/>
  <c r="J141" i="7"/>
  <c r="L140" i="7"/>
  <c r="K140" i="7"/>
  <c r="N140" i="7" s="1"/>
  <c r="J140" i="7"/>
  <c r="L138" i="7"/>
  <c r="K138" i="7"/>
  <c r="N138" i="7" s="1"/>
  <c r="J138" i="7"/>
  <c r="L137" i="7"/>
  <c r="K137" i="7"/>
  <c r="N137" i="7" s="1"/>
  <c r="J137" i="7"/>
  <c r="L136" i="7"/>
  <c r="K136" i="7"/>
  <c r="N136" i="7" s="1"/>
  <c r="J136" i="7"/>
  <c r="L135" i="7"/>
  <c r="K135" i="7"/>
  <c r="N135" i="7" s="1"/>
  <c r="J135" i="7"/>
  <c r="L133" i="7"/>
  <c r="K133" i="7"/>
  <c r="N133" i="7" s="1"/>
  <c r="J133" i="7"/>
  <c r="L132" i="7"/>
  <c r="K132" i="7"/>
  <c r="N132" i="7" s="1"/>
  <c r="J132" i="7"/>
  <c r="L131" i="7"/>
  <c r="K131" i="7"/>
  <c r="N131" i="7" s="1"/>
  <c r="J131" i="7"/>
  <c r="L129" i="7"/>
  <c r="K129" i="7"/>
  <c r="N129" i="7" s="1"/>
  <c r="J129" i="7"/>
  <c r="L128" i="7"/>
  <c r="K128" i="7"/>
  <c r="N128" i="7" s="1"/>
  <c r="J128" i="7"/>
  <c r="L127" i="7"/>
  <c r="K127" i="7"/>
  <c r="N127" i="7" s="1"/>
  <c r="J127" i="7"/>
  <c r="L126" i="7"/>
  <c r="K126" i="7"/>
  <c r="N126" i="7" s="1"/>
  <c r="J126" i="7"/>
  <c r="L125" i="7"/>
  <c r="K125" i="7"/>
  <c r="N125" i="7" s="1"/>
  <c r="J125" i="7"/>
  <c r="L124" i="7"/>
  <c r="K124" i="7"/>
  <c r="N124" i="7" s="1"/>
  <c r="J124" i="7"/>
  <c r="L123" i="7"/>
  <c r="K123" i="7"/>
  <c r="N123" i="7" s="1"/>
  <c r="J123" i="7"/>
  <c r="L122" i="7"/>
  <c r="K122" i="7"/>
  <c r="N122" i="7" s="1"/>
  <c r="J122" i="7"/>
  <c r="L121" i="7"/>
  <c r="K121" i="7"/>
  <c r="N121" i="7" s="1"/>
  <c r="J121" i="7"/>
  <c r="L120" i="7"/>
  <c r="K120" i="7"/>
  <c r="N120" i="7" s="1"/>
  <c r="J120" i="7"/>
  <c r="L119" i="7"/>
  <c r="K119" i="7"/>
  <c r="N119" i="7" s="1"/>
  <c r="J119" i="7"/>
  <c r="L118" i="7"/>
  <c r="K118" i="7"/>
  <c r="N118" i="7" s="1"/>
  <c r="J118" i="7"/>
  <c r="L117" i="7"/>
  <c r="K117" i="7"/>
  <c r="N117" i="7" s="1"/>
  <c r="J117" i="7"/>
  <c r="L116" i="7"/>
  <c r="K116" i="7"/>
  <c r="N116" i="7" s="1"/>
  <c r="J116" i="7"/>
  <c r="L115" i="7"/>
  <c r="K115" i="7"/>
  <c r="N115" i="7" s="1"/>
  <c r="J115" i="7"/>
  <c r="L114" i="7"/>
  <c r="K114" i="7"/>
  <c r="N114" i="7" s="1"/>
  <c r="J114" i="7"/>
  <c r="L113" i="7"/>
  <c r="K113" i="7"/>
  <c r="N113" i="7" s="1"/>
  <c r="J113" i="7"/>
  <c r="L112" i="7"/>
  <c r="K112" i="7"/>
  <c r="N112" i="7" s="1"/>
  <c r="J112" i="7"/>
  <c r="L111" i="7"/>
  <c r="K111" i="7"/>
  <c r="N111" i="7" s="1"/>
  <c r="J111" i="7"/>
  <c r="L110" i="7"/>
  <c r="K110" i="7"/>
  <c r="N110" i="7" s="1"/>
  <c r="J110" i="7"/>
  <c r="L107" i="7"/>
  <c r="K107" i="7"/>
  <c r="N107" i="7" s="1"/>
  <c r="J107" i="7"/>
  <c r="L106" i="7"/>
  <c r="K106" i="7"/>
  <c r="N106" i="7" s="1"/>
  <c r="J106" i="7"/>
  <c r="L105" i="7"/>
  <c r="K105" i="7"/>
  <c r="N105" i="7" s="1"/>
  <c r="J105" i="7"/>
  <c r="L104" i="7"/>
  <c r="K104" i="7"/>
  <c r="N104" i="7" s="1"/>
  <c r="J104" i="7"/>
  <c r="L103" i="7"/>
  <c r="K103" i="7"/>
  <c r="N103" i="7" s="1"/>
  <c r="J103" i="7"/>
  <c r="L102" i="7"/>
  <c r="K102" i="7"/>
  <c r="N102" i="7" s="1"/>
  <c r="J102" i="7"/>
  <c r="L100" i="7"/>
  <c r="K100" i="7"/>
  <c r="N100" i="7" s="1"/>
  <c r="J100" i="7"/>
  <c r="L99" i="7"/>
  <c r="K99" i="7"/>
  <c r="N99" i="7" s="1"/>
  <c r="J99" i="7"/>
  <c r="L98" i="7"/>
  <c r="K98" i="7"/>
  <c r="N98" i="7" s="1"/>
  <c r="J98" i="7"/>
  <c r="L97" i="7"/>
  <c r="K97" i="7"/>
  <c r="N97" i="7" s="1"/>
  <c r="J97" i="7"/>
  <c r="L96" i="7"/>
  <c r="K96" i="7"/>
  <c r="N96" i="7" s="1"/>
  <c r="J96" i="7"/>
  <c r="L95" i="7"/>
  <c r="K95" i="7"/>
  <c r="N95" i="7" s="1"/>
  <c r="J95" i="7"/>
  <c r="L93" i="7"/>
  <c r="K93" i="7"/>
  <c r="N93" i="7" s="1"/>
  <c r="J93" i="7"/>
  <c r="L92" i="7"/>
  <c r="K92" i="7"/>
  <c r="N92" i="7" s="1"/>
  <c r="J92" i="7"/>
  <c r="L91" i="7"/>
  <c r="K91" i="7"/>
  <c r="N91" i="7" s="1"/>
  <c r="J91" i="7"/>
  <c r="L90" i="7"/>
  <c r="K90" i="7"/>
  <c r="N90" i="7" s="1"/>
  <c r="J90" i="7"/>
  <c r="L89" i="7"/>
  <c r="K89" i="7"/>
  <c r="N89" i="7" s="1"/>
  <c r="J89" i="7"/>
  <c r="L88" i="7"/>
  <c r="K88" i="7"/>
  <c r="N88" i="7" s="1"/>
  <c r="J88" i="7"/>
  <c r="L87" i="7"/>
  <c r="K87" i="7"/>
  <c r="N87" i="7" s="1"/>
  <c r="J87" i="7"/>
  <c r="L86" i="7"/>
  <c r="K86" i="7"/>
  <c r="N86" i="7" s="1"/>
  <c r="J86" i="7"/>
  <c r="L85" i="7"/>
  <c r="K85" i="7"/>
  <c r="N85" i="7" s="1"/>
  <c r="J85" i="7"/>
  <c r="L84" i="7"/>
  <c r="K84" i="7"/>
  <c r="N84" i="7" s="1"/>
  <c r="J84" i="7"/>
  <c r="L83" i="7"/>
  <c r="K83" i="7"/>
  <c r="N83" i="7" s="1"/>
  <c r="J83" i="7"/>
  <c r="L82" i="7"/>
  <c r="K82" i="7"/>
  <c r="N82" i="7" s="1"/>
  <c r="J82" i="7"/>
  <c r="L81" i="7"/>
  <c r="K81" i="7"/>
  <c r="N81" i="7" s="1"/>
  <c r="J81" i="7"/>
  <c r="L80" i="7"/>
  <c r="K80" i="7"/>
  <c r="N80" i="7" s="1"/>
  <c r="J80" i="7"/>
  <c r="L77" i="7"/>
  <c r="K77" i="7"/>
  <c r="N77" i="7" s="1"/>
  <c r="J77" i="7"/>
  <c r="L76" i="7"/>
  <c r="K76" i="7"/>
  <c r="N76" i="7" s="1"/>
  <c r="J76" i="7"/>
  <c r="L75" i="7"/>
  <c r="K75" i="7"/>
  <c r="N75" i="7" s="1"/>
  <c r="J75" i="7"/>
  <c r="L74" i="7"/>
  <c r="K74" i="7"/>
  <c r="N74" i="7" s="1"/>
  <c r="J74" i="7"/>
  <c r="L73" i="7"/>
  <c r="K73" i="7"/>
  <c r="N73" i="7" s="1"/>
  <c r="J73" i="7"/>
  <c r="L72" i="7"/>
  <c r="K72" i="7"/>
  <c r="N72" i="7" s="1"/>
  <c r="J72" i="7"/>
  <c r="L71" i="7"/>
  <c r="K71" i="7"/>
  <c r="N71" i="7" s="1"/>
  <c r="J71" i="7"/>
  <c r="L70" i="7"/>
  <c r="K70" i="7"/>
  <c r="N70" i="7" s="1"/>
  <c r="J70" i="7"/>
  <c r="L69" i="7"/>
  <c r="K69" i="7"/>
  <c r="N69" i="7" s="1"/>
  <c r="J69" i="7"/>
  <c r="L68" i="7"/>
  <c r="K68" i="7"/>
  <c r="N68" i="7" s="1"/>
  <c r="J68" i="7"/>
  <c r="L65" i="7"/>
  <c r="K65" i="7"/>
  <c r="N65" i="7" s="1"/>
  <c r="J65" i="7"/>
  <c r="L64" i="7"/>
  <c r="K64" i="7"/>
  <c r="N64" i="7" s="1"/>
  <c r="J64" i="7"/>
  <c r="L62" i="7"/>
  <c r="K62" i="7"/>
  <c r="N62" i="7" s="1"/>
  <c r="J62" i="7"/>
  <c r="L61" i="7"/>
  <c r="K61" i="7"/>
  <c r="N61" i="7" s="1"/>
  <c r="J61" i="7"/>
  <c r="L59" i="7"/>
  <c r="K59" i="7"/>
  <c r="N59" i="7" s="1"/>
  <c r="J59" i="7"/>
  <c r="L58" i="7"/>
  <c r="K58" i="7"/>
  <c r="N58" i="7" s="1"/>
  <c r="J58" i="7"/>
  <c r="L56" i="7"/>
  <c r="K56" i="7"/>
  <c r="N56" i="7" s="1"/>
  <c r="J56" i="7"/>
  <c r="L54" i="7"/>
  <c r="K54" i="7"/>
  <c r="N54" i="7" s="1"/>
  <c r="J54" i="7"/>
  <c r="L53" i="7"/>
  <c r="K53" i="7"/>
  <c r="N53" i="7" s="1"/>
  <c r="J53" i="7"/>
  <c r="L52" i="7"/>
  <c r="K52" i="7"/>
  <c r="N52" i="7" s="1"/>
  <c r="J52" i="7"/>
  <c r="L51" i="7"/>
  <c r="K51" i="7"/>
  <c r="N51" i="7" s="1"/>
  <c r="J51" i="7"/>
  <c r="L50" i="7"/>
  <c r="K50" i="7"/>
  <c r="N50" i="7" s="1"/>
  <c r="J50" i="7"/>
  <c r="L49" i="7"/>
  <c r="K49" i="7"/>
  <c r="N49" i="7" s="1"/>
  <c r="J49" i="7"/>
  <c r="L48" i="7"/>
  <c r="K48" i="7"/>
  <c r="N48" i="7" s="1"/>
  <c r="J48" i="7"/>
  <c r="L47" i="7"/>
  <c r="K47" i="7"/>
  <c r="N47" i="7" s="1"/>
  <c r="J47" i="7"/>
  <c r="L46" i="7"/>
  <c r="K46" i="7"/>
  <c r="N46" i="7" s="1"/>
  <c r="J46" i="7"/>
  <c r="L45" i="7"/>
  <c r="K45" i="7"/>
  <c r="N45" i="7" s="1"/>
  <c r="J45" i="7"/>
  <c r="L44" i="7"/>
  <c r="K44" i="7"/>
  <c r="N44" i="7" s="1"/>
  <c r="J44" i="7"/>
  <c r="L43" i="7"/>
  <c r="K43" i="7"/>
  <c r="N43" i="7" s="1"/>
  <c r="J43" i="7"/>
  <c r="L42" i="7"/>
  <c r="K42" i="7"/>
  <c r="N42" i="7" s="1"/>
  <c r="J42" i="7"/>
  <c r="L41" i="7"/>
  <c r="K41" i="7"/>
  <c r="N41" i="7" s="1"/>
  <c r="J41" i="7"/>
  <c r="L40" i="7"/>
  <c r="K40" i="7"/>
  <c r="N40" i="7" s="1"/>
  <c r="J40" i="7"/>
  <c r="L39" i="7"/>
  <c r="K39" i="7"/>
  <c r="N39" i="7" s="1"/>
  <c r="J39" i="7"/>
  <c r="L38" i="7"/>
  <c r="K38" i="7"/>
  <c r="N38" i="7" s="1"/>
  <c r="J38" i="7"/>
  <c r="L36" i="7"/>
  <c r="K36" i="7"/>
  <c r="N36" i="7" s="1"/>
  <c r="J36" i="7"/>
  <c r="L35" i="7"/>
  <c r="K35" i="7"/>
  <c r="N35" i="7" s="1"/>
  <c r="J35" i="7"/>
  <c r="L34" i="7"/>
  <c r="K34" i="7"/>
  <c r="N34" i="7" s="1"/>
  <c r="J34" i="7"/>
  <c r="L33" i="7"/>
  <c r="K33" i="7"/>
  <c r="N33" i="7" s="1"/>
  <c r="J33" i="7"/>
  <c r="L32" i="7"/>
  <c r="K32" i="7"/>
  <c r="N32" i="7" s="1"/>
  <c r="J32" i="7"/>
  <c r="L31" i="7"/>
  <c r="K31" i="7"/>
  <c r="N31" i="7" s="1"/>
  <c r="J31" i="7"/>
  <c r="L30" i="7"/>
  <c r="K30" i="7"/>
  <c r="N30" i="7" s="1"/>
  <c r="J30" i="7"/>
  <c r="L29" i="7"/>
  <c r="K29" i="7"/>
  <c r="N29" i="7" s="1"/>
  <c r="J29" i="7"/>
  <c r="L28" i="7"/>
  <c r="K28" i="7"/>
  <c r="N28" i="7" s="1"/>
  <c r="J28" i="7"/>
  <c r="L27" i="7"/>
  <c r="K27" i="7"/>
  <c r="N27" i="7" s="1"/>
  <c r="J27" i="7"/>
  <c r="L26" i="7"/>
  <c r="K26" i="7"/>
  <c r="N26" i="7" s="1"/>
  <c r="J26" i="7"/>
  <c r="L25" i="7"/>
  <c r="K25" i="7"/>
  <c r="N25" i="7" s="1"/>
  <c r="J25" i="7"/>
  <c r="L24" i="7"/>
  <c r="K24" i="7"/>
  <c r="N24" i="7" s="1"/>
  <c r="J24" i="7"/>
  <c r="L23" i="7"/>
  <c r="K23" i="7"/>
  <c r="N23" i="7" s="1"/>
  <c r="J23" i="7"/>
  <c r="L22" i="7"/>
  <c r="K22" i="7"/>
  <c r="N22" i="7" s="1"/>
  <c r="J22" i="7"/>
  <c r="L21" i="7"/>
  <c r="K21" i="7"/>
  <c r="N21" i="7" s="1"/>
  <c r="J21" i="7"/>
  <c r="L20" i="7"/>
  <c r="K20" i="7"/>
  <c r="N20" i="7" s="1"/>
  <c r="J20" i="7"/>
  <c r="L19" i="7"/>
  <c r="K19" i="7"/>
  <c r="N19" i="7" s="1"/>
  <c r="J19" i="7"/>
  <c r="L18" i="7"/>
  <c r="K18" i="7"/>
  <c r="N18" i="7" s="1"/>
  <c r="J18" i="7"/>
  <c r="L17" i="7"/>
  <c r="K17" i="7"/>
  <c r="N17" i="7" s="1"/>
  <c r="J17" i="7"/>
  <c r="L16" i="7"/>
  <c r="K16" i="7"/>
  <c r="N16" i="7" s="1"/>
  <c r="J16" i="7"/>
  <c r="L13" i="7"/>
  <c r="K13" i="7"/>
  <c r="N13" i="7" s="1"/>
  <c r="J13" i="7"/>
  <c r="L10" i="7"/>
  <c r="K10" i="7"/>
  <c r="N10" i="7" s="1"/>
  <c r="J10" i="7"/>
  <c r="L9" i="7"/>
  <c r="K9" i="7"/>
  <c r="N9" i="7" s="1"/>
  <c r="J9" i="7"/>
  <c r="L6" i="7"/>
  <c r="K6" i="7"/>
  <c r="N6" i="7" s="1"/>
  <c r="J6" i="7"/>
  <c r="L718" i="5"/>
  <c r="K718" i="5"/>
  <c r="N718" i="5" s="1"/>
  <c r="J718" i="5"/>
  <c r="L717" i="5"/>
  <c r="K717" i="5"/>
  <c r="N717" i="5" s="1"/>
  <c r="J717" i="5"/>
  <c r="L710" i="5"/>
  <c r="K710" i="5"/>
  <c r="N710" i="5" s="1"/>
  <c r="J710" i="5"/>
  <c r="L709" i="5"/>
  <c r="K709" i="5"/>
  <c r="N709" i="5" s="1"/>
  <c r="J709" i="5"/>
  <c r="L708" i="5"/>
  <c r="K708" i="5"/>
  <c r="N708" i="5" s="1"/>
  <c r="J708" i="5"/>
  <c r="L707" i="5"/>
  <c r="K707" i="5"/>
  <c r="N707" i="5" s="1"/>
  <c r="J707" i="5"/>
  <c r="L706" i="5"/>
  <c r="K706" i="5"/>
  <c r="N706" i="5" s="1"/>
  <c r="J706" i="5"/>
  <c r="L705" i="5"/>
  <c r="K705" i="5"/>
  <c r="N705" i="5" s="1"/>
  <c r="J705" i="5"/>
  <c r="L704" i="5"/>
  <c r="K704" i="5"/>
  <c r="N704" i="5" s="1"/>
  <c r="J704" i="5"/>
  <c r="L703" i="5"/>
  <c r="K703" i="5"/>
  <c r="N703" i="5" s="1"/>
  <c r="J703" i="5"/>
  <c r="L702" i="5"/>
  <c r="K702" i="5"/>
  <c r="N702" i="5" s="1"/>
  <c r="J702" i="5"/>
  <c r="L701" i="5"/>
  <c r="K701" i="5"/>
  <c r="N701" i="5" s="1"/>
  <c r="J701" i="5"/>
  <c r="L700" i="5"/>
  <c r="K700" i="5"/>
  <c r="N700" i="5" s="1"/>
  <c r="J700" i="5"/>
  <c r="L695" i="5"/>
  <c r="K695" i="5"/>
  <c r="N695" i="5" s="1"/>
  <c r="J695" i="5"/>
  <c r="L680" i="5"/>
  <c r="K680" i="5"/>
  <c r="N680" i="5" s="1"/>
  <c r="J680" i="5"/>
  <c r="L679" i="5"/>
  <c r="K679" i="5"/>
  <c r="N679" i="5" s="1"/>
  <c r="J679" i="5"/>
  <c r="L678" i="5"/>
  <c r="K678" i="5"/>
  <c r="N678" i="5" s="1"/>
  <c r="J678" i="5"/>
  <c r="L677" i="5"/>
  <c r="K677" i="5"/>
  <c r="N677" i="5" s="1"/>
  <c r="J677" i="5"/>
  <c r="L676" i="5"/>
  <c r="K676" i="5"/>
  <c r="N676" i="5" s="1"/>
  <c r="J676" i="5"/>
  <c r="L675" i="5"/>
  <c r="K675" i="5"/>
  <c r="N675" i="5" s="1"/>
  <c r="J675" i="5"/>
  <c r="L674" i="5"/>
  <c r="K674" i="5"/>
  <c r="N674" i="5" s="1"/>
  <c r="J674" i="5"/>
  <c r="L673" i="5"/>
  <c r="K673" i="5"/>
  <c r="N673" i="5" s="1"/>
  <c r="J673" i="5"/>
  <c r="L672" i="5"/>
  <c r="K672" i="5"/>
  <c r="N672" i="5" s="1"/>
  <c r="J672" i="5"/>
  <c r="L671" i="5"/>
  <c r="K671" i="5"/>
  <c r="N671" i="5" s="1"/>
  <c r="J671" i="5"/>
  <c r="L670" i="5"/>
  <c r="K670" i="5"/>
  <c r="N670" i="5" s="1"/>
  <c r="J670" i="5"/>
  <c r="L669" i="5"/>
  <c r="K669" i="5"/>
  <c r="N669" i="5" s="1"/>
  <c r="J669" i="5"/>
  <c r="L668" i="5"/>
  <c r="K668" i="5"/>
  <c r="N668" i="5" s="1"/>
  <c r="J668" i="5"/>
  <c r="L667" i="5"/>
  <c r="K667" i="5"/>
  <c r="N667" i="5" s="1"/>
  <c r="J667" i="5"/>
  <c r="L666" i="5"/>
  <c r="K666" i="5"/>
  <c r="N666" i="5" s="1"/>
  <c r="J666" i="5"/>
  <c r="L665" i="5"/>
  <c r="K665" i="5"/>
  <c r="N665" i="5" s="1"/>
  <c r="J665" i="5"/>
  <c r="L664" i="5"/>
  <c r="K664" i="5"/>
  <c r="N664" i="5" s="1"/>
  <c r="J664" i="5"/>
  <c r="L663" i="5"/>
  <c r="K663" i="5"/>
  <c r="N663" i="5" s="1"/>
  <c r="J663" i="5"/>
  <c r="L662" i="5"/>
  <c r="K662" i="5"/>
  <c r="N662" i="5" s="1"/>
  <c r="J662" i="5"/>
  <c r="L661" i="5"/>
  <c r="K661" i="5"/>
  <c r="N661" i="5" s="1"/>
  <c r="J661" i="5"/>
  <c r="L660" i="5"/>
  <c r="K660" i="5"/>
  <c r="N660" i="5" s="1"/>
  <c r="J660" i="5"/>
  <c r="L659" i="5"/>
  <c r="K659" i="5"/>
  <c r="N659" i="5" s="1"/>
  <c r="J659" i="5"/>
  <c r="L658" i="5"/>
  <c r="K658" i="5"/>
  <c r="N658" i="5" s="1"/>
  <c r="J658" i="5"/>
  <c r="L657" i="5"/>
  <c r="K657" i="5"/>
  <c r="N657" i="5" s="1"/>
  <c r="J657" i="5"/>
  <c r="L656" i="5"/>
  <c r="K656" i="5"/>
  <c r="N656" i="5" s="1"/>
  <c r="J656" i="5"/>
  <c r="L655" i="5"/>
  <c r="K655" i="5"/>
  <c r="N655" i="5" s="1"/>
  <c r="J655" i="5"/>
  <c r="L654" i="5"/>
  <c r="K654" i="5"/>
  <c r="N654" i="5" s="1"/>
  <c r="J654" i="5"/>
  <c r="L653" i="5"/>
  <c r="K653" i="5"/>
  <c r="N653" i="5" s="1"/>
  <c r="J653" i="5"/>
  <c r="L652" i="5"/>
  <c r="K652" i="5"/>
  <c r="N652" i="5" s="1"/>
  <c r="J652" i="5"/>
  <c r="L651" i="5"/>
  <c r="K651" i="5"/>
  <c r="N651" i="5" s="1"/>
  <c r="J651" i="5"/>
  <c r="L650" i="5"/>
  <c r="K650" i="5"/>
  <c r="N650" i="5" s="1"/>
  <c r="J650" i="5"/>
  <c r="L649" i="5"/>
  <c r="K649" i="5"/>
  <c r="N649" i="5" s="1"/>
  <c r="J649" i="5"/>
  <c r="L648" i="5"/>
  <c r="K648" i="5"/>
  <c r="N648" i="5" s="1"/>
  <c r="J648" i="5"/>
  <c r="L647" i="5"/>
  <c r="K647" i="5"/>
  <c r="N647" i="5" s="1"/>
  <c r="J647" i="5"/>
  <c r="L646" i="5"/>
  <c r="K646" i="5"/>
  <c r="N646" i="5" s="1"/>
  <c r="J646" i="5"/>
  <c r="L645" i="5"/>
  <c r="K645" i="5"/>
  <c r="N645" i="5" s="1"/>
  <c r="J645" i="5"/>
  <c r="L644" i="5"/>
  <c r="K644" i="5"/>
  <c r="N644" i="5" s="1"/>
  <c r="J644" i="5"/>
  <c r="L643" i="5"/>
  <c r="K643" i="5"/>
  <c r="N643" i="5" s="1"/>
  <c r="J643" i="5"/>
  <c r="L642" i="5"/>
  <c r="K642" i="5"/>
  <c r="N642" i="5" s="1"/>
  <c r="J642" i="5"/>
  <c r="L641" i="5"/>
  <c r="K641" i="5"/>
  <c r="N641" i="5" s="1"/>
  <c r="J641" i="5"/>
  <c r="L640" i="5"/>
  <c r="K640" i="5"/>
  <c r="N640" i="5" s="1"/>
  <c r="J640" i="5"/>
  <c r="L639" i="5"/>
  <c r="K639" i="5"/>
  <c r="N639" i="5" s="1"/>
  <c r="J639" i="5"/>
  <c r="L638" i="5"/>
  <c r="K638" i="5"/>
  <c r="N638" i="5" s="1"/>
  <c r="J638" i="5"/>
  <c r="L637" i="5"/>
  <c r="K637" i="5"/>
  <c r="N637" i="5" s="1"/>
  <c r="J637" i="5"/>
  <c r="L636" i="5"/>
  <c r="K636" i="5"/>
  <c r="N636" i="5" s="1"/>
  <c r="J636" i="5"/>
  <c r="L634" i="5"/>
  <c r="K634" i="5"/>
  <c r="N634" i="5" s="1"/>
  <c r="J634" i="5"/>
  <c r="L633" i="5"/>
  <c r="K633" i="5"/>
  <c r="N633" i="5" s="1"/>
  <c r="J633" i="5"/>
  <c r="L629" i="5"/>
  <c r="K629" i="5"/>
  <c r="N629" i="5" s="1"/>
  <c r="J629" i="5"/>
  <c r="L628" i="5"/>
  <c r="K628" i="5"/>
  <c r="N628" i="5" s="1"/>
  <c r="J628" i="5"/>
  <c r="L627" i="5"/>
  <c r="K627" i="5"/>
  <c r="N627" i="5" s="1"/>
  <c r="J627" i="5"/>
  <c r="L626" i="5"/>
  <c r="K626" i="5"/>
  <c r="N626" i="5" s="1"/>
  <c r="J626" i="5"/>
  <c r="L624" i="5"/>
  <c r="K624" i="5"/>
  <c r="N624" i="5" s="1"/>
  <c r="J624" i="5"/>
  <c r="L623" i="5"/>
  <c r="K623" i="5"/>
  <c r="N623" i="5" s="1"/>
  <c r="J623" i="5"/>
  <c r="L622" i="5"/>
  <c r="K622" i="5"/>
  <c r="N622" i="5" s="1"/>
  <c r="J622" i="5"/>
  <c r="L621" i="5"/>
  <c r="K621" i="5"/>
  <c r="N621" i="5" s="1"/>
  <c r="J621" i="5"/>
  <c r="L618" i="5"/>
  <c r="K618" i="5"/>
  <c r="N618" i="5" s="1"/>
  <c r="J618" i="5"/>
  <c r="L615" i="5"/>
  <c r="K615" i="5"/>
  <c r="N615" i="5" s="1"/>
  <c r="J615" i="5"/>
  <c r="L614" i="5"/>
  <c r="K614" i="5"/>
  <c r="N614" i="5" s="1"/>
  <c r="J614" i="5"/>
  <c r="L613" i="5"/>
  <c r="K613" i="5"/>
  <c r="N613" i="5" s="1"/>
  <c r="J613" i="5"/>
  <c r="L612" i="5"/>
  <c r="K612" i="5"/>
  <c r="N612" i="5" s="1"/>
  <c r="J612" i="5"/>
  <c r="L611" i="5"/>
  <c r="K611" i="5"/>
  <c r="N611" i="5" s="1"/>
  <c r="J611" i="5"/>
  <c r="L610" i="5"/>
  <c r="K610" i="5"/>
  <c r="N610" i="5" s="1"/>
  <c r="J610" i="5"/>
  <c r="L609" i="5"/>
  <c r="K609" i="5"/>
  <c r="N609" i="5" s="1"/>
  <c r="J609" i="5"/>
  <c r="L608" i="5"/>
  <c r="K608" i="5"/>
  <c r="N608" i="5" s="1"/>
  <c r="J608" i="5"/>
  <c r="L607" i="5"/>
  <c r="K607" i="5"/>
  <c r="N607" i="5" s="1"/>
  <c r="J607" i="5"/>
  <c r="L606" i="5"/>
  <c r="K606" i="5"/>
  <c r="N606" i="5" s="1"/>
  <c r="J606" i="5"/>
  <c r="L605" i="5"/>
  <c r="K605" i="5"/>
  <c r="N605" i="5" s="1"/>
  <c r="J605" i="5"/>
  <c r="L604" i="5"/>
  <c r="K604" i="5"/>
  <c r="N604" i="5" s="1"/>
  <c r="J604" i="5"/>
  <c r="L603" i="5"/>
  <c r="K603" i="5"/>
  <c r="N603" i="5" s="1"/>
  <c r="J603" i="5"/>
  <c r="L602" i="5"/>
  <c r="K602" i="5"/>
  <c r="N602" i="5" s="1"/>
  <c r="J602" i="5"/>
  <c r="L601" i="5"/>
  <c r="K601" i="5"/>
  <c r="N601" i="5" s="1"/>
  <c r="J601" i="5"/>
  <c r="L600" i="5"/>
  <c r="K600" i="5"/>
  <c r="N600" i="5" s="1"/>
  <c r="J600" i="5"/>
  <c r="L599" i="5"/>
  <c r="K599" i="5"/>
  <c r="N599" i="5" s="1"/>
  <c r="J599" i="5"/>
  <c r="L598" i="5"/>
  <c r="K598" i="5"/>
  <c r="N598" i="5" s="1"/>
  <c r="J598" i="5"/>
  <c r="L597" i="5"/>
  <c r="K597" i="5"/>
  <c r="N597" i="5" s="1"/>
  <c r="J597" i="5"/>
  <c r="L596" i="5"/>
  <c r="K596" i="5"/>
  <c r="N596" i="5" s="1"/>
  <c r="J596" i="5"/>
  <c r="L595" i="5"/>
  <c r="K595" i="5"/>
  <c r="N595" i="5" s="1"/>
  <c r="J595" i="5"/>
  <c r="L594" i="5"/>
  <c r="K594" i="5"/>
  <c r="N594" i="5" s="1"/>
  <c r="J594" i="5"/>
  <c r="L593" i="5"/>
  <c r="K593" i="5"/>
  <c r="N593" i="5" s="1"/>
  <c r="J593" i="5"/>
  <c r="L592" i="5"/>
  <c r="K592" i="5"/>
  <c r="N592" i="5" s="1"/>
  <c r="J592" i="5"/>
  <c r="L591" i="5"/>
  <c r="K591" i="5"/>
  <c r="N591" i="5" s="1"/>
  <c r="J591" i="5"/>
  <c r="L590" i="5"/>
  <c r="K590" i="5"/>
  <c r="N590" i="5" s="1"/>
  <c r="J590" i="5"/>
  <c r="L589" i="5"/>
  <c r="K589" i="5"/>
  <c r="N589" i="5" s="1"/>
  <c r="J589" i="5"/>
  <c r="L588" i="5"/>
  <c r="K588" i="5"/>
  <c r="N588" i="5" s="1"/>
  <c r="J588" i="5"/>
  <c r="L587" i="5"/>
  <c r="K587" i="5"/>
  <c r="N587" i="5" s="1"/>
  <c r="J587" i="5"/>
  <c r="L586" i="5"/>
  <c r="K586" i="5"/>
  <c r="N586" i="5" s="1"/>
  <c r="J586" i="5"/>
  <c r="L585" i="5"/>
  <c r="K585" i="5"/>
  <c r="N585" i="5" s="1"/>
  <c r="J585" i="5"/>
  <c r="L584" i="5"/>
  <c r="K584" i="5"/>
  <c r="N584" i="5" s="1"/>
  <c r="J584" i="5"/>
  <c r="L583" i="5"/>
  <c r="K583" i="5"/>
  <c r="N583" i="5" s="1"/>
  <c r="J583" i="5"/>
  <c r="L582" i="5"/>
  <c r="K582" i="5"/>
  <c r="N582" i="5" s="1"/>
  <c r="J582" i="5"/>
  <c r="L581" i="5"/>
  <c r="K581" i="5"/>
  <c r="N581" i="5" s="1"/>
  <c r="J581" i="5"/>
  <c r="L580" i="5"/>
  <c r="K580" i="5"/>
  <c r="N580" i="5" s="1"/>
  <c r="J580" i="5"/>
  <c r="L579" i="5"/>
  <c r="K579" i="5"/>
  <c r="N579" i="5" s="1"/>
  <c r="J579" i="5"/>
  <c r="L578" i="5"/>
  <c r="K578" i="5"/>
  <c r="N578" i="5" s="1"/>
  <c r="J578" i="5"/>
  <c r="L577" i="5"/>
  <c r="K577" i="5"/>
  <c r="N577" i="5" s="1"/>
  <c r="J577" i="5"/>
  <c r="L576" i="5"/>
  <c r="K576" i="5"/>
  <c r="N576" i="5" s="1"/>
  <c r="J576" i="5"/>
  <c r="L575" i="5"/>
  <c r="K575" i="5"/>
  <c r="N575" i="5" s="1"/>
  <c r="J575" i="5"/>
  <c r="L574" i="5"/>
  <c r="K574" i="5"/>
  <c r="N574" i="5" s="1"/>
  <c r="J574" i="5"/>
  <c r="L571" i="5"/>
  <c r="K571" i="5"/>
  <c r="N571" i="5" s="1"/>
  <c r="J571" i="5"/>
  <c r="L570" i="5"/>
  <c r="K570" i="5"/>
  <c r="N570" i="5" s="1"/>
  <c r="J570" i="5"/>
  <c r="L569" i="5"/>
  <c r="K569" i="5"/>
  <c r="N569" i="5" s="1"/>
  <c r="J569" i="5"/>
  <c r="L568" i="5"/>
  <c r="K568" i="5"/>
  <c r="N568" i="5" s="1"/>
  <c r="J568" i="5"/>
  <c r="L567" i="5"/>
  <c r="K567" i="5"/>
  <c r="N567" i="5" s="1"/>
  <c r="J567" i="5"/>
  <c r="L566" i="5"/>
  <c r="K566" i="5"/>
  <c r="N566" i="5" s="1"/>
  <c r="J566" i="5"/>
  <c r="L565" i="5"/>
  <c r="K565" i="5"/>
  <c r="N565" i="5" s="1"/>
  <c r="J565" i="5"/>
  <c r="L564" i="5"/>
  <c r="K564" i="5"/>
  <c r="N564" i="5" s="1"/>
  <c r="J564" i="5"/>
  <c r="L563" i="5"/>
  <c r="K563" i="5"/>
  <c r="N563" i="5" s="1"/>
  <c r="J563" i="5"/>
  <c r="L562" i="5"/>
  <c r="K562" i="5"/>
  <c r="N562" i="5" s="1"/>
  <c r="J562" i="5"/>
  <c r="L561" i="5"/>
  <c r="K561" i="5"/>
  <c r="N561" i="5" s="1"/>
  <c r="J561" i="5"/>
  <c r="L560" i="5"/>
  <c r="K560" i="5"/>
  <c r="N560" i="5" s="1"/>
  <c r="J560" i="5"/>
  <c r="L559" i="5"/>
  <c r="K559" i="5"/>
  <c r="N559" i="5" s="1"/>
  <c r="J559" i="5"/>
  <c r="L557" i="5"/>
  <c r="K557" i="5"/>
  <c r="N557" i="5" s="1"/>
  <c r="J557" i="5"/>
  <c r="L556" i="5"/>
  <c r="K556" i="5"/>
  <c r="N556" i="5" s="1"/>
  <c r="J556" i="5"/>
  <c r="L555" i="5"/>
  <c r="K555" i="5"/>
  <c r="N555" i="5" s="1"/>
  <c r="J555" i="5"/>
  <c r="L554" i="5"/>
  <c r="K554" i="5"/>
  <c r="N554" i="5" s="1"/>
  <c r="J554" i="5"/>
  <c r="L553" i="5"/>
  <c r="K553" i="5"/>
  <c r="N553" i="5" s="1"/>
  <c r="J553" i="5"/>
  <c r="L552" i="5"/>
  <c r="K552" i="5"/>
  <c r="N552" i="5" s="1"/>
  <c r="J552" i="5"/>
  <c r="L551" i="5"/>
  <c r="K551" i="5"/>
  <c r="N551" i="5" s="1"/>
  <c r="J551" i="5"/>
  <c r="L550" i="5"/>
  <c r="K550" i="5"/>
  <c r="N550" i="5" s="1"/>
  <c r="J550" i="5"/>
  <c r="L548" i="5"/>
  <c r="K548" i="5"/>
  <c r="N548" i="5" s="1"/>
  <c r="J548" i="5"/>
  <c r="L547" i="5"/>
  <c r="K547" i="5"/>
  <c r="N547" i="5" s="1"/>
  <c r="J547" i="5"/>
  <c r="L546" i="5"/>
  <c r="K546" i="5"/>
  <c r="N546" i="5" s="1"/>
  <c r="J546" i="5"/>
  <c r="L545" i="5"/>
  <c r="K545" i="5"/>
  <c r="N545" i="5" s="1"/>
  <c r="J545" i="5"/>
  <c r="L544" i="5"/>
  <c r="K544" i="5"/>
  <c r="N544" i="5" s="1"/>
  <c r="J544" i="5"/>
  <c r="L543" i="5"/>
  <c r="K543" i="5"/>
  <c r="N543" i="5" s="1"/>
  <c r="J543" i="5"/>
  <c r="L542" i="5"/>
  <c r="K542" i="5"/>
  <c r="N542" i="5" s="1"/>
  <c r="J542" i="5"/>
  <c r="L541" i="5"/>
  <c r="K541" i="5"/>
  <c r="N541" i="5" s="1"/>
  <c r="J541" i="5"/>
  <c r="L540" i="5"/>
  <c r="K540" i="5"/>
  <c r="N540" i="5" s="1"/>
  <c r="J540" i="5"/>
  <c r="L523" i="5"/>
  <c r="K523" i="5"/>
  <c r="N523" i="5" s="1"/>
  <c r="J523" i="5"/>
  <c r="L522" i="5"/>
  <c r="K522" i="5"/>
  <c r="N522" i="5" s="1"/>
  <c r="J522" i="5"/>
  <c r="L521" i="5"/>
  <c r="K521" i="5"/>
  <c r="N521" i="5" s="1"/>
  <c r="J521" i="5"/>
  <c r="L520" i="5"/>
  <c r="K520" i="5"/>
  <c r="N520" i="5" s="1"/>
  <c r="J520" i="5"/>
  <c r="L519" i="5"/>
  <c r="K519" i="5"/>
  <c r="N519" i="5" s="1"/>
  <c r="J519" i="5"/>
  <c r="L518" i="5"/>
  <c r="K518" i="5"/>
  <c r="N518" i="5" s="1"/>
  <c r="J518" i="5"/>
  <c r="L517" i="5"/>
  <c r="K517" i="5"/>
  <c r="N517" i="5" s="1"/>
  <c r="J517" i="5"/>
  <c r="L516" i="5"/>
  <c r="K516" i="5"/>
  <c r="N516" i="5" s="1"/>
  <c r="J516" i="5"/>
  <c r="L515" i="5"/>
  <c r="K515" i="5"/>
  <c r="N515" i="5" s="1"/>
  <c r="J515" i="5"/>
  <c r="L514" i="5"/>
  <c r="K514" i="5"/>
  <c r="N514" i="5" s="1"/>
  <c r="J514" i="5"/>
  <c r="L513" i="5"/>
  <c r="K513" i="5"/>
  <c r="N513" i="5" s="1"/>
  <c r="J513" i="5"/>
  <c r="L512" i="5"/>
  <c r="K512" i="5"/>
  <c r="N512" i="5" s="1"/>
  <c r="J512" i="5"/>
  <c r="L489" i="5"/>
  <c r="K489" i="5"/>
  <c r="N489" i="5" s="1"/>
  <c r="J489" i="5"/>
  <c r="L488" i="5"/>
  <c r="K488" i="5"/>
  <c r="N488" i="5" s="1"/>
  <c r="J488" i="5"/>
  <c r="L487" i="5"/>
  <c r="K487" i="5"/>
  <c r="N487" i="5" s="1"/>
  <c r="J487" i="5"/>
  <c r="L486" i="5"/>
  <c r="K486" i="5"/>
  <c r="N486" i="5" s="1"/>
  <c r="J486" i="5"/>
  <c r="L483" i="5"/>
  <c r="K483" i="5"/>
  <c r="N483" i="5" s="1"/>
  <c r="J483" i="5"/>
  <c r="L482" i="5"/>
  <c r="K482" i="5"/>
  <c r="N482" i="5" s="1"/>
  <c r="J482" i="5"/>
  <c r="L481" i="5"/>
  <c r="K481" i="5"/>
  <c r="N481" i="5" s="1"/>
  <c r="J481" i="5"/>
  <c r="L480" i="5"/>
  <c r="K480" i="5"/>
  <c r="N480" i="5" s="1"/>
  <c r="J480" i="5"/>
  <c r="L478" i="5"/>
  <c r="K478" i="5"/>
  <c r="N478" i="5" s="1"/>
  <c r="J478" i="5"/>
  <c r="L477" i="5"/>
  <c r="K477" i="5"/>
  <c r="N477" i="5" s="1"/>
  <c r="J477" i="5"/>
  <c r="L474" i="5"/>
  <c r="K474" i="5"/>
  <c r="N474" i="5" s="1"/>
  <c r="J474" i="5"/>
  <c r="L473" i="5"/>
  <c r="K473" i="5"/>
  <c r="N473" i="5" s="1"/>
  <c r="J473" i="5"/>
  <c r="L472" i="5"/>
  <c r="K472" i="5"/>
  <c r="N472" i="5" s="1"/>
  <c r="J472" i="5"/>
  <c r="L471" i="5"/>
  <c r="K471" i="5"/>
  <c r="N471" i="5" s="1"/>
  <c r="J471" i="5"/>
  <c r="L466" i="5"/>
  <c r="K466" i="5"/>
  <c r="N466" i="5" s="1"/>
  <c r="J466" i="5"/>
  <c r="L465" i="5"/>
  <c r="K465" i="5"/>
  <c r="N465" i="5" s="1"/>
  <c r="J465" i="5"/>
  <c r="L461" i="5"/>
  <c r="K461" i="5"/>
  <c r="N461" i="5" s="1"/>
  <c r="J461" i="5"/>
  <c r="L458" i="5"/>
  <c r="K458" i="5"/>
  <c r="N458" i="5" s="1"/>
  <c r="J458" i="5"/>
  <c r="L457" i="5"/>
  <c r="K457" i="5"/>
  <c r="N457" i="5" s="1"/>
  <c r="J457" i="5"/>
  <c r="L456" i="5"/>
  <c r="K456" i="5"/>
  <c r="N456" i="5" s="1"/>
  <c r="J456" i="5"/>
  <c r="L455" i="5"/>
  <c r="K455" i="5"/>
  <c r="N455" i="5" s="1"/>
  <c r="J455" i="5"/>
  <c r="L454" i="5"/>
  <c r="K454" i="5"/>
  <c r="N454" i="5" s="1"/>
  <c r="J454" i="5"/>
  <c r="L453" i="5"/>
  <c r="K453" i="5"/>
  <c r="N453" i="5" s="1"/>
  <c r="J453" i="5"/>
  <c r="L452" i="5"/>
  <c r="K452" i="5"/>
  <c r="N452" i="5" s="1"/>
  <c r="J452" i="5"/>
  <c r="L451" i="5"/>
  <c r="K451" i="5"/>
  <c r="N451" i="5" s="1"/>
  <c r="J451" i="5"/>
  <c r="L449" i="5"/>
  <c r="K449" i="5"/>
  <c r="N449" i="5" s="1"/>
  <c r="J449" i="5"/>
  <c r="L448" i="5"/>
  <c r="K448" i="5"/>
  <c r="N448" i="5" s="1"/>
  <c r="J448" i="5"/>
  <c r="L442" i="5"/>
  <c r="K442" i="5"/>
  <c r="N442" i="5" s="1"/>
  <c r="J442" i="5"/>
  <c r="L441" i="5"/>
  <c r="K441" i="5"/>
  <c r="N441" i="5" s="1"/>
  <c r="J441" i="5"/>
  <c r="L440" i="5"/>
  <c r="K440" i="5"/>
  <c r="N440" i="5" s="1"/>
  <c r="J440" i="5"/>
  <c r="L439" i="5"/>
  <c r="K439" i="5"/>
  <c r="N439" i="5" s="1"/>
  <c r="J439" i="5"/>
  <c r="L438" i="5"/>
  <c r="K438" i="5"/>
  <c r="N438" i="5" s="1"/>
  <c r="J438" i="5"/>
  <c r="L437" i="5"/>
  <c r="K437" i="5"/>
  <c r="N437" i="5" s="1"/>
  <c r="J437" i="5"/>
  <c r="L436" i="5"/>
  <c r="K436" i="5"/>
  <c r="N436" i="5" s="1"/>
  <c r="J436" i="5"/>
  <c r="L435" i="5"/>
  <c r="K435" i="5"/>
  <c r="N435" i="5" s="1"/>
  <c r="J435" i="5"/>
  <c r="L434" i="5"/>
  <c r="K434" i="5"/>
  <c r="N434" i="5" s="1"/>
  <c r="J434" i="5"/>
  <c r="L433" i="5"/>
  <c r="K433" i="5"/>
  <c r="N433" i="5" s="1"/>
  <c r="J433" i="5"/>
  <c r="L432" i="5"/>
  <c r="K432" i="5"/>
  <c r="N432" i="5" s="1"/>
  <c r="J432" i="5"/>
  <c r="L431" i="5"/>
  <c r="K431" i="5"/>
  <c r="N431" i="5" s="1"/>
  <c r="J431" i="5"/>
  <c r="L428" i="5"/>
  <c r="K428" i="5"/>
  <c r="N428" i="5" s="1"/>
  <c r="J428" i="5"/>
  <c r="L427" i="5"/>
  <c r="K427" i="5"/>
  <c r="N427" i="5" s="1"/>
  <c r="J427" i="5"/>
  <c r="L426" i="5"/>
  <c r="K426" i="5"/>
  <c r="N426" i="5" s="1"/>
  <c r="J426" i="5"/>
  <c r="L424" i="5"/>
  <c r="K424" i="5"/>
  <c r="N424" i="5" s="1"/>
  <c r="J424" i="5"/>
  <c r="L422" i="5"/>
  <c r="K422" i="5"/>
  <c r="N422" i="5" s="1"/>
  <c r="J422" i="5"/>
  <c r="L421" i="5"/>
  <c r="K421" i="5"/>
  <c r="N421" i="5" s="1"/>
  <c r="J421" i="5"/>
  <c r="L419" i="5"/>
  <c r="K419" i="5"/>
  <c r="N419" i="5" s="1"/>
  <c r="J419" i="5"/>
  <c r="L418" i="5"/>
  <c r="K418" i="5"/>
  <c r="N418" i="5" s="1"/>
  <c r="J418" i="5"/>
  <c r="L417" i="5"/>
  <c r="K417" i="5"/>
  <c r="N417" i="5" s="1"/>
  <c r="J417" i="5"/>
  <c r="L416" i="5"/>
  <c r="K416" i="5"/>
  <c r="N416" i="5" s="1"/>
  <c r="J416" i="5"/>
  <c r="L415" i="5"/>
  <c r="K415" i="5"/>
  <c r="N415" i="5" s="1"/>
  <c r="J415" i="5"/>
  <c r="L414" i="5"/>
  <c r="K414" i="5"/>
  <c r="N414" i="5" s="1"/>
  <c r="J414" i="5"/>
  <c r="L413" i="5"/>
  <c r="K413" i="5"/>
  <c r="N413" i="5" s="1"/>
  <c r="J413" i="5"/>
  <c r="L412" i="5"/>
  <c r="K412" i="5"/>
  <c r="N412" i="5" s="1"/>
  <c r="J412" i="5"/>
  <c r="L411" i="5"/>
  <c r="K411" i="5"/>
  <c r="N411" i="5" s="1"/>
  <c r="J411" i="5"/>
  <c r="L409" i="5"/>
  <c r="K409" i="5"/>
  <c r="N409" i="5" s="1"/>
  <c r="J409" i="5"/>
  <c r="L408" i="5"/>
  <c r="K408" i="5"/>
  <c r="N408" i="5" s="1"/>
  <c r="J408" i="5"/>
  <c r="L406" i="5"/>
  <c r="K406" i="5"/>
  <c r="N406" i="5" s="1"/>
  <c r="J406" i="5"/>
  <c r="L405" i="5"/>
  <c r="K405" i="5"/>
  <c r="N405" i="5" s="1"/>
  <c r="J405" i="5"/>
  <c r="L404" i="5"/>
  <c r="K404" i="5"/>
  <c r="N404" i="5" s="1"/>
  <c r="J404" i="5"/>
  <c r="L403" i="5"/>
  <c r="K403" i="5"/>
  <c r="N403" i="5" s="1"/>
  <c r="J403" i="5"/>
  <c r="L402" i="5"/>
  <c r="K402" i="5"/>
  <c r="N402" i="5" s="1"/>
  <c r="J402" i="5"/>
  <c r="L401" i="5"/>
  <c r="K401" i="5"/>
  <c r="N401" i="5" s="1"/>
  <c r="J401" i="5"/>
  <c r="L400" i="5"/>
  <c r="K400" i="5"/>
  <c r="N400" i="5" s="1"/>
  <c r="J400" i="5"/>
  <c r="L399" i="5"/>
  <c r="K399" i="5"/>
  <c r="N399" i="5" s="1"/>
  <c r="J399" i="5"/>
  <c r="L398" i="5"/>
  <c r="K398" i="5"/>
  <c r="N398" i="5" s="1"/>
  <c r="J398" i="5"/>
  <c r="L397" i="5"/>
  <c r="K397" i="5"/>
  <c r="N397" i="5" s="1"/>
  <c r="J397" i="5"/>
  <c r="L396" i="5"/>
  <c r="K396" i="5"/>
  <c r="N396" i="5" s="1"/>
  <c r="J396" i="5"/>
  <c r="L395" i="5"/>
  <c r="K395" i="5"/>
  <c r="N395" i="5" s="1"/>
  <c r="J395" i="5"/>
  <c r="L394" i="5"/>
  <c r="K394" i="5"/>
  <c r="N394" i="5" s="1"/>
  <c r="J394" i="5"/>
  <c r="L393" i="5"/>
  <c r="K393" i="5"/>
  <c r="N393" i="5" s="1"/>
  <c r="J393" i="5"/>
  <c r="L392" i="5"/>
  <c r="K392" i="5"/>
  <c r="N392" i="5" s="1"/>
  <c r="J392" i="5"/>
  <c r="L391" i="5"/>
  <c r="K391" i="5"/>
  <c r="N391" i="5" s="1"/>
  <c r="J391" i="5"/>
  <c r="L390" i="5"/>
  <c r="K390" i="5"/>
  <c r="N390" i="5" s="1"/>
  <c r="J390" i="5"/>
  <c r="L389" i="5"/>
  <c r="K389" i="5"/>
  <c r="N389" i="5" s="1"/>
  <c r="J389" i="5"/>
  <c r="L388" i="5"/>
  <c r="K388" i="5"/>
  <c r="N388" i="5" s="1"/>
  <c r="J388" i="5"/>
  <c r="L387" i="5"/>
  <c r="K387" i="5"/>
  <c r="N387" i="5" s="1"/>
  <c r="J387" i="5"/>
  <c r="L386" i="5"/>
  <c r="K386" i="5"/>
  <c r="N386" i="5" s="1"/>
  <c r="J386" i="5"/>
  <c r="L385" i="5"/>
  <c r="K385" i="5"/>
  <c r="N385" i="5" s="1"/>
  <c r="J385" i="5"/>
  <c r="L384" i="5"/>
  <c r="K384" i="5"/>
  <c r="N384" i="5" s="1"/>
  <c r="J384" i="5"/>
  <c r="L383" i="5"/>
  <c r="K383" i="5"/>
  <c r="N383" i="5" s="1"/>
  <c r="J383" i="5"/>
  <c r="L382" i="5"/>
  <c r="K382" i="5"/>
  <c r="N382" i="5" s="1"/>
  <c r="J382" i="5"/>
  <c r="L381" i="5"/>
  <c r="K381" i="5"/>
  <c r="N381" i="5" s="1"/>
  <c r="J381" i="5"/>
  <c r="L380" i="5"/>
  <c r="K380" i="5"/>
  <c r="N380" i="5" s="1"/>
  <c r="J380" i="5"/>
  <c r="L379" i="5"/>
  <c r="K379" i="5"/>
  <c r="N379" i="5" s="1"/>
  <c r="J379" i="5"/>
  <c r="L378" i="5"/>
  <c r="K378" i="5"/>
  <c r="N378" i="5" s="1"/>
  <c r="J378" i="5"/>
  <c r="L377" i="5"/>
  <c r="K377" i="5"/>
  <c r="N377" i="5" s="1"/>
  <c r="J377" i="5"/>
  <c r="L376" i="5"/>
  <c r="K376" i="5"/>
  <c r="N376" i="5" s="1"/>
  <c r="J376" i="5"/>
  <c r="L375" i="5"/>
  <c r="K375" i="5"/>
  <c r="N375" i="5" s="1"/>
  <c r="J375" i="5"/>
  <c r="L374" i="5"/>
  <c r="K374" i="5"/>
  <c r="N374" i="5" s="1"/>
  <c r="J374" i="5"/>
  <c r="L373" i="5"/>
  <c r="K373" i="5"/>
  <c r="N373" i="5" s="1"/>
  <c r="J373" i="5"/>
  <c r="L372" i="5"/>
  <c r="K372" i="5"/>
  <c r="N372" i="5" s="1"/>
  <c r="J372" i="5"/>
  <c r="L371" i="5"/>
  <c r="K371" i="5"/>
  <c r="N371" i="5" s="1"/>
  <c r="J371" i="5"/>
  <c r="L370" i="5"/>
  <c r="K370" i="5"/>
  <c r="N370" i="5" s="1"/>
  <c r="J370" i="5"/>
  <c r="L369" i="5"/>
  <c r="K369" i="5"/>
  <c r="N369" i="5" s="1"/>
  <c r="J369" i="5"/>
  <c r="L368" i="5"/>
  <c r="K368" i="5"/>
  <c r="N368" i="5" s="1"/>
  <c r="J368" i="5"/>
  <c r="L367" i="5"/>
  <c r="K367" i="5"/>
  <c r="N367" i="5" s="1"/>
  <c r="J367" i="5"/>
  <c r="L366" i="5"/>
  <c r="K366" i="5"/>
  <c r="N366" i="5" s="1"/>
  <c r="J366" i="5"/>
  <c r="L365" i="5"/>
  <c r="K365" i="5"/>
  <c r="N365" i="5" s="1"/>
  <c r="J365" i="5"/>
  <c r="L364" i="5"/>
  <c r="K364" i="5"/>
  <c r="N364" i="5" s="1"/>
  <c r="J364" i="5"/>
  <c r="L363" i="5"/>
  <c r="K363" i="5"/>
  <c r="N363" i="5" s="1"/>
  <c r="J363" i="5"/>
  <c r="L362" i="5"/>
  <c r="K362" i="5"/>
  <c r="N362" i="5" s="1"/>
  <c r="J362" i="5"/>
  <c r="L361" i="5"/>
  <c r="K361" i="5"/>
  <c r="N361" i="5" s="1"/>
  <c r="J361" i="5"/>
  <c r="L360" i="5"/>
  <c r="K360" i="5"/>
  <c r="N360" i="5" s="1"/>
  <c r="J360" i="5"/>
  <c r="L359" i="5"/>
  <c r="K359" i="5"/>
  <c r="N359" i="5" s="1"/>
  <c r="J359" i="5"/>
  <c r="L358" i="5"/>
  <c r="K358" i="5"/>
  <c r="N358" i="5" s="1"/>
  <c r="J358" i="5"/>
  <c r="L357" i="5"/>
  <c r="K357" i="5"/>
  <c r="N357" i="5" s="1"/>
  <c r="J357" i="5"/>
  <c r="L356" i="5"/>
  <c r="K356" i="5"/>
  <c r="N356" i="5" s="1"/>
  <c r="J356" i="5"/>
  <c r="L355" i="5"/>
  <c r="K355" i="5"/>
  <c r="N355" i="5" s="1"/>
  <c r="J355" i="5"/>
  <c r="L354" i="5"/>
  <c r="K354" i="5"/>
  <c r="N354" i="5" s="1"/>
  <c r="J354" i="5"/>
  <c r="L353" i="5"/>
  <c r="K353" i="5"/>
  <c r="N353" i="5" s="1"/>
  <c r="J353" i="5"/>
  <c r="L352" i="5"/>
  <c r="K352" i="5"/>
  <c r="N352" i="5" s="1"/>
  <c r="J352" i="5"/>
  <c r="L351" i="5"/>
  <c r="K351" i="5"/>
  <c r="N351" i="5" s="1"/>
  <c r="J351" i="5"/>
  <c r="L350" i="5"/>
  <c r="K350" i="5"/>
  <c r="N350" i="5" s="1"/>
  <c r="J350" i="5"/>
  <c r="L349" i="5"/>
  <c r="K349" i="5"/>
  <c r="N349" i="5" s="1"/>
  <c r="J349" i="5"/>
  <c r="L348" i="5"/>
  <c r="K348" i="5"/>
  <c r="N348" i="5" s="1"/>
  <c r="J348" i="5"/>
  <c r="L347" i="5"/>
  <c r="K347" i="5"/>
  <c r="N347" i="5" s="1"/>
  <c r="J347" i="5"/>
  <c r="L344" i="5"/>
  <c r="K344" i="5"/>
  <c r="N344" i="5" s="1"/>
  <c r="J344" i="5"/>
  <c r="L341" i="5"/>
  <c r="K341" i="5"/>
  <c r="N341" i="5" s="1"/>
  <c r="J341" i="5"/>
  <c r="L340" i="5"/>
  <c r="K340" i="5"/>
  <c r="N340" i="5" s="1"/>
  <c r="J340" i="5"/>
  <c r="L339" i="5"/>
  <c r="K339" i="5"/>
  <c r="N339" i="5" s="1"/>
  <c r="J339" i="5"/>
  <c r="L338" i="5"/>
  <c r="K338" i="5"/>
  <c r="N338" i="5" s="1"/>
  <c r="J338" i="5"/>
  <c r="L336" i="5"/>
  <c r="K336" i="5"/>
  <c r="N336" i="5" s="1"/>
  <c r="J336" i="5"/>
  <c r="L335" i="5"/>
  <c r="K335" i="5"/>
  <c r="N335" i="5" s="1"/>
  <c r="J335" i="5"/>
  <c r="L334" i="5"/>
  <c r="K334" i="5"/>
  <c r="N334" i="5" s="1"/>
  <c r="J334" i="5"/>
  <c r="L333" i="5"/>
  <c r="K333" i="5"/>
  <c r="N333" i="5" s="1"/>
  <c r="J333" i="5"/>
  <c r="L332" i="5"/>
  <c r="K332" i="5"/>
  <c r="N332" i="5" s="1"/>
  <c r="J332" i="5"/>
  <c r="L331" i="5"/>
  <c r="K331" i="5"/>
  <c r="N331" i="5" s="1"/>
  <c r="J331" i="5"/>
  <c r="L330" i="5"/>
  <c r="K330" i="5"/>
  <c r="N330" i="5" s="1"/>
  <c r="J330" i="5"/>
  <c r="L329" i="5"/>
  <c r="K329" i="5"/>
  <c r="N329" i="5" s="1"/>
  <c r="J329" i="5"/>
  <c r="L328" i="5"/>
  <c r="K328" i="5"/>
  <c r="N328" i="5" s="1"/>
  <c r="J328" i="5"/>
  <c r="L327" i="5"/>
  <c r="K327" i="5"/>
  <c r="N327" i="5" s="1"/>
  <c r="J327" i="5"/>
  <c r="L326" i="5"/>
  <c r="K326" i="5"/>
  <c r="N326" i="5" s="1"/>
  <c r="J326" i="5"/>
  <c r="L325" i="5"/>
  <c r="K325" i="5"/>
  <c r="N325" i="5" s="1"/>
  <c r="J325" i="5"/>
  <c r="L324" i="5"/>
  <c r="K324" i="5"/>
  <c r="N324" i="5" s="1"/>
  <c r="J324" i="5"/>
  <c r="L323" i="5"/>
  <c r="K323" i="5"/>
  <c r="N323" i="5" s="1"/>
  <c r="J323" i="5"/>
  <c r="L322" i="5"/>
  <c r="K322" i="5"/>
  <c r="N322" i="5" s="1"/>
  <c r="J322" i="5"/>
  <c r="L321" i="5"/>
  <c r="K321" i="5"/>
  <c r="N321" i="5" s="1"/>
  <c r="J321" i="5"/>
  <c r="L320" i="5"/>
  <c r="K320" i="5"/>
  <c r="N320" i="5" s="1"/>
  <c r="J320" i="5"/>
  <c r="L319" i="5"/>
  <c r="K319" i="5"/>
  <c r="N319" i="5" s="1"/>
  <c r="J319" i="5"/>
  <c r="L318" i="5"/>
  <c r="K318" i="5"/>
  <c r="N318" i="5" s="1"/>
  <c r="J318" i="5"/>
  <c r="L317" i="5"/>
  <c r="K317" i="5"/>
  <c r="N317" i="5" s="1"/>
  <c r="J317" i="5"/>
  <c r="L316" i="5"/>
  <c r="K316" i="5"/>
  <c r="N316" i="5" s="1"/>
  <c r="J316" i="5"/>
  <c r="L315" i="5"/>
  <c r="K315" i="5"/>
  <c r="N315" i="5" s="1"/>
  <c r="J315" i="5"/>
  <c r="L314" i="5"/>
  <c r="K314" i="5"/>
  <c r="N314" i="5" s="1"/>
  <c r="J314" i="5"/>
  <c r="L313" i="5"/>
  <c r="K313" i="5"/>
  <c r="N313" i="5" s="1"/>
  <c r="J313" i="5"/>
  <c r="L312" i="5"/>
  <c r="K312" i="5"/>
  <c r="N312" i="5" s="1"/>
  <c r="J312" i="5"/>
  <c r="L311" i="5"/>
  <c r="K311" i="5"/>
  <c r="N311" i="5" s="1"/>
  <c r="J311" i="5"/>
  <c r="L310" i="5"/>
  <c r="K310" i="5"/>
  <c r="N310" i="5" s="1"/>
  <c r="J310" i="5"/>
  <c r="L309" i="5"/>
  <c r="K309" i="5"/>
  <c r="N309" i="5" s="1"/>
  <c r="J309" i="5"/>
  <c r="L308" i="5"/>
  <c r="K308" i="5"/>
  <c r="N308" i="5" s="1"/>
  <c r="J308" i="5"/>
  <c r="L307" i="5"/>
  <c r="K307" i="5"/>
  <c r="N307" i="5" s="1"/>
  <c r="J307" i="5"/>
  <c r="L306" i="5"/>
  <c r="K306" i="5"/>
  <c r="N306" i="5" s="1"/>
  <c r="J306" i="5"/>
  <c r="L305" i="5"/>
  <c r="K305" i="5"/>
  <c r="N305" i="5" s="1"/>
  <c r="J305" i="5"/>
  <c r="L304" i="5"/>
  <c r="K304" i="5"/>
  <c r="N304" i="5" s="1"/>
  <c r="J304" i="5"/>
  <c r="L303" i="5"/>
  <c r="K303" i="5"/>
  <c r="N303" i="5" s="1"/>
  <c r="J303" i="5"/>
  <c r="L302" i="5"/>
  <c r="K302" i="5"/>
  <c r="N302" i="5" s="1"/>
  <c r="J302" i="5"/>
  <c r="L301" i="5"/>
  <c r="K301" i="5"/>
  <c r="N301" i="5" s="1"/>
  <c r="J301" i="5"/>
  <c r="L300" i="5"/>
  <c r="K300" i="5"/>
  <c r="N300" i="5" s="1"/>
  <c r="J300" i="5"/>
  <c r="L299" i="5"/>
  <c r="K299" i="5"/>
  <c r="N299" i="5" s="1"/>
  <c r="J299" i="5"/>
  <c r="L298" i="5"/>
  <c r="K298" i="5"/>
  <c r="N298" i="5" s="1"/>
  <c r="J298" i="5"/>
  <c r="L297" i="5"/>
  <c r="K297" i="5"/>
  <c r="N297" i="5" s="1"/>
  <c r="J297" i="5"/>
  <c r="L296" i="5"/>
  <c r="K296" i="5"/>
  <c r="N296" i="5" s="1"/>
  <c r="J296" i="5"/>
  <c r="L295" i="5"/>
  <c r="K295" i="5"/>
  <c r="N295" i="5" s="1"/>
  <c r="J295" i="5"/>
  <c r="L294" i="5"/>
  <c r="K294" i="5"/>
  <c r="N294" i="5" s="1"/>
  <c r="J294" i="5"/>
  <c r="L293" i="5"/>
  <c r="K293" i="5"/>
  <c r="N293" i="5" s="1"/>
  <c r="J293" i="5"/>
  <c r="L292" i="5"/>
  <c r="K292" i="5"/>
  <c r="N292" i="5" s="1"/>
  <c r="J292" i="5"/>
  <c r="L291" i="5"/>
  <c r="K291" i="5"/>
  <c r="N291" i="5" s="1"/>
  <c r="J291" i="5"/>
  <c r="L290" i="5"/>
  <c r="K290" i="5"/>
  <c r="N290" i="5" s="1"/>
  <c r="J290" i="5"/>
  <c r="L289" i="5"/>
  <c r="K289" i="5"/>
  <c r="N289" i="5" s="1"/>
  <c r="J289" i="5"/>
  <c r="L288" i="5"/>
  <c r="K288" i="5"/>
  <c r="N288" i="5" s="1"/>
  <c r="J288" i="5"/>
  <c r="L287" i="5"/>
  <c r="K287" i="5"/>
  <c r="N287" i="5" s="1"/>
  <c r="J287" i="5"/>
  <c r="L286" i="5"/>
  <c r="K286" i="5"/>
  <c r="N286" i="5" s="1"/>
  <c r="J286" i="5"/>
  <c r="L285" i="5"/>
  <c r="K285" i="5"/>
  <c r="N285" i="5" s="1"/>
  <c r="J285" i="5"/>
  <c r="L284" i="5"/>
  <c r="K284" i="5"/>
  <c r="N284" i="5" s="1"/>
  <c r="J284" i="5"/>
  <c r="L283" i="5"/>
  <c r="K283" i="5"/>
  <c r="N283" i="5" s="1"/>
  <c r="J283" i="5"/>
  <c r="L282" i="5"/>
  <c r="K282" i="5"/>
  <c r="N282" i="5" s="1"/>
  <c r="J282" i="5"/>
  <c r="L281" i="5"/>
  <c r="K281" i="5"/>
  <c r="N281" i="5" s="1"/>
  <c r="J281" i="5"/>
  <c r="L280" i="5"/>
  <c r="K280" i="5"/>
  <c r="N280" i="5" s="1"/>
  <c r="J280" i="5"/>
  <c r="L279" i="5"/>
  <c r="K279" i="5"/>
  <c r="N279" i="5" s="1"/>
  <c r="J279" i="5"/>
  <c r="L278" i="5"/>
  <c r="K278" i="5"/>
  <c r="N278" i="5" s="1"/>
  <c r="J278" i="5"/>
  <c r="L277" i="5"/>
  <c r="K277" i="5"/>
  <c r="N277" i="5" s="1"/>
  <c r="J277" i="5"/>
  <c r="L276" i="5"/>
  <c r="K276" i="5"/>
  <c r="N276" i="5" s="1"/>
  <c r="J276" i="5"/>
  <c r="L275" i="5"/>
  <c r="K275" i="5"/>
  <c r="N275" i="5" s="1"/>
  <c r="J275" i="5"/>
  <c r="L274" i="5"/>
  <c r="K274" i="5"/>
  <c r="N274" i="5" s="1"/>
  <c r="J274" i="5"/>
  <c r="L273" i="5"/>
  <c r="K273" i="5"/>
  <c r="N273" i="5" s="1"/>
  <c r="J273" i="5"/>
  <c r="L272" i="5"/>
  <c r="K272" i="5"/>
  <c r="N272" i="5" s="1"/>
  <c r="J272" i="5"/>
  <c r="L271" i="5"/>
  <c r="K271" i="5"/>
  <c r="N271" i="5" s="1"/>
  <c r="J271" i="5"/>
  <c r="L270" i="5"/>
  <c r="K270" i="5"/>
  <c r="N270" i="5" s="1"/>
  <c r="J270" i="5"/>
  <c r="L269" i="5"/>
  <c r="K269" i="5"/>
  <c r="N269" i="5" s="1"/>
  <c r="J269" i="5"/>
  <c r="L268" i="5"/>
  <c r="K268" i="5"/>
  <c r="N268" i="5" s="1"/>
  <c r="J268" i="5"/>
  <c r="L267" i="5"/>
  <c r="K267" i="5"/>
  <c r="N267" i="5" s="1"/>
  <c r="J267" i="5"/>
  <c r="L266" i="5"/>
  <c r="K266" i="5"/>
  <c r="N266" i="5" s="1"/>
  <c r="J266" i="5"/>
  <c r="L265" i="5"/>
  <c r="K265" i="5"/>
  <c r="N265" i="5" s="1"/>
  <c r="J265" i="5"/>
  <c r="L264" i="5"/>
  <c r="K264" i="5"/>
  <c r="N264" i="5" s="1"/>
  <c r="J264" i="5"/>
  <c r="L263" i="5"/>
  <c r="K263" i="5"/>
  <c r="N263" i="5" s="1"/>
  <c r="J263" i="5"/>
  <c r="L244" i="5"/>
  <c r="K244" i="5"/>
  <c r="N244" i="5" s="1"/>
  <c r="J244" i="5"/>
  <c r="L239" i="5"/>
  <c r="K239" i="5"/>
  <c r="N239" i="5" s="1"/>
  <c r="J239" i="5"/>
  <c r="L236" i="5"/>
  <c r="K236" i="5"/>
  <c r="N236" i="5" s="1"/>
  <c r="J236" i="5"/>
  <c r="L234" i="5"/>
  <c r="K234" i="5"/>
  <c r="N234" i="5" s="1"/>
  <c r="J234" i="5"/>
  <c r="L230" i="5"/>
  <c r="K230" i="5"/>
  <c r="N230" i="5" s="1"/>
  <c r="J230" i="5"/>
  <c r="L229" i="5"/>
  <c r="K229" i="5"/>
  <c r="N229" i="5" s="1"/>
  <c r="J229" i="5"/>
  <c r="L228" i="5"/>
  <c r="K228" i="5"/>
  <c r="N228" i="5" s="1"/>
  <c r="J228" i="5"/>
  <c r="L227" i="5"/>
  <c r="K227" i="5"/>
  <c r="N227" i="5" s="1"/>
  <c r="J227" i="5"/>
  <c r="L226" i="5"/>
  <c r="K226" i="5"/>
  <c r="N226" i="5" s="1"/>
  <c r="J226" i="5"/>
  <c r="L223" i="5"/>
  <c r="K223" i="5"/>
  <c r="N223" i="5" s="1"/>
  <c r="J223" i="5"/>
  <c r="L222" i="5"/>
  <c r="K222" i="5"/>
  <c r="N222" i="5" s="1"/>
  <c r="J222" i="5"/>
  <c r="L220" i="5"/>
  <c r="K220" i="5"/>
  <c r="N220" i="5" s="1"/>
  <c r="J220" i="5"/>
  <c r="L219" i="5"/>
  <c r="K219" i="5"/>
  <c r="N219" i="5" s="1"/>
  <c r="J219" i="5"/>
  <c r="L217" i="5"/>
  <c r="K217" i="5"/>
  <c r="N217" i="5" s="1"/>
  <c r="J217" i="5"/>
  <c r="L216" i="5"/>
  <c r="K216" i="5"/>
  <c r="N216" i="5" s="1"/>
  <c r="J216" i="5"/>
  <c r="L215" i="5"/>
  <c r="K215" i="5"/>
  <c r="N215" i="5" s="1"/>
  <c r="J215" i="5"/>
  <c r="L214" i="5"/>
  <c r="K214" i="5"/>
  <c r="N214" i="5" s="1"/>
  <c r="J214" i="5"/>
  <c r="L213" i="5"/>
  <c r="K213" i="5"/>
  <c r="N213" i="5" s="1"/>
  <c r="J213" i="5"/>
  <c r="L211" i="5"/>
  <c r="K211" i="5"/>
  <c r="N211" i="5" s="1"/>
  <c r="J211" i="5"/>
  <c r="L210" i="5"/>
  <c r="K210" i="5"/>
  <c r="N210" i="5" s="1"/>
  <c r="J210" i="5"/>
  <c r="L209" i="5"/>
  <c r="K209" i="5"/>
  <c r="N209" i="5" s="1"/>
  <c r="J209" i="5"/>
  <c r="L208" i="5"/>
  <c r="K208" i="5"/>
  <c r="N208" i="5" s="1"/>
  <c r="J208" i="5"/>
  <c r="L207" i="5"/>
  <c r="K207" i="5"/>
  <c r="N207" i="5" s="1"/>
  <c r="J207" i="5"/>
  <c r="L206" i="5"/>
  <c r="K206" i="5"/>
  <c r="N206" i="5" s="1"/>
  <c r="J206" i="5"/>
  <c r="L204" i="5"/>
  <c r="K204" i="5"/>
  <c r="N204" i="5" s="1"/>
  <c r="J204" i="5"/>
  <c r="L203" i="5"/>
  <c r="K203" i="5"/>
  <c r="N203" i="5" s="1"/>
  <c r="J203" i="5"/>
  <c r="L202" i="5"/>
  <c r="K202" i="5"/>
  <c r="N202" i="5" s="1"/>
  <c r="J202" i="5"/>
  <c r="L201" i="5"/>
  <c r="K201" i="5"/>
  <c r="N201" i="5" s="1"/>
  <c r="J201" i="5"/>
  <c r="L200" i="5"/>
  <c r="K200" i="5"/>
  <c r="N200" i="5" s="1"/>
  <c r="J200" i="5"/>
  <c r="L199" i="5"/>
  <c r="K199" i="5"/>
  <c r="N199" i="5" s="1"/>
  <c r="J199" i="5"/>
  <c r="L183" i="5"/>
  <c r="K183" i="5"/>
  <c r="N183" i="5" s="1"/>
  <c r="J183" i="5"/>
  <c r="L182" i="5"/>
  <c r="K182" i="5"/>
  <c r="N182" i="5" s="1"/>
  <c r="J182" i="5"/>
  <c r="L181" i="5"/>
  <c r="K181" i="5"/>
  <c r="N181" i="5" s="1"/>
  <c r="J181" i="5"/>
  <c r="L180" i="5"/>
  <c r="K180" i="5"/>
  <c r="N180" i="5" s="1"/>
  <c r="J180" i="5"/>
  <c r="L178" i="5"/>
  <c r="K178" i="5"/>
  <c r="N178" i="5" s="1"/>
  <c r="J178" i="5"/>
  <c r="L175" i="5"/>
  <c r="K175" i="5"/>
  <c r="N175" i="5" s="1"/>
  <c r="J175" i="5"/>
  <c r="L174" i="5"/>
  <c r="K174" i="5"/>
  <c r="N174" i="5" s="1"/>
  <c r="J174" i="5"/>
  <c r="L173" i="5"/>
  <c r="K173" i="5"/>
  <c r="N173" i="5" s="1"/>
  <c r="J173" i="5"/>
  <c r="L171" i="5"/>
  <c r="K171" i="5"/>
  <c r="N171" i="5" s="1"/>
  <c r="J171" i="5"/>
  <c r="L169" i="5"/>
  <c r="K169" i="5"/>
  <c r="N169" i="5" s="1"/>
  <c r="J169" i="5"/>
  <c r="L168" i="5"/>
  <c r="K168" i="5"/>
  <c r="N168" i="5" s="1"/>
  <c r="J168" i="5"/>
  <c r="L167" i="5"/>
  <c r="K167" i="5"/>
  <c r="N167" i="5" s="1"/>
  <c r="J167" i="5"/>
  <c r="L166" i="5"/>
  <c r="K166" i="5"/>
  <c r="N166" i="5" s="1"/>
  <c r="J166" i="5"/>
  <c r="L165" i="5"/>
  <c r="K165" i="5"/>
  <c r="N165" i="5" s="1"/>
  <c r="J165" i="5"/>
  <c r="L164" i="5"/>
  <c r="K164" i="5"/>
  <c r="N164" i="5" s="1"/>
  <c r="J164" i="5"/>
  <c r="L163" i="5"/>
  <c r="K163" i="5"/>
  <c r="N163" i="5" s="1"/>
  <c r="J163" i="5"/>
  <c r="L161" i="5"/>
  <c r="K161" i="5"/>
  <c r="N161" i="5" s="1"/>
  <c r="J161" i="5"/>
  <c r="L160" i="5"/>
  <c r="K160" i="5"/>
  <c r="N160" i="5" s="1"/>
  <c r="J160" i="5"/>
  <c r="L159" i="5"/>
  <c r="K159" i="5"/>
  <c r="N159" i="5" s="1"/>
  <c r="J159" i="5"/>
  <c r="L158" i="5"/>
  <c r="K158" i="5"/>
  <c r="N158" i="5" s="1"/>
  <c r="J158" i="5"/>
  <c r="L155" i="5"/>
  <c r="K155" i="5"/>
  <c r="N155" i="5" s="1"/>
  <c r="J155" i="5"/>
  <c r="L153" i="5"/>
  <c r="K153" i="5"/>
  <c r="N153" i="5" s="1"/>
  <c r="J153" i="5"/>
  <c r="L152" i="5"/>
  <c r="K152" i="5"/>
  <c r="N152" i="5" s="1"/>
  <c r="J152" i="5"/>
  <c r="L151" i="5"/>
  <c r="K151" i="5"/>
  <c r="N151" i="5" s="1"/>
  <c r="J151" i="5"/>
  <c r="L150" i="5"/>
  <c r="K150" i="5"/>
  <c r="N150" i="5" s="1"/>
  <c r="J150" i="5"/>
  <c r="L148" i="5"/>
  <c r="K148" i="5"/>
  <c r="N148" i="5" s="1"/>
  <c r="J148" i="5"/>
  <c r="L146" i="5"/>
  <c r="K146" i="5"/>
  <c r="N146" i="5" s="1"/>
  <c r="J146" i="5"/>
  <c r="L145" i="5"/>
  <c r="K145" i="5"/>
  <c r="N145" i="5" s="1"/>
  <c r="J145" i="5"/>
  <c r="L144" i="5"/>
  <c r="K144" i="5"/>
  <c r="N144" i="5" s="1"/>
  <c r="J144" i="5"/>
  <c r="L143" i="5"/>
  <c r="K143" i="5"/>
  <c r="N143" i="5" s="1"/>
  <c r="J143" i="5"/>
  <c r="L141" i="5"/>
  <c r="K141" i="5"/>
  <c r="N141" i="5" s="1"/>
  <c r="J141" i="5"/>
  <c r="L140" i="5"/>
  <c r="K140" i="5"/>
  <c r="N140" i="5" s="1"/>
  <c r="J140" i="5"/>
  <c r="L138" i="5"/>
  <c r="K138" i="5"/>
  <c r="N138" i="5" s="1"/>
  <c r="J138" i="5"/>
  <c r="L136" i="5"/>
  <c r="K136" i="5"/>
  <c r="N136" i="5" s="1"/>
  <c r="J136" i="5"/>
  <c r="L135" i="5"/>
  <c r="K135" i="5"/>
  <c r="N135" i="5" s="1"/>
  <c r="J135" i="5"/>
  <c r="L133" i="5"/>
  <c r="K133" i="5"/>
  <c r="N133" i="5" s="1"/>
  <c r="J133" i="5"/>
  <c r="L132" i="5"/>
  <c r="K132" i="5"/>
  <c r="N132" i="5" s="1"/>
  <c r="J132" i="5"/>
  <c r="L131" i="5"/>
  <c r="K131" i="5"/>
  <c r="N131" i="5" s="1"/>
  <c r="J131" i="5"/>
  <c r="L129" i="5"/>
  <c r="K129" i="5"/>
  <c r="N129" i="5" s="1"/>
  <c r="J129" i="5"/>
  <c r="L128" i="5"/>
  <c r="K128" i="5"/>
  <c r="N128" i="5" s="1"/>
  <c r="J128" i="5"/>
  <c r="L127" i="5"/>
  <c r="K127" i="5"/>
  <c r="N127" i="5" s="1"/>
  <c r="J127" i="5"/>
  <c r="L125" i="5"/>
  <c r="K125" i="5"/>
  <c r="N125" i="5" s="1"/>
  <c r="J125" i="5"/>
  <c r="L124" i="5"/>
  <c r="K124" i="5"/>
  <c r="N124" i="5" s="1"/>
  <c r="J124" i="5"/>
  <c r="L123" i="5"/>
  <c r="K123" i="5"/>
  <c r="N123" i="5" s="1"/>
  <c r="J123" i="5"/>
  <c r="L122" i="5"/>
  <c r="K122" i="5"/>
  <c r="N122" i="5" s="1"/>
  <c r="J122" i="5"/>
  <c r="L121" i="5"/>
  <c r="K121" i="5"/>
  <c r="N121" i="5" s="1"/>
  <c r="J121" i="5"/>
  <c r="L119" i="5"/>
  <c r="K119" i="5"/>
  <c r="N119" i="5" s="1"/>
  <c r="J119" i="5"/>
  <c r="L118" i="5"/>
  <c r="K118" i="5"/>
  <c r="N118" i="5" s="1"/>
  <c r="J118" i="5"/>
  <c r="L116" i="5"/>
  <c r="K116" i="5"/>
  <c r="N116" i="5" s="1"/>
  <c r="J116" i="5"/>
  <c r="L115" i="5"/>
  <c r="K115" i="5"/>
  <c r="N115" i="5" s="1"/>
  <c r="J115" i="5"/>
  <c r="L114" i="5"/>
  <c r="K114" i="5"/>
  <c r="N114" i="5" s="1"/>
  <c r="J114" i="5"/>
  <c r="L113" i="5"/>
  <c r="K113" i="5"/>
  <c r="N113" i="5" s="1"/>
  <c r="J113" i="5"/>
  <c r="L111" i="5"/>
  <c r="K111" i="5"/>
  <c r="N111" i="5" s="1"/>
  <c r="J111" i="5"/>
  <c r="L110" i="5"/>
  <c r="K110" i="5"/>
  <c r="N110" i="5" s="1"/>
  <c r="J110" i="5"/>
  <c r="L107" i="5"/>
  <c r="K107" i="5"/>
  <c r="N107" i="5" s="1"/>
  <c r="J107" i="5"/>
  <c r="L106" i="5"/>
  <c r="K106" i="5"/>
  <c r="N106" i="5" s="1"/>
  <c r="J106" i="5"/>
  <c r="L105" i="5"/>
  <c r="K105" i="5"/>
  <c r="N105" i="5" s="1"/>
  <c r="J105" i="5"/>
  <c r="L104" i="5"/>
  <c r="K104" i="5"/>
  <c r="N104" i="5" s="1"/>
  <c r="J104" i="5"/>
  <c r="L103" i="5"/>
  <c r="K103" i="5"/>
  <c r="N103" i="5" s="1"/>
  <c r="J103" i="5"/>
  <c r="L102" i="5"/>
  <c r="K102" i="5"/>
  <c r="N102" i="5" s="1"/>
  <c r="J102" i="5"/>
  <c r="L100" i="5"/>
  <c r="K100" i="5"/>
  <c r="N100" i="5" s="1"/>
  <c r="J100" i="5"/>
  <c r="L99" i="5"/>
  <c r="K99" i="5"/>
  <c r="N99" i="5" s="1"/>
  <c r="J99" i="5"/>
  <c r="L98" i="5"/>
  <c r="K98" i="5"/>
  <c r="N98" i="5" s="1"/>
  <c r="J98" i="5"/>
  <c r="L97" i="5"/>
  <c r="K97" i="5"/>
  <c r="N97" i="5" s="1"/>
  <c r="J97" i="5"/>
  <c r="L96" i="5"/>
  <c r="K96" i="5"/>
  <c r="N96" i="5" s="1"/>
  <c r="J96" i="5"/>
  <c r="L95" i="5"/>
  <c r="K95" i="5"/>
  <c r="N95" i="5" s="1"/>
  <c r="J95" i="5"/>
  <c r="L93" i="5"/>
  <c r="K93" i="5"/>
  <c r="N93" i="5" s="1"/>
  <c r="J93" i="5"/>
  <c r="L92" i="5"/>
  <c r="K92" i="5"/>
  <c r="N92" i="5" s="1"/>
  <c r="J92" i="5"/>
  <c r="L91" i="5"/>
  <c r="K91" i="5"/>
  <c r="N91" i="5" s="1"/>
  <c r="J91" i="5"/>
  <c r="L90" i="5"/>
  <c r="K90" i="5"/>
  <c r="N90" i="5" s="1"/>
  <c r="J90" i="5"/>
  <c r="L89" i="5"/>
  <c r="K89" i="5"/>
  <c r="N89" i="5" s="1"/>
  <c r="J89" i="5"/>
  <c r="L88" i="5"/>
  <c r="K88" i="5"/>
  <c r="N88" i="5" s="1"/>
  <c r="J88" i="5"/>
  <c r="L86" i="5"/>
  <c r="K86" i="5"/>
  <c r="N86" i="5" s="1"/>
  <c r="J86" i="5"/>
  <c r="L85" i="5"/>
  <c r="K85" i="5"/>
  <c r="N85" i="5" s="1"/>
  <c r="J85" i="5"/>
  <c r="L84" i="5"/>
  <c r="K84" i="5"/>
  <c r="N84" i="5" s="1"/>
  <c r="J84" i="5"/>
  <c r="L83" i="5"/>
  <c r="K83" i="5"/>
  <c r="N83" i="5" s="1"/>
  <c r="J83" i="5"/>
  <c r="L82" i="5"/>
  <c r="K82" i="5"/>
  <c r="N82" i="5" s="1"/>
  <c r="J82" i="5"/>
  <c r="L81" i="5"/>
  <c r="K81" i="5"/>
  <c r="N81" i="5" s="1"/>
  <c r="J81" i="5"/>
  <c r="L77" i="5"/>
  <c r="K77" i="5"/>
  <c r="N77" i="5" s="1"/>
  <c r="J77" i="5"/>
  <c r="L76" i="5"/>
  <c r="K76" i="5"/>
  <c r="N76" i="5" s="1"/>
  <c r="J76" i="5"/>
  <c r="L75" i="5"/>
  <c r="K75" i="5"/>
  <c r="N75" i="5" s="1"/>
  <c r="J75" i="5"/>
  <c r="L74" i="5"/>
  <c r="K74" i="5"/>
  <c r="N74" i="5" s="1"/>
  <c r="J74" i="5"/>
  <c r="L73" i="5"/>
  <c r="K73" i="5"/>
  <c r="N73" i="5" s="1"/>
  <c r="J73" i="5"/>
  <c r="L72" i="5"/>
  <c r="K72" i="5"/>
  <c r="N72" i="5" s="1"/>
  <c r="J72" i="5"/>
  <c r="L71" i="5"/>
  <c r="K71" i="5"/>
  <c r="N71" i="5" s="1"/>
  <c r="J71" i="5"/>
  <c r="L70" i="5"/>
  <c r="K70" i="5"/>
  <c r="N70" i="5" s="1"/>
  <c r="J70" i="5"/>
  <c r="L65" i="5"/>
  <c r="K65" i="5"/>
  <c r="N65" i="5" s="1"/>
  <c r="J65" i="5"/>
  <c r="L64" i="5"/>
  <c r="K64" i="5"/>
  <c r="N64" i="5" s="1"/>
  <c r="J64" i="5"/>
  <c r="L62" i="5"/>
  <c r="K62" i="5"/>
  <c r="N62" i="5" s="1"/>
  <c r="J62" i="5"/>
  <c r="L61" i="5"/>
  <c r="K61" i="5"/>
  <c r="N61" i="5" s="1"/>
  <c r="J61" i="5"/>
  <c r="L59" i="5"/>
  <c r="K59" i="5"/>
  <c r="N59" i="5" s="1"/>
  <c r="J59" i="5"/>
  <c r="L58" i="5"/>
  <c r="K58" i="5"/>
  <c r="N58" i="5" s="1"/>
  <c r="J58" i="5"/>
  <c r="L56" i="5"/>
  <c r="K56" i="5"/>
  <c r="N56" i="5" s="1"/>
  <c r="J56" i="5"/>
  <c r="L54" i="5"/>
  <c r="K54" i="5"/>
  <c r="N54" i="5" s="1"/>
  <c r="J54" i="5"/>
  <c r="L52" i="5"/>
  <c r="K52" i="5"/>
  <c r="N52" i="5" s="1"/>
  <c r="J52" i="5"/>
  <c r="L51" i="5"/>
  <c r="K51" i="5"/>
  <c r="N51" i="5" s="1"/>
  <c r="J51" i="5"/>
  <c r="L50" i="5"/>
  <c r="K50" i="5"/>
  <c r="N50" i="5" s="1"/>
  <c r="J50" i="5"/>
  <c r="L48" i="5"/>
  <c r="K48" i="5"/>
  <c r="N48" i="5" s="1"/>
  <c r="J48" i="5"/>
  <c r="L47" i="5"/>
  <c r="K47" i="5"/>
  <c r="N47" i="5" s="1"/>
  <c r="J47" i="5"/>
  <c r="L45" i="5"/>
  <c r="K45" i="5"/>
  <c r="N45" i="5" s="1"/>
  <c r="J45" i="5"/>
  <c r="L44" i="5"/>
  <c r="K44" i="5"/>
  <c r="N44" i="5" s="1"/>
  <c r="J44" i="5"/>
  <c r="L43" i="5"/>
  <c r="K43" i="5"/>
  <c r="N43" i="5" s="1"/>
  <c r="J43" i="5"/>
  <c r="L42" i="5"/>
  <c r="K42" i="5"/>
  <c r="N42" i="5" s="1"/>
  <c r="J42" i="5"/>
  <c r="L41" i="5"/>
  <c r="K41" i="5"/>
  <c r="N41" i="5" s="1"/>
  <c r="J41" i="5"/>
  <c r="L39" i="5"/>
  <c r="K39" i="5"/>
  <c r="N39" i="5" s="1"/>
  <c r="J39" i="5"/>
  <c r="L38" i="5"/>
  <c r="K38" i="5"/>
  <c r="N38" i="5" s="1"/>
  <c r="J38" i="5"/>
  <c r="L35" i="5"/>
  <c r="K35" i="5"/>
  <c r="N35" i="5" s="1"/>
  <c r="J35" i="5"/>
  <c r="L34" i="5"/>
  <c r="K34" i="5"/>
  <c r="N34" i="5" s="1"/>
  <c r="J34" i="5"/>
  <c r="L31" i="5"/>
  <c r="K31" i="5"/>
  <c r="N31" i="5" s="1"/>
  <c r="J31" i="5"/>
  <c r="L30" i="5"/>
  <c r="K30" i="5"/>
  <c r="N30" i="5" s="1"/>
  <c r="J30" i="5"/>
  <c r="L28" i="5"/>
  <c r="K28" i="5"/>
  <c r="N28" i="5" s="1"/>
  <c r="J28" i="5"/>
  <c r="L26" i="5"/>
  <c r="K26" i="5"/>
  <c r="N26" i="5" s="1"/>
  <c r="J26" i="5"/>
  <c r="L25" i="5"/>
  <c r="K25" i="5"/>
  <c r="N25" i="5" s="1"/>
  <c r="J25" i="5"/>
  <c r="L24" i="5"/>
  <c r="K24" i="5"/>
  <c r="N24" i="5" s="1"/>
  <c r="J24" i="5"/>
  <c r="L23" i="5"/>
  <c r="K23" i="5"/>
  <c r="N23" i="5" s="1"/>
  <c r="J23" i="5"/>
  <c r="L21" i="5"/>
  <c r="K21" i="5"/>
  <c r="N21" i="5" s="1"/>
  <c r="J21" i="5"/>
  <c r="L20" i="5"/>
  <c r="K20" i="5"/>
  <c r="N20" i="5" s="1"/>
  <c r="J20" i="5"/>
  <c r="L19" i="5"/>
  <c r="K19" i="5"/>
  <c r="N19" i="5" s="1"/>
  <c r="J19" i="5"/>
  <c r="L18" i="5"/>
  <c r="K18" i="5"/>
  <c r="N18" i="5" s="1"/>
  <c r="J18" i="5"/>
  <c r="L13" i="5"/>
  <c r="K13" i="5"/>
  <c r="N13" i="5" s="1"/>
  <c r="J13" i="5"/>
  <c r="L10" i="5"/>
  <c r="K10" i="5"/>
  <c r="N10" i="5" s="1"/>
  <c r="J10" i="5"/>
  <c r="L9" i="5"/>
  <c r="K9" i="5"/>
  <c r="N9" i="5" s="1"/>
  <c r="J9" i="5"/>
  <c r="L6" i="5"/>
  <c r="K6" i="5"/>
  <c r="N6" i="5" s="1"/>
  <c r="J6" i="5"/>
  <c r="L718" i="1"/>
  <c r="K718" i="1"/>
  <c r="N718" i="1" s="1"/>
  <c r="J718" i="1"/>
  <c r="L717" i="1"/>
  <c r="K717" i="1"/>
  <c r="N717" i="1" s="1"/>
  <c r="J717" i="1"/>
  <c r="L710" i="1"/>
  <c r="K710" i="1"/>
  <c r="N710" i="1" s="1"/>
  <c r="J710" i="1"/>
  <c r="L709" i="1"/>
  <c r="K709" i="1"/>
  <c r="N709" i="1" s="1"/>
  <c r="J709" i="1"/>
  <c r="L708" i="1"/>
  <c r="K708" i="1"/>
  <c r="N708" i="1" s="1"/>
  <c r="J708" i="1"/>
  <c r="L707" i="1"/>
  <c r="K707" i="1"/>
  <c r="N707" i="1" s="1"/>
  <c r="J707" i="1"/>
  <c r="L706" i="1"/>
  <c r="K706" i="1"/>
  <c r="N706" i="1" s="1"/>
  <c r="J706" i="1"/>
  <c r="L705" i="1"/>
  <c r="K705" i="1"/>
  <c r="N705" i="1" s="1"/>
  <c r="J705" i="1"/>
  <c r="L704" i="1"/>
  <c r="K704" i="1"/>
  <c r="N704" i="1" s="1"/>
  <c r="J704" i="1"/>
  <c r="L703" i="1"/>
  <c r="K703" i="1"/>
  <c r="N703" i="1" s="1"/>
  <c r="J703" i="1"/>
  <c r="L702" i="1"/>
  <c r="K702" i="1"/>
  <c r="N702" i="1" s="1"/>
  <c r="J702" i="1"/>
  <c r="L701" i="1"/>
  <c r="K701" i="1"/>
  <c r="N701" i="1" s="1"/>
  <c r="J701" i="1"/>
  <c r="L700" i="1"/>
  <c r="K700" i="1"/>
  <c r="N700" i="1" s="1"/>
  <c r="J700" i="1"/>
  <c r="L695" i="1"/>
  <c r="K695" i="1"/>
  <c r="N695" i="1" s="1"/>
  <c r="J695" i="1"/>
  <c r="L680" i="1"/>
  <c r="K680" i="1"/>
  <c r="N680" i="1" s="1"/>
  <c r="J680" i="1"/>
  <c r="L679" i="1"/>
  <c r="K679" i="1"/>
  <c r="N679" i="1" s="1"/>
  <c r="J679" i="1"/>
  <c r="L678" i="1"/>
  <c r="K678" i="1"/>
  <c r="N678" i="1" s="1"/>
  <c r="J678" i="1"/>
  <c r="L677" i="1"/>
  <c r="K677" i="1"/>
  <c r="N677" i="1" s="1"/>
  <c r="J677" i="1"/>
  <c r="L676" i="1"/>
  <c r="K676" i="1"/>
  <c r="N676" i="1" s="1"/>
  <c r="J676" i="1"/>
  <c r="L675" i="1"/>
  <c r="K675" i="1"/>
  <c r="N675" i="1" s="1"/>
  <c r="J675" i="1"/>
  <c r="L674" i="1"/>
  <c r="K674" i="1"/>
  <c r="N674" i="1" s="1"/>
  <c r="J674" i="1"/>
  <c r="L673" i="1"/>
  <c r="K673" i="1"/>
  <c r="N673" i="1" s="1"/>
  <c r="J673" i="1"/>
  <c r="L672" i="1"/>
  <c r="K672" i="1"/>
  <c r="N672" i="1" s="1"/>
  <c r="J672" i="1"/>
  <c r="L671" i="1"/>
  <c r="K671" i="1"/>
  <c r="N671" i="1" s="1"/>
  <c r="J671" i="1"/>
  <c r="L670" i="1"/>
  <c r="K670" i="1"/>
  <c r="N670" i="1" s="1"/>
  <c r="J670" i="1"/>
  <c r="L669" i="1"/>
  <c r="K669" i="1"/>
  <c r="N669" i="1" s="1"/>
  <c r="J669" i="1"/>
  <c r="L668" i="1"/>
  <c r="K668" i="1"/>
  <c r="N668" i="1" s="1"/>
  <c r="J668" i="1"/>
  <c r="L667" i="1"/>
  <c r="K667" i="1"/>
  <c r="N667" i="1" s="1"/>
  <c r="J667" i="1"/>
  <c r="L666" i="1"/>
  <c r="K666" i="1"/>
  <c r="N666" i="1" s="1"/>
  <c r="J666" i="1"/>
  <c r="L665" i="1"/>
  <c r="K665" i="1"/>
  <c r="N665" i="1" s="1"/>
  <c r="J665" i="1"/>
  <c r="L664" i="1"/>
  <c r="K664" i="1"/>
  <c r="N664" i="1" s="1"/>
  <c r="J664" i="1"/>
  <c r="L663" i="1"/>
  <c r="K663" i="1"/>
  <c r="N663" i="1" s="1"/>
  <c r="J663" i="1"/>
  <c r="L662" i="1"/>
  <c r="K662" i="1"/>
  <c r="N662" i="1" s="1"/>
  <c r="J662" i="1"/>
  <c r="L661" i="1"/>
  <c r="K661" i="1"/>
  <c r="N661" i="1" s="1"/>
  <c r="J661" i="1"/>
  <c r="L660" i="1"/>
  <c r="K660" i="1"/>
  <c r="N660" i="1" s="1"/>
  <c r="J660" i="1"/>
  <c r="L659" i="1"/>
  <c r="K659" i="1"/>
  <c r="N659" i="1" s="1"/>
  <c r="J659" i="1"/>
  <c r="L658" i="1"/>
  <c r="K658" i="1"/>
  <c r="N658" i="1" s="1"/>
  <c r="J658" i="1"/>
  <c r="L657" i="1"/>
  <c r="K657" i="1"/>
  <c r="N657" i="1" s="1"/>
  <c r="J657" i="1"/>
  <c r="L656" i="1"/>
  <c r="K656" i="1"/>
  <c r="N656" i="1" s="1"/>
  <c r="J656" i="1"/>
  <c r="L655" i="1"/>
  <c r="K655" i="1"/>
  <c r="N655" i="1" s="1"/>
  <c r="J655" i="1"/>
  <c r="L654" i="1"/>
  <c r="K654" i="1"/>
  <c r="N654" i="1" s="1"/>
  <c r="J654" i="1"/>
  <c r="L653" i="1"/>
  <c r="K653" i="1"/>
  <c r="N653" i="1" s="1"/>
  <c r="J653" i="1"/>
  <c r="L652" i="1"/>
  <c r="K652" i="1"/>
  <c r="N652" i="1" s="1"/>
  <c r="J652" i="1"/>
  <c r="L651" i="1"/>
  <c r="K651" i="1"/>
  <c r="N651" i="1" s="1"/>
  <c r="J651" i="1"/>
  <c r="L650" i="1"/>
  <c r="K650" i="1"/>
  <c r="N650" i="1" s="1"/>
  <c r="J650" i="1"/>
  <c r="L649" i="1"/>
  <c r="K649" i="1"/>
  <c r="N649" i="1" s="1"/>
  <c r="J649" i="1"/>
  <c r="L648" i="1"/>
  <c r="K648" i="1"/>
  <c r="N648" i="1" s="1"/>
  <c r="J648" i="1"/>
  <c r="L647" i="1"/>
  <c r="K647" i="1"/>
  <c r="N647" i="1" s="1"/>
  <c r="J647" i="1"/>
  <c r="L646" i="1"/>
  <c r="K646" i="1"/>
  <c r="N646" i="1" s="1"/>
  <c r="J646" i="1"/>
  <c r="L645" i="1"/>
  <c r="K645" i="1"/>
  <c r="N645" i="1" s="1"/>
  <c r="J645" i="1"/>
  <c r="L644" i="1"/>
  <c r="K644" i="1"/>
  <c r="N644" i="1" s="1"/>
  <c r="J644" i="1"/>
  <c r="L643" i="1"/>
  <c r="K643" i="1"/>
  <c r="N643" i="1" s="1"/>
  <c r="J643" i="1"/>
  <c r="L642" i="1"/>
  <c r="K642" i="1"/>
  <c r="N642" i="1" s="1"/>
  <c r="J642" i="1"/>
  <c r="L641" i="1"/>
  <c r="K641" i="1"/>
  <c r="N641" i="1" s="1"/>
  <c r="J641" i="1"/>
  <c r="L640" i="1"/>
  <c r="K640" i="1"/>
  <c r="N640" i="1" s="1"/>
  <c r="J640" i="1"/>
  <c r="L639" i="1"/>
  <c r="K639" i="1"/>
  <c r="N639" i="1" s="1"/>
  <c r="J639" i="1"/>
  <c r="L638" i="1"/>
  <c r="K638" i="1"/>
  <c r="N638" i="1" s="1"/>
  <c r="J638" i="1"/>
  <c r="L637" i="1"/>
  <c r="K637" i="1"/>
  <c r="N637" i="1" s="1"/>
  <c r="J637" i="1"/>
  <c r="L636" i="1"/>
  <c r="K636" i="1"/>
  <c r="N636" i="1" s="1"/>
  <c r="J636" i="1"/>
  <c r="L634" i="1"/>
  <c r="K634" i="1"/>
  <c r="N634" i="1" s="1"/>
  <c r="J634" i="1"/>
  <c r="L633" i="1"/>
  <c r="K633" i="1"/>
  <c r="N633" i="1" s="1"/>
  <c r="J633" i="1"/>
  <c r="L629" i="1"/>
  <c r="K629" i="1"/>
  <c r="N629" i="1" s="1"/>
  <c r="J629" i="1"/>
  <c r="L628" i="1"/>
  <c r="K628" i="1"/>
  <c r="N628" i="1" s="1"/>
  <c r="J628" i="1"/>
  <c r="L627" i="1"/>
  <c r="K627" i="1"/>
  <c r="N627" i="1" s="1"/>
  <c r="J627" i="1"/>
  <c r="L626" i="1"/>
  <c r="K626" i="1"/>
  <c r="N626" i="1" s="1"/>
  <c r="J626" i="1"/>
  <c r="L624" i="1"/>
  <c r="K624" i="1"/>
  <c r="N624" i="1" s="1"/>
  <c r="J624" i="1"/>
  <c r="L623" i="1"/>
  <c r="K623" i="1"/>
  <c r="N623" i="1" s="1"/>
  <c r="J623" i="1"/>
  <c r="L622" i="1"/>
  <c r="K622" i="1"/>
  <c r="N622" i="1" s="1"/>
  <c r="J622" i="1"/>
  <c r="L621" i="1"/>
  <c r="K621" i="1"/>
  <c r="N621" i="1" s="1"/>
  <c r="J621" i="1"/>
  <c r="L618" i="1"/>
  <c r="K618" i="1"/>
  <c r="N618" i="1" s="1"/>
  <c r="J618" i="1"/>
  <c r="L615" i="1"/>
  <c r="K615" i="1"/>
  <c r="N615" i="1" s="1"/>
  <c r="J615" i="1"/>
  <c r="L614" i="1"/>
  <c r="K614" i="1"/>
  <c r="N614" i="1" s="1"/>
  <c r="J614" i="1"/>
  <c r="L613" i="1"/>
  <c r="K613" i="1"/>
  <c r="N613" i="1" s="1"/>
  <c r="J613" i="1"/>
  <c r="L612" i="1"/>
  <c r="K612" i="1"/>
  <c r="N612" i="1" s="1"/>
  <c r="J612" i="1"/>
  <c r="L611" i="1"/>
  <c r="K611" i="1"/>
  <c r="N611" i="1" s="1"/>
  <c r="J611" i="1"/>
  <c r="L610" i="1"/>
  <c r="K610" i="1"/>
  <c r="N610" i="1" s="1"/>
  <c r="J610" i="1"/>
  <c r="L609" i="1"/>
  <c r="K609" i="1"/>
  <c r="N609" i="1" s="1"/>
  <c r="J609" i="1"/>
  <c r="L608" i="1"/>
  <c r="K608" i="1"/>
  <c r="N608" i="1" s="1"/>
  <c r="J608" i="1"/>
  <c r="L607" i="1"/>
  <c r="K607" i="1"/>
  <c r="N607" i="1" s="1"/>
  <c r="J607" i="1"/>
  <c r="L606" i="1"/>
  <c r="K606" i="1"/>
  <c r="N606" i="1" s="1"/>
  <c r="J606" i="1"/>
  <c r="L605" i="1"/>
  <c r="K605" i="1"/>
  <c r="N605" i="1" s="1"/>
  <c r="J605" i="1"/>
  <c r="L604" i="1"/>
  <c r="K604" i="1"/>
  <c r="N604" i="1" s="1"/>
  <c r="J604" i="1"/>
  <c r="L603" i="1"/>
  <c r="K603" i="1"/>
  <c r="N603" i="1" s="1"/>
  <c r="J603" i="1"/>
  <c r="L602" i="1"/>
  <c r="K602" i="1"/>
  <c r="N602" i="1" s="1"/>
  <c r="J602" i="1"/>
  <c r="L601" i="1"/>
  <c r="K601" i="1"/>
  <c r="N601" i="1" s="1"/>
  <c r="J601" i="1"/>
  <c r="L600" i="1"/>
  <c r="K600" i="1"/>
  <c r="N600" i="1" s="1"/>
  <c r="J600" i="1"/>
  <c r="L599" i="1"/>
  <c r="K599" i="1"/>
  <c r="N599" i="1" s="1"/>
  <c r="J599" i="1"/>
  <c r="L598" i="1"/>
  <c r="K598" i="1"/>
  <c r="N598" i="1" s="1"/>
  <c r="J598" i="1"/>
  <c r="L597" i="1"/>
  <c r="K597" i="1"/>
  <c r="N597" i="1" s="1"/>
  <c r="J597" i="1"/>
  <c r="L596" i="1"/>
  <c r="K596" i="1"/>
  <c r="N596" i="1" s="1"/>
  <c r="J596" i="1"/>
  <c r="L595" i="1"/>
  <c r="K595" i="1"/>
  <c r="N595" i="1" s="1"/>
  <c r="J595" i="1"/>
  <c r="L594" i="1"/>
  <c r="K594" i="1"/>
  <c r="N594" i="1" s="1"/>
  <c r="J594" i="1"/>
  <c r="L593" i="1"/>
  <c r="K593" i="1"/>
  <c r="N593" i="1" s="1"/>
  <c r="J593" i="1"/>
  <c r="L592" i="1"/>
  <c r="K592" i="1"/>
  <c r="N592" i="1" s="1"/>
  <c r="J592" i="1"/>
  <c r="L591" i="1"/>
  <c r="K591" i="1"/>
  <c r="N591" i="1" s="1"/>
  <c r="J591" i="1"/>
  <c r="L590" i="1"/>
  <c r="K590" i="1"/>
  <c r="N590" i="1" s="1"/>
  <c r="J590" i="1"/>
  <c r="L589" i="1"/>
  <c r="K589" i="1"/>
  <c r="N589" i="1" s="1"/>
  <c r="J589" i="1"/>
  <c r="L588" i="1"/>
  <c r="K588" i="1"/>
  <c r="N588" i="1" s="1"/>
  <c r="J588" i="1"/>
  <c r="L587" i="1"/>
  <c r="K587" i="1"/>
  <c r="N587" i="1" s="1"/>
  <c r="J587" i="1"/>
  <c r="L586" i="1"/>
  <c r="K586" i="1"/>
  <c r="N586" i="1" s="1"/>
  <c r="J586" i="1"/>
  <c r="L585" i="1"/>
  <c r="K585" i="1"/>
  <c r="N585" i="1" s="1"/>
  <c r="J585" i="1"/>
  <c r="L584" i="1"/>
  <c r="K584" i="1"/>
  <c r="N584" i="1" s="1"/>
  <c r="J584" i="1"/>
  <c r="L583" i="1"/>
  <c r="K583" i="1"/>
  <c r="N583" i="1" s="1"/>
  <c r="J583" i="1"/>
  <c r="L582" i="1"/>
  <c r="K582" i="1"/>
  <c r="N582" i="1" s="1"/>
  <c r="J582" i="1"/>
  <c r="L581" i="1"/>
  <c r="K581" i="1"/>
  <c r="N581" i="1" s="1"/>
  <c r="J581" i="1"/>
  <c r="L580" i="1"/>
  <c r="K580" i="1"/>
  <c r="N580" i="1" s="1"/>
  <c r="J580" i="1"/>
  <c r="L579" i="1"/>
  <c r="K579" i="1"/>
  <c r="N579" i="1" s="1"/>
  <c r="J579" i="1"/>
  <c r="L578" i="1"/>
  <c r="K578" i="1"/>
  <c r="N578" i="1" s="1"/>
  <c r="J578" i="1"/>
  <c r="L577" i="1"/>
  <c r="K577" i="1"/>
  <c r="N577" i="1" s="1"/>
  <c r="J577" i="1"/>
  <c r="L576" i="1"/>
  <c r="K576" i="1"/>
  <c r="N576" i="1" s="1"/>
  <c r="J576" i="1"/>
  <c r="L575" i="1"/>
  <c r="K575" i="1"/>
  <c r="N575" i="1" s="1"/>
  <c r="J575" i="1"/>
  <c r="L574" i="1"/>
  <c r="K574" i="1"/>
  <c r="N574" i="1" s="1"/>
  <c r="J574" i="1"/>
  <c r="L571" i="1"/>
  <c r="K571" i="1"/>
  <c r="N571" i="1" s="1"/>
  <c r="J571" i="1"/>
  <c r="L570" i="1"/>
  <c r="K570" i="1"/>
  <c r="N570" i="1" s="1"/>
  <c r="J570" i="1"/>
  <c r="L569" i="1"/>
  <c r="K569" i="1"/>
  <c r="N569" i="1" s="1"/>
  <c r="J569" i="1"/>
  <c r="L568" i="1"/>
  <c r="K568" i="1"/>
  <c r="N568" i="1" s="1"/>
  <c r="J568" i="1"/>
  <c r="L567" i="1"/>
  <c r="K567" i="1"/>
  <c r="N567" i="1" s="1"/>
  <c r="J567" i="1"/>
  <c r="L566" i="1"/>
  <c r="K566" i="1"/>
  <c r="N566" i="1" s="1"/>
  <c r="J566" i="1"/>
  <c r="L565" i="1"/>
  <c r="K565" i="1"/>
  <c r="N565" i="1" s="1"/>
  <c r="J565" i="1"/>
  <c r="L564" i="1"/>
  <c r="K564" i="1"/>
  <c r="N564" i="1" s="1"/>
  <c r="J564" i="1"/>
  <c r="L563" i="1"/>
  <c r="K563" i="1"/>
  <c r="N563" i="1" s="1"/>
  <c r="J563" i="1"/>
  <c r="L562" i="1"/>
  <c r="K562" i="1"/>
  <c r="N562" i="1" s="1"/>
  <c r="J562" i="1"/>
  <c r="L561" i="1"/>
  <c r="K561" i="1"/>
  <c r="N561" i="1" s="1"/>
  <c r="J561" i="1"/>
  <c r="L560" i="1"/>
  <c r="K560" i="1"/>
  <c r="N560" i="1" s="1"/>
  <c r="J560" i="1"/>
  <c r="L559" i="1"/>
  <c r="K559" i="1"/>
  <c r="N559" i="1" s="1"/>
  <c r="J559" i="1"/>
  <c r="L557" i="1"/>
  <c r="K557" i="1"/>
  <c r="N557" i="1" s="1"/>
  <c r="J557" i="1"/>
  <c r="L556" i="1"/>
  <c r="K556" i="1"/>
  <c r="N556" i="1" s="1"/>
  <c r="J556" i="1"/>
  <c r="L555" i="1"/>
  <c r="K555" i="1"/>
  <c r="N555" i="1" s="1"/>
  <c r="J555" i="1"/>
  <c r="L554" i="1"/>
  <c r="K554" i="1"/>
  <c r="N554" i="1" s="1"/>
  <c r="J554" i="1"/>
  <c r="L553" i="1"/>
  <c r="K553" i="1"/>
  <c r="N553" i="1" s="1"/>
  <c r="J553" i="1"/>
  <c r="L552" i="1"/>
  <c r="K552" i="1"/>
  <c r="N552" i="1" s="1"/>
  <c r="J552" i="1"/>
  <c r="L551" i="1"/>
  <c r="K551" i="1"/>
  <c r="N551" i="1" s="1"/>
  <c r="J551" i="1"/>
  <c r="L550" i="1"/>
  <c r="K550" i="1"/>
  <c r="N550" i="1" s="1"/>
  <c r="J550" i="1"/>
  <c r="L548" i="1"/>
  <c r="K548" i="1"/>
  <c r="N548" i="1" s="1"/>
  <c r="J548" i="1"/>
  <c r="L547" i="1"/>
  <c r="K547" i="1"/>
  <c r="N547" i="1" s="1"/>
  <c r="J547" i="1"/>
  <c r="L546" i="1"/>
  <c r="K546" i="1"/>
  <c r="N546" i="1" s="1"/>
  <c r="J546" i="1"/>
  <c r="L545" i="1"/>
  <c r="K545" i="1"/>
  <c r="N545" i="1" s="1"/>
  <c r="J545" i="1"/>
  <c r="L544" i="1"/>
  <c r="K544" i="1"/>
  <c r="N544" i="1" s="1"/>
  <c r="J544" i="1"/>
  <c r="L543" i="1"/>
  <c r="K543" i="1"/>
  <c r="N543" i="1" s="1"/>
  <c r="J543" i="1"/>
  <c r="L542" i="1"/>
  <c r="K542" i="1"/>
  <c r="N542" i="1" s="1"/>
  <c r="J542" i="1"/>
  <c r="L541" i="1"/>
  <c r="K541" i="1"/>
  <c r="N541" i="1" s="1"/>
  <c r="J541" i="1"/>
  <c r="L540" i="1"/>
  <c r="K540" i="1"/>
  <c r="N540" i="1" s="1"/>
  <c r="J540" i="1"/>
  <c r="L523" i="1"/>
  <c r="K523" i="1"/>
  <c r="N523" i="1" s="1"/>
  <c r="J523" i="1"/>
  <c r="L522" i="1"/>
  <c r="K522" i="1"/>
  <c r="N522" i="1" s="1"/>
  <c r="J522" i="1"/>
  <c r="L521" i="1"/>
  <c r="K521" i="1"/>
  <c r="N521" i="1" s="1"/>
  <c r="J521" i="1"/>
  <c r="L520" i="1"/>
  <c r="K520" i="1"/>
  <c r="N520" i="1" s="1"/>
  <c r="J520" i="1"/>
  <c r="L519" i="1"/>
  <c r="K519" i="1"/>
  <c r="N519" i="1" s="1"/>
  <c r="J519" i="1"/>
  <c r="L518" i="1"/>
  <c r="K518" i="1"/>
  <c r="N518" i="1" s="1"/>
  <c r="J518" i="1"/>
  <c r="L517" i="1"/>
  <c r="K517" i="1"/>
  <c r="N517" i="1" s="1"/>
  <c r="J517" i="1"/>
  <c r="L516" i="1"/>
  <c r="K516" i="1"/>
  <c r="N516" i="1" s="1"/>
  <c r="J516" i="1"/>
  <c r="L515" i="1"/>
  <c r="K515" i="1"/>
  <c r="N515" i="1" s="1"/>
  <c r="J515" i="1"/>
  <c r="L514" i="1"/>
  <c r="K514" i="1"/>
  <c r="N514" i="1" s="1"/>
  <c r="J514" i="1"/>
  <c r="L513" i="1"/>
  <c r="K513" i="1"/>
  <c r="N513" i="1" s="1"/>
  <c r="J513" i="1"/>
  <c r="L512" i="1"/>
  <c r="K512" i="1"/>
  <c r="N512" i="1" s="1"/>
  <c r="J512" i="1"/>
  <c r="L489" i="1"/>
  <c r="K489" i="1"/>
  <c r="N489" i="1" s="1"/>
  <c r="J489" i="1"/>
  <c r="L488" i="1"/>
  <c r="K488" i="1"/>
  <c r="N488" i="1" s="1"/>
  <c r="J488" i="1"/>
  <c r="L487" i="1"/>
  <c r="K487" i="1"/>
  <c r="N487" i="1" s="1"/>
  <c r="J487" i="1"/>
  <c r="L486" i="1"/>
  <c r="K486" i="1"/>
  <c r="N486" i="1" s="1"/>
  <c r="J486" i="1"/>
  <c r="L483" i="1"/>
  <c r="K483" i="1"/>
  <c r="N483" i="1" s="1"/>
  <c r="J483" i="1"/>
  <c r="L482" i="1"/>
  <c r="K482" i="1"/>
  <c r="N482" i="1" s="1"/>
  <c r="J482" i="1"/>
  <c r="L481" i="1"/>
  <c r="K481" i="1"/>
  <c r="N481" i="1" s="1"/>
  <c r="J481" i="1"/>
  <c r="L480" i="1"/>
  <c r="K480" i="1"/>
  <c r="N480" i="1" s="1"/>
  <c r="J480" i="1"/>
  <c r="L478" i="1"/>
  <c r="K478" i="1"/>
  <c r="N478" i="1" s="1"/>
  <c r="J478" i="1"/>
  <c r="L477" i="1"/>
  <c r="K477" i="1"/>
  <c r="N477" i="1" s="1"/>
  <c r="J477" i="1"/>
  <c r="L474" i="1"/>
  <c r="K474" i="1"/>
  <c r="N474" i="1" s="1"/>
  <c r="J474" i="1"/>
  <c r="L473" i="1"/>
  <c r="K473" i="1"/>
  <c r="N473" i="1" s="1"/>
  <c r="J473" i="1"/>
  <c r="L472" i="1"/>
  <c r="K472" i="1"/>
  <c r="N472" i="1" s="1"/>
  <c r="J472" i="1"/>
  <c r="L471" i="1"/>
  <c r="K471" i="1"/>
  <c r="N471" i="1" s="1"/>
  <c r="J471" i="1"/>
  <c r="L466" i="1"/>
  <c r="K466" i="1"/>
  <c r="N466" i="1" s="1"/>
  <c r="J466" i="1"/>
  <c r="L465" i="1"/>
  <c r="K465" i="1"/>
  <c r="N465" i="1" s="1"/>
  <c r="J465" i="1"/>
  <c r="L461" i="1"/>
  <c r="K461" i="1"/>
  <c r="N461" i="1" s="1"/>
  <c r="J461" i="1"/>
  <c r="L458" i="1"/>
  <c r="K458" i="1"/>
  <c r="N458" i="1" s="1"/>
  <c r="J458" i="1"/>
  <c r="L457" i="1"/>
  <c r="K457" i="1"/>
  <c r="N457" i="1" s="1"/>
  <c r="J457" i="1"/>
  <c r="L456" i="1"/>
  <c r="K456" i="1"/>
  <c r="N456" i="1" s="1"/>
  <c r="J456" i="1"/>
  <c r="L455" i="1"/>
  <c r="K455" i="1"/>
  <c r="N455" i="1" s="1"/>
  <c r="J455" i="1"/>
  <c r="L454" i="1"/>
  <c r="K454" i="1"/>
  <c r="N454" i="1" s="1"/>
  <c r="J454" i="1"/>
  <c r="L453" i="1"/>
  <c r="K453" i="1"/>
  <c r="N453" i="1" s="1"/>
  <c r="J453" i="1"/>
  <c r="L452" i="1"/>
  <c r="K452" i="1"/>
  <c r="N452" i="1" s="1"/>
  <c r="J452" i="1"/>
  <c r="L451" i="1"/>
  <c r="K451" i="1"/>
  <c r="N451" i="1" s="1"/>
  <c r="J451" i="1"/>
  <c r="L449" i="1"/>
  <c r="K449" i="1"/>
  <c r="N449" i="1" s="1"/>
  <c r="J449" i="1"/>
  <c r="L448" i="1"/>
  <c r="K448" i="1"/>
  <c r="N448" i="1" s="1"/>
  <c r="J448" i="1"/>
  <c r="L442" i="1"/>
  <c r="K442" i="1"/>
  <c r="N442" i="1" s="1"/>
  <c r="J442" i="1"/>
  <c r="L441" i="1"/>
  <c r="K441" i="1"/>
  <c r="N441" i="1" s="1"/>
  <c r="J441" i="1"/>
  <c r="L440" i="1"/>
  <c r="K440" i="1"/>
  <c r="N440" i="1" s="1"/>
  <c r="J440" i="1"/>
  <c r="L439" i="1"/>
  <c r="K439" i="1"/>
  <c r="N439" i="1" s="1"/>
  <c r="J439" i="1"/>
  <c r="L438" i="1"/>
  <c r="K438" i="1"/>
  <c r="N438" i="1" s="1"/>
  <c r="J438" i="1"/>
  <c r="L437" i="1"/>
  <c r="K437" i="1"/>
  <c r="N437" i="1" s="1"/>
  <c r="J437" i="1"/>
  <c r="L436" i="1"/>
  <c r="K436" i="1"/>
  <c r="N436" i="1" s="1"/>
  <c r="J436" i="1"/>
  <c r="L435" i="1"/>
  <c r="K435" i="1"/>
  <c r="N435" i="1" s="1"/>
  <c r="J435" i="1"/>
  <c r="L434" i="1"/>
  <c r="K434" i="1"/>
  <c r="N434" i="1" s="1"/>
  <c r="J434" i="1"/>
  <c r="L433" i="1"/>
  <c r="K433" i="1"/>
  <c r="N433" i="1" s="1"/>
  <c r="J433" i="1"/>
  <c r="L432" i="1"/>
  <c r="K432" i="1"/>
  <c r="N432" i="1" s="1"/>
  <c r="J432" i="1"/>
  <c r="L431" i="1"/>
  <c r="K431" i="1"/>
  <c r="N431" i="1" s="1"/>
  <c r="J431" i="1"/>
  <c r="L428" i="1"/>
  <c r="K428" i="1"/>
  <c r="N428" i="1" s="1"/>
  <c r="J428" i="1"/>
  <c r="L427" i="1"/>
  <c r="K427" i="1"/>
  <c r="N427" i="1" s="1"/>
  <c r="J427" i="1"/>
  <c r="L426" i="1"/>
  <c r="K426" i="1"/>
  <c r="N426" i="1" s="1"/>
  <c r="J426" i="1"/>
  <c r="L424" i="1"/>
  <c r="K424" i="1"/>
  <c r="N424" i="1" s="1"/>
  <c r="J424" i="1"/>
  <c r="L422" i="1"/>
  <c r="K422" i="1"/>
  <c r="N422" i="1" s="1"/>
  <c r="J422" i="1"/>
  <c r="L421" i="1"/>
  <c r="K421" i="1"/>
  <c r="N421" i="1" s="1"/>
  <c r="J421" i="1"/>
  <c r="L419" i="1"/>
  <c r="K419" i="1"/>
  <c r="N419" i="1" s="1"/>
  <c r="J419" i="1"/>
  <c r="L418" i="1"/>
  <c r="K418" i="1"/>
  <c r="N418" i="1" s="1"/>
  <c r="J418" i="1"/>
  <c r="L417" i="1"/>
  <c r="K417" i="1"/>
  <c r="N417" i="1" s="1"/>
  <c r="J417" i="1"/>
  <c r="L416" i="1"/>
  <c r="K416" i="1"/>
  <c r="N416" i="1" s="1"/>
  <c r="J416" i="1"/>
  <c r="L415" i="1"/>
  <c r="K415" i="1"/>
  <c r="N415" i="1" s="1"/>
  <c r="J415" i="1"/>
  <c r="L414" i="1"/>
  <c r="K414" i="1"/>
  <c r="N414" i="1" s="1"/>
  <c r="J414" i="1"/>
  <c r="L413" i="1"/>
  <c r="K413" i="1"/>
  <c r="N413" i="1" s="1"/>
  <c r="J413" i="1"/>
  <c r="L412" i="1"/>
  <c r="K412" i="1"/>
  <c r="N412" i="1" s="1"/>
  <c r="J412" i="1"/>
  <c r="L411" i="1"/>
  <c r="K411" i="1"/>
  <c r="N411" i="1" s="1"/>
  <c r="J411" i="1"/>
  <c r="L409" i="1"/>
  <c r="K409" i="1"/>
  <c r="N409" i="1" s="1"/>
  <c r="J409" i="1"/>
  <c r="L408" i="1"/>
  <c r="K408" i="1"/>
  <c r="N408" i="1" s="1"/>
  <c r="J408" i="1"/>
  <c r="L406" i="1"/>
  <c r="K406" i="1"/>
  <c r="N406" i="1" s="1"/>
  <c r="J406" i="1"/>
  <c r="L405" i="1"/>
  <c r="K405" i="1"/>
  <c r="N405" i="1" s="1"/>
  <c r="J405" i="1"/>
  <c r="L404" i="1"/>
  <c r="K404" i="1"/>
  <c r="N404" i="1" s="1"/>
  <c r="J404" i="1"/>
  <c r="L403" i="1"/>
  <c r="K403" i="1"/>
  <c r="N403" i="1" s="1"/>
  <c r="J403" i="1"/>
  <c r="L402" i="1"/>
  <c r="K402" i="1"/>
  <c r="N402" i="1" s="1"/>
  <c r="J402" i="1"/>
  <c r="L401" i="1"/>
  <c r="K401" i="1"/>
  <c r="N401" i="1" s="1"/>
  <c r="J401" i="1"/>
  <c r="L400" i="1"/>
  <c r="K400" i="1"/>
  <c r="N400" i="1" s="1"/>
  <c r="J400" i="1"/>
  <c r="L399" i="1"/>
  <c r="K399" i="1"/>
  <c r="N399" i="1" s="1"/>
  <c r="J399" i="1"/>
  <c r="L398" i="1"/>
  <c r="K398" i="1"/>
  <c r="N398" i="1" s="1"/>
  <c r="J398" i="1"/>
  <c r="L397" i="1"/>
  <c r="K397" i="1"/>
  <c r="N397" i="1" s="1"/>
  <c r="J397" i="1"/>
  <c r="L396" i="1"/>
  <c r="K396" i="1"/>
  <c r="N396" i="1" s="1"/>
  <c r="J396" i="1"/>
  <c r="L395" i="1"/>
  <c r="K395" i="1"/>
  <c r="N395" i="1" s="1"/>
  <c r="J395" i="1"/>
  <c r="L394" i="1"/>
  <c r="K394" i="1"/>
  <c r="N394" i="1" s="1"/>
  <c r="J394" i="1"/>
  <c r="L393" i="1"/>
  <c r="K393" i="1"/>
  <c r="N393" i="1" s="1"/>
  <c r="J393" i="1"/>
  <c r="L392" i="1"/>
  <c r="K392" i="1"/>
  <c r="N392" i="1" s="1"/>
  <c r="J392" i="1"/>
  <c r="L391" i="1"/>
  <c r="K391" i="1"/>
  <c r="N391" i="1" s="1"/>
  <c r="J391" i="1"/>
  <c r="L390" i="1"/>
  <c r="K390" i="1"/>
  <c r="N390" i="1" s="1"/>
  <c r="J390" i="1"/>
  <c r="L389" i="1"/>
  <c r="K389" i="1"/>
  <c r="N389" i="1" s="1"/>
  <c r="J389" i="1"/>
  <c r="L388" i="1"/>
  <c r="K388" i="1"/>
  <c r="N388" i="1" s="1"/>
  <c r="J388" i="1"/>
  <c r="L387" i="1"/>
  <c r="K387" i="1"/>
  <c r="N387" i="1" s="1"/>
  <c r="J387" i="1"/>
  <c r="L386" i="1"/>
  <c r="K386" i="1"/>
  <c r="N386" i="1" s="1"/>
  <c r="J386" i="1"/>
  <c r="L385" i="1"/>
  <c r="K385" i="1"/>
  <c r="N385" i="1" s="1"/>
  <c r="J385" i="1"/>
  <c r="L384" i="1"/>
  <c r="K384" i="1"/>
  <c r="N384" i="1" s="1"/>
  <c r="J384" i="1"/>
  <c r="L383" i="1"/>
  <c r="K383" i="1"/>
  <c r="N383" i="1" s="1"/>
  <c r="J383" i="1"/>
  <c r="L382" i="1"/>
  <c r="K382" i="1"/>
  <c r="N382" i="1" s="1"/>
  <c r="J382" i="1"/>
  <c r="L381" i="1"/>
  <c r="K381" i="1"/>
  <c r="N381" i="1" s="1"/>
  <c r="J381" i="1"/>
  <c r="L380" i="1"/>
  <c r="K380" i="1"/>
  <c r="N380" i="1" s="1"/>
  <c r="J380" i="1"/>
  <c r="L379" i="1"/>
  <c r="K379" i="1"/>
  <c r="N379" i="1" s="1"/>
  <c r="J379" i="1"/>
  <c r="L378" i="1"/>
  <c r="K378" i="1"/>
  <c r="N378" i="1" s="1"/>
  <c r="J378" i="1"/>
  <c r="L377" i="1"/>
  <c r="K377" i="1"/>
  <c r="N377" i="1" s="1"/>
  <c r="J377" i="1"/>
  <c r="L376" i="1"/>
  <c r="K376" i="1"/>
  <c r="N376" i="1" s="1"/>
  <c r="J376" i="1"/>
  <c r="L375" i="1"/>
  <c r="K375" i="1"/>
  <c r="N375" i="1" s="1"/>
  <c r="J375" i="1"/>
  <c r="L374" i="1"/>
  <c r="K374" i="1"/>
  <c r="N374" i="1" s="1"/>
  <c r="J374" i="1"/>
  <c r="L373" i="1"/>
  <c r="K373" i="1"/>
  <c r="N373" i="1" s="1"/>
  <c r="J373" i="1"/>
  <c r="L372" i="1"/>
  <c r="K372" i="1"/>
  <c r="N372" i="1" s="1"/>
  <c r="J372" i="1"/>
  <c r="L371" i="1"/>
  <c r="K371" i="1"/>
  <c r="N371" i="1" s="1"/>
  <c r="J371" i="1"/>
  <c r="L370" i="1"/>
  <c r="K370" i="1"/>
  <c r="N370" i="1" s="1"/>
  <c r="J370" i="1"/>
  <c r="L369" i="1"/>
  <c r="K369" i="1"/>
  <c r="N369" i="1" s="1"/>
  <c r="J369" i="1"/>
  <c r="L368" i="1"/>
  <c r="K368" i="1"/>
  <c r="N368" i="1" s="1"/>
  <c r="J368" i="1"/>
  <c r="L367" i="1"/>
  <c r="K367" i="1"/>
  <c r="N367" i="1" s="1"/>
  <c r="J367" i="1"/>
  <c r="L366" i="1"/>
  <c r="K366" i="1"/>
  <c r="N366" i="1" s="1"/>
  <c r="J366" i="1"/>
  <c r="L365" i="1"/>
  <c r="K365" i="1"/>
  <c r="N365" i="1" s="1"/>
  <c r="J365" i="1"/>
  <c r="L364" i="1"/>
  <c r="K364" i="1"/>
  <c r="N364" i="1" s="1"/>
  <c r="J364" i="1"/>
  <c r="L363" i="1"/>
  <c r="K363" i="1"/>
  <c r="N363" i="1" s="1"/>
  <c r="J363" i="1"/>
  <c r="L362" i="1"/>
  <c r="K362" i="1"/>
  <c r="N362" i="1" s="1"/>
  <c r="J362" i="1"/>
  <c r="L361" i="1"/>
  <c r="K361" i="1"/>
  <c r="N361" i="1" s="1"/>
  <c r="J361" i="1"/>
  <c r="L360" i="1"/>
  <c r="K360" i="1"/>
  <c r="N360" i="1" s="1"/>
  <c r="J360" i="1"/>
  <c r="L359" i="1"/>
  <c r="K359" i="1"/>
  <c r="N359" i="1" s="1"/>
  <c r="J359" i="1"/>
  <c r="L358" i="1"/>
  <c r="K358" i="1"/>
  <c r="N358" i="1" s="1"/>
  <c r="J358" i="1"/>
  <c r="L357" i="1"/>
  <c r="K357" i="1"/>
  <c r="N357" i="1" s="1"/>
  <c r="J357" i="1"/>
  <c r="L356" i="1"/>
  <c r="K356" i="1"/>
  <c r="N356" i="1" s="1"/>
  <c r="J356" i="1"/>
  <c r="L355" i="1"/>
  <c r="K355" i="1"/>
  <c r="N355" i="1" s="1"/>
  <c r="J355" i="1"/>
  <c r="L354" i="1"/>
  <c r="K354" i="1"/>
  <c r="N354" i="1" s="1"/>
  <c r="J354" i="1"/>
  <c r="L353" i="1"/>
  <c r="K353" i="1"/>
  <c r="N353" i="1" s="1"/>
  <c r="J353" i="1"/>
  <c r="L352" i="1"/>
  <c r="K352" i="1"/>
  <c r="N352" i="1" s="1"/>
  <c r="J352" i="1"/>
  <c r="L351" i="1"/>
  <c r="K351" i="1"/>
  <c r="N351" i="1" s="1"/>
  <c r="J351" i="1"/>
  <c r="L350" i="1"/>
  <c r="K350" i="1"/>
  <c r="N350" i="1" s="1"/>
  <c r="J350" i="1"/>
  <c r="L349" i="1"/>
  <c r="K349" i="1"/>
  <c r="N349" i="1" s="1"/>
  <c r="J349" i="1"/>
  <c r="L348" i="1"/>
  <c r="K348" i="1"/>
  <c r="N348" i="1" s="1"/>
  <c r="J348" i="1"/>
  <c r="L347" i="1"/>
  <c r="K347" i="1"/>
  <c r="N347" i="1" s="1"/>
  <c r="J347" i="1"/>
  <c r="L344" i="1"/>
  <c r="K344" i="1"/>
  <c r="N344" i="1" s="1"/>
  <c r="J344" i="1"/>
  <c r="L341" i="1"/>
  <c r="K341" i="1"/>
  <c r="N341" i="1" s="1"/>
  <c r="J341" i="1"/>
  <c r="L340" i="1"/>
  <c r="K340" i="1"/>
  <c r="N340" i="1" s="1"/>
  <c r="J340" i="1"/>
  <c r="L339" i="1"/>
  <c r="K339" i="1"/>
  <c r="N339" i="1" s="1"/>
  <c r="J339" i="1"/>
  <c r="L338" i="1"/>
  <c r="K338" i="1"/>
  <c r="N338" i="1" s="1"/>
  <c r="J338" i="1"/>
  <c r="L336" i="1"/>
  <c r="K336" i="1"/>
  <c r="N336" i="1" s="1"/>
  <c r="J336" i="1"/>
  <c r="L335" i="1"/>
  <c r="K335" i="1"/>
  <c r="N335" i="1" s="1"/>
  <c r="J335" i="1"/>
  <c r="L334" i="1"/>
  <c r="K334" i="1"/>
  <c r="N334" i="1" s="1"/>
  <c r="J334" i="1"/>
  <c r="L333" i="1"/>
  <c r="K333" i="1"/>
  <c r="N333" i="1" s="1"/>
  <c r="J333" i="1"/>
  <c r="L332" i="1"/>
  <c r="K332" i="1"/>
  <c r="N332" i="1" s="1"/>
  <c r="J332" i="1"/>
  <c r="L331" i="1"/>
  <c r="K331" i="1"/>
  <c r="N331" i="1" s="1"/>
  <c r="J331" i="1"/>
  <c r="L330" i="1"/>
  <c r="K330" i="1"/>
  <c r="N330" i="1" s="1"/>
  <c r="J330" i="1"/>
  <c r="L329" i="1"/>
  <c r="K329" i="1"/>
  <c r="N329" i="1" s="1"/>
  <c r="J329" i="1"/>
  <c r="L328" i="1"/>
  <c r="K328" i="1"/>
  <c r="N328" i="1" s="1"/>
  <c r="J328" i="1"/>
  <c r="L327" i="1"/>
  <c r="K327" i="1"/>
  <c r="N327" i="1" s="1"/>
  <c r="J327" i="1"/>
  <c r="L326" i="1"/>
  <c r="K326" i="1"/>
  <c r="N326" i="1" s="1"/>
  <c r="J326" i="1"/>
  <c r="L325" i="1"/>
  <c r="K325" i="1"/>
  <c r="N325" i="1" s="1"/>
  <c r="J325" i="1"/>
  <c r="L324" i="1"/>
  <c r="K324" i="1"/>
  <c r="N324" i="1" s="1"/>
  <c r="J324" i="1"/>
  <c r="L323" i="1"/>
  <c r="K323" i="1"/>
  <c r="N323" i="1" s="1"/>
  <c r="J323" i="1"/>
  <c r="L322" i="1"/>
  <c r="K322" i="1"/>
  <c r="N322" i="1" s="1"/>
  <c r="J322" i="1"/>
  <c r="L321" i="1"/>
  <c r="K321" i="1"/>
  <c r="N321" i="1" s="1"/>
  <c r="J321" i="1"/>
  <c r="L320" i="1"/>
  <c r="K320" i="1"/>
  <c r="N320" i="1" s="1"/>
  <c r="J320" i="1"/>
  <c r="L319" i="1"/>
  <c r="K319" i="1"/>
  <c r="N319" i="1" s="1"/>
  <c r="J319" i="1"/>
  <c r="L318" i="1"/>
  <c r="K318" i="1"/>
  <c r="N318" i="1" s="1"/>
  <c r="J318" i="1"/>
  <c r="L317" i="1"/>
  <c r="K317" i="1"/>
  <c r="N317" i="1" s="1"/>
  <c r="J317" i="1"/>
  <c r="L316" i="1"/>
  <c r="K316" i="1"/>
  <c r="N316" i="1" s="1"/>
  <c r="J316" i="1"/>
  <c r="L315" i="1"/>
  <c r="K315" i="1"/>
  <c r="N315" i="1" s="1"/>
  <c r="J315" i="1"/>
  <c r="L314" i="1"/>
  <c r="K314" i="1"/>
  <c r="N314" i="1" s="1"/>
  <c r="J314" i="1"/>
  <c r="L313" i="1"/>
  <c r="K313" i="1"/>
  <c r="N313" i="1" s="1"/>
  <c r="J313" i="1"/>
  <c r="L312" i="1"/>
  <c r="K312" i="1"/>
  <c r="N312" i="1" s="1"/>
  <c r="J312" i="1"/>
  <c r="L311" i="1"/>
  <c r="K311" i="1"/>
  <c r="N311" i="1" s="1"/>
  <c r="J311" i="1"/>
  <c r="L310" i="1"/>
  <c r="K310" i="1"/>
  <c r="N310" i="1" s="1"/>
  <c r="J310" i="1"/>
  <c r="L309" i="1"/>
  <c r="K309" i="1"/>
  <c r="N309" i="1" s="1"/>
  <c r="J309" i="1"/>
  <c r="L308" i="1"/>
  <c r="K308" i="1"/>
  <c r="N308" i="1" s="1"/>
  <c r="J308" i="1"/>
  <c r="L307" i="1"/>
  <c r="K307" i="1"/>
  <c r="N307" i="1" s="1"/>
  <c r="J307" i="1"/>
  <c r="L306" i="1"/>
  <c r="K306" i="1"/>
  <c r="N306" i="1" s="1"/>
  <c r="J306" i="1"/>
  <c r="L305" i="1"/>
  <c r="K305" i="1"/>
  <c r="N305" i="1" s="1"/>
  <c r="J305" i="1"/>
  <c r="L304" i="1"/>
  <c r="K304" i="1"/>
  <c r="N304" i="1" s="1"/>
  <c r="J304" i="1"/>
  <c r="L303" i="1"/>
  <c r="K303" i="1"/>
  <c r="N303" i="1" s="1"/>
  <c r="J303" i="1"/>
  <c r="L302" i="1"/>
  <c r="K302" i="1"/>
  <c r="N302" i="1" s="1"/>
  <c r="J302" i="1"/>
  <c r="L301" i="1"/>
  <c r="K301" i="1"/>
  <c r="N301" i="1" s="1"/>
  <c r="J301" i="1"/>
  <c r="L300" i="1"/>
  <c r="K300" i="1"/>
  <c r="N300" i="1" s="1"/>
  <c r="J300" i="1"/>
  <c r="L299" i="1"/>
  <c r="K299" i="1"/>
  <c r="N299" i="1" s="1"/>
  <c r="J299" i="1"/>
  <c r="L298" i="1"/>
  <c r="K298" i="1"/>
  <c r="N298" i="1" s="1"/>
  <c r="J298" i="1"/>
  <c r="L297" i="1"/>
  <c r="K297" i="1"/>
  <c r="N297" i="1" s="1"/>
  <c r="J297" i="1"/>
  <c r="L296" i="1"/>
  <c r="K296" i="1"/>
  <c r="N296" i="1" s="1"/>
  <c r="J296" i="1"/>
  <c r="L295" i="1"/>
  <c r="K295" i="1"/>
  <c r="N295" i="1" s="1"/>
  <c r="J295" i="1"/>
  <c r="L294" i="1"/>
  <c r="K294" i="1"/>
  <c r="N294" i="1" s="1"/>
  <c r="J294" i="1"/>
  <c r="L293" i="1"/>
  <c r="K293" i="1"/>
  <c r="N293" i="1" s="1"/>
  <c r="J293" i="1"/>
  <c r="L292" i="1"/>
  <c r="K292" i="1"/>
  <c r="N292" i="1" s="1"/>
  <c r="J292" i="1"/>
  <c r="L291" i="1"/>
  <c r="K291" i="1"/>
  <c r="N291" i="1" s="1"/>
  <c r="J291" i="1"/>
  <c r="L290" i="1"/>
  <c r="K290" i="1"/>
  <c r="N290" i="1" s="1"/>
  <c r="J290" i="1"/>
  <c r="L289" i="1"/>
  <c r="K289" i="1"/>
  <c r="N289" i="1" s="1"/>
  <c r="J289" i="1"/>
  <c r="L288" i="1"/>
  <c r="K288" i="1"/>
  <c r="N288" i="1" s="1"/>
  <c r="J288" i="1"/>
  <c r="L287" i="1"/>
  <c r="K287" i="1"/>
  <c r="N287" i="1" s="1"/>
  <c r="J287" i="1"/>
  <c r="L286" i="1"/>
  <c r="K286" i="1"/>
  <c r="N286" i="1" s="1"/>
  <c r="J286" i="1"/>
  <c r="L285" i="1"/>
  <c r="K285" i="1"/>
  <c r="N285" i="1" s="1"/>
  <c r="J285" i="1"/>
  <c r="L284" i="1"/>
  <c r="K284" i="1"/>
  <c r="N284" i="1" s="1"/>
  <c r="J284" i="1"/>
  <c r="L283" i="1"/>
  <c r="K283" i="1"/>
  <c r="N283" i="1" s="1"/>
  <c r="J283" i="1"/>
  <c r="L282" i="1"/>
  <c r="K282" i="1"/>
  <c r="N282" i="1" s="1"/>
  <c r="J282" i="1"/>
  <c r="L281" i="1"/>
  <c r="K281" i="1"/>
  <c r="N281" i="1" s="1"/>
  <c r="J281" i="1"/>
  <c r="L280" i="1"/>
  <c r="K280" i="1"/>
  <c r="N280" i="1" s="1"/>
  <c r="J280" i="1"/>
  <c r="L279" i="1"/>
  <c r="K279" i="1"/>
  <c r="N279" i="1" s="1"/>
  <c r="J279" i="1"/>
  <c r="L278" i="1"/>
  <c r="K278" i="1"/>
  <c r="N278" i="1" s="1"/>
  <c r="J278" i="1"/>
  <c r="L277" i="1"/>
  <c r="K277" i="1"/>
  <c r="N277" i="1" s="1"/>
  <c r="J277" i="1"/>
  <c r="L276" i="1"/>
  <c r="K276" i="1"/>
  <c r="N276" i="1" s="1"/>
  <c r="J276" i="1"/>
  <c r="L275" i="1"/>
  <c r="K275" i="1"/>
  <c r="N275" i="1" s="1"/>
  <c r="J275" i="1"/>
  <c r="L274" i="1"/>
  <c r="K274" i="1"/>
  <c r="N274" i="1" s="1"/>
  <c r="J274" i="1"/>
  <c r="L273" i="1"/>
  <c r="K273" i="1"/>
  <c r="N273" i="1" s="1"/>
  <c r="J273" i="1"/>
  <c r="L272" i="1"/>
  <c r="K272" i="1"/>
  <c r="N272" i="1" s="1"/>
  <c r="J272" i="1"/>
  <c r="L271" i="1"/>
  <c r="K271" i="1"/>
  <c r="N271" i="1" s="1"/>
  <c r="J271" i="1"/>
  <c r="L270" i="1"/>
  <c r="K270" i="1"/>
  <c r="N270" i="1" s="1"/>
  <c r="J270" i="1"/>
  <c r="L269" i="1"/>
  <c r="K269" i="1"/>
  <c r="N269" i="1" s="1"/>
  <c r="J269" i="1"/>
  <c r="L268" i="1"/>
  <c r="K268" i="1"/>
  <c r="N268" i="1" s="1"/>
  <c r="J268" i="1"/>
  <c r="L267" i="1"/>
  <c r="K267" i="1"/>
  <c r="N267" i="1" s="1"/>
  <c r="J267" i="1"/>
  <c r="L266" i="1"/>
  <c r="K266" i="1"/>
  <c r="N266" i="1" s="1"/>
  <c r="J266" i="1"/>
  <c r="L265" i="1"/>
  <c r="K265" i="1"/>
  <c r="N265" i="1" s="1"/>
  <c r="J265" i="1"/>
  <c r="L264" i="1"/>
  <c r="K264" i="1"/>
  <c r="N264" i="1" s="1"/>
  <c r="J264" i="1"/>
  <c r="L263" i="1"/>
  <c r="K263" i="1"/>
  <c r="N263" i="1" s="1"/>
  <c r="J263" i="1"/>
  <c r="L244" i="1"/>
  <c r="K244" i="1"/>
  <c r="N244" i="1" s="1"/>
  <c r="J244" i="1"/>
  <c r="L239" i="1"/>
  <c r="K239" i="1"/>
  <c r="N239" i="1" s="1"/>
  <c r="J239" i="1"/>
  <c r="L236" i="1"/>
  <c r="K236" i="1"/>
  <c r="N236" i="1" s="1"/>
  <c r="J236" i="1"/>
  <c r="L234" i="1"/>
  <c r="K234" i="1"/>
  <c r="N234" i="1" s="1"/>
  <c r="J234" i="1"/>
  <c r="L230" i="1"/>
  <c r="K230" i="1"/>
  <c r="N230" i="1" s="1"/>
  <c r="J230" i="1"/>
  <c r="L229" i="1"/>
  <c r="K229" i="1"/>
  <c r="N229" i="1" s="1"/>
  <c r="J229" i="1"/>
  <c r="L228" i="1"/>
  <c r="K228" i="1"/>
  <c r="N228" i="1" s="1"/>
  <c r="J228" i="1"/>
  <c r="L227" i="1"/>
  <c r="K227" i="1"/>
  <c r="N227" i="1" s="1"/>
  <c r="J227" i="1"/>
  <c r="L226" i="1"/>
  <c r="K226" i="1"/>
  <c r="N226" i="1" s="1"/>
  <c r="J226" i="1"/>
  <c r="L223" i="1"/>
  <c r="K223" i="1"/>
  <c r="N223" i="1" s="1"/>
  <c r="J223" i="1"/>
  <c r="L222" i="1"/>
  <c r="K222" i="1"/>
  <c r="N222" i="1" s="1"/>
  <c r="J222" i="1"/>
  <c r="L220" i="1"/>
  <c r="K220" i="1"/>
  <c r="N220" i="1" s="1"/>
  <c r="J220" i="1"/>
  <c r="L219" i="1"/>
  <c r="K219" i="1"/>
  <c r="N219" i="1" s="1"/>
  <c r="J219" i="1"/>
  <c r="L217" i="1"/>
  <c r="K217" i="1"/>
  <c r="N217" i="1" s="1"/>
  <c r="J217" i="1"/>
  <c r="L216" i="1"/>
  <c r="K216" i="1"/>
  <c r="N216" i="1" s="1"/>
  <c r="J216" i="1"/>
  <c r="L215" i="1"/>
  <c r="K215" i="1"/>
  <c r="N215" i="1" s="1"/>
  <c r="J215" i="1"/>
  <c r="L214" i="1"/>
  <c r="K214" i="1"/>
  <c r="N214" i="1" s="1"/>
  <c r="J214" i="1"/>
  <c r="L213" i="1"/>
  <c r="K213" i="1"/>
  <c r="N213" i="1" s="1"/>
  <c r="J213" i="1"/>
  <c r="L211" i="1"/>
  <c r="K211" i="1"/>
  <c r="N211" i="1" s="1"/>
  <c r="J211" i="1"/>
  <c r="L210" i="1"/>
  <c r="K210" i="1"/>
  <c r="N210" i="1" s="1"/>
  <c r="J210" i="1"/>
  <c r="L209" i="1"/>
  <c r="K209" i="1"/>
  <c r="N209" i="1" s="1"/>
  <c r="J209" i="1"/>
  <c r="L208" i="1"/>
  <c r="K208" i="1"/>
  <c r="N208" i="1" s="1"/>
  <c r="J208" i="1"/>
  <c r="L207" i="1"/>
  <c r="K207" i="1"/>
  <c r="N207" i="1" s="1"/>
  <c r="J207" i="1"/>
  <c r="L206" i="1"/>
  <c r="K206" i="1"/>
  <c r="N206" i="1" s="1"/>
  <c r="J206" i="1"/>
  <c r="L204" i="1"/>
  <c r="K204" i="1"/>
  <c r="N204" i="1" s="1"/>
  <c r="J204" i="1"/>
  <c r="L203" i="1"/>
  <c r="K203" i="1"/>
  <c r="N203" i="1" s="1"/>
  <c r="J203" i="1"/>
  <c r="L202" i="1"/>
  <c r="K202" i="1"/>
  <c r="N202" i="1" s="1"/>
  <c r="J202" i="1"/>
  <c r="L201" i="1"/>
  <c r="K201" i="1"/>
  <c r="N201" i="1" s="1"/>
  <c r="J201" i="1"/>
  <c r="L200" i="1"/>
  <c r="K200" i="1"/>
  <c r="N200" i="1" s="1"/>
  <c r="J200" i="1"/>
  <c r="L199" i="1"/>
  <c r="K199" i="1"/>
  <c r="N199" i="1" s="1"/>
  <c r="J199" i="1"/>
  <c r="L183" i="1"/>
  <c r="K183" i="1"/>
  <c r="N183" i="1" s="1"/>
  <c r="J183" i="1"/>
  <c r="L182" i="1"/>
  <c r="K182" i="1"/>
  <c r="N182" i="1" s="1"/>
  <c r="J182" i="1"/>
  <c r="L181" i="1"/>
  <c r="K181" i="1"/>
  <c r="N181" i="1" s="1"/>
  <c r="J181" i="1"/>
  <c r="L180" i="1"/>
  <c r="K180" i="1"/>
  <c r="N180" i="1" s="1"/>
  <c r="J180" i="1"/>
  <c r="L178" i="1"/>
  <c r="K178" i="1"/>
  <c r="N178" i="1" s="1"/>
  <c r="J178" i="1"/>
  <c r="L175" i="1"/>
  <c r="K175" i="1"/>
  <c r="N175" i="1" s="1"/>
  <c r="J175" i="1"/>
  <c r="L174" i="1"/>
  <c r="K174" i="1"/>
  <c r="N174" i="1" s="1"/>
  <c r="J174" i="1"/>
  <c r="L173" i="1"/>
  <c r="K173" i="1"/>
  <c r="N173" i="1" s="1"/>
  <c r="J173" i="1"/>
  <c r="L171" i="1"/>
  <c r="K171" i="1"/>
  <c r="N171" i="1" s="1"/>
  <c r="J171" i="1"/>
  <c r="L169" i="1"/>
  <c r="K169" i="1"/>
  <c r="N169" i="1" s="1"/>
  <c r="J169" i="1"/>
  <c r="L168" i="1"/>
  <c r="K168" i="1"/>
  <c r="N168" i="1" s="1"/>
  <c r="J168" i="1"/>
  <c r="L167" i="1"/>
  <c r="K167" i="1"/>
  <c r="N167" i="1" s="1"/>
  <c r="J167" i="1"/>
  <c r="L166" i="1"/>
  <c r="K166" i="1"/>
  <c r="N166" i="1" s="1"/>
  <c r="J166" i="1"/>
  <c r="L165" i="1"/>
  <c r="K165" i="1"/>
  <c r="N165" i="1" s="1"/>
  <c r="J165" i="1"/>
  <c r="L164" i="1"/>
  <c r="K164" i="1"/>
  <c r="N164" i="1" s="1"/>
  <c r="J164" i="1"/>
  <c r="L163" i="1"/>
  <c r="K163" i="1"/>
  <c r="N163" i="1" s="1"/>
  <c r="J163" i="1"/>
  <c r="L161" i="1"/>
  <c r="K161" i="1"/>
  <c r="N161" i="1" s="1"/>
  <c r="J161" i="1"/>
  <c r="L160" i="1"/>
  <c r="K160" i="1"/>
  <c r="N160" i="1" s="1"/>
  <c r="J160" i="1"/>
  <c r="L159" i="1"/>
  <c r="K159" i="1"/>
  <c r="N159" i="1" s="1"/>
  <c r="J159" i="1"/>
  <c r="L158" i="1"/>
  <c r="K158" i="1"/>
  <c r="N158" i="1" s="1"/>
  <c r="J158" i="1"/>
  <c r="L155" i="1"/>
  <c r="K155" i="1"/>
  <c r="N155" i="1" s="1"/>
  <c r="J155" i="1"/>
  <c r="L153" i="1"/>
  <c r="K153" i="1"/>
  <c r="N153" i="1" s="1"/>
  <c r="J153" i="1"/>
  <c r="L152" i="1"/>
  <c r="K152" i="1"/>
  <c r="N152" i="1" s="1"/>
  <c r="J152" i="1"/>
  <c r="L151" i="1"/>
  <c r="K151" i="1"/>
  <c r="N151" i="1" s="1"/>
  <c r="J151" i="1"/>
  <c r="L150" i="1"/>
  <c r="K150" i="1"/>
  <c r="N150" i="1" s="1"/>
  <c r="J150" i="1"/>
  <c r="L148" i="1"/>
  <c r="K148" i="1"/>
  <c r="N148" i="1" s="1"/>
  <c r="J148" i="1"/>
  <c r="L146" i="1"/>
  <c r="K146" i="1"/>
  <c r="N146" i="1" s="1"/>
  <c r="J146" i="1"/>
  <c r="L145" i="1"/>
  <c r="K145" i="1"/>
  <c r="N145" i="1" s="1"/>
  <c r="J145" i="1"/>
  <c r="L144" i="1"/>
  <c r="K144" i="1"/>
  <c r="N144" i="1" s="1"/>
  <c r="J144" i="1"/>
  <c r="L143" i="1"/>
  <c r="K143" i="1"/>
  <c r="N143" i="1" s="1"/>
  <c r="J143" i="1"/>
  <c r="L141" i="1"/>
  <c r="K141" i="1"/>
  <c r="N141" i="1" s="1"/>
  <c r="J141" i="1"/>
  <c r="L140" i="1"/>
  <c r="K140" i="1"/>
  <c r="N140" i="1" s="1"/>
  <c r="J140" i="1"/>
  <c r="L138" i="1"/>
  <c r="K138" i="1"/>
  <c r="N138" i="1" s="1"/>
  <c r="J138" i="1"/>
  <c r="L136" i="1"/>
  <c r="K136" i="1"/>
  <c r="N136" i="1" s="1"/>
  <c r="J136" i="1"/>
  <c r="L135" i="1"/>
  <c r="K135" i="1"/>
  <c r="N135" i="1" s="1"/>
  <c r="J135" i="1"/>
  <c r="L133" i="1"/>
  <c r="K133" i="1"/>
  <c r="N133" i="1" s="1"/>
  <c r="J133" i="1"/>
  <c r="L132" i="1"/>
  <c r="K132" i="1"/>
  <c r="N132" i="1" s="1"/>
  <c r="J132" i="1"/>
  <c r="L131" i="1"/>
  <c r="K131" i="1"/>
  <c r="N131" i="1" s="1"/>
  <c r="J131" i="1"/>
  <c r="L129" i="1"/>
  <c r="K129" i="1"/>
  <c r="N129" i="1" s="1"/>
  <c r="J129" i="1"/>
  <c r="L128" i="1"/>
  <c r="K128" i="1"/>
  <c r="N128" i="1" s="1"/>
  <c r="J128" i="1"/>
  <c r="L127" i="1"/>
  <c r="K127" i="1"/>
  <c r="N127" i="1" s="1"/>
  <c r="J127" i="1"/>
  <c r="L125" i="1"/>
  <c r="K125" i="1"/>
  <c r="N125" i="1" s="1"/>
  <c r="J125" i="1"/>
  <c r="L124" i="1"/>
  <c r="K124" i="1"/>
  <c r="N124" i="1" s="1"/>
  <c r="J124" i="1"/>
  <c r="L123" i="1"/>
  <c r="K123" i="1"/>
  <c r="N123" i="1" s="1"/>
  <c r="J123" i="1"/>
  <c r="L122" i="1"/>
  <c r="K122" i="1"/>
  <c r="N122" i="1" s="1"/>
  <c r="J122" i="1"/>
  <c r="L121" i="1"/>
  <c r="K121" i="1"/>
  <c r="N121" i="1" s="1"/>
  <c r="J121" i="1"/>
  <c r="L119" i="1"/>
  <c r="K119" i="1"/>
  <c r="N119" i="1" s="1"/>
  <c r="J119" i="1"/>
  <c r="L118" i="1"/>
  <c r="K118" i="1"/>
  <c r="N118" i="1" s="1"/>
  <c r="J118" i="1"/>
  <c r="L116" i="1"/>
  <c r="K116" i="1"/>
  <c r="N116" i="1" s="1"/>
  <c r="J116" i="1"/>
  <c r="L115" i="1"/>
  <c r="K115" i="1"/>
  <c r="N115" i="1" s="1"/>
  <c r="J115" i="1"/>
  <c r="L114" i="1"/>
  <c r="K114" i="1"/>
  <c r="N114" i="1" s="1"/>
  <c r="J114" i="1"/>
  <c r="L113" i="1"/>
  <c r="K113" i="1"/>
  <c r="N113" i="1" s="1"/>
  <c r="J113" i="1"/>
  <c r="L111" i="1"/>
  <c r="K111" i="1"/>
  <c r="N111" i="1" s="1"/>
  <c r="J111" i="1"/>
  <c r="L110" i="1"/>
  <c r="K110" i="1"/>
  <c r="N110" i="1" s="1"/>
  <c r="J110" i="1"/>
  <c r="L107" i="1"/>
  <c r="K107" i="1"/>
  <c r="N107" i="1" s="1"/>
  <c r="J107" i="1"/>
  <c r="L106" i="1"/>
  <c r="K106" i="1"/>
  <c r="N106" i="1" s="1"/>
  <c r="J106" i="1"/>
  <c r="L105" i="1"/>
  <c r="K105" i="1"/>
  <c r="N105" i="1" s="1"/>
  <c r="J105" i="1"/>
  <c r="L104" i="1"/>
  <c r="K104" i="1"/>
  <c r="N104" i="1" s="1"/>
  <c r="J104" i="1"/>
  <c r="L103" i="1"/>
  <c r="K103" i="1"/>
  <c r="N103" i="1" s="1"/>
  <c r="J103" i="1"/>
  <c r="L102" i="1"/>
  <c r="K102" i="1"/>
  <c r="N102" i="1" s="1"/>
  <c r="J102" i="1"/>
  <c r="L100" i="1"/>
  <c r="K100" i="1"/>
  <c r="N100" i="1" s="1"/>
  <c r="J100" i="1"/>
  <c r="L99" i="1"/>
  <c r="K99" i="1"/>
  <c r="N99" i="1" s="1"/>
  <c r="J99" i="1"/>
  <c r="L98" i="1"/>
  <c r="K98" i="1"/>
  <c r="N98" i="1" s="1"/>
  <c r="J98" i="1"/>
  <c r="L97" i="1"/>
  <c r="K97" i="1"/>
  <c r="N97" i="1" s="1"/>
  <c r="J97" i="1"/>
  <c r="L96" i="1"/>
  <c r="K96" i="1"/>
  <c r="N96" i="1" s="1"/>
  <c r="J96" i="1"/>
  <c r="L95" i="1"/>
  <c r="K95" i="1"/>
  <c r="N95" i="1" s="1"/>
  <c r="J95" i="1"/>
  <c r="L93" i="1"/>
  <c r="K93" i="1"/>
  <c r="N93" i="1" s="1"/>
  <c r="J93" i="1"/>
  <c r="L92" i="1"/>
  <c r="K92" i="1"/>
  <c r="N92" i="1" s="1"/>
  <c r="J92" i="1"/>
  <c r="L91" i="1"/>
  <c r="K91" i="1"/>
  <c r="N91" i="1" s="1"/>
  <c r="J91" i="1"/>
  <c r="L90" i="1"/>
  <c r="K90" i="1"/>
  <c r="N90" i="1" s="1"/>
  <c r="J90" i="1"/>
  <c r="L89" i="1"/>
  <c r="K89" i="1"/>
  <c r="N89" i="1" s="1"/>
  <c r="J89" i="1"/>
  <c r="L88" i="1"/>
  <c r="K88" i="1"/>
  <c r="N88" i="1" s="1"/>
  <c r="J88" i="1"/>
  <c r="L86" i="1"/>
  <c r="K86" i="1"/>
  <c r="N86" i="1" s="1"/>
  <c r="J86" i="1"/>
  <c r="L85" i="1"/>
  <c r="K85" i="1"/>
  <c r="N85" i="1" s="1"/>
  <c r="J85" i="1"/>
  <c r="L84" i="1"/>
  <c r="K84" i="1"/>
  <c r="N84" i="1" s="1"/>
  <c r="J84" i="1"/>
  <c r="L83" i="1"/>
  <c r="K83" i="1"/>
  <c r="N83" i="1" s="1"/>
  <c r="J83" i="1"/>
  <c r="L82" i="1"/>
  <c r="K82" i="1"/>
  <c r="N82" i="1" s="1"/>
  <c r="J82" i="1"/>
  <c r="L81" i="1"/>
  <c r="K81" i="1"/>
  <c r="N81" i="1" s="1"/>
  <c r="J81" i="1"/>
  <c r="L77" i="1"/>
  <c r="K77" i="1"/>
  <c r="N77" i="1" s="1"/>
  <c r="J77" i="1"/>
  <c r="L76" i="1"/>
  <c r="K76" i="1"/>
  <c r="N76" i="1" s="1"/>
  <c r="J76" i="1"/>
  <c r="L75" i="1"/>
  <c r="K75" i="1"/>
  <c r="N75" i="1" s="1"/>
  <c r="J75" i="1"/>
  <c r="L74" i="1"/>
  <c r="K74" i="1"/>
  <c r="N74" i="1" s="1"/>
  <c r="J74" i="1"/>
  <c r="L73" i="1"/>
  <c r="K73" i="1"/>
  <c r="N73" i="1" s="1"/>
  <c r="J73" i="1"/>
  <c r="L72" i="1"/>
  <c r="K72" i="1"/>
  <c r="N72" i="1" s="1"/>
  <c r="J72" i="1"/>
  <c r="L71" i="1"/>
  <c r="K71" i="1"/>
  <c r="N71" i="1" s="1"/>
  <c r="J71" i="1"/>
  <c r="L70" i="1"/>
  <c r="K70" i="1"/>
  <c r="N70" i="1" s="1"/>
  <c r="J70" i="1"/>
  <c r="L65" i="1"/>
  <c r="K65" i="1"/>
  <c r="N65" i="1" s="1"/>
  <c r="J65" i="1"/>
  <c r="L64" i="1"/>
  <c r="K64" i="1"/>
  <c r="N64" i="1" s="1"/>
  <c r="J64" i="1"/>
  <c r="L62" i="1"/>
  <c r="K62" i="1"/>
  <c r="N62" i="1" s="1"/>
  <c r="J62" i="1"/>
  <c r="L61" i="1"/>
  <c r="K61" i="1"/>
  <c r="N61" i="1" s="1"/>
  <c r="J61" i="1"/>
  <c r="L59" i="1"/>
  <c r="K59" i="1"/>
  <c r="N59" i="1" s="1"/>
  <c r="J59" i="1"/>
  <c r="L58" i="1"/>
  <c r="K58" i="1"/>
  <c r="N58" i="1" s="1"/>
  <c r="J58" i="1"/>
  <c r="L56" i="1"/>
  <c r="K56" i="1"/>
  <c r="N56" i="1" s="1"/>
  <c r="J56" i="1"/>
  <c r="L54" i="1"/>
  <c r="K54" i="1"/>
  <c r="N54" i="1" s="1"/>
  <c r="J54" i="1"/>
  <c r="L52" i="1"/>
  <c r="K52" i="1"/>
  <c r="N52" i="1" s="1"/>
  <c r="J52" i="1"/>
  <c r="L51" i="1"/>
  <c r="K51" i="1"/>
  <c r="N51" i="1" s="1"/>
  <c r="J51" i="1"/>
  <c r="L50" i="1"/>
  <c r="K50" i="1"/>
  <c r="N50" i="1" s="1"/>
  <c r="J50" i="1"/>
  <c r="L48" i="1"/>
  <c r="K48" i="1"/>
  <c r="N48" i="1" s="1"/>
  <c r="J48" i="1"/>
  <c r="L47" i="1"/>
  <c r="K47" i="1"/>
  <c r="N47" i="1" s="1"/>
  <c r="J47" i="1"/>
  <c r="L45" i="1"/>
  <c r="K45" i="1"/>
  <c r="N45" i="1" s="1"/>
  <c r="J45" i="1"/>
  <c r="L44" i="1"/>
  <c r="K44" i="1"/>
  <c r="N44" i="1" s="1"/>
  <c r="J44" i="1"/>
  <c r="L43" i="1"/>
  <c r="K43" i="1"/>
  <c r="N43" i="1" s="1"/>
  <c r="J43" i="1"/>
  <c r="L42" i="1"/>
  <c r="K42" i="1"/>
  <c r="N42" i="1" s="1"/>
  <c r="J42" i="1"/>
  <c r="L41" i="1"/>
  <c r="K41" i="1"/>
  <c r="N41" i="1" s="1"/>
  <c r="J41" i="1"/>
  <c r="L39" i="1"/>
  <c r="K39" i="1"/>
  <c r="N39" i="1" s="1"/>
  <c r="J39" i="1"/>
  <c r="L38" i="1"/>
  <c r="K38" i="1"/>
  <c r="N38" i="1" s="1"/>
  <c r="J38" i="1"/>
  <c r="L35" i="1"/>
  <c r="K35" i="1"/>
  <c r="N35" i="1" s="1"/>
  <c r="J35" i="1"/>
  <c r="L34" i="1"/>
  <c r="K34" i="1"/>
  <c r="N34" i="1" s="1"/>
  <c r="J34" i="1"/>
  <c r="L31" i="1"/>
  <c r="K31" i="1"/>
  <c r="N31" i="1" s="1"/>
  <c r="J31" i="1"/>
  <c r="L30" i="1"/>
  <c r="K30" i="1"/>
  <c r="N30" i="1" s="1"/>
  <c r="J30" i="1"/>
  <c r="L28" i="1"/>
  <c r="K28" i="1"/>
  <c r="N28" i="1" s="1"/>
  <c r="J28" i="1"/>
  <c r="L26" i="1"/>
  <c r="K26" i="1"/>
  <c r="N26" i="1" s="1"/>
  <c r="J26" i="1"/>
  <c r="L25" i="1"/>
  <c r="K25" i="1"/>
  <c r="N25" i="1" s="1"/>
  <c r="J25" i="1"/>
  <c r="L24" i="1"/>
  <c r="K24" i="1"/>
  <c r="N24" i="1" s="1"/>
  <c r="J24" i="1"/>
  <c r="L23" i="1"/>
  <c r="K23" i="1"/>
  <c r="N23" i="1" s="1"/>
  <c r="J23" i="1"/>
  <c r="L21" i="1"/>
  <c r="K21" i="1"/>
  <c r="N21" i="1" s="1"/>
  <c r="J21" i="1"/>
  <c r="L20" i="1"/>
  <c r="K20" i="1"/>
  <c r="N20" i="1" s="1"/>
  <c r="J20" i="1"/>
  <c r="L19" i="1"/>
  <c r="K19" i="1"/>
  <c r="N19" i="1" s="1"/>
  <c r="J19" i="1"/>
  <c r="L18" i="1"/>
  <c r="K18" i="1"/>
  <c r="N18" i="1" s="1"/>
  <c r="J18" i="1"/>
  <c r="L13" i="1"/>
  <c r="K13" i="1"/>
  <c r="N13" i="1" s="1"/>
  <c r="J13" i="1"/>
  <c r="L10" i="1"/>
  <c r="K10" i="1"/>
  <c r="N10" i="1" s="1"/>
  <c r="J10" i="1"/>
  <c r="L9" i="1"/>
  <c r="K9" i="1"/>
  <c r="N9" i="1" s="1"/>
  <c r="J9" i="1"/>
  <c r="L6" i="1"/>
  <c r="K6" i="1"/>
  <c r="N6" i="1" s="1"/>
  <c r="J6" i="1"/>
  <c r="K530" i="10"/>
  <c r="J530" i="10"/>
  <c r="L530" i="10" s="1"/>
  <c r="M530" i="10" s="1"/>
  <c r="O530" i="10" s="1"/>
  <c r="I530" i="10"/>
  <c r="K529" i="10"/>
  <c r="J529" i="10"/>
  <c r="L529" i="10" s="1"/>
  <c r="M529" i="10" s="1"/>
  <c r="O529" i="10" s="1"/>
  <c r="I529" i="10"/>
  <c r="K528" i="10"/>
  <c r="J528" i="10"/>
  <c r="L528" i="10" s="1"/>
  <c r="M528" i="10" s="1"/>
  <c r="O528" i="10" s="1"/>
  <c r="I528" i="10"/>
  <c r="K527" i="10"/>
  <c r="J527" i="10"/>
  <c r="L527" i="10" s="1"/>
  <c r="M527" i="10" s="1"/>
  <c r="O527" i="10" s="1"/>
  <c r="I527" i="10"/>
  <c r="K526" i="10"/>
  <c r="J526" i="10"/>
  <c r="L526" i="10" s="1"/>
  <c r="M526" i="10" s="1"/>
  <c r="O526" i="10" s="1"/>
  <c r="I526" i="10"/>
  <c r="K525" i="10"/>
  <c r="J525" i="10"/>
  <c r="L525" i="10" s="1"/>
  <c r="M525" i="10" s="1"/>
  <c r="O525" i="10" s="1"/>
  <c r="I525" i="10"/>
  <c r="K524" i="10"/>
  <c r="J524" i="10"/>
  <c r="L524" i="10" s="1"/>
  <c r="M524" i="10" s="1"/>
  <c r="O524" i="10" s="1"/>
  <c r="I524" i="10"/>
  <c r="K523" i="10"/>
  <c r="J523" i="10"/>
  <c r="L523" i="10" s="1"/>
  <c r="M523" i="10" s="1"/>
  <c r="O523" i="10" s="1"/>
  <c r="I523" i="10"/>
  <c r="K522" i="10"/>
  <c r="J522" i="10"/>
  <c r="L522" i="10" s="1"/>
  <c r="M522" i="10" s="1"/>
  <c r="O522" i="10" s="1"/>
  <c r="I522" i="10"/>
  <c r="K521" i="10"/>
  <c r="J521" i="10"/>
  <c r="L521" i="10" s="1"/>
  <c r="M521" i="10" s="1"/>
  <c r="O521" i="10" s="1"/>
  <c r="I521" i="10"/>
  <c r="K520" i="10"/>
  <c r="J520" i="10"/>
  <c r="L520" i="10" s="1"/>
  <c r="M520" i="10" s="1"/>
  <c r="O520" i="10" s="1"/>
  <c r="I520" i="10"/>
  <c r="K519" i="10"/>
  <c r="J519" i="10"/>
  <c r="L519" i="10" s="1"/>
  <c r="M519" i="10" s="1"/>
  <c r="O519" i="10" s="1"/>
  <c r="I519" i="10"/>
  <c r="K518" i="10"/>
  <c r="J518" i="10"/>
  <c r="L518" i="10" s="1"/>
  <c r="M518" i="10" s="1"/>
  <c r="O518" i="10" s="1"/>
  <c r="I518" i="10"/>
  <c r="K517" i="10"/>
  <c r="J517" i="10"/>
  <c r="L517" i="10" s="1"/>
  <c r="M517" i="10" s="1"/>
  <c r="O517" i="10" s="1"/>
  <c r="I517" i="10"/>
  <c r="K516" i="10"/>
  <c r="J516" i="10"/>
  <c r="L516" i="10" s="1"/>
  <c r="M516" i="10" s="1"/>
  <c r="O516" i="10" s="1"/>
  <c r="I516" i="10"/>
  <c r="K515" i="10"/>
  <c r="J515" i="10"/>
  <c r="L515" i="10" s="1"/>
  <c r="M515" i="10" s="1"/>
  <c r="O515" i="10" s="1"/>
  <c r="I515" i="10"/>
  <c r="K514" i="10"/>
  <c r="J514" i="10"/>
  <c r="L514" i="10" s="1"/>
  <c r="M514" i="10" s="1"/>
  <c r="O514" i="10" s="1"/>
  <c r="I514" i="10"/>
  <c r="K513" i="10"/>
  <c r="J513" i="10"/>
  <c r="L513" i="10" s="1"/>
  <c r="M513" i="10" s="1"/>
  <c r="O513" i="10" s="1"/>
  <c r="I513" i="10"/>
  <c r="K512" i="10"/>
  <c r="J512" i="10"/>
  <c r="L512" i="10" s="1"/>
  <c r="M512" i="10" s="1"/>
  <c r="O512" i="10" s="1"/>
  <c r="I512" i="10"/>
  <c r="K511" i="10"/>
  <c r="J511" i="10"/>
  <c r="L511" i="10" s="1"/>
  <c r="M511" i="10" s="1"/>
  <c r="O511" i="10" s="1"/>
  <c r="I511" i="10"/>
  <c r="K510" i="10"/>
  <c r="J510" i="10"/>
  <c r="L510" i="10" s="1"/>
  <c r="M510" i="10" s="1"/>
  <c r="O510" i="10" s="1"/>
  <c r="I510" i="10"/>
  <c r="K509" i="10"/>
  <c r="J509" i="10"/>
  <c r="L509" i="10" s="1"/>
  <c r="M509" i="10" s="1"/>
  <c r="O509" i="10" s="1"/>
  <c r="I509" i="10"/>
  <c r="K508" i="10"/>
  <c r="J508" i="10"/>
  <c r="L508" i="10" s="1"/>
  <c r="M508" i="10" s="1"/>
  <c r="O508" i="10" s="1"/>
  <c r="I508" i="10"/>
  <c r="K507" i="10"/>
  <c r="J507" i="10"/>
  <c r="L507" i="10" s="1"/>
  <c r="M507" i="10" s="1"/>
  <c r="O507" i="10" s="1"/>
  <c r="I507" i="10"/>
  <c r="K506" i="10"/>
  <c r="J506" i="10"/>
  <c r="L506" i="10" s="1"/>
  <c r="M506" i="10" s="1"/>
  <c r="O506" i="10" s="1"/>
  <c r="I506" i="10"/>
  <c r="K505" i="10"/>
  <c r="J505" i="10"/>
  <c r="L505" i="10" s="1"/>
  <c r="M505" i="10" s="1"/>
  <c r="O505" i="10" s="1"/>
  <c r="I505" i="10"/>
  <c r="K504" i="10"/>
  <c r="J504" i="10"/>
  <c r="L504" i="10" s="1"/>
  <c r="M504" i="10" s="1"/>
  <c r="O504" i="10" s="1"/>
  <c r="I504" i="10"/>
  <c r="K503" i="10"/>
  <c r="J503" i="10"/>
  <c r="L503" i="10" s="1"/>
  <c r="M503" i="10" s="1"/>
  <c r="O503" i="10" s="1"/>
  <c r="I503" i="10"/>
  <c r="K502" i="10"/>
  <c r="J502" i="10"/>
  <c r="L502" i="10" s="1"/>
  <c r="M502" i="10" s="1"/>
  <c r="O502" i="10" s="1"/>
  <c r="I502" i="10"/>
  <c r="K501" i="10"/>
  <c r="J501" i="10"/>
  <c r="L501" i="10" s="1"/>
  <c r="M501" i="10" s="1"/>
  <c r="O501" i="10" s="1"/>
  <c r="I501" i="10"/>
  <c r="K500" i="10"/>
  <c r="J500" i="10"/>
  <c r="L500" i="10" s="1"/>
  <c r="M500" i="10" s="1"/>
  <c r="O500" i="10" s="1"/>
  <c r="I500" i="10"/>
  <c r="K499" i="10"/>
  <c r="J499" i="10"/>
  <c r="L499" i="10" s="1"/>
  <c r="M499" i="10" s="1"/>
  <c r="O499" i="10" s="1"/>
  <c r="I499" i="10"/>
  <c r="K498" i="10"/>
  <c r="J498" i="10"/>
  <c r="L498" i="10" s="1"/>
  <c r="M498" i="10" s="1"/>
  <c r="O498" i="10" s="1"/>
  <c r="I498" i="10"/>
  <c r="K497" i="10"/>
  <c r="J497" i="10"/>
  <c r="L497" i="10" s="1"/>
  <c r="M497" i="10" s="1"/>
  <c r="O497" i="10" s="1"/>
  <c r="I497" i="10"/>
  <c r="K496" i="10"/>
  <c r="J496" i="10"/>
  <c r="L496" i="10" s="1"/>
  <c r="M496" i="10" s="1"/>
  <c r="O496" i="10" s="1"/>
  <c r="I496" i="10"/>
  <c r="K495" i="10"/>
  <c r="J495" i="10"/>
  <c r="L495" i="10" s="1"/>
  <c r="M495" i="10" s="1"/>
  <c r="O495" i="10" s="1"/>
  <c r="I495" i="10"/>
  <c r="K494" i="10"/>
  <c r="J494" i="10"/>
  <c r="L494" i="10" s="1"/>
  <c r="M494" i="10" s="1"/>
  <c r="O494" i="10" s="1"/>
  <c r="I494" i="10"/>
  <c r="K493" i="10"/>
  <c r="J493" i="10"/>
  <c r="L493" i="10" s="1"/>
  <c r="M493" i="10" s="1"/>
  <c r="O493" i="10" s="1"/>
  <c r="I493" i="10"/>
  <c r="K492" i="10"/>
  <c r="J492" i="10"/>
  <c r="L492" i="10" s="1"/>
  <c r="M492" i="10" s="1"/>
  <c r="O492" i="10" s="1"/>
  <c r="I492" i="10"/>
  <c r="K491" i="10"/>
  <c r="J491" i="10"/>
  <c r="L491" i="10" s="1"/>
  <c r="M491" i="10" s="1"/>
  <c r="O491" i="10" s="1"/>
  <c r="I491" i="10"/>
  <c r="K490" i="10"/>
  <c r="J490" i="10"/>
  <c r="L490" i="10" s="1"/>
  <c r="M490" i="10" s="1"/>
  <c r="O490" i="10" s="1"/>
  <c r="I490" i="10"/>
  <c r="K489" i="10"/>
  <c r="J489" i="10"/>
  <c r="L489" i="10" s="1"/>
  <c r="M489" i="10" s="1"/>
  <c r="O489" i="10" s="1"/>
  <c r="I489" i="10"/>
  <c r="K488" i="10"/>
  <c r="J488" i="10"/>
  <c r="L488" i="10" s="1"/>
  <c r="M488" i="10" s="1"/>
  <c r="O488" i="10" s="1"/>
  <c r="I488" i="10"/>
  <c r="K487" i="10"/>
  <c r="J487" i="10"/>
  <c r="L487" i="10" s="1"/>
  <c r="M487" i="10" s="1"/>
  <c r="O487" i="10" s="1"/>
  <c r="I487" i="10"/>
  <c r="K486" i="10"/>
  <c r="J486" i="10"/>
  <c r="L486" i="10" s="1"/>
  <c r="M486" i="10" s="1"/>
  <c r="O486" i="10" s="1"/>
  <c r="I486" i="10"/>
  <c r="K485" i="10"/>
  <c r="J485" i="10"/>
  <c r="L485" i="10" s="1"/>
  <c r="M485" i="10" s="1"/>
  <c r="O485" i="10" s="1"/>
  <c r="I485" i="10"/>
  <c r="K484" i="10"/>
  <c r="J484" i="10"/>
  <c r="L484" i="10" s="1"/>
  <c r="M484" i="10" s="1"/>
  <c r="O484" i="10" s="1"/>
  <c r="I484" i="10"/>
  <c r="K483" i="10"/>
  <c r="J483" i="10"/>
  <c r="L483" i="10" s="1"/>
  <c r="M483" i="10" s="1"/>
  <c r="O483" i="10" s="1"/>
  <c r="I483" i="10"/>
  <c r="K482" i="10"/>
  <c r="J482" i="10"/>
  <c r="L482" i="10" s="1"/>
  <c r="M482" i="10" s="1"/>
  <c r="O482" i="10" s="1"/>
  <c r="I482" i="10"/>
  <c r="K481" i="10"/>
  <c r="J481" i="10"/>
  <c r="L481" i="10" s="1"/>
  <c r="M481" i="10" s="1"/>
  <c r="O481" i="10" s="1"/>
  <c r="I481" i="10"/>
  <c r="K480" i="10"/>
  <c r="J480" i="10"/>
  <c r="L480" i="10" s="1"/>
  <c r="M480" i="10" s="1"/>
  <c r="O480" i="10" s="1"/>
  <c r="I480" i="10"/>
  <c r="K479" i="10"/>
  <c r="J479" i="10"/>
  <c r="L479" i="10" s="1"/>
  <c r="M479" i="10" s="1"/>
  <c r="O479" i="10" s="1"/>
  <c r="I479" i="10"/>
  <c r="K478" i="10"/>
  <c r="J478" i="10"/>
  <c r="L478" i="10" s="1"/>
  <c r="M478" i="10" s="1"/>
  <c r="O478" i="10" s="1"/>
  <c r="I478" i="10"/>
  <c r="K477" i="10"/>
  <c r="J477" i="10"/>
  <c r="L477" i="10" s="1"/>
  <c r="M477" i="10" s="1"/>
  <c r="O477" i="10" s="1"/>
  <c r="I477" i="10"/>
  <c r="K476" i="10"/>
  <c r="J476" i="10"/>
  <c r="L476" i="10" s="1"/>
  <c r="M476" i="10" s="1"/>
  <c r="O476" i="10" s="1"/>
  <c r="I476" i="10"/>
  <c r="K475" i="10"/>
  <c r="J475" i="10"/>
  <c r="L475" i="10" s="1"/>
  <c r="M475" i="10" s="1"/>
  <c r="O475" i="10" s="1"/>
  <c r="I475" i="10"/>
  <c r="K474" i="10"/>
  <c r="J474" i="10"/>
  <c r="L474" i="10" s="1"/>
  <c r="M474" i="10" s="1"/>
  <c r="O474" i="10" s="1"/>
  <c r="I474" i="10"/>
  <c r="K473" i="10"/>
  <c r="J473" i="10"/>
  <c r="L473" i="10" s="1"/>
  <c r="M473" i="10" s="1"/>
  <c r="O473" i="10" s="1"/>
  <c r="I473" i="10"/>
  <c r="K472" i="10"/>
  <c r="J472" i="10"/>
  <c r="L472" i="10" s="1"/>
  <c r="M472" i="10" s="1"/>
  <c r="O472" i="10" s="1"/>
  <c r="I472" i="10"/>
  <c r="K471" i="10"/>
  <c r="J471" i="10"/>
  <c r="L471" i="10" s="1"/>
  <c r="M471" i="10" s="1"/>
  <c r="O471" i="10" s="1"/>
  <c r="I471" i="10"/>
  <c r="K470" i="10"/>
  <c r="J470" i="10"/>
  <c r="L470" i="10" s="1"/>
  <c r="M470" i="10" s="1"/>
  <c r="O470" i="10" s="1"/>
  <c r="I470" i="10"/>
  <c r="K469" i="10"/>
  <c r="J469" i="10"/>
  <c r="L469" i="10" s="1"/>
  <c r="M469" i="10" s="1"/>
  <c r="O469" i="10" s="1"/>
  <c r="I469" i="10"/>
  <c r="K468" i="10"/>
  <c r="J468" i="10"/>
  <c r="L468" i="10" s="1"/>
  <c r="M468" i="10" s="1"/>
  <c r="O468" i="10" s="1"/>
  <c r="I468" i="10"/>
  <c r="K467" i="10"/>
  <c r="J467" i="10"/>
  <c r="L467" i="10" s="1"/>
  <c r="M467" i="10" s="1"/>
  <c r="O467" i="10" s="1"/>
  <c r="I467" i="10"/>
  <c r="K466" i="10"/>
  <c r="J466" i="10"/>
  <c r="L466" i="10" s="1"/>
  <c r="M466" i="10" s="1"/>
  <c r="O466" i="10" s="1"/>
  <c r="I466" i="10"/>
  <c r="K465" i="10"/>
  <c r="J465" i="10"/>
  <c r="L465" i="10" s="1"/>
  <c r="M465" i="10" s="1"/>
  <c r="O465" i="10" s="1"/>
  <c r="I465" i="10"/>
  <c r="K464" i="10"/>
  <c r="J464" i="10"/>
  <c r="L464" i="10" s="1"/>
  <c r="M464" i="10" s="1"/>
  <c r="O464" i="10" s="1"/>
  <c r="I464" i="10"/>
  <c r="K461" i="10"/>
  <c r="J461" i="10"/>
  <c r="L461" i="10" s="1"/>
  <c r="M461" i="10" s="1"/>
  <c r="O461" i="10" s="1"/>
  <c r="I461" i="10"/>
  <c r="K460" i="10"/>
  <c r="J460" i="10"/>
  <c r="L460" i="10" s="1"/>
  <c r="M460" i="10" s="1"/>
  <c r="O460" i="10" s="1"/>
  <c r="I460" i="10"/>
  <c r="K459" i="10"/>
  <c r="J459" i="10"/>
  <c r="L459" i="10" s="1"/>
  <c r="M459" i="10" s="1"/>
  <c r="O459" i="10" s="1"/>
  <c r="I459" i="10"/>
  <c r="K458" i="10"/>
  <c r="J458" i="10"/>
  <c r="L458" i="10" s="1"/>
  <c r="M458" i="10" s="1"/>
  <c r="O458" i="10" s="1"/>
  <c r="I458" i="10"/>
  <c r="K457" i="10"/>
  <c r="J457" i="10"/>
  <c r="L457" i="10" s="1"/>
  <c r="M457" i="10" s="1"/>
  <c r="O457" i="10" s="1"/>
  <c r="I457" i="10"/>
  <c r="K456" i="10"/>
  <c r="J456" i="10"/>
  <c r="L456" i="10" s="1"/>
  <c r="M456" i="10" s="1"/>
  <c r="O456" i="10" s="1"/>
  <c r="I456" i="10"/>
  <c r="K455" i="10"/>
  <c r="J455" i="10"/>
  <c r="L455" i="10" s="1"/>
  <c r="M455" i="10" s="1"/>
  <c r="O455" i="10" s="1"/>
  <c r="I455" i="10"/>
  <c r="K454" i="10"/>
  <c r="J454" i="10"/>
  <c r="L454" i="10" s="1"/>
  <c r="M454" i="10" s="1"/>
  <c r="O454" i="10" s="1"/>
  <c r="I454" i="10"/>
  <c r="K453" i="10"/>
  <c r="J453" i="10"/>
  <c r="L453" i="10" s="1"/>
  <c r="M453" i="10" s="1"/>
  <c r="O453" i="10" s="1"/>
  <c r="I453" i="10"/>
  <c r="K452" i="10"/>
  <c r="J452" i="10"/>
  <c r="L452" i="10" s="1"/>
  <c r="M452" i="10" s="1"/>
  <c r="O452" i="10" s="1"/>
  <c r="I452" i="10"/>
  <c r="K451" i="10"/>
  <c r="J451" i="10"/>
  <c r="L451" i="10" s="1"/>
  <c r="M451" i="10" s="1"/>
  <c r="O451" i="10" s="1"/>
  <c r="I451" i="10"/>
  <c r="K450" i="10"/>
  <c r="J450" i="10"/>
  <c r="L450" i="10" s="1"/>
  <c r="M450" i="10" s="1"/>
  <c r="O450" i="10" s="1"/>
  <c r="I450" i="10"/>
  <c r="K449" i="10"/>
  <c r="J449" i="10"/>
  <c r="L449" i="10" s="1"/>
  <c r="M449" i="10" s="1"/>
  <c r="O449" i="10" s="1"/>
  <c r="I449" i="10"/>
  <c r="K448" i="10"/>
  <c r="J448" i="10"/>
  <c r="L448" i="10" s="1"/>
  <c r="M448" i="10" s="1"/>
  <c r="O448" i="10" s="1"/>
  <c r="I448" i="10"/>
  <c r="K447" i="10"/>
  <c r="J447" i="10"/>
  <c r="L447" i="10" s="1"/>
  <c r="M447" i="10" s="1"/>
  <c r="O447" i="10" s="1"/>
  <c r="I447" i="10"/>
  <c r="K446" i="10"/>
  <c r="J446" i="10"/>
  <c r="L446" i="10" s="1"/>
  <c r="M446" i="10" s="1"/>
  <c r="O446" i="10" s="1"/>
  <c r="I446" i="10"/>
  <c r="K445" i="10"/>
  <c r="J445" i="10"/>
  <c r="L445" i="10" s="1"/>
  <c r="M445" i="10" s="1"/>
  <c r="O445" i="10" s="1"/>
  <c r="I445" i="10"/>
  <c r="K444" i="10"/>
  <c r="J444" i="10"/>
  <c r="L444" i="10" s="1"/>
  <c r="M444" i="10" s="1"/>
  <c r="O444" i="10" s="1"/>
  <c r="I444" i="10"/>
  <c r="K443" i="10"/>
  <c r="J443" i="10"/>
  <c r="L443" i="10" s="1"/>
  <c r="M443" i="10" s="1"/>
  <c r="O443" i="10" s="1"/>
  <c r="I443" i="10"/>
  <c r="K442" i="10"/>
  <c r="J442" i="10"/>
  <c r="L442" i="10" s="1"/>
  <c r="M442" i="10" s="1"/>
  <c r="O442" i="10" s="1"/>
  <c r="I442" i="10"/>
  <c r="K441" i="10"/>
  <c r="J441" i="10"/>
  <c r="L441" i="10" s="1"/>
  <c r="M441" i="10" s="1"/>
  <c r="O441" i="10" s="1"/>
  <c r="I441" i="10"/>
  <c r="K440" i="10"/>
  <c r="J440" i="10"/>
  <c r="L440" i="10" s="1"/>
  <c r="M440" i="10" s="1"/>
  <c r="O440" i="10" s="1"/>
  <c r="I440" i="10"/>
  <c r="K439" i="10"/>
  <c r="J439" i="10"/>
  <c r="L439" i="10" s="1"/>
  <c r="M439" i="10" s="1"/>
  <c r="O439" i="10" s="1"/>
  <c r="I439" i="10"/>
  <c r="K438" i="10"/>
  <c r="J438" i="10"/>
  <c r="L438" i="10" s="1"/>
  <c r="M438" i="10" s="1"/>
  <c r="O438" i="10" s="1"/>
  <c r="I438" i="10"/>
  <c r="K437" i="10"/>
  <c r="J437" i="10"/>
  <c r="L437" i="10" s="1"/>
  <c r="M437" i="10" s="1"/>
  <c r="O437" i="10" s="1"/>
  <c r="I437" i="10"/>
  <c r="K436" i="10"/>
  <c r="J436" i="10"/>
  <c r="L436" i="10" s="1"/>
  <c r="M436" i="10" s="1"/>
  <c r="O436" i="10" s="1"/>
  <c r="I436" i="10"/>
  <c r="K435" i="10"/>
  <c r="J435" i="10"/>
  <c r="L435" i="10" s="1"/>
  <c r="M435" i="10" s="1"/>
  <c r="O435" i="10" s="1"/>
  <c r="I435" i="10"/>
  <c r="K434" i="10"/>
  <c r="J434" i="10"/>
  <c r="L434" i="10" s="1"/>
  <c r="M434" i="10" s="1"/>
  <c r="O434" i="10" s="1"/>
  <c r="I434" i="10"/>
  <c r="K433" i="10"/>
  <c r="J433" i="10"/>
  <c r="L433" i="10" s="1"/>
  <c r="M433" i="10" s="1"/>
  <c r="O433" i="10" s="1"/>
  <c r="I433" i="10"/>
  <c r="K432" i="10"/>
  <c r="J432" i="10"/>
  <c r="L432" i="10" s="1"/>
  <c r="M432" i="10" s="1"/>
  <c r="O432" i="10" s="1"/>
  <c r="I432" i="10"/>
  <c r="K431" i="10"/>
  <c r="J431" i="10"/>
  <c r="L431" i="10" s="1"/>
  <c r="M431" i="10" s="1"/>
  <c r="O431" i="10" s="1"/>
  <c r="I431" i="10"/>
  <c r="K430" i="10"/>
  <c r="J430" i="10"/>
  <c r="L430" i="10" s="1"/>
  <c r="M430" i="10" s="1"/>
  <c r="O430" i="10" s="1"/>
  <c r="I430" i="10"/>
  <c r="K429" i="10"/>
  <c r="J429" i="10"/>
  <c r="L429" i="10" s="1"/>
  <c r="M429" i="10" s="1"/>
  <c r="O429" i="10" s="1"/>
  <c r="I429" i="10"/>
  <c r="K428" i="10"/>
  <c r="J428" i="10"/>
  <c r="L428" i="10" s="1"/>
  <c r="M428" i="10" s="1"/>
  <c r="O428" i="10" s="1"/>
  <c r="I428" i="10"/>
  <c r="K427" i="10"/>
  <c r="J427" i="10"/>
  <c r="L427" i="10" s="1"/>
  <c r="M427" i="10" s="1"/>
  <c r="O427" i="10" s="1"/>
  <c r="I427" i="10"/>
  <c r="K426" i="10"/>
  <c r="J426" i="10"/>
  <c r="L426" i="10" s="1"/>
  <c r="M426" i="10" s="1"/>
  <c r="O426" i="10" s="1"/>
  <c r="I426" i="10"/>
  <c r="K425" i="10"/>
  <c r="J425" i="10"/>
  <c r="L425" i="10" s="1"/>
  <c r="M425" i="10" s="1"/>
  <c r="O425" i="10" s="1"/>
  <c r="I425" i="10"/>
  <c r="K424" i="10"/>
  <c r="J424" i="10"/>
  <c r="L424" i="10" s="1"/>
  <c r="M424" i="10" s="1"/>
  <c r="O424" i="10" s="1"/>
  <c r="I424" i="10"/>
  <c r="K423" i="10"/>
  <c r="J423" i="10"/>
  <c r="L423" i="10" s="1"/>
  <c r="M423" i="10" s="1"/>
  <c r="O423" i="10" s="1"/>
  <c r="I423" i="10"/>
  <c r="K422" i="10"/>
  <c r="J422" i="10"/>
  <c r="L422" i="10" s="1"/>
  <c r="M422" i="10" s="1"/>
  <c r="O422" i="10" s="1"/>
  <c r="I422" i="10"/>
  <c r="K421" i="10"/>
  <c r="J421" i="10"/>
  <c r="L421" i="10" s="1"/>
  <c r="M421" i="10" s="1"/>
  <c r="O421" i="10" s="1"/>
  <c r="I421" i="10"/>
  <c r="K420" i="10"/>
  <c r="J420" i="10"/>
  <c r="L420" i="10" s="1"/>
  <c r="M420" i="10" s="1"/>
  <c r="O420" i="10" s="1"/>
  <c r="I420" i="10"/>
  <c r="K419" i="10"/>
  <c r="J419" i="10"/>
  <c r="L419" i="10" s="1"/>
  <c r="M419" i="10" s="1"/>
  <c r="O419" i="10" s="1"/>
  <c r="I419" i="10"/>
  <c r="K418" i="10"/>
  <c r="J418" i="10"/>
  <c r="L418" i="10" s="1"/>
  <c r="M418" i="10" s="1"/>
  <c r="O418" i="10" s="1"/>
  <c r="I418" i="10"/>
  <c r="K417" i="10"/>
  <c r="J417" i="10"/>
  <c r="L417" i="10" s="1"/>
  <c r="M417" i="10" s="1"/>
  <c r="O417" i="10" s="1"/>
  <c r="I417" i="10"/>
  <c r="K416" i="10"/>
  <c r="J416" i="10"/>
  <c r="L416" i="10" s="1"/>
  <c r="M416" i="10" s="1"/>
  <c r="O416" i="10" s="1"/>
  <c r="I416" i="10"/>
  <c r="K415" i="10"/>
  <c r="J415" i="10"/>
  <c r="L415" i="10" s="1"/>
  <c r="M415" i="10" s="1"/>
  <c r="O415" i="10" s="1"/>
  <c r="I415" i="10"/>
  <c r="K414" i="10"/>
  <c r="J414" i="10"/>
  <c r="L414" i="10" s="1"/>
  <c r="M414" i="10" s="1"/>
  <c r="O414" i="10" s="1"/>
  <c r="I414" i="10"/>
  <c r="K413" i="10"/>
  <c r="J413" i="10"/>
  <c r="L413" i="10" s="1"/>
  <c r="M413" i="10" s="1"/>
  <c r="O413" i="10" s="1"/>
  <c r="I413" i="10"/>
  <c r="K412" i="10"/>
  <c r="J412" i="10"/>
  <c r="L412" i="10" s="1"/>
  <c r="M412" i="10" s="1"/>
  <c r="O412" i="10" s="1"/>
  <c r="I412" i="10"/>
  <c r="K411" i="10"/>
  <c r="J411" i="10"/>
  <c r="L411" i="10" s="1"/>
  <c r="M411" i="10" s="1"/>
  <c r="O411" i="10" s="1"/>
  <c r="I411" i="10"/>
  <c r="K410" i="10"/>
  <c r="J410" i="10"/>
  <c r="L410" i="10" s="1"/>
  <c r="M410" i="10" s="1"/>
  <c r="O410" i="10" s="1"/>
  <c r="I410" i="10"/>
  <c r="K409" i="10"/>
  <c r="J409" i="10"/>
  <c r="L409" i="10" s="1"/>
  <c r="M409" i="10" s="1"/>
  <c r="O409" i="10" s="1"/>
  <c r="I409" i="10"/>
  <c r="K408" i="10"/>
  <c r="J408" i="10"/>
  <c r="L408" i="10" s="1"/>
  <c r="M408" i="10" s="1"/>
  <c r="O408" i="10" s="1"/>
  <c r="I408" i="10"/>
  <c r="K407" i="10"/>
  <c r="J407" i="10"/>
  <c r="L407" i="10" s="1"/>
  <c r="M407" i="10" s="1"/>
  <c r="O407" i="10" s="1"/>
  <c r="I407" i="10"/>
  <c r="K405" i="10"/>
  <c r="J405" i="10"/>
  <c r="L405" i="10" s="1"/>
  <c r="M405" i="10" s="1"/>
  <c r="O405" i="10" s="1"/>
  <c r="I405" i="10"/>
  <c r="K404" i="10"/>
  <c r="J404" i="10"/>
  <c r="L404" i="10" s="1"/>
  <c r="M404" i="10" s="1"/>
  <c r="O404" i="10" s="1"/>
  <c r="I404" i="10"/>
  <c r="K403" i="10"/>
  <c r="J403" i="10"/>
  <c r="L403" i="10" s="1"/>
  <c r="M403" i="10" s="1"/>
  <c r="O403" i="10" s="1"/>
  <c r="I403" i="10"/>
  <c r="K402" i="10"/>
  <c r="J402" i="10"/>
  <c r="L402" i="10" s="1"/>
  <c r="M402" i="10" s="1"/>
  <c r="O402" i="10" s="1"/>
  <c r="I402" i="10"/>
  <c r="K401" i="10"/>
  <c r="J401" i="10"/>
  <c r="L401" i="10" s="1"/>
  <c r="M401" i="10" s="1"/>
  <c r="O401" i="10" s="1"/>
  <c r="I401" i="10"/>
  <c r="K400" i="10"/>
  <c r="J400" i="10"/>
  <c r="L400" i="10" s="1"/>
  <c r="M400" i="10" s="1"/>
  <c r="O400" i="10" s="1"/>
  <c r="I400" i="10"/>
  <c r="K399" i="10"/>
  <c r="J399" i="10"/>
  <c r="L399" i="10" s="1"/>
  <c r="M399" i="10" s="1"/>
  <c r="O399" i="10" s="1"/>
  <c r="I399" i="10"/>
  <c r="K398" i="10"/>
  <c r="J398" i="10"/>
  <c r="L398" i="10" s="1"/>
  <c r="M398" i="10" s="1"/>
  <c r="O398" i="10" s="1"/>
  <c r="I398" i="10"/>
  <c r="K396" i="10"/>
  <c r="J396" i="10"/>
  <c r="L396" i="10" s="1"/>
  <c r="M396" i="10" s="1"/>
  <c r="O396" i="10" s="1"/>
  <c r="I396" i="10"/>
  <c r="K395" i="10"/>
  <c r="J395" i="10"/>
  <c r="L395" i="10" s="1"/>
  <c r="M395" i="10" s="1"/>
  <c r="O395" i="10" s="1"/>
  <c r="I395" i="10"/>
  <c r="K394" i="10"/>
  <c r="J394" i="10"/>
  <c r="L394" i="10" s="1"/>
  <c r="M394" i="10" s="1"/>
  <c r="O394" i="10" s="1"/>
  <c r="I394" i="10"/>
  <c r="K393" i="10"/>
  <c r="J393" i="10"/>
  <c r="L393" i="10" s="1"/>
  <c r="M393" i="10" s="1"/>
  <c r="O393" i="10" s="1"/>
  <c r="I393" i="10"/>
  <c r="K392" i="10"/>
  <c r="J392" i="10"/>
  <c r="L392" i="10" s="1"/>
  <c r="M392" i="10" s="1"/>
  <c r="O392" i="10" s="1"/>
  <c r="I392" i="10"/>
  <c r="K391" i="10"/>
  <c r="J391" i="10"/>
  <c r="L391" i="10" s="1"/>
  <c r="M391" i="10" s="1"/>
  <c r="O391" i="10" s="1"/>
  <c r="I391" i="10"/>
  <c r="K390" i="10"/>
  <c r="J390" i="10"/>
  <c r="L390" i="10" s="1"/>
  <c r="M390" i="10" s="1"/>
  <c r="O390" i="10" s="1"/>
  <c r="I390" i="10"/>
  <c r="K389" i="10"/>
  <c r="J389" i="10"/>
  <c r="L389" i="10" s="1"/>
  <c r="M389" i="10" s="1"/>
  <c r="O389" i="10" s="1"/>
  <c r="I389" i="10"/>
  <c r="K388" i="10"/>
  <c r="J388" i="10"/>
  <c r="L388" i="10" s="1"/>
  <c r="M388" i="10" s="1"/>
  <c r="O388" i="10" s="1"/>
  <c r="I388" i="10"/>
  <c r="K387" i="10"/>
  <c r="J387" i="10"/>
  <c r="L387" i="10" s="1"/>
  <c r="M387" i="10" s="1"/>
  <c r="O387" i="10" s="1"/>
  <c r="I387" i="10"/>
  <c r="K386" i="10"/>
  <c r="J386" i="10"/>
  <c r="L386" i="10" s="1"/>
  <c r="M386" i="10" s="1"/>
  <c r="O386" i="10" s="1"/>
  <c r="I386" i="10"/>
  <c r="K385" i="10"/>
  <c r="J385" i="10"/>
  <c r="L385" i="10" s="1"/>
  <c r="M385" i="10" s="1"/>
  <c r="O385" i="10" s="1"/>
  <c r="I385" i="10"/>
  <c r="K384" i="10"/>
  <c r="J384" i="10"/>
  <c r="L384" i="10" s="1"/>
  <c r="M384" i="10" s="1"/>
  <c r="O384" i="10" s="1"/>
  <c r="I384" i="10"/>
  <c r="K383" i="10"/>
  <c r="J383" i="10"/>
  <c r="L383" i="10" s="1"/>
  <c r="M383" i="10" s="1"/>
  <c r="O383" i="10" s="1"/>
  <c r="I383" i="10"/>
  <c r="K382" i="10"/>
  <c r="J382" i="10"/>
  <c r="L382" i="10" s="1"/>
  <c r="M382" i="10" s="1"/>
  <c r="O382" i="10" s="1"/>
  <c r="I382" i="10"/>
  <c r="K381" i="10"/>
  <c r="J381" i="10"/>
  <c r="L381" i="10" s="1"/>
  <c r="M381" i="10" s="1"/>
  <c r="O381" i="10" s="1"/>
  <c r="I381" i="10"/>
  <c r="K380" i="10"/>
  <c r="J380" i="10"/>
  <c r="L380" i="10" s="1"/>
  <c r="M380" i="10" s="1"/>
  <c r="O380" i="10" s="1"/>
  <c r="I380" i="10"/>
  <c r="K379" i="10"/>
  <c r="J379" i="10"/>
  <c r="L379" i="10" s="1"/>
  <c r="M379" i="10" s="1"/>
  <c r="O379" i="10" s="1"/>
  <c r="I379" i="10"/>
  <c r="K378" i="10"/>
  <c r="J378" i="10"/>
  <c r="L378" i="10" s="1"/>
  <c r="M378" i="10" s="1"/>
  <c r="O378" i="10" s="1"/>
  <c r="I378" i="10"/>
  <c r="K377" i="10"/>
  <c r="J377" i="10"/>
  <c r="L377" i="10" s="1"/>
  <c r="M377" i="10" s="1"/>
  <c r="O377" i="10" s="1"/>
  <c r="I377" i="10"/>
  <c r="K376" i="10"/>
  <c r="J376" i="10"/>
  <c r="L376" i="10" s="1"/>
  <c r="M376" i="10" s="1"/>
  <c r="O376" i="10" s="1"/>
  <c r="I376" i="10"/>
  <c r="K374" i="10"/>
  <c r="J374" i="10"/>
  <c r="L374" i="10" s="1"/>
  <c r="M374" i="10" s="1"/>
  <c r="O374" i="10" s="1"/>
  <c r="I374" i="10"/>
  <c r="K373" i="10"/>
  <c r="J373" i="10"/>
  <c r="L373" i="10" s="1"/>
  <c r="M373" i="10" s="1"/>
  <c r="O373" i="10" s="1"/>
  <c r="I373" i="10"/>
  <c r="K372" i="10"/>
  <c r="J372" i="10"/>
  <c r="L372" i="10" s="1"/>
  <c r="M372" i="10" s="1"/>
  <c r="O372" i="10" s="1"/>
  <c r="I372" i="10"/>
  <c r="K371" i="10"/>
  <c r="J371" i="10"/>
  <c r="L371" i="10" s="1"/>
  <c r="M371" i="10" s="1"/>
  <c r="O371" i="10" s="1"/>
  <c r="I371" i="10"/>
  <c r="K368" i="10"/>
  <c r="J368" i="10"/>
  <c r="L368" i="10" s="1"/>
  <c r="M368" i="10" s="1"/>
  <c r="O368" i="10" s="1"/>
  <c r="I368" i="10"/>
  <c r="K367" i="10"/>
  <c r="J367" i="10"/>
  <c r="L367" i="10" s="1"/>
  <c r="M367" i="10" s="1"/>
  <c r="O367" i="10" s="1"/>
  <c r="I367" i="10"/>
  <c r="K366" i="10"/>
  <c r="J366" i="10"/>
  <c r="L366" i="10" s="1"/>
  <c r="M366" i="10" s="1"/>
  <c r="O366" i="10" s="1"/>
  <c r="I366" i="10"/>
  <c r="K365" i="10"/>
  <c r="J365" i="10"/>
  <c r="L365" i="10" s="1"/>
  <c r="M365" i="10" s="1"/>
  <c r="O365" i="10" s="1"/>
  <c r="I365" i="10"/>
  <c r="K363" i="10"/>
  <c r="J363" i="10"/>
  <c r="L363" i="10" s="1"/>
  <c r="M363" i="10" s="1"/>
  <c r="O363" i="10" s="1"/>
  <c r="I363" i="10"/>
  <c r="K362" i="10"/>
  <c r="J362" i="10"/>
  <c r="L362" i="10" s="1"/>
  <c r="M362" i="10" s="1"/>
  <c r="O362" i="10" s="1"/>
  <c r="I362" i="10"/>
  <c r="K359" i="10"/>
  <c r="J359" i="10"/>
  <c r="L359" i="10" s="1"/>
  <c r="M359" i="10" s="1"/>
  <c r="O359" i="10" s="1"/>
  <c r="I359" i="10"/>
  <c r="K358" i="10"/>
  <c r="J358" i="10"/>
  <c r="L358" i="10" s="1"/>
  <c r="M358" i="10" s="1"/>
  <c r="O358" i="10" s="1"/>
  <c r="I358" i="10"/>
  <c r="K357" i="10"/>
  <c r="J357" i="10"/>
  <c r="L357" i="10" s="1"/>
  <c r="M357" i="10" s="1"/>
  <c r="O357" i="10" s="1"/>
  <c r="I357" i="10"/>
  <c r="K356" i="10"/>
  <c r="J356" i="10"/>
  <c r="L356" i="10" s="1"/>
  <c r="M356" i="10" s="1"/>
  <c r="O356" i="10" s="1"/>
  <c r="I356" i="10"/>
  <c r="K351" i="10"/>
  <c r="J351" i="10"/>
  <c r="L351" i="10" s="1"/>
  <c r="M351" i="10" s="1"/>
  <c r="O351" i="10" s="1"/>
  <c r="I351" i="10"/>
  <c r="K350" i="10"/>
  <c r="J350" i="10"/>
  <c r="L350" i="10" s="1"/>
  <c r="M350" i="10" s="1"/>
  <c r="O350" i="10" s="1"/>
  <c r="I350" i="10"/>
  <c r="K346" i="10"/>
  <c r="J346" i="10"/>
  <c r="L346" i="10" s="1"/>
  <c r="M346" i="10" s="1"/>
  <c r="O346" i="10" s="1"/>
  <c r="I346" i="10"/>
  <c r="K343" i="10"/>
  <c r="J343" i="10"/>
  <c r="L343" i="10" s="1"/>
  <c r="M343" i="10" s="1"/>
  <c r="O343" i="10" s="1"/>
  <c r="I343" i="10"/>
  <c r="K342" i="10"/>
  <c r="J342" i="10"/>
  <c r="L342" i="10" s="1"/>
  <c r="M342" i="10" s="1"/>
  <c r="O342" i="10" s="1"/>
  <c r="I342" i="10"/>
  <c r="K341" i="10"/>
  <c r="J341" i="10"/>
  <c r="L341" i="10" s="1"/>
  <c r="M341" i="10" s="1"/>
  <c r="O341" i="10" s="1"/>
  <c r="I341" i="10"/>
  <c r="K340" i="10"/>
  <c r="J340" i="10"/>
  <c r="L340" i="10" s="1"/>
  <c r="M340" i="10" s="1"/>
  <c r="O340" i="10" s="1"/>
  <c r="I340" i="10"/>
  <c r="K339" i="10"/>
  <c r="J339" i="10"/>
  <c r="L339" i="10" s="1"/>
  <c r="M339" i="10" s="1"/>
  <c r="O339" i="10" s="1"/>
  <c r="I339" i="10"/>
  <c r="K338" i="10"/>
  <c r="J338" i="10"/>
  <c r="L338" i="10" s="1"/>
  <c r="M338" i="10" s="1"/>
  <c r="O338" i="10" s="1"/>
  <c r="I338" i="10"/>
  <c r="K337" i="10"/>
  <c r="J337" i="10"/>
  <c r="L337" i="10" s="1"/>
  <c r="M337" i="10" s="1"/>
  <c r="O337" i="10" s="1"/>
  <c r="I337" i="10"/>
  <c r="K336" i="10"/>
  <c r="J336" i="10"/>
  <c r="L336" i="10" s="1"/>
  <c r="M336" i="10" s="1"/>
  <c r="O336" i="10" s="1"/>
  <c r="I336" i="10"/>
  <c r="K334" i="10"/>
  <c r="J334" i="10"/>
  <c r="L334" i="10" s="1"/>
  <c r="M334" i="10" s="1"/>
  <c r="O334" i="10" s="1"/>
  <c r="I334" i="10"/>
  <c r="K333" i="10"/>
  <c r="J333" i="10"/>
  <c r="L333" i="10" s="1"/>
  <c r="M333" i="10" s="1"/>
  <c r="O333" i="10" s="1"/>
  <c r="I333" i="10"/>
  <c r="K331" i="10"/>
  <c r="J331" i="10"/>
  <c r="L331" i="10" s="1"/>
  <c r="M331" i="10" s="1"/>
  <c r="O331" i="10" s="1"/>
  <c r="I331" i="10"/>
  <c r="K330" i="10"/>
  <c r="J330" i="10"/>
  <c r="L330" i="10" s="1"/>
  <c r="M330" i="10" s="1"/>
  <c r="O330" i="10" s="1"/>
  <c r="I330" i="10"/>
  <c r="K329" i="10"/>
  <c r="J329" i="10"/>
  <c r="L329" i="10" s="1"/>
  <c r="M329" i="10" s="1"/>
  <c r="O329" i="10" s="1"/>
  <c r="I329" i="10"/>
  <c r="K328" i="10"/>
  <c r="J328" i="10"/>
  <c r="L328" i="10" s="1"/>
  <c r="M328" i="10" s="1"/>
  <c r="O328" i="10" s="1"/>
  <c r="I328" i="10"/>
  <c r="K327" i="10"/>
  <c r="J327" i="10"/>
  <c r="L327" i="10" s="1"/>
  <c r="M327" i="10" s="1"/>
  <c r="O327" i="10" s="1"/>
  <c r="I327" i="10"/>
  <c r="K326" i="10"/>
  <c r="J326" i="10"/>
  <c r="L326" i="10" s="1"/>
  <c r="M326" i="10" s="1"/>
  <c r="O326" i="10" s="1"/>
  <c r="I326" i="10"/>
  <c r="K325" i="10"/>
  <c r="J325" i="10"/>
  <c r="L325" i="10" s="1"/>
  <c r="M325" i="10" s="1"/>
  <c r="O325" i="10" s="1"/>
  <c r="I325" i="10"/>
  <c r="K324" i="10"/>
  <c r="J324" i="10"/>
  <c r="L324" i="10" s="1"/>
  <c r="M324" i="10" s="1"/>
  <c r="O324" i="10" s="1"/>
  <c r="I324" i="10"/>
  <c r="K323" i="10"/>
  <c r="J323" i="10"/>
  <c r="L323" i="10" s="1"/>
  <c r="M323" i="10" s="1"/>
  <c r="O323" i="10" s="1"/>
  <c r="I323" i="10"/>
  <c r="K322" i="10"/>
  <c r="J322" i="10"/>
  <c r="L322" i="10" s="1"/>
  <c r="M322" i="10" s="1"/>
  <c r="O322" i="10" s="1"/>
  <c r="I322" i="10"/>
  <c r="K321" i="10"/>
  <c r="J321" i="10"/>
  <c r="L321" i="10" s="1"/>
  <c r="M321" i="10" s="1"/>
  <c r="O321" i="10" s="1"/>
  <c r="I321" i="10"/>
  <c r="K320" i="10"/>
  <c r="J320" i="10"/>
  <c r="L320" i="10" s="1"/>
  <c r="M320" i="10" s="1"/>
  <c r="O320" i="10" s="1"/>
  <c r="I320" i="10"/>
  <c r="K317" i="10"/>
  <c r="J317" i="10"/>
  <c r="L317" i="10" s="1"/>
  <c r="M317" i="10" s="1"/>
  <c r="O317" i="10" s="1"/>
  <c r="I317" i="10"/>
  <c r="K316" i="10"/>
  <c r="J316" i="10"/>
  <c r="L316" i="10" s="1"/>
  <c r="M316" i="10" s="1"/>
  <c r="O316" i="10" s="1"/>
  <c r="I316" i="10"/>
  <c r="K315" i="10"/>
  <c r="J315" i="10"/>
  <c r="L315" i="10" s="1"/>
  <c r="M315" i="10" s="1"/>
  <c r="O315" i="10" s="1"/>
  <c r="I315" i="10"/>
  <c r="K313" i="10"/>
  <c r="J313" i="10"/>
  <c r="L313" i="10" s="1"/>
  <c r="M313" i="10" s="1"/>
  <c r="O313" i="10" s="1"/>
  <c r="I313" i="10"/>
  <c r="K311" i="10"/>
  <c r="J311" i="10"/>
  <c r="L311" i="10" s="1"/>
  <c r="M311" i="10" s="1"/>
  <c r="O311" i="10" s="1"/>
  <c r="I311" i="10"/>
  <c r="K310" i="10"/>
  <c r="J310" i="10"/>
  <c r="L310" i="10" s="1"/>
  <c r="M310" i="10" s="1"/>
  <c r="O310" i="10" s="1"/>
  <c r="I310" i="10"/>
  <c r="K308" i="10"/>
  <c r="J308" i="10"/>
  <c r="L308" i="10" s="1"/>
  <c r="M308" i="10" s="1"/>
  <c r="O308" i="10" s="1"/>
  <c r="I308" i="10"/>
  <c r="K307" i="10"/>
  <c r="J307" i="10"/>
  <c r="L307" i="10" s="1"/>
  <c r="M307" i="10" s="1"/>
  <c r="O307" i="10" s="1"/>
  <c r="I307" i="10"/>
  <c r="K306" i="10"/>
  <c r="J306" i="10"/>
  <c r="L306" i="10" s="1"/>
  <c r="M306" i="10" s="1"/>
  <c r="O306" i="10" s="1"/>
  <c r="I306" i="10"/>
  <c r="K305" i="10"/>
  <c r="J305" i="10"/>
  <c r="L305" i="10" s="1"/>
  <c r="M305" i="10" s="1"/>
  <c r="O305" i="10" s="1"/>
  <c r="I305" i="10"/>
  <c r="K304" i="10"/>
  <c r="J304" i="10"/>
  <c r="L304" i="10" s="1"/>
  <c r="M304" i="10" s="1"/>
  <c r="O304" i="10" s="1"/>
  <c r="I304" i="10"/>
  <c r="K303" i="10"/>
  <c r="J303" i="10"/>
  <c r="L303" i="10" s="1"/>
  <c r="M303" i="10" s="1"/>
  <c r="O303" i="10" s="1"/>
  <c r="I303" i="10"/>
  <c r="K302" i="10"/>
  <c r="J302" i="10"/>
  <c r="L302" i="10" s="1"/>
  <c r="M302" i="10" s="1"/>
  <c r="O302" i="10" s="1"/>
  <c r="I302" i="10"/>
  <c r="K301" i="10"/>
  <c r="J301" i="10"/>
  <c r="L301" i="10" s="1"/>
  <c r="M301" i="10" s="1"/>
  <c r="O301" i="10" s="1"/>
  <c r="I301" i="10"/>
  <c r="K300" i="10"/>
  <c r="J300" i="10"/>
  <c r="L300" i="10" s="1"/>
  <c r="M300" i="10" s="1"/>
  <c r="O300" i="10" s="1"/>
  <c r="I300" i="10"/>
  <c r="K298" i="10"/>
  <c r="J298" i="10"/>
  <c r="L298" i="10" s="1"/>
  <c r="M298" i="10" s="1"/>
  <c r="O298" i="10" s="1"/>
  <c r="I298" i="10"/>
  <c r="K297" i="10"/>
  <c r="J297" i="10"/>
  <c r="L297" i="10" s="1"/>
  <c r="M297" i="10" s="1"/>
  <c r="O297" i="10" s="1"/>
  <c r="I297" i="10"/>
  <c r="K295" i="10"/>
  <c r="J295" i="10"/>
  <c r="L295" i="10" s="1"/>
  <c r="M295" i="10" s="1"/>
  <c r="O295" i="10" s="1"/>
  <c r="I295" i="10"/>
  <c r="K294" i="10"/>
  <c r="J294" i="10"/>
  <c r="L294" i="10" s="1"/>
  <c r="M294" i="10" s="1"/>
  <c r="O294" i="10" s="1"/>
  <c r="I294" i="10"/>
  <c r="K293" i="10"/>
  <c r="J293" i="10"/>
  <c r="L293" i="10" s="1"/>
  <c r="M293" i="10" s="1"/>
  <c r="O293" i="10" s="1"/>
  <c r="I293" i="10"/>
  <c r="K292" i="10"/>
  <c r="J292" i="10"/>
  <c r="L292" i="10" s="1"/>
  <c r="M292" i="10" s="1"/>
  <c r="O292" i="10" s="1"/>
  <c r="I292" i="10"/>
  <c r="K291" i="10"/>
  <c r="J291" i="10"/>
  <c r="L291" i="10" s="1"/>
  <c r="M291" i="10" s="1"/>
  <c r="O291" i="10" s="1"/>
  <c r="I291" i="10"/>
  <c r="K290" i="10"/>
  <c r="J290" i="10"/>
  <c r="L290" i="10" s="1"/>
  <c r="M290" i="10" s="1"/>
  <c r="O290" i="10" s="1"/>
  <c r="I290" i="10"/>
  <c r="K289" i="10"/>
  <c r="J289" i="10"/>
  <c r="L289" i="10" s="1"/>
  <c r="M289" i="10" s="1"/>
  <c r="O289" i="10" s="1"/>
  <c r="I289" i="10"/>
  <c r="K288" i="10"/>
  <c r="J288" i="10"/>
  <c r="L288" i="10" s="1"/>
  <c r="M288" i="10" s="1"/>
  <c r="O288" i="10" s="1"/>
  <c r="I288" i="10"/>
  <c r="K287" i="10"/>
  <c r="J287" i="10"/>
  <c r="L287" i="10" s="1"/>
  <c r="M287" i="10" s="1"/>
  <c r="O287" i="10" s="1"/>
  <c r="I287" i="10"/>
  <c r="K286" i="10"/>
  <c r="J286" i="10"/>
  <c r="L286" i="10" s="1"/>
  <c r="M286" i="10" s="1"/>
  <c r="O286" i="10" s="1"/>
  <c r="I286" i="10"/>
  <c r="K285" i="10"/>
  <c r="J285" i="10"/>
  <c r="L285" i="10" s="1"/>
  <c r="M285" i="10" s="1"/>
  <c r="O285" i="10" s="1"/>
  <c r="I285" i="10"/>
  <c r="K284" i="10"/>
  <c r="J284" i="10"/>
  <c r="L284" i="10" s="1"/>
  <c r="M284" i="10" s="1"/>
  <c r="O284" i="10" s="1"/>
  <c r="I284" i="10"/>
  <c r="K283" i="10"/>
  <c r="J283" i="10"/>
  <c r="L283" i="10" s="1"/>
  <c r="M283" i="10" s="1"/>
  <c r="O283" i="10" s="1"/>
  <c r="I283" i="10"/>
  <c r="K282" i="10"/>
  <c r="J282" i="10"/>
  <c r="L282" i="10" s="1"/>
  <c r="M282" i="10" s="1"/>
  <c r="O282" i="10" s="1"/>
  <c r="I282" i="10"/>
  <c r="K281" i="10"/>
  <c r="J281" i="10"/>
  <c r="L281" i="10" s="1"/>
  <c r="M281" i="10" s="1"/>
  <c r="O281" i="10" s="1"/>
  <c r="I281" i="10"/>
  <c r="K280" i="10"/>
  <c r="J280" i="10"/>
  <c r="L280" i="10" s="1"/>
  <c r="M280" i="10" s="1"/>
  <c r="O280" i="10" s="1"/>
  <c r="I280" i="10"/>
  <c r="K279" i="10"/>
  <c r="J279" i="10"/>
  <c r="L279" i="10" s="1"/>
  <c r="M279" i="10" s="1"/>
  <c r="O279" i="10" s="1"/>
  <c r="I279" i="10"/>
  <c r="K278" i="10"/>
  <c r="J278" i="10"/>
  <c r="L278" i="10" s="1"/>
  <c r="M278" i="10" s="1"/>
  <c r="O278" i="10" s="1"/>
  <c r="I278" i="10"/>
  <c r="K277" i="10"/>
  <c r="J277" i="10"/>
  <c r="L277" i="10" s="1"/>
  <c r="M277" i="10" s="1"/>
  <c r="O277" i="10" s="1"/>
  <c r="I277" i="10"/>
  <c r="K276" i="10"/>
  <c r="J276" i="10"/>
  <c r="L276" i="10" s="1"/>
  <c r="M276" i="10" s="1"/>
  <c r="O276" i="10" s="1"/>
  <c r="I276" i="10"/>
  <c r="K275" i="10"/>
  <c r="J275" i="10"/>
  <c r="L275" i="10" s="1"/>
  <c r="M275" i="10" s="1"/>
  <c r="O275" i="10" s="1"/>
  <c r="I275" i="10"/>
  <c r="K274" i="10"/>
  <c r="J274" i="10"/>
  <c r="L274" i="10" s="1"/>
  <c r="M274" i="10" s="1"/>
  <c r="O274" i="10" s="1"/>
  <c r="I274" i="10"/>
  <c r="K273" i="10"/>
  <c r="J273" i="10"/>
  <c r="L273" i="10" s="1"/>
  <c r="M273" i="10" s="1"/>
  <c r="O273" i="10" s="1"/>
  <c r="I273" i="10"/>
  <c r="K272" i="10"/>
  <c r="J272" i="10"/>
  <c r="L272" i="10" s="1"/>
  <c r="M272" i="10" s="1"/>
  <c r="O272" i="10" s="1"/>
  <c r="I272" i="10"/>
  <c r="K271" i="10"/>
  <c r="J271" i="10"/>
  <c r="L271" i="10" s="1"/>
  <c r="M271" i="10" s="1"/>
  <c r="O271" i="10" s="1"/>
  <c r="I271" i="10"/>
  <c r="K270" i="10"/>
  <c r="J270" i="10"/>
  <c r="L270" i="10" s="1"/>
  <c r="M270" i="10" s="1"/>
  <c r="O270" i="10" s="1"/>
  <c r="I270" i="10"/>
  <c r="K269" i="10"/>
  <c r="J269" i="10"/>
  <c r="L269" i="10" s="1"/>
  <c r="M269" i="10" s="1"/>
  <c r="O269" i="10" s="1"/>
  <c r="I269" i="10"/>
  <c r="K268" i="10"/>
  <c r="J268" i="10"/>
  <c r="L268" i="10" s="1"/>
  <c r="M268" i="10" s="1"/>
  <c r="O268" i="10" s="1"/>
  <c r="I268" i="10"/>
  <c r="K267" i="10"/>
  <c r="J267" i="10"/>
  <c r="L267" i="10" s="1"/>
  <c r="M267" i="10" s="1"/>
  <c r="O267" i="10" s="1"/>
  <c r="I267" i="10"/>
  <c r="K266" i="10"/>
  <c r="J266" i="10"/>
  <c r="L266" i="10" s="1"/>
  <c r="M266" i="10" s="1"/>
  <c r="O266" i="10" s="1"/>
  <c r="I266" i="10"/>
  <c r="K265" i="10"/>
  <c r="J265" i="10"/>
  <c r="L265" i="10" s="1"/>
  <c r="M265" i="10" s="1"/>
  <c r="O265" i="10" s="1"/>
  <c r="I265" i="10"/>
  <c r="K264" i="10"/>
  <c r="J264" i="10"/>
  <c r="L264" i="10" s="1"/>
  <c r="M264" i="10" s="1"/>
  <c r="O264" i="10" s="1"/>
  <c r="I264" i="10"/>
  <c r="K263" i="10"/>
  <c r="J263" i="10"/>
  <c r="L263" i="10" s="1"/>
  <c r="M263" i="10" s="1"/>
  <c r="O263" i="10" s="1"/>
  <c r="I263" i="10"/>
  <c r="K262" i="10"/>
  <c r="J262" i="10"/>
  <c r="L262" i="10" s="1"/>
  <c r="M262" i="10" s="1"/>
  <c r="O262" i="10" s="1"/>
  <c r="I262" i="10"/>
  <c r="K261" i="10"/>
  <c r="J261" i="10"/>
  <c r="L261" i="10" s="1"/>
  <c r="M261" i="10" s="1"/>
  <c r="O261" i="10" s="1"/>
  <c r="I261" i="10"/>
  <c r="K260" i="10"/>
  <c r="J260" i="10"/>
  <c r="L260" i="10" s="1"/>
  <c r="M260" i="10" s="1"/>
  <c r="O260" i="10" s="1"/>
  <c r="I260" i="10"/>
  <c r="K259" i="10"/>
  <c r="J259" i="10"/>
  <c r="L259" i="10" s="1"/>
  <c r="M259" i="10" s="1"/>
  <c r="O259" i="10" s="1"/>
  <c r="I259" i="10"/>
  <c r="K258" i="10"/>
  <c r="J258" i="10"/>
  <c r="L258" i="10" s="1"/>
  <c r="M258" i="10" s="1"/>
  <c r="O258" i="10" s="1"/>
  <c r="I258" i="10"/>
  <c r="K257" i="10"/>
  <c r="J257" i="10"/>
  <c r="L257" i="10" s="1"/>
  <c r="M257" i="10" s="1"/>
  <c r="O257" i="10" s="1"/>
  <c r="I257" i="10"/>
  <c r="K256" i="10"/>
  <c r="J256" i="10"/>
  <c r="L256" i="10" s="1"/>
  <c r="M256" i="10" s="1"/>
  <c r="O256" i="10" s="1"/>
  <c r="I256" i="10"/>
  <c r="K255" i="10"/>
  <c r="J255" i="10"/>
  <c r="L255" i="10" s="1"/>
  <c r="M255" i="10" s="1"/>
  <c r="O255" i="10" s="1"/>
  <c r="I255" i="10"/>
  <c r="K254" i="10"/>
  <c r="J254" i="10"/>
  <c r="L254" i="10" s="1"/>
  <c r="M254" i="10" s="1"/>
  <c r="O254" i="10" s="1"/>
  <c r="I254" i="10"/>
  <c r="K253" i="10"/>
  <c r="J253" i="10"/>
  <c r="L253" i="10" s="1"/>
  <c r="M253" i="10" s="1"/>
  <c r="O253" i="10" s="1"/>
  <c r="I253" i="10"/>
  <c r="K252" i="10"/>
  <c r="J252" i="10"/>
  <c r="L252" i="10" s="1"/>
  <c r="M252" i="10" s="1"/>
  <c r="O252" i="10" s="1"/>
  <c r="I252" i="10"/>
  <c r="K251" i="10"/>
  <c r="J251" i="10"/>
  <c r="L251" i="10" s="1"/>
  <c r="M251" i="10" s="1"/>
  <c r="O251" i="10" s="1"/>
  <c r="I251" i="10"/>
  <c r="K250" i="10"/>
  <c r="J250" i="10"/>
  <c r="L250" i="10" s="1"/>
  <c r="M250" i="10" s="1"/>
  <c r="O250" i="10" s="1"/>
  <c r="I250" i="10"/>
  <c r="K249" i="10"/>
  <c r="J249" i="10"/>
  <c r="L249" i="10" s="1"/>
  <c r="M249" i="10" s="1"/>
  <c r="O249" i="10" s="1"/>
  <c r="I249" i="10"/>
  <c r="K248" i="10"/>
  <c r="J248" i="10"/>
  <c r="L248" i="10" s="1"/>
  <c r="M248" i="10" s="1"/>
  <c r="O248" i="10" s="1"/>
  <c r="I248" i="10"/>
  <c r="K247" i="10"/>
  <c r="J247" i="10"/>
  <c r="L247" i="10" s="1"/>
  <c r="M247" i="10" s="1"/>
  <c r="O247" i="10" s="1"/>
  <c r="I247" i="10"/>
  <c r="K246" i="10"/>
  <c r="J246" i="10"/>
  <c r="L246" i="10" s="1"/>
  <c r="M246" i="10" s="1"/>
  <c r="O246" i="10" s="1"/>
  <c r="I246" i="10"/>
  <c r="K245" i="10"/>
  <c r="J245" i="10"/>
  <c r="L245" i="10" s="1"/>
  <c r="M245" i="10" s="1"/>
  <c r="O245" i="10" s="1"/>
  <c r="I245" i="10"/>
  <c r="K244" i="10"/>
  <c r="J244" i="10"/>
  <c r="L244" i="10" s="1"/>
  <c r="M244" i="10" s="1"/>
  <c r="O244" i="10" s="1"/>
  <c r="I244" i="10"/>
  <c r="K243" i="10"/>
  <c r="J243" i="10"/>
  <c r="L243" i="10" s="1"/>
  <c r="M243" i="10" s="1"/>
  <c r="O243" i="10" s="1"/>
  <c r="I243" i="10"/>
  <c r="K242" i="10"/>
  <c r="J242" i="10"/>
  <c r="L242" i="10" s="1"/>
  <c r="M242" i="10" s="1"/>
  <c r="O242" i="10" s="1"/>
  <c r="I242" i="10"/>
  <c r="K241" i="10"/>
  <c r="J241" i="10"/>
  <c r="L241" i="10" s="1"/>
  <c r="M241" i="10" s="1"/>
  <c r="O241" i="10" s="1"/>
  <c r="I241" i="10"/>
  <c r="K240" i="10"/>
  <c r="J240" i="10"/>
  <c r="L240" i="10" s="1"/>
  <c r="M240" i="10" s="1"/>
  <c r="O240" i="10" s="1"/>
  <c r="I240" i="10"/>
  <c r="K239" i="10"/>
  <c r="J239" i="10"/>
  <c r="L239" i="10" s="1"/>
  <c r="M239" i="10" s="1"/>
  <c r="O239" i="10" s="1"/>
  <c r="I239" i="10"/>
  <c r="K238" i="10"/>
  <c r="J238" i="10"/>
  <c r="L238" i="10" s="1"/>
  <c r="M238" i="10" s="1"/>
  <c r="O238" i="10" s="1"/>
  <c r="I238" i="10"/>
  <c r="K237" i="10"/>
  <c r="J237" i="10"/>
  <c r="L237" i="10" s="1"/>
  <c r="M237" i="10" s="1"/>
  <c r="O237" i="10" s="1"/>
  <c r="I237" i="10"/>
  <c r="K236" i="10"/>
  <c r="J236" i="10"/>
  <c r="L236" i="10" s="1"/>
  <c r="M236" i="10" s="1"/>
  <c r="O236" i="10" s="1"/>
  <c r="I236" i="10"/>
  <c r="K235" i="10"/>
  <c r="J235" i="10"/>
  <c r="L235" i="10" s="1"/>
  <c r="M235" i="10" s="1"/>
  <c r="O235" i="10" s="1"/>
  <c r="I235" i="10"/>
  <c r="K234" i="10"/>
  <c r="J234" i="10"/>
  <c r="L234" i="10" s="1"/>
  <c r="M234" i="10" s="1"/>
  <c r="O234" i="10" s="1"/>
  <c r="I234" i="10"/>
  <c r="K233" i="10"/>
  <c r="J233" i="10"/>
  <c r="L233" i="10" s="1"/>
  <c r="M233" i="10" s="1"/>
  <c r="O233" i="10" s="1"/>
  <c r="I233" i="10"/>
  <c r="K230" i="10"/>
  <c r="J230" i="10"/>
  <c r="L230" i="10" s="1"/>
  <c r="M230" i="10" s="1"/>
  <c r="O230" i="10" s="1"/>
  <c r="I230" i="10"/>
  <c r="K229" i="10"/>
  <c r="J229" i="10"/>
  <c r="L229" i="10" s="1"/>
  <c r="M229" i="10" s="1"/>
  <c r="O229" i="10" s="1"/>
  <c r="I229" i="10"/>
  <c r="K228" i="10"/>
  <c r="J228" i="10"/>
  <c r="L228" i="10" s="1"/>
  <c r="M228" i="10" s="1"/>
  <c r="O228" i="10" s="1"/>
  <c r="I228" i="10"/>
  <c r="K227" i="10"/>
  <c r="J227" i="10"/>
  <c r="L227" i="10" s="1"/>
  <c r="M227" i="10" s="1"/>
  <c r="O227" i="10" s="1"/>
  <c r="I227" i="10"/>
  <c r="K226" i="10"/>
  <c r="J226" i="10"/>
  <c r="L226" i="10" s="1"/>
  <c r="M226" i="10" s="1"/>
  <c r="O226" i="10" s="1"/>
  <c r="I226" i="10"/>
  <c r="K225" i="10"/>
  <c r="J225" i="10"/>
  <c r="L225" i="10" s="1"/>
  <c r="M225" i="10" s="1"/>
  <c r="O225" i="10" s="1"/>
  <c r="I225" i="10"/>
  <c r="K224" i="10"/>
  <c r="J224" i="10"/>
  <c r="L224" i="10" s="1"/>
  <c r="M224" i="10" s="1"/>
  <c r="O224" i="10" s="1"/>
  <c r="I224" i="10"/>
  <c r="K223" i="10"/>
  <c r="J223" i="10"/>
  <c r="L223" i="10" s="1"/>
  <c r="M223" i="10" s="1"/>
  <c r="O223" i="10" s="1"/>
  <c r="I223" i="10"/>
  <c r="K222" i="10"/>
  <c r="J222" i="10"/>
  <c r="L222" i="10" s="1"/>
  <c r="M222" i="10" s="1"/>
  <c r="O222" i="10" s="1"/>
  <c r="I222" i="10"/>
  <c r="K221" i="10"/>
  <c r="J221" i="10"/>
  <c r="L221" i="10" s="1"/>
  <c r="M221" i="10" s="1"/>
  <c r="O221" i="10" s="1"/>
  <c r="I221" i="10"/>
  <c r="K220" i="10"/>
  <c r="J220" i="10"/>
  <c r="L220" i="10" s="1"/>
  <c r="M220" i="10" s="1"/>
  <c r="O220" i="10" s="1"/>
  <c r="I220" i="10"/>
  <c r="K219" i="10"/>
  <c r="J219" i="10"/>
  <c r="L219" i="10" s="1"/>
  <c r="M219" i="10" s="1"/>
  <c r="O219" i="10" s="1"/>
  <c r="I219" i="10"/>
  <c r="K218" i="10"/>
  <c r="J218" i="10"/>
  <c r="L218" i="10" s="1"/>
  <c r="M218" i="10" s="1"/>
  <c r="O218" i="10" s="1"/>
  <c r="I218" i="10"/>
  <c r="K217" i="10"/>
  <c r="J217" i="10"/>
  <c r="L217" i="10" s="1"/>
  <c r="M217" i="10" s="1"/>
  <c r="O217" i="10" s="1"/>
  <c r="I217" i="10"/>
  <c r="K216" i="10"/>
  <c r="J216" i="10"/>
  <c r="L216" i="10" s="1"/>
  <c r="M216" i="10" s="1"/>
  <c r="O216" i="10" s="1"/>
  <c r="I216" i="10"/>
  <c r="K215" i="10"/>
  <c r="J215" i="10"/>
  <c r="L215" i="10" s="1"/>
  <c r="M215" i="10" s="1"/>
  <c r="O215" i="10" s="1"/>
  <c r="I215" i="10"/>
  <c r="K214" i="10"/>
  <c r="J214" i="10"/>
  <c r="L214" i="10" s="1"/>
  <c r="M214" i="10" s="1"/>
  <c r="O214" i="10" s="1"/>
  <c r="I214" i="10"/>
  <c r="K213" i="10"/>
  <c r="J213" i="10"/>
  <c r="L213" i="10" s="1"/>
  <c r="M213" i="10" s="1"/>
  <c r="O213" i="10" s="1"/>
  <c r="I213" i="10"/>
  <c r="K212" i="10"/>
  <c r="J212" i="10"/>
  <c r="L212" i="10" s="1"/>
  <c r="M212" i="10" s="1"/>
  <c r="O212" i="10" s="1"/>
  <c r="I212" i="10"/>
  <c r="K211" i="10"/>
  <c r="J211" i="10"/>
  <c r="L211" i="10" s="1"/>
  <c r="M211" i="10" s="1"/>
  <c r="O211" i="10" s="1"/>
  <c r="I211" i="10"/>
  <c r="K210" i="10"/>
  <c r="J210" i="10"/>
  <c r="L210" i="10" s="1"/>
  <c r="M210" i="10" s="1"/>
  <c r="O210" i="10" s="1"/>
  <c r="I210" i="10"/>
  <c r="K209" i="10"/>
  <c r="J209" i="10"/>
  <c r="L209" i="10" s="1"/>
  <c r="M209" i="10" s="1"/>
  <c r="O209" i="10" s="1"/>
  <c r="I209" i="10"/>
  <c r="K208" i="10"/>
  <c r="J208" i="10"/>
  <c r="L208" i="10" s="1"/>
  <c r="M208" i="10" s="1"/>
  <c r="O208" i="10" s="1"/>
  <c r="I208" i="10"/>
  <c r="K207" i="10"/>
  <c r="J207" i="10"/>
  <c r="L207" i="10" s="1"/>
  <c r="M207" i="10" s="1"/>
  <c r="O207" i="10" s="1"/>
  <c r="I207" i="10"/>
  <c r="K206" i="10"/>
  <c r="J206" i="10"/>
  <c r="L206" i="10" s="1"/>
  <c r="M206" i="10" s="1"/>
  <c r="O206" i="10" s="1"/>
  <c r="I206" i="10"/>
  <c r="K205" i="10"/>
  <c r="J205" i="10"/>
  <c r="L205" i="10" s="1"/>
  <c r="M205" i="10" s="1"/>
  <c r="O205" i="10" s="1"/>
  <c r="I205" i="10"/>
  <c r="K204" i="10"/>
  <c r="J204" i="10"/>
  <c r="L204" i="10" s="1"/>
  <c r="M204" i="10" s="1"/>
  <c r="O204" i="10" s="1"/>
  <c r="I204" i="10"/>
  <c r="K203" i="10"/>
  <c r="J203" i="10"/>
  <c r="L203" i="10" s="1"/>
  <c r="M203" i="10" s="1"/>
  <c r="O203" i="10" s="1"/>
  <c r="I203" i="10"/>
  <c r="K202" i="10"/>
  <c r="J202" i="10"/>
  <c r="L202" i="10" s="1"/>
  <c r="M202" i="10" s="1"/>
  <c r="O202" i="10" s="1"/>
  <c r="I202" i="10"/>
  <c r="K201" i="10"/>
  <c r="J201" i="10"/>
  <c r="L201" i="10" s="1"/>
  <c r="M201" i="10" s="1"/>
  <c r="O201" i="10" s="1"/>
  <c r="I201" i="10"/>
  <c r="K200" i="10"/>
  <c r="J200" i="10"/>
  <c r="L200" i="10" s="1"/>
  <c r="M200" i="10" s="1"/>
  <c r="O200" i="10" s="1"/>
  <c r="I200" i="10"/>
  <c r="K199" i="10"/>
  <c r="J199" i="10"/>
  <c r="L199" i="10" s="1"/>
  <c r="M199" i="10" s="1"/>
  <c r="O199" i="10" s="1"/>
  <c r="I199" i="10"/>
  <c r="K198" i="10"/>
  <c r="J198" i="10"/>
  <c r="L198" i="10" s="1"/>
  <c r="M198" i="10" s="1"/>
  <c r="O198" i="10" s="1"/>
  <c r="I198" i="10"/>
  <c r="K197" i="10"/>
  <c r="J197" i="10"/>
  <c r="L197" i="10" s="1"/>
  <c r="M197" i="10" s="1"/>
  <c r="O197" i="10" s="1"/>
  <c r="I197" i="10"/>
  <c r="K196" i="10"/>
  <c r="J196" i="10"/>
  <c r="L196" i="10" s="1"/>
  <c r="M196" i="10" s="1"/>
  <c r="O196" i="10" s="1"/>
  <c r="I196" i="10"/>
  <c r="K195" i="10"/>
  <c r="J195" i="10"/>
  <c r="L195" i="10" s="1"/>
  <c r="M195" i="10" s="1"/>
  <c r="O195" i="10" s="1"/>
  <c r="I195" i="10"/>
  <c r="K194" i="10"/>
  <c r="J194" i="10"/>
  <c r="L194" i="10" s="1"/>
  <c r="M194" i="10" s="1"/>
  <c r="O194" i="10" s="1"/>
  <c r="I194" i="10"/>
  <c r="K193" i="10"/>
  <c r="J193" i="10"/>
  <c r="L193" i="10" s="1"/>
  <c r="M193" i="10" s="1"/>
  <c r="O193" i="10" s="1"/>
  <c r="I193" i="10"/>
  <c r="K192" i="10"/>
  <c r="J192" i="10"/>
  <c r="L192" i="10" s="1"/>
  <c r="M192" i="10" s="1"/>
  <c r="O192" i="10" s="1"/>
  <c r="I192" i="10"/>
  <c r="K191" i="10"/>
  <c r="J191" i="10"/>
  <c r="L191" i="10" s="1"/>
  <c r="M191" i="10" s="1"/>
  <c r="O191" i="10" s="1"/>
  <c r="I191" i="10"/>
  <c r="K190" i="10"/>
  <c r="J190" i="10"/>
  <c r="L190" i="10" s="1"/>
  <c r="M190" i="10" s="1"/>
  <c r="O190" i="10" s="1"/>
  <c r="I190" i="10"/>
  <c r="K189" i="10"/>
  <c r="J189" i="10"/>
  <c r="L189" i="10" s="1"/>
  <c r="M189" i="10" s="1"/>
  <c r="O189" i="10" s="1"/>
  <c r="I189" i="10"/>
  <c r="K188" i="10"/>
  <c r="J188" i="10"/>
  <c r="L188" i="10" s="1"/>
  <c r="M188" i="10" s="1"/>
  <c r="O188" i="10" s="1"/>
  <c r="I188" i="10"/>
  <c r="K187" i="10"/>
  <c r="J187" i="10"/>
  <c r="L187" i="10" s="1"/>
  <c r="M187" i="10" s="1"/>
  <c r="O187" i="10" s="1"/>
  <c r="I187" i="10"/>
  <c r="K186" i="10"/>
  <c r="J186" i="10"/>
  <c r="L186" i="10" s="1"/>
  <c r="M186" i="10" s="1"/>
  <c r="O186" i="10" s="1"/>
  <c r="I186" i="10"/>
  <c r="K185" i="10"/>
  <c r="J185" i="10"/>
  <c r="L185" i="10" s="1"/>
  <c r="M185" i="10" s="1"/>
  <c r="O185" i="10" s="1"/>
  <c r="I185" i="10"/>
  <c r="K184" i="10"/>
  <c r="J184" i="10"/>
  <c r="L184" i="10" s="1"/>
  <c r="M184" i="10" s="1"/>
  <c r="O184" i="10" s="1"/>
  <c r="I184" i="10"/>
  <c r="K183" i="10"/>
  <c r="J183" i="10"/>
  <c r="L183" i="10" s="1"/>
  <c r="M183" i="10" s="1"/>
  <c r="O183" i="10" s="1"/>
  <c r="I183" i="10"/>
  <c r="K182" i="10"/>
  <c r="J182" i="10"/>
  <c r="L182" i="10" s="1"/>
  <c r="M182" i="10" s="1"/>
  <c r="O182" i="10" s="1"/>
  <c r="I182" i="10"/>
  <c r="K181" i="10"/>
  <c r="J181" i="10"/>
  <c r="L181" i="10" s="1"/>
  <c r="M181" i="10" s="1"/>
  <c r="O181" i="10" s="1"/>
  <c r="I181" i="10"/>
  <c r="K180" i="10"/>
  <c r="J180" i="10"/>
  <c r="L180" i="10" s="1"/>
  <c r="M180" i="10" s="1"/>
  <c r="O180" i="10" s="1"/>
  <c r="I180" i="10"/>
  <c r="K179" i="10"/>
  <c r="J179" i="10"/>
  <c r="L179" i="10" s="1"/>
  <c r="M179" i="10" s="1"/>
  <c r="O179" i="10" s="1"/>
  <c r="I179" i="10"/>
  <c r="K178" i="10"/>
  <c r="J178" i="10"/>
  <c r="L178" i="10" s="1"/>
  <c r="M178" i="10" s="1"/>
  <c r="O178" i="10" s="1"/>
  <c r="I178" i="10"/>
  <c r="K177" i="10"/>
  <c r="J177" i="10"/>
  <c r="L177" i="10" s="1"/>
  <c r="M177" i="10" s="1"/>
  <c r="O177" i="10" s="1"/>
  <c r="I177" i="10"/>
  <c r="K176" i="10"/>
  <c r="J176" i="10"/>
  <c r="L176" i="10" s="1"/>
  <c r="M176" i="10" s="1"/>
  <c r="O176" i="10" s="1"/>
  <c r="I176" i="10"/>
  <c r="K175" i="10"/>
  <c r="J175" i="10"/>
  <c r="L175" i="10" s="1"/>
  <c r="M175" i="10" s="1"/>
  <c r="O175" i="10" s="1"/>
  <c r="I175" i="10"/>
  <c r="K174" i="10"/>
  <c r="J174" i="10"/>
  <c r="L174" i="10" s="1"/>
  <c r="M174" i="10" s="1"/>
  <c r="O174" i="10" s="1"/>
  <c r="I174" i="10"/>
  <c r="K173" i="10"/>
  <c r="J173" i="10"/>
  <c r="L173" i="10" s="1"/>
  <c r="M173" i="10" s="1"/>
  <c r="O173" i="10" s="1"/>
  <c r="I173" i="10"/>
  <c r="K172" i="10"/>
  <c r="J172" i="10"/>
  <c r="L172" i="10" s="1"/>
  <c r="M172" i="10" s="1"/>
  <c r="O172" i="10" s="1"/>
  <c r="I172" i="10"/>
  <c r="K171" i="10"/>
  <c r="J171" i="10"/>
  <c r="L171" i="10" s="1"/>
  <c r="M171" i="10" s="1"/>
  <c r="O171" i="10" s="1"/>
  <c r="I171" i="10"/>
  <c r="K170" i="10"/>
  <c r="J170" i="10"/>
  <c r="L170" i="10" s="1"/>
  <c r="M170" i="10" s="1"/>
  <c r="O170" i="10" s="1"/>
  <c r="I170" i="10"/>
  <c r="K169" i="10"/>
  <c r="J169" i="10"/>
  <c r="L169" i="10" s="1"/>
  <c r="M169" i="10" s="1"/>
  <c r="O169" i="10" s="1"/>
  <c r="I169" i="10"/>
  <c r="K168" i="10"/>
  <c r="J168" i="10"/>
  <c r="L168" i="10" s="1"/>
  <c r="M168" i="10" s="1"/>
  <c r="O168" i="10" s="1"/>
  <c r="I168" i="10"/>
  <c r="K167" i="10"/>
  <c r="J167" i="10"/>
  <c r="L167" i="10" s="1"/>
  <c r="M167" i="10" s="1"/>
  <c r="O167" i="10" s="1"/>
  <c r="I167" i="10"/>
  <c r="K166" i="10"/>
  <c r="J166" i="10"/>
  <c r="L166" i="10" s="1"/>
  <c r="M166" i="10" s="1"/>
  <c r="O166" i="10" s="1"/>
  <c r="I166" i="10"/>
  <c r="K165" i="10"/>
  <c r="J165" i="10"/>
  <c r="L165" i="10" s="1"/>
  <c r="M165" i="10" s="1"/>
  <c r="O165" i="10" s="1"/>
  <c r="I165" i="10"/>
  <c r="K164" i="10"/>
  <c r="J164" i="10"/>
  <c r="L164" i="10" s="1"/>
  <c r="M164" i="10" s="1"/>
  <c r="O164" i="10" s="1"/>
  <c r="I164" i="10"/>
  <c r="K163" i="10"/>
  <c r="J163" i="10"/>
  <c r="L163" i="10" s="1"/>
  <c r="M163" i="10" s="1"/>
  <c r="O163" i="10" s="1"/>
  <c r="I163" i="10"/>
  <c r="K162" i="10"/>
  <c r="J162" i="10"/>
  <c r="L162" i="10" s="1"/>
  <c r="M162" i="10" s="1"/>
  <c r="O162" i="10" s="1"/>
  <c r="I162" i="10"/>
  <c r="K161" i="10"/>
  <c r="J161" i="10"/>
  <c r="L161" i="10" s="1"/>
  <c r="M161" i="10" s="1"/>
  <c r="O161" i="10" s="1"/>
  <c r="I161" i="10"/>
  <c r="K160" i="10"/>
  <c r="J160" i="10"/>
  <c r="L160" i="10" s="1"/>
  <c r="M160" i="10" s="1"/>
  <c r="O160" i="10" s="1"/>
  <c r="I160" i="10"/>
  <c r="K159" i="10"/>
  <c r="J159" i="10"/>
  <c r="L159" i="10" s="1"/>
  <c r="M159" i="10" s="1"/>
  <c r="O159" i="10" s="1"/>
  <c r="I159" i="10"/>
  <c r="K158" i="10"/>
  <c r="J158" i="10"/>
  <c r="L158" i="10" s="1"/>
  <c r="M158" i="10" s="1"/>
  <c r="O158" i="10" s="1"/>
  <c r="I158" i="10"/>
  <c r="K157" i="10"/>
  <c r="J157" i="10"/>
  <c r="L157" i="10" s="1"/>
  <c r="M157" i="10" s="1"/>
  <c r="O157" i="10" s="1"/>
  <c r="I157" i="10"/>
  <c r="K156" i="10"/>
  <c r="J156" i="10"/>
  <c r="L156" i="10" s="1"/>
  <c r="M156" i="10" s="1"/>
  <c r="O156" i="10" s="1"/>
  <c r="I156" i="10"/>
  <c r="K155" i="10"/>
  <c r="J155" i="10"/>
  <c r="L155" i="10" s="1"/>
  <c r="M155" i="10" s="1"/>
  <c r="O155" i="10" s="1"/>
  <c r="I155" i="10"/>
  <c r="K154" i="10"/>
  <c r="J154" i="10"/>
  <c r="L154" i="10" s="1"/>
  <c r="M154" i="10" s="1"/>
  <c r="O154" i="10" s="1"/>
  <c r="I154" i="10"/>
  <c r="K153" i="10"/>
  <c r="J153" i="10"/>
  <c r="L153" i="10" s="1"/>
  <c r="M153" i="10" s="1"/>
  <c r="O153" i="10" s="1"/>
  <c r="I153" i="10"/>
  <c r="K152" i="10"/>
  <c r="J152" i="10"/>
  <c r="L152" i="10" s="1"/>
  <c r="M152" i="10" s="1"/>
  <c r="O152" i="10" s="1"/>
  <c r="I152" i="10"/>
  <c r="K151" i="10"/>
  <c r="J151" i="10"/>
  <c r="L151" i="10" s="1"/>
  <c r="M151" i="10" s="1"/>
  <c r="O151" i="10" s="1"/>
  <c r="I151" i="10"/>
  <c r="K150" i="10"/>
  <c r="J150" i="10"/>
  <c r="L150" i="10" s="1"/>
  <c r="M150" i="10" s="1"/>
  <c r="O150" i="10" s="1"/>
  <c r="I150" i="10"/>
  <c r="K149" i="10"/>
  <c r="J149" i="10"/>
  <c r="L149" i="10" s="1"/>
  <c r="M149" i="10" s="1"/>
  <c r="O149" i="10" s="1"/>
  <c r="I149" i="10"/>
  <c r="K148" i="10"/>
  <c r="J148" i="10"/>
  <c r="L148" i="10" s="1"/>
  <c r="M148" i="10" s="1"/>
  <c r="O148" i="10" s="1"/>
  <c r="I148" i="10"/>
  <c r="K147" i="10"/>
  <c r="J147" i="10"/>
  <c r="L147" i="10" s="1"/>
  <c r="M147" i="10" s="1"/>
  <c r="O147" i="10" s="1"/>
  <c r="I147" i="10"/>
  <c r="K146" i="10"/>
  <c r="J146" i="10"/>
  <c r="L146" i="10" s="1"/>
  <c r="M146" i="10" s="1"/>
  <c r="O146" i="10" s="1"/>
  <c r="I146" i="10"/>
  <c r="K145" i="10"/>
  <c r="J145" i="10"/>
  <c r="L145" i="10" s="1"/>
  <c r="M145" i="10" s="1"/>
  <c r="O145" i="10" s="1"/>
  <c r="I145" i="10"/>
  <c r="K144" i="10"/>
  <c r="J144" i="10"/>
  <c r="L144" i="10" s="1"/>
  <c r="M144" i="10" s="1"/>
  <c r="O144" i="10" s="1"/>
  <c r="I144" i="10"/>
  <c r="K143" i="10"/>
  <c r="J143" i="10"/>
  <c r="L143" i="10" s="1"/>
  <c r="M143" i="10" s="1"/>
  <c r="O143" i="10" s="1"/>
  <c r="I143" i="10"/>
  <c r="K142" i="10"/>
  <c r="J142" i="10"/>
  <c r="L142" i="10" s="1"/>
  <c r="M142" i="10" s="1"/>
  <c r="O142" i="10" s="1"/>
  <c r="I142" i="10"/>
  <c r="K141" i="10"/>
  <c r="J141" i="10"/>
  <c r="L141" i="10" s="1"/>
  <c r="M141" i="10" s="1"/>
  <c r="O141" i="10" s="1"/>
  <c r="I141" i="10"/>
  <c r="K140" i="10"/>
  <c r="J140" i="10"/>
  <c r="L140" i="10" s="1"/>
  <c r="M140" i="10" s="1"/>
  <c r="O140" i="10" s="1"/>
  <c r="I140" i="10"/>
  <c r="K139" i="10"/>
  <c r="J139" i="10"/>
  <c r="L139" i="10" s="1"/>
  <c r="M139" i="10" s="1"/>
  <c r="O139" i="10" s="1"/>
  <c r="I139" i="10"/>
  <c r="K138" i="10"/>
  <c r="J138" i="10"/>
  <c r="L138" i="10" s="1"/>
  <c r="M138" i="10" s="1"/>
  <c r="O138" i="10" s="1"/>
  <c r="I138" i="10"/>
  <c r="K137" i="10"/>
  <c r="J137" i="10"/>
  <c r="L137" i="10" s="1"/>
  <c r="M137" i="10" s="1"/>
  <c r="O137" i="10" s="1"/>
  <c r="I137" i="10"/>
  <c r="K136" i="10"/>
  <c r="J136" i="10"/>
  <c r="L136" i="10" s="1"/>
  <c r="M136" i="10" s="1"/>
  <c r="O136" i="10" s="1"/>
  <c r="I136" i="10"/>
  <c r="K135" i="10"/>
  <c r="J135" i="10"/>
  <c r="L135" i="10" s="1"/>
  <c r="M135" i="10" s="1"/>
  <c r="O135" i="10" s="1"/>
  <c r="I135" i="10"/>
  <c r="K134" i="10"/>
  <c r="J134" i="10"/>
  <c r="L134" i="10" s="1"/>
  <c r="M134" i="10" s="1"/>
  <c r="O134" i="10" s="1"/>
  <c r="I134" i="10"/>
  <c r="K133" i="10"/>
  <c r="J133" i="10"/>
  <c r="L133" i="10" s="1"/>
  <c r="M133" i="10" s="1"/>
  <c r="O133" i="10" s="1"/>
  <c r="I133" i="10"/>
  <c r="K132" i="10"/>
  <c r="J132" i="10"/>
  <c r="L132" i="10" s="1"/>
  <c r="M132" i="10" s="1"/>
  <c r="O132" i="10" s="1"/>
  <c r="I132" i="10"/>
  <c r="K131" i="10"/>
  <c r="J131" i="10"/>
  <c r="L131" i="10" s="1"/>
  <c r="M131" i="10" s="1"/>
  <c r="O131" i="10" s="1"/>
  <c r="I131" i="10"/>
  <c r="K130" i="10"/>
  <c r="J130" i="10"/>
  <c r="L130" i="10" s="1"/>
  <c r="M130" i="10" s="1"/>
  <c r="O130" i="10" s="1"/>
  <c r="I130" i="10"/>
  <c r="K129" i="10"/>
  <c r="J129" i="10"/>
  <c r="L129" i="10" s="1"/>
  <c r="M129" i="10" s="1"/>
  <c r="O129" i="10" s="1"/>
  <c r="I129" i="10"/>
  <c r="K127" i="10"/>
  <c r="J127" i="10"/>
  <c r="L127" i="10" s="1"/>
  <c r="M127" i="10" s="1"/>
  <c r="O127" i="10" s="1"/>
  <c r="I127" i="10"/>
  <c r="K126" i="10"/>
  <c r="J126" i="10"/>
  <c r="L126" i="10" s="1"/>
  <c r="M126" i="10" s="1"/>
  <c r="O126" i="10" s="1"/>
  <c r="I126" i="10"/>
  <c r="K125" i="10"/>
  <c r="J125" i="10"/>
  <c r="L125" i="10" s="1"/>
  <c r="M125" i="10" s="1"/>
  <c r="O125" i="10" s="1"/>
  <c r="I125" i="10"/>
  <c r="K124" i="10"/>
  <c r="J124" i="10"/>
  <c r="L124" i="10" s="1"/>
  <c r="M124" i="10" s="1"/>
  <c r="O124" i="10" s="1"/>
  <c r="I124" i="10"/>
  <c r="K123" i="10"/>
  <c r="J123" i="10"/>
  <c r="L123" i="10" s="1"/>
  <c r="M123" i="10" s="1"/>
  <c r="O123" i="10" s="1"/>
  <c r="I123" i="10"/>
  <c r="K122" i="10"/>
  <c r="J122" i="10"/>
  <c r="L122" i="10" s="1"/>
  <c r="M122" i="10" s="1"/>
  <c r="O122" i="10" s="1"/>
  <c r="I122" i="10"/>
  <c r="K121" i="10"/>
  <c r="J121" i="10"/>
  <c r="L121" i="10" s="1"/>
  <c r="M121" i="10" s="1"/>
  <c r="O121" i="10" s="1"/>
  <c r="I121" i="10"/>
  <c r="K120" i="10"/>
  <c r="J120" i="10"/>
  <c r="L120" i="10" s="1"/>
  <c r="M120" i="10" s="1"/>
  <c r="O120" i="10" s="1"/>
  <c r="I120" i="10"/>
  <c r="K119" i="10"/>
  <c r="J119" i="10"/>
  <c r="L119" i="10" s="1"/>
  <c r="M119" i="10" s="1"/>
  <c r="O119" i="10" s="1"/>
  <c r="I119" i="10"/>
  <c r="K118" i="10"/>
  <c r="J118" i="10"/>
  <c r="L118" i="10" s="1"/>
  <c r="M118" i="10" s="1"/>
  <c r="O118" i="10" s="1"/>
  <c r="I118" i="10"/>
  <c r="K117" i="10"/>
  <c r="J117" i="10"/>
  <c r="L117" i="10" s="1"/>
  <c r="M117" i="10" s="1"/>
  <c r="O117" i="10" s="1"/>
  <c r="I117" i="10"/>
  <c r="K116" i="10"/>
  <c r="J116" i="10"/>
  <c r="L116" i="10" s="1"/>
  <c r="M116" i="10" s="1"/>
  <c r="O116" i="10" s="1"/>
  <c r="I116" i="10"/>
  <c r="K115" i="10"/>
  <c r="J115" i="10"/>
  <c r="L115" i="10" s="1"/>
  <c r="M115" i="10" s="1"/>
  <c r="O115" i="10" s="1"/>
  <c r="I115" i="10"/>
  <c r="K114" i="10"/>
  <c r="J114" i="10"/>
  <c r="L114" i="10" s="1"/>
  <c r="M114" i="10" s="1"/>
  <c r="O114" i="10" s="1"/>
  <c r="I114" i="10"/>
  <c r="K113" i="10"/>
  <c r="J113" i="10"/>
  <c r="L113" i="10" s="1"/>
  <c r="M113" i="10" s="1"/>
  <c r="O113" i="10" s="1"/>
  <c r="I113" i="10"/>
  <c r="K112" i="10"/>
  <c r="J112" i="10"/>
  <c r="L112" i="10" s="1"/>
  <c r="M112" i="10" s="1"/>
  <c r="O112" i="10" s="1"/>
  <c r="I112" i="10"/>
  <c r="K111" i="10"/>
  <c r="J111" i="10"/>
  <c r="L111" i="10" s="1"/>
  <c r="M111" i="10" s="1"/>
  <c r="O111" i="10" s="1"/>
  <c r="I111" i="10"/>
  <c r="K110" i="10"/>
  <c r="J110" i="10"/>
  <c r="L110" i="10" s="1"/>
  <c r="M110" i="10" s="1"/>
  <c r="O110" i="10" s="1"/>
  <c r="I110" i="10"/>
  <c r="K109" i="10"/>
  <c r="J109" i="10"/>
  <c r="L109" i="10" s="1"/>
  <c r="M109" i="10" s="1"/>
  <c r="O109" i="10" s="1"/>
  <c r="I109" i="10"/>
  <c r="K108" i="10"/>
  <c r="J108" i="10"/>
  <c r="L108" i="10" s="1"/>
  <c r="M108" i="10" s="1"/>
  <c r="O108" i="10" s="1"/>
  <c r="I108" i="10"/>
  <c r="K106" i="10"/>
  <c r="J106" i="10"/>
  <c r="L106" i="10" s="1"/>
  <c r="M106" i="10" s="1"/>
  <c r="O106" i="10" s="1"/>
  <c r="I106" i="10"/>
  <c r="K105" i="10"/>
  <c r="J105" i="10"/>
  <c r="L105" i="10" s="1"/>
  <c r="M105" i="10" s="1"/>
  <c r="O105" i="10" s="1"/>
  <c r="I105" i="10"/>
  <c r="K104" i="10"/>
  <c r="J104" i="10"/>
  <c r="L104" i="10" s="1"/>
  <c r="M104" i="10" s="1"/>
  <c r="O104" i="10" s="1"/>
  <c r="I104" i="10"/>
  <c r="K103" i="10"/>
  <c r="J103" i="10"/>
  <c r="L103" i="10" s="1"/>
  <c r="M103" i="10" s="1"/>
  <c r="O103" i="10" s="1"/>
  <c r="I103" i="10"/>
  <c r="K101" i="10"/>
  <c r="J101" i="10"/>
  <c r="L101" i="10" s="1"/>
  <c r="M101" i="10" s="1"/>
  <c r="O101" i="10" s="1"/>
  <c r="I101" i="10"/>
  <c r="K100" i="10"/>
  <c r="J100" i="10"/>
  <c r="L100" i="10" s="1"/>
  <c r="M100" i="10" s="1"/>
  <c r="O100" i="10" s="1"/>
  <c r="I100" i="10"/>
  <c r="K98" i="10"/>
  <c r="J98" i="10"/>
  <c r="L98" i="10" s="1"/>
  <c r="M98" i="10" s="1"/>
  <c r="O98" i="10" s="1"/>
  <c r="I98" i="10"/>
  <c r="K97" i="10"/>
  <c r="J97" i="10"/>
  <c r="L97" i="10" s="1"/>
  <c r="M97" i="10" s="1"/>
  <c r="O97" i="10" s="1"/>
  <c r="I97" i="10"/>
  <c r="K96" i="10"/>
  <c r="J96" i="10"/>
  <c r="L96" i="10" s="1"/>
  <c r="M96" i="10" s="1"/>
  <c r="O96" i="10" s="1"/>
  <c r="I96" i="10"/>
  <c r="K95" i="10"/>
  <c r="J95" i="10"/>
  <c r="L95" i="10" s="1"/>
  <c r="M95" i="10" s="1"/>
  <c r="O95" i="10" s="1"/>
  <c r="I95" i="10"/>
  <c r="K94" i="10"/>
  <c r="J94" i="10"/>
  <c r="L94" i="10" s="1"/>
  <c r="M94" i="10" s="1"/>
  <c r="O94" i="10" s="1"/>
  <c r="I94" i="10"/>
  <c r="K93" i="10"/>
  <c r="J93" i="10"/>
  <c r="L93" i="10" s="1"/>
  <c r="M93" i="10" s="1"/>
  <c r="O93" i="10" s="1"/>
  <c r="I93" i="10"/>
  <c r="K92" i="10"/>
  <c r="J92" i="10"/>
  <c r="L92" i="10" s="1"/>
  <c r="M92" i="10" s="1"/>
  <c r="O92" i="10" s="1"/>
  <c r="I92" i="10"/>
  <c r="K91" i="10"/>
  <c r="J91" i="10"/>
  <c r="L91" i="10" s="1"/>
  <c r="M91" i="10" s="1"/>
  <c r="O91" i="10" s="1"/>
  <c r="I91" i="10"/>
  <c r="K90" i="10"/>
  <c r="J90" i="10"/>
  <c r="L90" i="10" s="1"/>
  <c r="M90" i="10" s="1"/>
  <c r="O90" i="10" s="1"/>
  <c r="I90" i="10"/>
  <c r="K89" i="10"/>
  <c r="J89" i="10"/>
  <c r="L89" i="10" s="1"/>
  <c r="M89" i="10" s="1"/>
  <c r="O89" i="10" s="1"/>
  <c r="I89" i="10"/>
  <c r="K88" i="10"/>
  <c r="J88" i="10"/>
  <c r="L88" i="10" s="1"/>
  <c r="M88" i="10" s="1"/>
  <c r="O88" i="10" s="1"/>
  <c r="I88" i="10"/>
  <c r="K87" i="10"/>
  <c r="J87" i="10"/>
  <c r="L87" i="10" s="1"/>
  <c r="M87" i="10" s="1"/>
  <c r="O87" i="10" s="1"/>
  <c r="I87" i="10"/>
  <c r="K86" i="10"/>
  <c r="J86" i="10"/>
  <c r="L86" i="10" s="1"/>
  <c r="M86" i="10" s="1"/>
  <c r="O86" i="10" s="1"/>
  <c r="I86" i="10"/>
  <c r="K85" i="10"/>
  <c r="J85" i="10"/>
  <c r="L85" i="10" s="1"/>
  <c r="M85" i="10" s="1"/>
  <c r="O85" i="10" s="1"/>
  <c r="I85" i="10"/>
  <c r="K84" i="10"/>
  <c r="J84" i="10"/>
  <c r="L84" i="10" s="1"/>
  <c r="M84" i="10" s="1"/>
  <c r="O84" i="10" s="1"/>
  <c r="I84" i="10"/>
  <c r="K83" i="10"/>
  <c r="J83" i="10"/>
  <c r="L83" i="10" s="1"/>
  <c r="M83" i="10" s="1"/>
  <c r="O83" i="10" s="1"/>
  <c r="I83" i="10"/>
  <c r="K82" i="10"/>
  <c r="J82" i="10"/>
  <c r="L82" i="10" s="1"/>
  <c r="M82" i="10" s="1"/>
  <c r="O82" i="10" s="1"/>
  <c r="I82" i="10"/>
  <c r="K81" i="10"/>
  <c r="J81" i="10"/>
  <c r="L81" i="10" s="1"/>
  <c r="M81" i="10" s="1"/>
  <c r="O81" i="10" s="1"/>
  <c r="I81" i="10"/>
  <c r="K80" i="10"/>
  <c r="J80" i="10"/>
  <c r="L80" i="10" s="1"/>
  <c r="M80" i="10" s="1"/>
  <c r="O80" i="10" s="1"/>
  <c r="I80" i="10"/>
  <c r="K79" i="10"/>
  <c r="J79" i="10"/>
  <c r="L79" i="10" s="1"/>
  <c r="M79" i="10" s="1"/>
  <c r="O79" i="10" s="1"/>
  <c r="I79" i="10"/>
  <c r="K78" i="10"/>
  <c r="J78" i="10"/>
  <c r="L78" i="10" s="1"/>
  <c r="M78" i="10" s="1"/>
  <c r="O78" i="10" s="1"/>
  <c r="I78" i="10"/>
  <c r="K77" i="10"/>
  <c r="J77" i="10"/>
  <c r="L77" i="10" s="1"/>
  <c r="M77" i="10" s="1"/>
  <c r="O77" i="10" s="1"/>
  <c r="I77" i="10"/>
  <c r="K76" i="10"/>
  <c r="J76" i="10"/>
  <c r="L76" i="10" s="1"/>
  <c r="M76" i="10" s="1"/>
  <c r="O76" i="10" s="1"/>
  <c r="I76" i="10"/>
  <c r="K75" i="10"/>
  <c r="J75" i="10"/>
  <c r="L75" i="10" s="1"/>
  <c r="M75" i="10" s="1"/>
  <c r="O75" i="10" s="1"/>
  <c r="I75" i="10"/>
  <c r="K74" i="10"/>
  <c r="J74" i="10"/>
  <c r="L74" i="10" s="1"/>
  <c r="M74" i="10" s="1"/>
  <c r="O74" i="10" s="1"/>
  <c r="I74" i="10"/>
  <c r="K73" i="10"/>
  <c r="J73" i="10"/>
  <c r="L73" i="10" s="1"/>
  <c r="M73" i="10" s="1"/>
  <c r="O73" i="10" s="1"/>
  <c r="I73" i="10"/>
  <c r="K72" i="10"/>
  <c r="J72" i="10"/>
  <c r="L72" i="10" s="1"/>
  <c r="M72" i="10" s="1"/>
  <c r="O72" i="10" s="1"/>
  <c r="I72" i="10"/>
  <c r="K71" i="10"/>
  <c r="J71" i="10"/>
  <c r="L71" i="10" s="1"/>
  <c r="M71" i="10" s="1"/>
  <c r="O71" i="10" s="1"/>
  <c r="I71" i="10"/>
  <c r="K70" i="10"/>
  <c r="J70" i="10"/>
  <c r="L70" i="10" s="1"/>
  <c r="M70" i="10" s="1"/>
  <c r="O70" i="10" s="1"/>
  <c r="I70" i="10"/>
  <c r="K69" i="10"/>
  <c r="J69" i="10"/>
  <c r="L69" i="10" s="1"/>
  <c r="M69" i="10" s="1"/>
  <c r="O69" i="10" s="1"/>
  <c r="I69" i="10"/>
  <c r="K68" i="10"/>
  <c r="J68" i="10"/>
  <c r="L68" i="10" s="1"/>
  <c r="M68" i="10" s="1"/>
  <c r="O68" i="10" s="1"/>
  <c r="I68" i="10"/>
  <c r="K67" i="10"/>
  <c r="J67" i="10"/>
  <c r="L67" i="10" s="1"/>
  <c r="M67" i="10" s="1"/>
  <c r="O67" i="10" s="1"/>
  <c r="I67" i="10"/>
  <c r="K66" i="10"/>
  <c r="J66" i="10"/>
  <c r="L66" i="10" s="1"/>
  <c r="M66" i="10" s="1"/>
  <c r="O66" i="10" s="1"/>
  <c r="I66" i="10"/>
  <c r="K65" i="10"/>
  <c r="J65" i="10"/>
  <c r="L65" i="10" s="1"/>
  <c r="M65" i="10" s="1"/>
  <c r="O65" i="10" s="1"/>
  <c r="I65" i="10"/>
  <c r="K64" i="10"/>
  <c r="J64" i="10"/>
  <c r="L64" i="10" s="1"/>
  <c r="M64" i="10" s="1"/>
  <c r="O64" i="10" s="1"/>
  <c r="I64" i="10"/>
  <c r="K63" i="10"/>
  <c r="J63" i="10"/>
  <c r="L63" i="10" s="1"/>
  <c r="M63" i="10" s="1"/>
  <c r="O63" i="10" s="1"/>
  <c r="I63" i="10"/>
  <c r="K62" i="10"/>
  <c r="J62" i="10"/>
  <c r="L62" i="10" s="1"/>
  <c r="M62" i="10" s="1"/>
  <c r="O62" i="10" s="1"/>
  <c r="I62" i="10"/>
  <c r="K61" i="10"/>
  <c r="J61" i="10"/>
  <c r="L61" i="10" s="1"/>
  <c r="M61" i="10" s="1"/>
  <c r="O61" i="10" s="1"/>
  <c r="I61" i="10"/>
  <c r="K60" i="10"/>
  <c r="J60" i="10"/>
  <c r="L60" i="10" s="1"/>
  <c r="M60" i="10" s="1"/>
  <c r="O60" i="10" s="1"/>
  <c r="I60" i="10"/>
  <c r="K59" i="10"/>
  <c r="J59" i="10"/>
  <c r="L59" i="10" s="1"/>
  <c r="M59" i="10" s="1"/>
  <c r="O59" i="10" s="1"/>
  <c r="I59" i="10"/>
  <c r="K58" i="10"/>
  <c r="J58" i="10"/>
  <c r="L58" i="10" s="1"/>
  <c r="M58" i="10" s="1"/>
  <c r="O58" i="10" s="1"/>
  <c r="I58" i="10"/>
  <c r="K57" i="10"/>
  <c r="J57" i="10"/>
  <c r="L57" i="10" s="1"/>
  <c r="M57" i="10" s="1"/>
  <c r="O57" i="10" s="1"/>
  <c r="I57" i="10"/>
  <c r="K56" i="10"/>
  <c r="J56" i="10"/>
  <c r="L56" i="10" s="1"/>
  <c r="M56" i="10" s="1"/>
  <c r="O56" i="10" s="1"/>
  <c r="I56" i="10"/>
  <c r="K55" i="10"/>
  <c r="J55" i="10"/>
  <c r="L55" i="10" s="1"/>
  <c r="M55" i="10" s="1"/>
  <c r="O55" i="10" s="1"/>
  <c r="I55" i="10"/>
  <c r="K54" i="10"/>
  <c r="J54" i="10"/>
  <c r="L54" i="10" s="1"/>
  <c r="M54" i="10" s="1"/>
  <c r="O54" i="10" s="1"/>
  <c r="I54" i="10"/>
  <c r="K53" i="10"/>
  <c r="J53" i="10"/>
  <c r="L53" i="10" s="1"/>
  <c r="M53" i="10" s="1"/>
  <c r="O53" i="10" s="1"/>
  <c r="I53" i="10"/>
  <c r="K52" i="10"/>
  <c r="J52" i="10"/>
  <c r="L52" i="10" s="1"/>
  <c r="M52" i="10" s="1"/>
  <c r="O52" i="10" s="1"/>
  <c r="I52" i="10"/>
  <c r="K51" i="10"/>
  <c r="J51" i="10"/>
  <c r="L51" i="10" s="1"/>
  <c r="M51" i="10" s="1"/>
  <c r="O51" i="10" s="1"/>
  <c r="I51" i="10"/>
  <c r="K50" i="10"/>
  <c r="J50" i="10"/>
  <c r="L50" i="10" s="1"/>
  <c r="M50" i="10" s="1"/>
  <c r="O50" i="10" s="1"/>
  <c r="I50" i="10"/>
  <c r="K49" i="10"/>
  <c r="J49" i="10"/>
  <c r="L49" i="10" s="1"/>
  <c r="M49" i="10" s="1"/>
  <c r="O49" i="10" s="1"/>
  <c r="I49" i="10"/>
  <c r="K48" i="10"/>
  <c r="J48" i="10"/>
  <c r="L48" i="10" s="1"/>
  <c r="M48" i="10" s="1"/>
  <c r="O48" i="10" s="1"/>
  <c r="I48" i="10"/>
  <c r="K47" i="10"/>
  <c r="J47" i="10"/>
  <c r="L47" i="10" s="1"/>
  <c r="M47" i="10" s="1"/>
  <c r="O47" i="10" s="1"/>
  <c r="I47" i="10"/>
  <c r="K46" i="10"/>
  <c r="J46" i="10"/>
  <c r="L46" i="10" s="1"/>
  <c r="M46" i="10" s="1"/>
  <c r="O46" i="10" s="1"/>
  <c r="I46" i="10"/>
  <c r="K45" i="10"/>
  <c r="J45" i="10"/>
  <c r="L45" i="10" s="1"/>
  <c r="M45" i="10" s="1"/>
  <c r="O45" i="10" s="1"/>
  <c r="I45" i="10"/>
  <c r="K44" i="10"/>
  <c r="J44" i="10"/>
  <c r="L44" i="10" s="1"/>
  <c r="M44" i="10" s="1"/>
  <c r="O44" i="10" s="1"/>
  <c r="I44" i="10"/>
  <c r="K43" i="10"/>
  <c r="J43" i="10"/>
  <c r="L43" i="10" s="1"/>
  <c r="M43" i="10" s="1"/>
  <c r="O43" i="10" s="1"/>
  <c r="I43" i="10"/>
  <c r="K42" i="10"/>
  <c r="J42" i="10"/>
  <c r="L42" i="10" s="1"/>
  <c r="M42" i="10" s="1"/>
  <c r="O42" i="10" s="1"/>
  <c r="I42" i="10"/>
  <c r="K41" i="10"/>
  <c r="J41" i="10"/>
  <c r="L41" i="10" s="1"/>
  <c r="M41" i="10" s="1"/>
  <c r="O41" i="10" s="1"/>
  <c r="I41" i="10"/>
  <c r="K40" i="10"/>
  <c r="J40" i="10"/>
  <c r="L40" i="10" s="1"/>
  <c r="M40" i="10" s="1"/>
  <c r="O40" i="10" s="1"/>
  <c r="I40" i="10"/>
  <c r="K39" i="10"/>
  <c r="J39" i="10"/>
  <c r="L39" i="10" s="1"/>
  <c r="M39" i="10" s="1"/>
  <c r="O39" i="10" s="1"/>
  <c r="I39" i="10"/>
  <c r="K38" i="10"/>
  <c r="J38" i="10"/>
  <c r="L38" i="10" s="1"/>
  <c r="M38" i="10" s="1"/>
  <c r="O38" i="10" s="1"/>
  <c r="I38" i="10"/>
  <c r="K37" i="10"/>
  <c r="J37" i="10"/>
  <c r="L37" i="10" s="1"/>
  <c r="M37" i="10" s="1"/>
  <c r="O37" i="10" s="1"/>
  <c r="I37" i="10"/>
  <c r="K36" i="10"/>
  <c r="J36" i="10"/>
  <c r="L36" i="10" s="1"/>
  <c r="M36" i="10" s="1"/>
  <c r="O36" i="10" s="1"/>
  <c r="I36" i="10"/>
  <c r="K35" i="10"/>
  <c r="J35" i="10"/>
  <c r="L35" i="10" s="1"/>
  <c r="M35" i="10" s="1"/>
  <c r="O35" i="10" s="1"/>
  <c r="I35" i="10"/>
  <c r="K34" i="10"/>
  <c r="J34" i="10"/>
  <c r="L34" i="10" s="1"/>
  <c r="M34" i="10" s="1"/>
  <c r="O34" i="10" s="1"/>
  <c r="I34" i="10"/>
  <c r="K32" i="10"/>
  <c r="J32" i="10"/>
  <c r="L32" i="10" s="1"/>
  <c r="M32" i="10" s="1"/>
  <c r="O32" i="10" s="1"/>
  <c r="I32" i="10"/>
  <c r="K31" i="10"/>
  <c r="J31" i="10"/>
  <c r="L31" i="10" s="1"/>
  <c r="M31" i="10" s="1"/>
  <c r="O31" i="10" s="1"/>
  <c r="I31" i="10"/>
  <c r="K30" i="10"/>
  <c r="J30" i="10"/>
  <c r="L30" i="10" s="1"/>
  <c r="M30" i="10" s="1"/>
  <c r="O30" i="10" s="1"/>
  <c r="I30" i="10"/>
  <c r="K542" i="10" s="1"/>
  <c r="K29" i="10"/>
  <c r="J29" i="10"/>
  <c r="L29" i="10" s="1"/>
  <c r="M29" i="10" s="1"/>
  <c r="O29" i="10" s="1"/>
  <c r="I29" i="10"/>
  <c r="K28" i="10"/>
  <c r="J28" i="10"/>
  <c r="L28" i="10" s="1"/>
  <c r="M28" i="10" s="1"/>
  <c r="O28" i="10" s="1"/>
  <c r="I28" i="10"/>
  <c r="K27" i="10"/>
  <c r="J27" i="10"/>
  <c r="L27" i="10" s="1"/>
  <c r="M27" i="10" s="1"/>
  <c r="O27" i="10" s="1"/>
  <c r="I27" i="10"/>
  <c r="K26" i="10"/>
  <c r="J26" i="10"/>
  <c r="L26" i="10" s="1"/>
  <c r="M26" i="10" s="1"/>
  <c r="O26" i="10" s="1"/>
  <c r="I26" i="10"/>
  <c r="K25" i="10"/>
  <c r="J25" i="10"/>
  <c r="L25" i="10" s="1"/>
  <c r="M25" i="10" s="1"/>
  <c r="O25" i="10" s="1"/>
  <c r="I25" i="10"/>
  <c r="K24" i="10"/>
  <c r="J24" i="10"/>
  <c r="L24" i="10" s="1"/>
  <c r="M24" i="10" s="1"/>
  <c r="O24" i="10" s="1"/>
  <c r="I24" i="10"/>
  <c r="K23" i="10"/>
  <c r="J23" i="10"/>
  <c r="L23" i="10" s="1"/>
  <c r="M23" i="10" s="1"/>
  <c r="O23" i="10" s="1"/>
  <c r="I23" i="10"/>
  <c r="K22" i="10"/>
  <c r="J22" i="10"/>
  <c r="L22" i="10" s="1"/>
  <c r="M22" i="10" s="1"/>
  <c r="O22" i="10" s="1"/>
  <c r="I22" i="10"/>
  <c r="K21" i="10"/>
  <c r="J21" i="10"/>
  <c r="L21" i="10" s="1"/>
  <c r="M21" i="10" s="1"/>
  <c r="O21" i="10" s="1"/>
  <c r="I21" i="10"/>
  <c r="K20" i="10"/>
  <c r="J20" i="10"/>
  <c r="L20" i="10" s="1"/>
  <c r="M20" i="10" s="1"/>
  <c r="O20" i="10" s="1"/>
  <c r="I20" i="10"/>
  <c r="K19" i="10"/>
  <c r="J19" i="10"/>
  <c r="L19" i="10" s="1"/>
  <c r="M19" i="10" s="1"/>
  <c r="O19" i="10" s="1"/>
  <c r="I19" i="10"/>
  <c r="K18" i="10"/>
  <c r="J18" i="10"/>
  <c r="L18" i="10" s="1"/>
  <c r="M18" i="10" s="1"/>
  <c r="O18" i="10" s="1"/>
  <c r="I18" i="10"/>
  <c r="K17" i="10"/>
  <c r="J17" i="10"/>
  <c r="L17" i="10" s="1"/>
  <c r="M17" i="10" s="1"/>
  <c r="O17" i="10" s="1"/>
  <c r="I17" i="10"/>
  <c r="K16" i="10"/>
  <c r="J16" i="10"/>
  <c r="L16" i="10" s="1"/>
  <c r="M16" i="10" s="1"/>
  <c r="O16" i="10" s="1"/>
  <c r="I16" i="10"/>
  <c r="K15" i="10"/>
  <c r="J15" i="10"/>
  <c r="L15" i="10" s="1"/>
  <c r="M15" i="10" s="1"/>
  <c r="O15" i="10" s="1"/>
  <c r="I15" i="10"/>
  <c r="K14" i="10"/>
  <c r="J14" i="10"/>
  <c r="L14" i="10" s="1"/>
  <c r="M14" i="10" s="1"/>
  <c r="O14" i="10" s="1"/>
  <c r="O541" i="10" s="1"/>
  <c r="I14" i="10"/>
  <c r="K7" i="10"/>
  <c r="J7" i="10"/>
  <c r="I7" i="10"/>
  <c r="K6" i="10"/>
  <c r="J6" i="10"/>
  <c r="L6" i="10" s="1"/>
  <c r="I6" i="10"/>
  <c r="K530" i="13"/>
  <c r="J530" i="13"/>
  <c r="L530" i="13" s="1"/>
  <c r="M530" i="13" s="1"/>
  <c r="O530" i="13" s="1"/>
  <c r="I530" i="13"/>
  <c r="K529" i="13"/>
  <c r="J529" i="13"/>
  <c r="L529" i="13" s="1"/>
  <c r="M529" i="13" s="1"/>
  <c r="O529" i="13" s="1"/>
  <c r="I529" i="13"/>
  <c r="K528" i="13"/>
  <c r="J528" i="13"/>
  <c r="L528" i="13" s="1"/>
  <c r="M528" i="13" s="1"/>
  <c r="O528" i="13" s="1"/>
  <c r="I528" i="13"/>
  <c r="K527" i="13"/>
  <c r="J527" i="13"/>
  <c r="L527" i="13" s="1"/>
  <c r="M527" i="13" s="1"/>
  <c r="O527" i="13" s="1"/>
  <c r="I527" i="13"/>
  <c r="K526" i="13"/>
  <c r="J526" i="13"/>
  <c r="L526" i="13" s="1"/>
  <c r="M526" i="13" s="1"/>
  <c r="O526" i="13" s="1"/>
  <c r="I526" i="13"/>
  <c r="K525" i="13"/>
  <c r="J525" i="13"/>
  <c r="L525" i="13" s="1"/>
  <c r="M525" i="13" s="1"/>
  <c r="O525" i="13" s="1"/>
  <c r="I525" i="13"/>
  <c r="K524" i="13"/>
  <c r="J524" i="13"/>
  <c r="L524" i="13" s="1"/>
  <c r="M524" i="13" s="1"/>
  <c r="O524" i="13" s="1"/>
  <c r="I524" i="13"/>
  <c r="K523" i="13"/>
  <c r="J523" i="13"/>
  <c r="L523" i="13" s="1"/>
  <c r="M523" i="13" s="1"/>
  <c r="O523" i="13" s="1"/>
  <c r="I523" i="13"/>
  <c r="K522" i="13"/>
  <c r="J522" i="13"/>
  <c r="L522" i="13" s="1"/>
  <c r="M522" i="13" s="1"/>
  <c r="O522" i="13" s="1"/>
  <c r="I522" i="13"/>
  <c r="K521" i="13"/>
  <c r="J521" i="13"/>
  <c r="L521" i="13" s="1"/>
  <c r="M521" i="13" s="1"/>
  <c r="O521" i="13" s="1"/>
  <c r="I521" i="13"/>
  <c r="K520" i="13"/>
  <c r="J520" i="13"/>
  <c r="L520" i="13" s="1"/>
  <c r="M520" i="13" s="1"/>
  <c r="O520" i="13" s="1"/>
  <c r="I520" i="13"/>
  <c r="K519" i="13"/>
  <c r="J519" i="13"/>
  <c r="L519" i="13" s="1"/>
  <c r="M519" i="13" s="1"/>
  <c r="O519" i="13" s="1"/>
  <c r="I519" i="13"/>
  <c r="K518" i="13"/>
  <c r="J518" i="13"/>
  <c r="L518" i="13" s="1"/>
  <c r="M518" i="13" s="1"/>
  <c r="O518" i="13" s="1"/>
  <c r="I518" i="13"/>
  <c r="K517" i="13"/>
  <c r="J517" i="13"/>
  <c r="L517" i="13" s="1"/>
  <c r="M517" i="13" s="1"/>
  <c r="O517" i="13" s="1"/>
  <c r="I517" i="13"/>
  <c r="K516" i="13"/>
  <c r="J516" i="13"/>
  <c r="L516" i="13" s="1"/>
  <c r="M516" i="13" s="1"/>
  <c r="O516" i="13" s="1"/>
  <c r="I516" i="13"/>
  <c r="K515" i="13"/>
  <c r="J515" i="13"/>
  <c r="L515" i="13" s="1"/>
  <c r="M515" i="13" s="1"/>
  <c r="O515" i="13" s="1"/>
  <c r="I515" i="13"/>
  <c r="K514" i="13"/>
  <c r="J514" i="13"/>
  <c r="L514" i="13" s="1"/>
  <c r="M514" i="13" s="1"/>
  <c r="O514" i="13" s="1"/>
  <c r="I514" i="13"/>
  <c r="K513" i="13"/>
  <c r="J513" i="13"/>
  <c r="L513" i="13" s="1"/>
  <c r="M513" i="13" s="1"/>
  <c r="O513" i="13" s="1"/>
  <c r="I513" i="13"/>
  <c r="K512" i="13"/>
  <c r="J512" i="13"/>
  <c r="L512" i="13" s="1"/>
  <c r="M512" i="13" s="1"/>
  <c r="O512" i="13" s="1"/>
  <c r="I512" i="13"/>
  <c r="K511" i="13"/>
  <c r="J511" i="13"/>
  <c r="L511" i="13" s="1"/>
  <c r="M511" i="13" s="1"/>
  <c r="O511" i="13" s="1"/>
  <c r="I511" i="13"/>
  <c r="K510" i="13"/>
  <c r="J510" i="13"/>
  <c r="L510" i="13" s="1"/>
  <c r="M510" i="13" s="1"/>
  <c r="O510" i="13" s="1"/>
  <c r="I510" i="13"/>
  <c r="K509" i="13"/>
  <c r="J509" i="13"/>
  <c r="L509" i="13" s="1"/>
  <c r="M509" i="13" s="1"/>
  <c r="O509" i="13" s="1"/>
  <c r="I509" i="13"/>
  <c r="K508" i="13"/>
  <c r="J508" i="13"/>
  <c r="L508" i="13" s="1"/>
  <c r="M508" i="13" s="1"/>
  <c r="O508" i="13" s="1"/>
  <c r="I508" i="13"/>
  <c r="K507" i="13"/>
  <c r="J507" i="13"/>
  <c r="L507" i="13" s="1"/>
  <c r="M507" i="13" s="1"/>
  <c r="O507" i="13" s="1"/>
  <c r="I507" i="13"/>
  <c r="K506" i="13"/>
  <c r="J506" i="13"/>
  <c r="L506" i="13" s="1"/>
  <c r="M506" i="13" s="1"/>
  <c r="O506" i="13" s="1"/>
  <c r="I506" i="13"/>
  <c r="K505" i="13"/>
  <c r="J505" i="13"/>
  <c r="L505" i="13" s="1"/>
  <c r="M505" i="13" s="1"/>
  <c r="O505" i="13" s="1"/>
  <c r="I505" i="13"/>
  <c r="K504" i="13"/>
  <c r="J504" i="13"/>
  <c r="L504" i="13" s="1"/>
  <c r="M504" i="13" s="1"/>
  <c r="O504" i="13" s="1"/>
  <c r="I504" i="13"/>
  <c r="K503" i="13"/>
  <c r="J503" i="13"/>
  <c r="L503" i="13" s="1"/>
  <c r="M503" i="13" s="1"/>
  <c r="O503" i="13" s="1"/>
  <c r="I503" i="13"/>
  <c r="K502" i="13"/>
  <c r="J502" i="13"/>
  <c r="L502" i="13" s="1"/>
  <c r="M502" i="13" s="1"/>
  <c r="O502" i="13" s="1"/>
  <c r="I502" i="13"/>
  <c r="K501" i="13"/>
  <c r="J501" i="13"/>
  <c r="L501" i="13" s="1"/>
  <c r="M501" i="13" s="1"/>
  <c r="O501" i="13" s="1"/>
  <c r="I501" i="13"/>
  <c r="K500" i="13"/>
  <c r="J500" i="13"/>
  <c r="L500" i="13" s="1"/>
  <c r="M500" i="13" s="1"/>
  <c r="O500" i="13" s="1"/>
  <c r="I500" i="13"/>
  <c r="K499" i="13"/>
  <c r="J499" i="13"/>
  <c r="L499" i="13" s="1"/>
  <c r="M499" i="13" s="1"/>
  <c r="O499" i="13" s="1"/>
  <c r="I499" i="13"/>
  <c r="K498" i="13"/>
  <c r="J498" i="13"/>
  <c r="L498" i="13" s="1"/>
  <c r="M498" i="13" s="1"/>
  <c r="O498" i="13" s="1"/>
  <c r="I498" i="13"/>
  <c r="K497" i="13"/>
  <c r="J497" i="13"/>
  <c r="L497" i="13" s="1"/>
  <c r="M497" i="13" s="1"/>
  <c r="O497" i="13" s="1"/>
  <c r="I497" i="13"/>
  <c r="K496" i="13"/>
  <c r="J496" i="13"/>
  <c r="L496" i="13" s="1"/>
  <c r="M496" i="13" s="1"/>
  <c r="O496" i="13" s="1"/>
  <c r="I496" i="13"/>
  <c r="K495" i="13"/>
  <c r="J495" i="13"/>
  <c r="L495" i="13" s="1"/>
  <c r="M495" i="13" s="1"/>
  <c r="O495" i="13" s="1"/>
  <c r="I495" i="13"/>
  <c r="K494" i="13"/>
  <c r="J494" i="13"/>
  <c r="L494" i="13" s="1"/>
  <c r="M494" i="13" s="1"/>
  <c r="O494" i="13" s="1"/>
  <c r="I494" i="13"/>
  <c r="K493" i="13"/>
  <c r="J493" i="13"/>
  <c r="L493" i="13" s="1"/>
  <c r="M493" i="13" s="1"/>
  <c r="O493" i="13" s="1"/>
  <c r="I493" i="13"/>
  <c r="K492" i="13"/>
  <c r="J492" i="13"/>
  <c r="L492" i="13" s="1"/>
  <c r="M492" i="13" s="1"/>
  <c r="O492" i="13" s="1"/>
  <c r="I492" i="13"/>
  <c r="K491" i="13"/>
  <c r="J491" i="13"/>
  <c r="L491" i="13" s="1"/>
  <c r="M491" i="13" s="1"/>
  <c r="O491" i="13" s="1"/>
  <c r="I491" i="13"/>
  <c r="K490" i="13"/>
  <c r="J490" i="13"/>
  <c r="L490" i="13" s="1"/>
  <c r="M490" i="13" s="1"/>
  <c r="O490" i="13" s="1"/>
  <c r="I490" i="13"/>
  <c r="K489" i="13"/>
  <c r="J489" i="13"/>
  <c r="L489" i="13" s="1"/>
  <c r="M489" i="13" s="1"/>
  <c r="O489" i="13" s="1"/>
  <c r="I489" i="13"/>
  <c r="K488" i="13"/>
  <c r="J488" i="13"/>
  <c r="L488" i="13" s="1"/>
  <c r="M488" i="13" s="1"/>
  <c r="O488" i="13" s="1"/>
  <c r="I488" i="13"/>
  <c r="K487" i="13"/>
  <c r="J487" i="13"/>
  <c r="L487" i="13" s="1"/>
  <c r="M487" i="13" s="1"/>
  <c r="O487" i="13" s="1"/>
  <c r="I487" i="13"/>
  <c r="K486" i="13"/>
  <c r="J486" i="13"/>
  <c r="L486" i="13" s="1"/>
  <c r="M486" i="13" s="1"/>
  <c r="O486" i="13" s="1"/>
  <c r="I486" i="13"/>
  <c r="K485" i="13"/>
  <c r="J485" i="13"/>
  <c r="L485" i="13" s="1"/>
  <c r="M485" i="13" s="1"/>
  <c r="O485" i="13" s="1"/>
  <c r="I485" i="13"/>
  <c r="K484" i="13"/>
  <c r="J484" i="13"/>
  <c r="L484" i="13" s="1"/>
  <c r="M484" i="13" s="1"/>
  <c r="O484" i="13" s="1"/>
  <c r="I484" i="13"/>
  <c r="K483" i="13"/>
  <c r="J483" i="13"/>
  <c r="L483" i="13" s="1"/>
  <c r="M483" i="13" s="1"/>
  <c r="O483" i="13" s="1"/>
  <c r="I483" i="13"/>
  <c r="K482" i="13"/>
  <c r="J482" i="13"/>
  <c r="L482" i="13" s="1"/>
  <c r="M482" i="13" s="1"/>
  <c r="O482" i="13" s="1"/>
  <c r="I482" i="13"/>
  <c r="K481" i="13"/>
  <c r="J481" i="13"/>
  <c r="L481" i="13" s="1"/>
  <c r="M481" i="13" s="1"/>
  <c r="O481" i="13" s="1"/>
  <c r="I481" i="13"/>
  <c r="K480" i="13"/>
  <c r="J480" i="13"/>
  <c r="L480" i="13" s="1"/>
  <c r="M480" i="13" s="1"/>
  <c r="O480" i="13" s="1"/>
  <c r="I480" i="13"/>
  <c r="K479" i="13"/>
  <c r="J479" i="13"/>
  <c r="L479" i="13" s="1"/>
  <c r="M479" i="13" s="1"/>
  <c r="O479" i="13" s="1"/>
  <c r="I479" i="13"/>
  <c r="K478" i="13"/>
  <c r="J478" i="13"/>
  <c r="L478" i="13" s="1"/>
  <c r="M478" i="13" s="1"/>
  <c r="O478" i="13" s="1"/>
  <c r="I478" i="13"/>
  <c r="K477" i="13"/>
  <c r="J477" i="13"/>
  <c r="L477" i="13" s="1"/>
  <c r="M477" i="13" s="1"/>
  <c r="O477" i="13" s="1"/>
  <c r="I477" i="13"/>
  <c r="K476" i="13"/>
  <c r="J476" i="13"/>
  <c r="L476" i="13" s="1"/>
  <c r="M476" i="13" s="1"/>
  <c r="O476" i="13" s="1"/>
  <c r="I476" i="13"/>
  <c r="K475" i="13"/>
  <c r="J475" i="13"/>
  <c r="L475" i="13" s="1"/>
  <c r="M475" i="13" s="1"/>
  <c r="O475" i="13" s="1"/>
  <c r="I475" i="13"/>
  <c r="K474" i="13"/>
  <c r="J474" i="13"/>
  <c r="L474" i="13" s="1"/>
  <c r="M474" i="13" s="1"/>
  <c r="O474" i="13" s="1"/>
  <c r="I474" i="13"/>
  <c r="K473" i="13"/>
  <c r="J473" i="13"/>
  <c r="L473" i="13" s="1"/>
  <c r="M473" i="13" s="1"/>
  <c r="O473" i="13" s="1"/>
  <c r="I473" i="13"/>
  <c r="K472" i="13"/>
  <c r="J472" i="13"/>
  <c r="L472" i="13" s="1"/>
  <c r="M472" i="13" s="1"/>
  <c r="O472" i="13" s="1"/>
  <c r="I472" i="13"/>
  <c r="K471" i="13"/>
  <c r="J471" i="13"/>
  <c r="L471" i="13" s="1"/>
  <c r="M471" i="13" s="1"/>
  <c r="O471" i="13" s="1"/>
  <c r="I471" i="13"/>
  <c r="K470" i="13"/>
  <c r="J470" i="13"/>
  <c r="L470" i="13" s="1"/>
  <c r="M470" i="13" s="1"/>
  <c r="O470" i="13" s="1"/>
  <c r="I470" i="13"/>
  <c r="K469" i="13"/>
  <c r="J469" i="13"/>
  <c r="L469" i="13" s="1"/>
  <c r="M469" i="13" s="1"/>
  <c r="O469" i="13" s="1"/>
  <c r="I469" i="13"/>
  <c r="K468" i="13"/>
  <c r="J468" i="13"/>
  <c r="L468" i="13" s="1"/>
  <c r="M468" i="13" s="1"/>
  <c r="O468" i="13" s="1"/>
  <c r="I468" i="13"/>
  <c r="K467" i="13"/>
  <c r="J467" i="13"/>
  <c r="L467" i="13" s="1"/>
  <c r="M467" i="13" s="1"/>
  <c r="O467" i="13" s="1"/>
  <c r="I467" i="13"/>
  <c r="K466" i="13"/>
  <c r="J466" i="13"/>
  <c r="L466" i="13" s="1"/>
  <c r="M466" i="13" s="1"/>
  <c r="O466" i="13" s="1"/>
  <c r="I466" i="13"/>
  <c r="K465" i="13"/>
  <c r="J465" i="13"/>
  <c r="L465" i="13" s="1"/>
  <c r="M465" i="13" s="1"/>
  <c r="O465" i="13" s="1"/>
  <c r="I465" i="13"/>
  <c r="K464" i="13"/>
  <c r="J464" i="13"/>
  <c r="L464" i="13" s="1"/>
  <c r="M464" i="13" s="1"/>
  <c r="O464" i="13" s="1"/>
  <c r="I464" i="13"/>
  <c r="K463" i="13"/>
  <c r="J463" i="13"/>
  <c r="L463" i="13" s="1"/>
  <c r="M463" i="13" s="1"/>
  <c r="O463" i="13" s="1"/>
  <c r="I463" i="13"/>
  <c r="K462" i="13"/>
  <c r="J462" i="13"/>
  <c r="L462" i="13" s="1"/>
  <c r="M462" i="13" s="1"/>
  <c r="O462" i="13" s="1"/>
  <c r="I462" i="13"/>
  <c r="K461" i="13"/>
  <c r="J461" i="13"/>
  <c r="L461" i="13" s="1"/>
  <c r="M461" i="13" s="1"/>
  <c r="O461" i="13" s="1"/>
  <c r="I461" i="13"/>
  <c r="K460" i="13"/>
  <c r="J460" i="13"/>
  <c r="L460" i="13" s="1"/>
  <c r="M460" i="13" s="1"/>
  <c r="O460" i="13" s="1"/>
  <c r="I460" i="13"/>
  <c r="K459" i="13"/>
  <c r="J459" i="13"/>
  <c r="L459" i="13" s="1"/>
  <c r="M459" i="13" s="1"/>
  <c r="O459" i="13" s="1"/>
  <c r="I459" i="13"/>
  <c r="K458" i="13"/>
  <c r="J458" i="13"/>
  <c r="L458" i="13" s="1"/>
  <c r="M458" i="13" s="1"/>
  <c r="O458" i="13" s="1"/>
  <c r="I458" i="13"/>
  <c r="K457" i="13"/>
  <c r="J457" i="13"/>
  <c r="L457" i="13" s="1"/>
  <c r="M457" i="13" s="1"/>
  <c r="O457" i="13" s="1"/>
  <c r="I457" i="13"/>
  <c r="K456" i="13"/>
  <c r="J456" i="13"/>
  <c r="L456" i="13" s="1"/>
  <c r="M456" i="13" s="1"/>
  <c r="O456" i="13" s="1"/>
  <c r="I456" i="13"/>
  <c r="K455" i="13"/>
  <c r="J455" i="13"/>
  <c r="L455" i="13" s="1"/>
  <c r="M455" i="13" s="1"/>
  <c r="O455" i="13" s="1"/>
  <c r="I455" i="13"/>
  <c r="K454" i="13"/>
  <c r="J454" i="13"/>
  <c r="L454" i="13" s="1"/>
  <c r="M454" i="13" s="1"/>
  <c r="O454" i="13" s="1"/>
  <c r="I454" i="13"/>
  <c r="K453" i="13"/>
  <c r="J453" i="13"/>
  <c r="L453" i="13" s="1"/>
  <c r="M453" i="13" s="1"/>
  <c r="O453" i="13" s="1"/>
  <c r="I453" i="13"/>
  <c r="K452" i="13"/>
  <c r="J452" i="13"/>
  <c r="L452" i="13" s="1"/>
  <c r="M452" i="13" s="1"/>
  <c r="O452" i="13" s="1"/>
  <c r="I452" i="13"/>
  <c r="K451" i="13"/>
  <c r="J451" i="13"/>
  <c r="L451" i="13" s="1"/>
  <c r="M451" i="13" s="1"/>
  <c r="O451" i="13" s="1"/>
  <c r="I451" i="13"/>
  <c r="K450" i="13"/>
  <c r="J450" i="13"/>
  <c r="L450" i="13" s="1"/>
  <c r="M450" i="13" s="1"/>
  <c r="O450" i="13" s="1"/>
  <c r="I450" i="13"/>
  <c r="K449" i="13"/>
  <c r="J449" i="13"/>
  <c r="L449" i="13" s="1"/>
  <c r="M449" i="13" s="1"/>
  <c r="O449" i="13" s="1"/>
  <c r="I449" i="13"/>
  <c r="K448" i="13"/>
  <c r="J448" i="13"/>
  <c r="L448" i="13" s="1"/>
  <c r="M448" i="13" s="1"/>
  <c r="O448" i="13" s="1"/>
  <c r="I448" i="13"/>
  <c r="K447" i="13"/>
  <c r="J447" i="13"/>
  <c r="L447" i="13" s="1"/>
  <c r="M447" i="13" s="1"/>
  <c r="O447" i="13" s="1"/>
  <c r="I447" i="13"/>
  <c r="K446" i="13"/>
  <c r="J446" i="13"/>
  <c r="L446" i="13" s="1"/>
  <c r="M446" i="13" s="1"/>
  <c r="O446" i="13" s="1"/>
  <c r="I446" i="13"/>
  <c r="K445" i="13"/>
  <c r="J445" i="13"/>
  <c r="L445" i="13" s="1"/>
  <c r="M445" i="13" s="1"/>
  <c r="O445" i="13" s="1"/>
  <c r="I445" i="13"/>
  <c r="K444" i="13"/>
  <c r="J444" i="13"/>
  <c r="L444" i="13" s="1"/>
  <c r="M444" i="13" s="1"/>
  <c r="O444" i="13" s="1"/>
  <c r="I444" i="13"/>
  <c r="K443" i="13"/>
  <c r="J443" i="13"/>
  <c r="L443" i="13" s="1"/>
  <c r="M443" i="13" s="1"/>
  <c r="O443" i="13" s="1"/>
  <c r="I443" i="13"/>
  <c r="K442" i="13"/>
  <c r="J442" i="13"/>
  <c r="L442" i="13" s="1"/>
  <c r="M442" i="13" s="1"/>
  <c r="O442" i="13" s="1"/>
  <c r="I442" i="13"/>
  <c r="K441" i="13"/>
  <c r="J441" i="13"/>
  <c r="L441" i="13" s="1"/>
  <c r="M441" i="13" s="1"/>
  <c r="O441" i="13" s="1"/>
  <c r="I441" i="13"/>
  <c r="K440" i="13"/>
  <c r="J440" i="13"/>
  <c r="L440" i="13" s="1"/>
  <c r="M440" i="13" s="1"/>
  <c r="O440" i="13" s="1"/>
  <c r="I440" i="13"/>
  <c r="K439" i="13"/>
  <c r="J439" i="13"/>
  <c r="L439" i="13" s="1"/>
  <c r="M439" i="13" s="1"/>
  <c r="O439" i="13" s="1"/>
  <c r="I439" i="13"/>
  <c r="K438" i="13"/>
  <c r="J438" i="13"/>
  <c r="L438" i="13" s="1"/>
  <c r="M438" i="13" s="1"/>
  <c r="O438" i="13" s="1"/>
  <c r="I438" i="13"/>
  <c r="K437" i="13"/>
  <c r="J437" i="13"/>
  <c r="L437" i="13" s="1"/>
  <c r="M437" i="13" s="1"/>
  <c r="O437" i="13" s="1"/>
  <c r="I437" i="13"/>
  <c r="K436" i="13"/>
  <c r="J436" i="13"/>
  <c r="L436" i="13" s="1"/>
  <c r="M436" i="13" s="1"/>
  <c r="O436" i="13" s="1"/>
  <c r="I436" i="13"/>
  <c r="K435" i="13"/>
  <c r="J435" i="13"/>
  <c r="L435" i="13" s="1"/>
  <c r="M435" i="13" s="1"/>
  <c r="O435" i="13" s="1"/>
  <c r="I435" i="13"/>
  <c r="K434" i="13"/>
  <c r="J434" i="13"/>
  <c r="L434" i="13" s="1"/>
  <c r="M434" i="13" s="1"/>
  <c r="O434" i="13" s="1"/>
  <c r="I434" i="13"/>
  <c r="K433" i="13"/>
  <c r="J433" i="13"/>
  <c r="L433" i="13" s="1"/>
  <c r="M433" i="13" s="1"/>
  <c r="O433" i="13" s="1"/>
  <c r="I433" i="13"/>
  <c r="K432" i="13"/>
  <c r="J432" i="13"/>
  <c r="L432" i="13" s="1"/>
  <c r="M432" i="13" s="1"/>
  <c r="O432" i="13" s="1"/>
  <c r="I432" i="13"/>
  <c r="K431" i="13"/>
  <c r="J431" i="13"/>
  <c r="L431" i="13" s="1"/>
  <c r="M431" i="13" s="1"/>
  <c r="O431" i="13" s="1"/>
  <c r="I431" i="13"/>
  <c r="K430" i="13"/>
  <c r="J430" i="13"/>
  <c r="L430" i="13" s="1"/>
  <c r="M430" i="13" s="1"/>
  <c r="O430" i="13" s="1"/>
  <c r="I430" i="13"/>
  <c r="K429" i="13"/>
  <c r="J429" i="13"/>
  <c r="L429" i="13" s="1"/>
  <c r="M429" i="13" s="1"/>
  <c r="O429" i="13" s="1"/>
  <c r="I429" i="13"/>
  <c r="K428" i="13"/>
  <c r="J428" i="13"/>
  <c r="L428" i="13" s="1"/>
  <c r="M428" i="13" s="1"/>
  <c r="O428" i="13" s="1"/>
  <c r="I428" i="13"/>
  <c r="K427" i="13"/>
  <c r="J427" i="13"/>
  <c r="L427" i="13" s="1"/>
  <c r="M427" i="13" s="1"/>
  <c r="O427" i="13" s="1"/>
  <c r="I427" i="13"/>
  <c r="K426" i="13"/>
  <c r="J426" i="13"/>
  <c r="L426" i="13" s="1"/>
  <c r="M426" i="13" s="1"/>
  <c r="O426" i="13" s="1"/>
  <c r="I426" i="13"/>
  <c r="K425" i="13"/>
  <c r="J425" i="13"/>
  <c r="L425" i="13" s="1"/>
  <c r="M425" i="13" s="1"/>
  <c r="O425" i="13" s="1"/>
  <c r="I425" i="13"/>
  <c r="K424" i="13"/>
  <c r="J424" i="13"/>
  <c r="L424" i="13" s="1"/>
  <c r="M424" i="13" s="1"/>
  <c r="O424" i="13" s="1"/>
  <c r="I424" i="13"/>
  <c r="K423" i="13"/>
  <c r="J423" i="13"/>
  <c r="L423" i="13" s="1"/>
  <c r="M423" i="13" s="1"/>
  <c r="O423" i="13" s="1"/>
  <c r="I423" i="13"/>
  <c r="K422" i="13"/>
  <c r="J422" i="13"/>
  <c r="L422" i="13" s="1"/>
  <c r="M422" i="13" s="1"/>
  <c r="O422" i="13" s="1"/>
  <c r="I422" i="13"/>
  <c r="K421" i="13"/>
  <c r="J421" i="13"/>
  <c r="L421" i="13" s="1"/>
  <c r="M421" i="13" s="1"/>
  <c r="O421" i="13" s="1"/>
  <c r="I421" i="13"/>
  <c r="K420" i="13"/>
  <c r="J420" i="13"/>
  <c r="L420" i="13" s="1"/>
  <c r="M420" i="13" s="1"/>
  <c r="O420" i="13" s="1"/>
  <c r="I420" i="13"/>
  <c r="K419" i="13"/>
  <c r="J419" i="13"/>
  <c r="L419" i="13" s="1"/>
  <c r="M419" i="13" s="1"/>
  <c r="O419" i="13" s="1"/>
  <c r="I419" i="13"/>
  <c r="K418" i="13"/>
  <c r="J418" i="13"/>
  <c r="L418" i="13" s="1"/>
  <c r="M418" i="13" s="1"/>
  <c r="O418" i="13" s="1"/>
  <c r="I418" i="13"/>
  <c r="K417" i="13"/>
  <c r="J417" i="13"/>
  <c r="L417" i="13" s="1"/>
  <c r="M417" i="13" s="1"/>
  <c r="O417" i="13" s="1"/>
  <c r="I417" i="13"/>
  <c r="K416" i="13"/>
  <c r="J416" i="13"/>
  <c r="L416" i="13" s="1"/>
  <c r="M416" i="13" s="1"/>
  <c r="O416" i="13" s="1"/>
  <c r="I416" i="13"/>
  <c r="K415" i="13"/>
  <c r="J415" i="13"/>
  <c r="L415" i="13" s="1"/>
  <c r="M415" i="13" s="1"/>
  <c r="O415" i="13" s="1"/>
  <c r="I415" i="13"/>
  <c r="K414" i="13"/>
  <c r="J414" i="13"/>
  <c r="L414" i="13" s="1"/>
  <c r="M414" i="13" s="1"/>
  <c r="O414" i="13" s="1"/>
  <c r="I414" i="13"/>
  <c r="K413" i="13"/>
  <c r="J413" i="13"/>
  <c r="L413" i="13" s="1"/>
  <c r="M413" i="13" s="1"/>
  <c r="O413" i="13" s="1"/>
  <c r="I413" i="13"/>
  <c r="K412" i="13"/>
  <c r="J412" i="13"/>
  <c r="L412" i="13" s="1"/>
  <c r="M412" i="13" s="1"/>
  <c r="O412" i="13" s="1"/>
  <c r="I412" i="13"/>
  <c r="K411" i="13"/>
  <c r="J411" i="13"/>
  <c r="L411" i="13" s="1"/>
  <c r="M411" i="13" s="1"/>
  <c r="O411" i="13" s="1"/>
  <c r="I411" i="13"/>
  <c r="K410" i="13"/>
  <c r="J410" i="13"/>
  <c r="L410" i="13" s="1"/>
  <c r="M410" i="13" s="1"/>
  <c r="O410" i="13" s="1"/>
  <c r="I410" i="13"/>
  <c r="K409" i="13"/>
  <c r="J409" i="13"/>
  <c r="L409" i="13" s="1"/>
  <c r="M409" i="13" s="1"/>
  <c r="O409" i="13" s="1"/>
  <c r="I409" i="13"/>
  <c r="K408" i="13"/>
  <c r="J408" i="13"/>
  <c r="L408" i="13" s="1"/>
  <c r="M408" i="13" s="1"/>
  <c r="O408" i="13" s="1"/>
  <c r="I408" i="13"/>
  <c r="K407" i="13"/>
  <c r="J407" i="13"/>
  <c r="L407" i="13" s="1"/>
  <c r="M407" i="13" s="1"/>
  <c r="O407" i="13" s="1"/>
  <c r="I407" i="13"/>
  <c r="K406" i="13"/>
  <c r="J406" i="13"/>
  <c r="L406" i="13" s="1"/>
  <c r="M406" i="13" s="1"/>
  <c r="O406" i="13" s="1"/>
  <c r="I406" i="13"/>
  <c r="K405" i="13"/>
  <c r="J405" i="13"/>
  <c r="L405" i="13" s="1"/>
  <c r="M405" i="13" s="1"/>
  <c r="O405" i="13" s="1"/>
  <c r="I405" i="13"/>
  <c r="K404" i="13"/>
  <c r="J404" i="13"/>
  <c r="L404" i="13" s="1"/>
  <c r="M404" i="13" s="1"/>
  <c r="O404" i="13" s="1"/>
  <c r="I404" i="13"/>
  <c r="K403" i="13"/>
  <c r="J403" i="13"/>
  <c r="L403" i="13" s="1"/>
  <c r="M403" i="13" s="1"/>
  <c r="O403" i="13" s="1"/>
  <c r="I403" i="13"/>
  <c r="K402" i="13"/>
  <c r="J402" i="13"/>
  <c r="L402" i="13" s="1"/>
  <c r="M402" i="13" s="1"/>
  <c r="O402" i="13" s="1"/>
  <c r="I402" i="13"/>
  <c r="K401" i="13"/>
  <c r="J401" i="13"/>
  <c r="L401" i="13" s="1"/>
  <c r="M401" i="13" s="1"/>
  <c r="O401" i="13" s="1"/>
  <c r="I401" i="13"/>
  <c r="K400" i="13"/>
  <c r="J400" i="13"/>
  <c r="L400" i="13" s="1"/>
  <c r="M400" i="13" s="1"/>
  <c r="O400" i="13" s="1"/>
  <c r="I400" i="13"/>
  <c r="K399" i="13"/>
  <c r="J399" i="13"/>
  <c r="L399" i="13" s="1"/>
  <c r="M399" i="13" s="1"/>
  <c r="O399" i="13" s="1"/>
  <c r="I399" i="13"/>
  <c r="K398" i="13"/>
  <c r="J398" i="13"/>
  <c r="L398" i="13" s="1"/>
  <c r="M398" i="13" s="1"/>
  <c r="O398" i="13" s="1"/>
  <c r="I398" i="13"/>
  <c r="K397" i="13"/>
  <c r="J397" i="13"/>
  <c r="L397" i="13" s="1"/>
  <c r="M397" i="13" s="1"/>
  <c r="O397" i="13" s="1"/>
  <c r="I397" i="13"/>
  <c r="K396" i="13"/>
  <c r="J396" i="13"/>
  <c r="L396" i="13" s="1"/>
  <c r="M396" i="13" s="1"/>
  <c r="O396" i="13" s="1"/>
  <c r="I396" i="13"/>
  <c r="K395" i="13"/>
  <c r="J395" i="13"/>
  <c r="L395" i="13" s="1"/>
  <c r="M395" i="13" s="1"/>
  <c r="O395" i="13" s="1"/>
  <c r="I395" i="13"/>
  <c r="K394" i="13"/>
  <c r="J394" i="13"/>
  <c r="L394" i="13" s="1"/>
  <c r="M394" i="13" s="1"/>
  <c r="O394" i="13" s="1"/>
  <c r="I394" i="13"/>
  <c r="K393" i="13"/>
  <c r="J393" i="13"/>
  <c r="L393" i="13" s="1"/>
  <c r="M393" i="13" s="1"/>
  <c r="O393" i="13" s="1"/>
  <c r="I393" i="13"/>
  <c r="K392" i="13"/>
  <c r="J392" i="13"/>
  <c r="L392" i="13" s="1"/>
  <c r="M392" i="13" s="1"/>
  <c r="O392" i="13" s="1"/>
  <c r="I392" i="13"/>
  <c r="K391" i="13"/>
  <c r="J391" i="13"/>
  <c r="L391" i="13" s="1"/>
  <c r="M391" i="13" s="1"/>
  <c r="O391" i="13" s="1"/>
  <c r="I391" i="13"/>
  <c r="K390" i="13"/>
  <c r="J390" i="13"/>
  <c r="L390" i="13" s="1"/>
  <c r="M390" i="13" s="1"/>
  <c r="O390" i="13" s="1"/>
  <c r="I390" i="13"/>
  <c r="K389" i="13"/>
  <c r="J389" i="13"/>
  <c r="L389" i="13" s="1"/>
  <c r="M389" i="13" s="1"/>
  <c r="O389" i="13" s="1"/>
  <c r="I389" i="13"/>
  <c r="K388" i="13"/>
  <c r="J388" i="13"/>
  <c r="L388" i="13" s="1"/>
  <c r="M388" i="13" s="1"/>
  <c r="O388" i="13" s="1"/>
  <c r="I388" i="13"/>
  <c r="K387" i="13"/>
  <c r="J387" i="13"/>
  <c r="L387" i="13" s="1"/>
  <c r="M387" i="13" s="1"/>
  <c r="O387" i="13" s="1"/>
  <c r="I387" i="13"/>
  <c r="K386" i="13"/>
  <c r="J386" i="13"/>
  <c r="L386" i="13" s="1"/>
  <c r="M386" i="13" s="1"/>
  <c r="O386" i="13" s="1"/>
  <c r="I386" i="13"/>
  <c r="K385" i="13"/>
  <c r="J385" i="13"/>
  <c r="L385" i="13" s="1"/>
  <c r="M385" i="13" s="1"/>
  <c r="O385" i="13" s="1"/>
  <c r="I385" i="13"/>
  <c r="K384" i="13"/>
  <c r="J384" i="13"/>
  <c r="L384" i="13" s="1"/>
  <c r="M384" i="13" s="1"/>
  <c r="O384" i="13" s="1"/>
  <c r="I384" i="13"/>
  <c r="K383" i="13"/>
  <c r="J383" i="13"/>
  <c r="L383" i="13" s="1"/>
  <c r="M383" i="13" s="1"/>
  <c r="O383" i="13" s="1"/>
  <c r="I383" i="13"/>
  <c r="K382" i="13"/>
  <c r="J382" i="13"/>
  <c r="L382" i="13" s="1"/>
  <c r="M382" i="13" s="1"/>
  <c r="O382" i="13" s="1"/>
  <c r="I382" i="13"/>
  <c r="K381" i="13"/>
  <c r="J381" i="13"/>
  <c r="L381" i="13" s="1"/>
  <c r="M381" i="13" s="1"/>
  <c r="O381" i="13" s="1"/>
  <c r="I381" i="13"/>
  <c r="K380" i="13"/>
  <c r="J380" i="13"/>
  <c r="L380" i="13" s="1"/>
  <c r="M380" i="13" s="1"/>
  <c r="O380" i="13" s="1"/>
  <c r="I380" i="13"/>
  <c r="K379" i="13"/>
  <c r="J379" i="13"/>
  <c r="L379" i="13" s="1"/>
  <c r="M379" i="13" s="1"/>
  <c r="O379" i="13" s="1"/>
  <c r="I379" i="13"/>
  <c r="K378" i="13"/>
  <c r="J378" i="13"/>
  <c r="L378" i="13" s="1"/>
  <c r="M378" i="13" s="1"/>
  <c r="O378" i="13" s="1"/>
  <c r="I378" i="13"/>
  <c r="K377" i="13"/>
  <c r="J377" i="13"/>
  <c r="L377" i="13" s="1"/>
  <c r="M377" i="13" s="1"/>
  <c r="O377" i="13" s="1"/>
  <c r="I377" i="13"/>
  <c r="K376" i="13"/>
  <c r="J376" i="13"/>
  <c r="L376" i="13" s="1"/>
  <c r="M376" i="13" s="1"/>
  <c r="O376" i="13" s="1"/>
  <c r="I376" i="13"/>
  <c r="K375" i="13"/>
  <c r="J375" i="13"/>
  <c r="L375" i="13" s="1"/>
  <c r="M375" i="13" s="1"/>
  <c r="O375" i="13" s="1"/>
  <c r="I375" i="13"/>
  <c r="K374" i="13"/>
  <c r="J374" i="13"/>
  <c r="L374" i="13" s="1"/>
  <c r="M374" i="13" s="1"/>
  <c r="O374" i="13" s="1"/>
  <c r="I374" i="13"/>
  <c r="K373" i="13"/>
  <c r="J373" i="13"/>
  <c r="L373" i="13" s="1"/>
  <c r="M373" i="13" s="1"/>
  <c r="O373" i="13" s="1"/>
  <c r="I373" i="13"/>
  <c r="K372" i="13"/>
  <c r="J372" i="13"/>
  <c r="L372" i="13" s="1"/>
  <c r="M372" i="13" s="1"/>
  <c r="O372" i="13" s="1"/>
  <c r="I372" i="13"/>
  <c r="K371" i="13"/>
  <c r="J371" i="13"/>
  <c r="L371" i="13" s="1"/>
  <c r="M371" i="13" s="1"/>
  <c r="O371" i="13" s="1"/>
  <c r="I371" i="13"/>
  <c r="K370" i="13"/>
  <c r="J370" i="13"/>
  <c r="L370" i="13" s="1"/>
  <c r="M370" i="13" s="1"/>
  <c r="O370" i="13" s="1"/>
  <c r="I370" i="13"/>
  <c r="K369" i="13"/>
  <c r="J369" i="13"/>
  <c r="L369" i="13" s="1"/>
  <c r="M369" i="13" s="1"/>
  <c r="O369" i="13" s="1"/>
  <c r="I369" i="13"/>
  <c r="K368" i="13"/>
  <c r="J368" i="13"/>
  <c r="L368" i="13" s="1"/>
  <c r="M368" i="13" s="1"/>
  <c r="O368" i="13" s="1"/>
  <c r="I368" i="13"/>
  <c r="K367" i="13"/>
  <c r="J367" i="13"/>
  <c r="L367" i="13" s="1"/>
  <c r="M367" i="13" s="1"/>
  <c r="O367" i="13" s="1"/>
  <c r="I367" i="13"/>
  <c r="K366" i="13"/>
  <c r="J366" i="13"/>
  <c r="L366" i="13" s="1"/>
  <c r="M366" i="13" s="1"/>
  <c r="O366" i="13" s="1"/>
  <c r="I366" i="13"/>
  <c r="K365" i="13"/>
  <c r="J365" i="13"/>
  <c r="L365" i="13" s="1"/>
  <c r="M365" i="13" s="1"/>
  <c r="O365" i="13" s="1"/>
  <c r="I365" i="13"/>
  <c r="K364" i="13"/>
  <c r="J364" i="13"/>
  <c r="L364" i="13" s="1"/>
  <c r="M364" i="13" s="1"/>
  <c r="O364" i="13" s="1"/>
  <c r="I364" i="13"/>
  <c r="K363" i="13"/>
  <c r="J363" i="13"/>
  <c r="L363" i="13" s="1"/>
  <c r="M363" i="13" s="1"/>
  <c r="O363" i="13" s="1"/>
  <c r="I363" i="13"/>
  <c r="K362" i="13"/>
  <c r="J362" i="13"/>
  <c r="L362" i="13" s="1"/>
  <c r="M362" i="13" s="1"/>
  <c r="O362" i="13" s="1"/>
  <c r="I362" i="13"/>
  <c r="K361" i="13"/>
  <c r="J361" i="13"/>
  <c r="L361" i="13" s="1"/>
  <c r="M361" i="13" s="1"/>
  <c r="O361" i="13" s="1"/>
  <c r="I361" i="13"/>
  <c r="K360" i="13"/>
  <c r="J360" i="13"/>
  <c r="L360" i="13" s="1"/>
  <c r="M360" i="13" s="1"/>
  <c r="O360" i="13" s="1"/>
  <c r="I360" i="13"/>
  <c r="K359" i="13"/>
  <c r="J359" i="13"/>
  <c r="L359" i="13" s="1"/>
  <c r="M359" i="13" s="1"/>
  <c r="O359" i="13" s="1"/>
  <c r="I359" i="13"/>
  <c r="K358" i="13"/>
  <c r="J358" i="13"/>
  <c r="L358" i="13" s="1"/>
  <c r="M358" i="13" s="1"/>
  <c r="O358" i="13" s="1"/>
  <c r="I358" i="13"/>
  <c r="K357" i="13"/>
  <c r="J357" i="13"/>
  <c r="L357" i="13" s="1"/>
  <c r="M357" i="13" s="1"/>
  <c r="O357" i="13" s="1"/>
  <c r="I357" i="13"/>
  <c r="K356" i="13"/>
  <c r="J356" i="13"/>
  <c r="L356" i="13" s="1"/>
  <c r="M356" i="13" s="1"/>
  <c r="O356" i="13" s="1"/>
  <c r="I356" i="13"/>
  <c r="K355" i="13"/>
  <c r="J355" i="13"/>
  <c r="L355" i="13" s="1"/>
  <c r="M355" i="13" s="1"/>
  <c r="O355" i="13" s="1"/>
  <c r="I355" i="13"/>
  <c r="K354" i="13"/>
  <c r="J354" i="13"/>
  <c r="L354" i="13" s="1"/>
  <c r="M354" i="13" s="1"/>
  <c r="O354" i="13" s="1"/>
  <c r="I354" i="13"/>
  <c r="K353" i="13"/>
  <c r="J353" i="13"/>
  <c r="L353" i="13" s="1"/>
  <c r="M353" i="13" s="1"/>
  <c r="O353" i="13" s="1"/>
  <c r="I353" i="13"/>
  <c r="K352" i="13"/>
  <c r="J352" i="13"/>
  <c r="L352" i="13" s="1"/>
  <c r="M352" i="13" s="1"/>
  <c r="O352" i="13" s="1"/>
  <c r="I352" i="13"/>
  <c r="K351" i="13"/>
  <c r="J351" i="13"/>
  <c r="L351" i="13" s="1"/>
  <c r="M351" i="13" s="1"/>
  <c r="O351" i="13" s="1"/>
  <c r="I351" i="13"/>
  <c r="K350" i="13"/>
  <c r="J350" i="13"/>
  <c r="L350" i="13" s="1"/>
  <c r="M350" i="13" s="1"/>
  <c r="O350" i="13" s="1"/>
  <c r="I350" i="13"/>
  <c r="K349" i="13"/>
  <c r="J349" i="13"/>
  <c r="L349" i="13" s="1"/>
  <c r="M349" i="13" s="1"/>
  <c r="O349" i="13" s="1"/>
  <c r="I349" i="13"/>
  <c r="K348" i="13"/>
  <c r="J348" i="13"/>
  <c r="L348" i="13" s="1"/>
  <c r="M348" i="13" s="1"/>
  <c r="O348" i="13" s="1"/>
  <c r="I348" i="13"/>
  <c r="K347" i="13"/>
  <c r="J347" i="13"/>
  <c r="L347" i="13" s="1"/>
  <c r="M347" i="13" s="1"/>
  <c r="O347" i="13" s="1"/>
  <c r="I347" i="13"/>
  <c r="K346" i="13"/>
  <c r="J346" i="13"/>
  <c r="L346" i="13" s="1"/>
  <c r="M346" i="13" s="1"/>
  <c r="O346" i="13" s="1"/>
  <c r="I346" i="13"/>
  <c r="K345" i="13"/>
  <c r="J345" i="13"/>
  <c r="L345" i="13" s="1"/>
  <c r="M345" i="13" s="1"/>
  <c r="O345" i="13" s="1"/>
  <c r="I345" i="13"/>
  <c r="K344" i="13"/>
  <c r="J344" i="13"/>
  <c r="L344" i="13" s="1"/>
  <c r="M344" i="13" s="1"/>
  <c r="O344" i="13" s="1"/>
  <c r="I344" i="13"/>
  <c r="K343" i="13"/>
  <c r="J343" i="13"/>
  <c r="L343" i="13" s="1"/>
  <c r="M343" i="13" s="1"/>
  <c r="O343" i="13" s="1"/>
  <c r="I343" i="13"/>
  <c r="K342" i="13"/>
  <c r="J342" i="13"/>
  <c r="L342" i="13" s="1"/>
  <c r="M342" i="13" s="1"/>
  <c r="O342" i="13" s="1"/>
  <c r="I342" i="13"/>
  <c r="K341" i="13"/>
  <c r="J341" i="13"/>
  <c r="L341" i="13" s="1"/>
  <c r="M341" i="13" s="1"/>
  <c r="O341" i="13" s="1"/>
  <c r="I341" i="13"/>
  <c r="K340" i="13"/>
  <c r="J340" i="13"/>
  <c r="L340" i="13" s="1"/>
  <c r="M340" i="13" s="1"/>
  <c r="O340" i="13" s="1"/>
  <c r="I340" i="13"/>
  <c r="K339" i="13"/>
  <c r="J339" i="13"/>
  <c r="L339" i="13" s="1"/>
  <c r="M339" i="13" s="1"/>
  <c r="O339" i="13" s="1"/>
  <c r="I339" i="13"/>
  <c r="K338" i="13"/>
  <c r="J338" i="13"/>
  <c r="L338" i="13" s="1"/>
  <c r="M338" i="13" s="1"/>
  <c r="O338" i="13" s="1"/>
  <c r="I338" i="13"/>
  <c r="K337" i="13"/>
  <c r="J337" i="13"/>
  <c r="L337" i="13" s="1"/>
  <c r="M337" i="13" s="1"/>
  <c r="O337" i="13" s="1"/>
  <c r="I337" i="13"/>
  <c r="K336" i="13"/>
  <c r="J336" i="13"/>
  <c r="L336" i="13" s="1"/>
  <c r="M336" i="13" s="1"/>
  <c r="O336" i="13" s="1"/>
  <c r="I336" i="13"/>
  <c r="K335" i="13"/>
  <c r="J335" i="13"/>
  <c r="L335" i="13" s="1"/>
  <c r="M335" i="13" s="1"/>
  <c r="O335" i="13" s="1"/>
  <c r="I335" i="13"/>
  <c r="K334" i="13"/>
  <c r="J334" i="13"/>
  <c r="L334" i="13" s="1"/>
  <c r="M334" i="13" s="1"/>
  <c r="O334" i="13" s="1"/>
  <c r="I334" i="13"/>
  <c r="K333" i="13"/>
  <c r="J333" i="13"/>
  <c r="L333" i="13" s="1"/>
  <c r="M333" i="13" s="1"/>
  <c r="O333" i="13" s="1"/>
  <c r="I333" i="13"/>
  <c r="K332" i="13"/>
  <c r="J332" i="13"/>
  <c r="L332" i="13" s="1"/>
  <c r="M332" i="13" s="1"/>
  <c r="O332" i="13" s="1"/>
  <c r="I332" i="13"/>
  <c r="K331" i="13"/>
  <c r="J331" i="13"/>
  <c r="L331" i="13" s="1"/>
  <c r="M331" i="13" s="1"/>
  <c r="O331" i="13" s="1"/>
  <c r="I331" i="13"/>
  <c r="K330" i="13"/>
  <c r="J330" i="13"/>
  <c r="L330" i="13" s="1"/>
  <c r="M330" i="13" s="1"/>
  <c r="O330" i="13" s="1"/>
  <c r="I330" i="13"/>
  <c r="K329" i="13"/>
  <c r="J329" i="13"/>
  <c r="L329" i="13" s="1"/>
  <c r="M329" i="13" s="1"/>
  <c r="O329" i="13" s="1"/>
  <c r="I329" i="13"/>
  <c r="K328" i="13"/>
  <c r="J328" i="13"/>
  <c r="L328" i="13" s="1"/>
  <c r="M328" i="13" s="1"/>
  <c r="O328" i="13" s="1"/>
  <c r="I328" i="13"/>
  <c r="K327" i="13"/>
  <c r="J327" i="13"/>
  <c r="L327" i="13" s="1"/>
  <c r="M327" i="13" s="1"/>
  <c r="O327" i="13" s="1"/>
  <c r="I327" i="13"/>
  <c r="K326" i="13"/>
  <c r="J326" i="13"/>
  <c r="L326" i="13" s="1"/>
  <c r="M326" i="13" s="1"/>
  <c r="O326" i="13" s="1"/>
  <c r="I326" i="13"/>
  <c r="K325" i="13"/>
  <c r="J325" i="13"/>
  <c r="L325" i="13" s="1"/>
  <c r="M325" i="13" s="1"/>
  <c r="O325" i="13" s="1"/>
  <c r="I325" i="13"/>
  <c r="K324" i="13"/>
  <c r="J324" i="13"/>
  <c r="L324" i="13" s="1"/>
  <c r="M324" i="13" s="1"/>
  <c r="O324" i="13" s="1"/>
  <c r="I324" i="13"/>
  <c r="K323" i="13"/>
  <c r="J323" i="13"/>
  <c r="L323" i="13" s="1"/>
  <c r="M323" i="13" s="1"/>
  <c r="O323" i="13" s="1"/>
  <c r="I323" i="13"/>
  <c r="K322" i="13"/>
  <c r="J322" i="13"/>
  <c r="L322" i="13" s="1"/>
  <c r="M322" i="13" s="1"/>
  <c r="O322" i="13" s="1"/>
  <c r="I322" i="13"/>
  <c r="K321" i="13"/>
  <c r="J321" i="13"/>
  <c r="L321" i="13" s="1"/>
  <c r="M321" i="13" s="1"/>
  <c r="O321" i="13" s="1"/>
  <c r="I321" i="13"/>
  <c r="K320" i="13"/>
  <c r="J320" i="13"/>
  <c r="L320" i="13" s="1"/>
  <c r="M320" i="13" s="1"/>
  <c r="O320" i="13" s="1"/>
  <c r="I320" i="13"/>
  <c r="K319" i="13"/>
  <c r="J319" i="13"/>
  <c r="L319" i="13" s="1"/>
  <c r="M319" i="13" s="1"/>
  <c r="O319" i="13" s="1"/>
  <c r="I319" i="13"/>
  <c r="K318" i="13"/>
  <c r="J318" i="13"/>
  <c r="L318" i="13" s="1"/>
  <c r="M318" i="13" s="1"/>
  <c r="O318" i="13" s="1"/>
  <c r="I318" i="13"/>
  <c r="K317" i="13"/>
  <c r="J317" i="13"/>
  <c r="L317" i="13" s="1"/>
  <c r="M317" i="13" s="1"/>
  <c r="O317" i="13" s="1"/>
  <c r="I317" i="13"/>
  <c r="K316" i="13"/>
  <c r="J316" i="13"/>
  <c r="L316" i="13" s="1"/>
  <c r="M316" i="13" s="1"/>
  <c r="O316" i="13" s="1"/>
  <c r="I316" i="13"/>
  <c r="K315" i="13"/>
  <c r="J315" i="13"/>
  <c r="L315" i="13" s="1"/>
  <c r="M315" i="13" s="1"/>
  <c r="O315" i="13" s="1"/>
  <c r="I315" i="13"/>
  <c r="K314" i="13"/>
  <c r="J314" i="13"/>
  <c r="L314" i="13" s="1"/>
  <c r="M314" i="13" s="1"/>
  <c r="O314" i="13" s="1"/>
  <c r="I314" i="13"/>
  <c r="K313" i="13"/>
  <c r="J313" i="13"/>
  <c r="L313" i="13" s="1"/>
  <c r="M313" i="13" s="1"/>
  <c r="O313" i="13" s="1"/>
  <c r="I313" i="13"/>
  <c r="K312" i="13"/>
  <c r="J312" i="13"/>
  <c r="L312" i="13" s="1"/>
  <c r="M312" i="13" s="1"/>
  <c r="O312" i="13" s="1"/>
  <c r="I312" i="13"/>
  <c r="K311" i="13"/>
  <c r="J311" i="13"/>
  <c r="L311" i="13" s="1"/>
  <c r="M311" i="13" s="1"/>
  <c r="O311" i="13" s="1"/>
  <c r="I311" i="13"/>
  <c r="K310" i="13"/>
  <c r="J310" i="13"/>
  <c r="L310" i="13" s="1"/>
  <c r="M310" i="13" s="1"/>
  <c r="O310" i="13" s="1"/>
  <c r="I310" i="13"/>
  <c r="K309" i="13"/>
  <c r="J309" i="13"/>
  <c r="L309" i="13" s="1"/>
  <c r="M309" i="13" s="1"/>
  <c r="O309" i="13" s="1"/>
  <c r="I309" i="13"/>
  <c r="K308" i="13"/>
  <c r="J308" i="13"/>
  <c r="L308" i="13" s="1"/>
  <c r="M308" i="13" s="1"/>
  <c r="O308" i="13" s="1"/>
  <c r="I308" i="13"/>
  <c r="K307" i="13"/>
  <c r="J307" i="13"/>
  <c r="L307" i="13" s="1"/>
  <c r="M307" i="13" s="1"/>
  <c r="O307" i="13" s="1"/>
  <c r="I307" i="13"/>
  <c r="K306" i="13"/>
  <c r="J306" i="13"/>
  <c r="L306" i="13" s="1"/>
  <c r="M306" i="13" s="1"/>
  <c r="O306" i="13" s="1"/>
  <c r="I306" i="13"/>
  <c r="K305" i="13"/>
  <c r="J305" i="13"/>
  <c r="L305" i="13" s="1"/>
  <c r="M305" i="13" s="1"/>
  <c r="O305" i="13" s="1"/>
  <c r="I305" i="13"/>
  <c r="K304" i="13"/>
  <c r="J304" i="13"/>
  <c r="L304" i="13" s="1"/>
  <c r="M304" i="13" s="1"/>
  <c r="O304" i="13" s="1"/>
  <c r="I304" i="13"/>
  <c r="K303" i="13"/>
  <c r="J303" i="13"/>
  <c r="L303" i="13" s="1"/>
  <c r="M303" i="13" s="1"/>
  <c r="O303" i="13" s="1"/>
  <c r="I303" i="13"/>
  <c r="K302" i="13"/>
  <c r="J302" i="13"/>
  <c r="L302" i="13" s="1"/>
  <c r="M302" i="13" s="1"/>
  <c r="O302" i="13" s="1"/>
  <c r="I302" i="13"/>
  <c r="K301" i="13"/>
  <c r="J301" i="13"/>
  <c r="L301" i="13" s="1"/>
  <c r="M301" i="13" s="1"/>
  <c r="O301" i="13" s="1"/>
  <c r="I301" i="13"/>
  <c r="K300" i="13"/>
  <c r="J300" i="13"/>
  <c r="L300" i="13" s="1"/>
  <c r="M300" i="13" s="1"/>
  <c r="O300" i="13" s="1"/>
  <c r="I300" i="13"/>
  <c r="K299" i="13"/>
  <c r="J299" i="13"/>
  <c r="L299" i="13" s="1"/>
  <c r="M299" i="13" s="1"/>
  <c r="O299" i="13" s="1"/>
  <c r="I299" i="13"/>
  <c r="K298" i="13"/>
  <c r="J298" i="13"/>
  <c r="L298" i="13" s="1"/>
  <c r="M298" i="13" s="1"/>
  <c r="O298" i="13" s="1"/>
  <c r="I298" i="13"/>
  <c r="K297" i="13"/>
  <c r="J297" i="13"/>
  <c r="L297" i="13" s="1"/>
  <c r="M297" i="13" s="1"/>
  <c r="O297" i="13" s="1"/>
  <c r="I297" i="13"/>
  <c r="K296" i="13"/>
  <c r="J296" i="13"/>
  <c r="L296" i="13" s="1"/>
  <c r="M296" i="13" s="1"/>
  <c r="O296" i="13" s="1"/>
  <c r="I296" i="13"/>
  <c r="K295" i="13"/>
  <c r="J295" i="13"/>
  <c r="L295" i="13" s="1"/>
  <c r="M295" i="13" s="1"/>
  <c r="O295" i="13" s="1"/>
  <c r="I295" i="13"/>
  <c r="K294" i="13"/>
  <c r="J294" i="13"/>
  <c r="L294" i="13" s="1"/>
  <c r="M294" i="13" s="1"/>
  <c r="O294" i="13" s="1"/>
  <c r="I294" i="13"/>
  <c r="K293" i="13"/>
  <c r="J293" i="13"/>
  <c r="L293" i="13" s="1"/>
  <c r="M293" i="13" s="1"/>
  <c r="O293" i="13" s="1"/>
  <c r="I293" i="13"/>
  <c r="K292" i="13"/>
  <c r="J292" i="13"/>
  <c r="L292" i="13" s="1"/>
  <c r="M292" i="13" s="1"/>
  <c r="O292" i="13" s="1"/>
  <c r="I292" i="13"/>
  <c r="K291" i="13"/>
  <c r="J291" i="13"/>
  <c r="L291" i="13" s="1"/>
  <c r="M291" i="13" s="1"/>
  <c r="O291" i="13" s="1"/>
  <c r="I291" i="13"/>
  <c r="K290" i="13"/>
  <c r="J290" i="13"/>
  <c r="L290" i="13" s="1"/>
  <c r="M290" i="13" s="1"/>
  <c r="O290" i="13" s="1"/>
  <c r="I290" i="13"/>
  <c r="K289" i="13"/>
  <c r="J289" i="13"/>
  <c r="L289" i="13" s="1"/>
  <c r="M289" i="13" s="1"/>
  <c r="O289" i="13" s="1"/>
  <c r="I289" i="13"/>
  <c r="K288" i="13"/>
  <c r="J288" i="13"/>
  <c r="L288" i="13" s="1"/>
  <c r="M288" i="13" s="1"/>
  <c r="O288" i="13" s="1"/>
  <c r="I288" i="13"/>
  <c r="K287" i="13"/>
  <c r="J287" i="13"/>
  <c r="L287" i="13" s="1"/>
  <c r="M287" i="13" s="1"/>
  <c r="O287" i="13" s="1"/>
  <c r="I287" i="13"/>
  <c r="K286" i="13"/>
  <c r="J286" i="13"/>
  <c r="L286" i="13" s="1"/>
  <c r="M286" i="13" s="1"/>
  <c r="O286" i="13" s="1"/>
  <c r="I286" i="13"/>
  <c r="K285" i="13"/>
  <c r="J285" i="13"/>
  <c r="L285" i="13" s="1"/>
  <c r="M285" i="13" s="1"/>
  <c r="O285" i="13" s="1"/>
  <c r="I285" i="13"/>
  <c r="K284" i="13"/>
  <c r="J284" i="13"/>
  <c r="L284" i="13" s="1"/>
  <c r="M284" i="13" s="1"/>
  <c r="O284" i="13" s="1"/>
  <c r="I284" i="13"/>
  <c r="K283" i="13"/>
  <c r="J283" i="13"/>
  <c r="L283" i="13" s="1"/>
  <c r="M283" i="13" s="1"/>
  <c r="O283" i="13" s="1"/>
  <c r="I283" i="13"/>
  <c r="K282" i="13"/>
  <c r="J282" i="13"/>
  <c r="L282" i="13" s="1"/>
  <c r="M282" i="13" s="1"/>
  <c r="O282" i="13" s="1"/>
  <c r="I282" i="13"/>
  <c r="K281" i="13"/>
  <c r="J281" i="13"/>
  <c r="L281" i="13" s="1"/>
  <c r="M281" i="13" s="1"/>
  <c r="O281" i="13" s="1"/>
  <c r="I281" i="13"/>
  <c r="K280" i="13"/>
  <c r="J280" i="13"/>
  <c r="L280" i="13" s="1"/>
  <c r="M280" i="13" s="1"/>
  <c r="O280" i="13" s="1"/>
  <c r="I280" i="13"/>
  <c r="K279" i="13"/>
  <c r="J279" i="13"/>
  <c r="L279" i="13" s="1"/>
  <c r="M279" i="13" s="1"/>
  <c r="O279" i="13" s="1"/>
  <c r="I279" i="13"/>
  <c r="K278" i="13"/>
  <c r="J278" i="13"/>
  <c r="L278" i="13" s="1"/>
  <c r="M278" i="13" s="1"/>
  <c r="O278" i="13" s="1"/>
  <c r="I278" i="13"/>
  <c r="K277" i="13"/>
  <c r="J277" i="13"/>
  <c r="L277" i="13" s="1"/>
  <c r="M277" i="13" s="1"/>
  <c r="O277" i="13" s="1"/>
  <c r="I277" i="13"/>
  <c r="K276" i="13"/>
  <c r="J276" i="13"/>
  <c r="L276" i="13" s="1"/>
  <c r="M276" i="13" s="1"/>
  <c r="O276" i="13" s="1"/>
  <c r="I276" i="13"/>
  <c r="K275" i="13"/>
  <c r="J275" i="13"/>
  <c r="L275" i="13" s="1"/>
  <c r="M275" i="13" s="1"/>
  <c r="O275" i="13" s="1"/>
  <c r="I275" i="13"/>
  <c r="K274" i="13"/>
  <c r="J274" i="13"/>
  <c r="L274" i="13" s="1"/>
  <c r="M274" i="13" s="1"/>
  <c r="O274" i="13" s="1"/>
  <c r="I274" i="13"/>
  <c r="K273" i="13"/>
  <c r="J273" i="13"/>
  <c r="L273" i="13" s="1"/>
  <c r="M273" i="13" s="1"/>
  <c r="O273" i="13" s="1"/>
  <c r="I273" i="13"/>
  <c r="K272" i="13"/>
  <c r="J272" i="13"/>
  <c r="L272" i="13" s="1"/>
  <c r="M272" i="13" s="1"/>
  <c r="O272" i="13" s="1"/>
  <c r="I272" i="13"/>
  <c r="K271" i="13"/>
  <c r="J271" i="13"/>
  <c r="L271" i="13" s="1"/>
  <c r="M271" i="13" s="1"/>
  <c r="O271" i="13" s="1"/>
  <c r="I271" i="13"/>
  <c r="K270" i="13"/>
  <c r="J270" i="13"/>
  <c r="L270" i="13" s="1"/>
  <c r="M270" i="13" s="1"/>
  <c r="O270" i="13" s="1"/>
  <c r="I270" i="13"/>
  <c r="K269" i="13"/>
  <c r="J269" i="13"/>
  <c r="L269" i="13" s="1"/>
  <c r="M269" i="13" s="1"/>
  <c r="O269" i="13" s="1"/>
  <c r="I269" i="13"/>
  <c r="K268" i="13"/>
  <c r="J268" i="13"/>
  <c r="L268" i="13" s="1"/>
  <c r="M268" i="13" s="1"/>
  <c r="O268" i="13" s="1"/>
  <c r="I268" i="13"/>
  <c r="K267" i="13"/>
  <c r="J267" i="13"/>
  <c r="L267" i="13" s="1"/>
  <c r="M267" i="13" s="1"/>
  <c r="O267" i="13" s="1"/>
  <c r="I267" i="13"/>
  <c r="K266" i="13"/>
  <c r="J266" i="13"/>
  <c r="L266" i="13" s="1"/>
  <c r="M266" i="13" s="1"/>
  <c r="O266" i="13" s="1"/>
  <c r="I266" i="13"/>
  <c r="K265" i="13"/>
  <c r="J265" i="13"/>
  <c r="L265" i="13" s="1"/>
  <c r="M265" i="13" s="1"/>
  <c r="O265" i="13" s="1"/>
  <c r="I265" i="13"/>
  <c r="K264" i="13"/>
  <c r="J264" i="13"/>
  <c r="L264" i="13" s="1"/>
  <c r="M264" i="13" s="1"/>
  <c r="O264" i="13" s="1"/>
  <c r="I264" i="13"/>
  <c r="K263" i="13"/>
  <c r="J263" i="13"/>
  <c r="L263" i="13" s="1"/>
  <c r="M263" i="13" s="1"/>
  <c r="O263" i="13" s="1"/>
  <c r="I263" i="13"/>
  <c r="K262" i="13"/>
  <c r="J262" i="13"/>
  <c r="L262" i="13" s="1"/>
  <c r="M262" i="13" s="1"/>
  <c r="O262" i="13" s="1"/>
  <c r="I262" i="13"/>
  <c r="K261" i="13"/>
  <c r="J261" i="13"/>
  <c r="L261" i="13" s="1"/>
  <c r="M261" i="13" s="1"/>
  <c r="O261" i="13" s="1"/>
  <c r="I261" i="13"/>
  <c r="K260" i="13"/>
  <c r="J260" i="13"/>
  <c r="L260" i="13" s="1"/>
  <c r="M260" i="13" s="1"/>
  <c r="O260" i="13" s="1"/>
  <c r="I260" i="13"/>
  <c r="K259" i="13"/>
  <c r="J259" i="13"/>
  <c r="L259" i="13" s="1"/>
  <c r="M259" i="13" s="1"/>
  <c r="O259" i="13" s="1"/>
  <c r="I259" i="13"/>
  <c r="K258" i="13"/>
  <c r="J258" i="13"/>
  <c r="L258" i="13" s="1"/>
  <c r="M258" i="13" s="1"/>
  <c r="O258" i="13" s="1"/>
  <c r="I258" i="13"/>
  <c r="K257" i="13"/>
  <c r="J257" i="13"/>
  <c r="L257" i="13" s="1"/>
  <c r="M257" i="13" s="1"/>
  <c r="O257" i="13" s="1"/>
  <c r="I257" i="13"/>
  <c r="K256" i="13"/>
  <c r="J256" i="13"/>
  <c r="L256" i="13" s="1"/>
  <c r="M256" i="13" s="1"/>
  <c r="O256" i="13" s="1"/>
  <c r="I256" i="13"/>
  <c r="K255" i="13"/>
  <c r="J255" i="13"/>
  <c r="L255" i="13" s="1"/>
  <c r="M255" i="13" s="1"/>
  <c r="O255" i="13" s="1"/>
  <c r="I255" i="13"/>
  <c r="K254" i="13"/>
  <c r="J254" i="13"/>
  <c r="L254" i="13" s="1"/>
  <c r="M254" i="13" s="1"/>
  <c r="O254" i="13" s="1"/>
  <c r="I254" i="13"/>
  <c r="K253" i="13"/>
  <c r="J253" i="13"/>
  <c r="L253" i="13" s="1"/>
  <c r="M253" i="13" s="1"/>
  <c r="O253" i="13" s="1"/>
  <c r="I253" i="13"/>
  <c r="K252" i="13"/>
  <c r="J252" i="13"/>
  <c r="L252" i="13" s="1"/>
  <c r="M252" i="13" s="1"/>
  <c r="O252" i="13" s="1"/>
  <c r="I252" i="13"/>
  <c r="K251" i="13"/>
  <c r="J251" i="13"/>
  <c r="L251" i="13" s="1"/>
  <c r="M251" i="13" s="1"/>
  <c r="O251" i="13" s="1"/>
  <c r="I251" i="13"/>
  <c r="K250" i="13"/>
  <c r="J250" i="13"/>
  <c r="L250" i="13" s="1"/>
  <c r="M250" i="13" s="1"/>
  <c r="O250" i="13" s="1"/>
  <c r="I250" i="13"/>
  <c r="K249" i="13"/>
  <c r="J249" i="13"/>
  <c r="L249" i="13" s="1"/>
  <c r="M249" i="13" s="1"/>
  <c r="O249" i="13" s="1"/>
  <c r="I249" i="13"/>
  <c r="K248" i="13"/>
  <c r="J248" i="13"/>
  <c r="L248" i="13" s="1"/>
  <c r="M248" i="13" s="1"/>
  <c r="O248" i="13" s="1"/>
  <c r="I248" i="13"/>
  <c r="K247" i="13"/>
  <c r="J247" i="13"/>
  <c r="L247" i="13" s="1"/>
  <c r="M247" i="13" s="1"/>
  <c r="O247" i="13" s="1"/>
  <c r="I247" i="13"/>
  <c r="K246" i="13"/>
  <c r="J246" i="13"/>
  <c r="L246" i="13" s="1"/>
  <c r="M246" i="13" s="1"/>
  <c r="O246" i="13" s="1"/>
  <c r="I246" i="13"/>
  <c r="K245" i="13"/>
  <c r="J245" i="13"/>
  <c r="L245" i="13" s="1"/>
  <c r="M245" i="13" s="1"/>
  <c r="O245" i="13" s="1"/>
  <c r="I245" i="13"/>
  <c r="K244" i="13"/>
  <c r="J244" i="13"/>
  <c r="L244" i="13" s="1"/>
  <c r="M244" i="13" s="1"/>
  <c r="O244" i="13" s="1"/>
  <c r="I244" i="13"/>
  <c r="K243" i="13"/>
  <c r="J243" i="13"/>
  <c r="L243" i="13" s="1"/>
  <c r="M243" i="13" s="1"/>
  <c r="O243" i="13" s="1"/>
  <c r="I243" i="13"/>
  <c r="K242" i="13"/>
  <c r="J242" i="13"/>
  <c r="L242" i="13" s="1"/>
  <c r="M242" i="13" s="1"/>
  <c r="O242" i="13" s="1"/>
  <c r="I242" i="13"/>
  <c r="K241" i="13"/>
  <c r="J241" i="13"/>
  <c r="L241" i="13" s="1"/>
  <c r="M241" i="13" s="1"/>
  <c r="O241" i="13" s="1"/>
  <c r="I241" i="13"/>
  <c r="K240" i="13"/>
  <c r="J240" i="13"/>
  <c r="L240" i="13" s="1"/>
  <c r="M240" i="13" s="1"/>
  <c r="O240" i="13" s="1"/>
  <c r="I240" i="13"/>
  <c r="K239" i="13"/>
  <c r="J239" i="13"/>
  <c r="L239" i="13" s="1"/>
  <c r="M239" i="13" s="1"/>
  <c r="O239" i="13" s="1"/>
  <c r="I239" i="13"/>
  <c r="K238" i="13"/>
  <c r="J238" i="13"/>
  <c r="L238" i="13" s="1"/>
  <c r="M238" i="13" s="1"/>
  <c r="O238" i="13" s="1"/>
  <c r="I238" i="13"/>
  <c r="K237" i="13"/>
  <c r="J237" i="13"/>
  <c r="L237" i="13" s="1"/>
  <c r="M237" i="13" s="1"/>
  <c r="O237" i="13" s="1"/>
  <c r="I237" i="13"/>
  <c r="K236" i="13"/>
  <c r="J236" i="13"/>
  <c r="L236" i="13" s="1"/>
  <c r="M236" i="13" s="1"/>
  <c r="O236" i="13" s="1"/>
  <c r="I236" i="13"/>
  <c r="K235" i="13"/>
  <c r="J235" i="13"/>
  <c r="L235" i="13" s="1"/>
  <c r="M235" i="13" s="1"/>
  <c r="O235" i="13" s="1"/>
  <c r="I235" i="13"/>
  <c r="K234" i="13"/>
  <c r="J234" i="13"/>
  <c r="L234" i="13" s="1"/>
  <c r="M234" i="13" s="1"/>
  <c r="O234" i="13" s="1"/>
  <c r="I234" i="13"/>
  <c r="K233" i="13"/>
  <c r="J233" i="13"/>
  <c r="L233" i="13" s="1"/>
  <c r="M233" i="13" s="1"/>
  <c r="O233" i="13" s="1"/>
  <c r="I233" i="13"/>
  <c r="K232" i="13"/>
  <c r="J232" i="13"/>
  <c r="L232" i="13" s="1"/>
  <c r="M232" i="13" s="1"/>
  <c r="O232" i="13" s="1"/>
  <c r="I232" i="13"/>
  <c r="K231" i="13"/>
  <c r="J231" i="13"/>
  <c r="L231" i="13" s="1"/>
  <c r="M231" i="13" s="1"/>
  <c r="O231" i="13" s="1"/>
  <c r="I231" i="13"/>
  <c r="K230" i="13"/>
  <c r="J230" i="13"/>
  <c r="L230" i="13" s="1"/>
  <c r="M230" i="13" s="1"/>
  <c r="O230" i="13" s="1"/>
  <c r="I230" i="13"/>
  <c r="K229" i="13"/>
  <c r="J229" i="13"/>
  <c r="L229" i="13" s="1"/>
  <c r="M229" i="13" s="1"/>
  <c r="O229" i="13" s="1"/>
  <c r="I229" i="13"/>
  <c r="K228" i="13"/>
  <c r="J228" i="13"/>
  <c r="L228" i="13" s="1"/>
  <c r="M228" i="13" s="1"/>
  <c r="O228" i="13" s="1"/>
  <c r="I228" i="13"/>
  <c r="K227" i="13"/>
  <c r="J227" i="13"/>
  <c r="L227" i="13" s="1"/>
  <c r="M227" i="13" s="1"/>
  <c r="O227" i="13" s="1"/>
  <c r="I227" i="13"/>
  <c r="K226" i="13"/>
  <c r="J226" i="13"/>
  <c r="L226" i="13" s="1"/>
  <c r="M226" i="13" s="1"/>
  <c r="O226" i="13" s="1"/>
  <c r="I226" i="13"/>
  <c r="K225" i="13"/>
  <c r="J225" i="13"/>
  <c r="L225" i="13" s="1"/>
  <c r="M225" i="13" s="1"/>
  <c r="O225" i="13" s="1"/>
  <c r="I225" i="13"/>
  <c r="K224" i="13"/>
  <c r="J224" i="13"/>
  <c r="L224" i="13" s="1"/>
  <c r="M224" i="13" s="1"/>
  <c r="O224" i="13" s="1"/>
  <c r="I224" i="13"/>
  <c r="K223" i="13"/>
  <c r="J223" i="13"/>
  <c r="L223" i="13" s="1"/>
  <c r="M223" i="13" s="1"/>
  <c r="O223" i="13" s="1"/>
  <c r="I223" i="13"/>
  <c r="K222" i="13"/>
  <c r="J222" i="13"/>
  <c r="L222" i="13" s="1"/>
  <c r="M222" i="13" s="1"/>
  <c r="O222" i="13" s="1"/>
  <c r="I222" i="13"/>
  <c r="K221" i="13"/>
  <c r="J221" i="13"/>
  <c r="L221" i="13" s="1"/>
  <c r="M221" i="13" s="1"/>
  <c r="O221" i="13" s="1"/>
  <c r="I221" i="13"/>
  <c r="K220" i="13"/>
  <c r="J220" i="13"/>
  <c r="L220" i="13" s="1"/>
  <c r="M220" i="13" s="1"/>
  <c r="O220" i="13" s="1"/>
  <c r="I220" i="13"/>
  <c r="K219" i="13"/>
  <c r="J219" i="13"/>
  <c r="L219" i="13" s="1"/>
  <c r="M219" i="13" s="1"/>
  <c r="O219" i="13" s="1"/>
  <c r="I219" i="13"/>
  <c r="K218" i="13"/>
  <c r="J218" i="13"/>
  <c r="L218" i="13" s="1"/>
  <c r="M218" i="13" s="1"/>
  <c r="O218" i="13" s="1"/>
  <c r="I218" i="13"/>
  <c r="K217" i="13"/>
  <c r="J217" i="13"/>
  <c r="L217" i="13" s="1"/>
  <c r="M217" i="13" s="1"/>
  <c r="O217" i="13" s="1"/>
  <c r="I217" i="13"/>
  <c r="K216" i="13"/>
  <c r="J216" i="13"/>
  <c r="L216" i="13" s="1"/>
  <c r="M216" i="13" s="1"/>
  <c r="O216" i="13" s="1"/>
  <c r="I216" i="13"/>
  <c r="K215" i="13"/>
  <c r="J215" i="13"/>
  <c r="L215" i="13" s="1"/>
  <c r="M215" i="13" s="1"/>
  <c r="O215" i="13" s="1"/>
  <c r="I215" i="13"/>
  <c r="K214" i="13"/>
  <c r="J214" i="13"/>
  <c r="L214" i="13" s="1"/>
  <c r="M214" i="13" s="1"/>
  <c r="O214" i="13" s="1"/>
  <c r="I214" i="13"/>
  <c r="K213" i="13"/>
  <c r="J213" i="13"/>
  <c r="L213" i="13" s="1"/>
  <c r="M213" i="13" s="1"/>
  <c r="O213" i="13" s="1"/>
  <c r="I213" i="13"/>
  <c r="K212" i="13"/>
  <c r="J212" i="13"/>
  <c r="L212" i="13" s="1"/>
  <c r="M212" i="13" s="1"/>
  <c r="O212" i="13" s="1"/>
  <c r="I212" i="13"/>
  <c r="K211" i="13"/>
  <c r="J211" i="13"/>
  <c r="L211" i="13" s="1"/>
  <c r="M211" i="13" s="1"/>
  <c r="O211" i="13" s="1"/>
  <c r="I211" i="13"/>
  <c r="K210" i="13"/>
  <c r="J210" i="13"/>
  <c r="L210" i="13" s="1"/>
  <c r="M210" i="13" s="1"/>
  <c r="O210" i="13" s="1"/>
  <c r="I210" i="13"/>
  <c r="K209" i="13"/>
  <c r="J209" i="13"/>
  <c r="L209" i="13" s="1"/>
  <c r="M209" i="13" s="1"/>
  <c r="O209" i="13" s="1"/>
  <c r="I209" i="13"/>
  <c r="K208" i="13"/>
  <c r="J208" i="13"/>
  <c r="L208" i="13" s="1"/>
  <c r="M208" i="13" s="1"/>
  <c r="O208" i="13" s="1"/>
  <c r="I208" i="13"/>
  <c r="K207" i="13"/>
  <c r="J207" i="13"/>
  <c r="L207" i="13" s="1"/>
  <c r="M207" i="13" s="1"/>
  <c r="O207" i="13" s="1"/>
  <c r="I207" i="13"/>
  <c r="K206" i="13"/>
  <c r="J206" i="13"/>
  <c r="L206" i="13" s="1"/>
  <c r="M206" i="13" s="1"/>
  <c r="O206" i="13" s="1"/>
  <c r="I206" i="13"/>
  <c r="K205" i="13"/>
  <c r="J205" i="13"/>
  <c r="L205" i="13" s="1"/>
  <c r="M205" i="13" s="1"/>
  <c r="O205" i="13" s="1"/>
  <c r="I205" i="13"/>
  <c r="K204" i="13"/>
  <c r="J204" i="13"/>
  <c r="L204" i="13" s="1"/>
  <c r="M204" i="13" s="1"/>
  <c r="O204" i="13" s="1"/>
  <c r="I204" i="13"/>
  <c r="K203" i="13"/>
  <c r="J203" i="13"/>
  <c r="L203" i="13" s="1"/>
  <c r="M203" i="13" s="1"/>
  <c r="O203" i="13" s="1"/>
  <c r="I203" i="13"/>
  <c r="K202" i="13"/>
  <c r="J202" i="13"/>
  <c r="L202" i="13" s="1"/>
  <c r="M202" i="13" s="1"/>
  <c r="O202" i="13" s="1"/>
  <c r="I202" i="13"/>
  <c r="K201" i="13"/>
  <c r="J201" i="13"/>
  <c r="L201" i="13" s="1"/>
  <c r="M201" i="13" s="1"/>
  <c r="O201" i="13" s="1"/>
  <c r="I201" i="13"/>
  <c r="K200" i="13"/>
  <c r="J200" i="13"/>
  <c r="L200" i="13" s="1"/>
  <c r="M200" i="13" s="1"/>
  <c r="O200" i="13" s="1"/>
  <c r="I200" i="13"/>
  <c r="K199" i="13"/>
  <c r="J199" i="13"/>
  <c r="L199" i="13" s="1"/>
  <c r="M199" i="13" s="1"/>
  <c r="O199" i="13" s="1"/>
  <c r="I199" i="13"/>
  <c r="K198" i="13"/>
  <c r="J198" i="13"/>
  <c r="L198" i="13" s="1"/>
  <c r="M198" i="13" s="1"/>
  <c r="O198" i="13" s="1"/>
  <c r="I198" i="13"/>
  <c r="K197" i="13"/>
  <c r="J197" i="13"/>
  <c r="L197" i="13" s="1"/>
  <c r="M197" i="13" s="1"/>
  <c r="O197" i="13" s="1"/>
  <c r="I197" i="13"/>
  <c r="K196" i="13"/>
  <c r="J196" i="13"/>
  <c r="L196" i="13" s="1"/>
  <c r="M196" i="13" s="1"/>
  <c r="O196" i="13" s="1"/>
  <c r="I196" i="13"/>
  <c r="K195" i="13"/>
  <c r="J195" i="13"/>
  <c r="L195" i="13" s="1"/>
  <c r="M195" i="13" s="1"/>
  <c r="O195" i="13" s="1"/>
  <c r="I195" i="13"/>
  <c r="K194" i="13"/>
  <c r="J194" i="13"/>
  <c r="L194" i="13" s="1"/>
  <c r="M194" i="13" s="1"/>
  <c r="O194" i="13" s="1"/>
  <c r="I194" i="13"/>
  <c r="K193" i="13"/>
  <c r="J193" i="13"/>
  <c r="L193" i="13" s="1"/>
  <c r="M193" i="13" s="1"/>
  <c r="O193" i="13" s="1"/>
  <c r="I193" i="13"/>
  <c r="K192" i="13"/>
  <c r="J192" i="13"/>
  <c r="L192" i="13" s="1"/>
  <c r="M192" i="13" s="1"/>
  <c r="O192" i="13" s="1"/>
  <c r="I192" i="13"/>
  <c r="K191" i="13"/>
  <c r="J191" i="13"/>
  <c r="L191" i="13" s="1"/>
  <c r="M191" i="13" s="1"/>
  <c r="O191" i="13" s="1"/>
  <c r="I191" i="13"/>
  <c r="K190" i="13"/>
  <c r="J190" i="13"/>
  <c r="L190" i="13" s="1"/>
  <c r="M190" i="13" s="1"/>
  <c r="O190" i="13" s="1"/>
  <c r="I190" i="13"/>
  <c r="K189" i="13"/>
  <c r="J189" i="13"/>
  <c r="L189" i="13" s="1"/>
  <c r="M189" i="13" s="1"/>
  <c r="O189" i="13" s="1"/>
  <c r="I189" i="13"/>
  <c r="K188" i="13"/>
  <c r="J188" i="13"/>
  <c r="L188" i="13" s="1"/>
  <c r="M188" i="13" s="1"/>
  <c r="O188" i="13" s="1"/>
  <c r="I188" i="13"/>
  <c r="K187" i="13"/>
  <c r="J187" i="13"/>
  <c r="L187" i="13" s="1"/>
  <c r="M187" i="13" s="1"/>
  <c r="O187" i="13" s="1"/>
  <c r="I187" i="13"/>
  <c r="K186" i="13"/>
  <c r="J186" i="13"/>
  <c r="L186" i="13" s="1"/>
  <c r="M186" i="13" s="1"/>
  <c r="O186" i="13" s="1"/>
  <c r="I186" i="13"/>
  <c r="K185" i="13"/>
  <c r="J185" i="13"/>
  <c r="L185" i="13" s="1"/>
  <c r="M185" i="13" s="1"/>
  <c r="O185" i="13" s="1"/>
  <c r="I185" i="13"/>
  <c r="K184" i="13"/>
  <c r="J184" i="13"/>
  <c r="L184" i="13" s="1"/>
  <c r="M184" i="13" s="1"/>
  <c r="O184" i="13" s="1"/>
  <c r="I184" i="13"/>
  <c r="K183" i="13"/>
  <c r="J183" i="13"/>
  <c r="L183" i="13" s="1"/>
  <c r="M183" i="13" s="1"/>
  <c r="O183" i="13" s="1"/>
  <c r="I183" i="13"/>
  <c r="K182" i="13"/>
  <c r="J182" i="13"/>
  <c r="L182" i="13" s="1"/>
  <c r="M182" i="13" s="1"/>
  <c r="O182" i="13" s="1"/>
  <c r="I182" i="13"/>
  <c r="K181" i="13"/>
  <c r="J181" i="13"/>
  <c r="L181" i="13" s="1"/>
  <c r="M181" i="13" s="1"/>
  <c r="O181" i="13" s="1"/>
  <c r="I181" i="13"/>
  <c r="K180" i="13"/>
  <c r="J180" i="13"/>
  <c r="L180" i="13" s="1"/>
  <c r="M180" i="13" s="1"/>
  <c r="O180" i="13" s="1"/>
  <c r="I180" i="13"/>
  <c r="K179" i="13"/>
  <c r="J179" i="13"/>
  <c r="L179" i="13" s="1"/>
  <c r="M179" i="13" s="1"/>
  <c r="O179" i="13" s="1"/>
  <c r="I179" i="13"/>
  <c r="K178" i="13"/>
  <c r="J178" i="13"/>
  <c r="L178" i="13" s="1"/>
  <c r="M178" i="13" s="1"/>
  <c r="O178" i="13" s="1"/>
  <c r="I178" i="13"/>
  <c r="K177" i="13"/>
  <c r="J177" i="13"/>
  <c r="L177" i="13" s="1"/>
  <c r="M177" i="13" s="1"/>
  <c r="O177" i="13" s="1"/>
  <c r="I177" i="13"/>
  <c r="K176" i="13"/>
  <c r="J176" i="13"/>
  <c r="L176" i="13" s="1"/>
  <c r="M176" i="13" s="1"/>
  <c r="O176" i="13" s="1"/>
  <c r="I176" i="13"/>
  <c r="K175" i="13"/>
  <c r="J175" i="13"/>
  <c r="L175" i="13" s="1"/>
  <c r="M175" i="13" s="1"/>
  <c r="O175" i="13" s="1"/>
  <c r="I175" i="13"/>
  <c r="K174" i="13"/>
  <c r="J174" i="13"/>
  <c r="L174" i="13" s="1"/>
  <c r="M174" i="13" s="1"/>
  <c r="O174" i="13" s="1"/>
  <c r="I174" i="13"/>
  <c r="K173" i="13"/>
  <c r="J173" i="13"/>
  <c r="L173" i="13" s="1"/>
  <c r="M173" i="13" s="1"/>
  <c r="O173" i="13" s="1"/>
  <c r="I173" i="13"/>
  <c r="K172" i="13"/>
  <c r="J172" i="13"/>
  <c r="L172" i="13" s="1"/>
  <c r="M172" i="13" s="1"/>
  <c r="O172" i="13" s="1"/>
  <c r="I172" i="13"/>
  <c r="K171" i="13"/>
  <c r="J171" i="13"/>
  <c r="L171" i="13" s="1"/>
  <c r="M171" i="13" s="1"/>
  <c r="O171" i="13" s="1"/>
  <c r="I171" i="13"/>
  <c r="K170" i="13"/>
  <c r="J170" i="13"/>
  <c r="L170" i="13" s="1"/>
  <c r="M170" i="13" s="1"/>
  <c r="O170" i="13" s="1"/>
  <c r="I170" i="13"/>
  <c r="K169" i="13"/>
  <c r="J169" i="13"/>
  <c r="L169" i="13" s="1"/>
  <c r="M169" i="13" s="1"/>
  <c r="O169" i="13" s="1"/>
  <c r="I169" i="13"/>
  <c r="K168" i="13"/>
  <c r="J168" i="13"/>
  <c r="L168" i="13" s="1"/>
  <c r="M168" i="13" s="1"/>
  <c r="O168" i="13" s="1"/>
  <c r="I168" i="13"/>
  <c r="K167" i="13"/>
  <c r="J167" i="13"/>
  <c r="L167" i="13" s="1"/>
  <c r="M167" i="13" s="1"/>
  <c r="O167" i="13" s="1"/>
  <c r="I167" i="13"/>
  <c r="K166" i="13"/>
  <c r="J166" i="13"/>
  <c r="L166" i="13" s="1"/>
  <c r="M166" i="13" s="1"/>
  <c r="O166" i="13" s="1"/>
  <c r="I166" i="13"/>
  <c r="K165" i="13"/>
  <c r="J165" i="13"/>
  <c r="L165" i="13" s="1"/>
  <c r="M165" i="13" s="1"/>
  <c r="O165" i="13" s="1"/>
  <c r="I165" i="13"/>
  <c r="K164" i="13"/>
  <c r="J164" i="13"/>
  <c r="L164" i="13" s="1"/>
  <c r="M164" i="13" s="1"/>
  <c r="O164" i="13" s="1"/>
  <c r="I164" i="13"/>
  <c r="K163" i="13"/>
  <c r="J163" i="13"/>
  <c r="L163" i="13" s="1"/>
  <c r="M163" i="13" s="1"/>
  <c r="O163" i="13" s="1"/>
  <c r="I163" i="13"/>
  <c r="K162" i="13"/>
  <c r="J162" i="13"/>
  <c r="L162" i="13" s="1"/>
  <c r="M162" i="13" s="1"/>
  <c r="O162" i="13" s="1"/>
  <c r="I162" i="13"/>
  <c r="K161" i="13"/>
  <c r="J161" i="13"/>
  <c r="L161" i="13" s="1"/>
  <c r="M161" i="13" s="1"/>
  <c r="O161" i="13" s="1"/>
  <c r="I161" i="13"/>
  <c r="K160" i="13"/>
  <c r="J160" i="13"/>
  <c r="L160" i="13" s="1"/>
  <c r="M160" i="13" s="1"/>
  <c r="O160" i="13" s="1"/>
  <c r="I160" i="13"/>
  <c r="K159" i="13"/>
  <c r="J159" i="13"/>
  <c r="L159" i="13" s="1"/>
  <c r="M159" i="13" s="1"/>
  <c r="O159" i="13" s="1"/>
  <c r="I159" i="13"/>
  <c r="K158" i="13"/>
  <c r="J158" i="13"/>
  <c r="L158" i="13" s="1"/>
  <c r="M158" i="13" s="1"/>
  <c r="O158" i="13" s="1"/>
  <c r="I158" i="13"/>
  <c r="K157" i="13"/>
  <c r="J157" i="13"/>
  <c r="L157" i="13" s="1"/>
  <c r="M157" i="13" s="1"/>
  <c r="O157" i="13" s="1"/>
  <c r="I157" i="13"/>
  <c r="K156" i="13"/>
  <c r="J156" i="13"/>
  <c r="L156" i="13" s="1"/>
  <c r="M156" i="13" s="1"/>
  <c r="O156" i="13" s="1"/>
  <c r="I156" i="13"/>
  <c r="K155" i="13"/>
  <c r="J155" i="13"/>
  <c r="L155" i="13" s="1"/>
  <c r="M155" i="13" s="1"/>
  <c r="O155" i="13" s="1"/>
  <c r="I155" i="13"/>
  <c r="K154" i="13"/>
  <c r="J154" i="13"/>
  <c r="L154" i="13" s="1"/>
  <c r="M154" i="13" s="1"/>
  <c r="O154" i="13" s="1"/>
  <c r="I154" i="13"/>
  <c r="K153" i="13"/>
  <c r="J153" i="13"/>
  <c r="L153" i="13" s="1"/>
  <c r="M153" i="13" s="1"/>
  <c r="O153" i="13" s="1"/>
  <c r="I153" i="13"/>
  <c r="K152" i="13"/>
  <c r="J152" i="13"/>
  <c r="L152" i="13" s="1"/>
  <c r="M152" i="13" s="1"/>
  <c r="O152" i="13" s="1"/>
  <c r="I152" i="13"/>
  <c r="K151" i="13"/>
  <c r="J151" i="13"/>
  <c r="L151" i="13" s="1"/>
  <c r="M151" i="13" s="1"/>
  <c r="O151" i="13" s="1"/>
  <c r="I151" i="13"/>
  <c r="K150" i="13"/>
  <c r="J150" i="13"/>
  <c r="L150" i="13" s="1"/>
  <c r="M150" i="13" s="1"/>
  <c r="O150" i="13" s="1"/>
  <c r="I150" i="13"/>
  <c r="K149" i="13"/>
  <c r="J149" i="13"/>
  <c r="L149" i="13" s="1"/>
  <c r="M149" i="13" s="1"/>
  <c r="O149" i="13" s="1"/>
  <c r="I149" i="13"/>
  <c r="K148" i="13"/>
  <c r="J148" i="13"/>
  <c r="L148" i="13" s="1"/>
  <c r="M148" i="13" s="1"/>
  <c r="O148" i="13" s="1"/>
  <c r="I148" i="13"/>
  <c r="K147" i="13"/>
  <c r="J147" i="13"/>
  <c r="L147" i="13" s="1"/>
  <c r="M147" i="13" s="1"/>
  <c r="O147" i="13" s="1"/>
  <c r="I147" i="13"/>
  <c r="K146" i="13"/>
  <c r="J146" i="13"/>
  <c r="L146" i="13" s="1"/>
  <c r="M146" i="13" s="1"/>
  <c r="O146" i="13" s="1"/>
  <c r="I146" i="13"/>
  <c r="K145" i="13"/>
  <c r="J145" i="13"/>
  <c r="L145" i="13" s="1"/>
  <c r="M145" i="13" s="1"/>
  <c r="O145" i="13" s="1"/>
  <c r="I145" i="13"/>
  <c r="K144" i="13"/>
  <c r="J144" i="13"/>
  <c r="L144" i="13" s="1"/>
  <c r="M144" i="13" s="1"/>
  <c r="O144" i="13" s="1"/>
  <c r="I144" i="13"/>
  <c r="K143" i="13"/>
  <c r="J143" i="13"/>
  <c r="L143" i="13" s="1"/>
  <c r="M143" i="13" s="1"/>
  <c r="O143" i="13" s="1"/>
  <c r="I143" i="13"/>
  <c r="K142" i="13"/>
  <c r="J142" i="13"/>
  <c r="L142" i="13" s="1"/>
  <c r="M142" i="13" s="1"/>
  <c r="O142" i="13" s="1"/>
  <c r="I142" i="13"/>
  <c r="K141" i="13"/>
  <c r="J141" i="13"/>
  <c r="L141" i="13" s="1"/>
  <c r="M141" i="13" s="1"/>
  <c r="O141" i="13" s="1"/>
  <c r="I141" i="13"/>
  <c r="K140" i="13"/>
  <c r="J140" i="13"/>
  <c r="L140" i="13" s="1"/>
  <c r="M140" i="13" s="1"/>
  <c r="O140" i="13" s="1"/>
  <c r="I140" i="13"/>
  <c r="K139" i="13"/>
  <c r="J139" i="13"/>
  <c r="L139" i="13" s="1"/>
  <c r="M139" i="13" s="1"/>
  <c r="O139" i="13" s="1"/>
  <c r="I139" i="13"/>
  <c r="K138" i="13"/>
  <c r="J138" i="13"/>
  <c r="L138" i="13" s="1"/>
  <c r="M138" i="13" s="1"/>
  <c r="O138" i="13" s="1"/>
  <c r="I138" i="13"/>
  <c r="K137" i="13"/>
  <c r="J137" i="13"/>
  <c r="L137" i="13" s="1"/>
  <c r="M137" i="13" s="1"/>
  <c r="O137" i="13" s="1"/>
  <c r="I137" i="13"/>
  <c r="K136" i="13"/>
  <c r="J136" i="13"/>
  <c r="L136" i="13" s="1"/>
  <c r="M136" i="13" s="1"/>
  <c r="O136" i="13" s="1"/>
  <c r="I136" i="13"/>
  <c r="K135" i="13"/>
  <c r="J135" i="13"/>
  <c r="L135" i="13" s="1"/>
  <c r="M135" i="13" s="1"/>
  <c r="O135" i="13" s="1"/>
  <c r="I135" i="13"/>
  <c r="K134" i="13"/>
  <c r="J134" i="13"/>
  <c r="L134" i="13" s="1"/>
  <c r="M134" i="13" s="1"/>
  <c r="O134" i="13" s="1"/>
  <c r="I134" i="13"/>
  <c r="K133" i="13"/>
  <c r="J133" i="13"/>
  <c r="L133" i="13" s="1"/>
  <c r="M133" i="13" s="1"/>
  <c r="O133" i="13" s="1"/>
  <c r="I133" i="13"/>
  <c r="K132" i="13"/>
  <c r="J132" i="13"/>
  <c r="L132" i="13" s="1"/>
  <c r="M132" i="13" s="1"/>
  <c r="O132" i="13" s="1"/>
  <c r="I132" i="13"/>
  <c r="K131" i="13"/>
  <c r="J131" i="13"/>
  <c r="L131" i="13" s="1"/>
  <c r="M131" i="13" s="1"/>
  <c r="O131" i="13" s="1"/>
  <c r="I131" i="13"/>
  <c r="K130" i="13"/>
  <c r="J130" i="13"/>
  <c r="L130" i="13" s="1"/>
  <c r="M130" i="13" s="1"/>
  <c r="O130" i="13" s="1"/>
  <c r="I130" i="13"/>
  <c r="K129" i="13"/>
  <c r="J129" i="13"/>
  <c r="L129" i="13" s="1"/>
  <c r="M129" i="13" s="1"/>
  <c r="O129" i="13" s="1"/>
  <c r="I129" i="13"/>
  <c r="K128" i="13"/>
  <c r="J128" i="13"/>
  <c r="L128" i="13" s="1"/>
  <c r="M128" i="13" s="1"/>
  <c r="O128" i="13" s="1"/>
  <c r="I128" i="13"/>
  <c r="K127" i="13"/>
  <c r="J127" i="13"/>
  <c r="L127" i="13" s="1"/>
  <c r="M127" i="13" s="1"/>
  <c r="O127" i="13" s="1"/>
  <c r="I127" i="13"/>
  <c r="K126" i="13"/>
  <c r="J126" i="13"/>
  <c r="L126" i="13" s="1"/>
  <c r="M126" i="13" s="1"/>
  <c r="O126" i="13" s="1"/>
  <c r="I126" i="13"/>
  <c r="K125" i="13"/>
  <c r="J125" i="13"/>
  <c r="L125" i="13" s="1"/>
  <c r="M125" i="13" s="1"/>
  <c r="O125" i="13" s="1"/>
  <c r="I125" i="13"/>
  <c r="K124" i="13"/>
  <c r="J124" i="13"/>
  <c r="L124" i="13" s="1"/>
  <c r="M124" i="13" s="1"/>
  <c r="O124" i="13" s="1"/>
  <c r="I124" i="13"/>
  <c r="K123" i="13"/>
  <c r="J123" i="13"/>
  <c r="L123" i="13" s="1"/>
  <c r="M123" i="13" s="1"/>
  <c r="O123" i="13" s="1"/>
  <c r="I123" i="13"/>
  <c r="K122" i="13"/>
  <c r="J122" i="13"/>
  <c r="L122" i="13" s="1"/>
  <c r="M122" i="13" s="1"/>
  <c r="O122" i="13" s="1"/>
  <c r="I122" i="13"/>
  <c r="K121" i="13"/>
  <c r="J121" i="13"/>
  <c r="L121" i="13" s="1"/>
  <c r="M121" i="13" s="1"/>
  <c r="O121" i="13" s="1"/>
  <c r="I121" i="13"/>
  <c r="K120" i="13"/>
  <c r="J120" i="13"/>
  <c r="L120" i="13" s="1"/>
  <c r="M120" i="13" s="1"/>
  <c r="O120" i="13" s="1"/>
  <c r="I120" i="13"/>
  <c r="K119" i="13"/>
  <c r="J119" i="13"/>
  <c r="L119" i="13" s="1"/>
  <c r="M119" i="13" s="1"/>
  <c r="O119" i="13" s="1"/>
  <c r="I119" i="13"/>
  <c r="K118" i="13"/>
  <c r="J118" i="13"/>
  <c r="L118" i="13" s="1"/>
  <c r="M118" i="13" s="1"/>
  <c r="O118" i="13" s="1"/>
  <c r="I118" i="13"/>
  <c r="K117" i="13"/>
  <c r="J117" i="13"/>
  <c r="L117" i="13" s="1"/>
  <c r="M117" i="13" s="1"/>
  <c r="O117" i="13" s="1"/>
  <c r="I117" i="13"/>
  <c r="K116" i="13"/>
  <c r="J116" i="13"/>
  <c r="L116" i="13" s="1"/>
  <c r="M116" i="13" s="1"/>
  <c r="O116" i="13" s="1"/>
  <c r="I116" i="13"/>
  <c r="K115" i="13"/>
  <c r="J115" i="13"/>
  <c r="L115" i="13" s="1"/>
  <c r="M115" i="13" s="1"/>
  <c r="O115" i="13" s="1"/>
  <c r="I115" i="13"/>
  <c r="K114" i="13"/>
  <c r="J114" i="13"/>
  <c r="L114" i="13" s="1"/>
  <c r="M114" i="13" s="1"/>
  <c r="O114" i="13" s="1"/>
  <c r="I114" i="13"/>
  <c r="K113" i="13"/>
  <c r="J113" i="13"/>
  <c r="L113" i="13" s="1"/>
  <c r="M113" i="13" s="1"/>
  <c r="O113" i="13" s="1"/>
  <c r="I113" i="13"/>
  <c r="K112" i="13"/>
  <c r="J112" i="13"/>
  <c r="L112" i="13" s="1"/>
  <c r="M112" i="13" s="1"/>
  <c r="O112" i="13" s="1"/>
  <c r="I112" i="13"/>
  <c r="K111" i="13"/>
  <c r="J111" i="13"/>
  <c r="L111" i="13" s="1"/>
  <c r="M111" i="13" s="1"/>
  <c r="O111" i="13" s="1"/>
  <c r="I111" i="13"/>
  <c r="K110" i="13"/>
  <c r="J110" i="13"/>
  <c r="L110" i="13" s="1"/>
  <c r="M110" i="13" s="1"/>
  <c r="O110" i="13" s="1"/>
  <c r="I110" i="13"/>
  <c r="K109" i="13"/>
  <c r="J109" i="13"/>
  <c r="L109" i="13" s="1"/>
  <c r="M109" i="13" s="1"/>
  <c r="O109" i="13" s="1"/>
  <c r="I109" i="13"/>
  <c r="K108" i="13"/>
  <c r="J108" i="13"/>
  <c r="L108" i="13" s="1"/>
  <c r="M108" i="13" s="1"/>
  <c r="O108" i="13" s="1"/>
  <c r="I108" i="13"/>
  <c r="K107" i="13"/>
  <c r="J107" i="13"/>
  <c r="L107" i="13" s="1"/>
  <c r="M107" i="13" s="1"/>
  <c r="O107" i="13" s="1"/>
  <c r="I107" i="13"/>
  <c r="K106" i="13"/>
  <c r="J106" i="13"/>
  <c r="L106" i="13" s="1"/>
  <c r="M106" i="13" s="1"/>
  <c r="O106" i="13" s="1"/>
  <c r="I106" i="13"/>
  <c r="K105" i="13"/>
  <c r="J105" i="13"/>
  <c r="L105" i="13" s="1"/>
  <c r="M105" i="13" s="1"/>
  <c r="O105" i="13" s="1"/>
  <c r="I105" i="13"/>
  <c r="K104" i="13"/>
  <c r="J104" i="13"/>
  <c r="L104" i="13" s="1"/>
  <c r="M104" i="13" s="1"/>
  <c r="O104" i="13" s="1"/>
  <c r="I104" i="13"/>
  <c r="K103" i="13"/>
  <c r="J103" i="13"/>
  <c r="L103" i="13" s="1"/>
  <c r="M103" i="13" s="1"/>
  <c r="O103" i="13" s="1"/>
  <c r="I103" i="13"/>
  <c r="K102" i="13"/>
  <c r="J102" i="13"/>
  <c r="L102" i="13" s="1"/>
  <c r="M102" i="13" s="1"/>
  <c r="O102" i="13" s="1"/>
  <c r="I102" i="13"/>
  <c r="K101" i="13"/>
  <c r="J101" i="13"/>
  <c r="L101" i="13" s="1"/>
  <c r="M101" i="13" s="1"/>
  <c r="O101" i="13" s="1"/>
  <c r="I101" i="13"/>
  <c r="K100" i="13"/>
  <c r="J100" i="13"/>
  <c r="L100" i="13" s="1"/>
  <c r="M100" i="13" s="1"/>
  <c r="O100" i="13" s="1"/>
  <c r="I100" i="13"/>
  <c r="K99" i="13"/>
  <c r="J99" i="13"/>
  <c r="L99" i="13" s="1"/>
  <c r="M99" i="13" s="1"/>
  <c r="O99" i="13" s="1"/>
  <c r="I99" i="13"/>
  <c r="K98" i="13"/>
  <c r="J98" i="13"/>
  <c r="L98" i="13" s="1"/>
  <c r="M98" i="13" s="1"/>
  <c r="O98" i="13" s="1"/>
  <c r="I98" i="13"/>
  <c r="K97" i="13"/>
  <c r="J97" i="13"/>
  <c r="L97" i="13" s="1"/>
  <c r="M97" i="13" s="1"/>
  <c r="O97" i="13" s="1"/>
  <c r="I97" i="13"/>
  <c r="K96" i="13"/>
  <c r="J96" i="13"/>
  <c r="L96" i="13" s="1"/>
  <c r="M96" i="13" s="1"/>
  <c r="O96" i="13" s="1"/>
  <c r="I96" i="13"/>
  <c r="K95" i="13"/>
  <c r="J95" i="13"/>
  <c r="L95" i="13" s="1"/>
  <c r="M95" i="13" s="1"/>
  <c r="O95" i="13" s="1"/>
  <c r="I95" i="13"/>
  <c r="K94" i="13"/>
  <c r="J94" i="13"/>
  <c r="L94" i="13" s="1"/>
  <c r="M94" i="13" s="1"/>
  <c r="O94" i="13" s="1"/>
  <c r="I94" i="13"/>
  <c r="K93" i="13"/>
  <c r="J93" i="13"/>
  <c r="L93" i="13" s="1"/>
  <c r="M93" i="13" s="1"/>
  <c r="O93" i="13" s="1"/>
  <c r="I93" i="13"/>
  <c r="K92" i="13"/>
  <c r="J92" i="13"/>
  <c r="L92" i="13" s="1"/>
  <c r="M92" i="13" s="1"/>
  <c r="O92" i="13" s="1"/>
  <c r="I92" i="13"/>
  <c r="K91" i="13"/>
  <c r="J91" i="13"/>
  <c r="L91" i="13" s="1"/>
  <c r="M91" i="13" s="1"/>
  <c r="O91" i="13" s="1"/>
  <c r="I91" i="13"/>
  <c r="K90" i="13"/>
  <c r="J90" i="13"/>
  <c r="L90" i="13" s="1"/>
  <c r="M90" i="13" s="1"/>
  <c r="O90" i="13" s="1"/>
  <c r="I90" i="13"/>
  <c r="K89" i="13"/>
  <c r="J89" i="13"/>
  <c r="L89" i="13" s="1"/>
  <c r="M89" i="13" s="1"/>
  <c r="O89" i="13" s="1"/>
  <c r="I89" i="13"/>
  <c r="K88" i="13"/>
  <c r="J88" i="13"/>
  <c r="L88" i="13" s="1"/>
  <c r="M88" i="13" s="1"/>
  <c r="O88" i="13" s="1"/>
  <c r="I88" i="13"/>
  <c r="K87" i="13"/>
  <c r="J87" i="13"/>
  <c r="L87" i="13" s="1"/>
  <c r="M87" i="13" s="1"/>
  <c r="O87" i="13" s="1"/>
  <c r="I87" i="13"/>
  <c r="K86" i="13"/>
  <c r="J86" i="13"/>
  <c r="L86" i="13" s="1"/>
  <c r="M86" i="13" s="1"/>
  <c r="O86" i="13" s="1"/>
  <c r="I86" i="13"/>
  <c r="K85" i="13"/>
  <c r="J85" i="13"/>
  <c r="L85" i="13" s="1"/>
  <c r="M85" i="13" s="1"/>
  <c r="O85" i="13" s="1"/>
  <c r="I85" i="13"/>
  <c r="K84" i="13"/>
  <c r="J84" i="13"/>
  <c r="L84" i="13" s="1"/>
  <c r="M84" i="13" s="1"/>
  <c r="O84" i="13" s="1"/>
  <c r="I84" i="13"/>
  <c r="K83" i="13"/>
  <c r="J83" i="13"/>
  <c r="L83" i="13" s="1"/>
  <c r="M83" i="13" s="1"/>
  <c r="O83" i="13" s="1"/>
  <c r="I83" i="13"/>
  <c r="K82" i="13"/>
  <c r="J82" i="13"/>
  <c r="L82" i="13" s="1"/>
  <c r="M82" i="13" s="1"/>
  <c r="O82" i="13" s="1"/>
  <c r="I82" i="13"/>
  <c r="K81" i="13"/>
  <c r="J81" i="13"/>
  <c r="L81" i="13" s="1"/>
  <c r="M81" i="13" s="1"/>
  <c r="O81" i="13" s="1"/>
  <c r="I81" i="13"/>
  <c r="K80" i="13"/>
  <c r="J80" i="13"/>
  <c r="L80" i="13" s="1"/>
  <c r="M80" i="13" s="1"/>
  <c r="O80" i="13" s="1"/>
  <c r="I80" i="13"/>
  <c r="K79" i="13"/>
  <c r="J79" i="13"/>
  <c r="L79" i="13" s="1"/>
  <c r="M79" i="13" s="1"/>
  <c r="O79" i="13" s="1"/>
  <c r="I79" i="13"/>
  <c r="K78" i="13"/>
  <c r="J78" i="13"/>
  <c r="L78" i="13" s="1"/>
  <c r="M78" i="13" s="1"/>
  <c r="O78" i="13" s="1"/>
  <c r="I78" i="13"/>
  <c r="K77" i="13"/>
  <c r="J77" i="13"/>
  <c r="L77" i="13" s="1"/>
  <c r="M77" i="13" s="1"/>
  <c r="O77" i="13" s="1"/>
  <c r="I77" i="13"/>
  <c r="K76" i="13"/>
  <c r="J76" i="13"/>
  <c r="L76" i="13" s="1"/>
  <c r="M76" i="13" s="1"/>
  <c r="O76" i="13" s="1"/>
  <c r="I76" i="13"/>
  <c r="K75" i="13"/>
  <c r="J75" i="13"/>
  <c r="L75" i="13" s="1"/>
  <c r="M75" i="13" s="1"/>
  <c r="O75" i="13" s="1"/>
  <c r="I75" i="13"/>
  <c r="K74" i="13"/>
  <c r="J74" i="13"/>
  <c r="L74" i="13" s="1"/>
  <c r="M74" i="13" s="1"/>
  <c r="O74" i="13" s="1"/>
  <c r="I74" i="13"/>
  <c r="K73" i="13"/>
  <c r="J73" i="13"/>
  <c r="L73" i="13" s="1"/>
  <c r="M73" i="13" s="1"/>
  <c r="O73" i="13" s="1"/>
  <c r="I73" i="13"/>
  <c r="K72" i="13"/>
  <c r="J72" i="13"/>
  <c r="L72" i="13" s="1"/>
  <c r="M72" i="13" s="1"/>
  <c r="O72" i="13" s="1"/>
  <c r="I72" i="13"/>
  <c r="K71" i="13"/>
  <c r="J71" i="13"/>
  <c r="L71" i="13" s="1"/>
  <c r="M71" i="13" s="1"/>
  <c r="O71" i="13" s="1"/>
  <c r="I71" i="13"/>
  <c r="K70" i="13"/>
  <c r="J70" i="13"/>
  <c r="L70" i="13" s="1"/>
  <c r="M70" i="13" s="1"/>
  <c r="O70" i="13" s="1"/>
  <c r="I70" i="13"/>
  <c r="K69" i="13"/>
  <c r="J69" i="13"/>
  <c r="L69" i="13" s="1"/>
  <c r="M69" i="13" s="1"/>
  <c r="O69" i="13" s="1"/>
  <c r="I69" i="13"/>
  <c r="K68" i="13"/>
  <c r="J68" i="13"/>
  <c r="L68" i="13" s="1"/>
  <c r="M68" i="13" s="1"/>
  <c r="O68" i="13" s="1"/>
  <c r="I68" i="13"/>
  <c r="K67" i="13"/>
  <c r="J67" i="13"/>
  <c r="L67" i="13" s="1"/>
  <c r="M67" i="13" s="1"/>
  <c r="O67" i="13" s="1"/>
  <c r="I67" i="13"/>
  <c r="K66" i="13"/>
  <c r="J66" i="13"/>
  <c r="L66" i="13" s="1"/>
  <c r="M66" i="13" s="1"/>
  <c r="O66" i="13" s="1"/>
  <c r="I66" i="13"/>
  <c r="K65" i="13"/>
  <c r="J65" i="13"/>
  <c r="L65" i="13" s="1"/>
  <c r="M65" i="13" s="1"/>
  <c r="O65" i="13" s="1"/>
  <c r="I65" i="13"/>
  <c r="K64" i="13"/>
  <c r="J64" i="13"/>
  <c r="L64" i="13" s="1"/>
  <c r="M64" i="13" s="1"/>
  <c r="O64" i="13" s="1"/>
  <c r="I64" i="13"/>
  <c r="K63" i="13"/>
  <c r="J63" i="13"/>
  <c r="L63" i="13" s="1"/>
  <c r="M63" i="13" s="1"/>
  <c r="O63" i="13" s="1"/>
  <c r="I63" i="13"/>
  <c r="K62" i="13"/>
  <c r="J62" i="13"/>
  <c r="L62" i="13" s="1"/>
  <c r="M62" i="13" s="1"/>
  <c r="O62" i="13" s="1"/>
  <c r="I62" i="13"/>
  <c r="K61" i="13"/>
  <c r="J61" i="13"/>
  <c r="L61" i="13" s="1"/>
  <c r="M61" i="13" s="1"/>
  <c r="O61" i="13" s="1"/>
  <c r="I61" i="13"/>
  <c r="K60" i="13"/>
  <c r="J60" i="13"/>
  <c r="L60" i="13" s="1"/>
  <c r="M60" i="13" s="1"/>
  <c r="O60" i="13" s="1"/>
  <c r="I60" i="13"/>
  <c r="K59" i="13"/>
  <c r="J59" i="13"/>
  <c r="L59" i="13" s="1"/>
  <c r="M59" i="13" s="1"/>
  <c r="O59" i="13" s="1"/>
  <c r="I59" i="13"/>
  <c r="K58" i="13"/>
  <c r="J58" i="13"/>
  <c r="L58" i="13" s="1"/>
  <c r="M58" i="13" s="1"/>
  <c r="O58" i="13" s="1"/>
  <c r="I58" i="13"/>
  <c r="K57" i="13"/>
  <c r="J57" i="13"/>
  <c r="L57" i="13" s="1"/>
  <c r="M57" i="13" s="1"/>
  <c r="O57" i="13" s="1"/>
  <c r="I57" i="13"/>
  <c r="K56" i="13"/>
  <c r="J56" i="13"/>
  <c r="L56" i="13" s="1"/>
  <c r="M56" i="13" s="1"/>
  <c r="O56" i="13" s="1"/>
  <c r="I56" i="13"/>
  <c r="K55" i="13"/>
  <c r="J55" i="13"/>
  <c r="L55" i="13" s="1"/>
  <c r="M55" i="13" s="1"/>
  <c r="O55" i="13" s="1"/>
  <c r="I55" i="13"/>
  <c r="K54" i="13"/>
  <c r="J54" i="13"/>
  <c r="L54" i="13" s="1"/>
  <c r="M54" i="13" s="1"/>
  <c r="O54" i="13" s="1"/>
  <c r="I54" i="13"/>
  <c r="K53" i="13"/>
  <c r="J53" i="13"/>
  <c r="L53" i="13" s="1"/>
  <c r="M53" i="13" s="1"/>
  <c r="O53" i="13" s="1"/>
  <c r="I53" i="13"/>
  <c r="K52" i="13"/>
  <c r="J52" i="13"/>
  <c r="L52" i="13" s="1"/>
  <c r="M52" i="13" s="1"/>
  <c r="O52" i="13" s="1"/>
  <c r="I52" i="13"/>
  <c r="K51" i="13"/>
  <c r="J51" i="13"/>
  <c r="L51" i="13" s="1"/>
  <c r="M51" i="13" s="1"/>
  <c r="O51" i="13" s="1"/>
  <c r="I51" i="13"/>
  <c r="K50" i="13"/>
  <c r="J50" i="13"/>
  <c r="L50" i="13" s="1"/>
  <c r="M50" i="13" s="1"/>
  <c r="O50" i="13" s="1"/>
  <c r="I50" i="13"/>
  <c r="K49" i="13"/>
  <c r="J49" i="13"/>
  <c r="L49" i="13" s="1"/>
  <c r="M49" i="13" s="1"/>
  <c r="O49" i="13" s="1"/>
  <c r="I49" i="13"/>
  <c r="K48" i="13"/>
  <c r="J48" i="13"/>
  <c r="L48" i="13" s="1"/>
  <c r="M48" i="13" s="1"/>
  <c r="O48" i="13" s="1"/>
  <c r="I48" i="13"/>
  <c r="K47" i="13"/>
  <c r="J47" i="13"/>
  <c r="L47" i="13" s="1"/>
  <c r="M47" i="13" s="1"/>
  <c r="O47" i="13" s="1"/>
  <c r="I47" i="13"/>
  <c r="K46" i="13"/>
  <c r="J46" i="13"/>
  <c r="L46" i="13" s="1"/>
  <c r="M46" i="13" s="1"/>
  <c r="O46" i="13" s="1"/>
  <c r="I46" i="13"/>
  <c r="K45" i="13"/>
  <c r="J45" i="13"/>
  <c r="L45" i="13" s="1"/>
  <c r="M45" i="13" s="1"/>
  <c r="O45" i="13" s="1"/>
  <c r="I45" i="13"/>
  <c r="K44" i="13"/>
  <c r="J44" i="13"/>
  <c r="L44" i="13" s="1"/>
  <c r="M44" i="13" s="1"/>
  <c r="O44" i="13" s="1"/>
  <c r="I44" i="13"/>
  <c r="K43" i="13"/>
  <c r="J43" i="13"/>
  <c r="L43" i="13" s="1"/>
  <c r="M43" i="13" s="1"/>
  <c r="O43" i="13" s="1"/>
  <c r="I43" i="13"/>
  <c r="K42" i="13"/>
  <c r="J42" i="13"/>
  <c r="L42" i="13" s="1"/>
  <c r="M42" i="13" s="1"/>
  <c r="O42" i="13" s="1"/>
  <c r="I42" i="13"/>
  <c r="K41" i="13"/>
  <c r="J41" i="13"/>
  <c r="L41" i="13" s="1"/>
  <c r="M41" i="13" s="1"/>
  <c r="O41" i="13" s="1"/>
  <c r="I41" i="13"/>
  <c r="K40" i="13"/>
  <c r="J40" i="13"/>
  <c r="L40" i="13" s="1"/>
  <c r="M40" i="13" s="1"/>
  <c r="O40" i="13" s="1"/>
  <c r="I40" i="13"/>
  <c r="K39" i="13"/>
  <c r="J39" i="13"/>
  <c r="L39" i="13" s="1"/>
  <c r="M39" i="13" s="1"/>
  <c r="O39" i="13" s="1"/>
  <c r="I39" i="13"/>
  <c r="K38" i="13"/>
  <c r="J38" i="13"/>
  <c r="L38" i="13" s="1"/>
  <c r="M38" i="13" s="1"/>
  <c r="O38" i="13" s="1"/>
  <c r="I38" i="13"/>
  <c r="K37" i="13"/>
  <c r="J37" i="13"/>
  <c r="L37" i="13" s="1"/>
  <c r="M37" i="13" s="1"/>
  <c r="O37" i="13" s="1"/>
  <c r="I37" i="13"/>
  <c r="K36" i="13"/>
  <c r="J36" i="13"/>
  <c r="L36" i="13" s="1"/>
  <c r="M36" i="13" s="1"/>
  <c r="O36" i="13" s="1"/>
  <c r="I36" i="13"/>
  <c r="K35" i="13"/>
  <c r="J35" i="13"/>
  <c r="L35" i="13" s="1"/>
  <c r="M35" i="13" s="1"/>
  <c r="O35" i="13" s="1"/>
  <c r="I35" i="13"/>
  <c r="K34" i="13"/>
  <c r="J34" i="13"/>
  <c r="L34" i="13" s="1"/>
  <c r="M34" i="13" s="1"/>
  <c r="O34" i="13" s="1"/>
  <c r="I34" i="13"/>
  <c r="K33" i="13"/>
  <c r="J33" i="13"/>
  <c r="L33" i="13" s="1"/>
  <c r="M33" i="13" s="1"/>
  <c r="O33" i="13" s="1"/>
  <c r="I33" i="13"/>
  <c r="K32" i="13"/>
  <c r="J32" i="13"/>
  <c r="L32" i="13" s="1"/>
  <c r="M32" i="13" s="1"/>
  <c r="O32" i="13" s="1"/>
  <c r="I32" i="13"/>
  <c r="K31" i="13"/>
  <c r="J31" i="13"/>
  <c r="L31" i="13" s="1"/>
  <c r="M31" i="13" s="1"/>
  <c r="O31" i="13" s="1"/>
  <c r="I31" i="13"/>
  <c r="K30" i="13"/>
  <c r="J30" i="13"/>
  <c r="L30" i="13" s="1"/>
  <c r="M30" i="13" s="1"/>
  <c r="O30" i="13" s="1"/>
  <c r="I30" i="13"/>
  <c r="K542" i="13" s="1"/>
  <c r="K29" i="13"/>
  <c r="J29" i="13"/>
  <c r="L29" i="13" s="1"/>
  <c r="M29" i="13" s="1"/>
  <c r="O29" i="13" s="1"/>
  <c r="I29" i="13"/>
  <c r="K28" i="13"/>
  <c r="J28" i="13"/>
  <c r="L28" i="13" s="1"/>
  <c r="M28" i="13" s="1"/>
  <c r="O28" i="13" s="1"/>
  <c r="I28" i="13"/>
  <c r="K27" i="13"/>
  <c r="J27" i="13"/>
  <c r="L27" i="13" s="1"/>
  <c r="M27" i="13" s="1"/>
  <c r="O27" i="13" s="1"/>
  <c r="I27" i="13"/>
  <c r="K26" i="13"/>
  <c r="J26" i="13"/>
  <c r="L26" i="13" s="1"/>
  <c r="M26" i="13" s="1"/>
  <c r="O26" i="13" s="1"/>
  <c r="I26" i="13"/>
  <c r="K25" i="13"/>
  <c r="J25" i="13"/>
  <c r="L25" i="13" s="1"/>
  <c r="M25" i="13" s="1"/>
  <c r="O25" i="13" s="1"/>
  <c r="I25" i="13"/>
  <c r="K24" i="13"/>
  <c r="J24" i="13"/>
  <c r="L24" i="13" s="1"/>
  <c r="M24" i="13" s="1"/>
  <c r="O24" i="13" s="1"/>
  <c r="I24" i="13"/>
  <c r="K23" i="13"/>
  <c r="J23" i="13"/>
  <c r="L23" i="13" s="1"/>
  <c r="M23" i="13" s="1"/>
  <c r="O23" i="13" s="1"/>
  <c r="I23" i="13"/>
  <c r="K22" i="13"/>
  <c r="J22" i="13"/>
  <c r="L22" i="13" s="1"/>
  <c r="M22" i="13" s="1"/>
  <c r="O22" i="13" s="1"/>
  <c r="I22" i="13"/>
  <c r="K21" i="13"/>
  <c r="J21" i="13"/>
  <c r="L21" i="13" s="1"/>
  <c r="M21" i="13" s="1"/>
  <c r="O21" i="13" s="1"/>
  <c r="I21" i="13"/>
  <c r="K20" i="13"/>
  <c r="J20" i="13"/>
  <c r="L20" i="13" s="1"/>
  <c r="M20" i="13" s="1"/>
  <c r="O20" i="13" s="1"/>
  <c r="I20" i="13"/>
  <c r="K19" i="13"/>
  <c r="J19" i="13"/>
  <c r="L19" i="13" s="1"/>
  <c r="M19" i="13" s="1"/>
  <c r="O19" i="13" s="1"/>
  <c r="I19" i="13"/>
  <c r="K18" i="13"/>
  <c r="J18" i="13"/>
  <c r="L18" i="13" s="1"/>
  <c r="M18" i="13" s="1"/>
  <c r="O18" i="13" s="1"/>
  <c r="I18" i="13"/>
  <c r="K17" i="13"/>
  <c r="J17" i="13"/>
  <c r="L17" i="13" s="1"/>
  <c r="M17" i="13" s="1"/>
  <c r="O17" i="13" s="1"/>
  <c r="I17" i="13"/>
  <c r="K16" i="13"/>
  <c r="J16" i="13"/>
  <c r="L16" i="13" s="1"/>
  <c r="M16" i="13" s="1"/>
  <c r="O16" i="13" s="1"/>
  <c r="I16" i="13"/>
  <c r="K15" i="13"/>
  <c r="J15" i="13"/>
  <c r="L15" i="13" s="1"/>
  <c r="M15" i="13" s="1"/>
  <c r="O15" i="13" s="1"/>
  <c r="I15" i="13"/>
  <c r="K14" i="13"/>
  <c r="J14" i="13"/>
  <c r="L14" i="13" s="1"/>
  <c r="M14" i="13" s="1"/>
  <c r="O14" i="13" s="1"/>
  <c r="I14" i="13"/>
  <c r="K13" i="13"/>
  <c r="J13" i="13"/>
  <c r="L13" i="13" s="1"/>
  <c r="M13" i="13" s="1"/>
  <c r="O13" i="13" s="1"/>
  <c r="I13" i="13"/>
  <c r="K12" i="13"/>
  <c r="J12" i="13"/>
  <c r="L12" i="13" s="1"/>
  <c r="M12" i="13" s="1"/>
  <c r="O12" i="13" s="1"/>
  <c r="I12" i="13"/>
  <c r="K11" i="13"/>
  <c r="J11" i="13"/>
  <c r="L11" i="13" s="1"/>
  <c r="M11" i="13" s="1"/>
  <c r="O11" i="13" s="1"/>
  <c r="I11" i="13"/>
  <c r="K10" i="13"/>
  <c r="J10" i="13"/>
  <c r="L10" i="13" s="1"/>
  <c r="M10" i="13" s="1"/>
  <c r="O10" i="13" s="1"/>
  <c r="O541" i="13" s="1"/>
  <c r="I10" i="13"/>
  <c r="K9" i="13"/>
  <c r="J9" i="13"/>
  <c r="I9" i="13"/>
  <c r="K8" i="13"/>
  <c r="J8" i="13"/>
  <c r="I8" i="13"/>
  <c r="K7" i="13"/>
  <c r="J7" i="13"/>
  <c r="I7" i="13"/>
  <c r="K6" i="13"/>
  <c r="J6" i="13"/>
  <c r="L6" i="13" s="1"/>
  <c r="I6" i="13"/>
  <c r="M530" i="8"/>
  <c r="N530" i="8" s="1"/>
  <c r="O530" i="8" s="1"/>
  <c r="L530" i="8"/>
  <c r="K530" i="8"/>
  <c r="M529" i="8"/>
  <c r="N529" i="8" s="1"/>
  <c r="O529" i="8" s="1"/>
  <c r="L529" i="8"/>
  <c r="K529" i="8"/>
  <c r="M528" i="8"/>
  <c r="N528" i="8" s="1"/>
  <c r="O528" i="8" s="1"/>
  <c r="L528" i="8"/>
  <c r="K528" i="8"/>
  <c r="M527" i="8"/>
  <c r="N527" i="8" s="1"/>
  <c r="O527" i="8" s="1"/>
  <c r="L527" i="8"/>
  <c r="K527" i="8"/>
  <c r="M526" i="8"/>
  <c r="N526" i="8" s="1"/>
  <c r="O526" i="8" s="1"/>
  <c r="L526" i="8"/>
  <c r="K526" i="8"/>
  <c r="M525" i="8"/>
  <c r="N525" i="8" s="1"/>
  <c r="O525" i="8" s="1"/>
  <c r="L525" i="8"/>
  <c r="K525" i="8"/>
  <c r="M524" i="8"/>
  <c r="N524" i="8" s="1"/>
  <c r="O524" i="8" s="1"/>
  <c r="L524" i="8"/>
  <c r="K524" i="8"/>
  <c r="M523" i="8"/>
  <c r="N523" i="8" s="1"/>
  <c r="O523" i="8" s="1"/>
  <c r="L523" i="8"/>
  <c r="K523" i="8"/>
  <c r="M522" i="8"/>
  <c r="N522" i="8" s="1"/>
  <c r="O522" i="8" s="1"/>
  <c r="L522" i="8"/>
  <c r="K522" i="8"/>
  <c r="M521" i="8"/>
  <c r="N521" i="8" s="1"/>
  <c r="O521" i="8" s="1"/>
  <c r="L521" i="8"/>
  <c r="K521" i="8"/>
  <c r="M520" i="8"/>
  <c r="N520" i="8" s="1"/>
  <c r="O520" i="8" s="1"/>
  <c r="L520" i="8"/>
  <c r="K520" i="8"/>
  <c r="M519" i="8"/>
  <c r="N519" i="8" s="1"/>
  <c r="O519" i="8" s="1"/>
  <c r="L519" i="8"/>
  <c r="K519" i="8"/>
  <c r="M518" i="8"/>
  <c r="N518" i="8" s="1"/>
  <c r="O518" i="8" s="1"/>
  <c r="L518" i="8"/>
  <c r="K518" i="8"/>
  <c r="M517" i="8"/>
  <c r="N517" i="8" s="1"/>
  <c r="O517" i="8" s="1"/>
  <c r="L517" i="8"/>
  <c r="K517" i="8"/>
  <c r="M516" i="8"/>
  <c r="N516" i="8" s="1"/>
  <c r="O516" i="8" s="1"/>
  <c r="L516" i="8"/>
  <c r="K516" i="8"/>
  <c r="M515" i="8"/>
  <c r="N515" i="8" s="1"/>
  <c r="O515" i="8" s="1"/>
  <c r="L515" i="8"/>
  <c r="K515" i="8"/>
  <c r="M514" i="8"/>
  <c r="N514" i="8" s="1"/>
  <c r="O514" i="8" s="1"/>
  <c r="L514" i="8"/>
  <c r="K514" i="8"/>
  <c r="M513" i="8"/>
  <c r="N513" i="8" s="1"/>
  <c r="O513" i="8" s="1"/>
  <c r="L513" i="8"/>
  <c r="K513" i="8"/>
  <c r="M512" i="8"/>
  <c r="N512" i="8" s="1"/>
  <c r="O512" i="8" s="1"/>
  <c r="L512" i="8"/>
  <c r="K512" i="8"/>
  <c r="M511" i="8"/>
  <c r="N511" i="8" s="1"/>
  <c r="O511" i="8" s="1"/>
  <c r="L511" i="8"/>
  <c r="K511" i="8"/>
  <c r="M510" i="8"/>
  <c r="N510" i="8" s="1"/>
  <c r="O510" i="8" s="1"/>
  <c r="L510" i="8"/>
  <c r="K510" i="8"/>
  <c r="M509" i="8"/>
  <c r="N509" i="8" s="1"/>
  <c r="O509" i="8" s="1"/>
  <c r="L509" i="8"/>
  <c r="K509" i="8"/>
  <c r="M508" i="8"/>
  <c r="N508" i="8" s="1"/>
  <c r="O508" i="8" s="1"/>
  <c r="L508" i="8"/>
  <c r="K508" i="8"/>
  <c r="M507" i="8"/>
  <c r="N507" i="8" s="1"/>
  <c r="O507" i="8" s="1"/>
  <c r="L507" i="8"/>
  <c r="K507" i="8"/>
  <c r="M506" i="8"/>
  <c r="N506" i="8" s="1"/>
  <c r="O506" i="8" s="1"/>
  <c r="L506" i="8"/>
  <c r="K506" i="8"/>
  <c r="M505" i="8"/>
  <c r="N505" i="8" s="1"/>
  <c r="O505" i="8" s="1"/>
  <c r="L505" i="8"/>
  <c r="K505" i="8"/>
  <c r="M504" i="8"/>
  <c r="N504" i="8" s="1"/>
  <c r="O504" i="8" s="1"/>
  <c r="L504" i="8"/>
  <c r="K504" i="8"/>
  <c r="M503" i="8"/>
  <c r="N503" i="8" s="1"/>
  <c r="O503" i="8" s="1"/>
  <c r="L503" i="8"/>
  <c r="K503" i="8"/>
  <c r="M502" i="8"/>
  <c r="N502" i="8" s="1"/>
  <c r="O502" i="8" s="1"/>
  <c r="L502" i="8"/>
  <c r="K502" i="8"/>
  <c r="M501" i="8"/>
  <c r="N501" i="8" s="1"/>
  <c r="O501" i="8" s="1"/>
  <c r="L501" i="8"/>
  <c r="K501" i="8"/>
  <c r="M500" i="8"/>
  <c r="N500" i="8" s="1"/>
  <c r="O500" i="8" s="1"/>
  <c r="L500" i="8"/>
  <c r="K500" i="8"/>
  <c r="M499" i="8"/>
  <c r="N499" i="8" s="1"/>
  <c r="O499" i="8" s="1"/>
  <c r="L499" i="8"/>
  <c r="K499" i="8"/>
  <c r="M498" i="8"/>
  <c r="N498" i="8" s="1"/>
  <c r="O498" i="8" s="1"/>
  <c r="L498" i="8"/>
  <c r="K498" i="8"/>
  <c r="M497" i="8"/>
  <c r="N497" i="8" s="1"/>
  <c r="O497" i="8" s="1"/>
  <c r="L497" i="8"/>
  <c r="K497" i="8"/>
  <c r="M496" i="8"/>
  <c r="N496" i="8" s="1"/>
  <c r="O496" i="8" s="1"/>
  <c r="L496" i="8"/>
  <c r="K496" i="8"/>
  <c r="M495" i="8"/>
  <c r="N495" i="8" s="1"/>
  <c r="O495" i="8" s="1"/>
  <c r="L495" i="8"/>
  <c r="K495" i="8"/>
  <c r="M494" i="8"/>
  <c r="N494" i="8" s="1"/>
  <c r="O494" i="8" s="1"/>
  <c r="L494" i="8"/>
  <c r="K494" i="8"/>
  <c r="M493" i="8"/>
  <c r="N493" i="8" s="1"/>
  <c r="O493" i="8" s="1"/>
  <c r="L493" i="8"/>
  <c r="K493" i="8"/>
  <c r="M492" i="8"/>
  <c r="N492" i="8" s="1"/>
  <c r="O492" i="8" s="1"/>
  <c r="L492" i="8"/>
  <c r="K492" i="8"/>
  <c r="M491" i="8"/>
  <c r="N491" i="8" s="1"/>
  <c r="O491" i="8" s="1"/>
  <c r="L491" i="8"/>
  <c r="K491" i="8"/>
  <c r="M490" i="8"/>
  <c r="N490" i="8" s="1"/>
  <c r="O490" i="8" s="1"/>
  <c r="L490" i="8"/>
  <c r="K490" i="8"/>
  <c r="M489" i="8"/>
  <c r="N489" i="8" s="1"/>
  <c r="O489" i="8" s="1"/>
  <c r="L489" i="8"/>
  <c r="K489" i="8"/>
  <c r="M488" i="8"/>
  <c r="N488" i="8" s="1"/>
  <c r="O488" i="8" s="1"/>
  <c r="L488" i="8"/>
  <c r="K488" i="8"/>
  <c r="M487" i="8"/>
  <c r="N487" i="8" s="1"/>
  <c r="O487" i="8" s="1"/>
  <c r="L487" i="8"/>
  <c r="K487" i="8"/>
  <c r="M486" i="8"/>
  <c r="N486" i="8" s="1"/>
  <c r="O486" i="8" s="1"/>
  <c r="L486" i="8"/>
  <c r="K486" i="8"/>
  <c r="M485" i="8"/>
  <c r="N485" i="8" s="1"/>
  <c r="O485" i="8" s="1"/>
  <c r="L485" i="8"/>
  <c r="K485" i="8"/>
  <c r="M484" i="8"/>
  <c r="N484" i="8" s="1"/>
  <c r="O484" i="8" s="1"/>
  <c r="L484" i="8"/>
  <c r="K484" i="8"/>
  <c r="M483" i="8"/>
  <c r="N483" i="8" s="1"/>
  <c r="O483" i="8" s="1"/>
  <c r="L483" i="8"/>
  <c r="K483" i="8"/>
  <c r="M482" i="8"/>
  <c r="N482" i="8" s="1"/>
  <c r="O482" i="8" s="1"/>
  <c r="L482" i="8"/>
  <c r="K482" i="8"/>
  <c r="M481" i="8"/>
  <c r="N481" i="8" s="1"/>
  <c r="O481" i="8" s="1"/>
  <c r="L481" i="8"/>
  <c r="K481" i="8"/>
  <c r="M480" i="8"/>
  <c r="N480" i="8" s="1"/>
  <c r="O480" i="8" s="1"/>
  <c r="L480" i="8"/>
  <c r="K480" i="8"/>
  <c r="M479" i="8"/>
  <c r="N479" i="8" s="1"/>
  <c r="O479" i="8" s="1"/>
  <c r="L479" i="8"/>
  <c r="K479" i="8"/>
  <c r="M478" i="8"/>
  <c r="N478" i="8" s="1"/>
  <c r="O478" i="8" s="1"/>
  <c r="L478" i="8"/>
  <c r="K478" i="8"/>
  <c r="M477" i="8"/>
  <c r="N477" i="8" s="1"/>
  <c r="O477" i="8" s="1"/>
  <c r="L477" i="8"/>
  <c r="K477" i="8"/>
  <c r="M476" i="8"/>
  <c r="N476" i="8" s="1"/>
  <c r="O476" i="8" s="1"/>
  <c r="L476" i="8"/>
  <c r="K476" i="8"/>
  <c r="M475" i="8"/>
  <c r="N475" i="8" s="1"/>
  <c r="O475" i="8" s="1"/>
  <c r="L475" i="8"/>
  <c r="K475" i="8"/>
  <c r="M474" i="8"/>
  <c r="N474" i="8" s="1"/>
  <c r="O474" i="8" s="1"/>
  <c r="L474" i="8"/>
  <c r="K474" i="8"/>
  <c r="M473" i="8"/>
  <c r="N473" i="8" s="1"/>
  <c r="O473" i="8" s="1"/>
  <c r="L473" i="8"/>
  <c r="K473" i="8"/>
  <c r="M472" i="8"/>
  <c r="N472" i="8" s="1"/>
  <c r="O472" i="8" s="1"/>
  <c r="L472" i="8"/>
  <c r="K472" i="8"/>
  <c r="M471" i="8"/>
  <c r="N471" i="8" s="1"/>
  <c r="O471" i="8" s="1"/>
  <c r="L471" i="8"/>
  <c r="K471" i="8"/>
  <c r="M470" i="8"/>
  <c r="N470" i="8" s="1"/>
  <c r="O470" i="8" s="1"/>
  <c r="L470" i="8"/>
  <c r="K470" i="8"/>
  <c r="M469" i="8"/>
  <c r="N469" i="8" s="1"/>
  <c r="O469" i="8" s="1"/>
  <c r="L469" i="8"/>
  <c r="K469" i="8"/>
  <c r="M468" i="8"/>
  <c r="N468" i="8" s="1"/>
  <c r="O468" i="8" s="1"/>
  <c r="L468" i="8"/>
  <c r="K468" i="8"/>
  <c r="M467" i="8"/>
  <c r="N467" i="8" s="1"/>
  <c r="O467" i="8" s="1"/>
  <c r="L467" i="8"/>
  <c r="K467" i="8"/>
  <c r="M466" i="8"/>
  <c r="N466" i="8" s="1"/>
  <c r="O466" i="8" s="1"/>
  <c r="L466" i="8"/>
  <c r="K466" i="8"/>
  <c r="M465" i="8"/>
  <c r="N465" i="8" s="1"/>
  <c r="O465" i="8" s="1"/>
  <c r="L465" i="8"/>
  <c r="K465" i="8"/>
  <c r="M464" i="8"/>
  <c r="N464" i="8" s="1"/>
  <c r="O464" i="8" s="1"/>
  <c r="L464" i="8"/>
  <c r="K464" i="8"/>
  <c r="M461" i="8"/>
  <c r="N461" i="8" s="1"/>
  <c r="O461" i="8" s="1"/>
  <c r="L461" i="8"/>
  <c r="K461" i="8"/>
  <c r="M460" i="8"/>
  <c r="N460" i="8" s="1"/>
  <c r="O460" i="8" s="1"/>
  <c r="L460" i="8"/>
  <c r="K460" i="8"/>
  <c r="M459" i="8"/>
  <c r="N459" i="8" s="1"/>
  <c r="O459" i="8" s="1"/>
  <c r="L459" i="8"/>
  <c r="K459" i="8"/>
  <c r="M458" i="8"/>
  <c r="N458" i="8" s="1"/>
  <c r="O458" i="8" s="1"/>
  <c r="L458" i="8"/>
  <c r="K458" i="8"/>
  <c r="M457" i="8"/>
  <c r="N457" i="8" s="1"/>
  <c r="O457" i="8" s="1"/>
  <c r="L457" i="8"/>
  <c r="K457" i="8"/>
  <c r="M456" i="8"/>
  <c r="N456" i="8" s="1"/>
  <c r="O456" i="8" s="1"/>
  <c r="L456" i="8"/>
  <c r="K456" i="8"/>
  <c r="M455" i="8"/>
  <c r="N455" i="8" s="1"/>
  <c r="O455" i="8" s="1"/>
  <c r="L455" i="8"/>
  <c r="K455" i="8"/>
  <c r="M454" i="8"/>
  <c r="N454" i="8" s="1"/>
  <c r="O454" i="8" s="1"/>
  <c r="L454" i="8"/>
  <c r="K454" i="8"/>
  <c r="M453" i="8"/>
  <c r="N453" i="8" s="1"/>
  <c r="O453" i="8" s="1"/>
  <c r="L453" i="8"/>
  <c r="K453" i="8"/>
  <c r="M452" i="8"/>
  <c r="N452" i="8" s="1"/>
  <c r="O452" i="8" s="1"/>
  <c r="L452" i="8"/>
  <c r="K452" i="8"/>
  <c r="M451" i="8"/>
  <c r="N451" i="8" s="1"/>
  <c r="O451" i="8" s="1"/>
  <c r="L451" i="8"/>
  <c r="K451" i="8"/>
  <c r="M450" i="8"/>
  <c r="N450" i="8" s="1"/>
  <c r="O450" i="8" s="1"/>
  <c r="L450" i="8"/>
  <c r="K450" i="8"/>
  <c r="M449" i="8"/>
  <c r="N449" i="8" s="1"/>
  <c r="O449" i="8" s="1"/>
  <c r="L449" i="8"/>
  <c r="K449" i="8"/>
  <c r="M448" i="8"/>
  <c r="N448" i="8" s="1"/>
  <c r="O448" i="8" s="1"/>
  <c r="L448" i="8"/>
  <c r="K448" i="8"/>
  <c r="M447" i="8"/>
  <c r="N447" i="8" s="1"/>
  <c r="O447" i="8" s="1"/>
  <c r="L447" i="8"/>
  <c r="K447" i="8"/>
  <c r="M446" i="8"/>
  <c r="N446" i="8" s="1"/>
  <c r="O446" i="8" s="1"/>
  <c r="L446" i="8"/>
  <c r="K446" i="8"/>
  <c r="M445" i="8"/>
  <c r="N445" i="8" s="1"/>
  <c r="O445" i="8" s="1"/>
  <c r="L445" i="8"/>
  <c r="K445" i="8"/>
  <c r="M444" i="8"/>
  <c r="N444" i="8" s="1"/>
  <c r="O444" i="8" s="1"/>
  <c r="L444" i="8"/>
  <c r="K444" i="8"/>
  <c r="M443" i="8"/>
  <c r="N443" i="8" s="1"/>
  <c r="O443" i="8" s="1"/>
  <c r="L443" i="8"/>
  <c r="K443" i="8"/>
  <c r="M442" i="8"/>
  <c r="N442" i="8" s="1"/>
  <c r="O442" i="8" s="1"/>
  <c r="L442" i="8"/>
  <c r="K442" i="8"/>
  <c r="M441" i="8"/>
  <c r="N441" i="8" s="1"/>
  <c r="O441" i="8" s="1"/>
  <c r="L441" i="8"/>
  <c r="K441" i="8"/>
  <c r="M440" i="8"/>
  <c r="N440" i="8" s="1"/>
  <c r="O440" i="8" s="1"/>
  <c r="L440" i="8"/>
  <c r="K440" i="8"/>
  <c r="M439" i="8"/>
  <c r="N439" i="8" s="1"/>
  <c r="O439" i="8" s="1"/>
  <c r="L439" i="8"/>
  <c r="K439" i="8"/>
  <c r="M438" i="8"/>
  <c r="N438" i="8" s="1"/>
  <c r="O438" i="8" s="1"/>
  <c r="L438" i="8"/>
  <c r="K438" i="8"/>
  <c r="M437" i="8"/>
  <c r="N437" i="8" s="1"/>
  <c r="O437" i="8" s="1"/>
  <c r="L437" i="8"/>
  <c r="K437" i="8"/>
  <c r="M436" i="8"/>
  <c r="N436" i="8" s="1"/>
  <c r="O436" i="8" s="1"/>
  <c r="L436" i="8"/>
  <c r="K436" i="8"/>
  <c r="M435" i="8"/>
  <c r="N435" i="8" s="1"/>
  <c r="O435" i="8" s="1"/>
  <c r="L435" i="8"/>
  <c r="K435" i="8"/>
  <c r="M434" i="8"/>
  <c r="N434" i="8" s="1"/>
  <c r="O434" i="8" s="1"/>
  <c r="L434" i="8"/>
  <c r="K434" i="8"/>
  <c r="M433" i="8"/>
  <c r="N433" i="8" s="1"/>
  <c r="O433" i="8" s="1"/>
  <c r="L433" i="8"/>
  <c r="K433" i="8"/>
  <c r="M432" i="8"/>
  <c r="N432" i="8" s="1"/>
  <c r="O432" i="8" s="1"/>
  <c r="L432" i="8"/>
  <c r="K432" i="8"/>
  <c r="M431" i="8"/>
  <c r="N431" i="8" s="1"/>
  <c r="O431" i="8" s="1"/>
  <c r="L431" i="8"/>
  <c r="K431" i="8"/>
  <c r="M430" i="8"/>
  <c r="N430" i="8" s="1"/>
  <c r="O430" i="8" s="1"/>
  <c r="L430" i="8"/>
  <c r="K430" i="8"/>
  <c r="M429" i="8"/>
  <c r="N429" i="8" s="1"/>
  <c r="O429" i="8" s="1"/>
  <c r="L429" i="8"/>
  <c r="K429" i="8"/>
  <c r="M428" i="8"/>
  <c r="N428" i="8" s="1"/>
  <c r="O428" i="8" s="1"/>
  <c r="L428" i="8"/>
  <c r="K428" i="8"/>
  <c r="M427" i="8"/>
  <c r="N427" i="8" s="1"/>
  <c r="O427" i="8" s="1"/>
  <c r="L427" i="8"/>
  <c r="K427" i="8"/>
  <c r="M426" i="8"/>
  <c r="N426" i="8" s="1"/>
  <c r="O426" i="8" s="1"/>
  <c r="L426" i="8"/>
  <c r="K426" i="8"/>
  <c r="M425" i="8"/>
  <c r="N425" i="8" s="1"/>
  <c r="O425" i="8" s="1"/>
  <c r="L425" i="8"/>
  <c r="K425" i="8"/>
  <c r="M424" i="8"/>
  <c r="N424" i="8" s="1"/>
  <c r="O424" i="8" s="1"/>
  <c r="L424" i="8"/>
  <c r="K424" i="8"/>
  <c r="M423" i="8"/>
  <c r="N423" i="8" s="1"/>
  <c r="O423" i="8" s="1"/>
  <c r="L423" i="8"/>
  <c r="K423" i="8"/>
  <c r="M422" i="8"/>
  <c r="N422" i="8" s="1"/>
  <c r="O422" i="8" s="1"/>
  <c r="L422" i="8"/>
  <c r="K422" i="8"/>
  <c r="M421" i="8"/>
  <c r="N421" i="8" s="1"/>
  <c r="O421" i="8" s="1"/>
  <c r="L421" i="8"/>
  <c r="K421" i="8"/>
  <c r="M420" i="8"/>
  <c r="N420" i="8" s="1"/>
  <c r="O420" i="8" s="1"/>
  <c r="L420" i="8"/>
  <c r="K420" i="8"/>
  <c r="M419" i="8"/>
  <c r="N419" i="8" s="1"/>
  <c r="O419" i="8" s="1"/>
  <c r="L419" i="8"/>
  <c r="K419" i="8"/>
  <c r="M418" i="8"/>
  <c r="N418" i="8" s="1"/>
  <c r="O418" i="8" s="1"/>
  <c r="L418" i="8"/>
  <c r="K418" i="8"/>
  <c r="M417" i="8"/>
  <c r="N417" i="8" s="1"/>
  <c r="O417" i="8" s="1"/>
  <c r="L417" i="8"/>
  <c r="K417" i="8"/>
  <c r="M416" i="8"/>
  <c r="N416" i="8" s="1"/>
  <c r="O416" i="8" s="1"/>
  <c r="L416" i="8"/>
  <c r="K416" i="8"/>
  <c r="M415" i="8"/>
  <c r="N415" i="8" s="1"/>
  <c r="O415" i="8" s="1"/>
  <c r="L415" i="8"/>
  <c r="K415" i="8"/>
  <c r="M414" i="8"/>
  <c r="N414" i="8" s="1"/>
  <c r="O414" i="8" s="1"/>
  <c r="L414" i="8"/>
  <c r="K414" i="8"/>
  <c r="M413" i="8"/>
  <c r="N413" i="8" s="1"/>
  <c r="O413" i="8" s="1"/>
  <c r="L413" i="8"/>
  <c r="K413" i="8"/>
  <c r="M412" i="8"/>
  <c r="N412" i="8" s="1"/>
  <c r="O412" i="8" s="1"/>
  <c r="L412" i="8"/>
  <c r="K412" i="8"/>
  <c r="M411" i="8"/>
  <c r="N411" i="8" s="1"/>
  <c r="O411" i="8" s="1"/>
  <c r="L411" i="8"/>
  <c r="K411" i="8"/>
  <c r="M410" i="8"/>
  <c r="N410" i="8" s="1"/>
  <c r="O410" i="8" s="1"/>
  <c r="L410" i="8"/>
  <c r="K410" i="8"/>
  <c r="M409" i="8"/>
  <c r="N409" i="8" s="1"/>
  <c r="O409" i="8" s="1"/>
  <c r="L409" i="8"/>
  <c r="K409" i="8"/>
  <c r="M408" i="8"/>
  <c r="N408" i="8" s="1"/>
  <c r="O408" i="8" s="1"/>
  <c r="L408" i="8"/>
  <c r="K408" i="8"/>
  <c r="M407" i="8"/>
  <c r="N407" i="8" s="1"/>
  <c r="O407" i="8" s="1"/>
  <c r="L407" i="8"/>
  <c r="K407" i="8"/>
  <c r="M405" i="8"/>
  <c r="N405" i="8" s="1"/>
  <c r="O405" i="8" s="1"/>
  <c r="L405" i="8"/>
  <c r="K405" i="8"/>
  <c r="M404" i="8"/>
  <c r="N404" i="8" s="1"/>
  <c r="O404" i="8" s="1"/>
  <c r="L404" i="8"/>
  <c r="K404" i="8"/>
  <c r="M403" i="8"/>
  <c r="N403" i="8" s="1"/>
  <c r="O403" i="8" s="1"/>
  <c r="L403" i="8"/>
  <c r="K403" i="8"/>
  <c r="M402" i="8"/>
  <c r="N402" i="8" s="1"/>
  <c r="O402" i="8" s="1"/>
  <c r="L402" i="8"/>
  <c r="K402" i="8"/>
  <c r="M401" i="8"/>
  <c r="N401" i="8" s="1"/>
  <c r="O401" i="8" s="1"/>
  <c r="L401" i="8"/>
  <c r="K401" i="8"/>
  <c r="M400" i="8"/>
  <c r="N400" i="8" s="1"/>
  <c r="O400" i="8" s="1"/>
  <c r="L400" i="8"/>
  <c r="K400" i="8"/>
  <c r="M399" i="8"/>
  <c r="N399" i="8" s="1"/>
  <c r="O399" i="8" s="1"/>
  <c r="L399" i="8"/>
  <c r="K399" i="8"/>
  <c r="M398" i="8"/>
  <c r="N398" i="8" s="1"/>
  <c r="O398" i="8" s="1"/>
  <c r="L398" i="8"/>
  <c r="K398" i="8"/>
  <c r="M396" i="8"/>
  <c r="N396" i="8" s="1"/>
  <c r="O396" i="8" s="1"/>
  <c r="L396" i="8"/>
  <c r="K396" i="8"/>
  <c r="M395" i="8"/>
  <c r="N395" i="8" s="1"/>
  <c r="O395" i="8" s="1"/>
  <c r="L395" i="8"/>
  <c r="K395" i="8"/>
  <c r="M394" i="8"/>
  <c r="N394" i="8" s="1"/>
  <c r="O394" i="8" s="1"/>
  <c r="L394" i="8"/>
  <c r="K394" i="8"/>
  <c r="M393" i="8"/>
  <c r="N393" i="8" s="1"/>
  <c r="O393" i="8" s="1"/>
  <c r="L393" i="8"/>
  <c r="K393" i="8"/>
  <c r="M392" i="8"/>
  <c r="N392" i="8" s="1"/>
  <c r="O392" i="8" s="1"/>
  <c r="L392" i="8"/>
  <c r="K392" i="8"/>
  <c r="M391" i="8"/>
  <c r="N391" i="8" s="1"/>
  <c r="O391" i="8" s="1"/>
  <c r="L391" i="8"/>
  <c r="K391" i="8"/>
  <c r="M390" i="8"/>
  <c r="N390" i="8" s="1"/>
  <c r="O390" i="8" s="1"/>
  <c r="L390" i="8"/>
  <c r="K390" i="8"/>
  <c r="M389" i="8"/>
  <c r="N389" i="8" s="1"/>
  <c r="O389" i="8" s="1"/>
  <c r="L389" i="8"/>
  <c r="K389" i="8"/>
  <c r="M388" i="8"/>
  <c r="N388" i="8" s="1"/>
  <c r="O388" i="8" s="1"/>
  <c r="L388" i="8"/>
  <c r="K388" i="8"/>
  <c r="M387" i="8"/>
  <c r="N387" i="8" s="1"/>
  <c r="O387" i="8" s="1"/>
  <c r="L387" i="8"/>
  <c r="K387" i="8"/>
  <c r="M386" i="8"/>
  <c r="N386" i="8" s="1"/>
  <c r="O386" i="8" s="1"/>
  <c r="L386" i="8"/>
  <c r="K386" i="8"/>
  <c r="M385" i="8"/>
  <c r="N385" i="8" s="1"/>
  <c r="O385" i="8" s="1"/>
  <c r="L385" i="8"/>
  <c r="K385" i="8"/>
  <c r="M384" i="8"/>
  <c r="N384" i="8" s="1"/>
  <c r="O384" i="8" s="1"/>
  <c r="L384" i="8"/>
  <c r="K384" i="8"/>
  <c r="M383" i="8"/>
  <c r="N383" i="8" s="1"/>
  <c r="O383" i="8" s="1"/>
  <c r="L383" i="8"/>
  <c r="K383" i="8"/>
  <c r="M382" i="8"/>
  <c r="N382" i="8" s="1"/>
  <c r="O382" i="8" s="1"/>
  <c r="L382" i="8"/>
  <c r="K382" i="8"/>
  <c r="M381" i="8"/>
  <c r="N381" i="8" s="1"/>
  <c r="O381" i="8" s="1"/>
  <c r="L381" i="8"/>
  <c r="K381" i="8"/>
  <c r="M380" i="8"/>
  <c r="N380" i="8" s="1"/>
  <c r="O380" i="8" s="1"/>
  <c r="L380" i="8"/>
  <c r="K380" i="8"/>
  <c r="M379" i="8"/>
  <c r="N379" i="8" s="1"/>
  <c r="O379" i="8" s="1"/>
  <c r="L379" i="8"/>
  <c r="K379" i="8"/>
  <c r="M378" i="8"/>
  <c r="N378" i="8" s="1"/>
  <c r="O378" i="8" s="1"/>
  <c r="L378" i="8"/>
  <c r="K378" i="8"/>
  <c r="M377" i="8"/>
  <c r="N377" i="8" s="1"/>
  <c r="O377" i="8" s="1"/>
  <c r="L377" i="8"/>
  <c r="K377" i="8"/>
  <c r="M376" i="8"/>
  <c r="N376" i="8" s="1"/>
  <c r="O376" i="8" s="1"/>
  <c r="L376" i="8"/>
  <c r="K376" i="8"/>
  <c r="M374" i="8"/>
  <c r="N374" i="8" s="1"/>
  <c r="O374" i="8" s="1"/>
  <c r="L374" i="8"/>
  <c r="K374" i="8"/>
  <c r="M373" i="8"/>
  <c r="N373" i="8" s="1"/>
  <c r="O373" i="8" s="1"/>
  <c r="L373" i="8"/>
  <c r="K373" i="8"/>
  <c r="M372" i="8"/>
  <c r="N372" i="8" s="1"/>
  <c r="O372" i="8" s="1"/>
  <c r="L372" i="8"/>
  <c r="K372" i="8"/>
  <c r="M371" i="8"/>
  <c r="N371" i="8" s="1"/>
  <c r="O371" i="8" s="1"/>
  <c r="L371" i="8"/>
  <c r="K371" i="8"/>
  <c r="M368" i="8"/>
  <c r="N368" i="8" s="1"/>
  <c r="O368" i="8" s="1"/>
  <c r="L368" i="8"/>
  <c r="K368" i="8"/>
  <c r="M367" i="8"/>
  <c r="N367" i="8" s="1"/>
  <c r="O367" i="8" s="1"/>
  <c r="L367" i="8"/>
  <c r="K367" i="8"/>
  <c r="M366" i="8"/>
  <c r="N366" i="8" s="1"/>
  <c r="O366" i="8" s="1"/>
  <c r="L366" i="8"/>
  <c r="K366" i="8"/>
  <c r="M365" i="8"/>
  <c r="N365" i="8" s="1"/>
  <c r="O365" i="8" s="1"/>
  <c r="L365" i="8"/>
  <c r="K365" i="8"/>
  <c r="M363" i="8"/>
  <c r="N363" i="8" s="1"/>
  <c r="O363" i="8" s="1"/>
  <c r="L363" i="8"/>
  <c r="K363" i="8"/>
  <c r="M362" i="8"/>
  <c r="N362" i="8" s="1"/>
  <c r="O362" i="8" s="1"/>
  <c r="L362" i="8"/>
  <c r="K362" i="8"/>
  <c r="M359" i="8"/>
  <c r="N359" i="8" s="1"/>
  <c r="O359" i="8" s="1"/>
  <c r="L359" i="8"/>
  <c r="K359" i="8"/>
  <c r="M358" i="8"/>
  <c r="N358" i="8" s="1"/>
  <c r="O358" i="8" s="1"/>
  <c r="L358" i="8"/>
  <c r="K358" i="8"/>
  <c r="M357" i="8"/>
  <c r="N357" i="8" s="1"/>
  <c r="O357" i="8" s="1"/>
  <c r="L357" i="8"/>
  <c r="K357" i="8"/>
  <c r="M356" i="8"/>
  <c r="N356" i="8" s="1"/>
  <c r="O356" i="8" s="1"/>
  <c r="L356" i="8"/>
  <c r="K356" i="8"/>
  <c r="M351" i="8"/>
  <c r="N351" i="8" s="1"/>
  <c r="O351" i="8" s="1"/>
  <c r="L351" i="8"/>
  <c r="K351" i="8"/>
  <c r="M350" i="8"/>
  <c r="N350" i="8" s="1"/>
  <c r="O350" i="8" s="1"/>
  <c r="L350" i="8"/>
  <c r="K350" i="8"/>
  <c r="M346" i="8"/>
  <c r="N346" i="8" s="1"/>
  <c r="O346" i="8" s="1"/>
  <c r="L346" i="8"/>
  <c r="K346" i="8"/>
  <c r="M343" i="8"/>
  <c r="N343" i="8" s="1"/>
  <c r="O343" i="8" s="1"/>
  <c r="L343" i="8"/>
  <c r="K343" i="8"/>
  <c r="M342" i="8"/>
  <c r="N342" i="8" s="1"/>
  <c r="O342" i="8" s="1"/>
  <c r="L342" i="8"/>
  <c r="K342" i="8"/>
  <c r="M341" i="8"/>
  <c r="N341" i="8" s="1"/>
  <c r="O341" i="8" s="1"/>
  <c r="L341" i="8"/>
  <c r="K341" i="8"/>
  <c r="M340" i="8"/>
  <c r="N340" i="8" s="1"/>
  <c r="O340" i="8" s="1"/>
  <c r="L340" i="8"/>
  <c r="K340" i="8"/>
  <c r="M339" i="8"/>
  <c r="N339" i="8" s="1"/>
  <c r="O339" i="8" s="1"/>
  <c r="L339" i="8"/>
  <c r="K339" i="8"/>
  <c r="M338" i="8"/>
  <c r="N338" i="8" s="1"/>
  <c r="O338" i="8" s="1"/>
  <c r="L338" i="8"/>
  <c r="K338" i="8"/>
  <c r="M337" i="8"/>
  <c r="N337" i="8" s="1"/>
  <c r="O337" i="8" s="1"/>
  <c r="L337" i="8"/>
  <c r="K337" i="8"/>
  <c r="M336" i="8"/>
  <c r="N336" i="8" s="1"/>
  <c r="O336" i="8" s="1"/>
  <c r="L336" i="8"/>
  <c r="K336" i="8"/>
  <c r="M334" i="8"/>
  <c r="N334" i="8" s="1"/>
  <c r="O334" i="8" s="1"/>
  <c r="L334" i="8"/>
  <c r="K334" i="8"/>
  <c r="M333" i="8"/>
  <c r="N333" i="8" s="1"/>
  <c r="O333" i="8" s="1"/>
  <c r="L333" i="8"/>
  <c r="K333" i="8"/>
  <c r="M331" i="8"/>
  <c r="N331" i="8" s="1"/>
  <c r="O331" i="8" s="1"/>
  <c r="L331" i="8"/>
  <c r="K331" i="8"/>
  <c r="M330" i="8"/>
  <c r="N330" i="8" s="1"/>
  <c r="O330" i="8" s="1"/>
  <c r="L330" i="8"/>
  <c r="K330" i="8"/>
  <c r="M329" i="8"/>
  <c r="N329" i="8" s="1"/>
  <c r="O329" i="8" s="1"/>
  <c r="L329" i="8"/>
  <c r="K329" i="8"/>
  <c r="M328" i="8"/>
  <c r="N328" i="8" s="1"/>
  <c r="O328" i="8" s="1"/>
  <c r="L328" i="8"/>
  <c r="K328" i="8"/>
  <c r="M327" i="8"/>
  <c r="N327" i="8" s="1"/>
  <c r="O327" i="8" s="1"/>
  <c r="L327" i="8"/>
  <c r="K327" i="8"/>
  <c r="M326" i="8"/>
  <c r="N326" i="8" s="1"/>
  <c r="O326" i="8" s="1"/>
  <c r="L326" i="8"/>
  <c r="K326" i="8"/>
  <c r="M325" i="8"/>
  <c r="N325" i="8" s="1"/>
  <c r="O325" i="8" s="1"/>
  <c r="L325" i="8"/>
  <c r="K325" i="8"/>
  <c r="M324" i="8"/>
  <c r="N324" i="8" s="1"/>
  <c r="O324" i="8" s="1"/>
  <c r="L324" i="8"/>
  <c r="K324" i="8"/>
  <c r="M323" i="8"/>
  <c r="N323" i="8" s="1"/>
  <c r="O323" i="8" s="1"/>
  <c r="L323" i="8"/>
  <c r="K323" i="8"/>
  <c r="M322" i="8"/>
  <c r="N322" i="8" s="1"/>
  <c r="O322" i="8" s="1"/>
  <c r="L322" i="8"/>
  <c r="K322" i="8"/>
  <c r="M321" i="8"/>
  <c r="N321" i="8" s="1"/>
  <c r="O321" i="8" s="1"/>
  <c r="L321" i="8"/>
  <c r="K321" i="8"/>
  <c r="M320" i="8"/>
  <c r="N320" i="8" s="1"/>
  <c r="O320" i="8" s="1"/>
  <c r="L320" i="8"/>
  <c r="K320" i="8"/>
  <c r="M317" i="8"/>
  <c r="N317" i="8" s="1"/>
  <c r="O317" i="8" s="1"/>
  <c r="L317" i="8"/>
  <c r="K317" i="8"/>
  <c r="M316" i="8"/>
  <c r="N316" i="8" s="1"/>
  <c r="O316" i="8" s="1"/>
  <c r="L316" i="8"/>
  <c r="K316" i="8"/>
  <c r="M315" i="8"/>
  <c r="N315" i="8" s="1"/>
  <c r="O315" i="8" s="1"/>
  <c r="L315" i="8"/>
  <c r="K315" i="8"/>
  <c r="M313" i="8"/>
  <c r="N313" i="8" s="1"/>
  <c r="O313" i="8" s="1"/>
  <c r="L313" i="8"/>
  <c r="K313" i="8"/>
  <c r="M311" i="8"/>
  <c r="N311" i="8" s="1"/>
  <c r="O311" i="8" s="1"/>
  <c r="L311" i="8"/>
  <c r="K311" i="8"/>
  <c r="M310" i="8"/>
  <c r="N310" i="8" s="1"/>
  <c r="O310" i="8" s="1"/>
  <c r="L310" i="8"/>
  <c r="K310" i="8"/>
  <c r="M308" i="8"/>
  <c r="N308" i="8" s="1"/>
  <c r="O308" i="8" s="1"/>
  <c r="L308" i="8"/>
  <c r="K308" i="8"/>
  <c r="M307" i="8"/>
  <c r="N307" i="8" s="1"/>
  <c r="O307" i="8" s="1"/>
  <c r="L307" i="8"/>
  <c r="K307" i="8"/>
  <c r="M306" i="8"/>
  <c r="N306" i="8" s="1"/>
  <c r="O306" i="8" s="1"/>
  <c r="L306" i="8"/>
  <c r="K306" i="8"/>
  <c r="M305" i="8"/>
  <c r="N305" i="8" s="1"/>
  <c r="O305" i="8" s="1"/>
  <c r="L305" i="8"/>
  <c r="K305" i="8"/>
  <c r="M304" i="8"/>
  <c r="N304" i="8" s="1"/>
  <c r="O304" i="8" s="1"/>
  <c r="L304" i="8"/>
  <c r="K304" i="8"/>
  <c r="M303" i="8"/>
  <c r="N303" i="8" s="1"/>
  <c r="O303" i="8" s="1"/>
  <c r="L303" i="8"/>
  <c r="K303" i="8"/>
  <c r="M302" i="8"/>
  <c r="N302" i="8" s="1"/>
  <c r="O302" i="8" s="1"/>
  <c r="L302" i="8"/>
  <c r="K302" i="8"/>
  <c r="M301" i="8"/>
  <c r="N301" i="8" s="1"/>
  <c r="O301" i="8" s="1"/>
  <c r="L301" i="8"/>
  <c r="K301" i="8"/>
  <c r="M300" i="8"/>
  <c r="N300" i="8" s="1"/>
  <c r="O300" i="8" s="1"/>
  <c r="L300" i="8"/>
  <c r="K300" i="8"/>
  <c r="M298" i="8"/>
  <c r="N298" i="8" s="1"/>
  <c r="O298" i="8" s="1"/>
  <c r="L298" i="8"/>
  <c r="K298" i="8"/>
  <c r="M297" i="8"/>
  <c r="N297" i="8" s="1"/>
  <c r="O297" i="8" s="1"/>
  <c r="L297" i="8"/>
  <c r="K297" i="8"/>
  <c r="M295" i="8"/>
  <c r="N295" i="8" s="1"/>
  <c r="O295" i="8" s="1"/>
  <c r="L295" i="8"/>
  <c r="K295" i="8"/>
  <c r="M294" i="8"/>
  <c r="N294" i="8" s="1"/>
  <c r="O294" i="8" s="1"/>
  <c r="L294" i="8"/>
  <c r="K294" i="8"/>
  <c r="M293" i="8"/>
  <c r="N293" i="8" s="1"/>
  <c r="O293" i="8" s="1"/>
  <c r="L293" i="8"/>
  <c r="K293" i="8"/>
  <c r="M292" i="8"/>
  <c r="N292" i="8" s="1"/>
  <c r="O292" i="8" s="1"/>
  <c r="L292" i="8"/>
  <c r="K292" i="8"/>
  <c r="M291" i="8"/>
  <c r="N291" i="8" s="1"/>
  <c r="O291" i="8" s="1"/>
  <c r="L291" i="8"/>
  <c r="K291" i="8"/>
  <c r="M290" i="8"/>
  <c r="N290" i="8" s="1"/>
  <c r="O290" i="8" s="1"/>
  <c r="L290" i="8"/>
  <c r="K290" i="8"/>
  <c r="M289" i="8"/>
  <c r="N289" i="8" s="1"/>
  <c r="O289" i="8" s="1"/>
  <c r="L289" i="8"/>
  <c r="K289" i="8"/>
  <c r="M288" i="8"/>
  <c r="N288" i="8" s="1"/>
  <c r="O288" i="8" s="1"/>
  <c r="L288" i="8"/>
  <c r="K288" i="8"/>
  <c r="M287" i="8"/>
  <c r="N287" i="8" s="1"/>
  <c r="O287" i="8" s="1"/>
  <c r="L287" i="8"/>
  <c r="K287" i="8"/>
  <c r="M286" i="8"/>
  <c r="N286" i="8" s="1"/>
  <c r="O286" i="8" s="1"/>
  <c r="L286" i="8"/>
  <c r="K286" i="8"/>
  <c r="M285" i="8"/>
  <c r="N285" i="8" s="1"/>
  <c r="O285" i="8" s="1"/>
  <c r="L285" i="8"/>
  <c r="K285" i="8"/>
  <c r="M284" i="8"/>
  <c r="N284" i="8" s="1"/>
  <c r="O284" i="8" s="1"/>
  <c r="L284" i="8"/>
  <c r="K284" i="8"/>
  <c r="M283" i="8"/>
  <c r="N283" i="8" s="1"/>
  <c r="O283" i="8" s="1"/>
  <c r="L283" i="8"/>
  <c r="K283" i="8"/>
  <c r="M282" i="8"/>
  <c r="N282" i="8" s="1"/>
  <c r="O282" i="8" s="1"/>
  <c r="L282" i="8"/>
  <c r="K282" i="8"/>
  <c r="M281" i="8"/>
  <c r="N281" i="8" s="1"/>
  <c r="O281" i="8" s="1"/>
  <c r="L281" i="8"/>
  <c r="K281" i="8"/>
  <c r="M280" i="8"/>
  <c r="N280" i="8" s="1"/>
  <c r="O280" i="8" s="1"/>
  <c r="L280" i="8"/>
  <c r="K280" i="8"/>
  <c r="M279" i="8"/>
  <c r="N279" i="8" s="1"/>
  <c r="O279" i="8" s="1"/>
  <c r="L279" i="8"/>
  <c r="K279" i="8"/>
  <c r="M278" i="8"/>
  <c r="N278" i="8" s="1"/>
  <c r="O278" i="8" s="1"/>
  <c r="L278" i="8"/>
  <c r="K278" i="8"/>
  <c r="M277" i="8"/>
  <c r="N277" i="8" s="1"/>
  <c r="O277" i="8" s="1"/>
  <c r="L277" i="8"/>
  <c r="K277" i="8"/>
  <c r="M276" i="8"/>
  <c r="N276" i="8" s="1"/>
  <c r="O276" i="8" s="1"/>
  <c r="L276" i="8"/>
  <c r="K276" i="8"/>
  <c r="M275" i="8"/>
  <c r="N275" i="8" s="1"/>
  <c r="O275" i="8" s="1"/>
  <c r="L275" i="8"/>
  <c r="K275" i="8"/>
  <c r="M274" i="8"/>
  <c r="N274" i="8" s="1"/>
  <c r="O274" i="8" s="1"/>
  <c r="L274" i="8"/>
  <c r="K274" i="8"/>
  <c r="M273" i="8"/>
  <c r="N273" i="8" s="1"/>
  <c r="O273" i="8" s="1"/>
  <c r="L273" i="8"/>
  <c r="K273" i="8"/>
  <c r="M272" i="8"/>
  <c r="N272" i="8" s="1"/>
  <c r="O272" i="8" s="1"/>
  <c r="L272" i="8"/>
  <c r="K272" i="8"/>
  <c r="M271" i="8"/>
  <c r="N271" i="8" s="1"/>
  <c r="O271" i="8" s="1"/>
  <c r="L271" i="8"/>
  <c r="K271" i="8"/>
  <c r="M270" i="8"/>
  <c r="N270" i="8" s="1"/>
  <c r="O270" i="8" s="1"/>
  <c r="L270" i="8"/>
  <c r="K270" i="8"/>
  <c r="M269" i="8"/>
  <c r="N269" i="8" s="1"/>
  <c r="O269" i="8" s="1"/>
  <c r="L269" i="8"/>
  <c r="K269" i="8"/>
  <c r="M268" i="8"/>
  <c r="N268" i="8" s="1"/>
  <c r="O268" i="8" s="1"/>
  <c r="L268" i="8"/>
  <c r="K268" i="8"/>
  <c r="M267" i="8"/>
  <c r="N267" i="8" s="1"/>
  <c r="O267" i="8" s="1"/>
  <c r="L267" i="8"/>
  <c r="K267" i="8"/>
  <c r="M266" i="8"/>
  <c r="N266" i="8" s="1"/>
  <c r="O266" i="8" s="1"/>
  <c r="L266" i="8"/>
  <c r="K266" i="8"/>
  <c r="M265" i="8"/>
  <c r="N265" i="8" s="1"/>
  <c r="O265" i="8" s="1"/>
  <c r="L265" i="8"/>
  <c r="K265" i="8"/>
  <c r="M264" i="8"/>
  <c r="N264" i="8" s="1"/>
  <c r="O264" i="8" s="1"/>
  <c r="L264" i="8"/>
  <c r="K264" i="8"/>
  <c r="M263" i="8"/>
  <c r="N263" i="8" s="1"/>
  <c r="O263" i="8" s="1"/>
  <c r="L263" i="8"/>
  <c r="K263" i="8"/>
  <c r="M262" i="8"/>
  <c r="N262" i="8" s="1"/>
  <c r="O262" i="8" s="1"/>
  <c r="L262" i="8"/>
  <c r="K262" i="8"/>
  <c r="M261" i="8"/>
  <c r="N261" i="8" s="1"/>
  <c r="O261" i="8" s="1"/>
  <c r="L261" i="8"/>
  <c r="K261" i="8"/>
  <c r="M260" i="8"/>
  <c r="N260" i="8" s="1"/>
  <c r="O260" i="8" s="1"/>
  <c r="L260" i="8"/>
  <c r="K260" i="8"/>
  <c r="M259" i="8"/>
  <c r="N259" i="8" s="1"/>
  <c r="O259" i="8" s="1"/>
  <c r="L259" i="8"/>
  <c r="K259" i="8"/>
  <c r="M258" i="8"/>
  <c r="N258" i="8" s="1"/>
  <c r="O258" i="8" s="1"/>
  <c r="L258" i="8"/>
  <c r="K258" i="8"/>
  <c r="M257" i="8"/>
  <c r="N257" i="8" s="1"/>
  <c r="O257" i="8" s="1"/>
  <c r="L257" i="8"/>
  <c r="K257" i="8"/>
  <c r="M256" i="8"/>
  <c r="N256" i="8" s="1"/>
  <c r="O256" i="8" s="1"/>
  <c r="L256" i="8"/>
  <c r="K256" i="8"/>
  <c r="M255" i="8"/>
  <c r="N255" i="8" s="1"/>
  <c r="O255" i="8" s="1"/>
  <c r="L255" i="8"/>
  <c r="K255" i="8"/>
  <c r="M254" i="8"/>
  <c r="N254" i="8" s="1"/>
  <c r="O254" i="8" s="1"/>
  <c r="L254" i="8"/>
  <c r="K254" i="8"/>
  <c r="M253" i="8"/>
  <c r="N253" i="8" s="1"/>
  <c r="O253" i="8" s="1"/>
  <c r="L253" i="8"/>
  <c r="K253" i="8"/>
  <c r="M252" i="8"/>
  <c r="N252" i="8" s="1"/>
  <c r="O252" i="8" s="1"/>
  <c r="L252" i="8"/>
  <c r="K252" i="8"/>
  <c r="M251" i="8"/>
  <c r="N251" i="8" s="1"/>
  <c r="O251" i="8" s="1"/>
  <c r="L251" i="8"/>
  <c r="K251" i="8"/>
  <c r="M250" i="8"/>
  <c r="N250" i="8" s="1"/>
  <c r="O250" i="8" s="1"/>
  <c r="L250" i="8"/>
  <c r="K250" i="8"/>
  <c r="M249" i="8"/>
  <c r="N249" i="8" s="1"/>
  <c r="O249" i="8" s="1"/>
  <c r="L249" i="8"/>
  <c r="K249" i="8"/>
  <c r="M248" i="8"/>
  <c r="N248" i="8" s="1"/>
  <c r="O248" i="8" s="1"/>
  <c r="L248" i="8"/>
  <c r="K248" i="8"/>
  <c r="M247" i="8"/>
  <c r="N247" i="8" s="1"/>
  <c r="O247" i="8" s="1"/>
  <c r="L247" i="8"/>
  <c r="K247" i="8"/>
  <c r="M246" i="8"/>
  <c r="N246" i="8" s="1"/>
  <c r="O246" i="8" s="1"/>
  <c r="L246" i="8"/>
  <c r="K246" i="8"/>
  <c r="M245" i="8"/>
  <c r="N245" i="8" s="1"/>
  <c r="O245" i="8" s="1"/>
  <c r="L245" i="8"/>
  <c r="K245" i="8"/>
  <c r="M244" i="8"/>
  <c r="N244" i="8" s="1"/>
  <c r="O244" i="8" s="1"/>
  <c r="L244" i="8"/>
  <c r="K244" i="8"/>
  <c r="M243" i="8"/>
  <c r="N243" i="8" s="1"/>
  <c r="O243" i="8" s="1"/>
  <c r="L243" i="8"/>
  <c r="K243" i="8"/>
  <c r="M242" i="8"/>
  <c r="N242" i="8" s="1"/>
  <c r="O242" i="8" s="1"/>
  <c r="L242" i="8"/>
  <c r="K242" i="8"/>
  <c r="M241" i="8"/>
  <c r="N241" i="8" s="1"/>
  <c r="O241" i="8" s="1"/>
  <c r="L241" i="8"/>
  <c r="K241" i="8"/>
  <c r="M240" i="8"/>
  <c r="N240" i="8" s="1"/>
  <c r="O240" i="8" s="1"/>
  <c r="L240" i="8"/>
  <c r="K240" i="8"/>
  <c r="M239" i="8"/>
  <c r="N239" i="8" s="1"/>
  <c r="O239" i="8" s="1"/>
  <c r="L239" i="8"/>
  <c r="K239" i="8"/>
  <c r="M238" i="8"/>
  <c r="N238" i="8" s="1"/>
  <c r="O238" i="8" s="1"/>
  <c r="L238" i="8"/>
  <c r="K238" i="8"/>
  <c r="M237" i="8"/>
  <c r="N237" i="8" s="1"/>
  <c r="O237" i="8" s="1"/>
  <c r="L237" i="8"/>
  <c r="K237" i="8"/>
  <c r="M236" i="8"/>
  <c r="N236" i="8" s="1"/>
  <c r="O236" i="8" s="1"/>
  <c r="L236" i="8"/>
  <c r="K236" i="8"/>
  <c r="M235" i="8"/>
  <c r="N235" i="8" s="1"/>
  <c r="O235" i="8" s="1"/>
  <c r="L235" i="8"/>
  <c r="K235" i="8"/>
  <c r="M234" i="8"/>
  <c r="N234" i="8" s="1"/>
  <c r="O234" i="8" s="1"/>
  <c r="L234" i="8"/>
  <c r="K234" i="8"/>
  <c r="M233" i="8"/>
  <c r="N233" i="8" s="1"/>
  <c r="O233" i="8" s="1"/>
  <c r="L233" i="8"/>
  <c r="K233" i="8"/>
  <c r="M230" i="8"/>
  <c r="N230" i="8" s="1"/>
  <c r="O230" i="8" s="1"/>
  <c r="L230" i="8"/>
  <c r="K230" i="8"/>
  <c r="M229" i="8"/>
  <c r="N229" i="8" s="1"/>
  <c r="O229" i="8" s="1"/>
  <c r="L229" i="8"/>
  <c r="K229" i="8"/>
  <c r="M228" i="8"/>
  <c r="N228" i="8" s="1"/>
  <c r="O228" i="8" s="1"/>
  <c r="L228" i="8"/>
  <c r="K228" i="8"/>
  <c r="M227" i="8"/>
  <c r="N227" i="8" s="1"/>
  <c r="O227" i="8" s="1"/>
  <c r="L227" i="8"/>
  <c r="K227" i="8"/>
  <c r="M226" i="8"/>
  <c r="N226" i="8" s="1"/>
  <c r="O226" i="8" s="1"/>
  <c r="L226" i="8"/>
  <c r="K226" i="8"/>
  <c r="M225" i="8"/>
  <c r="N225" i="8" s="1"/>
  <c r="O225" i="8" s="1"/>
  <c r="L225" i="8"/>
  <c r="K225" i="8"/>
  <c r="M224" i="8"/>
  <c r="N224" i="8" s="1"/>
  <c r="O224" i="8" s="1"/>
  <c r="L224" i="8"/>
  <c r="K224" i="8"/>
  <c r="M223" i="8"/>
  <c r="N223" i="8" s="1"/>
  <c r="O223" i="8" s="1"/>
  <c r="L223" i="8"/>
  <c r="K223" i="8"/>
  <c r="M222" i="8"/>
  <c r="N222" i="8" s="1"/>
  <c r="O222" i="8" s="1"/>
  <c r="L222" i="8"/>
  <c r="K222" i="8"/>
  <c r="M221" i="8"/>
  <c r="N221" i="8" s="1"/>
  <c r="O221" i="8" s="1"/>
  <c r="L221" i="8"/>
  <c r="K221" i="8"/>
  <c r="M220" i="8"/>
  <c r="N220" i="8" s="1"/>
  <c r="O220" i="8" s="1"/>
  <c r="L220" i="8"/>
  <c r="K220" i="8"/>
  <c r="M219" i="8"/>
  <c r="N219" i="8" s="1"/>
  <c r="O219" i="8" s="1"/>
  <c r="L219" i="8"/>
  <c r="K219" i="8"/>
  <c r="M218" i="8"/>
  <c r="N218" i="8" s="1"/>
  <c r="O218" i="8" s="1"/>
  <c r="L218" i="8"/>
  <c r="K218" i="8"/>
  <c r="M217" i="8"/>
  <c r="N217" i="8" s="1"/>
  <c r="O217" i="8" s="1"/>
  <c r="L217" i="8"/>
  <c r="K217" i="8"/>
  <c r="M216" i="8"/>
  <c r="N216" i="8" s="1"/>
  <c r="O216" i="8" s="1"/>
  <c r="L216" i="8"/>
  <c r="K216" i="8"/>
  <c r="M215" i="8"/>
  <c r="N215" i="8" s="1"/>
  <c r="O215" i="8" s="1"/>
  <c r="L215" i="8"/>
  <c r="K215" i="8"/>
  <c r="M214" i="8"/>
  <c r="N214" i="8" s="1"/>
  <c r="O214" i="8" s="1"/>
  <c r="L214" i="8"/>
  <c r="K214" i="8"/>
  <c r="M213" i="8"/>
  <c r="N213" i="8" s="1"/>
  <c r="O213" i="8" s="1"/>
  <c r="L213" i="8"/>
  <c r="K213" i="8"/>
  <c r="M212" i="8"/>
  <c r="N212" i="8" s="1"/>
  <c r="O212" i="8" s="1"/>
  <c r="L212" i="8"/>
  <c r="K212" i="8"/>
  <c r="M211" i="8"/>
  <c r="N211" i="8" s="1"/>
  <c r="O211" i="8" s="1"/>
  <c r="L211" i="8"/>
  <c r="K211" i="8"/>
  <c r="M210" i="8"/>
  <c r="N210" i="8" s="1"/>
  <c r="O210" i="8" s="1"/>
  <c r="L210" i="8"/>
  <c r="K210" i="8"/>
  <c r="M209" i="8"/>
  <c r="N209" i="8" s="1"/>
  <c r="O209" i="8" s="1"/>
  <c r="L209" i="8"/>
  <c r="K209" i="8"/>
  <c r="M208" i="8"/>
  <c r="N208" i="8" s="1"/>
  <c r="O208" i="8" s="1"/>
  <c r="L208" i="8"/>
  <c r="K208" i="8"/>
  <c r="M207" i="8"/>
  <c r="N207" i="8" s="1"/>
  <c r="O207" i="8" s="1"/>
  <c r="L207" i="8"/>
  <c r="K207" i="8"/>
  <c r="M206" i="8"/>
  <c r="N206" i="8" s="1"/>
  <c r="O206" i="8" s="1"/>
  <c r="L206" i="8"/>
  <c r="K206" i="8"/>
  <c r="M205" i="8"/>
  <c r="N205" i="8" s="1"/>
  <c r="O205" i="8" s="1"/>
  <c r="L205" i="8"/>
  <c r="K205" i="8"/>
  <c r="M204" i="8"/>
  <c r="N204" i="8" s="1"/>
  <c r="O204" i="8" s="1"/>
  <c r="L204" i="8"/>
  <c r="K204" i="8"/>
  <c r="M203" i="8"/>
  <c r="N203" i="8" s="1"/>
  <c r="O203" i="8" s="1"/>
  <c r="L203" i="8"/>
  <c r="K203" i="8"/>
  <c r="M202" i="8"/>
  <c r="N202" i="8" s="1"/>
  <c r="O202" i="8" s="1"/>
  <c r="L202" i="8"/>
  <c r="K202" i="8"/>
  <c r="M201" i="8"/>
  <c r="N201" i="8" s="1"/>
  <c r="O201" i="8" s="1"/>
  <c r="L201" i="8"/>
  <c r="K201" i="8"/>
  <c r="M200" i="8"/>
  <c r="N200" i="8" s="1"/>
  <c r="O200" i="8" s="1"/>
  <c r="L200" i="8"/>
  <c r="K200" i="8"/>
  <c r="M199" i="8"/>
  <c r="N199" i="8" s="1"/>
  <c r="O199" i="8" s="1"/>
  <c r="L199" i="8"/>
  <c r="K199" i="8"/>
  <c r="M198" i="8"/>
  <c r="N198" i="8" s="1"/>
  <c r="O198" i="8" s="1"/>
  <c r="L198" i="8"/>
  <c r="K198" i="8"/>
  <c r="M197" i="8"/>
  <c r="N197" i="8" s="1"/>
  <c r="O197" i="8" s="1"/>
  <c r="L197" i="8"/>
  <c r="K197" i="8"/>
  <c r="M196" i="8"/>
  <c r="N196" i="8" s="1"/>
  <c r="O196" i="8" s="1"/>
  <c r="L196" i="8"/>
  <c r="K196" i="8"/>
  <c r="M195" i="8"/>
  <c r="N195" i="8" s="1"/>
  <c r="O195" i="8" s="1"/>
  <c r="L195" i="8"/>
  <c r="K195" i="8"/>
  <c r="M194" i="8"/>
  <c r="N194" i="8" s="1"/>
  <c r="O194" i="8" s="1"/>
  <c r="L194" i="8"/>
  <c r="K194" i="8"/>
  <c r="M193" i="8"/>
  <c r="N193" i="8" s="1"/>
  <c r="O193" i="8" s="1"/>
  <c r="L193" i="8"/>
  <c r="K193" i="8"/>
  <c r="M192" i="8"/>
  <c r="N192" i="8" s="1"/>
  <c r="O192" i="8" s="1"/>
  <c r="L192" i="8"/>
  <c r="K192" i="8"/>
  <c r="M191" i="8"/>
  <c r="N191" i="8" s="1"/>
  <c r="O191" i="8" s="1"/>
  <c r="L191" i="8"/>
  <c r="K191" i="8"/>
  <c r="M190" i="8"/>
  <c r="N190" i="8" s="1"/>
  <c r="O190" i="8" s="1"/>
  <c r="L190" i="8"/>
  <c r="K190" i="8"/>
  <c r="M189" i="8"/>
  <c r="N189" i="8" s="1"/>
  <c r="O189" i="8" s="1"/>
  <c r="L189" i="8"/>
  <c r="K189" i="8"/>
  <c r="M188" i="8"/>
  <c r="N188" i="8" s="1"/>
  <c r="O188" i="8" s="1"/>
  <c r="L188" i="8"/>
  <c r="K188" i="8"/>
  <c r="M187" i="8"/>
  <c r="N187" i="8" s="1"/>
  <c r="O187" i="8" s="1"/>
  <c r="L187" i="8"/>
  <c r="K187" i="8"/>
  <c r="M186" i="8"/>
  <c r="N186" i="8" s="1"/>
  <c r="O186" i="8" s="1"/>
  <c r="L186" i="8"/>
  <c r="K186" i="8"/>
  <c r="M185" i="8"/>
  <c r="N185" i="8" s="1"/>
  <c r="O185" i="8" s="1"/>
  <c r="L185" i="8"/>
  <c r="K185" i="8"/>
  <c r="M184" i="8"/>
  <c r="N184" i="8" s="1"/>
  <c r="O184" i="8" s="1"/>
  <c r="L184" i="8"/>
  <c r="K184" i="8"/>
  <c r="M183" i="8"/>
  <c r="N183" i="8" s="1"/>
  <c r="O183" i="8" s="1"/>
  <c r="L183" i="8"/>
  <c r="K183" i="8"/>
  <c r="M182" i="8"/>
  <c r="N182" i="8" s="1"/>
  <c r="O182" i="8" s="1"/>
  <c r="L182" i="8"/>
  <c r="K182" i="8"/>
  <c r="M181" i="8"/>
  <c r="N181" i="8" s="1"/>
  <c r="O181" i="8" s="1"/>
  <c r="L181" i="8"/>
  <c r="K181" i="8"/>
  <c r="M180" i="8"/>
  <c r="N180" i="8" s="1"/>
  <c r="O180" i="8" s="1"/>
  <c r="L180" i="8"/>
  <c r="K180" i="8"/>
  <c r="M179" i="8"/>
  <c r="N179" i="8" s="1"/>
  <c r="O179" i="8" s="1"/>
  <c r="L179" i="8"/>
  <c r="K179" i="8"/>
  <c r="M178" i="8"/>
  <c r="N178" i="8" s="1"/>
  <c r="O178" i="8" s="1"/>
  <c r="L178" i="8"/>
  <c r="K178" i="8"/>
  <c r="M177" i="8"/>
  <c r="N177" i="8" s="1"/>
  <c r="O177" i="8" s="1"/>
  <c r="L177" i="8"/>
  <c r="K177" i="8"/>
  <c r="M176" i="8"/>
  <c r="N176" i="8" s="1"/>
  <c r="O176" i="8" s="1"/>
  <c r="L176" i="8"/>
  <c r="K176" i="8"/>
  <c r="M175" i="8"/>
  <c r="N175" i="8" s="1"/>
  <c r="O175" i="8" s="1"/>
  <c r="L175" i="8"/>
  <c r="K175" i="8"/>
  <c r="M174" i="8"/>
  <c r="N174" i="8" s="1"/>
  <c r="O174" i="8" s="1"/>
  <c r="L174" i="8"/>
  <c r="K174" i="8"/>
  <c r="M173" i="8"/>
  <c r="N173" i="8" s="1"/>
  <c r="O173" i="8" s="1"/>
  <c r="L173" i="8"/>
  <c r="K173" i="8"/>
  <c r="M172" i="8"/>
  <c r="N172" i="8" s="1"/>
  <c r="O172" i="8" s="1"/>
  <c r="L172" i="8"/>
  <c r="K172" i="8"/>
  <c r="M171" i="8"/>
  <c r="N171" i="8" s="1"/>
  <c r="O171" i="8" s="1"/>
  <c r="L171" i="8"/>
  <c r="K171" i="8"/>
  <c r="M170" i="8"/>
  <c r="N170" i="8" s="1"/>
  <c r="O170" i="8" s="1"/>
  <c r="L170" i="8"/>
  <c r="K170" i="8"/>
  <c r="M169" i="8"/>
  <c r="N169" i="8" s="1"/>
  <c r="O169" i="8" s="1"/>
  <c r="L169" i="8"/>
  <c r="K169" i="8"/>
  <c r="M168" i="8"/>
  <c r="N168" i="8" s="1"/>
  <c r="O168" i="8" s="1"/>
  <c r="L168" i="8"/>
  <c r="K168" i="8"/>
  <c r="M167" i="8"/>
  <c r="N167" i="8" s="1"/>
  <c r="O167" i="8" s="1"/>
  <c r="L167" i="8"/>
  <c r="K167" i="8"/>
  <c r="M166" i="8"/>
  <c r="N166" i="8" s="1"/>
  <c r="O166" i="8" s="1"/>
  <c r="L166" i="8"/>
  <c r="K166" i="8"/>
  <c r="M165" i="8"/>
  <c r="N165" i="8" s="1"/>
  <c r="O165" i="8" s="1"/>
  <c r="L165" i="8"/>
  <c r="K165" i="8"/>
  <c r="M164" i="8"/>
  <c r="N164" i="8" s="1"/>
  <c r="O164" i="8" s="1"/>
  <c r="L164" i="8"/>
  <c r="K164" i="8"/>
  <c r="M163" i="8"/>
  <c r="N163" i="8" s="1"/>
  <c r="O163" i="8" s="1"/>
  <c r="L163" i="8"/>
  <c r="K163" i="8"/>
  <c r="M162" i="8"/>
  <c r="N162" i="8" s="1"/>
  <c r="O162" i="8" s="1"/>
  <c r="L162" i="8"/>
  <c r="K162" i="8"/>
  <c r="M161" i="8"/>
  <c r="N161" i="8" s="1"/>
  <c r="O161" i="8" s="1"/>
  <c r="L161" i="8"/>
  <c r="K161" i="8"/>
  <c r="M160" i="8"/>
  <c r="N160" i="8" s="1"/>
  <c r="O160" i="8" s="1"/>
  <c r="L160" i="8"/>
  <c r="K160" i="8"/>
  <c r="M159" i="8"/>
  <c r="N159" i="8" s="1"/>
  <c r="O159" i="8" s="1"/>
  <c r="L159" i="8"/>
  <c r="K159" i="8"/>
  <c r="M158" i="8"/>
  <c r="N158" i="8" s="1"/>
  <c r="O158" i="8" s="1"/>
  <c r="L158" i="8"/>
  <c r="K158" i="8"/>
  <c r="M157" i="8"/>
  <c r="N157" i="8" s="1"/>
  <c r="O157" i="8" s="1"/>
  <c r="L157" i="8"/>
  <c r="K157" i="8"/>
  <c r="M156" i="8"/>
  <c r="N156" i="8" s="1"/>
  <c r="O156" i="8" s="1"/>
  <c r="L156" i="8"/>
  <c r="K156" i="8"/>
  <c r="M155" i="8"/>
  <c r="N155" i="8" s="1"/>
  <c r="O155" i="8" s="1"/>
  <c r="L155" i="8"/>
  <c r="K155" i="8"/>
  <c r="M154" i="8"/>
  <c r="N154" i="8" s="1"/>
  <c r="O154" i="8" s="1"/>
  <c r="L154" i="8"/>
  <c r="K154" i="8"/>
  <c r="M153" i="8"/>
  <c r="N153" i="8" s="1"/>
  <c r="O153" i="8" s="1"/>
  <c r="L153" i="8"/>
  <c r="K153" i="8"/>
  <c r="M152" i="8"/>
  <c r="N152" i="8" s="1"/>
  <c r="O152" i="8" s="1"/>
  <c r="L152" i="8"/>
  <c r="K152" i="8"/>
  <c r="M151" i="8"/>
  <c r="N151" i="8" s="1"/>
  <c r="O151" i="8" s="1"/>
  <c r="L151" i="8"/>
  <c r="K151" i="8"/>
  <c r="M150" i="8"/>
  <c r="N150" i="8" s="1"/>
  <c r="O150" i="8" s="1"/>
  <c r="L150" i="8"/>
  <c r="K150" i="8"/>
  <c r="M149" i="8"/>
  <c r="N149" i="8" s="1"/>
  <c r="O149" i="8" s="1"/>
  <c r="L149" i="8"/>
  <c r="K149" i="8"/>
  <c r="M148" i="8"/>
  <c r="N148" i="8" s="1"/>
  <c r="O148" i="8" s="1"/>
  <c r="L148" i="8"/>
  <c r="K148" i="8"/>
  <c r="M147" i="8"/>
  <c r="N147" i="8" s="1"/>
  <c r="O147" i="8" s="1"/>
  <c r="L147" i="8"/>
  <c r="K147" i="8"/>
  <c r="M146" i="8"/>
  <c r="N146" i="8" s="1"/>
  <c r="O146" i="8" s="1"/>
  <c r="L146" i="8"/>
  <c r="K146" i="8"/>
  <c r="M145" i="8"/>
  <c r="N145" i="8" s="1"/>
  <c r="O145" i="8" s="1"/>
  <c r="L145" i="8"/>
  <c r="K145" i="8"/>
  <c r="M144" i="8"/>
  <c r="N144" i="8" s="1"/>
  <c r="O144" i="8" s="1"/>
  <c r="L144" i="8"/>
  <c r="K144" i="8"/>
  <c r="M143" i="8"/>
  <c r="N143" i="8" s="1"/>
  <c r="O143" i="8" s="1"/>
  <c r="L143" i="8"/>
  <c r="K143" i="8"/>
  <c r="M142" i="8"/>
  <c r="N142" i="8" s="1"/>
  <c r="O142" i="8" s="1"/>
  <c r="L142" i="8"/>
  <c r="K142" i="8"/>
  <c r="M141" i="8"/>
  <c r="N141" i="8" s="1"/>
  <c r="O141" i="8" s="1"/>
  <c r="L141" i="8"/>
  <c r="K141" i="8"/>
  <c r="M140" i="8"/>
  <c r="N140" i="8" s="1"/>
  <c r="O140" i="8" s="1"/>
  <c r="L140" i="8"/>
  <c r="K140" i="8"/>
  <c r="M139" i="8"/>
  <c r="N139" i="8" s="1"/>
  <c r="O139" i="8" s="1"/>
  <c r="L139" i="8"/>
  <c r="K139" i="8"/>
  <c r="M138" i="8"/>
  <c r="N138" i="8" s="1"/>
  <c r="O138" i="8" s="1"/>
  <c r="L138" i="8"/>
  <c r="K138" i="8"/>
  <c r="M137" i="8"/>
  <c r="N137" i="8" s="1"/>
  <c r="O137" i="8" s="1"/>
  <c r="L137" i="8"/>
  <c r="K137" i="8"/>
  <c r="M136" i="8"/>
  <c r="N136" i="8" s="1"/>
  <c r="O136" i="8" s="1"/>
  <c r="L136" i="8"/>
  <c r="K136" i="8"/>
  <c r="M135" i="8"/>
  <c r="N135" i="8" s="1"/>
  <c r="O135" i="8" s="1"/>
  <c r="L135" i="8"/>
  <c r="K135" i="8"/>
  <c r="M134" i="8"/>
  <c r="N134" i="8" s="1"/>
  <c r="O134" i="8" s="1"/>
  <c r="L134" i="8"/>
  <c r="K134" i="8"/>
  <c r="M133" i="8"/>
  <c r="N133" i="8" s="1"/>
  <c r="O133" i="8" s="1"/>
  <c r="L133" i="8"/>
  <c r="K133" i="8"/>
  <c r="M132" i="8"/>
  <c r="N132" i="8" s="1"/>
  <c r="O132" i="8" s="1"/>
  <c r="L132" i="8"/>
  <c r="K132" i="8"/>
  <c r="M131" i="8"/>
  <c r="N131" i="8" s="1"/>
  <c r="O131" i="8" s="1"/>
  <c r="L131" i="8"/>
  <c r="K131" i="8"/>
  <c r="M130" i="8"/>
  <c r="N130" i="8" s="1"/>
  <c r="O130" i="8" s="1"/>
  <c r="L130" i="8"/>
  <c r="K130" i="8"/>
  <c r="M129" i="8"/>
  <c r="N129" i="8" s="1"/>
  <c r="O129" i="8" s="1"/>
  <c r="L129" i="8"/>
  <c r="K129" i="8"/>
  <c r="M127" i="8"/>
  <c r="N127" i="8" s="1"/>
  <c r="O127" i="8" s="1"/>
  <c r="L127" i="8"/>
  <c r="K127" i="8"/>
  <c r="M126" i="8"/>
  <c r="N126" i="8" s="1"/>
  <c r="O126" i="8" s="1"/>
  <c r="L126" i="8"/>
  <c r="K126" i="8"/>
  <c r="M125" i="8"/>
  <c r="N125" i="8" s="1"/>
  <c r="O125" i="8" s="1"/>
  <c r="L125" i="8"/>
  <c r="K125" i="8"/>
  <c r="M124" i="8"/>
  <c r="N124" i="8" s="1"/>
  <c r="O124" i="8" s="1"/>
  <c r="L124" i="8"/>
  <c r="K124" i="8"/>
  <c r="M123" i="8"/>
  <c r="N123" i="8" s="1"/>
  <c r="O123" i="8" s="1"/>
  <c r="L123" i="8"/>
  <c r="K123" i="8"/>
  <c r="M122" i="8"/>
  <c r="N122" i="8" s="1"/>
  <c r="O122" i="8" s="1"/>
  <c r="L122" i="8"/>
  <c r="K122" i="8"/>
  <c r="M121" i="8"/>
  <c r="N121" i="8" s="1"/>
  <c r="O121" i="8" s="1"/>
  <c r="L121" i="8"/>
  <c r="K121" i="8"/>
  <c r="M120" i="8"/>
  <c r="N120" i="8" s="1"/>
  <c r="O120" i="8" s="1"/>
  <c r="L120" i="8"/>
  <c r="K120" i="8"/>
  <c r="M119" i="8"/>
  <c r="N119" i="8" s="1"/>
  <c r="O119" i="8" s="1"/>
  <c r="L119" i="8"/>
  <c r="K119" i="8"/>
  <c r="M118" i="8"/>
  <c r="N118" i="8" s="1"/>
  <c r="O118" i="8" s="1"/>
  <c r="L118" i="8"/>
  <c r="K118" i="8"/>
  <c r="M117" i="8"/>
  <c r="N117" i="8" s="1"/>
  <c r="O117" i="8" s="1"/>
  <c r="L117" i="8"/>
  <c r="K117" i="8"/>
  <c r="M116" i="8"/>
  <c r="N116" i="8" s="1"/>
  <c r="O116" i="8" s="1"/>
  <c r="L116" i="8"/>
  <c r="K116" i="8"/>
  <c r="M115" i="8"/>
  <c r="N115" i="8" s="1"/>
  <c r="O115" i="8" s="1"/>
  <c r="L115" i="8"/>
  <c r="K115" i="8"/>
  <c r="M114" i="8"/>
  <c r="N114" i="8" s="1"/>
  <c r="O114" i="8" s="1"/>
  <c r="L114" i="8"/>
  <c r="K114" i="8"/>
  <c r="M113" i="8"/>
  <c r="N113" i="8" s="1"/>
  <c r="O113" i="8" s="1"/>
  <c r="L113" i="8"/>
  <c r="K113" i="8"/>
  <c r="M112" i="8"/>
  <c r="N112" i="8" s="1"/>
  <c r="O112" i="8" s="1"/>
  <c r="L112" i="8"/>
  <c r="K112" i="8"/>
  <c r="M111" i="8"/>
  <c r="N111" i="8" s="1"/>
  <c r="O111" i="8" s="1"/>
  <c r="L111" i="8"/>
  <c r="K111" i="8"/>
  <c r="M110" i="8"/>
  <c r="N110" i="8" s="1"/>
  <c r="O110" i="8" s="1"/>
  <c r="L110" i="8"/>
  <c r="K110" i="8"/>
  <c r="M109" i="8"/>
  <c r="N109" i="8" s="1"/>
  <c r="O109" i="8" s="1"/>
  <c r="L109" i="8"/>
  <c r="K109" i="8"/>
  <c r="M108" i="8"/>
  <c r="N108" i="8" s="1"/>
  <c r="O108" i="8" s="1"/>
  <c r="L108" i="8"/>
  <c r="K108" i="8"/>
  <c r="M106" i="8"/>
  <c r="N106" i="8" s="1"/>
  <c r="O106" i="8" s="1"/>
  <c r="L106" i="8"/>
  <c r="K106" i="8"/>
  <c r="M105" i="8"/>
  <c r="N105" i="8" s="1"/>
  <c r="O105" i="8" s="1"/>
  <c r="L105" i="8"/>
  <c r="K105" i="8"/>
  <c r="M104" i="8"/>
  <c r="N104" i="8" s="1"/>
  <c r="O104" i="8" s="1"/>
  <c r="L104" i="8"/>
  <c r="K104" i="8"/>
  <c r="M103" i="8"/>
  <c r="N103" i="8" s="1"/>
  <c r="O103" i="8" s="1"/>
  <c r="L103" i="8"/>
  <c r="K103" i="8"/>
  <c r="M101" i="8"/>
  <c r="N101" i="8" s="1"/>
  <c r="O101" i="8" s="1"/>
  <c r="L101" i="8"/>
  <c r="K101" i="8"/>
  <c r="M100" i="8"/>
  <c r="N100" i="8" s="1"/>
  <c r="O100" i="8" s="1"/>
  <c r="L100" i="8"/>
  <c r="K100" i="8"/>
  <c r="M98" i="8"/>
  <c r="N98" i="8" s="1"/>
  <c r="O98" i="8" s="1"/>
  <c r="L98" i="8"/>
  <c r="K98" i="8"/>
  <c r="M97" i="8"/>
  <c r="N97" i="8" s="1"/>
  <c r="O97" i="8" s="1"/>
  <c r="L97" i="8"/>
  <c r="K97" i="8"/>
  <c r="M96" i="8"/>
  <c r="N96" i="8" s="1"/>
  <c r="O96" i="8" s="1"/>
  <c r="L96" i="8"/>
  <c r="K96" i="8"/>
  <c r="M95" i="8"/>
  <c r="N95" i="8" s="1"/>
  <c r="O95" i="8" s="1"/>
  <c r="L95" i="8"/>
  <c r="K95" i="8"/>
  <c r="M94" i="8"/>
  <c r="N94" i="8" s="1"/>
  <c r="O94" i="8" s="1"/>
  <c r="L94" i="8"/>
  <c r="K94" i="8"/>
  <c r="M93" i="8"/>
  <c r="N93" i="8" s="1"/>
  <c r="O93" i="8" s="1"/>
  <c r="L93" i="8"/>
  <c r="K93" i="8"/>
  <c r="M92" i="8"/>
  <c r="N92" i="8" s="1"/>
  <c r="O92" i="8" s="1"/>
  <c r="L92" i="8"/>
  <c r="K92" i="8"/>
  <c r="M91" i="8"/>
  <c r="N91" i="8" s="1"/>
  <c r="O91" i="8" s="1"/>
  <c r="L91" i="8"/>
  <c r="K91" i="8"/>
  <c r="M90" i="8"/>
  <c r="N90" i="8" s="1"/>
  <c r="O90" i="8" s="1"/>
  <c r="L90" i="8"/>
  <c r="K90" i="8"/>
  <c r="M89" i="8"/>
  <c r="N89" i="8" s="1"/>
  <c r="O89" i="8" s="1"/>
  <c r="L89" i="8"/>
  <c r="K89" i="8"/>
  <c r="M88" i="8"/>
  <c r="N88" i="8" s="1"/>
  <c r="O88" i="8" s="1"/>
  <c r="L88" i="8"/>
  <c r="K88" i="8"/>
  <c r="M87" i="8"/>
  <c r="N87" i="8" s="1"/>
  <c r="O87" i="8" s="1"/>
  <c r="L87" i="8"/>
  <c r="K87" i="8"/>
  <c r="M86" i="8"/>
  <c r="N86" i="8" s="1"/>
  <c r="O86" i="8" s="1"/>
  <c r="L86" i="8"/>
  <c r="K86" i="8"/>
  <c r="M85" i="8"/>
  <c r="N85" i="8" s="1"/>
  <c r="O85" i="8" s="1"/>
  <c r="L85" i="8"/>
  <c r="K85" i="8"/>
  <c r="M84" i="8"/>
  <c r="N84" i="8" s="1"/>
  <c r="O84" i="8" s="1"/>
  <c r="L84" i="8"/>
  <c r="K84" i="8"/>
  <c r="M83" i="8"/>
  <c r="N83" i="8" s="1"/>
  <c r="O83" i="8" s="1"/>
  <c r="L83" i="8"/>
  <c r="K83" i="8"/>
  <c r="M82" i="8"/>
  <c r="N82" i="8" s="1"/>
  <c r="O82" i="8" s="1"/>
  <c r="L82" i="8"/>
  <c r="K82" i="8"/>
  <c r="M81" i="8"/>
  <c r="N81" i="8" s="1"/>
  <c r="O81" i="8" s="1"/>
  <c r="L81" i="8"/>
  <c r="K81" i="8"/>
  <c r="M80" i="8"/>
  <c r="N80" i="8" s="1"/>
  <c r="O80" i="8" s="1"/>
  <c r="L80" i="8"/>
  <c r="K80" i="8"/>
  <c r="M79" i="8"/>
  <c r="N79" i="8" s="1"/>
  <c r="O79" i="8" s="1"/>
  <c r="L79" i="8"/>
  <c r="K79" i="8"/>
  <c r="M78" i="8"/>
  <c r="N78" i="8" s="1"/>
  <c r="O78" i="8" s="1"/>
  <c r="L78" i="8"/>
  <c r="K78" i="8"/>
  <c r="M77" i="8"/>
  <c r="N77" i="8" s="1"/>
  <c r="O77" i="8" s="1"/>
  <c r="L77" i="8"/>
  <c r="K77" i="8"/>
  <c r="M76" i="8"/>
  <c r="N76" i="8" s="1"/>
  <c r="O76" i="8" s="1"/>
  <c r="L76" i="8"/>
  <c r="K76" i="8"/>
  <c r="M75" i="8"/>
  <c r="N75" i="8" s="1"/>
  <c r="O75" i="8" s="1"/>
  <c r="L75" i="8"/>
  <c r="K75" i="8"/>
  <c r="M74" i="8"/>
  <c r="N74" i="8" s="1"/>
  <c r="O74" i="8" s="1"/>
  <c r="L74" i="8"/>
  <c r="K74" i="8"/>
  <c r="M73" i="8"/>
  <c r="N73" i="8" s="1"/>
  <c r="O73" i="8" s="1"/>
  <c r="L73" i="8"/>
  <c r="K73" i="8"/>
  <c r="M72" i="8"/>
  <c r="N72" i="8" s="1"/>
  <c r="O72" i="8" s="1"/>
  <c r="L72" i="8"/>
  <c r="K72" i="8"/>
  <c r="M71" i="8"/>
  <c r="N71" i="8" s="1"/>
  <c r="O71" i="8" s="1"/>
  <c r="L71" i="8"/>
  <c r="K71" i="8"/>
  <c r="M70" i="8"/>
  <c r="N70" i="8" s="1"/>
  <c r="O70" i="8" s="1"/>
  <c r="L70" i="8"/>
  <c r="K70" i="8"/>
  <c r="M69" i="8"/>
  <c r="N69" i="8" s="1"/>
  <c r="O69" i="8" s="1"/>
  <c r="L69" i="8"/>
  <c r="K69" i="8"/>
  <c r="M68" i="8"/>
  <c r="N68" i="8" s="1"/>
  <c r="O68" i="8" s="1"/>
  <c r="L68" i="8"/>
  <c r="K68" i="8"/>
  <c r="M67" i="8"/>
  <c r="N67" i="8" s="1"/>
  <c r="O67" i="8" s="1"/>
  <c r="L67" i="8"/>
  <c r="K67" i="8"/>
  <c r="M66" i="8"/>
  <c r="N66" i="8" s="1"/>
  <c r="O66" i="8" s="1"/>
  <c r="L66" i="8"/>
  <c r="K66" i="8"/>
  <c r="M65" i="8"/>
  <c r="N65" i="8" s="1"/>
  <c r="O65" i="8" s="1"/>
  <c r="L65" i="8"/>
  <c r="K65" i="8"/>
  <c r="M64" i="8"/>
  <c r="N64" i="8" s="1"/>
  <c r="O64" i="8" s="1"/>
  <c r="L64" i="8"/>
  <c r="K64" i="8"/>
  <c r="M63" i="8"/>
  <c r="N63" i="8" s="1"/>
  <c r="O63" i="8" s="1"/>
  <c r="L63" i="8"/>
  <c r="K63" i="8"/>
  <c r="M62" i="8"/>
  <c r="N62" i="8" s="1"/>
  <c r="O62" i="8" s="1"/>
  <c r="L62" i="8"/>
  <c r="K62" i="8"/>
  <c r="M61" i="8"/>
  <c r="N61" i="8" s="1"/>
  <c r="O61" i="8" s="1"/>
  <c r="L61" i="8"/>
  <c r="K61" i="8"/>
  <c r="M60" i="8"/>
  <c r="N60" i="8" s="1"/>
  <c r="O60" i="8" s="1"/>
  <c r="L60" i="8"/>
  <c r="K60" i="8"/>
  <c r="M59" i="8"/>
  <c r="N59" i="8" s="1"/>
  <c r="O59" i="8" s="1"/>
  <c r="L59" i="8"/>
  <c r="K59" i="8"/>
  <c r="M58" i="8"/>
  <c r="N58" i="8" s="1"/>
  <c r="O58" i="8" s="1"/>
  <c r="L58" i="8"/>
  <c r="K58" i="8"/>
  <c r="M57" i="8"/>
  <c r="N57" i="8" s="1"/>
  <c r="O57" i="8" s="1"/>
  <c r="L57" i="8"/>
  <c r="K57" i="8"/>
  <c r="M56" i="8"/>
  <c r="N56" i="8" s="1"/>
  <c r="O56" i="8" s="1"/>
  <c r="L56" i="8"/>
  <c r="K56" i="8"/>
  <c r="M55" i="8"/>
  <c r="N55" i="8" s="1"/>
  <c r="O55" i="8" s="1"/>
  <c r="L55" i="8"/>
  <c r="K55" i="8"/>
  <c r="M54" i="8"/>
  <c r="N54" i="8" s="1"/>
  <c r="O54" i="8" s="1"/>
  <c r="L54" i="8"/>
  <c r="K54" i="8"/>
  <c r="M53" i="8"/>
  <c r="N53" i="8" s="1"/>
  <c r="O53" i="8" s="1"/>
  <c r="L53" i="8"/>
  <c r="K53" i="8"/>
  <c r="M52" i="8"/>
  <c r="N52" i="8" s="1"/>
  <c r="O52" i="8" s="1"/>
  <c r="L52" i="8"/>
  <c r="K52" i="8"/>
  <c r="M51" i="8"/>
  <c r="N51" i="8" s="1"/>
  <c r="O51" i="8" s="1"/>
  <c r="L51" i="8"/>
  <c r="K51" i="8"/>
  <c r="M50" i="8"/>
  <c r="N50" i="8" s="1"/>
  <c r="O50" i="8" s="1"/>
  <c r="L50" i="8"/>
  <c r="K50" i="8"/>
  <c r="M49" i="8"/>
  <c r="N49" i="8" s="1"/>
  <c r="O49" i="8" s="1"/>
  <c r="L49" i="8"/>
  <c r="K49" i="8"/>
  <c r="M48" i="8"/>
  <c r="N48" i="8" s="1"/>
  <c r="O48" i="8" s="1"/>
  <c r="L48" i="8"/>
  <c r="K48" i="8"/>
  <c r="M47" i="8"/>
  <c r="N47" i="8" s="1"/>
  <c r="O47" i="8" s="1"/>
  <c r="L47" i="8"/>
  <c r="K47" i="8"/>
  <c r="M46" i="8"/>
  <c r="N46" i="8" s="1"/>
  <c r="O46" i="8" s="1"/>
  <c r="L46" i="8"/>
  <c r="K46" i="8"/>
  <c r="M45" i="8"/>
  <c r="N45" i="8" s="1"/>
  <c r="O45" i="8" s="1"/>
  <c r="L45" i="8"/>
  <c r="K45" i="8"/>
  <c r="M44" i="8"/>
  <c r="N44" i="8" s="1"/>
  <c r="O44" i="8" s="1"/>
  <c r="L44" i="8"/>
  <c r="K44" i="8"/>
  <c r="M43" i="8"/>
  <c r="N43" i="8" s="1"/>
  <c r="O43" i="8" s="1"/>
  <c r="L43" i="8"/>
  <c r="K43" i="8"/>
  <c r="M42" i="8"/>
  <c r="N42" i="8" s="1"/>
  <c r="O42" i="8" s="1"/>
  <c r="L42" i="8"/>
  <c r="K42" i="8"/>
  <c r="M41" i="8"/>
  <c r="N41" i="8" s="1"/>
  <c r="O41" i="8" s="1"/>
  <c r="L41" i="8"/>
  <c r="K41" i="8"/>
  <c r="M40" i="8"/>
  <c r="N40" i="8" s="1"/>
  <c r="O40" i="8" s="1"/>
  <c r="L40" i="8"/>
  <c r="K40" i="8"/>
  <c r="M39" i="8"/>
  <c r="N39" i="8" s="1"/>
  <c r="O39" i="8" s="1"/>
  <c r="L39" i="8"/>
  <c r="K39" i="8"/>
  <c r="M38" i="8"/>
  <c r="N38" i="8" s="1"/>
  <c r="O38" i="8" s="1"/>
  <c r="L38" i="8"/>
  <c r="K38" i="8"/>
  <c r="M37" i="8"/>
  <c r="N37" i="8" s="1"/>
  <c r="O37" i="8" s="1"/>
  <c r="L37" i="8"/>
  <c r="K37" i="8"/>
  <c r="M36" i="8"/>
  <c r="N36" i="8" s="1"/>
  <c r="O36" i="8" s="1"/>
  <c r="L36" i="8"/>
  <c r="K36" i="8"/>
  <c r="M35" i="8"/>
  <c r="N35" i="8" s="1"/>
  <c r="O35" i="8" s="1"/>
  <c r="L35" i="8"/>
  <c r="K35" i="8"/>
  <c r="M34" i="8"/>
  <c r="N34" i="8" s="1"/>
  <c r="O34" i="8" s="1"/>
  <c r="L34" i="8"/>
  <c r="K34" i="8"/>
  <c r="M32" i="8"/>
  <c r="N32" i="8" s="1"/>
  <c r="O32" i="8" s="1"/>
  <c r="L32" i="8"/>
  <c r="K32" i="8"/>
  <c r="M31" i="8"/>
  <c r="N31" i="8" s="1"/>
  <c r="O31" i="8" s="1"/>
  <c r="L31" i="8"/>
  <c r="K31" i="8"/>
  <c r="M30" i="8"/>
  <c r="N30" i="8" s="1"/>
  <c r="O30" i="8" s="1"/>
  <c r="L30" i="8"/>
  <c r="K30" i="8"/>
  <c r="M542" i="8" s="1"/>
  <c r="M29" i="8"/>
  <c r="N29" i="8" s="1"/>
  <c r="O29" i="8" s="1"/>
  <c r="L29" i="8"/>
  <c r="K29" i="8"/>
  <c r="M28" i="8"/>
  <c r="N28" i="8" s="1"/>
  <c r="O28" i="8" s="1"/>
  <c r="L28" i="8"/>
  <c r="K28" i="8"/>
  <c r="M27" i="8"/>
  <c r="N27" i="8" s="1"/>
  <c r="O27" i="8" s="1"/>
  <c r="L27" i="8"/>
  <c r="K27" i="8"/>
  <c r="M26" i="8"/>
  <c r="N26" i="8" s="1"/>
  <c r="O26" i="8" s="1"/>
  <c r="L26" i="8"/>
  <c r="K26" i="8"/>
  <c r="M25" i="8"/>
  <c r="N25" i="8" s="1"/>
  <c r="O25" i="8" s="1"/>
  <c r="L25" i="8"/>
  <c r="K25" i="8"/>
  <c r="M24" i="8"/>
  <c r="N24" i="8" s="1"/>
  <c r="O24" i="8" s="1"/>
  <c r="L24" i="8"/>
  <c r="K24" i="8"/>
  <c r="M23" i="8"/>
  <c r="N23" i="8" s="1"/>
  <c r="O23" i="8" s="1"/>
  <c r="L23" i="8"/>
  <c r="K23" i="8"/>
  <c r="M22" i="8"/>
  <c r="N22" i="8" s="1"/>
  <c r="O22" i="8" s="1"/>
  <c r="L22" i="8"/>
  <c r="K22" i="8"/>
  <c r="M21" i="8"/>
  <c r="N21" i="8" s="1"/>
  <c r="O21" i="8" s="1"/>
  <c r="L21" i="8"/>
  <c r="K21" i="8"/>
  <c r="M20" i="8"/>
  <c r="N20" i="8" s="1"/>
  <c r="O20" i="8" s="1"/>
  <c r="L20" i="8"/>
  <c r="K20" i="8"/>
  <c r="M19" i="8"/>
  <c r="N19" i="8" s="1"/>
  <c r="O19" i="8" s="1"/>
  <c r="L19" i="8"/>
  <c r="K19" i="8"/>
  <c r="M18" i="8"/>
  <c r="N18" i="8" s="1"/>
  <c r="O18" i="8" s="1"/>
  <c r="L18" i="8"/>
  <c r="K18" i="8"/>
  <c r="M17" i="8"/>
  <c r="N17" i="8" s="1"/>
  <c r="O17" i="8" s="1"/>
  <c r="L17" i="8"/>
  <c r="K17" i="8"/>
  <c r="M16" i="8"/>
  <c r="N16" i="8" s="1"/>
  <c r="O16" i="8" s="1"/>
  <c r="L16" i="8"/>
  <c r="K16" i="8"/>
  <c r="M15" i="8"/>
  <c r="N15" i="8" s="1"/>
  <c r="O15" i="8" s="1"/>
  <c r="L15" i="8"/>
  <c r="K15" i="8"/>
  <c r="M14" i="8"/>
  <c r="N14" i="8" s="1"/>
  <c r="O14" i="8" s="1"/>
  <c r="L14" i="8"/>
  <c r="K14" i="8"/>
  <c r="M7" i="8"/>
  <c r="N7" i="8" s="1"/>
  <c r="O7" i="8" s="1"/>
  <c r="L7" i="8"/>
  <c r="K7" i="8"/>
  <c r="M6" i="8"/>
  <c r="N6" i="8" s="1"/>
  <c r="O6" i="8" s="1"/>
  <c r="O541" i="8" s="1"/>
  <c r="L6" i="8"/>
  <c r="K6" i="8"/>
  <c r="M530" i="6"/>
  <c r="N530" i="6" s="1"/>
  <c r="O530" i="6" s="1"/>
  <c r="L530" i="6"/>
  <c r="K530" i="6"/>
  <c r="M529" i="6"/>
  <c r="N529" i="6" s="1"/>
  <c r="O529" i="6" s="1"/>
  <c r="L529" i="6"/>
  <c r="K529" i="6"/>
  <c r="M528" i="6"/>
  <c r="N528" i="6" s="1"/>
  <c r="O528" i="6" s="1"/>
  <c r="L528" i="6"/>
  <c r="K528" i="6"/>
  <c r="M527" i="6"/>
  <c r="N527" i="6" s="1"/>
  <c r="O527" i="6" s="1"/>
  <c r="L527" i="6"/>
  <c r="K527" i="6"/>
  <c r="M526" i="6"/>
  <c r="N526" i="6" s="1"/>
  <c r="O526" i="6" s="1"/>
  <c r="L526" i="6"/>
  <c r="K526" i="6"/>
  <c r="M525" i="6"/>
  <c r="N525" i="6" s="1"/>
  <c r="O525" i="6" s="1"/>
  <c r="L525" i="6"/>
  <c r="K525" i="6"/>
  <c r="M524" i="6"/>
  <c r="N524" i="6" s="1"/>
  <c r="O524" i="6" s="1"/>
  <c r="L524" i="6"/>
  <c r="K524" i="6"/>
  <c r="M523" i="6"/>
  <c r="N523" i="6" s="1"/>
  <c r="O523" i="6" s="1"/>
  <c r="L523" i="6"/>
  <c r="K523" i="6"/>
  <c r="M522" i="6"/>
  <c r="N522" i="6" s="1"/>
  <c r="O522" i="6" s="1"/>
  <c r="L522" i="6"/>
  <c r="K522" i="6"/>
  <c r="M521" i="6"/>
  <c r="N521" i="6" s="1"/>
  <c r="O521" i="6" s="1"/>
  <c r="L521" i="6"/>
  <c r="K521" i="6"/>
  <c r="M520" i="6"/>
  <c r="N520" i="6" s="1"/>
  <c r="O520" i="6" s="1"/>
  <c r="L520" i="6"/>
  <c r="K520" i="6"/>
  <c r="M519" i="6"/>
  <c r="N519" i="6" s="1"/>
  <c r="O519" i="6" s="1"/>
  <c r="L519" i="6"/>
  <c r="K519" i="6"/>
  <c r="M518" i="6"/>
  <c r="N518" i="6" s="1"/>
  <c r="O518" i="6" s="1"/>
  <c r="L518" i="6"/>
  <c r="K518" i="6"/>
  <c r="M517" i="6"/>
  <c r="N517" i="6" s="1"/>
  <c r="O517" i="6" s="1"/>
  <c r="L517" i="6"/>
  <c r="K517" i="6"/>
  <c r="M516" i="6"/>
  <c r="N516" i="6" s="1"/>
  <c r="O516" i="6" s="1"/>
  <c r="L516" i="6"/>
  <c r="K516" i="6"/>
  <c r="M515" i="6"/>
  <c r="N515" i="6" s="1"/>
  <c r="O515" i="6" s="1"/>
  <c r="L515" i="6"/>
  <c r="K515" i="6"/>
  <c r="M514" i="6"/>
  <c r="N514" i="6" s="1"/>
  <c r="O514" i="6" s="1"/>
  <c r="L514" i="6"/>
  <c r="K514" i="6"/>
  <c r="M513" i="6"/>
  <c r="N513" i="6" s="1"/>
  <c r="O513" i="6" s="1"/>
  <c r="L513" i="6"/>
  <c r="K513" i="6"/>
  <c r="M512" i="6"/>
  <c r="N512" i="6" s="1"/>
  <c r="O512" i="6" s="1"/>
  <c r="L512" i="6"/>
  <c r="K512" i="6"/>
  <c r="M511" i="6"/>
  <c r="N511" i="6" s="1"/>
  <c r="O511" i="6" s="1"/>
  <c r="L511" i="6"/>
  <c r="K511" i="6"/>
  <c r="M510" i="6"/>
  <c r="N510" i="6" s="1"/>
  <c r="O510" i="6" s="1"/>
  <c r="L510" i="6"/>
  <c r="K510" i="6"/>
  <c r="M509" i="6"/>
  <c r="N509" i="6" s="1"/>
  <c r="O509" i="6" s="1"/>
  <c r="L509" i="6"/>
  <c r="K509" i="6"/>
  <c r="M508" i="6"/>
  <c r="N508" i="6" s="1"/>
  <c r="O508" i="6" s="1"/>
  <c r="L508" i="6"/>
  <c r="K508" i="6"/>
  <c r="M507" i="6"/>
  <c r="N507" i="6" s="1"/>
  <c r="O507" i="6" s="1"/>
  <c r="L507" i="6"/>
  <c r="K507" i="6"/>
  <c r="M506" i="6"/>
  <c r="N506" i="6" s="1"/>
  <c r="O506" i="6" s="1"/>
  <c r="L506" i="6"/>
  <c r="K506" i="6"/>
  <c r="M505" i="6"/>
  <c r="N505" i="6" s="1"/>
  <c r="O505" i="6" s="1"/>
  <c r="L505" i="6"/>
  <c r="K505" i="6"/>
  <c r="M504" i="6"/>
  <c r="N504" i="6" s="1"/>
  <c r="O504" i="6" s="1"/>
  <c r="L504" i="6"/>
  <c r="K504" i="6"/>
  <c r="M503" i="6"/>
  <c r="N503" i="6" s="1"/>
  <c r="O503" i="6" s="1"/>
  <c r="L503" i="6"/>
  <c r="K503" i="6"/>
  <c r="M502" i="6"/>
  <c r="N502" i="6" s="1"/>
  <c r="O502" i="6" s="1"/>
  <c r="L502" i="6"/>
  <c r="K502" i="6"/>
  <c r="M501" i="6"/>
  <c r="N501" i="6" s="1"/>
  <c r="O501" i="6" s="1"/>
  <c r="L501" i="6"/>
  <c r="K501" i="6"/>
  <c r="M500" i="6"/>
  <c r="N500" i="6" s="1"/>
  <c r="O500" i="6" s="1"/>
  <c r="L500" i="6"/>
  <c r="K500" i="6"/>
  <c r="M499" i="6"/>
  <c r="N499" i="6" s="1"/>
  <c r="O499" i="6" s="1"/>
  <c r="L499" i="6"/>
  <c r="K499" i="6"/>
  <c r="M498" i="6"/>
  <c r="N498" i="6" s="1"/>
  <c r="O498" i="6" s="1"/>
  <c r="L498" i="6"/>
  <c r="K498" i="6"/>
  <c r="M497" i="6"/>
  <c r="N497" i="6" s="1"/>
  <c r="O497" i="6" s="1"/>
  <c r="L497" i="6"/>
  <c r="K497" i="6"/>
  <c r="M496" i="6"/>
  <c r="N496" i="6" s="1"/>
  <c r="O496" i="6" s="1"/>
  <c r="L496" i="6"/>
  <c r="K496" i="6"/>
  <c r="M495" i="6"/>
  <c r="N495" i="6" s="1"/>
  <c r="O495" i="6" s="1"/>
  <c r="L495" i="6"/>
  <c r="K495" i="6"/>
  <c r="M494" i="6"/>
  <c r="N494" i="6" s="1"/>
  <c r="O494" i="6" s="1"/>
  <c r="L494" i="6"/>
  <c r="K494" i="6"/>
  <c r="M493" i="6"/>
  <c r="N493" i="6" s="1"/>
  <c r="O493" i="6" s="1"/>
  <c r="L493" i="6"/>
  <c r="K493" i="6"/>
  <c r="M492" i="6"/>
  <c r="N492" i="6" s="1"/>
  <c r="O492" i="6" s="1"/>
  <c r="L492" i="6"/>
  <c r="K492" i="6"/>
  <c r="M491" i="6"/>
  <c r="N491" i="6" s="1"/>
  <c r="O491" i="6" s="1"/>
  <c r="L491" i="6"/>
  <c r="K491" i="6"/>
  <c r="M490" i="6"/>
  <c r="N490" i="6" s="1"/>
  <c r="O490" i="6" s="1"/>
  <c r="L490" i="6"/>
  <c r="K490" i="6"/>
  <c r="M489" i="6"/>
  <c r="N489" i="6" s="1"/>
  <c r="O489" i="6" s="1"/>
  <c r="L489" i="6"/>
  <c r="K489" i="6"/>
  <c r="M488" i="6"/>
  <c r="N488" i="6" s="1"/>
  <c r="O488" i="6" s="1"/>
  <c r="L488" i="6"/>
  <c r="K488" i="6"/>
  <c r="M487" i="6"/>
  <c r="N487" i="6" s="1"/>
  <c r="O487" i="6" s="1"/>
  <c r="L487" i="6"/>
  <c r="K487" i="6"/>
  <c r="M486" i="6"/>
  <c r="N486" i="6" s="1"/>
  <c r="O486" i="6" s="1"/>
  <c r="L486" i="6"/>
  <c r="K486" i="6"/>
  <c r="M485" i="6"/>
  <c r="N485" i="6" s="1"/>
  <c r="O485" i="6" s="1"/>
  <c r="L485" i="6"/>
  <c r="K485" i="6"/>
  <c r="M484" i="6"/>
  <c r="N484" i="6" s="1"/>
  <c r="O484" i="6" s="1"/>
  <c r="L484" i="6"/>
  <c r="K484" i="6"/>
  <c r="M483" i="6"/>
  <c r="N483" i="6" s="1"/>
  <c r="O483" i="6" s="1"/>
  <c r="L483" i="6"/>
  <c r="K483" i="6"/>
  <c r="M482" i="6"/>
  <c r="N482" i="6" s="1"/>
  <c r="O482" i="6" s="1"/>
  <c r="L482" i="6"/>
  <c r="K482" i="6"/>
  <c r="M481" i="6"/>
  <c r="N481" i="6" s="1"/>
  <c r="O481" i="6" s="1"/>
  <c r="L481" i="6"/>
  <c r="K481" i="6"/>
  <c r="M480" i="6"/>
  <c r="N480" i="6" s="1"/>
  <c r="O480" i="6" s="1"/>
  <c r="L480" i="6"/>
  <c r="K480" i="6"/>
  <c r="M479" i="6"/>
  <c r="N479" i="6" s="1"/>
  <c r="O479" i="6" s="1"/>
  <c r="L479" i="6"/>
  <c r="K479" i="6"/>
  <c r="M478" i="6"/>
  <c r="N478" i="6" s="1"/>
  <c r="O478" i="6" s="1"/>
  <c r="L478" i="6"/>
  <c r="K478" i="6"/>
  <c r="M477" i="6"/>
  <c r="N477" i="6" s="1"/>
  <c r="O477" i="6" s="1"/>
  <c r="L477" i="6"/>
  <c r="K477" i="6"/>
  <c r="M476" i="6"/>
  <c r="N476" i="6" s="1"/>
  <c r="O476" i="6" s="1"/>
  <c r="L476" i="6"/>
  <c r="K476" i="6"/>
  <c r="M475" i="6"/>
  <c r="N475" i="6" s="1"/>
  <c r="O475" i="6" s="1"/>
  <c r="L475" i="6"/>
  <c r="K475" i="6"/>
  <c r="M474" i="6"/>
  <c r="N474" i="6" s="1"/>
  <c r="O474" i="6" s="1"/>
  <c r="L474" i="6"/>
  <c r="K474" i="6"/>
  <c r="M473" i="6"/>
  <c r="N473" i="6" s="1"/>
  <c r="O473" i="6" s="1"/>
  <c r="L473" i="6"/>
  <c r="K473" i="6"/>
  <c r="M472" i="6"/>
  <c r="N472" i="6" s="1"/>
  <c r="O472" i="6" s="1"/>
  <c r="L472" i="6"/>
  <c r="K472" i="6"/>
  <c r="M471" i="6"/>
  <c r="N471" i="6" s="1"/>
  <c r="O471" i="6" s="1"/>
  <c r="L471" i="6"/>
  <c r="K471" i="6"/>
  <c r="M470" i="6"/>
  <c r="N470" i="6" s="1"/>
  <c r="O470" i="6" s="1"/>
  <c r="L470" i="6"/>
  <c r="K470" i="6"/>
  <c r="M469" i="6"/>
  <c r="N469" i="6" s="1"/>
  <c r="O469" i="6" s="1"/>
  <c r="L469" i="6"/>
  <c r="K469" i="6"/>
  <c r="M468" i="6"/>
  <c r="N468" i="6" s="1"/>
  <c r="O468" i="6" s="1"/>
  <c r="L468" i="6"/>
  <c r="K468" i="6"/>
  <c r="M467" i="6"/>
  <c r="N467" i="6" s="1"/>
  <c r="O467" i="6" s="1"/>
  <c r="L467" i="6"/>
  <c r="K467" i="6"/>
  <c r="M466" i="6"/>
  <c r="N466" i="6" s="1"/>
  <c r="O466" i="6" s="1"/>
  <c r="L466" i="6"/>
  <c r="K466" i="6"/>
  <c r="M465" i="6"/>
  <c r="N465" i="6" s="1"/>
  <c r="O465" i="6" s="1"/>
  <c r="L465" i="6"/>
  <c r="K465" i="6"/>
  <c r="M464" i="6"/>
  <c r="N464" i="6" s="1"/>
  <c r="O464" i="6" s="1"/>
  <c r="L464" i="6"/>
  <c r="K464" i="6"/>
  <c r="M461" i="6"/>
  <c r="N461" i="6" s="1"/>
  <c r="O461" i="6" s="1"/>
  <c r="L461" i="6"/>
  <c r="K461" i="6"/>
  <c r="M460" i="6"/>
  <c r="N460" i="6" s="1"/>
  <c r="O460" i="6" s="1"/>
  <c r="L460" i="6"/>
  <c r="K460" i="6"/>
  <c r="M459" i="6"/>
  <c r="N459" i="6" s="1"/>
  <c r="O459" i="6" s="1"/>
  <c r="L459" i="6"/>
  <c r="K459" i="6"/>
  <c r="M458" i="6"/>
  <c r="N458" i="6" s="1"/>
  <c r="O458" i="6" s="1"/>
  <c r="L458" i="6"/>
  <c r="K458" i="6"/>
  <c r="M457" i="6"/>
  <c r="N457" i="6" s="1"/>
  <c r="O457" i="6" s="1"/>
  <c r="L457" i="6"/>
  <c r="K457" i="6"/>
  <c r="M456" i="6"/>
  <c r="N456" i="6" s="1"/>
  <c r="O456" i="6" s="1"/>
  <c r="L456" i="6"/>
  <c r="K456" i="6"/>
  <c r="M455" i="6"/>
  <c r="N455" i="6" s="1"/>
  <c r="O455" i="6" s="1"/>
  <c r="L455" i="6"/>
  <c r="K455" i="6"/>
  <c r="M454" i="6"/>
  <c r="N454" i="6" s="1"/>
  <c r="O454" i="6" s="1"/>
  <c r="L454" i="6"/>
  <c r="K454" i="6"/>
  <c r="M453" i="6"/>
  <c r="N453" i="6" s="1"/>
  <c r="O453" i="6" s="1"/>
  <c r="L453" i="6"/>
  <c r="K453" i="6"/>
  <c r="M452" i="6"/>
  <c r="N452" i="6" s="1"/>
  <c r="O452" i="6" s="1"/>
  <c r="L452" i="6"/>
  <c r="K452" i="6"/>
  <c r="M451" i="6"/>
  <c r="N451" i="6" s="1"/>
  <c r="O451" i="6" s="1"/>
  <c r="L451" i="6"/>
  <c r="K451" i="6"/>
  <c r="M450" i="6"/>
  <c r="N450" i="6" s="1"/>
  <c r="O450" i="6" s="1"/>
  <c r="L450" i="6"/>
  <c r="K450" i="6"/>
  <c r="M449" i="6"/>
  <c r="N449" i="6" s="1"/>
  <c r="O449" i="6" s="1"/>
  <c r="L449" i="6"/>
  <c r="K449" i="6"/>
  <c r="M448" i="6"/>
  <c r="N448" i="6" s="1"/>
  <c r="O448" i="6" s="1"/>
  <c r="L448" i="6"/>
  <c r="K448" i="6"/>
  <c r="M447" i="6"/>
  <c r="N447" i="6" s="1"/>
  <c r="O447" i="6" s="1"/>
  <c r="L447" i="6"/>
  <c r="K447" i="6"/>
  <c r="M446" i="6"/>
  <c r="N446" i="6" s="1"/>
  <c r="O446" i="6" s="1"/>
  <c r="L446" i="6"/>
  <c r="K446" i="6"/>
  <c r="M445" i="6"/>
  <c r="N445" i="6" s="1"/>
  <c r="O445" i="6" s="1"/>
  <c r="L445" i="6"/>
  <c r="K445" i="6"/>
  <c r="M444" i="6"/>
  <c r="N444" i="6" s="1"/>
  <c r="O444" i="6" s="1"/>
  <c r="L444" i="6"/>
  <c r="K444" i="6"/>
  <c r="M443" i="6"/>
  <c r="N443" i="6" s="1"/>
  <c r="O443" i="6" s="1"/>
  <c r="L443" i="6"/>
  <c r="K443" i="6"/>
  <c r="M442" i="6"/>
  <c r="N442" i="6" s="1"/>
  <c r="O442" i="6" s="1"/>
  <c r="L442" i="6"/>
  <c r="K442" i="6"/>
  <c r="M441" i="6"/>
  <c r="N441" i="6" s="1"/>
  <c r="O441" i="6" s="1"/>
  <c r="L441" i="6"/>
  <c r="K441" i="6"/>
  <c r="M440" i="6"/>
  <c r="N440" i="6" s="1"/>
  <c r="O440" i="6" s="1"/>
  <c r="L440" i="6"/>
  <c r="K440" i="6"/>
  <c r="M439" i="6"/>
  <c r="N439" i="6" s="1"/>
  <c r="O439" i="6" s="1"/>
  <c r="L439" i="6"/>
  <c r="K439" i="6"/>
  <c r="M438" i="6"/>
  <c r="N438" i="6" s="1"/>
  <c r="O438" i="6" s="1"/>
  <c r="L438" i="6"/>
  <c r="K438" i="6"/>
  <c r="M437" i="6"/>
  <c r="N437" i="6" s="1"/>
  <c r="O437" i="6" s="1"/>
  <c r="L437" i="6"/>
  <c r="K437" i="6"/>
  <c r="M436" i="6"/>
  <c r="N436" i="6" s="1"/>
  <c r="O436" i="6" s="1"/>
  <c r="L436" i="6"/>
  <c r="K436" i="6"/>
  <c r="M435" i="6"/>
  <c r="N435" i="6" s="1"/>
  <c r="O435" i="6" s="1"/>
  <c r="L435" i="6"/>
  <c r="K435" i="6"/>
  <c r="M434" i="6"/>
  <c r="N434" i="6" s="1"/>
  <c r="O434" i="6" s="1"/>
  <c r="L434" i="6"/>
  <c r="K434" i="6"/>
  <c r="M433" i="6"/>
  <c r="N433" i="6" s="1"/>
  <c r="O433" i="6" s="1"/>
  <c r="L433" i="6"/>
  <c r="K433" i="6"/>
  <c r="M432" i="6"/>
  <c r="N432" i="6" s="1"/>
  <c r="O432" i="6" s="1"/>
  <c r="L432" i="6"/>
  <c r="K432" i="6"/>
  <c r="M431" i="6"/>
  <c r="N431" i="6" s="1"/>
  <c r="O431" i="6" s="1"/>
  <c r="L431" i="6"/>
  <c r="K431" i="6"/>
  <c r="M430" i="6"/>
  <c r="N430" i="6" s="1"/>
  <c r="O430" i="6" s="1"/>
  <c r="L430" i="6"/>
  <c r="K430" i="6"/>
  <c r="M429" i="6"/>
  <c r="N429" i="6" s="1"/>
  <c r="O429" i="6" s="1"/>
  <c r="L429" i="6"/>
  <c r="K429" i="6"/>
  <c r="M428" i="6"/>
  <c r="N428" i="6" s="1"/>
  <c r="O428" i="6" s="1"/>
  <c r="L428" i="6"/>
  <c r="K428" i="6"/>
  <c r="M427" i="6"/>
  <c r="N427" i="6" s="1"/>
  <c r="O427" i="6" s="1"/>
  <c r="L427" i="6"/>
  <c r="K427" i="6"/>
  <c r="M426" i="6"/>
  <c r="N426" i="6" s="1"/>
  <c r="O426" i="6" s="1"/>
  <c r="L426" i="6"/>
  <c r="K426" i="6"/>
  <c r="M425" i="6"/>
  <c r="N425" i="6" s="1"/>
  <c r="O425" i="6" s="1"/>
  <c r="L425" i="6"/>
  <c r="K425" i="6"/>
  <c r="M424" i="6"/>
  <c r="N424" i="6" s="1"/>
  <c r="O424" i="6" s="1"/>
  <c r="L424" i="6"/>
  <c r="K424" i="6"/>
  <c r="M423" i="6"/>
  <c r="N423" i="6" s="1"/>
  <c r="O423" i="6" s="1"/>
  <c r="L423" i="6"/>
  <c r="K423" i="6"/>
  <c r="M422" i="6"/>
  <c r="N422" i="6" s="1"/>
  <c r="O422" i="6" s="1"/>
  <c r="L422" i="6"/>
  <c r="K422" i="6"/>
  <c r="M421" i="6"/>
  <c r="N421" i="6" s="1"/>
  <c r="O421" i="6" s="1"/>
  <c r="L421" i="6"/>
  <c r="K421" i="6"/>
  <c r="M420" i="6"/>
  <c r="N420" i="6" s="1"/>
  <c r="O420" i="6" s="1"/>
  <c r="L420" i="6"/>
  <c r="K420" i="6"/>
  <c r="M419" i="6"/>
  <c r="N419" i="6" s="1"/>
  <c r="O419" i="6" s="1"/>
  <c r="L419" i="6"/>
  <c r="K419" i="6"/>
  <c r="M418" i="6"/>
  <c r="N418" i="6" s="1"/>
  <c r="O418" i="6" s="1"/>
  <c r="L418" i="6"/>
  <c r="K418" i="6"/>
  <c r="M417" i="6"/>
  <c r="N417" i="6" s="1"/>
  <c r="O417" i="6" s="1"/>
  <c r="L417" i="6"/>
  <c r="K417" i="6"/>
  <c r="M416" i="6"/>
  <c r="N416" i="6" s="1"/>
  <c r="O416" i="6" s="1"/>
  <c r="L416" i="6"/>
  <c r="K416" i="6"/>
  <c r="M415" i="6"/>
  <c r="N415" i="6" s="1"/>
  <c r="O415" i="6" s="1"/>
  <c r="L415" i="6"/>
  <c r="K415" i="6"/>
  <c r="M414" i="6"/>
  <c r="N414" i="6" s="1"/>
  <c r="O414" i="6" s="1"/>
  <c r="L414" i="6"/>
  <c r="K414" i="6"/>
  <c r="M413" i="6"/>
  <c r="N413" i="6" s="1"/>
  <c r="O413" i="6" s="1"/>
  <c r="L413" i="6"/>
  <c r="K413" i="6"/>
  <c r="M412" i="6"/>
  <c r="N412" i="6" s="1"/>
  <c r="O412" i="6" s="1"/>
  <c r="L412" i="6"/>
  <c r="K412" i="6"/>
  <c r="M411" i="6"/>
  <c r="N411" i="6" s="1"/>
  <c r="O411" i="6" s="1"/>
  <c r="L411" i="6"/>
  <c r="K411" i="6"/>
  <c r="M410" i="6"/>
  <c r="N410" i="6" s="1"/>
  <c r="O410" i="6" s="1"/>
  <c r="L410" i="6"/>
  <c r="K410" i="6"/>
  <c r="M409" i="6"/>
  <c r="N409" i="6" s="1"/>
  <c r="O409" i="6" s="1"/>
  <c r="L409" i="6"/>
  <c r="K409" i="6"/>
  <c r="M408" i="6"/>
  <c r="N408" i="6" s="1"/>
  <c r="O408" i="6" s="1"/>
  <c r="L408" i="6"/>
  <c r="K408" i="6"/>
  <c r="M407" i="6"/>
  <c r="N407" i="6" s="1"/>
  <c r="O407" i="6" s="1"/>
  <c r="L407" i="6"/>
  <c r="K407" i="6"/>
  <c r="M405" i="6"/>
  <c r="N405" i="6" s="1"/>
  <c r="O405" i="6" s="1"/>
  <c r="L405" i="6"/>
  <c r="K405" i="6"/>
  <c r="M404" i="6"/>
  <c r="N404" i="6" s="1"/>
  <c r="O404" i="6" s="1"/>
  <c r="L404" i="6"/>
  <c r="K404" i="6"/>
  <c r="M403" i="6"/>
  <c r="N403" i="6" s="1"/>
  <c r="O403" i="6" s="1"/>
  <c r="L403" i="6"/>
  <c r="K403" i="6"/>
  <c r="M402" i="6"/>
  <c r="N402" i="6" s="1"/>
  <c r="O402" i="6" s="1"/>
  <c r="L402" i="6"/>
  <c r="K402" i="6"/>
  <c r="M401" i="6"/>
  <c r="N401" i="6" s="1"/>
  <c r="O401" i="6" s="1"/>
  <c r="L401" i="6"/>
  <c r="K401" i="6"/>
  <c r="M400" i="6"/>
  <c r="N400" i="6" s="1"/>
  <c r="O400" i="6" s="1"/>
  <c r="L400" i="6"/>
  <c r="K400" i="6"/>
  <c r="M399" i="6"/>
  <c r="N399" i="6" s="1"/>
  <c r="O399" i="6" s="1"/>
  <c r="L399" i="6"/>
  <c r="K399" i="6"/>
  <c r="M398" i="6"/>
  <c r="N398" i="6" s="1"/>
  <c r="O398" i="6" s="1"/>
  <c r="L398" i="6"/>
  <c r="K398" i="6"/>
  <c r="M396" i="6"/>
  <c r="N396" i="6" s="1"/>
  <c r="O396" i="6" s="1"/>
  <c r="L396" i="6"/>
  <c r="K396" i="6"/>
  <c r="M395" i="6"/>
  <c r="N395" i="6" s="1"/>
  <c r="O395" i="6" s="1"/>
  <c r="L395" i="6"/>
  <c r="K395" i="6"/>
  <c r="M394" i="6"/>
  <c r="N394" i="6" s="1"/>
  <c r="O394" i="6" s="1"/>
  <c r="L394" i="6"/>
  <c r="K394" i="6"/>
  <c r="M393" i="6"/>
  <c r="N393" i="6" s="1"/>
  <c r="O393" i="6" s="1"/>
  <c r="L393" i="6"/>
  <c r="K393" i="6"/>
  <c r="M392" i="6"/>
  <c r="N392" i="6" s="1"/>
  <c r="O392" i="6" s="1"/>
  <c r="L392" i="6"/>
  <c r="K392" i="6"/>
  <c r="M391" i="6"/>
  <c r="N391" i="6" s="1"/>
  <c r="O391" i="6" s="1"/>
  <c r="L391" i="6"/>
  <c r="K391" i="6"/>
  <c r="M390" i="6"/>
  <c r="N390" i="6" s="1"/>
  <c r="O390" i="6" s="1"/>
  <c r="L390" i="6"/>
  <c r="K390" i="6"/>
  <c r="M389" i="6"/>
  <c r="N389" i="6" s="1"/>
  <c r="O389" i="6" s="1"/>
  <c r="L389" i="6"/>
  <c r="K389" i="6"/>
  <c r="M388" i="6"/>
  <c r="N388" i="6" s="1"/>
  <c r="O388" i="6" s="1"/>
  <c r="L388" i="6"/>
  <c r="K388" i="6"/>
  <c r="M387" i="6"/>
  <c r="N387" i="6" s="1"/>
  <c r="O387" i="6" s="1"/>
  <c r="L387" i="6"/>
  <c r="K387" i="6"/>
  <c r="M386" i="6"/>
  <c r="N386" i="6" s="1"/>
  <c r="O386" i="6" s="1"/>
  <c r="L386" i="6"/>
  <c r="K386" i="6"/>
  <c r="M385" i="6"/>
  <c r="N385" i="6" s="1"/>
  <c r="O385" i="6" s="1"/>
  <c r="L385" i="6"/>
  <c r="K385" i="6"/>
  <c r="M384" i="6"/>
  <c r="N384" i="6" s="1"/>
  <c r="O384" i="6" s="1"/>
  <c r="L384" i="6"/>
  <c r="K384" i="6"/>
  <c r="M383" i="6"/>
  <c r="N383" i="6" s="1"/>
  <c r="O383" i="6" s="1"/>
  <c r="L383" i="6"/>
  <c r="K383" i="6"/>
  <c r="M382" i="6"/>
  <c r="N382" i="6" s="1"/>
  <c r="O382" i="6" s="1"/>
  <c r="L382" i="6"/>
  <c r="K382" i="6"/>
  <c r="M381" i="6"/>
  <c r="N381" i="6" s="1"/>
  <c r="O381" i="6" s="1"/>
  <c r="L381" i="6"/>
  <c r="K381" i="6"/>
  <c r="M380" i="6"/>
  <c r="N380" i="6" s="1"/>
  <c r="O380" i="6" s="1"/>
  <c r="L380" i="6"/>
  <c r="K380" i="6"/>
  <c r="M379" i="6"/>
  <c r="N379" i="6" s="1"/>
  <c r="O379" i="6" s="1"/>
  <c r="L379" i="6"/>
  <c r="K379" i="6"/>
  <c r="M378" i="6"/>
  <c r="N378" i="6" s="1"/>
  <c r="O378" i="6" s="1"/>
  <c r="L378" i="6"/>
  <c r="K378" i="6"/>
  <c r="M377" i="6"/>
  <c r="N377" i="6" s="1"/>
  <c r="O377" i="6" s="1"/>
  <c r="L377" i="6"/>
  <c r="K377" i="6"/>
  <c r="M376" i="6"/>
  <c r="N376" i="6" s="1"/>
  <c r="O376" i="6" s="1"/>
  <c r="L376" i="6"/>
  <c r="K376" i="6"/>
  <c r="M374" i="6"/>
  <c r="N374" i="6" s="1"/>
  <c r="O374" i="6" s="1"/>
  <c r="L374" i="6"/>
  <c r="K374" i="6"/>
  <c r="M373" i="6"/>
  <c r="N373" i="6" s="1"/>
  <c r="O373" i="6" s="1"/>
  <c r="L373" i="6"/>
  <c r="K373" i="6"/>
  <c r="M372" i="6"/>
  <c r="N372" i="6" s="1"/>
  <c r="O372" i="6" s="1"/>
  <c r="L372" i="6"/>
  <c r="K372" i="6"/>
  <c r="M371" i="6"/>
  <c r="N371" i="6" s="1"/>
  <c r="O371" i="6" s="1"/>
  <c r="L371" i="6"/>
  <c r="K371" i="6"/>
  <c r="M368" i="6"/>
  <c r="N368" i="6" s="1"/>
  <c r="O368" i="6" s="1"/>
  <c r="L368" i="6"/>
  <c r="K368" i="6"/>
  <c r="M367" i="6"/>
  <c r="N367" i="6" s="1"/>
  <c r="O367" i="6" s="1"/>
  <c r="L367" i="6"/>
  <c r="K367" i="6"/>
  <c r="M366" i="6"/>
  <c r="N366" i="6" s="1"/>
  <c r="O366" i="6" s="1"/>
  <c r="L366" i="6"/>
  <c r="K366" i="6"/>
  <c r="M365" i="6"/>
  <c r="N365" i="6" s="1"/>
  <c r="O365" i="6" s="1"/>
  <c r="L365" i="6"/>
  <c r="K365" i="6"/>
  <c r="M363" i="6"/>
  <c r="N363" i="6" s="1"/>
  <c r="O363" i="6" s="1"/>
  <c r="L363" i="6"/>
  <c r="K363" i="6"/>
  <c r="M362" i="6"/>
  <c r="N362" i="6" s="1"/>
  <c r="O362" i="6" s="1"/>
  <c r="L362" i="6"/>
  <c r="K362" i="6"/>
  <c r="M359" i="6"/>
  <c r="N359" i="6" s="1"/>
  <c r="O359" i="6" s="1"/>
  <c r="L359" i="6"/>
  <c r="K359" i="6"/>
  <c r="M358" i="6"/>
  <c r="N358" i="6" s="1"/>
  <c r="O358" i="6" s="1"/>
  <c r="L358" i="6"/>
  <c r="K358" i="6"/>
  <c r="M357" i="6"/>
  <c r="N357" i="6" s="1"/>
  <c r="O357" i="6" s="1"/>
  <c r="L357" i="6"/>
  <c r="K357" i="6"/>
  <c r="M356" i="6"/>
  <c r="N356" i="6" s="1"/>
  <c r="O356" i="6" s="1"/>
  <c r="L356" i="6"/>
  <c r="K356" i="6"/>
  <c r="M351" i="6"/>
  <c r="N351" i="6" s="1"/>
  <c r="O351" i="6" s="1"/>
  <c r="L351" i="6"/>
  <c r="K351" i="6"/>
  <c r="M350" i="6"/>
  <c r="N350" i="6" s="1"/>
  <c r="O350" i="6" s="1"/>
  <c r="L350" i="6"/>
  <c r="K350" i="6"/>
  <c r="M346" i="6"/>
  <c r="N346" i="6" s="1"/>
  <c r="O346" i="6" s="1"/>
  <c r="L346" i="6"/>
  <c r="K346" i="6"/>
  <c r="M343" i="6"/>
  <c r="N343" i="6" s="1"/>
  <c r="O343" i="6" s="1"/>
  <c r="L343" i="6"/>
  <c r="K343" i="6"/>
  <c r="M342" i="6"/>
  <c r="N342" i="6" s="1"/>
  <c r="O342" i="6" s="1"/>
  <c r="L342" i="6"/>
  <c r="K342" i="6"/>
  <c r="M341" i="6"/>
  <c r="N341" i="6" s="1"/>
  <c r="O341" i="6" s="1"/>
  <c r="L341" i="6"/>
  <c r="K341" i="6"/>
  <c r="M340" i="6"/>
  <c r="N340" i="6" s="1"/>
  <c r="O340" i="6" s="1"/>
  <c r="L340" i="6"/>
  <c r="K340" i="6"/>
  <c r="M339" i="6"/>
  <c r="N339" i="6" s="1"/>
  <c r="O339" i="6" s="1"/>
  <c r="L339" i="6"/>
  <c r="K339" i="6"/>
  <c r="M338" i="6"/>
  <c r="N338" i="6" s="1"/>
  <c r="O338" i="6" s="1"/>
  <c r="L338" i="6"/>
  <c r="K338" i="6"/>
  <c r="M337" i="6"/>
  <c r="N337" i="6" s="1"/>
  <c r="O337" i="6" s="1"/>
  <c r="L337" i="6"/>
  <c r="K337" i="6"/>
  <c r="M336" i="6"/>
  <c r="N336" i="6" s="1"/>
  <c r="O336" i="6" s="1"/>
  <c r="L336" i="6"/>
  <c r="K336" i="6"/>
  <c r="M334" i="6"/>
  <c r="N334" i="6" s="1"/>
  <c r="O334" i="6" s="1"/>
  <c r="L334" i="6"/>
  <c r="K334" i="6"/>
  <c r="M333" i="6"/>
  <c r="N333" i="6" s="1"/>
  <c r="O333" i="6" s="1"/>
  <c r="L333" i="6"/>
  <c r="K333" i="6"/>
  <c r="M331" i="6"/>
  <c r="N331" i="6" s="1"/>
  <c r="O331" i="6" s="1"/>
  <c r="L331" i="6"/>
  <c r="K331" i="6"/>
  <c r="M330" i="6"/>
  <c r="N330" i="6" s="1"/>
  <c r="O330" i="6" s="1"/>
  <c r="L330" i="6"/>
  <c r="K330" i="6"/>
  <c r="M329" i="6"/>
  <c r="N329" i="6" s="1"/>
  <c r="O329" i="6" s="1"/>
  <c r="L329" i="6"/>
  <c r="K329" i="6"/>
  <c r="M328" i="6"/>
  <c r="N328" i="6" s="1"/>
  <c r="O328" i="6" s="1"/>
  <c r="L328" i="6"/>
  <c r="K328" i="6"/>
  <c r="M327" i="6"/>
  <c r="N327" i="6" s="1"/>
  <c r="O327" i="6" s="1"/>
  <c r="L327" i="6"/>
  <c r="K327" i="6"/>
  <c r="M326" i="6"/>
  <c r="N326" i="6" s="1"/>
  <c r="O326" i="6" s="1"/>
  <c r="L326" i="6"/>
  <c r="K326" i="6"/>
  <c r="M325" i="6"/>
  <c r="N325" i="6" s="1"/>
  <c r="O325" i="6" s="1"/>
  <c r="L325" i="6"/>
  <c r="K325" i="6"/>
  <c r="M324" i="6"/>
  <c r="N324" i="6" s="1"/>
  <c r="O324" i="6" s="1"/>
  <c r="L324" i="6"/>
  <c r="K324" i="6"/>
  <c r="M323" i="6"/>
  <c r="N323" i="6" s="1"/>
  <c r="O323" i="6" s="1"/>
  <c r="L323" i="6"/>
  <c r="K323" i="6"/>
  <c r="M322" i="6"/>
  <c r="N322" i="6" s="1"/>
  <c r="O322" i="6" s="1"/>
  <c r="L322" i="6"/>
  <c r="K322" i="6"/>
  <c r="M321" i="6"/>
  <c r="N321" i="6" s="1"/>
  <c r="O321" i="6" s="1"/>
  <c r="L321" i="6"/>
  <c r="K321" i="6"/>
  <c r="M320" i="6"/>
  <c r="N320" i="6" s="1"/>
  <c r="O320" i="6" s="1"/>
  <c r="L320" i="6"/>
  <c r="K320" i="6"/>
  <c r="M317" i="6"/>
  <c r="N317" i="6" s="1"/>
  <c r="O317" i="6" s="1"/>
  <c r="L317" i="6"/>
  <c r="K317" i="6"/>
  <c r="M316" i="6"/>
  <c r="N316" i="6" s="1"/>
  <c r="O316" i="6" s="1"/>
  <c r="L316" i="6"/>
  <c r="K316" i="6"/>
  <c r="M315" i="6"/>
  <c r="N315" i="6" s="1"/>
  <c r="O315" i="6" s="1"/>
  <c r="L315" i="6"/>
  <c r="K315" i="6"/>
  <c r="M313" i="6"/>
  <c r="N313" i="6" s="1"/>
  <c r="O313" i="6" s="1"/>
  <c r="L313" i="6"/>
  <c r="K313" i="6"/>
  <c r="M311" i="6"/>
  <c r="N311" i="6" s="1"/>
  <c r="O311" i="6" s="1"/>
  <c r="L311" i="6"/>
  <c r="K311" i="6"/>
  <c r="M310" i="6"/>
  <c r="N310" i="6" s="1"/>
  <c r="O310" i="6" s="1"/>
  <c r="L310" i="6"/>
  <c r="K310" i="6"/>
  <c r="M308" i="6"/>
  <c r="N308" i="6" s="1"/>
  <c r="O308" i="6" s="1"/>
  <c r="L308" i="6"/>
  <c r="K308" i="6"/>
  <c r="M307" i="6"/>
  <c r="N307" i="6" s="1"/>
  <c r="O307" i="6" s="1"/>
  <c r="L307" i="6"/>
  <c r="K307" i="6"/>
  <c r="M306" i="6"/>
  <c r="N306" i="6" s="1"/>
  <c r="O306" i="6" s="1"/>
  <c r="L306" i="6"/>
  <c r="K306" i="6"/>
  <c r="M305" i="6"/>
  <c r="N305" i="6" s="1"/>
  <c r="O305" i="6" s="1"/>
  <c r="L305" i="6"/>
  <c r="K305" i="6"/>
  <c r="M304" i="6"/>
  <c r="N304" i="6" s="1"/>
  <c r="O304" i="6" s="1"/>
  <c r="L304" i="6"/>
  <c r="K304" i="6"/>
  <c r="M303" i="6"/>
  <c r="N303" i="6" s="1"/>
  <c r="O303" i="6" s="1"/>
  <c r="L303" i="6"/>
  <c r="K303" i="6"/>
  <c r="M302" i="6"/>
  <c r="N302" i="6" s="1"/>
  <c r="O302" i="6" s="1"/>
  <c r="L302" i="6"/>
  <c r="K302" i="6"/>
  <c r="M301" i="6"/>
  <c r="N301" i="6" s="1"/>
  <c r="O301" i="6" s="1"/>
  <c r="L301" i="6"/>
  <c r="K301" i="6"/>
  <c r="M300" i="6"/>
  <c r="N300" i="6" s="1"/>
  <c r="O300" i="6" s="1"/>
  <c r="L300" i="6"/>
  <c r="K300" i="6"/>
  <c r="M298" i="6"/>
  <c r="N298" i="6" s="1"/>
  <c r="O298" i="6" s="1"/>
  <c r="L298" i="6"/>
  <c r="K298" i="6"/>
  <c r="M297" i="6"/>
  <c r="N297" i="6" s="1"/>
  <c r="O297" i="6" s="1"/>
  <c r="L297" i="6"/>
  <c r="K297" i="6"/>
  <c r="M295" i="6"/>
  <c r="N295" i="6" s="1"/>
  <c r="O295" i="6" s="1"/>
  <c r="L295" i="6"/>
  <c r="K295" i="6"/>
  <c r="M294" i="6"/>
  <c r="N294" i="6" s="1"/>
  <c r="O294" i="6" s="1"/>
  <c r="L294" i="6"/>
  <c r="K294" i="6"/>
  <c r="M293" i="6"/>
  <c r="N293" i="6" s="1"/>
  <c r="O293" i="6" s="1"/>
  <c r="L293" i="6"/>
  <c r="K293" i="6"/>
  <c r="M292" i="6"/>
  <c r="N292" i="6" s="1"/>
  <c r="O292" i="6" s="1"/>
  <c r="L292" i="6"/>
  <c r="K292" i="6"/>
  <c r="M291" i="6"/>
  <c r="N291" i="6" s="1"/>
  <c r="O291" i="6" s="1"/>
  <c r="L291" i="6"/>
  <c r="K291" i="6"/>
  <c r="M290" i="6"/>
  <c r="N290" i="6" s="1"/>
  <c r="O290" i="6" s="1"/>
  <c r="L290" i="6"/>
  <c r="K290" i="6"/>
  <c r="M289" i="6"/>
  <c r="N289" i="6" s="1"/>
  <c r="O289" i="6" s="1"/>
  <c r="L289" i="6"/>
  <c r="K289" i="6"/>
  <c r="M288" i="6"/>
  <c r="N288" i="6" s="1"/>
  <c r="O288" i="6" s="1"/>
  <c r="L288" i="6"/>
  <c r="K288" i="6"/>
  <c r="M287" i="6"/>
  <c r="N287" i="6" s="1"/>
  <c r="O287" i="6" s="1"/>
  <c r="L287" i="6"/>
  <c r="K287" i="6"/>
  <c r="M286" i="6"/>
  <c r="N286" i="6" s="1"/>
  <c r="O286" i="6" s="1"/>
  <c r="L286" i="6"/>
  <c r="K286" i="6"/>
  <c r="M285" i="6"/>
  <c r="N285" i="6" s="1"/>
  <c r="O285" i="6" s="1"/>
  <c r="L285" i="6"/>
  <c r="K285" i="6"/>
  <c r="M284" i="6"/>
  <c r="N284" i="6" s="1"/>
  <c r="O284" i="6" s="1"/>
  <c r="L284" i="6"/>
  <c r="K284" i="6"/>
  <c r="M283" i="6"/>
  <c r="N283" i="6" s="1"/>
  <c r="O283" i="6" s="1"/>
  <c r="L283" i="6"/>
  <c r="K283" i="6"/>
  <c r="M282" i="6"/>
  <c r="N282" i="6" s="1"/>
  <c r="O282" i="6" s="1"/>
  <c r="L282" i="6"/>
  <c r="K282" i="6"/>
  <c r="M281" i="6"/>
  <c r="N281" i="6" s="1"/>
  <c r="O281" i="6" s="1"/>
  <c r="L281" i="6"/>
  <c r="K281" i="6"/>
  <c r="M280" i="6"/>
  <c r="N280" i="6" s="1"/>
  <c r="O280" i="6" s="1"/>
  <c r="L280" i="6"/>
  <c r="K280" i="6"/>
  <c r="M279" i="6"/>
  <c r="N279" i="6" s="1"/>
  <c r="O279" i="6" s="1"/>
  <c r="L279" i="6"/>
  <c r="K279" i="6"/>
  <c r="M278" i="6"/>
  <c r="N278" i="6" s="1"/>
  <c r="O278" i="6" s="1"/>
  <c r="L278" i="6"/>
  <c r="K278" i="6"/>
  <c r="M277" i="6"/>
  <c r="N277" i="6" s="1"/>
  <c r="O277" i="6" s="1"/>
  <c r="L277" i="6"/>
  <c r="K277" i="6"/>
  <c r="M276" i="6"/>
  <c r="N276" i="6" s="1"/>
  <c r="O276" i="6" s="1"/>
  <c r="L276" i="6"/>
  <c r="K276" i="6"/>
  <c r="M275" i="6"/>
  <c r="N275" i="6" s="1"/>
  <c r="O275" i="6" s="1"/>
  <c r="L275" i="6"/>
  <c r="K275" i="6"/>
  <c r="M274" i="6"/>
  <c r="N274" i="6" s="1"/>
  <c r="O274" i="6" s="1"/>
  <c r="L274" i="6"/>
  <c r="K274" i="6"/>
  <c r="M273" i="6"/>
  <c r="N273" i="6" s="1"/>
  <c r="O273" i="6" s="1"/>
  <c r="L273" i="6"/>
  <c r="K273" i="6"/>
  <c r="M272" i="6"/>
  <c r="N272" i="6" s="1"/>
  <c r="O272" i="6" s="1"/>
  <c r="L272" i="6"/>
  <c r="K272" i="6"/>
  <c r="M271" i="6"/>
  <c r="N271" i="6" s="1"/>
  <c r="O271" i="6" s="1"/>
  <c r="L271" i="6"/>
  <c r="K271" i="6"/>
  <c r="M270" i="6"/>
  <c r="N270" i="6" s="1"/>
  <c r="O270" i="6" s="1"/>
  <c r="L270" i="6"/>
  <c r="K270" i="6"/>
  <c r="M269" i="6"/>
  <c r="N269" i="6" s="1"/>
  <c r="O269" i="6" s="1"/>
  <c r="L269" i="6"/>
  <c r="K269" i="6"/>
  <c r="M268" i="6"/>
  <c r="N268" i="6" s="1"/>
  <c r="O268" i="6" s="1"/>
  <c r="L268" i="6"/>
  <c r="K268" i="6"/>
  <c r="M267" i="6"/>
  <c r="N267" i="6" s="1"/>
  <c r="O267" i="6" s="1"/>
  <c r="L267" i="6"/>
  <c r="K267" i="6"/>
  <c r="M266" i="6"/>
  <c r="N266" i="6" s="1"/>
  <c r="O266" i="6" s="1"/>
  <c r="L266" i="6"/>
  <c r="K266" i="6"/>
  <c r="M265" i="6"/>
  <c r="N265" i="6" s="1"/>
  <c r="O265" i="6" s="1"/>
  <c r="L265" i="6"/>
  <c r="K265" i="6"/>
  <c r="M264" i="6"/>
  <c r="N264" i="6" s="1"/>
  <c r="O264" i="6" s="1"/>
  <c r="L264" i="6"/>
  <c r="K264" i="6"/>
  <c r="M263" i="6"/>
  <c r="N263" i="6" s="1"/>
  <c r="O263" i="6" s="1"/>
  <c r="L263" i="6"/>
  <c r="K263" i="6"/>
  <c r="M262" i="6"/>
  <c r="N262" i="6" s="1"/>
  <c r="O262" i="6" s="1"/>
  <c r="L262" i="6"/>
  <c r="K262" i="6"/>
  <c r="M261" i="6"/>
  <c r="N261" i="6" s="1"/>
  <c r="O261" i="6" s="1"/>
  <c r="L261" i="6"/>
  <c r="K261" i="6"/>
  <c r="M260" i="6"/>
  <c r="N260" i="6" s="1"/>
  <c r="O260" i="6" s="1"/>
  <c r="L260" i="6"/>
  <c r="K260" i="6"/>
  <c r="M259" i="6"/>
  <c r="N259" i="6" s="1"/>
  <c r="O259" i="6" s="1"/>
  <c r="L259" i="6"/>
  <c r="K259" i="6"/>
  <c r="M258" i="6"/>
  <c r="N258" i="6" s="1"/>
  <c r="O258" i="6" s="1"/>
  <c r="L258" i="6"/>
  <c r="K258" i="6"/>
  <c r="M257" i="6"/>
  <c r="N257" i="6" s="1"/>
  <c r="O257" i="6" s="1"/>
  <c r="L257" i="6"/>
  <c r="K257" i="6"/>
  <c r="M256" i="6"/>
  <c r="N256" i="6" s="1"/>
  <c r="O256" i="6" s="1"/>
  <c r="L256" i="6"/>
  <c r="K256" i="6"/>
  <c r="M255" i="6"/>
  <c r="N255" i="6" s="1"/>
  <c r="O255" i="6" s="1"/>
  <c r="L255" i="6"/>
  <c r="K255" i="6"/>
  <c r="M254" i="6"/>
  <c r="N254" i="6" s="1"/>
  <c r="O254" i="6" s="1"/>
  <c r="L254" i="6"/>
  <c r="K254" i="6"/>
  <c r="M253" i="6"/>
  <c r="N253" i="6" s="1"/>
  <c r="O253" i="6" s="1"/>
  <c r="L253" i="6"/>
  <c r="K253" i="6"/>
  <c r="M252" i="6"/>
  <c r="N252" i="6" s="1"/>
  <c r="O252" i="6" s="1"/>
  <c r="L252" i="6"/>
  <c r="K252" i="6"/>
  <c r="M251" i="6"/>
  <c r="N251" i="6" s="1"/>
  <c r="O251" i="6" s="1"/>
  <c r="L251" i="6"/>
  <c r="K251" i="6"/>
  <c r="M250" i="6"/>
  <c r="N250" i="6" s="1"/>
  <c r="O250" i="6" s="1"/>
  <c r="L250" i="6"/>
  <c r="K250" i="6"/>
  <c r="M249" i="6"/>
  <c r="N249" i="6" s="1"/>
  <c r="O249" i="6" s="1"/>
  <c r="L249" i="6"/>
  <c r="K249" i="6"/>
  <c r="M248" i="6"/>
  <c r="N248" i="6" s="1"/>
  <c r="O248" i="6" s="1"/>
  <c r="L248" i="6"/>
  <c r="K248" i="6"/>
  <c r="M247" i="6"/>
  <c r="N247" i="6" s="1"/>
  <c r="O247" i="6" s="1"/>
  <c r="L247" i="6"/>
  <c r="K247" i="6"/>
  <c r="M246" i="6"/>
  <c r="N246" i="6" s="1"/>
  <c r="O246" i="6" s="1"/>
  <c r="L246" i="6"/>
  <c r="K246" i="6"/>
  <c r="M245" i="6"/>
  <c r="N245" i="6" s="1"/>
  <c r="O245" i="6" s="1"/>
  <c r="L245" i="6"/>
  <c r="K245" i="6"/>
  <c r="M244" i="6"/>
  <c r="N244" i="6" s="1"/>
  <c r="O244" i="6" s="1"/>
  <c r="L244" i="6"/>
  <c r="K244" i="6"/>
  <c r="M243" i="6"/>
  <c r="N243" i="6" s="1"/>
  <c r="O243" i="6" s="1"/>
  <c r="L243" i="6"/>
  <c r="K243" i="6"/>
  <c r="M242" i="6"/>
  <c r="N242" i="6" s="1"/>
  <c r="O242" i="6" s="1"/>
  <c r="L242" i="6"/>
  <c r="K242" i="6"/>
  <c r="M241" i="6"/>
  <c r="N241" i="6" s="1"/>
  <c r="O241" i="6" s="1"/>
  <c r="L241" i="6"/>
  <c r="K241" i="6"/>
  <c r="M240" i="6"/>
  <c r="N240" i="6" s="1"/>
  <c r="O240" i="6" s="1"/>
  <c r="L240" i="6"/>
  <c r="K240" i="6"/>
  <c r="M239" i="6"/>
  <c r="N239" i="6" s="1"/>
  <c r="O239" i="6" s="1"/>
  <c r="L239" i="6"/>
  <c r="K239" i="6"/>
  <c r="M238" i="6"/>
  <c r="N238" i="6" s="1"/>
  <c r="O238" i="6" s="1"/>
  <c r="L238" i="6"/>
  <c r="K238" i="6"/>
  <c r="M237" i="6"/>
  <c r="N237" i="6" s="1"/>
  <c r="O237" i="6" s="1"/>
  <c r="L237" i="6"/>
  <c r="K237" i="6"/>
  <c r="M236" i="6"/>
  <c r="N236" i="6" s="1"/>
  <c r="O236" i="6" s="1"/>
  <c r="L236" i="6"/>
  <c r="K236" i="6"/>
  <c r="M235" i="6"/>
  <c r="N235" i="6" s="1"/>
  <c r="O235" i="6" s="1"/>
  <c r="L235" i="6"/>
  <c r="K235" i="6"/>
  <c r="M234" i="6"/>
  <c r="N234" i="6" s="1"/>
  <c r="O234" i="6" s="1"/>
  <c r="L234" i="6"/>
  <c r="K234" i="6"/>
  <c r="M233" i="6"/>
  <c r="N233" i="6" s="1"/>
  <c r="O233" i="6" s="1"/>
  <c r="L233" i="6"/>
  <c r="K233" i="6"/>
  <c r="M230" i="6"/>
  <c r="N230" i="6" s="1"/>
  <c r="O230" i="6" s="1"/>
  <c r="L230" i="6"/>
  <c r="K230" i="6"/>
  <c r="M229" i="6"/>
  <c r="N229" i="6" s="1"/>
  <c r="O229" i="6" s="1"/>
  <c r="L229" i="6"/>
  <c r="K229" i="6"/>
  <c r="M228" i="6"/>
  <c r="N228" i="6" s="1"/>
  <c r="O228" i="6" s="1"/>
  <c r="L228" i="6"/>
  <c r="K228" i="6"/>
  <c r="M227" i="6"/>
  <c r="N227" i="6" s="1"/>
  <c r="O227" i="6" s="1"/>
  <c r="L227" i="6"/>
  <c r="K227" i="6"/>
  <c r="M226" i="6"/>
  <c r="N226" i="6" s="1"/>
  <c r="O226" i="6" s="1"/>
  <c r="L226" i="6"/>
  <c r="K226" i="6"/>
  <c r="M225" i="6"/>
  <c r="N225" i="6" s="1"/>
  <c r="O225" i="6" s="1"/>
  <c r="L225" i="6"/>
  <c r="K225" i="6"/>
  <c r="M224" i="6"/>
  <c r="N224" i="6" s="1"/>
  <c r="O224" i="6" s="1"/>
  <c r="L224" i="6"/>
  <c r="K224" i="6"/>
  <c r="M223" i="6"/>
  <c r="N223" i="6" s="1"/>
  <c r="O223" i="6" s="1"/>
  <c r="L223" i="6"/>
  <c r="K223" i="6"/>
  <c r="M222" i="6"/>
  <c r="N222" i="6" s="1"/>
  <c r="O222" i="6" s="1"/>
  <c r="L222" i="6"/>
  <c r="K222" i="6"/>
  <c r="M221" i="6"/>
  <c r="N221" i="6" s="1"/>
  <c r="O221" i="6" s="1"/>
  <c r="L221" i="6"/>
  <c r="K221" i="6"/>
  <c r="M220" i="6"/>
  <c r="N220" i="6" s="1"/>
  <c r="O220" i="6" s="1"/>
  <c r="L220" i="6"/>
  <c r="K220" i="6"/>
  <c r="M219" i="6"/>
  <c r="N219" i="6" s="1"/>
  <c r="O219" i="6" s="1"/>
  <c r="L219" i="6"/>
  <c r="K219" i="6"/>
  <c r="M218" i="6"/>
  <c r="N218" i="6" s="1"/>
  <c r="O218" i="6" s="1"/>
  <c r="L218" i="6"/>
  <c r="K218" i="6"/>
  <c r="M217" i="6"/>
  <c r="N217" i="6" s="1"/>
  <c r="O217" i="6" s="1"/>
  <c r="L217" i="6"/>
  <c r="K217" i="6"/>
  <c r="M216" i="6"/>
  <c r="N216" i="6" s="1"/>
  <c r="O216" i="6" s="1"/>
  <c r="L216" i="6"/>
  <c r="K216" i="6"/>
  <c r="M215" i="6"/>
  <c r="N215" i="6" s="1"/>
  <c r="O215" i="6" s="1"/>
  <c r="L215" i="6"/>
  <c r="K215" i="6"/>
  <c r="M214" i="6"/>
  <c r="N214" i="6" s="1"/>
  <c r="O214" i="6" s="1"/>
  <c r="L214" i="6"/>
  <c r="K214" i="6"/>
  <c r="M213" i="6"/>
  <c r="N213" i="6" s="1"/>
  <c r="O213" i="6" s="1"/>
  <c r="L213" i="6"/>
  <c r="K213" i="6"/>
  <c r="M212" i="6"/>
  <c r="N212" i="6" s="1"/>
  <c r="O212" i="6" s="1"/>
  <c r="L212" i="6"/>
  <c r="K212" i="6"/>
  <c r="M211" i="6"/>
  <c r="N211" i="6" s="1"/>
  <c r="O211" i="6" s="1"/>
  <c r="L211" i="6"/>
  <c r="K211" i="6"/>
  <c r="M210" i="6"/>
  <c r="N210" i="6" s="1"/>
  <c r="O210" i="6" s="1"/>
  <c r="L210" i="6"/>
  <c r="K210" i="6"/>
  <c r="M209" i="6"/>
  <c r="N209" i="6" s="1"/>
  <c r="O209" i="6" s="1"/>
  <c r="L209" i="6"/>
  <c r="K209" i="6"/>
  <c r="M208" i="6"/>
  <c r="N208" i="6" s="1"/>
  <c r="O208" i="6" s="1"/>
  <c r="L208" i="6"/>
  <c r="K208" i="6"/>
  <c r="M207" i="6"/>
  <c r="N207" i="6" s="1"/>
  <c r="O207" i="6" s="1"/>
  <c r="L207" i="6"/>
  <c r="K207" i="6"/>
  <c r="M206" i="6"/>
  <c r="N206" i="6" s="1"/>
  <c r="O206" i="6" s="1"/>
  <c r="L206" i="6"/>
  <c r="K206" i="6"/>
  <c r="M205" i="6"/>
  <c r="N205" i="6" s="1"/>
  <c r="O205" i="6" s="1"/>
  <c r="L205" i="6"/>
  <c r="K205" i="6"/>
  <c r="M204" i="6"/>
  <c r="N204" i="6" s="1"/>
  <c r="O204" i="6" s="1"/>
  <c r="L204" i="6"/>
  <c r="K204" i="6"/>
  <c r="M203" i="6"/>
  <c r="N203" i="6" s="1"/>
  <c r="O203" i="6" s="1"/>
  <c r="L203" i="6"/>
  <c r="K203" i="6"/>
  <c r="M202" i="6"/>
  <c r="N202" i="6" s="1"/>
  <c r="O202" i="6" s="1"/>
  <c r="L202" i="6"/>
  <c r="K202" i="6"/>
  <c r="M201" i="6"/>
  <c r="N201" i="6" s="1"/>
  <c r="O201" i="6" s="1"/>
  <c r="L201" i="6"/>
  <c r="K201" i="6"/>
  <c r="M200" i="6"/>
  <c r="N200" i="6" s="1"/>
  <c r="O200" i="6" s="1"/>
  <c r="L200" i="6"/>
  <c r="K200" i="6"/>
  <c r="M199" i="6"/>
  <c r="N199" i="6" s="1"/>
  <c r="O199" i="6" s="1"/>
  <c r="L199" i="6"/>
  <c r="K199" i="6"/>
  <c r="M198" i="6"/>
  <c r="N198" i="6" s="1"/>
  <c r="O198" i="6" s="1"/>
  <c r="L198" i="6"/>
  <c r="K198" i="6"/>
  <c r="M197" i="6"/>
  <c r="N197" i="6" s="1"/>
  <c r="O197" i="6" s="1"/>
  <c r="L197" i="6"/>
  <c r="K197" i="6"/>
  <c r="M196" i="6"/>
  <c r="N196" i="6" s="1"/>
  <c r="O196" i="6" s="1"/>
  <c r="L196" i="6"/>
  <c r="K196" i="6"/>
  <c r="M195" i="6"/>
  <c r="N195" i="6" s="1"/>
  <c r="O195" i="6" s="1"/>
  <c r="L195" i="6"/>
  <c r="K195" i="6"/>
  <c r="M194" i="6"/>
  <c r="N194" i="6" s="1"/>
  <c r="O194" i="6" s="1"/>
  <c r="L194" i="6"/>
  <c r="K194" i="6"/>
  <c r="M193" i="6"/>
  <c r="N193" i="6" s="1"/>
  <c r="O193" i="6" s="1"/>
  <c r="L193" i="6"/>
  <c r="K193" i="6"/>
  <c r="M192" i="6"/>
  <c r="N192" i="6" s="1"/>
  <c r="O192" i="6" s="1"/>
  <c r="L192" i="6"/>
  <c r="K192" i="6"/>
  <c r="M191" i="6"/>
  <c r="N191" i="6" s="1"/>
  <c r="O191" i="6" s="1"/>
  <c r="L191" i="6"/>
  <c r="K191" i="6"/>
  <c r="M190" i="6"/>
  <c r="N190" i="6" s="1"/>
  <c r="O190" i="6" s="1"/>
  <c r="L190" i="6"/>
  <c r="K190" i="6"/>
  <c r="M189" i="6"/>
  <c r="N189" i="6" s="1"/>
  <c r="O189" i="6" s="1"/>
  <c r="L189" i="6"/>
  <c r="K189" i="6"/>
  <c r="M188" i="6"/>
  <c r="N188" i="6" s="1"/>
  <c r="O188" i="6" s="1"/>
  <c r="L188" i="6"/>
  <c r="K188" i="6"/>
  <c r="M187" i="6"/>
  <c r="N187" i="6" s="1"/>
  <c r="O187" i="6" s="1"/>
  <c r="L187" i="6"/>
  <c r="K187" i="6"/>
  <c r="M186" i="6"/>
  <c r="N186" i="6" s="1"/>
  <c r="O186" i="6" s="1"/>
  <c r="L186" i="6"/>
  <c r="K186" i="6"/>
  <c r="M185" i="6"/>
  <c r="N185" i="6" s="1"/>
  <c r="O185" i="6" s="1"/>
  <c r="L185" i="6"/>
  <c r="K185" i="6"/>
  <c r="M184" i="6"/>
  <c r="N184" i="6" s="1"/>
  <c r="O184" i="6" s="1"/>
  <c r="L184" i="6"/>
  <c r="K184" i="6"/>
  <c r="M183" i="6"/>
  <c r="N183" i="6" s="1"/>
  <c r="O183" i="6" s="1"/>
  <c r="L183" i="6"/>
  <c r="K183" i="6"/>
  <c r="M182" i="6"/>
  <c r="N182" i="6" s="1"/>
  <c r="O182" i="6" s="1"/>
  <c r="L182" i="6"/>
  <c r="K182" i="6"/>
  <c r="M181" i="6"/>
  <c r="N181" i="6" s="1"/>
  <c r="O181" i="6" s="1"/>
  <c r="L181" i="6"/>
  <c r="K181" i="6"/>
  <c r="M180" i="6"/>
  <c r="N180" i="6" s="1"/>
  <c r="O180" i="6" s="1"/>
  <c r="L180" i="6"/>
  <c r="K180" i="6"/>
  <c r="M179" i="6"/>
  <c r="N179" i="6" s="1"/>
  <c r="O179" i="6" s="1"/>
  <c r="L179" i="6"/>
  <c r="K179" i="6"/>
  <c r="M178" i="6"/>
  <c r="N178" i="6" s="1"/>
  <c r="O178" i="6" s="1"/>
  <c r="L178" i="6"/>
  <c r="K178" i="6"/>
  <c r="M177" i="6"/>
  <c r="N177" i="6" s="1"/>
  <c r="O177" i="6" s="1"/>
  <c r="L177" i="6"/>
  <c r="K177" i="6"/>
  <c r="M176" i="6"/>
  <c r="N176" i="6" s="1"/>
  <c r="O176" i="6" s="1"/>
  <c r="L176" i="6"/>
  <c r="K176" i="6"/>
  <c r="M175" i="6"/>
  <c r="N175" i="6" s="1"/>
  <c r="O175" i="6" s="1"/>
  <c r="L175" i="6"/>
  <c r="K175" i="6"/>
  <c r="M174" i="6"/>
  <c r="N174" i="6" s="1"/>
  <c r="O174" i="6" s="1"/>
  <c r="L174" i="6"/>
  <c r="K174" i="6"/>
  <c r="M173" i="6"/>
  <c r="N173" i="6" s="1"/>
  <c r="O173" i="6" s="1"/>
  <c r="L173" i="6"/>
  <c r="K173" i="6"/>
  <c r="M172" i="6"/>
  <c r="N172" i="6" s="1"/>
  <c r="O172" i="6" s="1"/>
  <c r="L172" i="6"/>
  <c r="K172" i="6"/>
  <c r="M171" i="6"/>
  <c r="N171" i="6" s="1"/>
  <c r="O171" i="6" s="1"/>
  <c r="L171" i="6"/>
  <c r="K171" i="6"/>
  <c r="M170" i="6"/>
  <c r="N170" i="6" s="1"/>
  <c r="O170" i="6" s="1"/>
  <c r="L170" i="6"/>
  <c r="K170" i="6"/>
  <c r="M169" i="6"/>
  <c r="N169" i="6" s="1"/>
  <c r="O169" i="6" s="1"/>
  <c r="L169" i="6"/>
  <c r="K169" i="6"/>
  <c r="M168" i="6"/>
  <c r="N168" i="6" s="1"/>
  <c r="O168" i="6" s="1"/>
  <c r="L168" i="6"/>
  <c r="K168" i="6"/>
  <c r="M167" i="6"/>
  <c r="N167" i="6" s="1"/>
  <c r="O167" i="6" s="1"/>
  <c r="L167" i="6"/>
  <c r="K167" i="6"/>
  <c r="M166" i="6"/>
  <c r="N166" i="6" s="1"/>
  <c r="O166" i="6" s="1"/>
  <c r="L166" i="6"/>
  <c r="K166" i="6"/>
  <c r="M165" i="6"/>
  <c r="N165" i="6" s="1"/>
  <c r="O165" i="6" s="1"/>
  <c r="L165" i="6"/>
  <c r="K165" i="6"/>
  <c r="M164" i="6"/>
  <c r="N164" i="6" s="1"/>
  <c r="O164" i="6" s="1"/>
  <c r="L164" i="6"/>
  <c r="K164" i="6"/>
  <c r="M163" i="6"/>
  <c r="N163" i="6" s="1"/>
  <c r="O163" i="6" s="1"/>
  <c r="L163" i="6"/>
  <c r="K163" i="6"/>
  <c r="M162" i="6"/>
  <c r="N162" i="6" s="1"/>
  <c r="O162" i="6" s="1"/>
  <c r="L162" i="6"/>
  <c r="K162" i="6"/>
  <c r="M161" i="6"/>
  <c r="N161" i="6" s="1"/>
  <c r="O161" i="6" s="1"/>
  <c r="L161" i="6"/>
  <c r="K161" i="6"/>
  <c r="M160" i="6"/>
  <c r="N160" i="6" s="1"/>
  <c r="O160" i="6" s="1"/>
  <c r="L160" i="6"/>
  <c r="K160" i="6"/>
  <c r="M159" i="6"/>
  <c r="N159" i="6" s="1"/>
  <c r="O159" i="6" s="1"/>
  <c r="L159" i="6"/>
  <c r="K159" i="6"/>
  <c r="M158" i="6"/>
  <c r="N158" i="6" s="1"/>
  <c r="O158" i="6" s="1"/>
  <c r="L158" i="6"/>
  <c r="K158" i="6"/>
  <c r="M157" i="6"/>
  <c r="N157" i="6" s="1"/>
  <c r="O157" i="6" s="1"/>
  <c r="L157" i="6"/>
  <c r="K157" i="6"/>
  <c r="M156" i="6"/>
  <c r="N156" i="6" s="1"/>
  <c r="O156" i="6" s="1"/>
  <c r="L156" i="6"/>
  <c r="K156" i="6"/>
  <c r="M155" i="6"/>
  <c r="N155" i="6" s="1"/>
  <c r="O155" i="6" s="1"/>
  <c r="L155" i="6"/>
  <c r="K155" i="6"/>
  <c r="M154" i="6"/>
  <c r="N154" i="6" s="1"/>
  <c r="O154" i="6" s="1"/>
  <c r="L154" i="6"/>
  <c r="K154" i="6"/>
  <c r="M153" i="6"/>
  <c r="N153" i="6" s="1"/>
  <c r="O153" i="6" s="1"/>
  <c r="L153" i="6"/>
  <c r="K153" i="6"/>
  <c r="M152" i="6"/>
  <c r="N152" i="6" s="1"/>
  <c r="O152" i="6" s="1"/>
  <c r="L152" i="6"/>
  <c r="K152" i="6"/>
  <c r="M151" i="6"/>
  <c r="N151" i="6" s="1"/>
  <c r="O151" i="6" s="1"/>
  <c r="L151" i="6"/>
  <c r="K151" i="6"/>
  <c r="M150" i="6"/>
  <c r="N150" i="6" s="1"/>
  <c r="O150" i="6" s="1"/>
  <c r="L150" i="6"/>
  <c r="K150" i="6"/>
  <c r="M149" i="6"/>
  <c r="N149" i="6" s="1"/>
  <c r="O149" i="6" s="1"/>
  <c r="L149" i="6"/>
  <c r="K149" i="6"/>
  <c r="M148" i="6"/>
  <c r="N148" i="6" s="1"/>
  <c r="O148" i="6" s="1"/>
  <c r="L148" i="6"/>
  <c r="K148" i="6"/>
  <c r="M147" i="6"/>
  <c r="N147" i="6" s="1"/>
  <c r="O147" i="6" s="1"/>
  <c r="L147" i="6"/>
  <c r="K147" i="6"/>
  <c r="M146" i="6"/>
  <c r="N146" i="6" s="1"/>
  <c r="O146" i="6" s="1"/>
  <c r="L146" i="6"/>
  <c r="K146" i="6"/>
  <c r="M145" i="6"/>
  <c r="N145" i="6" s="1"/>
  <c r="O145" i="6" s="1"/>
  <c r="L145" i="6"/>
  <c r="K145" i="6"/>
  <c r="M144" i="6"/>
  <c r="N144" i="6" s="1"/>
  <c r="O144" i="6" s="1"/>
  <c r="L144" i="6"/>
  <c r="K144" i="6"/>
  <c r="M143" i="6"/>
  <c r="N143" i="6" s="1"/>
  <c r="O143" i="6" s="1"/>
  <c r="L143" i="6"/>
  <c r="K143" i="6"/>
  <c r="M142" i="6"/>
  <c r="N142" i="6" s="1"/>
  <c r="O142" i="6" s="1"/>
  <c r="L142" i="6"/>
  <c r="K142" i="6"/>
  <c r="M141" i="6"/>
  <c r="N141" i="6" s="1"/>
  <c r="O141" i="6" s="1"/>
  <c r="L141" i="6"/>
  <c r="K141" i="6"/>
  <c r="M140" i="6"/>
  <c r="N140" i="6" s="1"/>
  <c r="O140" i="6" s="1"/>
  <c r="L140" i="6"/>
  <c r="K140" i="6"/>
  <c r="M139" i="6"/>
  <c r="N139" i="6" s="1"/>
  <c r="O139" i="6" s="1"/>
  <c r="L139" i="6"/>
  <c r="K139" i="6"/>
  <c r="M138" i="6"/>
  <c r="N138" i="6" s="1"/>
  <c r="O138" i="6" s="1"/>
  <c r="L138" i="6"/>
  <c r="K138" i="6"/>
  <c r="M137" i="6"/>
  <c r="N137" i="6" s="1"/>
  <c r="O137" i="6" s="1"/>
  <c r="L137" i="6"/>
  <c r="K137" i="6"/>
  <c r="M136" i="6"/>
  <c r="N136" i="6" s="1"/>
  <c r="O136" i="6" s="1"/>
  <c r="L136" i="6"/>
  <c r="K136" i="6"/>
  <c r="M135" i="6"/>
  <c r="N135" i="6" s="1"/>
  <c r="O135" i="6" s="1"/>
  <c r="L135" i="6"/>
  <c r="K135" i="6"/>
  <c r="M134" i="6"/>
  <c r="N134" i="6" s="1"/>
  <c r="O134" i="6" s="1"/>
  <c r="L134" i="6"/>
  <c r="K134" i="6"/>
  <c r="M133" i="6"/>
  <c r="N133" i="6" s="1"/>
  <c r="O133" i="6" s="1"/>
  <c r="L133" i="6"/>
  <c r="K133" i="6"/>
  <c r="M132" i="6"/>
  <c r="N132" i="6" s="1"/>
  <c r="O132" i="6" s="1"/>
  <c r="L132" i="6"/>
  <c r="K132" i="6"/>
  <c r="M131" i="6"/>
  <c r="N131" i="6" s="1"/>
  <c r="O131" i="6" s="1"/>
  <c r="L131" i="6"/>
  <c r="K131" i="6"/>
  <c r="M130" i="6"/>
  <c r="N130" i="6" s="1"/>
  <c r="O130" i="6" s="1"/>
  <c r="L130" i="6"/>
  <c r="K130" i="6"/>
  <c r="M129" i="6"/>
  <c r="N129" i="6" s="1"/>
  <c r="O129" i="6" s="1"/>
  <c r="L129" i="6"/>
  <c r="K129" i="6"/>
  <c r="M127" i="6"/>
  <c r="N127" i="6" s="1"/>
  <c r="O127" i="6" s="1"/>
  <c r="L127" i="6"/>
  <c r="K127" i="6"/>
  <c r="M126" i="6"/>
  <c r="N126" i="6" s="1"/>
  <c r="O126" i="6" s="1"/>
  <c r="L126" i="6"/>
  <c r="K126" i="6"/>
  <c r="M125" i="6"/>
  <c r="N125" i="6" s="1"/>
  <c r="O125" i="6" s="1"/>
  <c r="L125" i="6"/>
  <c r="K125" i="6"/>
  <c r="M124" i="6"/>
  <c r="N124" i="6" s="1"/>
  <c r="O124" i="6" s="1"/>
  <c r="L124" i="6"/>
  <c r="K124" i="6"/>
  <c r="M123" i="6"/>
  <c r="N123" i="6" s="1"/>
  <c r="O123" i="6" s="1"/>
  <c r="L123" i="6"/>
  <c r="K123" i="6"/>
  <c r="M122" i="6"/>
  <c r="N122" i="6" s="1"/>
  <c r="O122" i="6" s="1"/>
  <c r="L122" i="6"/>
  <c r="K122" i="6"/>
  <c r="M121" i="6"/>
  <c r="N121" i="6" s="1"/>
  <c r="O121" i="6" s="1"/>
  <c r="L121" i="6"/>
  <c r="K121" i="6"/>
  <c r="M120" i="6"/>
  <c r="N120" i="6" s="1"/>
  <c r="O120" i="6" s="1"/>
  <c r="L120" i="6"/>
  <c r="K120" i="6"/>
  <c r="M119" i="6"/>
  <c r="N119" i="6" s="1"/>
  <c r="O119" i="6" s="1"/>
  <c r="L119" i="6"/>
  <c r="K119" i="6"/>
  <c r="M118" i="6"/>
  <c r="N118" i="6" s="1"/>
  <c r="O118" i="6" s="1"/>
  <c r="L118" i="6"/>
  <c r="K118" i="6"/>
  <c r="M117" i="6"/>
  <c r="N117" i="6" s="1"/>
  <c r="O117" i="6" s="1"/>
  <c r="L117" i="6"/>
  <c r="K117" i="6"/>
  <c r="M116" i="6"/>
  <c r="N116" i="6" s="1"/>
  <c r="O116" i="6" s="1"/>
  <c r="L116" i="6"/>
  <c r="K116" i="6"/>
  <c r="M115" i="6"/>
  <c r="N115" i="6" s="1"/>
  <c r="O115" i="6" s="1"/>
  <c r="L115" i="6"/>
  <c r="K115" i="6"/>
  <c r="M114" i="6"/>
  <c r="N114" i="6" s="1"/>
  <c r="O114" i="6" s="1"/>
  <c r="L114" i="6"/>
  <c r="K114" i="6"/>
  <c r="M113" i="6"/>
  <c r="N113" i="6" s="1"/>
  <c r="O113" i="6" s="1"/>
  <c r="L113" i="6"/>
  <c r="K113" i="6"/>
  <c r="M112" i="6"/>
  <c r="N112" i="6" s="1"/>
  <c r="O112" i="6" s="1"/>
  <c r="L112" i="6"/>
  <c r="K112" i="6"/>
  <c r="M111" i="6"/>
  <c r="N111" i="6" s="1"/>
  <c r="O111" i="6" s="1"/>
  <c r="L111" i="6"/>
  <c r="K111" i="6"/>
  <c r="M110" i="6"/>
  <c r="N110" i="6" s="1"/>
  <c r="O110" i="6" s="1"/>
  <c r="L110" i="6"/>
  <c r="K110" i="6"/>
  <c r="M109" i="6"/>
  <c r="N109" i="6" s="1"/>
  <c r="O109" i="6" s="1"/>
  <c r="L109" i="6"/>
  <c r="K109" i="6"/>
  <c r="M108" i="6"/>
  <c r="N108" i="6" s="1"/>
  <c r="O108" i="6" s="1"/>
  <c r="L108" i="6"/>
  <c r="K108" i="6"/>
  <c r="M106" i="6"/>
  <c r="N106" i="6" s="1"/>
  <c r="O106" i="6" s="1"/>
  <c r="L106" i="6"/>
  <c r="K106" i="6"/>
  <c r="M105" i="6"/>
  <c r="N105" i="6" s="1"/>
  <c r="O105" i="6" s="1"/>
  <c r="L105" i="6"/>
  <c r="K105" i="6"/>
  <c r="M104" i="6"/>
  <c r="N104" i="6" s="1"/>
  <c r="O104" i="6" s="1"/>
  <c r="L104" i="6"/>
  <c r="K104" i="6"/>
  <c r="M103" i="6"/>
  <c r="N103" i="6" s="1"/>
  <c r="O103" i="6" s="1"/>
  <c r="L103" i="6"/>
  <c r="K103" i="6"/>
  <c r="M101" i="6"/>
  <c r="N101" i="6" s="1"/>
  <c r="O101" i="6" s="1"/>
  <c r="L101" i="6"/>
  <c r="K101" i="6"/>
  <c r="M100" i="6"/>
  <c r="N100" i="6" s="1"/>
  <c r="O100" i="6" s="1"/>
  <c r="L100" i="6"/>
  <c r="K100" i="6"/>
  <c r="M98" i="6"/>
  <c r="N98" i="6" s="1"/>
  <c r="O98" i="6" s="1"/>
  <c r="L98" i="6"/>
  <c r="K98" i="6"/>
  <c r="M97" i="6"/>
  <c r="N97" i="6" s="1"/>
  <c r="O97" i="6" s="1"/>
  <c r="L97" i="6"/>
  <c r="K97" i="6"/>
  <c r="M96" i="6"/>
  <c r="N96" i="6" s="1"/>
  <c r="O96" i="6" s="1"/>
  <c r="L96" i="6"/>
  <c r="K96" i="6"/>
  <c r="M95" i="6"/>
  <c r="N95" i="6" s="1"/>
  <c r="O95" i="6" s="1"/>
  <c r="L95" i="6"/>
  <c r="K95" i="6"/>
  <c r="M94" i="6"/>
  <c r="N94" i="6" s="1"/>
  <c r="O94" i="6" s="1"/>
  <c r="L94" i="6"/>
  <c r="K94" i="6"/>
  <c r="M93" i="6"/>
  <c r="N93" i="6" s="1"/>
  <c r="O93" i="6" s="1"/>
  <c r="L93" i="6"/>
  <c r="K93" i="6"/>
  <c r="M92" i="6"/>
  <c r="N92" i="6" s="1"/>
  <c r="O92" i="6" s="1"/>
  <c r="L92" i="6"/>
  <c r="K92" i="6"/>
  <c r="M91" i="6"/>
  <c r="N91" i="6" s="1"/>
  <c r="O91" i="6" s="1"/>
  <c r="L91" i="6"/>
  <c r="K91" i="6"/>
  <c r="M90" i="6"/>
  <c r="N90" i="6" s="1"/>
  <c r="O90" i="6" s="1"/>
  <c r="L90" i="6"/>
  <c r="K90" i="6"/>
  <c r="M89" i="6"/>
  <c r="N89" i="6" s="1"/>
  <c r="O89" i="6" s="1"/>
  <c r="L89" i="6"/>
  <c r="K89" i="6"/>
  <c r="M88" i="6"/>
  <c r="N88" i="6" s="1"/>
  <c r="O88" i="6" s="1"/>
  <c r="L88" i="6"/>
  <c r="K88" i="6"/>
  <c r="M87" i="6"/>
  <c r="N87" i="6" s="1"/>
  <c r="O87" i="6" s="1"/>
  <c r="L87" i="6"/>
  <c r="K87" i="6"/>
  <c r="M86" i="6"/>
  <c r="N86" i="6" s="1"/>
  <c r="O86" i="6" s="1"/>
  <c r="L86" i="6"/>
  <c r="K86" i="6"/>
  <c r="M85" i="6"/>
  <c r="N85" i="6" s="1"/>
  <c r="O85" i="6" s="1"/>
  <c r="L85" i="6"/>
  <c r="K85" i="6"/>
  <c r="M84" i="6"/>
  <c r="N84" i="6" s="1"/>
  <c r="O84" i="6" s="1"/>
  <c r="L84" i="6"/>
  <c r="K84" i="6"/>
  <c r="M83" i="6"/>
  <c r="N83" i="6" s="1"/>
  <c r="O83" i="6" s="1"/>
  <c r="L83" i="6"/>
  <c r="K83" i="6"/>
  <c r="M82" i="6"/>
  <c r="N82" i="6" s="1"/>
  <c r="O82" i="6" s="1"/>
  <c r="L82" i="6"/>
  <c r="K82" i="6"/>
  <c r="M81" i="6"/>
  <c r="N81" i="6" s="1"/>
  <c r="O81" i="6" s="1"/>
  <c r="L81" i="6"/>
  <c r="K81" i="6"/>
  <c r="M80" i="6"/>
  <c r="N80" i="6" s="1"/>
  <c r="O80" i="6" s="1"/>
  <c r="L80" i="6"/>
  <c r="K80" i="6"/>
  <c r="M79" i="6"/>
  <c r="N79" i="6" s="1"/>
  <c r="O79" i="6" s="1"/>
  <c r="L79" i="6"/>
  <c r="K79" i="6"/>
  <c r="M78" i="6"/>
  <c r="N78" i="6" s="1"/>
  <c r="O78" i="6" s="1"/>
  <c r="L78" i="6"/>
  <c r="K78" i="6"/>
  <c r="M77" i="6"/>
  <c r="N77" i="6" s="1"/>
  <c r="O77" i="6" s="1"/>
  <c r="L77" i="6"/>
  <c r="K77" i="6"/>
  <c r="M76" i="6"/>
  <c r="N76" i="6" s="1"/>
  <c r="O76" i="6" s="1"/>
  <c r="L76" i="6"/>
  <c r="K76" i="6"/>
  <c r="M75" i="6"/>
  <c r="N75" i="6" s="1"/>
  <c r="O75" i="6" s="1"/>
  <c r="L75" i="6"/>
  <c r="K75" i="6"/>
  <c r="M74" i="6"/>
  <c r="N74" i="6" s="1"/>
  <c r="O74" i="6" s="1"/>
  <c r="L74" i="6"/>
  <c r="K74" i="6"/>
  <c r="M73" i="6"/>
  <c r="N73" i="6" s="1"/>
  <c r="O73" i="6" s="1"/>
  <c r="L73" i="6"/>
  <c r="K73" i="6"/>
  <c r="M72" i="6"/>
  <c r="N72" i="6" s="1"/>
  <c r="O72" i="6" s="1"/>
  <c r="L72" i="6"/>
  <c r="K72" i="6"/>
  <c r="M71" i="6"/>
  <c r="N71" i="6" s="1"/>
  <c r="O71" i="6" s="1"/>
  <c r="L71" i="6"/>
  <c r="K71" i="6"/>
  <c r="M70" i="6"/>
  <c r="N70" i="6" s="1"/>
  <c r="O70" i="6" s="1"/>
  <c r="L70" i="6"/>
  <c r="K70" i="6"/>
  <c r="M69" i="6"/>
  <c r="N69" i="6" s="1"/>
  <c r="O69" i="6" s="1"/>
  <c r="L69" i="6"/>
  <c r="K69" i="6"/>
  <c r="M68" i="6"/>
  <c r="N68" i="6" s="1"/>
  <c r="O68" i="6" s="1"/>
  <c r="L68" i="6"/>
  <c r="K68" i="6"/>
  <c r="M67" i="6"/>
  <c r="N67" i="6" s="1"/>
  <c r="O67" i="6" s="1"/>
  <c r="L67" i="6"/>
  <c r="K67" i="6"/>
  <c r="M66" i="6"/>
  <c r="N66" i="6" s="1"/>
  <c r="O66" i="6" s="1"/>
  <c r="L66" i="6"/>
  <c r="K66" i="6"/>
  <c r="M65" i="6"/>
  <c r="N65" i="6" s="1"/>
  <c r="O65" i="6" s="1"/>
  <c r="L65" i="6"/>
  <c r="K65" i="6"/>
  <c r="M64" i="6"/>
  <c r="N64" i="6" s="1"/>
  <c r="O64" i="6" s="1"/>
  <c r="L64" i="6"/>
  <c r="K64" i="6"/>
  <c r="M63" i="6"/>
  <c r="N63" i="6" s="1"/>
  <c r="O63" i="6" s="1"/>
  <c r="L63" i="6"/>
  <c r="K63" i="6"/>
  <c r="M62" i="6"/>
  <c r="N62" i="6" s="1"/>
  <c r="O62" i="6" s="1"/>
  <c r="L62" i="6"/>
  <c r="K62" i="6"/>
  <c r="M61" i="6"/>
  <c r="N61" i="6" s="1"/>
  <c r="O61" i="6" s="1"/>
  <c r="L61" i="6"/>
  <c r="K61" i="6"/>
  <c r="M60" i="6"/>
  <c r="N60" i="6" s="1"/>
  <c r="O60" i="6" s="1"/>
  <c r="L60" i="6"/>
  <c r="K60" i="6"/>
  <c r="M59" i="6"/>
  <c r="N59" i="6" s="1"/>
  <c r="O59" i="6" s="1"/>
  <c r="L59" i="6"/>
  <c r="K59" i="6"/>
  <c r="M58" i="6"/>
  <c r="N58" i="6" s="1"/>
  <c r="O58" i="6" s="1"/>
  <c r="L58" i="6"/>
  <c r="K58" i="6"/>
  <c r="M57" i="6"/>
  <c r="N57" i="6" s="1"/>
  <c r="O57" i="6" s="1"/>
  <c r="L57" i="6"/>
  <c r="K57" i="6"/>
  <c r="M56" i="6"/>
  <c r="N56" i="6" s="1"/>
  <c r="O56" i="6" s="1"/>
  <c r="L56" i="6"/>
  <c r="K56" i="6"/>
  <c r="M55" i="6"/>
  <c r="N55" i="6" s="1"/>
  <c r="O55" i="6" s="1"/>
  <c r="L55" i="6"/>
  <c r="K55" i="6"/>
  <c r="M54" i="6"/>
  <c r="N54" i="6" s="1"/>
  <c r="O54" i="6" s="1"/>
  <c r="L54" i="6"/>
  <c r="K54" i="6"/>
  <c r="M53" i="6"/>
  <c r="N53" i="6" s="1"/>
  <c r="O53" i="6" s="1"/>
  <c r="L53" i="6"/>
  <c r="K53" i="6"/>
  <c r="M52" i="6"/>
  <c r="N52" i="6" s="1"/>
  <c r="O52" i="6" s="1"/>
  <c r="L52" i="6"/>
  <c r="K52" i="6"/>
  <c r="M51" i="6"/>
  <c r="N51" i="6" s="1"/>
  <c r="O51" i="6" s="1"/>
  <c r="L51" i="6"/>
  <c r="K51" i="6"/>
  <c r="M50" i="6"/>
  <c r="N50" i="6" s="1"/>
  <c r="O50" i="6" s="1"/>
  <c r="L50" i="6"/>
  <c r="K50" i="6"/>
  <c r="M49" i="6"/>
  <c r="N49" i="6" s="1"/>
  <c r="O49" i="6" s="1"/>
  <c r="L49" i="6"/>
  <c r="K49" i="6"/>
  <c r="M48" i="6"/>
  <c r="N48" i="6" s="1"/>
  <c r="O48" i="6" s="1"/>
  <c r="L48" i="6"/>
  <c r="K48" i="6"/>
  <c r="M47" i="6"/>
  <c r="N47" i="6" s="1"/>
  <c r="O47" i="6" s="1"/>
  <c r="L47" i="6"/>
  <c r="K47" i="6"/>
  <c r="M46" i="6"/>
  <c r="N46" i="6" s="1"/>
  <c r="O46" i="6" s="1"/>
  <c r="L46" i="6"/>
  <c r="K46" i="6"/>
  <c r="M45" i="6"/>
  <c r="N45" i="6" s="1"/>
  <c r="O45" i="6" s="1"/>
  <c r="L45" i="6"/>
  <c r="K45" i="6"/>
  <c r="M44" i="6"/>
  <c r="N44" i="6" s="1"/>
  <c r="O44" i="6" s="1"/>
  <c r="L44" i="6"/>
  <c r="K44" i="6"/>
  <c r="M43" i="6"/>
  <c r="N43" i="6" s="1"/>
  <c r="O43" i="6" s="1"/>
  <c r="L43" i="6"/>
  <c r="K43" i="6"/>
  <c r="M42" i="6"/>
  <c r="N42" i="6" s="1"/>
  <c r="O42" i="6" s="1"/>
  <c r="L42" i="6"/>
  <c r="K42" i="6"/>
  <c r="M41" i="6"/>
  <c r="N41" i="6" s="1"/>
  <c r="O41" i="6" s="1"/>
  <c r="L41" i="6"/>
  <c r="K41" i="6"/>
  <c r="M40" i="6"/>
  <c r="N40" i="6" s="1"/>
  <c r="O40" i="6" s="1"/>
  <c r="L40" i="6"/>
  <c r="K40" i="6"/>
  <c r="M39" i="6"/>
  <c r="N39" i="6" s="1"/>
  <c r="O39" i="6" s="1"/>
  <c r="L39" i="6"/>
  <c r="K39" i="6"/>
  <c r="M38" i="6"/>
  <c r="N38" i="6" s="1"/>
  <c r="O38" i="6" s="1"/>
  <c r="L38" i="6"/>
  <c r="K38" i="6"/>
  <c r="M37" i="6"/>
  <c r="N37" i="6" s="1"/>
  <c r="O37" i="6" s="1"/>
  <c r="L37" i="6"/>
  <c r="K37" i="6"/>
  <c r="M36" i="6"/>
  <c r="N36" i="6" s="1"/>
  <c r="O36" i="6" s="1"/>
  <c r="L36" i="6"/>
  <c r="K36" i="6"/>
  <c r="M35" i="6"/>
  <c r="N35" i="6" s="1"/>
  <c r="O35" i="6" s="1"/>
  <c r="L35" i="6"/>
  <c r="K35" i="6"/>
  <c r="M34" i="6"/>
  <c r="N34" i="6" s="1"/>
  <c r="O34" i="6" s="1"/>
  <c r="L34" i="6"/>
  <c r="K34" i="6"/>
  <c r="M32" i="6"/>
  <c r="N32" i="6" s="1"/>
  <c r="O32" i="6" s="1"/>
  <c r="L32" i="6"/>
  <c r="K32" i="6"/>
  <c r="M31" i="6"/>
  <c r="N31" i="6" s="1"/>
  <c r="O31" i="6" s="1"/>
  <c r="L31" i="6"/>
  <c r="K31" i="6"/>
  <c r="M30" i="6"/>
  <c r="N30" i="6" s="1"/>
  <c r="O30" i="6" s="1"/>
  <c r="L30" i="6"/>
  <c r="K30" i="6"/>
  <c r="M542" i="6" s="1"/>
  <c r="M29" i="6"/>
  <c r="N29" i="6" s="1"/>
  <c r="O29" i="6" s="1"/>
  <c r="L29" i="6"/>
  <c r="K29" i="6"/>
  <c r="M28" i="6"/>
  <c r="N28" i="6" s="1"/>
  <c r="O28" i="6" s="1"/>
  <c r="L28" i="6"/>
  <c r="K28" i="6"/>
  <c r="M27" i="6"/>
  <c r="N27" i="6" s="1"/>
  <c r="O27" i="6" s="1"/>
  <c r="L27" i="6"/>
  <c r="K27" i="6"/>
  <c r="M26" i="6"/>
  <c r="N26" i="6" s="1"/>
  <c r="O26" i="6" s="1"/>
  <c r="L26" i="6"/>
  <c r="K26" i="6"/>
  <c r="M25" i="6"/>
  <c r="N25" i="6" s="1"/>
  <c r="O25" i="6" s="1"/>
  <c r="L25" i="6"/>
  <c r="K25" i="6"/>
  <c r="M24" i="6"/>
  <c r="N24" i="6" s="1"/>
  <c r="O24" i="6" s="1"/>
  <c r="L24" i="6"/>
  <c r="K24" i="6"/>
  <c r="M23" i="6"/>
  <c r="N23" i="6" s="1"/>
  <c r="O23" i="6" s="1"/>
  <c r="L23" i="6"/>
  <c r="K23" i="6"/>
  <c r="M22" i="6"/>
  <c r="N22" i="6" s="1"/>
  <c r="O22" i="6" s="1"/>
  <c r="L22" i="6"/>
  <c r="K22" i="6"/>
  <c r="M21" i="6"/>
  <c r="N21" i="6" s="1"/>
  <c r="O21" i="6" s="1"/>
  <c r="L21" i="6"/>
  <c r="K21" i="6"/>
  <c r="M20" i="6"/>
  <c r="N20" i="6" s="1"/>
  <c r="O20" i="6" s="1"/>
  <c r="L20" i="6"/>
  <c r="K20" i="6"/>
  <c r="M19" i="6"/>
  <c r="N19" i="6" s="1"/>
  <c r="O19" i="6" s="1"/>
  <c r="L19" i="6"/>
  <c r="K19" i="6"/>
  <c r="M18" i="6"/>
  <c r="N18" i="6" s="1"/>
  <c r="O18" i="6" s="1"/>
  <c r="L18" i="6"/>
  <c r="K18" i="6"/>
  <c r="M17" i="6"/>
  <c r="N17" i="6" s="1"/>
  <c r="O17" i="6" s="1"/>
  <c r="L17" i="6"/>
  <c r="K17" i="6"/>
  <c r="M16" i="6"/>
  <c r="N16" i="6" s="1"/>
  <c r="O16" i="6" s="1"/>
  <c r="L16" i="6"/>
  <c r="K16" i="6"/>
  <c r="M15" i="6"/>
  <c r="N15" i="6" s="1"/>
  <c r="O15" i="6" s="1"/>
  <c r="L15" i="6"/>
  <c r="K15" i="6"/>
  <c r="M14" i="6"/>
  <c r="N14" i="6" s="1"/>
  <c r="O14" i="6" s="1"/>
  <c r="L14" i="6"/>
  <c r="K14" i="6"/>
  <c r="M7" i="6"/>
  <c r="N7" i="6" s="1"/>
  <c r="O7" i="6" s="1"/>
  <c r="L7" i="6"/>
  <c r="K7" i="6"/>
  <c r="M6" i="6"/>
  <c r="N6" i="6" s="1"/>
  <c r="O6" i="6" s="1"/>
  <c r="O541" i="6" s="1"/>
  <c r="L6" i="6"/>
  <c r="K6" i="6"/>
  <c r="K530" i="3"/>
  <c r="L530" i="3" s="1"/>
  <c r="M530" i="3" s="1"/>
  <c r="J530" i="3"/>
  <c r="I530" i="3"/>
  <c r="K529" i="3"/>
  <c r="L529" i="3" s="1"/>
  <c r="M529" i="3" s="1"/>
  <c r="J529" i="3"/>
  <c r="I529" i="3"/>
  <c r="K528" i="3"/>
  <c r="L528" i="3" s="1"/>
  <c r="M528" i="3" s="1"/>
  <c r="J528" i="3"/>
  <c r="I528" i="3"/>
  <c r="K527" i="3"/>
  <c r="L527" i="3" s="1"/>
  <c r="M527" i="3" s="1"/>
  <c r="J527" i="3"/>
  <c r="I527" i="3"/>
  <c r="K526" i="3"/>
  <c r="L526" i="3" s="1"/>
  <c r="M526" i="3" s="1"/>
  <c r="J526" i="3"/>
  <c r="I526" i="3"/>
  <c r="K525" i="3"/>
  <c r="L525" i="3" s="1"/>
  <c r="M525" i="3" s="1"/>
  <c r="J525" i="3"/>
  <c r="I525" i="3"/>
  <c r="K524" i="3"/>
  <c r="L524" i="3" s="1"/>
  <c r="M524" i="3" s="1"/>
  <c r="J524" i="3"/>
  <c r="I524" i="3"/>
  <c r="K523" i="3"/>
  <c r="L523" i="3" s="1"/>
  <c r="M523" i="3" s="1"/>
  <c r="J523" i="3"/>
  <c r="I523" i="3"/>
  <c r="K522" i="3"/>
  <c r="L522" i="3" s="1"/>
  <c r="M522" i="3" s="1"/>
  <c r="J522" i="3"/>
  <c r="I522" i="3"/>
  <c r="K521" i="3"/>
  <c r="L521" i="3" s="1"/>
  <c r="M521" i="3" s="1"/>
  <c r="J521" i="3"/>
  <c r="I521" i="3"/>
  <c r="K520" i="3"/>
  <c r="L520" i="3" s="1"/>
  <c r="M520" i="3" s="1"/>
  <c r="J520" i="3"/>
  <c r="I520" i="3"/>
  <c r="K519" i="3"/>
  <c r="L519" i="3" s="1"/>
  <c r="M519" i="3" s="1"/>
  <c r="J519" i="3"/>
  <c r="I519" i="3"/>
  <c r="K518" i="3"/>
  <c r="L518" i="3" s="1"/>
  <c r="M518" i="3" s="1"/>
  <c r="J518" i="3"/>
  <c r="I518" i="3"/>
  <c r="K517" i="3"/>
  <c r="L517" i="3" s="1"/>
  <c r="M517" i="3" s="1"/>
  <c r="J517" i="3"/>
  <c r="I517" i="3"/>
  <c r="K516" i="3"/>
  <c r="L516" i="3" s="1"/>
  <c r="M516" i="3" s="1"/>
  <c r="J516" i="3"/>
  <c r="I516" i="3"/>
  <c r="K515" i="3"/>
  <c r="L515" i="3" s="1"/>
  <c r="M515" i="3" s="1"/>
  <c r="J515" i="3"/>
  <c r="I515" i="3"/>
  <c r="K514" i="3"/>
  <c r="L514" i="3" s="1"/>
  <c r="M514" i="3" s="1"/>
  <c r="J514" i="3"/>
  <c r="I514" i="3"/>
  <c r="K513" i="3"/>
  <c r="L513" i="3" s="1"/>
  <c r="M513" i="3" s="1"/>
  <c r="J513" i="3"/>
  <c r="I513" i="3"/>
  <c r="K512" i="3"/>
  <c r="L512" i="3" s="1"/>
  <c r="M512" i="3" s="1"/>
  <c r="J512" i="3"/>
  <c r="I512" i="3"/>
  <c r="K511" i="3"/>
  <c r="L511" i="3" s="1"/>
  <c r="M511" i="3" s="1"/>
  <c r="J511" i="3"/>
  <c r="I511" i="3"/>
  <c r="K510" i="3"/>
  <c r="L510" i="3" s="1"/>
  <c r="M510" i="3" s="1"/>
  <c r="J510" i="3"/>
  <c r="I510" i="3"/>
  <c r="K509" i="3"/>
  <c r="L509" i="3" s="1"/>
  <c r="M509" i="3" s="1"/>
  <c r="J509" i="3"/>
  <c r="I509" i="3"/>
  <c r="K508" i="3"/>
  <c r="L508" i="3" s="1"/>
  <c r="M508" i="3" s="1"/>
  <c r="J508" i="3"/>
  <c r="I508" i="3"/>
  <c r="K507" i="3"/>
  <c r="L507" i="3" s="1"/>
  <c r="M507" i="3" s="1"/>
  <c r="J507" i="3"/>
  <c r="I507" i="3"/>
  <c r="K506" i="3"/>
  <c r="L506" i="3" s="1"/>
  <c r="M506" i="3" s="1"/>
  <c r="J506" i="3"/>
  <c r="I506" i="3"/>
  <c r="K505" i="3"/>
  <c r="L505" i="3" s="1"/>
  <c r="M505" i="3" s="1"/>
  <c r="J505" i="3"/>
  <c r="I505" i="3"/>
  <c r="K504" i="3"/>
  <c r="L504" i="3" s="1"/>
  <c r="M504" i="3" s="1"/>
  <c r="J504" i="3"/>
  <c r="I504" i="3"/>
  <c r="K503" i="3"/>
  <c r="L503" i="3" s="1"/>
  <c r="M503" i="3" s="1"/>
  <c r="J503" i="3"/>
  <c r="I503" i="3"/>
  <c r="K502" i="3"/>
  <c r="L502" i="3" s="1"/>
  <c r="M502" i="3" s="1"/>
  <c r="J502" i="3"/>
  <c r="I502" i="3"/>
  <c r="K501" i="3"/>
  <c r="L501" i="3" s="1"/>
  <c r="M501" i="3" s="1"/>
  <c r="J501" i="3"/>
  <c r="I501" i="3"/>
  <c r="K500" i="3"/>
  <c r="L500" i="3" s="1"/>
  <c r="M500" i="3" s="1"/>
  <c r="J500" i="3"/>
  <c r="I500" i="3"/>
  <c r="K499" i="3"/>
  <c r="L499" i="3" s="1"/>
  <c r="M499" i="3" s="1"/>
  <c r="J499" i="3"/>
  <c r="I499" i="3"/>
  <c r="K498" i="3"/>
  <c r="L498" i="3" s="1"/>
  <c r="M498" i="3" s="1"/>
  <c r="J498" i="3"/>
  <c r="I498" i="3"/>
  <c r="K497" i="3"/>
  <c r="L497" i="3" s="1"/>
  <c r="M497" i="3" s="1"/>
  <c r="J497" i="3"/>
  <c r="I497" i="3"/>
  <c r="K496" i="3"/>
  <c r="L496" i="3" s="1"/>
  <c r="M496" i="3" s="1"/>
  <c r="J496" i="3"/>
  <c r="I496" i="3"/>
  <c r="K495" i="3"/>
  <c r="L495" i="3" s="1"/>
  <c r="M495" i="3" s="1"/>
  <c r="J495" i="3"/>
  <c r="I495" i="3"/>
  <c r="K494" i="3"/>
  <c r="L494" i="3" s="1"/>
  <c r="M494" i="3" s="1"/>
  <c r="J494" i="3"/>
  <c r="I494" i="3"/>
  <c r="K493" i="3"/>
  <c r="L493" i="3" s="1"/>
  <c r="M493" i="3" s="1"/>
  <c r="J493" i="3"/>
  <c r="I493" i="3"/>
  <c r="K492" i="3"/>
  <c r="L492" i="3" s="1"/>
  <c r="M492" i="3" s="1"/>
  <c r="J492" i="3"/>
  <c r="I492" i="3"/>
  <c r="K491" i="3"/>
  <c r="L491" i="3" s="1"/>
  <c r="M491" i="3" s="1"/>
  <c r="J491" i="3"/>
  <c r="I491" i="3"/>
  <c r="K490" i="3"/>
  <c r="L490" i="3" s="1"/>
  <c r="M490" i="3" s="1"/>
  <c r="J490" i="3"/>
  <c r="I490" i="3"/>
  <c r="K489" i="3"/>
  <c r="L489" i="3" s="1"/>
  <c r="M489" i="3" s="1"/>
  <c r="J489" i="3"/>
  <c r="I489" i="3"/>
  <c r="K488" i="3"/>
  <c r="L488" i="3" s="1"/>
  <c r="M488" i="3" s="1"/>
  <c r="J488" i="3"/>
  <c r="I488" i="3"/>
  <c r="K487" i="3"/>
  <c r="L487" i="3" s="1"/>
  <c r="M487" i="3" s="1"/>
  <c r="J487" i="3"/>
  <c r="I487" i="3"/>
  <c r="K486" i="3"/>
  <c r="L486" i="3" s="1"/>
  <c r="M486" i="3" s="1"/>
  <c r="J486" i="3"/>
  <c r="I486" i="3"/>
  <c r="K485" i="3"/>
  <c r="L485" i="3" s="1"/>
  <c r="M485" i="3" s="1"/>
  <c r="J485" i="3"/>
  <c r="I485" i="3"/>
  <c r="K484" i="3"/>
  <c r="L484" i="3" s="1"/>
  <c r="M484" i="3" s="1"/>
  <c r="J484" i="3"/>
  <c r="I484" i="3"/>
  <c r="K483" i="3"/>
  <c r="L483" i="3" s="1"/>
  <c r="M483" i="3" s="1"/>
  <c r="J483" i="3"/>
  <c r="I483" i="3"/>
  <c r="K482" i="3"/>
  <c r="L482" i="3" s="1"/>
  <c r="M482" i="3" s="1"/>
  <c r="J482" i="3"/>
  <c r="I482" i="3"/>
  <c r="K481" i="3"/>
  <c r="L481" i="3" s="1"/>
  <c r="M481" i="3" s="1"/>
  <c r="J481" i="3"/>
  <c r="I481" i="3"/>
  <c r="K480" i="3"/>
  <c r="L480" i="3" s="1"/>
  <c r="M480" i="3" s="1"/>
  <c r="J480" i="3"/>
  <c r="I480" i="3"/>
  <c r="K479" i="3"/>
  <c r="L479" i="3" s="1"/>
  <c r="M479" i="3" s="1"/>
  <c r="J479" i="3"/>
  <c r="I479" i="3"/>
  <c r="K478" i="3"/>
  <c r="L478" i="3" s="1"/>
  <c r="M478" i="3" s="1"/>
  <c r="J478" i="3"/>
  <c r="I478" i="3"/>
  <c r="K477" i="3"/>
  <c r="L477" i="3" s="1"/>
  <c r="M477" i="3" s="1"/>
  <c r="J477" i="3"/>
  <c r="I477" i="3"/>
  <c r="K476" i="3"/>
  <c r="L476" i="3" s="1"/>
  <c r="M476" i="3" s="1"/>
  <c r="J476" i="3"/>
  <c r="I476" i="3"/>
  <c r="K475" i="3"/>
  <c r="L475" i="3" s="1"/>
  <c r="M475" i="3" s="1"/>
  <c r="J475" i="3"/>
  <c r="I475" i="3"/>
  <c r="K474" i="3"/>
  <c r="L474" i="3" s="1"/>
  <c r="M474" i="3" s="1"/>
  <c r="J474" i="3"/>
  <c r="I474" i="3"/>
  <c r="K473" i="3"/>
  <c r="L473" i="3" s="1"/>
  <c r="M473" i="3" s="1"/>
  <c r="J473" i="3"/>
  <c r="I473" i="3"/>
  <c r="K472" i="3"/>
  <c r="L472" i="3" s="1"/>
  <c r="M472" i="3" s="1"/>
  <c r="J472" i="3"/>
  <c r="I472" i="3"/>
  <c r="K471" i="3"/>
  <c r="L471" i="3" s="1"/>
  <c r="M471" i="3" s="1"/>
  <c r="J471" i="3"/>
  <c r="I471" i="3"/>
  <c r="K470" i="3"/>
  <c r="L470" i="3" s="1"/>
  <c r="M470" i="3" s="1"/>
  <c r="J470" i="3"/>
  <c r="I470" i="3"/>
  <c r="K469" i="3"/>
  <c r="L469" i="3" s="1"/>
  <c r="M469" i="3" s="1"/>
  <c r="J469" i="3"/>
  <c r="I469" i="3"/>
  <c r="K468" i="3"/>
  <c r="L468" i="3" s="1"/>
  <c r="M468" i="3" s="1"/>
  <c r="J468" i="3"/>
  <c r="I468" i="3"/>
  <c r="K467" i="3"/>
  <c r="L467" i="3" s="1"/>
  <c r="M467" i="3" s="1"/>
  <c r="J467" i="3"/>
  <c r="I467" i="3"/>
  <c r="K466" i="3"/>
  <c r="L466" i="3" s="1"/>
  <c r="M466" i="3" s="1"/>
  <c r="J466" i="3"/>
  <c r="I466" i="3"/>
  <c r="K465" i="3"/>
  <c r="L465" i="3" s="1"/>
  <c r="M465" i="3" s="1"/>
  <c r="J465" i="3"/>
  <c r="I465" i="3"/>
  <c r="K464" i="3"/>
  <c r="L464" i="3" s="1"/>
  <c r="M464" i="3" s="1"/>
  <c r="J464" i="3"/>
  <c r="I464" i="3"/>
  <c r="K461" i="3"/>
  <c r="L461" i="3" s="1"/>
  <c r="M461" i="3" s="1"/>
  <c r="J461" i="3"/>
  <c r="I461" i="3"/>
  <c r="K460" i="3"/>
  <c r="L460" i="3" s="1"/>
  <c r="M460" i="3" s="1"/>
  <c r="J460" i="3"/>
  <c r="I460" i="3"/>
  <c r="K459" i="3"/>
  <c r="L459" i="3" s="1"/>
  <c r="M459" i="3" s="1"/>
  <c r="J459" i="3"/>
  <c r="I459" i="3"/>
  <c r="K458" i="3"/>
  <c r="L458" i="3" s="1"/>
  <c r="M458" i="3" s="1"/>
  <c r="J458" i="3"/>
  <c r="I458" i="3"/>
  <c r="K457" i="3"/>
  <c r="L457" i="3" s="1"/>
  <c r="M457" i="3" s="1"/>
  <c r="J457" i="3"/>
  <c r="I457" i="3"/>
  <c r="K456" i="3"/>
  <c r="L456" i="3" s="1"/>
  <c r="M456" i="3" s="1"/>
  <c r="J456" i="3"/>
  <c r="I456" i="3"/>
  <c r="K455" i="3"/>
  <c r="L455" i="3" s="1"/>
  <c r="M455" i="3" s="1"/>
  <c r="J455" i="3"/>
  <c r="I455" i="3"/>
  <c r="K454" i="3"/>
  <c r="L454" i="3" s="1"/>
  <c r="M454" i="3" s="1"/>
  <c r="J454" i="3"/>
  <c r="I454" i="3"/>
  <c r="K453" i="3"/>
  <c r="L453" i="3" s="1"/>
  <c r="M453" i="3" s="1"/>
  <c r="J453" i="3"/>
  <c r="I453" i="3"/>
  <c r="K452" i="3"/>
  <c r="L452" i="3" s="1"/>
  <c r="M452" i="3" s="1"/>
  <c r="J452" i="3"/>
  <c r="I452" i="3"/>
  <c r="K451" i="3"/>
  <c r="L451" i="3" s="1"/>
  <c r="M451" i="3" s="1"/>
  <c r="J451" i="3"/>
  <c r="I451" i="3"/>
  <c r="K450" i="3"/>
  <c r="L450" i="3" s="1"/>
  <c r="M450" i="3" s="1"/>
  <c r="J450" i="3"/>
  <c r="I450" i="3"/>
  <c r="K449" i="3"/>
  <c r="L449" i="3" s="1"/>
  <c r="M449" i="3" s="1"/>
  <c r="J449" i="3"/>
  <c r="I449" i="3"/>
  <c r="K448" i="3"/>
  <c r="L448" i="3" s="1"/>
  <c r="M448" i="3" s="1"/>
  <c r="J448" i="3"/>
  <c r="I448" i="3"/>
  <c r="K447" i="3"/>
  <c r="L447" i="3" s="1"/>
  <c r="M447" i="3" s="1"/>
  <c r="J447" i="3"/>
  <c r="I447" i="3"/>
  <c r="K446" i="3"/>
  <c r="L446" i="3" s="1"/>
  <c r="M446" i="3" s="1"/>
  <c r="J446" i="3"/>
  <c r="I446" i="3"/>
  <c r="K445" i="3"/>
  <c r="L445" i="3" s="1"/>
  <c r="M445" i="3" s="1"/>
  <c r="J445" i="3"/>
  <c r="I445" i="3"/>
  <c r="K444" i="3"/>
  <c r="L444" i="3" s="1"/>
  <c r="M444" i="3" s="1"/>
  <c r="J444" i="3"/>
  <c r="I444" i="3"/>
  <c r="K443" i="3"/>
  <c r="L443" i="3" s="1"/>
  <c r="M443" i="3" s="1"/>
  <c r="J443" i="3"/>
  <c r="I443" i="3"/>
  <c r="K442" i="3"/>
  <c r="L442" i="3" s="1"/>
  <c r="M442" i="3" s="1"/>
  <c r="J442" i="3"/>
  <c r="I442" i="3"/>
  <c r="K441" i="3"/>
  <c r="L441" i="3" s="1"/>
  <c r="M441" i="3" s="1"/>
  <c r="J441" i="3"/>
  <c r="I441" i="3"/>
  <c r="K440" i="3"/>
  <c r="L440" i="3" s="1"/>
  <c r="M440" i="3" s="1"/>
  <c r="J440" i="3"/>
  <c r="I440" i="3"/>
  <c r="K439" i="3"/>
  <c r="L439" i="3" s="1"/>
  <c r="M439" i="3" s="1"/>
  <c r="J439" i="3"/>
  <c r="I439" i="3"/>
  <c r="K438" i="3"/>
  <c r="L438" i="3" s="1"/>
  <c r="M438" i="3" s="1"/>
  <c r="J438" i="3"/>
  <c r="I438" i="3"/>
  <c r="K437" i="3"/>
  <c r="L437" i="3" s="1"/>
  <c r="M437" i="3" s="1"/>
  <c r="J437" i="3"/>
  <c r="I437" i="3"/>
  <c r="K436" i="3"/>
  <c r="L436" i="3" s="1"/>
  <c r="M436" i="3" s="1"/>
  <c r="J436" i="3"/>
  <c r="I436" i="3"/>
  <c r="K435" i="3"/>
  <c r="L435" i="3" s="1"/>
  <c r="M435" i="3" s="1"/>
  <c r="J435" i="3"/>
  <c r="I435" i="3"/>
  <c r="K434" i="3"/>
  <c r="L434" i="3" s="1"/>
  <c r="M434" i="3" s="1"/>
  <c r="J434" i="3"/>
  <c r="I434" i="3"/>
  <c r="K433" i="3"/>
  <c r="L433" i="3" s="1"/>
  <c r="M433" i="3" s="1"/>
  <c r="J433" i="3"/>
  <c r="I433" i="3"/>
  <c r="K432" i="3"/>
  <c r="L432" i="3" s="1"/>
  <c r="M432" i="3" s="1"/>
  <c r="J432" i="3"/>
  <c r="I432" i="3"/>
  <c r="K431" i="3"/>
  <c r="L431" i="3" s="1"/>
  <c r="M431" i="3" s="1"/>
  <c r="J431" i="3"/>
  <c r="I431" i="3"/>
  <c r="K430" i="3"/>
  <c r="L430" i="3" s="1"/>
  <c r="M430" i="3" s="1"/>
  <c r="J430" i="3"/>
  <c r="I430" i="3"/>
  <c r="K429" i="3"/>
  <c r="L429" i="3" s="1"/>
  <c r="M429" i="3" s="1"/>
  <c r="J429" i="3"/>
  <c r="I429" i="3"/>
  <c r="K428" i="3"/>
  <c r="L428" i="3" s="1"/>
  <c r="M428" i="3" s="1"/>
  <c r="J428" i="3"/>
  <c r="I428" i="3"/>
  <c r="K427" i="3"/>
  <c r="L427" i="3" s="1"/>
  <c r="M427" i="3" s="1"/>
  <c r="J427" i="3"/>
  <c r="I427" i="3"/>
  <c r="K426" i="3"/>
  <c r="L426" i="3" s="1"/>
  <c r="M426" i="3" s="1"/>
  <c r="J426" i="3"/>
  <c r="I426" i="3"/>
  <c r="K425" i="3"/>
  <c r="L425" i="3" s="1"/>
  <c r="M425" i="3" s="1"/>
  <c r="J425" i="3"/>
  <c r="I425" i="3"/>
  <c r="K424" i="3"/>
  <c r="L424" i="3" s="1"/>
  <c r="M424" i="3" s="1"/>
  <c r="J424" i="3"/>
  <c r="I424" i="3"/>
  <c r="K423" i="3"/>
  <c r="L423" i="3" s="1"/>
  <c r="M423" i="3" s="1"/>
  <c r="J423" i="3"/>
  <c r="I423" i="3"/>
  <c r="K422" i="3"/>
  <c r="L422" i="3" s="1"/>
  <c r="M422" i="3" s="1"/>
  <c r="J422" i="3"/>
  <c r="I422" i="3"/>
  <c r="K421" i="3"/>
  <c r="L421" i="3" s="1"/>
  <c r="M421" i="3" s="1"/>
  <c r="J421" i="3"/>
  <c r="I421" i="3"/>
  <c r="K420" i="3"/>
  <c r="L420" i="3" s="1"/>
  <c r="M420" i="3" s="1"/>
  <c r="J420" i="3"/>
  <c r="I420" i="3"/>
  <c r="K419" i="3"/>
  <c r="L419" i="3" s="1"/>
  <c r="M419" i="3" s="1"/>
  <c r="J419" i="3"/>
  <c r="I419" i="3"/>
  <c r="K418" i="3"/>
  <c r="L418" i="3" s="1"/>
  <c r="M418" i="3" s="1"/>
  <c r="J418" i="3"/>
  <c r="I418" i="3"/>
  <c r="K417" i="3"/>
  <c r="L417" i="3" s="1"/>
  <c r="M417" i="3" s="1"/>
  <c r="J417" i="3"/>
  <c r="I417" i="3"/>
  <c r="K416" i="3"/>
  <c r="L416" i="3" s="1"/>
  <c r="M416" i="3" s="1"/>
  <c r="J416" i="3"/>
  <c r="I416" i="3"/>
  <c r="K415" i="3"/>
  <c r="L415" i="3" s="1"/>
  <c r="M415" i="3" s="1"/>
  <c r="J415" i="3"/>
  <c r="I415" i="3"/>
  <c r="K414" i="3"/>
  <c r="L414" i="3" s="1"/>
  <c r="M414" i="3" s="1"/>
  <c r="J414" i="3"/>
  <c r="I414" i="3"/>
  <c r="K413" i="3"/>
  <c r="L413" i="3" s="1"/>
  <c r="M413" i="3" s="1"/>
  <c r="J413" i="3"/>
  <c r="I413" i="3"/>
  <c r="K412" i="3"/>
  <c r="L412" i="3" s="1"/>
  <c r="M412" i="3" s="1"/>
  <c r="J412" i="3"/>
  <c r="I412" i="3"/>
  <c r="K411" i="3"/>
  <c r="L411" i="3" s="1"/>
  <c r="M411" i="3" s="1"/>
  <c r="J411" i="3"/>
  <c r="I411" i="3"/>
  <c r="K410" i="3"/>
  <c r="L410" i="3" s="1"/>
  <c r="M410" i="3" s="1"/>
  <c r="J410" i="3"/>
  <c r="I410" i="3"/>
  <c r="K409" i="3"/>
  <c r="L409" i="3" s="1"/>
  <c r="M409" i="3" s="1"/>
  <c r="J409" i="3"/>
  <c r="I409" i="3"/>
  <c r="K408" i="3"/>
  <c r="L408" i="3" s="1"/>
  <c r="M408" i="3" s="1"/>
  <c r="J408" i="3"/>
  <c r="I408" i="3"/>
  <c r="K407" i="3"/>
  <c r="L407" i="3" s="1"/>
  <c r="M407" i="3" s="1"/>
  <c r="J407" i="3"/>
  <c r="I407" i="3"/>
  <c r="K405" i="3"/>
  <c r="L405" i="3" s="1"/>
  <c r="M405" i="3" s="1"/>
  <c r="J405" i="3"/>
  <c r="I405" i="3"/>
  <c r="K404" i="3"/>
  <c r="L404" i="3" s="1"/>
  <c r="M404" i="3" s="1"/>
  <c r="J404" i="3"/>
  <c r="I404" i="3"/>
  <c r="K403" i="3"/>
  <c r="L403" i="3" s="1"/>
  <c r="M403" i="3" s="1"/>
  <c r="J403" i="3"/>
  <c r="I403" i="3"/>
  <c r="K402" i="3"/>
  <c r="L402" i="3" s="1"/>
  <c r="M402" i="3" s="1"/>
  <c r="J402" i="3"/>
  <c r="I402" i="3"/>
  <c r="K401" i="3"/>
  <c r="L401" i="3" s="1"/>
  <c r="M401" i="3" s="1"/>
  <c r="J401" i="3"/>
  <c r="I401" i="3"/>
  <c r="K400" i="3"/>
  <c r="L400" i="3" s="1"/>
  <c r="M400" i="3" s="1"/>
  <c r="J400" i="3"/>
  <c r="I400" i="3"/>
  <c r="K399" i="3"/>
  <c r="L399" i="3" s="1"/>
  <c r="M399" i="3" s="1"/>
  <c r="J399" i="3"/>
  <c r="I399" i="3"/>
  <c r="K398" i="3"/>
  <c r="L398" i="3" s="1"/>
  <c r="M398" i="3" s="1"/>
  <c r="J398" i="3"/>
  <c r="I398" i="3"/>
  <c r="K396" i="3"/>
  <c r="L396" i="3" s="1"/>
  <c r="M396" i="3" s="1"/>
  <c r="J396" i="3"/>
  <c r="I396" i="3"/>
  <c r="K395" i="3"/>
  <c r="L395" i="3" s="1"/>
  <c r="M395" i="3" s="1"/>
  <c r="J395" i="3"/>
  <c r="I395" i="3"/>
  <c r="K394" i="3"/>
  <c r="L394" i="3" s="1"/>
  <c r="M394" i="3" s="1"/>
  <c r="J394" i="3"/>
  <c r="I394" i="3"/>
  <c r="K393" i="3"/>
  <c r="L393" i="3" s="1"/>
  <c r="M393" i="3" s="1"/>
  <c r="J393" i="3"/>
  <c r="I393" i="3"/>
  <c r="K392" i="3"/>
  <c r="L392" i="3" s="1"/>
  <c r="M392" i="3" s="1"/>
  <c r="J392" i="3"/>
  <c r="I392" i="3"/>
  <c r="K391" i="3"/>
  <c r="L391" i="3" s="1"/>
  <c r="M391" i="3" s="1"/>
  <c r="J391" i="3"/>
  <c r="I391" i="3"/>
  <c r="K390" i="3"/>
  <c r="L390" i="3" s="1"/>
  <c r="M390" i="3" s="1"/>
  <c r="J390" i="3"/>
  <c r="I390" i="3"/>
  <c r="K389" i="3"/>
  <c r="L389" i="3" s="1"/>
  <c r="M389" i="3" s="1"/>
  <c r="J389" i="3"/>
  <c r="I389" i="3"/>
  <c r="K388" i="3"/>
  <c r="L388" i="3" s="1"/>
  <c r="M388" i="3" s="1"/>
  <c r="J388" i="3"/>
  <c r="I388" i="3"/>
  <c r="K387" i="3"/>
  <c r="L387" i="3" s="1"/>
  <c r="M387" i="3" s="1"/>
  <c r="J387" i="3"/>
  <c r="I387" i="3"/>
  <c r="K386" i="3"/>
  <c r="L386" i="3" s="1"/>
  <c r="M386" i="3" s="1"/>
  <c r="J386" i="3"/>
  <c r="I386" i="3"/>
  <c r="K385" i="3"/>
  <c r="L385" i="3" s="1"/>
  <c r="M385" i="3" s="1"/>
  <c r="J385" i="3"/>
  <c r="I385" i="3"/>
  <c r="K384" i="3"/>
  <c r="L384" i="3" s="1"/>
  <c r="M384" i="3" s="1"/>
  <c r="J384" i="3"/>
  <c r="I384" i="3"/>
  <c r="K383" i="3"/>
  <c r="L383" i="3" s="1"/>
  <c r="M383" i="3" s="1"/>
  <c r="J383" i="3"/>
  <c r="I383" i="3"/>
  <c r="K382" i="3"/>
  <c r="L382" i="3" s="1"/>
  <c r="M382" i="3" s="1"/>
  <c r="J382" i="3"/>
  <c r="I382" i="3"/>
  <c r="K381" i="3"/>
  <c r="L381" i="3" s="1"/>
  <c r="M381" i="3" s="1"/>
  <c r="J381" i="3"/>
  <c r="I381" i="3"/>
  <c r="K380" i="3"/>
  <c r="L380" i="3" s="1"/>
  <c r="M380" i="3" s="1"/>
  <c r="J380" i="3"/>
  <c r="I380" i="3"/>
  <c r="K379" i="3"/>
  <c r="L379" i="3" s="1"/>
  <c r="M379" i="3" s="1"/>
  <c r="J379" i="3"/>
  <c r="I379" i="3"/>
  <c r="K378" i="3"/>
  <c r="L378" i="3" s="1"/>
  <c r="M378" i="3" s="1"/>
  <c r="J378" i="3"/>
  <c r="I378" i="3"/>
  <c r="K377" i="3"/>
  <c r="L377" i="3" s="1"/>
  <c r="M377" i="3" s="1"/>
  <c r="J377" i="3"/>
  <c r="I377" i="3"/>
  <c r="K376" i="3"/>
  <c r="L376" i="3" s="1"/>
  <c r="M376" i="3" s="1"/>
  <c r="J376" i="3"/>
  <c r="I376" i="3"/>
  <c r="K374" i="3"/>
  <c r="L374" i="3" s="1"/>
  <c r="M374" i="3" s="1"/>
  <c r="J374" i="3"/>
  <c r="I374" i="3"/>
  <c r="K373" i="3"/>
  <c r="L373" i="3" s="1"/>
  <c r="M373" i="3" s="1"/>
  <c r="J373" i="3"/>
  <c r="I373" i="3"/>
  <c r="K372" i="3"/>
  <c r="L372" i="3" s="1"/>
  <c r="M372" i="3" s="1"/>
  <c r="J372" i="3"/>
  <c r="I372" i="3"/>
  <c r="K371" i="3"/>
  <c r="L371" i="3" s="1"/>
  <c r="M371" i="3" s="1"/>
  <c r="J371" i="3"/>
  <c r="I371" i="3"/>
  <c r="K368" i="3"/>
  <c r="L368" i="3" s="1"/>
  <c r="M368" i="3" s="1"/>
  <c r="J368" i="3"/>
  <c r="I368" i="3"/>
  <c r="K367" i="3"/>
  <c r="L367" i="3" s="1"/>
  <c r="M367" i="3" s="1"/>
  <c r="J367" i="3"/>
  <c r="I367" i="3"/>
  <c r="K366" i="3"/>
  <c r="L366" i="3" s="1"/>
  <c r="M366" i="3" s="1"/>
  <c r="J366" i="3"/>
  <c r="I366" i="3"/>
  <c r="K365" i="3"/>
  <c r="L365" i="3" s="1"/>
  <c r="M365" i="3" s="1"/>
  <c r="J365" i="3"/>
  <c r="I365" i="3"/>
  <c r="K363" i="3"/>
  <c r="L363" i="3" s="1"/>
  <c r="M363" i="3" s="1"/>
  <c r="J363" i="3"/>
  <c r="I363" i="3"/>
  <c r="K362" i="3"/>
  <c r="L362" i="3" s="1"/>
  <c r="M362" i="3" s="1"/>
  <c r="J362" i="3"/>
  <c r="I362" i="3"/>
  <c r="K359" i="3"/>
  <c r="L359" i="3" s="1"/>
  <c r="M359" i="3" s="1"/>
  <c r="J359" i="3"/>
  <c r="I359" i="3"/>
  <c r="K358" i="3"/>
  <c r="L358" i="3" s="1"/>
  <c r="M358" i="3" s="1"/>
  <c r="J358" i="3"/>
  <c r="I358" i="3"/>
  <c r="K357" i="3"/>
  <c r="L357" i="3" s="1"/>
  <c r="M357" i="3" s="1"/>
  <c r="J357" i="3"/>
  <c r="I357" i="3"/>
  <c r="K356" i="3"/>
  <c r="L356" i="3" s="1"/>
  <c r="M356" i="3" s="1"/>
  <c r="J356" i="3"/>
  <c r="I356" i="3"/>
  <c r="K351" i="3"/>
  <c r="L351" i="3" s="1"/>
  <c r="M351" i="3" s="1"/>
  <c r="J351" i="3"/>
  <c r="I351" i="3"/>
  <c r="K350" i="3"/>
  <c r="L350" i="3" s="1"/>
  <c r="M350" i="3" s="1"/>
  <c r="J350" i="3"/>
  <c r="I350" i="3"/>
  <c r="K346" i="3"/>
  <c r="L346" i="3" s="1"/>
  <c r="M346" i="3" s="1"/>
  <c r="J346" i="3"/>
  <c r="I346" i="3"/>
  <c r="K343" i="3"/>
  <c r="L343" i="3" s="1"/>
  <c r="M343" i="3" s="1"/>
  <c r="J343" i="3"/>
  <c r="I343" i="3"/>
  <c r="K342" i="3"/>
  <c r="L342" i="3" s="1"/>
  <c r="M342" i="3" s="1"/>
  <c r="J342" i="3"/>
  <c r="I342" i="3"/>
  <c r="K341" i="3"/>
  <c r="L341" i="3" s="1"/>
  <c r="M341" i="3" s="1"/>
  <c r="J341" i="3"/>
  <c r="I341" i="3"/>
  <c r="K340" i="3"/>
  <c r="L340" i="3" s="1"/>
  <c r="M340" i="3" s="1"/>
  <c r="J340" i="3"/>
  <c r="I340" i="3"/>
  <c r="K339" i="3"/>
  <c r="L339" i="3" s="1"/>
  <c r="M339" i="3" s="1"/>
  <c r="J339" i="3"/>
  <c r="I339" i="3"/>
  <c r="K338" i="3"/>
  <c r="L338" i="3" s="1"/>
  <c r="M338" i="3" s="1"/>
  <c r="J338" i="3"/>
  <c r="I338" i="3"/>
  <c r="K337" i="3"/>
  <c r="L337" i="3" s="1"/>
  <c r="M337" i="3" s="1"/>
  <c r="J337" i="3"/>
  <c r="I337" i="3"/>
  <c r="K336" i="3"/>
  <c r="L336" i="3" s="1"/>
  <c r="M336" i="3" s="1"/>
  <c r="J336" i="3"/>
  <c r="I336" i="3"/>
  <c r="K334" i="3"/>
  <c r="L334" i="3" s="1"/>
  <c r="M334" i="3" s="1"/>
  <c r="J334" i="3"/>
  <c r="I334" i="3"/>
  <c r="K333" i="3"/>
  <c r="L333" i="3" s="1"/>
  <c r="M333" i="3" s="1"/>
  <c r="J333" i="3"/>
  <c r="I333" i="3"/>
  <c r="K331" i="3"/>
  <c r="L331" i="3" s="1"/>
  <c r="M331" i="3" s="1"/>
  <c r="J331" i="3"/>
  <c r="I331" i="3"/>
  <c r="K330" i="3"/>
  <c r="L330" i="3" s="1"/>
  <c r="M330" i="3" s="1"/>
  <c r="J330" i="3"/>
  <c r="I330" i="3"/>
  <c r="K329" i="3"/>
  <c r="L329" i="3" s="1"/>
  <c r="M329" i="3" s="1"/>
  <c r="J329" i="3"/>
  <c r="I329" i="3"/>
  <c r="K328" i="3"/>
  <c r="L328" i="3" s="1"/>
  <c r="M328" i="3" s="1"/>
  <c r="J328" i="3"/>
  <c r="I328" i="3"/>
  <c r="K327" i="3"/>
  <c r="L327" i="3" s="1"/>
  <c r="M327" i="3" s="1"/>
  <c r="J327" i="3"/>
  <c r="I327" i="3"/>
  <c r="K326" i="3"/>
  <c r="L326" i="3" s="1"/>
  <c r="M326" i="3" s="1"/>
  <c r="J326" i="3"/>
  <c r="I326" i="3"/>
  <c r="K325" i="3"/>
  <c r="L325" i="3" s="1"/>
  <c r="M325" i="3" s="1"/>
  <c r="J325" i="3"/>
  <c r="I325" i="3"/>
  <c r="K324" i="3"/>
  <c r="L324" i="3" s="1"/>
  <c r="M324" i="3" s="1"/>
  <c r="J324" i="3"/>
  <c r="I324" i="3"/>
  <c r="K323" i="3"/>
  <c r="L323" i="3" s="1"/>
  <c r="M323" i="3" s="1"/>
  <c r="J323" i="3"/>
  <c r="I323" i="3"/>
  <c r="K322" i="3"/>
  <c r="L322" i="3" s="1"/>
  <c r="M322" i="3" s="1"/>
  <c r="J322" i="3"/>
  <c r="I322" i="3"/>
  <c r="K321" i="3"/>
  <c r="L321" i="3" s="1"/>
  <c r="M321" i="3" s="1"/>
  <c r="J321" i="3"/>
  <c r="I321" i="3"/>
  <c r="K320" i="3"/>
  <c r="L320" i="3" s="1"/>
  <c r="M320" i="3" s="1"/>
  <c r="J320" i="3"/>
  <c r="I320" i="3"/>
  <c r="K317" i="3"/>
  <c r="L317" i="3" s="1"/>
  <c r="M317" i="3" s="1"/>
  <c r="J317" i="3"/>
  <c r="I317" i="3"/>
  <c r="K316" i="3"/>
  <c r="L316" i="3" s="1"/>
  <c r="M316" i="3" s="1"/>
  <c r="J316" i="3"/>
  <c r="I316" i="3"/>
  <c r="K315" i="3"/>
  <c r="L315" i="3" s="1"/>
  <c r="M315" i="3" s="1"/>
  <c r="J315" i="3"/>
  <c r="I315" i="3"/>
  <c r="K313" i="3"/>
  <c r="L313" i="3" s="1"/>
  <c r="M313" i="3" s="1"/>
  <c r="J313" i="3"/>
  <c r="I313" i="3"/>
  <c r="K311" i="3"/>
  <c r="L311" i="3" s="1"/>
  <c r="M311" i="3" s="1"/>
  <c r="J311" i="3"/>
  <c r="I311" i="3"/>
  <c r="K310" i="3"/>
  <c r="L310" i="3" s="1"/>
  <c r="M310" i="3" s="1"/>
  <c r="J310" i="3"/>
  <c r="I310" i="3"/>
  <c r="K308" i="3"/>
  <c r="L308" i="3" s="1"/>
  <c r="M308" i="3" s="1"/>
  <c r="J308" i="3"/>
  <c r="I308" i="3"/>
  <c r="K307" i="3"/>
  <c r="L307" i="3" s="1"/>
  <c r="M307" i="3" s="1"/>
  <c r="J307" i="3"/>
  <c r="I307" i="3"/>
  <c r="K306" i="3"/>
  <c r="L306" i="3" s="1"/>
  <c r="M306" i="3" s="1"/>
  <c r="J306" i="3"/>
  <c r="I306" i="3"/>
  <c r="K305" i="3"/>
  <c r="L305" i="3" s="1"/>
  <c r="M305" i="3" s="1"/>
  <c r="J305" i="3"/>
  <c r="I305" i="3"/>
  <c r="K304" i="3"/>
  <c r="L304" i="3" s="1"/>
  <c r="M304" i="3" s="1"/>
  <c r="J304" i="3"/>
  <c r="I304" i="3"/>
  <c r="K303" i="3"/>
  <c r="L303" i="3" s="1"/>
  <c r="M303" i="3" s="1"/>
  <c r="J303" i="3"/>
  <c r="I303" i="3"/>
  <c r="K302" i="3"/>
  <c r="L302" i="3" s="1"/>
  <c r="M302" i="3" s="1"/>
  <c r="J302" i="3"/>
  <c r="I302" i="3"/>
  <c r="K301" i="3"/>
  <c r="L301" i="3" s="1"/>
  <c r="M301" i="3" s="1"/>
  <c r="J301" i="3"/>
  <c r="I301" i="3"/>
  <c r="K300" i="3"/>
  <c r="L300" i="3" s="1"/>
  <c r="M300" i="3" s="1"/>
  <c r="J300" i="3"/>
  <c r="I300" i="3"/>
  <c r="K298" i="3"/>
  <c r="L298" i="3" s="1"/>
  <c r="M298" i="3" s="1"/>
  <c r="J298" i="3"/>
  <c r="I298" i="3"/>
  <c r="K297" i="3"/>
  <c r="L297" i="3" s="1"/>
  <c r="M297" i="3" s="1"/>
  <c r="J297" i="3"/>
  <c r="I297" i="3"/>
  <c r="K295" i="3"/>
  <c r="L295" i="3" s="1"/>
  <c r="M295" i="3" s="1"/>
  <c r="J295" i="3"/>
  <c r="I295" i="3"/>
  <c r="K294" i="3"/>
  <c r="L294" i="3" s="1"/>
  <c r="M294" i="3" s="1"/>
  <c r="J294" i="3"/>
  <c r="I294" i="3"/>
  <c r="K293" i="3"/>
  <c r="L293" i="3" s="1"/>
  <c r="M293" i="3" s="1"/>
  <c r="J293" i="3"/>
  <c r="I293" i="3"/>
  <c r="K292" i="3"/>
  <c r="L292" i="3" s="1"/>
  <c r="M292" i="3" s="1"/>
  <c r="J292" i="3"/>
  <c r="I292" i="3"/>
  <c r="K291" i="3"/>
  <c r="L291" i="3" s="1"/>
  <c r="M291" i="3" s="1"/>
  <c r="J291" i="3"/>
  <c r="I291" i="3"/>
  <c r="K290" i="3"/>
  <c r="L290" i="3" s="1"/>
  <c r="M290" i="3" s="1"/>
  <c r="J290" i="3"/>
  <c r="I290" i="3"/>
  <c r="K289" i="3"/>
  <c r="L289" i="3" s="1"/>
  <c r="M289" i="3" s="1"/>
  <c r="J289" i="3"/>
  <c r="I289" i="3"/>
  <c r="K288" i="3"/>
  <c r="L288" i="3" s="1"/>
  <c r="M288" i="3" s="1"/>
  <c r="J288" i="3"/>
  <c r="I288" i="3"/>
  <c r="K287" i="3"/>
  <c r="L287" i="3" s="1"/>
  <c r="M287" i="3" s="1"/>
  <c r="J287" i="3"/>
  <c r="I287" i="3"/>
  <c r="K286" i="3"/>
  <c r="L286" i="3" s="1"/>
  <c r="M286" i="3" s="1"/>
  <c r="J286" i="3"/>
  <c r="I286" i="3"/>
  <c r="K285" i="3"/>
  <c r="L285" i="3" s="1"/>
  <c r="M285" i="3" s="1"/>
  <c r="J285" i="3"/>
  <c r="I285" i="3"/>
  <c r="K284" i="3"/>
  <c r="L284" i="3" s="1"/>
  <c r="M284" i="3" s="1"/>
  <c r="J284" i="3"/>
  <c r="I284" i="3"/>
  <c r="K283" i="3"/>
  <c r="L283" i="3" s="1"/>
  <c r="M283" i="3" s="1"/>
  <c r="J283" i="3"/>
  <c r="I283" i="3"/>
  <c r="K282" i="3"/>
  <c r="L282" i="3" s="1"/>
  <c r="M282" i="3" s="1"/>
  <c r="J282" i="3"/>
  <c r="I282" i="3"/>
  <c r="K281" i="3"/>
  <c r="L281" i="3" s="1"/>
  <c r="M281" i="3" s="1"/>
  <c r="J281" i="3"/>
  <c r="I281" i="3"/>
  <c r="K280" i="3"/>
  <c r="L280" i="3" s="1"/>
  <c r="M280" i="3" s="1"/>
  <c r="J280" i="3"/>
  <c r="I280" i="3"/>
  <c r="K279" i="3"/>
  <c r="L279" i="3" s="1"/>
  <c r="M279" i="3" s="1"/>
  <c r="J279" i="3"/>
  <c r="I279" i="3"/>
  <c r="K278" i="3"/>
  <c r="L278" i="3" s="1"/>
  <c r="M278" i="3" s="1"/>
  <c r="J278" i="3"/>
  <c r="I278" i="3"/>
  <c r="K277" i="3"/>
  <c r="L277" i="3" s="1"/>
  <c r="M277" i="3" s="1"/>
  <c r="J277" i="3"/>
  <c r="I277" i="3"/>
  <c r="K276" i="3"/>
  <c r="L276" i="3" s="1"/>
  <c r="M276" i="3" s="1"/>
  <c r="J276" i="3"/>
  <c r="I276" i="3"/>
  <c r="K275" i="3"/>
  <c r="L275" i="3" s="1"/>
  <c r="M275" i="3" s="1"/>
  <c r="J275" i="3"/>
  <c r="I275" i="3"/>
  <c r="K274" i="3"/>
  <c r="L274" i="3" s="1"/>
  <c r="M274" i="3" s="1"/>
  <c r="J274" i="3"/>
  <c r="I274" i="3"/>
  <c r="K273" i="3"/>
  <c r="L273" i="3" s="1"/>
  <c r="M273" i="3" s="1"/>
  <c r="J273" i="3"/>
  <c r="I273" i="3"/>
  <c r="K272" i="3"/>
  <c r="L272" i="3" s="1"/>
  <c r="M272" i="3" s="1"/>
  <c r="J272" i="3"/>
  <c r="I272" i="3"/>
  <c r="K271" i="3"/>
  <c r="L271" i="3" s="1"/>
  <c r="M271" i="3" s="1"/>
  <c r="J271" i="3"/>
  <c r="I271" i="3"/>
  <c r="K270" i="3"/>
  <c r="L270" i="3" s="1"/>
  <c r="M270" i="3" s="1"/>
  <c r="J270" i="3"/>
  <c r="I270" i="3"/>
  <c r="K269" i="3"/>
  <c r="L269" i="3" s="1"/>
  <c r="M269" i="3" s="1"/>
  <c r="J269" i="3"/>
  <c r="I269" i="3"/>
  <c r="K268" i="3"/>
  <c r="L268" i="3" s="1"/>
  <c r="M268" i="3" s="1"/>
  <c r="J268" i="3"/>
  <c r="I268" i="3"/>
  <c r="K267" i="3"/>
  <c r="L267" i="3" s="1"/>
  <c r="M267" i="3" s="1"/>
  <c r="J267" i="3"/>
  <c r="I267" i="3"/>
  <c r="K266" i="3"/>
  <c r="L266" i="3" s="1"/>
  <c r="M266" i="3" s="1"/>
  <c r="J266" i="3"/>
  <c r="I266" i="3"/>
  <c r="K265" i="3"/>
  <c r="L265" i="3" s="1"/>
  <c r="M265" i="3" s="1"/>
  <c r="J265" i="3"/>
  <c r="I265" i="3"/>
  <c r="K264" i="3"/>
  <c r="L264" i="3" s="1"/>
  <c r="M264" i="3" s="1"/>
  <c r="J264" i="3"/>
  <c r="I264" i="3"/>
  <c r="K263" i="3"/>
  <c r="L263" i="3" s="1"/>
  <c r="M263" i="3" s="1"/>
  <c r="J263" i="3"/>
  <c r="I263" i="3"/>
  <c r="K262" i="3"/>
  <c r="L262" i="3" s="1"/>
  <c r="M262" i="3" s="1"/>
  <c r="J262" i="3"/>
  <c r="I262" i="3"/>
  <c r="K261" i="3"/>
  <c r="L261" i="3" s="1"/>
  <c r="M261" i="3" s="1"/>
  <c r="J261" i="3"/>
  <c r="I261" i="3"/>
  <c r="K260" i="3"/>
  <c r="L260" i="3" s="1"/>
  <c r="M260" i="3" s="1"/>
  <c r="J260" i="3"/>
  <c r="I260" i="3"/>
  <c r="K259" i="3"/>
  <c r="L259" i="3" s="1"/>
  <c r="M259" i="3" s="1"/>
  <c r="J259" i="3"/>
  <c r="I259" i="3"/>
  <c r="K258" i="3"/>
  <c r="L258" i="3" s="1"/>
  <c r="M258" i="3" s="1"/>
  <c r="J258" i="3"/>
  <c r="I258" i="3"/>
  <c r="K257" i="3"/>
  <c r="L257" i="3" s="1"/>
  <c r="M257" i="3" s="1"/>
  <c r="J257" i="3"/>
  <c r="I257" i="3"/>
  <c r="K256" i="3"/>
  <c r="L256" i="3" s="1"/>
  <c r="M256" i="3" s="1"/>
  <c r="J256" i="3"/>
  <c r="I256" i="3"/>
  <c r="K255" i="3"/>
  <c r="L255" i="3" s="1"/>
  <c r="M255" i="3" s="1"/>
  <c r="J255" i="3"/>
  <c r="I255" i="3"/>
  <c r="K254" i="3"/>
  <c r="L254" i="3" s="1"/>
  <c r="M254" i="3" s="1"/>
  <c r="J254" i="3"/>
  <c r="I254" i="3"/>
  <c r="K253" i="3"/>
  <c r="L253" i="3" s="1"/>
  <c r="M253" i="3" s="1"/>
  <c r="J253" i="3"/>
  <c r="I253" i="3"/>
  <c r="K252" i="3"/>
  <c r="L252" i="3" s="1"/>
  <c r="M252" i="3" s="1"/>
  <c r="J252" i="3"/>
  <c r="I252" i="3"/>
  <c r="K251" i="3"/>
  <c r="L251" i="3" s="1"/>
  <c r="M251" i="3" s="1"/>
  <c r="J251" i="3"/>
  <c r="I251" i="3"/>
  <c r="K250" i="3"/>
  <c r="L250" i="3" s="1"/>
  <c r="M250" i="3" s="1"/>
  <c r="J250" i="3"/>
  <c r="I250" i="3"/>
  <c r="K249" i="3"/>
  <c r="L249" i="3" s="1"/>
  <c r="M249" i="3" s="1"/>
  <c r="J249" i="3"/>
  <c r="I249" i="3"/>
  <c r="K248" i="3"/>
  <c r="L248" i="3" s="1"/>
  <c r="M248" i="3" s="1"/>
  <c r="J248" i="3"/>
  <c r="I248" i="3"/>
  <c r="K247" i="3"/>
  <c r="L247" i="3" s="1"/>
  <c r="M247" i="3" s="1"/>
  <c r="J247" i="3"/>
  <c r="I247" i="3"/>
  <c r="K246" i="3"/>
  <c r="L246" i="3" s="1"/>
  <c r="M246" i="3" s="1"/>
  <c r="J246" i="3"/>
  <c r="I246" i="3"/>
  <c r="K245" i="3"/>
  <c r="L245" i="3" s="1"/>
  <c r="M245" i="3" s="1"/>
  <c r="J245" i="3"/>
  <c r="I245" i="3"/>
  <c r="K244" i="3"/>
  <c r="L244" i="3" s="1"/>
  <c r="M244" i="3" s="1"/>
  <c r="J244" i="3"/>
  <c r="I244" i="3"/>
  <c r="K243" i="3"/>
  <c r="L243" i="3" s="1"/>
  <c r="M243" i="3" s="1"/>
  <c r="J243" i="3"/>
  <c r="I243" i="3"/>
  <c r="K242" i="3"/>
  <c r="L242" i="3" s="1"/>
  <c r="M242" i="3" s="1"/>
  <c r="J242" i="3"/>
  <c r="I242" i="3"/>
  <c r="K241" i="3"/>
  <c r="L241" i="3" s="1"/>
  <c r="M241" i="3" s="1"/>
  <c r="J241" i="3"/>
  <c r="I241" i="3"/>
  <c r="K240" i="3"/>
  <c r="L240" i="3" s="1"/>
  <c r="M240" i="3" s="1"/>
  <c r="J240" i="3"/>
  <c r="I240" i="3"/>
  <c r="K239" i="3"/>
  <c r="L239" i="3" s="1"/>
  <c r="M239" i="3" s="1"/>
  <c r="J239" i="3"/>
  <c r="I239" i="3"/>
  <c r="K238" i="3"/>
  <c r="L238" i="3" s="1"/>
  <c r="M238" i="3" s="1"/>
  <c r="J238" i="3"/>
  <c r="I238" i="3"/>
  <c r="K237" i="3"/>
  <c r="L237" i="3" s="1"/>
  <c r="M237" i="3" s="1"/>
  <c r="J237" i="3"/>
  <c r="I237" i="3"/>
  <c r="K236" i="3"/>
  <c r="L236" i="3" s="1"/>
  <c r="M236" i="3" s="1"/>
  <c r="J236" i="3"/>
  <c r="I236" i="3"/>
  <c r="K235" i="3"/>
  <c r="L235" i="3" s="1"/>
  <c r="M235" i="3" s="1"/>
  <c r="J235" i="3"/>
  <c r="I235" i="3"/>
  <c r="K234" i="3"/>
  <c r="L234" i="3" s="1"/>
  <c r="M234" i="3" s="1"/>
  <c r="J234" i="3"/>
  <c r="I234" i="3"/>
  <c r="K233" i="3"/>
  <c r="L233" i="3" s="1"/>
  <c r="M233" i="3" s="1"/>
  <c r="J233" i="3"/>
  <c r="I233" i="3"/>
  <c r="K230" i="3"/>
  <c r="L230" i="3" s="1"/>
  <c r="M230" i="3" s="1"/>
  <c r="J230" i="3"/>
  <c r="I230" i="3"/>
  <c r="K229" i="3"/>
  <c r="L229" i="3" s="1"/>
  <c r="M229" i="3" s="1"/>
  <c r="J229" i="3"/>
  <c r="I229" i="3"/>
  <c r="K228" i="3"/>
  <c r="L228" i="3" s="1"/>
  <c r="M228" i="3" s="1"/>
  <c r="J228" i="3"/>
  <c r="I228" i="3"/>
  <c r="K227" i="3"/>
  <c r="L227" i="3" s="1"/>
  <c r="M227" i="3" s="1"/>
  <c r="J227" i="3"/>
  <c r="I227" i="3"/>
  <c r="K226" i="3"/>
  <c r="L226" i="3" s="1"/>
  <c r="M226" i="3" s="1"/>
  <c r="J226" i="3"/>
  <c r="I226" i="3"/>
  <c r="K225" i="3"/>
  <c r="L225" i="3" s="1"/>
  <c r="M225" i="3" s="1"/>
  <c r="J225" i="3"/>
  <c r="I225" i="3"/>
  <c r="K224" i="3"/>
  <c r="L224" i="3" s="1"/>
  <c r="M224" i="3" s="1"/>
  <c r="J224" i="3"/>
  <c r="I224" i="3"/>
  <c r="K223" i="3"/>
  <c r="L223" i="3" s="1"/>
  <c r="M223" i="3" s="1"/>
  <c r="J223" i="3"/>
  <c r="I223" i="3"/>
  <c r="K222" i="3"/>
  <c r="L222" i="3" s="1"/>
  <c r="M222" i="3" s="1"/>
  <c r="J222" i="3"/>
  <c r="I222" i="3"/>
  <c r="K221" i="3"/>
  <c r="L221" i="3" s="1"/>
  <c r="M221" i="3" s="1"/>
  <c r="J221" i="3"/>
  <c r="I221" i="3"/>
  <c r="K220" i="3"/>
  <c r="L220" i="3" s="1"/>
  <c r="M220" i="3" s="1"/>
  <c r="J220" i="3"/>
  <c r="I220" i="3"/>
  <c r="K219" i="3"/>
  <c r="L219" i="3" s="1"/>
  <c r="M219" i="3" s="1"/>
  <c r="J219" i="3"/>
  <c r="I219" i="3"/>
  <c r="K218" i="3"/>
  <c r="L218" i="3" s="1"/>
  <c r="M218" i="3" s="1"/>
  <c r="J218" i="3"/>
  <c r="I218" i="3"/>
  <c r="K217" i="3"/>
  <c r="L217" i="3" s="1"/>
  <c r="M217" i="3" s="1"/>
  <c r="J217" i="3"/>
  <c r="I217" i="3"/>
  <c r="K216" i="3"/>
  <c r="L216" i="3" s="1"/>
  <c r="M216" i="3" s="1"/>
  <c r="J216" i="3"/>
  <c r="I216" i="3"/>
  <c r="K215" i="3"/>
  <c r="L215" i="3" s="1"/>
  <c r="M215" i="3" s="1"/>
  <c r="J215" i="3"/>
  <c r="I215" i="3"/>
  <c r="K214" i="3"/>
  <c r="L214" i="3" s="1"/>
  <c r="M214" i="3" s="1"/>
  <c r="J214" i="3"/>
  <c r="I214" i="3"/>
  <c r="K213" i="3"/>
  <c r="L213" i="3" s="1"/>
  <c r="M213" i="3" s="1"/>
  <c r="J213" i="3"/>
  <c r="I213" i="3"/>
  <c r="K212" i="3"/>
  <c r="L212" i="3" s="1"/>
  <c r="M212" i="3" s="1"/>
  <c r="J212" i="3"/>
  <c r="I212" i="3"/>
  <c r="K211" i="3"/>
  <c r="L211" i="3" s="1"/>
  <c r="M211" i="3" s="1"/>
  <c r="J211" i="3"/>
  <c r="I211" i="3"/>
  <c r="K210" i="3"/>
  <c r="L210" i="3" s="1"/>
  <c r="M210" i="3" s="1"/>
  <c r="J210" i="3"/>
  <c r="I210" i="3"/>
  <c r="K209" i="3"/>
  <c r="L209" i="3" s="1"/>
  <c r="M209" i="3" s="1"/>
  <c r="J209" i="3"/>
  <c r="I209" i="3"/>
  <c r="K208" i="3"/>
  <c r="L208" i="3" s="1"/>
  <c r="M208" i="3" s="1"/>
  <c r="J208" i="3"/>
  <c r="I208" i="3"/>
  <c r="K207" i="3"/>
  <c r="L207" i="3" s="1"/>
  <c r="M207" i="3" s="1"/>
  <c r="J207" i="3"/>
  <c r="I207" i="3"/>
  <c r="K206" i="3"/>
  <c r="L206" i="3" s="1"/>
  <c r="M206" i="3" s="1"/>
  <c r="J206" i="3"/>
  <c r="I206" i="3"/>
  <c r="K205" i="3"/>
  <c r="L205" i="3" s="1"/>
  <c r="M205" i="3" s="1"/>
  <c r="J205" i="3"/>
  <c r="I205" i="3"/>
  <c r="K204" i="3"/>
  <c r="L204" i="3" s="1"/>
  <c r="M204" i="3" s="1"/>
  <c r="J204" i="3"/>
  <c r="I204" i="3"/>
  <c r="K203" i="3"/>
  <c r="L203" i="3" s="1"/>
  <c r="M203" i="3" s="1"/>
  <c r="J203" i="3"/>
  <c r="I203" i="3"/>
  <c r="K202" i="3"/>
  <c r="L202" i="3" s="1"/>
  <c r="M202" i="3" s="1"/>
  <c r="J202" i="3"/>
  <c r="I202" i="3"/>
  <c r="K201" i="3"/>
  <c r="L201" i="3" s="1"/>
  <c r="M201" i="3" s="1"/>
  <c r="J201" i="3"/>
  <c r="I201" i="3"/>
  <c r="K200" i="3"/>
  <c r="L200" i="3" s="1"/>
  <c r="M200" i="3" s="1"/>
  <c r="J200" i="3"/>
  <c r="I200" i="3"/>
  <c r="K199" i="3"/>
  <c r="L199" i="3" s="1"/>
  <c r="M199" i="3" s="1"/>
  <c r="J199" i="3"/>
  <c r="I199" i="3"/>
  <c r="K198" i="3"/>
  <c r="L198" i="3" s="1"/>
  <c r="M198" i="3" s="1"/>
  <c r="J198" i="3"/>
  <c r="I198" i="3"/>
  <c r="K197" i="3"/>
  <c r="L197" i="3" s="1"/>
  <c r="M197" i="3" s="1"/>
  <c r="J197" i="3"/>
  <c r="I197" i="3"/>
  <c r="K196" i="3"/>
  <c r="L196" i="3" s="1"/>
  <c r="M196" i="3" s="1"/>
  <c r="J196" i="3"/>
  <c r="I196" i="3"/>
  <c r="K195" i="3"/>
  <c r="L195" i="3" s="1"/>
  <c r="M195" i="3" s="1"/>
  <c r="J195" i="3"/>
  <c r="I195" i="3"/>
  <c r="K194" i="3"/>
  <c r="L194" i="3" s="1"/>
  <c r="M194" i="3" s="1"/>
  <c r="J194" i="3"/>
  <c r="I194" i="3"/>
  <c r="K193" i="3"/>
  <c r="L193" i="3" s="1"/>
  <c r="M193" i="3" s="1"/>
  <c r="J193" i="3"/>
  <c r="I193" i="3"/>
  <c r="K192" i="3"/>
  <c r="L192" i="3" s="1"/>
  <c r="M192" i="3" s="1"/>
  <c r="J192" i="3"/>
  <c r="I192" i="3"/>
  <c r="K191" i="3"/>
  <c r="L191" i="3" s="1"/>
  <c r="M191" i="3" s="1"/>
  <c r="J191" i="3"/>
  <c r="I191" i="3"/>
  <c r="K190" i="3"/>
  <c r="L190" i="3" s="1"/>
  <c r="M190" i="3" s="1"/>
  <c r="J190" i="3"/>
  <c r="I190" i="3"/>
  <c r="K189" i="3"/>
  <c r="L189" i="3" s="1"/>
  <c r="M189" i="3" s="1"/>
  <c r="J189" i="3"/>
  <c r="I189" i="3"/>
  <c r="K188" i="3"/>
  <c r="L188" i="3" s="1"/>
  <c r="M188" i="3" s="1"/>
  <c r="J188" i="3"/>
  <c r="I188" i="3"/>
  <c r="K187" i="3"/>
  <c r="L187" i="3" s="1"/>
  <c r="M187" i="3" s="1"/>
  <c r="J187" i="3"/>
  <c r="I187" i="3"/>
  <c r="K186" i="3"/>
  <c r="L186" i="3" s="1"/>
  <c r="M186" i="3" s="1"/>
  <c r="J186" i="3"/>
  <c r="I186" i="3"/>
  <c r="K185" i="3"/>
  <c r="L185" i="3" s="1"/>
  <c r="M185" i="3" s="1"/>
  <c r="J185" i="3"/>
  <c r="I185" i="3"/>
  <c r="K184" i="3"/>
  <c r="L184" i="3" s="1"/>
  <c r="M184" i="3" s="1"/>
  <c r="J184" i="3"/>
  <c r="I184" i="3"/>
  <c r="K183" i="3"/>
  <c r="L183" i="3" s="1"/>
  <c r="M183" i="3" s="1"/>
  <c r="J183" i="3"/>
  <c r="I183" i="3"/>
  <c r="K182" i="3"/>
  <c r="L182" i="3" s="1"/>
  <c r="M182" i="3" s="1"/>
  <c r="J182" i="3"/>
  <c r="I182" i="3"/>
  <c r="K181" i="3"/>
  <c r="L181" i="3" s="1"/>
  <c r="M181" i="3" s="1"/>
  <c r="J181" i="3"/>
  <c r="I181" i="3"/>
  <c r="K180" i="3"/>
  <c r="L180" i="3" s="1"/>
  <c r="M180" i="3" s="1"/>
  <c r="J180" i="3"/>
  <c r="I180" i="3"/>
  <c r="K179" i="3"/>
  <c r="L179" i="3" s="1"/>
  <c r="M179" i="3" s="1"/>
  <c r="J179" i="3"/>
  <c r="I179" i="3"/>
  <c r="K178" i="3"/>
  <c r="L178" i="3" s="1"/>
  <c r="M178" i="3" s="1"/>
  <c r="J178" i="3"/>
  <c r="I178" i="3"/>
  <c r="K177" i="3"/>
  <c r="L177" i="3" s="1"/>
  <c r="M177" i="3" s="1"/>
  <c r="J177" i="3"/>
  <c r="I177" i="3"/>
  <c r="K176" i="3"/>
  <c r="L176" i="3" s="1"/>
  <c r="M176" i="3" s="1"/>
  <c r="J176" i="3"/>
  <c r="I176" i="3"/>
  <c r="K175" i="3"/>
  <c r="L175" i="3" s="1"/>
  <c r="M175" i="3" s="1"/>
  <c r="J175" i="3"/>
  <c r="I175" i="3"/>
  <c r="K174" i="3"/>
  <c r="L174" i="3" s="1"/>
  <c r="M174" i="3" s="1"/>
  <c r="J174" i="3"/>
  <c r="I174" i="3"/>
  <c r="K173" i="3"/>
  <c r="L173" i="3" s="1"/>
  <c r="M173" i="3" s="1"/>
  <c r="J173" i="3"/>
  <c r="I173" i="3"/>
  <c r="K172" i="3"/>
  <c r="L172" i="3" s="1"/>
  <c r="M172" i="3" s="1"/>
  <c r="J172" i="3"/>
  <c r="I172" i="3"/>
  <c r="K171" i="3"/>
  <c r="L171" i="3" s="1"/>
  <c r="M171" i="3" s="1"/>
  <c r="J171" i="3"/>
  <c r="I171" i="3"/>
  <c r="K170" i="3"/>
  <c r="L170" i="3" s="1"/>
  <c r="M170" i="3" s="1"/>
  <c r="J170" i="3"/>
  <c r="I170" i="3"/>
  <c r="K169" i="3"/>
  <c r="L169" i="3" s="1"/>
  <c r="M169" i="3" s="1"/>
  <c r="J169" i="3"/>
  <c r="I169" i="3"/>
  <c r="K168" i="3"/>
  <c r="L168" i="3" s="1"/>
  <c r="M168" i="3" s="1"/>
  <c r="J168" i="3"/>
  <c r="I168" i="3"/>
  <c r="K167" i="3"/>
  <c r="L167" i="3" s="1"/>
  <c r="M167" i="3" s="1"/>
  <c r="J167" i="3"/>
  <c r="I167" i="3"/>
  <c r="K166" i="3"/>
  <c r="L166" i="3" s="1"/>
  <c r="M166" i="3" s="1"/>
  <c r="J166" i="3"/>
  <c r="I166" i="3"/>
  <c r="K165" i="3"/>
  <c r="L165" i="3" s="1"/>
  <c r="M165" i="3" s="1"/>
  <c r="J165" i="3"/>
  <c r="I165" i="3"/>
  <c r="K164" i="3"/>
  <c r="L164" i="3" s="1"/>
  <c r="M164" i="3" s="1"/>
  <c r="J164" i="3"/>
  <c r="I164" i="3"/>
  <c r="K163" i="3"/>
  <c r="L163" i="3" s="1"/>
  <c r="M163" i="3" s="1"/>
  <c r="J163" i="3"/>
  <c r="I163" i="3"/>
  <c r="K162" i="3"/>
  <c r="L162" i="3" s="1"/>
  <c r="M162" i="3" s="1"/>
  <c r="J162" i="3"/>
  <c r="I162" i="3"/>
  <c r="K161" i="3"/>
  <c r="L161" i="3" s="1"/>
  <c r="M161" i="3" s="1"/>
  <c r="J161" i="3"/>
  <c r="I161" i="3"/>
  <c r="K160" i="3"/>
  <c r="L160" i="3" s="1"/>
  <c r="M160" i="3" s="1"/>
  <c r="J160" i="3"/>
  <c r="I160" i="3"/>
  <c r="K159" i="3"/>
  <c r="L159" i="3" s="1"/>
  <c r="M159" i="3" s="1"/>
  <c r="J159" i="3"/>
  <c r="I159" i="3"/>
  <c r="K158" i="3"/>
  <c r="L158" i="3" s="1"/>
  <c r="M158" i="3" s="1"/>
  <c r="J158" i="3"/>
  <c r="I158" i="3"/>
  <c r="K157" i="3"/>
  <c r="L157" i="3" s="1"/>
  <c r="M157" i="3" s="1"/>
  <c r="J157" i="3"/>
  <c r="I157" i="3"/>
  <c r="K156" i="3"/>
  <c r="L156" i="3" s="1"/>
  <c r="M156" i="3" s="1"/>
  <c r="J156" i="3"/>
  <c r="I156" i="3"/>
  <c r="K155" i="3"/>
  <c r="L155" i="3" s="1"/>
  <c r="M155" i="3" s="1"/>
  <c r="J155" i="3"/>
  <c r="I155" i="3"/>
  <c r="K154" i="3"/>
  <c r="L154" i="3" s="1"/>
  <c r="M154" i="3" s="1"/>
  <c r="J154" i="3"/>
  <c r="I154" i="3"/>
  <c r="K153" i="3"/>
  <c r="L153" i="3" s="1"/>
  <c r="M153" i="3" s="1"/>
  <c r="J153" i="3"/>
  <c r="I153" i="3"/>
  <c r="K152" i="3"/>
  <c r="L152" i="3" s="1"/>
  <c r="M152" i="3" s="1"/>
  <c r="J152" i="3"/>
  <c r="I152" i="3"/>
  <c r="K151" i="3"/>
  <c r="L151" i="3" s="1"/>
  <c r="M151" i="3" s="1"/>
  <c r="J151" i="3"/>
  <c r="I151" i="3"/>
  <c r="K150" i="3"/>
  <c r="L150" i="3" s="1"/>
  <c r="M150" i="3" s="1"/>
  <c r="J150" i="3"/>
  <c r="I150" i="3"/>
  <c r="K149" i="3"/>
  <c r="L149" i="3" s="1"/>
  <c r="M149" i="3" s="1"/>
  <c r="J149" i="3"/>
  <c r="I149" i="3"/>
  <c r="K148" i="3"/>
  <c r="L148" i="3" s="1"/>
  <c r="M148" i="3" s="1"/>
  <c r="J148" i="3"/>
  <c r="I148" i="3"/>
  <c r="K147" i="3"/>
  <c r="L147" i="3" s="1"/>
  <c r="M147" i="3" s="1"/>
  <c r="J147" i="3"/>
  <c r="I147" i="3"/>
  <c r="K146" i="3"/>
  <c r="L146" i="3" s="1"/>
  <c r="M146" i="3" s="1"/>
  <c r="J146" i="3"/>
  <c r="I146" i="3"/>
  <c r="K145" i="3"/>
  <c r="L145" i="3" s="1"/>
  <c r="M145" i="3" s="1"/>
  <c r="J145" i="3"/>
  <c r="I145" i="3"/>
  <c r="K144" i="3"/>
  <c r="L144" i="3" s="1"/>
  <c r="M144" i="3" s="1"/>
  <c r="J144" i="3"/>
  <c r="I144" i="3"/>
  <c r="K143" i="3"/>
  <c r="L143" i="3" s="1"/>
  <c r="M143" i="3" s="1"/>
  <c r="J143" i="3"/>
  <c r="I143" i="3"/>
  <c r="K142" i="3"/>
  <c r="L142" i="3" s="1"/>
  <c r="M142" i="3" s="1"/>
  <c r="J142" i="3"/>
  <c r="I142" i="3"/>
  <c r="K141" i="3"/>
  <c r="L141" i="3" s="1"/>
  <c r="M141" i="3" s="1"/>
  <c r="J141" i="3"/>
  <c r="I141" i="3"/>
  <c r="K140" i="3"/>
  <c r="L140" i="3" s="1"/>
  <c r="M140" i="3" s="1"/>
  <c r="J140" i="3"/>
  <c r="I140" i="3"/>
  <c r="K139" i="3"/>
  <c r="L139" i="3" s="1"/>
  <c r="M139" i="3" s="1"/>
  <c r="J139" i="3"/>
  <c r="I139" i="3"/>
  <c r="K138" i="3"/>
  <c r="L138" i="3" s="1"/>
  <c r="M138" i="3" s="1"/>
  <c r="J138" i="3"/>
  <c r="I138" i="3"/>
  <c r="K137" i="3"/>
  <c r="L137" i="3" s="1"/>
  <c r="M137" i="3" s="1"/>
  <c r="J137" i="3"/>
  <c r="I137" i="3"/>
  <c r="K136" i="3"/>
  <c r="L136" i="3" s="1"/>
  <c r="M136" i="3" s="1"/>
  <c r="J136" i="3"/>
  <c r="I136" i="3"/>
  <c r="K135" i="3"/>
  <c r="L135" i="3" s="1"/>
  <c r="M135" i="3" s="1"/>
  <c r="J135" i="3"/>
  <c r="I135" i="3"/>
  <c r="K134" i="3"/>
  <c r="L134" i="3" s="1"/>
  <c r="M134" i="3" s="1"/>
  <c r="J134" i="3"/>
  <c r="I134" i="3"/>
  <c r="K133" i="3"/>
  <c r="L133" i="3" s="1"/>
  <c r="M133" i="3" s="1"/>
  <c r="J133" i="3"/>
  <c r="I133" i="3"/>
  <c r="K132" i="3"/>
  <c r="L132" i="3" s="1"/>
  <c r="M132" i="3" s="1"/>
  <c r="J132" i="3"/>
  <c r="I132" i="3"/>
  <c r="K131" i="3"/>
  <c r="L131" i="3" s="1"/>
  <c r="M131" i="3" s="1"/>
  <c r="J131" i="3"/>
  <c r="I131" i="3"/>
  <c r="K130" i="3"/>
  <c r="L130" i="3" s="1"/>
  <c r="M130" i="3" s="1"/>
  <c r="J130" i="3"/>
  <c r="I130" i="3"/>
  <c r="K129" i="3"/>
  <c r="L129" i="3" s="1"/>
  <c r="M129" i="3" s="1"/>
  <c r="J129" i="3"/>
  <c r="I129" i="3"/>
  <c r="K127" i="3"/>
  <c r="L127" i="3" s="1"/>
  <c r="M127" i="3" s="1"/>
  <c r="J127" i="3"/>
  <c r="I127" i="3"/>
  <c r="K126" i="3"/>
  <c r="L126" i="3" s="1"/>
  <c r="M126" i="3" s="1"/>
  <c r="J126" i="3"/>
  <c r="I126" i="3"/>
  <c r="K125" i="3"/>
  <c r="L125" i="3" s="1"/>
  <c r="M125" i="3" s="1"/>
  <c r="J125" i="3"/>
  <c r="I125" i="3"/>
  <c r="K124" i="3"/>
  <c r="L124" i="3" s="1"/>
  <c r="M124" i="3" s="1"/>
  <c r="J124" i="3"/>
  <c r="I124" i="3"/>
  <c r="K123" i="3"/>
  <c r="L123" i="3" s="1"/>
  <c r="M123" i="3" s="1"/>
  <c r="J123" i="3"/>
  <c r="I123" i="3"/>
  <c r="K122" i="3"/>
  <c r="L122" i="3" s="1"/>
  <c r="M122" i="3" s="1"/>
  <c r="J122" i="3"/>
  <c r="I122" i="3"/>
  <c r="K121" i="3"/>
  <c r="L121" i="3" s="1"/>
  <c r="M121" i="3" s="1"/>
  <c r="J121" i="3"/>
  <c r="I121" i="3"/>
  <c r="K120" i="3"/>
  <c r="L120" i="3" s="1"/>
  <c r="M120" i="3" s="1"/>
  <c r="J120" i="3"/>
  <c r="I120" i="3"/>
  <c r="K119" i="3"/>
  <c r="L119" i="3" s="1"/>
  <c r="M119" i="3" s="1"/>
  <c r="J119" i="3"/>
  <c r="I119" i="3"/>
  <c r="K118" i="3"/>
  <c r="L118" i="3" s="1"/>
  <c r="M118" i="3" s="1"/>
  <c r="J118" i="3"/>
  <c r="I118" i="3"/>
  <c r="K117" i="3"/>
  <c r="L117" i="3" s="1"/>
  <c r="M117" i="3" s="1"/>
  <c r="J117" i="3"/>
  <c r="I117" i="3"/>
  <c r="K116" i="3"/>
  <c r="L116" i="3" s="1"/>
  <c r="M116" i="3" s="1"/>
  <c r="J116" i="3"/>
  <c r="I116" i="3"/>
  <c r="K115" i="3"/>
  <c r="L115" i="3" s="1"/>
  <c r="M115" i="3" s="1"/>
  <c r="J115" i="3"/>
  <c r="I115" i="3"/>
  <c r="K114" i="3"/>
  <c r="L114" i="3" s="1"/>
  <c r="M114" i="3" s="1"/>
  <c r="J114" i="3"/>
  <c r="I114" i="3"/>
  <c r="K113" i="3"/>
  <c r="L113" i="3" s="1"/>
  <c r="M113" i="3" s="1"/>
  <c r="J113" i="3"/>
  <c r="I113" i="3"/>
  <c r="K112" i="3"/>
  <c r="L112" i="3" s="1"/>
  <c r="M112" i="3" s="1"/>
  <c r="J112" i="3"/>
  <c r="I112" i="3"/>
  <c r="K111" i="3"/>
  <c r="L111" i="3" s="1"/>
  <c r="M111" i="3" s="1"/>
  <c r="J111" i="3"/>
  <c r="I111" i="3"/>
  <c r="K110" i="3"/>
  <c r="L110" i="3" s="1"/>
  <c r="M110" i="3" s="1"/>
  <c r="J110" i="3"/>
  <c r="I110" i="3"/>
  <c r="K109" i="3"/>
  <c r="L109" i="3" s="1"/>
  <c r="M109" i="3" s="1"/>
  <c r="J109" i="3"/>
  <c r="I109" i="3"/>
  <c r="K108" i="3"/>
  <c r="L108" i="3" s="1"/>
  <c r="M108" i="3" s="1"/>
  <c r="J108" i="3"/>
  <c r="I108" i="3"/>
  <c r="K106" i="3"/>
  <c r="L106" i="3" s="1"/>
  <c r="M106" i="3" s="1"/>
  <c r="J106" i="3"/>
  <c r="I106" i="3"/>
  <c r="K105" i="3"/>
  <c r="L105" i="3" s="1"/>
  <c r="M105" i="3" s="1"/>
  <c r="J105" i="3"/>
  <c r="I105" i="3"/>
  <c r="K104" i="3"/>
  <c r="L104" i="3" s="1"/>
  <c r="M104" i="3" s="1"/>
  <c r="J104" i="3"/>
  <c r="I104" i="3"/>
  <c r="K103" i="3"/>
  <c r="L103" i="3" s="1"/>
  <c r="M103" i="3" s="1"/>
  <c r="J103" i="3"/>
  <c r="I103" i="3"/>
  <c r="K101" i="3"/>
  <c r="L101" i="3" s="1"/>
  <c r="M101" i="3" s="1"/>
  <c r="J101" i="3"/>
  <c r="I101" i="3"/>
  <c r="K100" i="3"/>
  <c r="L100" i="3" s="1"/>
  <c r="M100" i="3" s="1"/>
  <c r="J100" i="3"/>
  <c r="I100" i="3"/>
  <c r="K98" i="3"/>
  <c r="L98" i="3" s="1"/>
  <c r="M98" i="3" s="1"/>
  <c r="J98" i="3"/>
  <c r="I98" i="3"/>
  <c r="K97" i="3"/>
  <c r="L97" i="3" s="1"/>
  <c r="M97" i="3" s="1"/>
  <c r="J97" i="3"/>
  <c r="I97" i="3"/>
  <c r="K96" i="3"/>
  <c r="L96" i="3" s="1"/>
  <c r="M96" i="3" s="1"/>
  <c r="J96" i="3"/>
  <c r="I96" i="3"/>
  <c r="K95" i="3"/>
  <c r="L95" i="3" s="1"/>
  <c r="M95" i="3" s="1"/>
  <c r="J95" i="3"/>
  <c r="I95" i="3"/>
  <c r="K94" i="3"/>
  <c r="L94" i="3" s="1"/>
  <c r="M94" i="3" s="1"/>
  <c r="J94" i="3"/>
  <c r="I94" i="3"/>
  <c r="K93" i="3"/>
  <c r="L93" i="3" s="1"/>
  <c r="M93" i="3" s="1"/>
  <c r="J93" i="3"/>
  <c r="I93" i="3"/>
  <c r="K92" i="3"/>
  <c r="L92" i="3" s="1"/>
  <c r="M92" i="3" s="1"/>
  <c r="J92" i="3"/>
  <c r="I92" i="3"/>
  <c r="K91" i="3"/>
  <c r="L91" i="3" s="1"/>
  <c r="M91" i="3" s="1"/>
  <c r="J91" i="3"/>
  <c r="I91" i="3"/>
  <c r="K90" i="3"/>
  <c r="L90" i="3" s="1"/>
  <c r="M90" i="3" s="1"/>
  <c r="J90" i="3"/>
  <c r="I90" i="3"/>
  <c r="K89" i="3"/>
  <c r="L89" i="3" s="1"/>
  <c r="M89" i="3" s="1"/>
  <c r="J89" i="3"/>
  <c r="I89" i="3"/>
  <c r="K88" i="3"/>
  <c r="L88" i="3" s="1"/>
  <c r="M88" i="3" s="1"/>
  <c r="J88" i="3"/>
  <c r="I88" i="3"/>
  <c r="K87" i="3"/>
  <c r="L87" i="3" s="1"/>
  <c r="M87" i="3" s="1"/>
  <c r="J87" i="3"/>
  <c r="I87" i="3"/>
  <c r="K86" i="3"/>
  <c r="L86" i="3" s="1"/>
  <c r="M86" i="3" s="1"/>
  <c r="J86" i="3"/>
  <c r="I86" i="3"/>
  <c r="K85" i="3"/>
  <c r="L85" i="3" s="1"/>
  <c r="M85" i="3" s="1"/>
  <c r="J85" i="3"/>
  <c r="I85" i="3"/>
  <c r="K84" i="3"/>
  <c r="L84" i="3" s="1"/>
  <c r="M84" i="3" s="1"/>
  <c r="J84" i="3"/>
  <c r="I84" i="3"/>
  <c r="K83" i="3"/>
  <c r="L83" i="3" s="1"/>
  <c r="M83" i="3" s="1"/>
  <c r="J83" i="3"/>
  <c r="I83" i="3"/>
  <c r="K82" i="3"/>
  <c r="L82" i="3" s="1"/>
  <c r="M82" i="3" s="1"/>
  <c r="J82" i="3"/>
  <c r="I82" i="3"/>
  <c r="K81" i="3"/>
  <c r="L81" i="3" s="1"/>
  <c r="M81" i="3" s="1"/>
  <c r="J81" i="3"/>
  <c r="I81" i="3"/>
  <c r="K80" i="3"/>
  <c r="L80" i="3" s="1"/>
  <c r="M80" i="3" s="1"/>
  <c r="J80" i="3"/>
  <c r="I80" i="3"/>
  <c r="K79" i="3"/>
  <c r="L79" i="3" s="1"/>
  <c r="M79" i="3" s="1"/>
  <c r="J79" i="3"/>
  <c r="I79" i="3"/>
  <c r="K78" i="3"/>
  <c r="L78" i="3" s="1"/>
  <c r="M78" i="3" s="1"/>
  <c r="J78" i="3"/>
  <c r="I78" i="3"/>
  <c r="K77" i="3"/>
  <c r="L77" i="3" s="1"/>
  <c r="M77" i="3" s="1"/>
  <c r="J77" i="3"/>
  <c r="I77" i="3"/>
  <c r="K76" i="3"/>
  <c r="L76" i="3" s="1"/>
  <c r="M76" i="3" s="1"/>
  <c r="J76" i="3"/>
  <c r="I76" i="3"/>
  <c r="K75" i="3"/>
  <c r="L75" i="3" s="1"/>
  <c r="M75" i="3" s="1"/>
  <c r="J75" i="3"/>
  <c r="I75" i="3"/>
  <c r="K74" i="3"/>
  <c r="L74" i="3" s="1"/>
  <c r="M74" i="3" s="1"/>
  <c r="J74" i="3"/>
  <c r="I74" i="3"/>
  <c r="K73" i="3"/>
  <c r="L73" i="3" s="1"/>
  <c r="M73" i="3" s="1"/>
  <c r="J73" i="3"/>
  <c r="I73" i="3"/>
  <c r="K72" i="3"/>
  <c r="L72" i="3" s="1"/>
  <c r="M72" i="3" s="1"/>
  <c r="J72" i="3"/>
  <c r="I72" i="3"/>
  <c r="K71" i="3"/>
  <c r="L71" i="3" s="1"/>
  <c r="M71" i="3" s="1"/>
  <c r="J71" i="3"/>
  <c r="I71" i="3"/>
  <c r="K70" i="3"/>
  <c r="L70" i="3" s="1"/>
  <c r="M70" i="3" s="1"/>
  <c r="J70" i="3"/>
  <c r="I70" i="3"/>
  <c r="K69" i="3"/>
  <c r="L69" i="3" s="1"/>
  <c r="M69" i="3" s="1"/>
  <c r="J69" i="3"/>
  <c r="I69" i="3"/>
  <c r="K68" i="3"/>
  <c r="L68" i="3" s="1"/>
  <c r="M68" i="3" s="1"/>
  <c r="J68" i="3"/>
  <c r="I68" i="3"/>
  <c r="K67" i="3"/>
  <c r="L67" i="3" s="1"/>
  <c r="M67" i="3" s="1"/>
  <c r="J67" i="3"/>
  <c r="I67" i="3"/>
  <c r="K66" i="3"/>
  <c r="L66" i="3" s="1"/>
  <c r="M66" i="3" s="1"/>
  <c r="J66" i="3"/>
  <c r="I66" i="3"/>
  <c r="K65" i="3"/>
  <c r="L65" i="3" s="1"/>
  <c r="M65" i="3" s="1"/>
  <c r="J65" i="3"/>
  <c r="I65" i="3"/>
  <c r="K64" i="3"/>
  <c r="L64" i="3" s="1"/>
  <c r="M64" i="3" s="1"/>
  <c r="J64" i="3"/>
  <c r="I64" i="3"/>
  <c r="K63" i="3"/>
  <c r="L63" i="3" s="1"/>
  <c r="M63" i="3" s="1"/>
  <c r="J63" i="3"/>
  <c r="I63" i="3"/>
  <c r="K62" i="3"/>
  <c r="L62" i="3" s="1"/>
  <c r="M62" i="3" s="1"/>
  <c r="J62" i="3"/>
  <c r="I62" i="3"/>
  <c r="K61" i="3"/>
  <c r="L61" i="3" s="1"/>
  <c r="M61" i="3" s="1"/>
  <c r="J61" i="3"/>
  <c r="I61" i="3"/>
  <c r="K60" i="3"/>
  <c r="L60" i="3" s="1"/>
  <c r="M60" i="3" s="1"/>
  <c r="J60" i="3"/>
  <c r="I60" i="3"/>
  <c r="K59" i="3"/>
  <c r="L59" i="3" s="1"/>
  <c r="M59" i="3" s="1"/>
  <c r="J59" i="3"/>
  <c r="I59" i="3"/>
  <c r="K58" i="3"/>
  <c r="L58" i="3" s="1"/>
  <c r="M58" i="3" s="1"/>
  <c r="J58" i="3"/>
  <c r="I58" i="3"/>
  <c r="K57" i="3"/>
  <c r="L57" i="3" s="1"/>
  <c r="M57" i="3" s="1"/>
  <c r="J57" i="3"/>
  <c r="I57" i="3"/>
  <c r="K56" i="3"/>
  <c r="L56" i="3" s="1"/>
  <c r="M56" i="3" s="1"/>
  <c r="J56" i="3"/>
  <c r="I56" i="3"/>
  <c r="K55" i="3"/>
  <c r="L55" i="3" s="1"/>
  <c r="M55" i="3" s="1"/>
  <c r="J55" i="3"/>
  <c r="I55" i="3"/>
  <c r="K54" i="3"/>
  <c r="L54" i="3" s="1"/>
  <c r="M54" i="3" s="1"/>
  <c r="J54" i="3"/>
  <c r="I54" i="3"/>
  <c r="K53" i="3"/>
  <c r="L53" i="3" s="1"/>
  <c r="M53" i="3" s="1"/>
  <c r="J53" i="3"/>
  <c r="I53" i="3"/>
  <c r="K52" i="3"/>
  <c r="L52" i="3" s="1"/>
  <c r="M52" i="3" s="1"/>
  <c r="J52" i="3"/>
  <c r="I52" i="3"/>
  <c r="K51" i="3"/>
  <c r="L51" i="3" s="1"/>
  <c r="M51" i="3" s="1"/>
  <c r="J51" i="3"/>
  <c r="I51" i="3"/>
  <c r="K50" i="3"/>
  <c r="L50" i="3" s="1"/>
  <c r="M50" i="3" s="1"/>
  <c r="J50" i="3"/>
  <c r="I50" i="3"/>
  <c r="K49" i="3"/>
  <c r="L49" i="3" s="1"/>
  <c r="M49" i="3" s="1"/>
  <c r="J49" i="3"/>
  <c r="I49" i="3"/>
  <c r="K48" i="3"/>
  <c r="L48" i="3" s="1"/>
  <c r="M48" i="3" s="1"/>
  <c r="J48" i="3"/>
  <c r="I48" i="3"/>
  <c r="K47" i="3"/>
  <c r="L47" i="3" s="1"/>
  <c r="M47" i="3" s="1"/>
  <c r="J47" i="3"/>
  <c r="I47" i="3"/>
  <c r="K46" i="3"/>
  <c r="L46" i="3" s="1"/>
  <c r="M46" i="3" s="1"/>
  <c r="J46" i="3"/>
  <c r="I46" i="3"/>
  <c r="K45" i="3"/>
  <c r="L45" i="3" s="1"/>
  <c r="M45" i="3" s="1"/>
  <c r="J45" i="3"/>
  <c r="I45" i="3"/>
  <c r="K44" i="3"/>
  <c r="L44" i="3" s="1"/>
  <c r="M44" i="3" s="1"/>
  <c r="J44" i="3"/>
  <c r="I44" i="3"/>
  <c r="K43" i="3"/>
  <c r="L43" i="3" s="1"/>
  <c r="M43" i="3" s="1"/>
  <c r="J43" i="3"/>
  <c r="I43" i="3"/>
  <c r="K42" i="3"/>
  <c r="L42" i="3" s="1"/>
  <c r="M42" i="3" s="1"/>
  <c r="J42" i="3"/>
  <c r="I42" i="3"/>
  <c r="K41" i="3"/>
  <c r="L41" i="3" s="1"/>
  <c r="M41" i="3" s="1"/>
  <c r="J41" i="3"/>
  <c r="I41" i="3"/>
  <c r="K40" i="3"/>
  <c r="L40" i="3" s="1"/>
  <c r="M40" i="3" s="1"/>
  <c r="J40" i="3"/>
  <c r="I40" i="3"/>
  <c r="K39" i="3"/>
  <c r="L39" i="3" s="1"/>
  <c r="M39" i="3" s="1"/>
  <c r="J39" i="3"/>
  <c r="I39" i="3"/>
  <c r="K38" i="3"/>
  <c r="L38" i="3" s="1"/>
  <c r="M38" i="3" s="1"/>
  <c r="J38" i="3"/>
  <c r="I38" i="3"/>
  <c r="K37" i="3"/>
  <c r="L37" i="3" s="1"/>
  <c r="M37" i="3" s="1"/>
  <c r="J37" i="3"/>
  <c r="I37" i="3"/>
  <c r="K36" i="3"/>
  <c r="L36" i="3" s="1"/>
  <c r="M36" i="3" s="1"/>
  <c r="J36" i="3"/>
  <c r="I36" i="3"/>
  <c r="K35" i="3"/>
  <c r="L35" i="3" s="1"/>
  <c r="M35" i="3" s="1"/>
  <c r="J35" i="3"/>
  <c r="I35" i="3"/>
  <c r="K34" i="3"/>
  <c r="L34" i="3" s="1"/>
  <c r="M34" i="3" s="1"/>
  <c r="J34" i="3"/>
  <c r="I34" i="3"/>
  <c r="K32" i="3"/>
  <c r="L32" i="3" s="1"/>
  <c r="M32" i="3" s="1"/>
  <c r="J32" i="3"/>
  <c r="I32" i="3"/>
  <c r="K31" i="3"/>
  <c r="L31" i="3" s="1"/>
  <c r="M31" i="3" s="1"/>
  <c r="J31" i="3"/>
  <c r="I31" i="3"/>
  <c r="K30" i="3"/>
  <c r="L30" i="3" s="1"/>
  <c r="M30" i="3" s="1"/>
  <c r="J30" i="3"/>
  <c r="I30" i="3"/>
  <c r="K542" i="3" s="1"/>
  <c r="K29" i="3"/>
  <c r="L29" i="3" s="1"/>
  <c r="M29" i="3" s="1"/>
  <c r="J29" i="3"/>
  <c r="I29" i="3"/>
  <c r="K28" i="3"/>
  <c r="L28" i="3" s="1"/>
  <c r="M28" i="3" s="1"/>
  <c r="J28" i="3"/>
  <c r="I28" i="3"/>
  <c r="K27" i="3"/>
  <c r="L27" i="3" s="1"/>
  <c r="M27" i="3" s="1"/>
  <c r="J27" i="3"/>
  <c r="I27" i="3"/>
  <c r="K26" i="3"/>
  <c r="L26" i="3" s="1"/>
  <c r="M26" i="3" s="1"/>
  <c r="J26" i="3"/>
  <c r="I26" i="3"/>
  <c r="K25" i="3"/>
  <c r="L25" i="3" s="1"/>
  <c r="M25" i="3" s="1"/>
  <c r="J25" i="3"/>
  <c r="I25" i="3"/>
  <c r="K24" i="3"/>
  <c r="L24" i="3" s="1"/>
  <c r="M24" i="3" s="1"/>
  <c r="J24" i="3"/>
  <c r="I24" i="3"/>
  <c r="K23" i="3"/>
  <c r="L23" i="3" s="1"/>
  <c r="M23" i="3" s="1"/>
  <c r="J23" i="3"/>
  <c r="I23" i="3"/>
  <c r="K22" i="3"/>
  <c r="L22" i="3" s="1"/>
  <c r="M22" i="3" s="1"/>
  <c r="J22" i="3"/>
  <c r="I22" i="3"/>
  <c r="K21" i="3"/>
  <c r="L21" i="3" s="1"/>
  <c r="M21" i="3" s="1"/>
  <c r="J21" i="3"/>
  <c r="I21" i="3"/>
  <c r="K20" i="3"/>
  <c r="L20" i="3" s="1"/>
  <c r="M20" i="3" s="1"/>
  <c r="J20" i="3"/>
  <c r="I20" i="3"/>
  <c r="K19" i="3"/>
  <c r="L19" i="3" s="1"/>
  <c r="M19" i="3" s="1"/>
  <c r="J19" i="3"/>
  <c r="I19" i="3"/>
  <c r="K18" i="3"/>
  <c r="L18" i="3" s="1"/>
  <c r="M18" i="3" s="1"/>
  <c r="J18" i="3"/>
  <c r="I18" i="3"/>
  <c r="K17" i="3"/>
  <c r="L17" i="3" s="1"/>
  <c r="M17" i="3" s="1"/>
  <c r="J17" i="3"/>
  <c r="I17" i="3"/>
  <c r="K16" i="3"/>
  <c r="L16" i="3" s="1"/>
  <c r="M16" i="3" s="1"/>
  <c r="J16" i="3"/>
  <c r="I16" i="3"/>
  <c r="K15" i="3"/>
  <c r="L15" i="3" s="1"/>
  <c r="M15" i="3" s="1"/>
  <c r="J15" i="3"/>
  <c r="I15" i="3"/>
  <c r="K14" i="3"/>
  <c r="L14" i="3" s="1"/>
  <c r="M14" i="3" s="1"/>
  <c r="J14" i="3"/>
  <c r="I14" i="3"/>
  <c r="K7" i="3"/>
  <c r="L7" i="3" s="1"/>
  <c r="M7" i="3" s="1"/>
  <c r="J7" i="3"/>
  <c r="I7" i="3"/>
  <c r="K6" i="3"/>
  <c r="L6" i="3" s="1"/>
  <c r="M6" i="3" s="1"/>
  <c r="J6" i="3"/>
  <c r="I6" i="3"/>
  <c r="K530" i="2"/>
  <c r="J530" i="2"/>
  <c r="L530" i="2" s="1"/>
  <c r="M530" i="2" s="1"/>
  <c r="O530" i="2" s="1"/>
  <c r="I530" i="2"/>
  <c r="K529" i="2"/>
  <c r="J529" i="2"/>
  <c r="L529" i="2" s="1"/>
  <c r="M529" i="2" s="1"/>
  <c r="O529" i="2" s="1"/>
  <c r="I529" i="2"/>
  <c r="K528" i="2"/>
  <c r="J528" i="2"/>
  <c r="L528" i="2" s="1"/>
  <c r="M528" i="2" s="1"/>
  <c r="O528" i="2" s="1"/>
  <c r="I528" i="2"/>
  <c r="K527" i="2"/>
  <c r="J527" i="2"/>
  <c r="L527" i="2" s="1"/>
  <c r="M527" i="2" s="1"/>
  <c r="O527" i="2" s="1"/>
  <c r="I527" i="2"/>
  <c r="K526" i="2"/>
  <c r="J526" i="2"/>
  <c r="L526" i="2" s="1"/>
  <c r="M526" i="2" s="1"/>
  <c r="O526" i="2" s="1"/>
  <c r="I526" i="2"/>
  <c r="K525" i="2"/>
  <c r="J525" i="2"/>
  <c r="L525" i="2" s="1"/>
  <c r="M525" i="2" s="1"/>
  <c r="O525" i="2" s="1"/>
  <c r="I525" i="2"/>
  <c r="K524" i="2"/>
  <c r="J524" i="2"/>
  <c r="L524" i="2" s="1"/>
  <c r="M524" i="2" s="1"/>
  <c r="O524" i="2" s="1"/>
  <c r="I524" i="2"/>
  <c r="K523" i="2"/>
  <c r="J523" i="2"/>
  <c r="L523" i="2" s="1"/>
  <c r="M523" i="2" s="1"/>
  <c r="O523" i="2" s="1"/>
  <c r="I523" i="2"/>
  <c r="K522" i="2"/>
  <c r="J522" i="2"/>
  <c r="L522" i="2" s="1"/>
  <c r="M522" i="2" s="1"/>
  <c r="O522" i="2" s="1"/>
  <c r="I522" i="2"/>
  <c r="K521" i="2"/>
  <c r="J521" i="2"/>
  <c r="L521" i="2" s="1"/>
  <c r="M521" i="2" s="1"/>
  <c r="O521" i="2" s="1"/>
  <c r="I521" i="2"/>
  <c r="K520" i="2"/>
  <c r="J520" i="2"/>
  <c r="L520" i="2" s="1"/>
  <c r="M520" i="2" s="1"/>
  <c r="O520" i="2" s="1"/>
  <c r="I520" i="2"/>
  <c r="K519" i="2"/>
  <c r="J519" i="2"/>
  <c r="L519" i="2" s="1"/>
  <c r="M519" i="2" s="1"/>
  <c r="O519" i="2" s="1"/>
  <c r="I519" i="2"/>
  <c r="K518" i="2"/>
  <c r="J518" i="2"/>
  <c r="L518" i="2" s="1"/>
  <c r="M518" i="2" s="1"/>
  <c r="O518" i="2" s="1"/>
  <c r="I518" i="2"/>
  <c r="K517" i="2"/>
  <c r="J517" i="2"/>
  <c r="L517" i="2" s="1"/>
  <c r="M517" i="2" s="1"/>
  <c r="O517" i="2" s="1"/>
  <c r="I517" i="2"/>
  <c r="K516" i="2"/>
  <c r="J516" i="2"/>
  <c r="L516" i="2" s="1"/>
  <c r="M516" i="2" s="1"/>
  <c r="O516" i="2" s="1"/>
  <c r="I516" i="2"/>
  <c r="K515" i="2"/>
  <c r="J515" i="2"/>
  <c r="L515" i="2" s="1"/>
  <c r="M515" i="2" s="1"/>
  <c r="O515" i="2" s="1"/>
  <c r="I515" i="2"/>
  <c r="K514" i="2"/>
  <c r="J514" i="2"/>
  <c r="L514" i="2" s="1"/>
  <c r="M514" i="2" s="1"/>
  <c r="O514" i="2" s="1"/>
  <c r="I514" i="2"/>
  <c r="K513" i="2"/>
  <c r="J513" i="2"/>
  <c r="L513" i="2" s="1"/>
  <c r="M513" i="2" s="1"/>
  <c r="O513" i="2" s="1"/>
  <c r="I513" i="2"/>
  <c r="K512" i="2"/>
  <c r="J512" i="2"/>
  <c r="L512" i="2" s="1"/>
  <c r="M512" i="2" s="1"/>
  <c r="O512" i="2" s="1"/>
  <c r="I512" i="2"/>
  <c r="K511" i="2"/>
  <c r="J511" i="2"/>
  <c r="L511" i="2" s="1"/>
  <c r="M511" i="2" s="1"/>
  <c r="O511" i="2" s="1"/>
  <c r="I511" i="2"/>
  <c r="K510" i="2"/>
  <c r="J510" i="2"/>
  <c r="L510" i="2" s="1"/>
  <c r="M510" i="2" s="1"/>
  <c r="O510" i="2" s="1"/>
  <c r="I510" i="2"/>
  <c r="K509" i="2"/>
  <c r="J509" i="2"/>
  <c r="L509" i="2" s="1"/>
  <c r="M509" i="2" s="1"/>
  <c r="O509" i="2" s="1"/>
  <c r="I509" i="2"/>
  <c r="K508" i="2"/>
  <c r="J508" i="2"/>
  <c r="L508" i="2" s="1"/>
  <c r="M508" i="2" s="1"/>
  <c r="O508" i="2" s="1"/>
  <c r="I508" i="2"/>
  <c r="K507" i="2"/>
  <c r="J507" i="2"/>
  <c r="L507" i="2" s="1"/>
  <c r="M507" i="2" s="1"/>
  <c r="O507" i="2" s="1"/>
  <c r="I507" i="2"/>
  <c r="K506" i="2"/>
  <c r="J506" i="2"/>
  <c r="L506" i="2" s="1"/>
  <c r="M506" i="2" s="1"/>
  <c r="O506" i="2" s="1"/>
  <c r="I506" i="2"/>
  <c r="K505" i="2"/>
  <c r="J505" i="2"/>
  <c r="L505" i="2" s="1"/>
  <c r="M505" i="2" s="1"/>
  <c r="O505" i="2" s="1"/>
  <c r="I505" i="2"/>
  <c r="K504" i="2"/>
  <c r="J504" i="2"/>
  <c r="L504" i="2" s="1"/>
  <c r="M504" i="2" s="1"/>
  <c r="O504" i="2" s="1"/>
  <c r="I504" i="2"/>
  <c r="K503" i="2"/>
  <c r="J503" i="2"/>
  <c r="L503" i="2" s="1"/>
  <c r="M503" i="2" s="1"/>
  <c r="O503" i="2" s="1"/>
  <c r="I503" i="2"/>
  <c r="K502" i="2"/>
  <c r="J502" i="2"/>
  <c r="L502" i="2" s="1"/>
  <c r="M502" i="2" s="1"/>
  <c r="O502" i="2" s="1"/>
  <c r="I502" i="2"/>
  <c r="K501" i="2"/>
  <c r="J501" i="2"/>
  <c r="L501" i="2" s="1"/>
  <c r="M501" i="2" s="1"/>
  <c r="O501" i="2" s="1"/>
  <c r="I501" i="2"/>
  <c r="K500" i="2"/>
  <c r="J500" i="2"/>
  <c r="L500" i="2" s="1"/>
  <c r="M500" i="2" s="1"/>
  <c r="O500" i="2" s="1"/>
  <c r="I500" i="2"/>
  <c r="K499" i="2"/>
  <c r="J499" i="2"/>
  <c r="L499" i="2" s="1"/>
  <c r="M499" i="2" s="1"/>
  <c r="O499" i="2" s="1"/>
  <c r="I499" i="2"/>
  <c r="K498" i="2"/>
  <c r="J498" i="2"/>
  <c r="L498" i="2" s="1"/>
  <c r="M498" i="2" s="1"/>
  <c r="O498" i="2" s="1"/>
  <c r="I498" i="2"/>
  <c r="K497" i="2"/>
  <c r="J497" i="2"/>
  <c r="L497" i="2" s="1"/>
  <c r="M497" i="2" s="1"/>
  <c r="O497" i="2" s="1"/>
  <c r="I497" i="2"/>
  <c r="K496" i="2"/>
  <c r="J496" i="2"/>
  <c r="L496" i="2" s="1"/>
  <c r="M496" i="2" s="1"/>
  <c r="O496" i="2" s="1"/>
  <c r="I496" i="2"/>
  <c r="K495" i="2"/>
  <c r="J495" i="2"/>
  <c r="L495" i="2" s="1"/>
  <c r="M495" i="2" s="1"/>
  <c r="O495" i="2" s="1"/>
  <c r="I495" i="2"/>
  <c r="K494" i="2"/>
  <c r="J494" i="2"/>
  <c r="L494" i="2" s="1"/>
  <c r="M494" i="2" s="1"/>
  <c r="O494" i="2" s="1"/>
  <c r="I494" i="2"/>
  <c r="K493" i="2"/>
  <c r="J493" i="2"/>
  <c r="L493" i="2" s="1"/>
  <c r="M493" i="2" s="1"/>
  <c r="O493" i="2" s="1"/>
  <c r="I493" i="2"/>
  <c r="K492" i="2"/>
  <c r="J492" i="2"/>
  <c r="L492" i="2" s="1"/>
  <c r="M492" i="2" s="1"/>
  <c r="O492" i="2" s="1"/>
  <c r="I492" i="2"/>
  <c r="K491" i="2"/>
  <c r="J491" i="2"/>
  <c r="L491" i="2" s="1"/>
  <c r="M491" i="2" s="1"/>
  <c r="O491" i="2" s="1"/>
  <c r="I491" i="2"/>
  <c r="K490" i="2"/>
  <c r="J490" i="2"/>
  <c r="L490" i="2" s="1"/>
  <c r="M490" i="2" s="1"/>
  <c r="O490" i="2" s="1"/>
  <c r="I490" i="2"/>
  <c r="K489" i="2"/>
  <c r="J489" i="2"/>
  <c r="L489" i="2" s="1"/>
  <c r="M489" i="2" s="1"/>
  <c r="O489" i="2" s="1"/>
  <c r="I489" i="2"/>
  <c r="K488" i="2"/>
  <c r="J488" i="2"/>
  <c r="L488" i="2" s="1"/>
  <c r="M488" i="2" s="1"/>
  <c r="O488" i="2" s="1"/>
  <c r="I488" i="2"/>
  <c r="K487" i="2"/>
  <c r="J487" i="2"/>
  <c r="L487" i="2" s="1"/>
  <c r="M487" i="2" s="1"/>
  <c r="O487" i="2" s="1"/>
  <c r="I487" i="2"/>
  <c r="K486" i="2"/>
  <c r="J486" i="2"/>
  <c r="L486" i="2" s="1"/>
  <c r="M486" i="2" s="1"/>
  <c r="O486" i="2" s="1"/>
  <c r="I486" i="2"/>
  <c r="K485" i="2"/>
  <c r="J485" i="2"/>
  <c r="L485" i="2" s="1"/>
  <c r="M485" i="2" s="1"/>
  <c r="O485" i="2" s="1"/>
  <c r="I485" i="2"/>
  <c r="K484" i="2"/>
  <c r="J484" i="2"/>
  <c r="L484" i="2" s="1"/>
  <c r="M484" i="2" s="1"/>
  <c r="O484" i="2" s="1"/>
  <c r="I484" i="2"/>
  <c r="K483" i="2"/>
  <c r="J483" i="2"/>
  <c r="L483" i="2" s="1"/>
  <c r="M483" i="2" s="1"/>
  <c r="O483" i="2" s="1"/>
  <c r="I483" i="2"/>
  <c r="K482" i="2"/>
  <c r="J482" i="2"/>
  <c r="L482" i="2" s="1"/>
  <c r="M482" i="2" s="1"/>
  <c r="O482" i="2" s="1"/>
  <c r="I482" i="2"/>
  <c r="K481" i="2"/>
  <c r="J481" i="2"/>
  <c r="L481" i="2" s="1"/>
  <c r="M481" i="2" s="1"/>
  <c r="O481" i="2" s="1"/>
  <c r="I481" i="2"/>
  <c r="K480" i="2"/>
  <c r="J480" i="2"/>
  <c r="L480" i="2" s="1"/>
  <c r="M480" i="2" s="1"/>
  <c r="O480" i="2" s="1"/>
  <c r="I480" i="2"/>
  <c r="K479" i="2"/>
  <c r="J479" i="2"/>
  <c r="L479" i="2" s="1"/>
  <c r="M479" i="2" s="1"/>
  <c r="O479" i="2" s="1"/>
  <c r="I479" i="2"/>
  <c r="K478" i="2"/>
  <c r="J478" i="2"/>
  <c r="L478" i="2" s="1"/>
  <c r="M478" i="2" s="1"/>
  <c r="O478" i="2" s="1"/>
  <c r="I478" i="2"/>
  <c r="K477" i="2"/>
  <c r="J477" i="2"/>
  <c r="L477" i="2" s="1"/>
  <c r="M477" i="2" s="1"/>
  <c r="O477" i="2" s="1"/>
  <c r="I477" i="2"/>
  <c r="K476" i="2"/>
  <c r="J476" i="2"/>
  <c r="L476" i="2" s="1"/>
  <c r="M476" i="2" s="1"/>
  <c r="O476" i="2" s="1"/>
  <c r="I476" i="2"/>
  <c r="K475" i="2"/>
  <c r="J475" i="2"/>
  <c r="L475" i="2" s="1"/>
  <c r="M475" i="2" s="1"/>
  <c r="O475" i="2" s="1"/>
  <c r="I475" i="2"/>
  <c r="K474" i="2"/>
  <c r="J474" i="2"/>
  <c r="L474" i="2" s="1"/>
  <c r="M474" i="2" s="1"/>
  <c r="O474" i="2" s="1"/>
  <c r="I474" i="2"/>
  <c r="K473" i="2"/>
  <c r="J473" i="2"/>
  <c r="L473" i="2" s="1"/>
  <c r="M473" i="2" s="1"/>
  <c r="O473" i="2" s="1"/>
  <c r="I473" i="2"/>
  <c r="K472" i="2"/>
  <c r="J472" i="2"/>
  <c r="L472" i="2" s="1"/>
  <c r="M472" i="2" s="1"/>
  <c r="O472" i="2" s="1"/>
  <c r="I472" i="2"/>
  <c r="K471" i="2"/>
  <c r="J471" i="2"/>
  <c r="L471" i="2" s="1"/>
  <c r="M471" i="2" s="1"/>
  <c r="O471" i="2" s="1"/>
  <c r="I471" i="2"/>
  <c r="K470" i="2"/>
  <c r="J470" i="2"/>
  <c r="L470" i="2" s="1"/>
  <c r="M470" i="2" s="1"/>
  <c r="O470" i="2" s="1"/>
  <c r="I470" i="2"/>
  <c r="K469" i="2"/>
  <c r="J469" i="2"/>
  <c r="L469" i="2" s="1"/>
  <c r="M469" i="2" s="1"/>
  <c r="O469" i="2" s="1"/>
  <c r="I469" i="2"/>
  <c r="K468" i="2"/>
  <c r="J468" i="2"/>
  <c r="L468" i="2" s="1"/>
  <c r="M468" i="2" s="1"/>
  <c r="O468" i="2" s="1"/>
  <c r="I468" i="2"/>
  <c r="K467" i="2"/>
  <c r="J467" i="2"/>
  <c r="L467" i="2" s="1"/>
  <c r="M467" i="2" s="1"/>
  <c r="O467" i="2" s="1"/>
  <c r="I467" i="2"/>
  <c r="K466" i="2"/>
  <c r="J466" i="2"/>
  <c r="L466" i="2" s="1"/>
  <c r="M466" i="2" s="1"/>
  <c r="O466" i="2" s="1"/>
  <c r="I466" i="2"/>
  <c r="K465" i="2"/>
  <c r="J465" i="2"/>
  <c r="L465" i="2" s="1"/>
  <c r="M465" i="2" s="1"/>
  <c r="O465" i="2" s="1"/>
  <c r="I465" i="2"/>
  <c r="K464" i="2"/>
  <c r="J464" i="2"/>
  <c r="L464" i="2" s="1"/>
  <c r="M464" i="2" s="1"/>
  <c r="O464" i="2" s="1"/>
  <c r="I464" i="2"/>
  <c r="K461" i="2"/>
  <c r="J461" i="2"/>
  <c r="L461" i="2" s="1"/>
  <c r="M461" i="2" s="1"/>
  <c r="O461" i="2" s="1"/>
  <c r="I461" i="2"/>
  <c r="K460" i="2"/>
  <c r="J460" i="2"/>
  <c r="L460" i="2" s="1"/>
  <c r="M460" i="2" s="1"/>
  <c r="O460" i="2" s="1"/>
  <c r="I460" i="2"/>
  <c r="K459" i="2"/>
  <c r="J459" i="2"/>
  <c r="L459" i="2" s="1"/>
  <c r="M459" i="2" s="1"/>
  <c r="O459" i="2" s="1"/>
  <c r="I459" i="2"/>
  <c r="K458" i="2"/>
  <c r="J458" i="2"/>
  <c r="L458" i="2" s="1"/>
  <c r="M458" i="2" s="1"/>
  <c r="O458" i="2" s="1"/>
  <c r="I458" i="2"/>
  <c r="K457" i="2"/>
  <c r="J457" i="2"/>
  <c r="L457" i="2" s="1"/>
  <c r="M457" i="2" s="1"/>
  <c r="O457" i="2" s="1"/>
  <c r="I457" i="2"/>
  <c r="K456" i="2"/>
  <c r="J456" i="2"/>
  <c r="L456" i="2" s="1"/>
  <c r="M456" i="2" s="1"/>
  <c r="O456" i="2" s="1"/>
  <c r="I456" i="2"/>
  <c r="K455" i="2"/>
  <c r="J455" i="2"/>
  <c r="L455" i="2" s="1"/>
  <c r="M455" i="2" s="1"/>
  <c r="O455" i="2" s="1"/>
  <c r="I455" i="2"/>
  <c r="K454" i="2"/>
  <c r="J454" i="2"/>
  <c r="L454" i="2" s="1"/>
  <c r="M454" i="2" s="1"/>
  <c r="O454" i="2" s="1"/>
  <c r="I454" i="2"/>
  <c r="K453" i="2"/>
  <c r="J453" i="2"/>
  <c r="L453" i="2" s="1"/>
  <c r="M453" i="2" s="1"/>
  <c r="O453" i="2" s="1"/>
  <c r="I453" i="2"/>
  <c r="K452" i="2"/>
  <c r="J452" i="2"/>
  <c r="L452" i="2" s="1"/>
  <c r="M452" i="2" s="1"/>
  <c r="O452" i="2" s="1"/>
  <c r="I452" i="2"/>
  <c r="K451" i="2"/>
  <c r="J451" i="2"/>
  <c r="L451" i="2" s="1"/>
  <c r="M451" i="2" s="1"/>
  <c r="O451" i="2" s="1"/>
  <c r="I451" i="2"/>
  <c r="K450" i="2"/>
  <c r="J450" i="2"/>
  <c r="L450" i="2" s="1"/>
  <c r="M450" i="2" s="1"/>
  <c r="O450" i="2" s="1"/>
  <c r="I450" i="2"/>
  <c r="K449" i="2"/>
  <c r="J449" i="2"/>
  <c r="L449" i="2" s="1"/>
  <c r="M449" i="2" s="1"/>
  <c r="O449" i="2" s="1"/>
  <c r="I449" i="2"/>
  <c r="K448" i="2"/>
  <c r="J448" i="2"/>
  <c r="L448" i="2" s="1"/>
  <c r="M448" i="2" s="1"/>
  <c r="O448" i="2" s="1"/>
  <c r="I448" i="2"/>
  <c r="K447" i="2"/>
  <c r="J447" i="2"/>
  <c r="L447" i="2" s="1"/>
  <c r="M447" i="2" s="1"/>
  <c r="O447" i="2" s="1"/>
  <c r="I447" i="2"/>
  <c r="K446" i="2"/>
  <c r="J446" i="2"/>
  <c r="L446" i="2" s="1"/>
  <c r="M446" i="2" s="1"/>
  <c r="O446" i="2" s="1"/>
  <c r="I446" i="2"/>
  <c r="K445" i="2"/>
  <c r="J445" i="2"/>
  <c r="L445" i="2" s="1"/>
  <c r="M445" i="2" s="1"/>
  <c r="O445" i="2" s="1"/>
  <c r="I445" i="2"/>
  <c r="K444" i="2"/>
  <c r="J444" i="2"/>
  <c r="L444" i="2" s="1"/>
  <c r="M444" i="2" s="1"/>
  <c r="O444" i="2" s="1"/>
  <c r="I444" i="2"/>
  <c r="K443" i="2"/>
  <c r="J443" i="2"/>
  <c r="L443" i="2" s="1"/>
  <c r="M443" i="2" s="1"/>
  <c r="O443" i="2" s="1"/>
  <c r="I443" i="2"/>
  <c r="K442" i="2"/>
  <c r="J442" i="2"/>
  <c r="L442" i="2" s="1"/>
  <c r="M442" i="2" s="1"/>
  <c r="O442" i="2" s="1"/>
  <c r="I442" i="2"/>
  <c r="K441" i="2"/>
  <c r="J441" i="2"/>
  <c r="L441" i="2" s="1"/>
  <c r="M441" i="2" s="1"/>
  <c r="O441" i="2" s="1"/>
  <c r="I441" i="2"/>
  <c r="K440" i="2"/>
  <c r="J440" i="2"/>
  <c r="L440" i="2" s="1"/>
  <c r="M440" i="2" s="1"/>
  <c r="O440" i="2" s="1"/>
  <c r="I440" i="2"/>
  <c r="K439" i="2"/>
  <c r="J439" i="2"/>
  <c r="L439" i="2" s="1"/>
  <c r="M439" i="2" s="1"/>
  <c r="O439" i="2" s="1"/>
  <c r="I439" i="2"/>
  <c r="K438" i="2"/>
  <c r="J438" i="2"/>
  <c r="L438" i="2" s="1"/>
  <c r="M438" i="2" s="1"/>
  <c r="O438" i="2" s="1"/>
  <c r="I438" i="2"/>
  <c r="K437" i="2"/>
  <c r="J437" i="2"/>
  <c r="L437" i="2" s="1"/>
  <c r="M437" i="2" s="1"/>
  <c r="O437" i="2" s="1"/>
  <c r="I437" i="2"/>
  <c r="K436" i="2"/>
  <c r="J436" i="2"/>
  <c r="L436" i="2" s="1"/>
  <c r="M436" i="2" s="1"/>
  <c r="O436" i="2" s="1"/>
  <c r="I436" i="2"/>
  <c r="K435" i="2"/>
  <c r="J435" i="2"/>
  <c r="L435" i="2" s="1"/>
  <c r="M435" i="2" s="1"/>
  <c r="O435" i="2" s="1"/>
  <c r="I435" i="2"/>
  <c r="K434" i="2"/>
  <c r="J434" i="2"/>
  <c r="L434" i="2" s="1"/>
  <c r="M434" i="2" s="1"/>
  <c r="O434" i="2" s="1"/>
  <c r="I434" i="2"/>
  <c r="K433" i="2"/>
  <c r="J433" i="2"/>
  <c r="L433" i="2" s="1"/>
  <c r="M433" i="2" s="1"/>
  <c r="O433" i="2" s="1"/>
  <c r="I433" i="2"/>
  <c r="K432" i="2"/>
  <c r="J432" i="2"/>
  <c r="L432" i="2" s="1"/>
  <c r="M432" i="2" s="1"/>
  <c r="O432" i="2" s="1"/>
  <c r="I432" i="2"/>
  <c r="K431" i="2"/>
  <c r="J431" i="2"/>
  <c r="L431" i="2" s="1"/>
  <c r="M431" i="2" s="1"/>
  <c r="O431" i="2" s="1"/>
  <c r="I431" i="2"/>
  <c r="K430" i="2"/>
  <c r="J430" i="2"/>
  <c r="L430" i="2" s="1"/>
  <c r="M430" i="2" s="1"/>
  <c r="O430" i="2" s="1"/>
  <c r="I430" i="2"/>
  <c r="K429" i="2"/>
  <c r="J429" i="2"/>
  <c r="L429" i="2" s="1"/>
  <c r="M429" i="2" s="1"/>
  <c r="O429" i="2" s="1"/>
  <c r="I429" i="2"/>
  <c r="K428" i="2"/>
  <c r="J428" i="2"/>
  <c r="L428" i="2" s="1"/>
  <c r="M428" i="2" s="1"/>
  <c r="O428" i="2" s="1"/>
  <c r="I428" i="2"/>
  <c r="K427" i="2"/>
  <c r="J427" i="2"/>
  <c r="L427" i="2" s="1"/>
  <c r="M427" i="2" s="1"/>
  <c r="O427" i="2" s="1"/>
  <c r="I427" i="2"/>
  <c r="K426" i="2"/>
  <c r="J426" i="2"/>
  <c r="L426" i="2" s="1"/>
  <c r="M426" i="2" s="1"/>
  <c r="O426" i="2" s="1"/>
  <c r="I426" i="2"/>
  <c r="K425" i="2"/>
  <c r="J425" i="2"/>
  <c r="L425" i="2" s="1"/>
  <c r="M425" i="2" s="1"/>
  <c r="O425" i="2" s="1"/>
  <c r="I425" i="2"/>
  <c r="K424" i="2"/>
  <c r="J424" i="2"/>
  <c r="L424" i="2" s="1"/>
  <c r="M424" i="2" s="1"/>
  <c r="O424" i="2" s="1"/>
  <c r="I424" i="2"/>
  <c r="K423" i="2"/>
  <c r="J423" i="2"/>
  <c r="L423" i="2" s="1"/>
  <c r="M423" i="2" s="1"/>
  <c r="O423" i="2" s="1"/>
  <c r="I423" i="2"/>
  <c r="K422" i="2"/>
  <c r="J422" i="2"/>
  <c r="L422" i="2" s="1"/>
  <c r="M422" i="2" s="1"/>
  <c r="O422" i="2" s="1"/>
  <c r="I422" i="2"/>
  <c r="K421" i="2"/>
  <c r="J421" i="2"/>
  <c r="L421" i="2" s="1"/>
  <c r="M421" i="2" s="1"/>
  <c r="O421" i="2" s="1"/>
  <c r="I421" i="2"/>
  <c r="K420" i="2"/>
  <c r="J420" i="2"/>
  <c r="L420" i="2" s="1"/>
  <c r="M420" i="2" s="1"/>
  <c r="O420" i="2" s="1"/>
  <c r="I420" i="2"/>
  <c r="K419" i="2"/>
  <c r="J419" i="2"/>
  <c r="L419" i="2" s="1"/>
  <c r="M419" i="2" s="1"/>
  <c r="O419" i="2" s="1"/>
  <c r="I419" i="2"/>
  <c r="K418" i="2"/>
  <c r="J418" i="2"/>
  <c r="L418" i="2" s="1"/>
  <c r="M418" i="2" s="1"/>
  <c r="O418" i="2" s="1"/>
  <c r="I418" i="2"/>
  <c r="K417" i="2"/>
  <c r="J417" i="2"/>
  <c r="L417" i="2" s="1"/>
  <c r="M417" i="2" s="1"/>
  <c r="O417" i="2" s="1"/>
  <c r="I417" i="2"/>
  <c r="K416" i="2"/>
  <c r="J416" i="2"/>
  <c r="L416" i="2" s="1"/>
  <c r="M416" i="2" s="1"/>
  <c r="O416" i="2" s="1"/>
  <c r="I416" i="2"/>
  <c r="K415" i="2"/>
  <c r="J415" i="2"/>
  <c r="L415" i="2" s="1"/>
  <c r="M415" i="2" s="1"/>
  <c r="O415" i="2" s="1"/>
  <c r="I415" i="2"/>
  <c r="K414" i="2"/>
  <c r="J414" i="2"/>
  <c r="L414" i="2" s="1"/>
  <c r="M414" i="2" s="1"/>
  <c r="O414" i="2" s="1"/>
  <c r="I414" i="2"/>
  <c r="K413" i="2"/>
  <c r="J413" i="2"/>
  <c r="L413" i="2" s="1"/>
  <c r="M413" i="2" s="1"/>
  <c r="O413" i="2" s="1"/>
  <c r="I413" i="2"/>
  <c r="K412" i="2"/>
  <c r="J412" i="2"/>
  <c r="L412" i="2" s="1"/>
  <c r="M412" i="2" s="1"/>
  <c r="O412" i="2" s="1"/>
  <c r="I412" i="2"/>
  <c r="K411" i="2"/>
  <c r="J411" i="2"/>
  <c r="L411" i="2" s="1"/>
  <c r="M411" i="2" s="1"/>
  <c r="O411" i="2" s="1"/>
  <c r="I411" i="2"/>
  <c r="K410" i="2"/>
  <c r="J410" i="2"/>
  <c r="L410" i="2" s="1"/>
  <c r="M410" i="2" s="1"/>
  <c r="O410" i="2" s="1"/>
  <c r="I410" i="2"/>
  <c r="K409" i="2"/>
  <c r="J409" i="2"/>
  <c r="L409" i="2" s="1"/>
  <c r="M409" i="2" s="1"/>
  <c r="O409" i="2" s="1"/>
  <c r="I409" i="2"/>
  <c r="K408" i="2"/>
  <c r="J408" i="2"/>
  <c r="L408" i="2" s="1"/>
  <c r="M408" i="2" s="1"/>
  <c r="O408" i="2" s="1"/>
  <c r="I408" i="2"/>
  <c r="K407" i="2"/>
  <c r="J407" i="2"/>
  <c r="L407" i="2" s="1"/>
  <c r="M407" i="2" s="1"/>
  <c r="O407" i="2" s="1"/>
  <c r="I407" i="2"/>
  <c r="K405" i="2"/>
  <c r="J405" i="2"/>
  <c r="L405" i="2" s="1"/>
  <c r="M405" i="2" s="1"/>
  <c r="O405" i="2" s="1"/>
  <c r="I405" i="2"/>
  <c r="K404" i="2"/>
  <c r="J404" i="2"/>
  <c r="L404" i="2" s="1"/>
  <c r="M404" i="2" s="1"/>
  <c r="O404" i="2" s="1"/>
  <c r="I404" i="2"/>
  <c r="K403" i="2"/>
  <c r="J403" i="2"/>
  <c r="L403" i="2" s="1"/>
  <c r="M403" i="2" s="1"/>
  <c r="O403" i="2" s="1"/>
  <c r="I403" i="2"/>
  <c r="K402" i="2"/>
  <c r="J402" i="2"/>
  <c r="L402" i="2" s="1"/>
  <c r="M402" i="2" s="1"/>
  <c r="O402" i="2" s="1"/>
  <c r="I402" i="2"/>
  <c r="K401" i="2"/>
  <c r="J401" i="2"/>
  <c r="L401" i="2" s="1"/>
  <c r="M401" i="2" s="1"/>
  <c r="O401" i="2" s="1"/>
  <c r="I401" i="2"/>
  <c r="K400" i="2"/>
  <c r="J400" i="2"/>
  <c r="L400" i="2" s="1"/>
  <c r="M400" i="2" s="1"/>
  <c r="O400" i="2" s="1"/>
  <c r="I400" i="2"/>
  <c r="K399" i="2"/>
  <c r="J399" i="2"/>
  <c r="L399" i="2" s="1"/>
  <c r="M399" i="2" s="1"/>
  <c r="O399" i="2" s="1"/>
  <c r="I399" i="2"/>
  <c r="K398" i="2"/>
  <c r="J398" i="2"/>
  <c r="L398" i="2" s="1"/>
  <c r="M398" i="2" s="1"/>
  <c r="O398" i="2" s="1"/>
  <c r="I398" i="2"/>
  <c r="K396" i="2"/>
  <c r="J396" i="2"/>
  <c r="L396" i="2" s="1"/>
  <c r="M396" i="2" s="1"/>
  <c r="O396" i="2" s="1"/>
  <c r="I396" i="2"/>
  <c r="K395" i="2"/>
  <c r="J395" i="2"/>
  <c r="L395" i="2" s="1"/>
  <c r="M395" i="2" s="1"/>
  <c r="O395" i="2" s="1"/>
  <c r="I395" i="2"/>
  <c r="K394" i="2"/>
  <c r="J394" i="2"/>
  <c r="L394" i="2" s="1"/>
  <c r="M394" i="2" s="1"/>
  <c r="O394" i="2" s="1"/>
  <c r="I394" i="2"/>
  <c r="K393" i="2"/>
  <c r="J393" i="2"/>
  <c r="L393" i="2" s="1"/>
  <c r="M393" i="2" s="1"/>
  <c r="O393" i="2" s="1"/>
  <c r="I393" i="2"/>
  <c r="K392" i="2"/>
  <c r="J392" i="2"/>
  <c r="L392" i="2" s="1"/>
  <c r="M392" i="2" s="1"/>
  <c r="O392" i="2" s="1"/>
  <c r="I392" i="2"/>
  <c r="K391" i="2"/>
  <c r="J391" i="2"/>
  <c r="L391" i="2" s="1"/>
  <c r="M391" i="2" s="1"/>
  <c r="O391" i="2" s="1"/>
  <c r="I391" i="2"/>
  <c r="K390" i="2"/>
  <c r="J390" i="2"/>
  <c r="L390" i="2" s="1"/>
  <c r="M390" i="2" s="1"/>
  <c r="O390" i="2" s="1"/>
  <c r="I390" i="2"/>
  <c r="K389" i="2"/>
  <c r="J389" i="2"/>
  <c r="L389" i="2" s="1"/>
  <c r="M389" i="2" s="1"/>
  <c r="O389" i="2" s="1"/>
  <c r="I389" i="2"/>
  <c r="K388" i="2"/>
  <c r="J388" i="2"/>
  <c r="L388" i="2" s="1"/>
  <c r="M388" i="2" s="1"/>
  <c r="O388" i="2" s="1"/>
  <c r="I388" i="2"/>
  <c r="K387" i="2"/>
  <c r="J387" i="2"/>
  <c r="L387" i="2" s="1"/>
  <c r="M387" i="2" s="1"/>
  <c r="O387" i="2" s="1"/>
  <c r="I387" i="2"/>
  <c r="K386" i="2"/>
  <c r="J386" i="2"/>
  <c r="L386" i="2" s="1"/>
  <c r="M386" i="2" s="1"/>
  <c r="O386" i="2" s="1"/>
  <c r="I386" i="2"/>
  <c r="K385" i="2"/>
  <c r="J385" i="2"/>
  <c r="L385" i="2" s="1"/>
  <c r="M385" i="2" s="1"/>
  <c r="O385" i="2" s="1"/>
  <c r="I385" i="2"/>
  <c r="K384" i="2"/>
  <c r="J384" i="2"/>
  <c r="L384" i="2" s="1"/>
  <c r="M384" i="2" s="1"/>
  <c r="O384" i="2" s="1"/>
  <c r="I384" i="2"/>
  <c r="K383" i="2"/>
  <c r="J383" i="2"/>
  <c r="L383" i="2" s="1"/>
  <c r="M383" i="2" s="1"/>
  <c r="O383" i="2" s="1"/>
  <c r="I383" i="2"/>
  <c r="K382" i="2"/>
  <c r="J382" i="2"/>
  <c r="L382" i="2" s="1"/>
  <c r="M382" i="2" s="1"/>
  <c r="O382" i="2" s="1"/>
  <c r="I382" i="2"/>
  <c r="K381" i="2"/>
  <c r="J381" i="2"/>
  <c r="L381" i="2" s="1"/>
  <c r="M381" i="2" s="1"/>
  <c r="O381" i="2" s="1"/>
  <c r="I381" i="2"/>
  <c r="K380" i="2"/>
  <c r="J380" i="2"/>
  <c r="L380" i="2" s="1"/>
  <c r="M380" i="2" s="1"/>
  <c r="O380" i="2" s="1"/>
  <c r="I380" i="2"/>
  <c r="K379" i="2"/>
  <c r="J379" i="2"/>
  <c r="L379" i="2" s="1"/>
  <c r="M379" i="2" s="1"/>
  <c r="O379" i="2" s="1"/>
  <c r="I379" i="2"/>
  <c r="K378" i="2"/>
  <c r="J378" i="2"/>
  <c r="L378" i="2" s="1"/>
  <c r="M378" i="2" s="1"/>
  <c r="O378" i="2" s="1"/>
  <c r="I378" i="2"/>
  <c r="K377" i="2"/>
  <c r="J377" i="2"/>
  <c r="L377" i="2" s="1"/>
  <c r="M377" i="2" s="1"/>
  <c r="O377" i="2" s="1"/>
  <c r="I377" i="2"/>
  <c r="K376" i="2"/>
  <c r="J376" i="2"/>
  <c r="L376" i="2" s="1"/>
  <c r="M376" i="2" s="1"/>
  <c r="O376" i="2" s="1"/>
  <c r="I376" i="2"/>
  <c r="K374" i="2"/>
  <c r="J374" i="2"/>
  <c r="L374" i="2" s="1"/>
  <c r="M374" i="2" s="1"/>
  <c r="O374" i="2" s="1"/>
  <c r="I374" i="2"/>
  <c r="K373" i="2"/>
  <c r="J373" i="2"/>
  <c r="L373" i="2" s="1"/>
  <c r="M373" i="2" s="1"/>
  <c r="O373" i="2" s="1"/>
  <c r="I373" i="2"/>
  <c r="K372" i="2"/>
  <c r="J372" i="2"/>
  <c r="L372" i="2" s="1"/>
  <c r="M372" i="2" s="1"/>
  <c r="O372" i="2" s="1"/>
  <c r="I372" i="2"/>
  <c r="K371" i="2"/>
  <c r="J371" i="2"/>
  <c r="L371" i="2" s="1"/>
  <c r="M371" i="2" s="1"/>
  <c r="O371" i="2" s="1"/>
  <c r="I371" i="2"/>
  <c r="K368" i="2"/>
  <c r="J368" i="2"/>
  <c r="L368" i="2" s="1"/>
  <c r="M368" i="2" s="1"/>
  <c r="O368" i="2" s="1"/>
  <c r="I368" i="2"/>
  <c r="K367" i="2"/>
  <c r="J367" i="2"/>
  <c r="L367" i="2" s="1"/>
  <c r="M367" i="2" s="1"/>
  <c r="O367" i="2" s="1"/>
  <c r="I367" i="2"/>
  <c r="K366" i="2"/>
  <c r="J366" i="2"/>
  <c r="L366" i="2" s="1"/>
  <c r="M366" i="2" s="1"/>
  <c r="O366" i="2" s="1"/>
  <c r="I366" i="2"/>
  <c r="K365" i="2"/>
  <c r="J365" i="2"/>
  <c r="L365" i="2" s="1"/>
  <c r="M365" i="2" s="1"/>
  <c r="O365" i="2" s="1"/>
  <c r="I365" i="2"/>
  <c r="K363" i="2"/>
  <c r="J363" i="2"/>
  <c r="L363" i="2" s="1"/>
  <c r="M363" i="2" s="1"/>
  <c r="O363" i="2" s="1"/>
  <c r="I363" i="2"/>
  <c r="K362" i="2"/>
  <c r="J362" i="2"/>
  <c r="L362" i="2" s="1"/>
  <c r="M362" i="2" s="1"/>
  <c r="O362" i="2" s="1"/>
  <c r="I362" i="2"/>
  <c r="K359" i="2"/>
  <c r="J359" i="2"/>
  <c r="L359" i="2" s="1"/>
  <c r="M359" i="2" s="1"/>
  <c r="O359" i="2" s="1"/>
  <c r="I359" i="2"/>
  <c r="K358" i="2"/>
  <c r="J358" i="2"/>
  <c r="L358" i="2" s="1"/>
  <c r="M358" i="2" s="1"/>
  <c r="O358" i="2" s="1"/>
  <c r="I358" i="2"/>
  <c r="K357" i="2"/>
  <c r="J357" i="2"/>
  <c r="L357" i="2" s="1"/>
  <c r="M357" i="2" s="1"/>
  <c r="O357" i="2" s="1"/>
  <c r="I357" i="2"/>
  <c r="K356" i="2"/>
  <c r="J356" i="2"/>
  <c r="L356" i="2" s="1"/>
  <c r="M356" i="2" s="1"/>
  <c r="O356" i="2" s="1"/>
  <c r="I356" i="2"/>
  <c r="K351" i="2"/>
  <c r="J351" i="2"/>
  <c r="L351" i="2" s="1"/>
  <c r="M351" i="2" s="1"/>
  <c r="O351" i="2" s="1"/>
  <c r="I351" i="2"/>
  <c r="K350" i="2"/>
  <c r="J350" i="2"/>
  <c r="L350" i="2" s="1"/>
  <c r="M350" i="2" s="1"/>
  <c r="O350" i="2" s="1"/>
  <c r="I350" i="2"/>
  <c r="K346" i="2"/>
  <c r="J346" i="2"/>
  <c r="L346" i="2" s="1"/>
  <c r="M346" i="2" s="1"/>
  <c r="O346" i="2" s="1"/>
  <c r="I346" i="2"/>
  <c r="K343" i="2"/>
  <c r="J343" i="2"/>
  <c r="L343" i="2" s="1"/>
  <c r="M343" i="2" s="1"/>
  <c r="O343" i="2" s="1"/>
  <c r="I343" i="2"/>
  <c r="K342" i="2"/>
  <c r="J342" i="2"/>
  <c r="L342" i="2" s="1"/>
  <c r="M342" i="2" s="1"/>
  <c r="O342" i="2" s="1"/>
  <c r="I342" i="2"/>
  <c r="K341" i="2"/>
  <c r="J341" i="2"/>
  <c r="L341" i="2" s="1"/>
  <c r="M341" i="2" s="1"/>
  <c r="O341" i="2" s="1"/>
  <c r="I341" i="2"/>
  <c r="K340" i="2"/>
  <c r="J340" i="2"/>
  <c r="L340" i="2" s="1"/>
  <c r="M340" i="2" s="1"/>
  <c r="O340" i="2" s="1"/>
  <c r="I340" i="2"/>
  <c r="K339" i="2"/>
  <c r="J339" i="2"/>
  <c r="L339" i="2" s="1"/>
  <c r="M339" i="2" s="1"/>
  <c r="O339" i="2" s="1"/>
  <c r="I339" i="2"/>
  <c r="K338" i="2"/>
  <c r="J338" i="2"/>
  <c r="L338" i="2" s="1"/>
  <c r="M338" i="2" s="1"/>
  <c r="O338" i="2" s="1"/>
  <c r="I338" i="2"/>
  <c r="K337" i="2"/>
  <c r="J337" i="2"/>
  <c r="L337" i="2" s="1"/>
  <c r="M337" i="2" s="1"/>
  <c r="O337" i="2" s="1"/>
  <c r="I337" i="2"/>
  <c r="K336" i="2"/>
  <c r="J336" i="2"/>
  <c r="L336" i="2" s="1"/>
  <c r="M336" i="2" s="1"/>
  <c r="O336" i="2" s="1"/>
  <c r="I336" i="2"/>
  <c r="K334" i="2"/>
  <c r="J334" i="2"/>
  <c r="L334" i="2" s="1"/>
  <c r="M334" i="2" s="1"/>
  <c r="O334" i="2" s="1"/>
  <c r="I334" i="2"/>
  <c r="K333" i="2"/>
  <c r="J333" i="2"/>
  <c r="L333" i="2" s="1"/>
  <c r="M333" i="2" s="1"/>
  <c r="O333" i="2" s="1"/>
  <c r="I333" i="2"/>
  <c r="K331" i="2"/>
  <c r="J331" i="2"/>
  <c r="L331" i="2" s="1"/>
  <c r="M331" i="2" s="1"/>
  <c r="O331" i="2" s="1"/>
  <c r="I331" i="2"/>
  <c r="K330" i="2"/>
  <c r="J330" i="2"/>
  <c r="L330" i="2" s="1"/>
  <c r="M330" i="2" s="1"/>
  <c r="O330" i="2" s="1"/>
  <c r="I330" i="2"/>
  <c r="K329" i="2"/>
  <c r="J329" i="2"/>
  <c r="L329" i="2" s="1"/>
  <c r="M329" i="2" s="1"/>
  <c r="O329" i="2" s="1"/>
  <c r="I329" i="2"/>
  <c r="K328" i="2"/>
  <c r="J328" i="2"/>
  <c r="L328" i="2" s="1"/>
  <c r="M328" i="2" s="1"/>
  <c r="O328" i="2" s="1"/>
  <c r="I328" i="2"/>
  <c r="K327" i="2"/>
  <c r="J327" i="2"/>
  <c r="L327" i="2" s="1"/>
  <c r="M327" i="2" s="1"/>
  <c r="O327" i="2" s="1"/>
  <c r="I327" i="2"/>
  <c r="K326" i="2"/>
  <c r="J326" i="2"/>
  <c r="L326" i="2" s="1"/>
  <c r="M326" i="2" s="1"/>
  <c r="O326" i="2" s="1"/>
  <c r="I326" i="2"/>
  <c r="K325" i="2"/>
  <c r="J325" i="2"/>
  <c r="L325" i="2" s="1"/>
  <c r="M325" i="2" s="1"/>
  <c r="O325" i="2" s="1"/>
  <c r="I325" i="2"/>
  <c r="K324" i="2"/>
  <c r="J324" i="2"/>
  <c r="L324" i="2" s="1"/>
  <c r="M324" i="2" s="1"/>
  <c r="O324" i="2" s="1"/>
  <c r="I324" i="2"/>
  <c r="K323" i="2"/>
  <c r="J323" i="2"/>
  <c r="L323" i="2" s="1"/>
  <c r="M323" i="2" s="1"/>
  <c r="O323" i="2" s="1"/>
  <c r="I323" i="2"/>
  <c r="K322" i="2"/>
  <c r="J322" i="2"/>
  <c r="L322" i="2" s="1"/>
  <c r="M322" i="2" s="1"/>
  <c r="O322" i="2" s="1"/>
  <c r="I322" i="2"/>
  <c r="K321" i="2"/>
  <c r="J321" i="2"/>
  <c r="L321" i="2" s="1"/>
  <c r="M321" i="2" s="1"/>
  <c r="O321" i="2" s="1"/>
  <c r="I321" i="2"/>
  <c r="K320" i="2"/>
  <c r="J320" i="2"/>
  <c r="L320" i="2" s="1"/>
  <c r="M320" i="2" s="1"/>
  <c r="O320" i="2" s="1"/>
  <c r="I320" i="2"/>
  <c r="K317" i="2"/>
  <c r="J317" i="2"/>
  <c r="L317" i="2" s="1"/>
  <c r="M317" i="2" s="1"/>
  <c r="O317" i="2" s="1"/>
  <c r="I317" i="2"/>
  <c r="K316" i="2"/>
  <c r="J316" i="2"/>
  <c r="L316" i="2" s="1"/>
  <c r="M316" i="2" s="1"/>
  <c r="O316" i="2" s="1"/>
  <c r="I316" i="2"/>
  <c r="K315" i="2"/>
  <c r="J315" i="2"/>
  <c r="L315" i="2" s="1"/>
  <c r="M315" i="2" s="1"/>
  <c r="O315" i="2" s="1"/>
  <c r="I315" i="2"/>
  <c r="K313" i="2"/>
  <c r="J313" i="2"/>
  <c r="L313" i="2" s="1"/>
  <c r="M313" i="2" s="1"/>
  <c r="O313" i="2" s="1"/>
  <c r="I313" i="2"/>
  <c r="K311" i="2"/>
  <c r="J311" i="2"/>
  <c r="L311" i="2" s="1"/>
  <c r="M311" i="2" s="1"/>
  <c r="O311" i="2" s="1"/>
  <c r="I311" i="2"/>
  <c r="K310" i="2"/>
  <c r="J310" i="2"/>
  <c r="L310" i="2" s="1"/>
  <c r="M310" i="2" s="1"/>
  <c r="O310" i="2" s="1"/>
  <c r="I310" i="2"/>
  <c r="K308" i="2"/>
  <c r="J308" i="2"/>
  <c r="L308" i="2" s="1"/>
  <c r="M308" i="2" s="1"/>
  <c r="O308" i="2" s="1"/>
  <c r="I308" i="2"/>
  <c r="K307" i="2"/>
  <c r="J307" i="2"/>
  <c r="L307" i="2" s="1"/>
  <c r="M307" i="2" s="1"/>
  <c r="O307" i="2" s="1"/>
  <c r="I307" i="2"/>
  <c r="K306" i="2"/>
  <c r="J306" i="2"/>
  <c r="L306" i="2" s="1"/>
  <c r="M306" i="2" s="1"/>
  <c r="O306" i="2" s="1"/>
  <c r="I306" i="2"/>
  <c r="K305" i="2"/>
  <c r="J305" i="2"/>
  <c r="L305" i="2" s="1"/>
  <c r="M305" i="2" s="1"/>
  <c r="O305" i="2" s="1"/>
  <c r="I305" i="2"/>
  <c r="K304" i="2"/>
  <c r="J304" i="2"/>
  <c r="L304" i="2" s="1"/>
  <c r="M304" i="2" s="1"/>
  <c r="O304" i="2" s="1"/>
  <c r="I304" i="2"/>
  <c r="K303" i="2"/>
  <c r="J303" i="2"/>
  <c r="L303" i="2" s="1"/>
  <c r="M303" i="2" s="1"/>
  <c r="O303" i="2" s="1"/>
  <c r="I303" i="2"/>
  <c r="K302" i="2"/>
  <c r="J302" i="2"/>
  <c r="L302" i="2" s="1"/>
  <c r="M302" i="2" s="1"/>
  <c r="O302" i="2" s="1"/>
  <c r="I302" i="2"/>
  <c r="K301" i="2"/>
  <c r="J301" i="2"/>
  <c r="L301" i="2" s="1"/>
  <c r="M301" i="2" s="1"/>
  <c r="O301" i="2" s="1"/>
  <c r="I301" i="2"/>
  <c r="K300" i="2"/>
  <c r="J300" i="2"/>
  <c r="L300" i="2" s="1"/>
  <c r="M300" i="2" s="1"/>
  <c r="O300" i="2" s="1"/>
  <c r="I300" i="2"/>
  <c r="K298" i="2"/>
  <c r="J298" i="2"/>
  <c r="L298" i="2" s="1"/>
  <c r="M298" i="2" s="1"/>
  <c r="O298" i="2" s="1"/>
  <c r="I298" i="2"/>
  <c r="K297" i="2"/>
  <c r="J297" i="2"/>
  <c r="L297" i="2" s="1"/>
  <c r="M297" i="2" s="1"/>
  <c r="O297" i="2" s="1"/>
  <c r="I297" i="2"/>
  <c r="K295" i="2"/>
  <c r="J295" i="2"/>
  <c r="L295" i="2" s="1"/>
  <c r="M295" i="2" s="1"/>
  <c r="O295" i="2" s="1"/>
  <c r="I295" i="2"/>
  <c r="K294" i="2"/>
  <c r="J294" i="2"/>
  <c r="L294" i="2" s="1"/>
  <c r="M294" i="2" s="1"/>
  <c r="O294" i="2" s="1"/>
  <c r="I294" i="2"/>
  <c r="K293" i="2"/>
  <c r="J293" i="2"/>
  <c r="L293" i="2" s="1"/>
  <c r="M293" i="2" s="1"/>
  <c r="O293" i="2" s="1"/>
  <c r="I293" i="2"/>
  <c r="K292" i="2"/>
  <c r="J292" i="2"/>
  <c r="L292" i="2" s="1"/>
  <c r="M292" i="2" s="1"/>
  <c r="O292" i="2" s="1"/>
  <c r="I292" i="2"/>
  <c r="K291" i="2"/>
  <c r="J291" i="2"/>
  <c r="L291" i="2" s="1"/>
  <c r="M291" i="2" s="1"/>
  <c r="O291" i="2" s="1"/>
  <c r="I291" i="2"/>
  <c r="K290" i="2"/>
  <c r="J290" i="2"/>
  <c r="L290" i="2" s="1"/>
  <c r="M290" i="2" s="1"/>
  <c r="O290" i="2" s="1"/>
  <c r="I290" i="2"/>
  <c r="K289" i="2"/>
  <c r="J289" i="2"/>
  <c r="L289" i="2" s="1"/>
  <c r="M289" i="2" s="1"/>
  <c r="O289" i="2" s="1"/>
  <c r="I289" i="2"/>
  <c r="K288" i="2"/>
  <c r="J288" i="2"/>
  <c r="L288" i="2" s="1"/>
  <c r="M288" i="2" s="1"/>
  <c r="O288" i="2" s="1"/>
  <c r="I288" i="2"/>
  <c r="K287" i="2"/>
  <c r="J287" i="2"/>
  <c r="L287" i="2" s="1"/>
  <c r="M287" i="2" s="1"/>
  <c r="O287" i="2" s="1"/>
  <c r="I287" i="2"/>
  <c r="K286" i="2"/>
  <c r="J286" i="2"/>
  <c r="L286" i="2" s="1"/>
  <c r="M286" i="2" s="1"/>
  <c r="O286" i="2" s="1"/>
  <c r="I286" i="2"/>
  <c r="K285" i="2"/>
  <c r="J285" i="2"/>
  <c r="L285" i="2" s="1"/>
  <c r="M285" i="2" s="1"/>
  <c r="O285" i="2" s="1"/>
  <c r="I285" i="2"/>
  <c r="K284" i="2"/>
  <c r="J284" i="2"/>
  <c r="L284" i="2" s="1"/>
  <c r="M284" i="2" s="1"/>
  <c r="O284" i="2" s="1"/>
  <c r="I284" i="2"/>
  <c r="K283" i="2"/>
  <c r="J283" i="2"/>
  <c r="L283" i="2" s="1"/>
  <c r="M283" i="2" s="1"/>
  <c r="O283" i="2" s="1"/>
  <c r="I283" i="2"/>
  <c r="K282" i="2"/>
  <c r="J282" i="2"/>
  <c r="L282" i="2" s="1"/>
  <c r="M282" i="2" s="1"/>
  <c r="O282" i="2" s="1"/>
  <c r="I282" i="2"/>
  <c r="K281" i="2"/>
  <c r="J281" i="2"/>
  <c r="L281" i="2" s="1"/>
  <c r="M281" i="2" s="1"/>
  <c r="O281" i="2" s="1"/>
  <c r="I281" i="2"/>
  <c r="K280" i="2"/>
  <c r="J280" i="2"/>
  <c r="L280" i="2" s="1"/>
  <c r="M280" i="2" s="1"/>
  <c r="O280" i="2" s="1"/>
  <c r="I280" i="2"/>
  <c r="K279" i="2"/>
  <c r="J279" i="2"/>
  <c r="L279" i="2" s="1"/>
  <c r="M279" i="2" s="1"/>
  <c r="O279" i="2" s="1"/>
  <c r="I279" i="2"/>
  <c r="K278" i="2"/>
  <c r="J278" i="2"/>
  <c r="L278" i="2" s="1"/>
  <c r="M278" i="2" s="1"/>
  <c r="O278" i="2" s="1"/>
  <c r="I278" i="2"/>
  <c r="K277" i="2"/>
  <c r="J277" i="2"/>
  <c r="L277" i="2" s="1"/>
  <c r="M277" i="2" s="1"/>
  <c r="O277" i="2" s="1"/>
  <c r="I277" i="2"/>
  <c r="K276" i="2"/>
  <c r="J276" i="2"/>
  <c r="L276" i="2" s="1"/>
  <c r="M276" i="2" s="1"/>
  <c r="O276" i="2" s="1"/>
  <c r="I276" i="2"/>
  <c r="K275" i="2"/>
  <c r="J275" i="2"/>
  <c r="L275" i="2" s="1"/>
  <c r="M275" i="2" s="1"/>
  <c r="O275" i="2" s="1"/>
  <c r="I275" i="2"/>
  <c r="K274" i="2"/>
  <c r="J274" i="2"/>
  <c r="L274" i="2" s="1"/>
  <c r="M274" i="2" s="1"/>
  <c r="O274" i="2" s="1"/>
  <c r="I274" i="2"/>
  <c r="K273" i="2"/>
  <c r="J273" i="2"/>
  <c r="L273" i="2" s="1"/>
  <c r="M273" i="2" s="1"/>
  <c r="O273" i="2" s="1"/>
  <c r="I273" i="2"/>
  <c r="K272" i="2"/>
  <c r="J272" i="2"/>
  <c r="L272" i="2" s="1"/>
  <c r="M272" i="2" s="1"/>
  <c r="O272" i="2" s="1"/>
  <c r="I272" i="2"/>
  <c r="K271" i="2"/>
  <c r="J271" i="2"/>
  <c r="L271" i="2" s="1"/>
  <c r="M271" i="2" s="1"/>
  <c r="O271" i="2" s="1"/>
  <c r="I271" i="2"/>
  <c r="K270" i="2"/>
  <c r="J270" i="2"/>
  <c r="L270" i="2" s="1"/>
  <c r="M270" i="2" s="1"/>
  <c r="O270" i="2" s="1"/>
  <c r="I270" i="2"/>
  <c r="K269" i="2"/>
  <c r="J269" i="2"/>
  <c r="L269" i="2" s="1"/>
  <c r="M269" i="2" s="1"/>
  <c r="O269" i="2" s="1"/>
  <c r="I269" i="2"/>
  <c r="K268" i="2"/>
  <c r="J268" i="2"/>
  <c r="L268" i="2" s="1"/>
  <c r="M268" i="2" s="1"/>
  <c r="O268" i="2" s="1"/>
  <c r="I268" i="2"/>
  <c r="K267" i="2"/>
  <c r="J267" i="2"/>
  <c r="L267" i="2" s="1"/>
  <c r="M267" i="2" s="1"/>
  <c r="O267" i="2" s="1"/>
  <c r="I267" i="2"/>
  <c r="K266" i="2"/>
  <c r="J266" i="2"/>
  <c r="L266" i="2" s="1"/>
  <c r="M266" i="2" s="1"/>
  <c r="O266" i="2" s="1"/>
  <c r="I266" i="2"/>
  <c r="K265" i="2"/>
  <c r="J265" i="2"/>
  <c r="L265" i="2" s="1"/>
  <c r="M265" i="2" s="1"/>
  <c r="O265" i="2" s="1"/>
  <c r="I265" i="2"/>
  <c r="K264" i="2"/>
  <c r="J264" i="2"/>
  <c r="L264" i="2" s="1"/>
  <c r="M264" i="2" s="1"/>
  <c r="O264" i="2" s="1"/>
  <c r="I264" i="2"/>
  <c r="K263" i="2"/>
  <c r="J263" i="2"/>
  <c r="L263" i="2" s="1"/>
  <c r="M263" i="2" s="1"/>
  <c r="O263" i="2" s="1"/>
  <c r="I263" i="2"/>
  <c r="K262" i="2"/>
  <c r="J262" i="2"/>
  <c r="L262" i="2" s="1"/>
  <c r="M262" i="2" s="1"/>
  <c r="O262" i="2" s="1"/>
  <c r="I262" i="2"/>
  <c r="K261" i="2"/>
  <c r="J261" i="2"/>
  <c r="L261" i="2" s="1"/>
  <c r="M261" i="2" s="1"/>
  <c r="O261" i="2" s="1"/>
  <c r="I261" i="2"/>
  <c r="K260" i="2"/>
  <c r="J260" i="2"/>
  <c r="L260" i="2" s="1"/>
  <c r="M260" i="2" s="1"/>
  <c r="O260" i="2" s="1"/>
  <c r="I260" i="2"/>
  <c r="K259" i="2"/>
  <c r="J259" i="2"/>
  <c r="L259" i="2" s="1"/>
  <c r="M259" i="2" s="1"/>
  <c r="O259" i="2" s="1"/>
  <c r="I259" i="2"/>
  <c r="K258" i="2"/>
  <c r="J258" i="2"/>
  <c r="L258" i="2" s="1"/>
  <c r="M258" i="2" s="1"/>
  <c r="O258" i="2" s="1"/>
  <c r="I258" i="2"/>
  <c r="K257" i="2"/>
  <c r="J257" i="2"/>
  <c r="L257" i="2" s="1"/>
  <c r="M257" i="2" s="1"/>
  <c r="O257" i="2" s="1"/>
  <c r="I257" i="2"/>
  <c r="K256" i="2"/>
  <c r="J256" i="2"/>
  <c r="L256" i="2" s="1"/>
  <c r="M256" i="2" s="1"/>
  <c r="O256" i="2" s="1"/>
  <c r="I256" i="2"/>
  <c r="K255" i="2"/>
  <c r="J255" i="2"/>
  <c r="L255" i="2" s="1"/>
  <c r="M255" i="2" s="1"/>
  <c r="O255" i="2" s="1"/>
  <c r="I255" i="2"/>
  <c r="K254" i="2"/>
  <c r="J254" i="2"/>
  <c r="L254" i="2" s="1"/>
  <c r="M254" i="2" s="1"/>
  <c r="O254" i="2" s="1"/>
  <c r="I254" i="2"/>
  <c r="K253" i="2"/>
  <c r="J253" i="2"/>
  <c r="L253" i="2" s="1"/>
  <c r="M253" i="2" s="1"/>
  <c r="O253" i="2" s="1"/>
  <c r="I253" i="2"/>
  <c r="K252" i="2"/>
  <c r="J252" i="2"/>
  <c r="L252" i="2" s="1"/>
  <c r="M252" i="2" s="1"/>
  <c r="O252" i="2" s="1"/>
  <c r="I252" i="2"/>
  <c r="K251" i="2"/>
  <c r="J251" i="2"/>
  <c r="L251" i="2" s="1"/>
  <c r="M251" i="2" s="1"/>
  <c r="O251" i="2" s="1"/>
  <c r="I251" i="2"/>
  <c r="K250" i="2"/>
  <c r="J250" i="2"/>
  <c r="L250" i="2" s="1"/>
  <c r="M250" i="2" s="1"/>
  <c r="O250" i="2" s="1"/>
  <c r="I250" i="2"/>
  <c r="K249" i="2"/>
  <c r="J249" i="2"/>
  <c r="L249" i="2" s="1"/>
  <c r="M249" i="2" s="1"/>
  <c r="O249" i="2" s="1"/>
  <c r="I249" i="2"/>
  <c r="K248" i="2"/>
  <c r="J248" i="2"/>
  <c r="L248" i="2" s="1"/>
  <c r="M248" i="2" s="1"/>
  <c r="O248" i="2" s="1"/>
  <c r="I248" i="2"/>
  <c r="K247" i="2"/>
  <c r="J247" i="2"/>
  <c r="L247" i="2" s="1"/>
  <c r="M247" i="2" s="1"/>
  <c r="O247" i="2" s="1"/>
  <c r="I247" i="2"/>
  <c r="K246" i="2"/>
  <c r="J246" i="2"/>
  <c r="L246" i="2" s="1"/>
  <c r="M246" i="2" s="1"/>
  <c r="O246" i="2" s="1"/>
  <c r="I246" i="2"/>
  <c r="K245" i="2"/>
  <c r="J245" i="2"/>
  <c r="L245" i="2" s="1"/>
  <c r="M245" i="2" s="1"/>
  <c r="O245" i="2" s="1"/>
  <c r="I245" i="2"/>
  <c r="K244" i="2"/>
  <c r="J244" i="2"/>
  <c r="L244" i="2" s="1"/>
  <c r="M244" i="2" s="1"/>
  <c r="O244" i="2" s="1"/>
  <c r="I244" i="2"/>
  <c r="K243" i="2"/>
  <c r="J243" i="2"/>
  <c r="L243" i="2" s="1"/>
  <c r="M243" i="2" s="1"/>
  <c r="O243" i="2" s="1"/>
  <c r="I243" i="2"/>
  <c r="K242" i="2"/>
  <c r="J242" i="2"/>
  <c r="L242" i="2" s="1"/>
  <c r="M242" i="2" s="1"/>
  <c r="O242" i="2" s="1"/>
  <c r="I242" i="2"/>
  <c r="K241" i="2"/>
  <c r="J241" i="2"/>
  <c r="L241" i="2" s="1"/>
  <c r="M241" i="2" s="1"/>
  <c r="O241" i="2" s="1"/>
  <c r="I241" i="2"/>
  <c r="K240" i="2"/>
  <c r="J240" i="2"/>
  <c r="L240" i="2" s="1"/>
  <c r="M240" i="2" s="1"/>
  <c r="O240" i="2" s="1"/>
  <c r="I240" i="2"/>
  <c r="K239" i="2"/>
  <c r="J239" i="2"/>
  <c r="L239" i="2" s="1"/>
  <c r="M239" i="2" s="1"/>
  <c r="O239" i="2" s="1"/>
  <c r="I239" i="2"/>
  <c r="K238" i="2"/>
  <c r="J238" i="2"/>
  <c r="L238" i="2" s="1"/>
  <c r="M238" i="2" s="1"/>
  <c r="O238" i="2" s="1"/>
  <c r="I238" i="2"/>
  <c r="K237" i="2"/>
  <c r="J237" i="2"/>
  <c r="L237" i="2" s="1"/>
  <c r="M237" i="2" s="1"/>
  <c r="O237" i="2" s="1"/>
  <c r="I237" i="2"/>
  <c r="K236" i="2"/>
  <c r="J236" i="2"/>
  <c r="L236" i="2" s="1"/>
  <c r="M236" i="2" s="1"/>
  <c r="O236" i="2" s="1"/>
  <c r="I236" i="2"/>
  <c r="K235" i="2"/>
  <c r="J235" i="2"/>
  <c r="L235" i="2" s="1"/>
  <c r="M235" i="2" s="1"/>
  <c r="O235" i="2" s="1"/>
  <c r="I235" i="2"/>
  <c r="K234" i="2"/>
  <c r="J234" i="2"/>
  <c r="L234" i="2" s="1"/>
  <c r="M234" i="2" s="1"/>
  <c r="O234" i="2" s="1"/>
  <c r="I234" i="2"/>
  <c r="K233" i="2"/>
  <c r="J233" i="2"/>
  <c r="L233" i="2" s="1"/>
  <c r="M233" i="2" s="1"/>
  <c r="O233" i="2" s="1"/>
  <c r="I233" i="2"/>
  <c r="K230" i="2"/>
  <c r="J230" i="2"/>
  <c r="L230" i="2" s="1"/>
  <c r="M230" i="2" s="1"/>
  <c r="O230" i="2" s="1"/>
  <c r="I230" i="2"/>
  <c r="K229" i="2"/>
  <c r="J229" i="2"/>
  <c r="L229" i="2" s="1"/>
  <c r="M229" i="2" s="1"/>
  <c r="O229" i="2" s="1"/>
  <c r="I229" i="2"/>
  <c r="K228" i="2"/>
  <c r="J228" i="2"/>
  <c r="L228" i="2" s="1"/>
  <c r="M228" i="2" s="1"/>
  <c r="O228" i="2" s="1"/>
  <c r="I228" i="2"/>
  <c r="K227" i="2"/>
  <c r="J227" i="2"/>
  <c r="L227" i="2" s="1"/>
  <c r="M227" i="2" s="1"/>
  <c r="O227" i="2" s="1"/>
  <c r="I227" i="2"/>
  <c r="K226" i="2"/>
  <c r="J226" i="2"/>
  <c r="L226" i="2" s="1"/>
  <c r="M226" i="2" s="1"/>
  <c r="O226" i="2" s="1"/>
  <c r="I226" i="2"/>
  <c r="K225" i="2"/>
  <c r="J225" i="2"/>
  <c r="L225" i="2" s="1"/>
  <c r="M225" i="2" s="1"/>
  <c r="O225" i="2" s="1"/>
  <c r="I225" i="2"/>
  <c r="K224" i="2"/>
  <c r="J224" i="2"/>
  <c r="L224" i="2" s="1"/>
  <c r="M224" i="2" s="1"/>
  <c r="O224" i="2" s="1"/>
  <c r="I224" i="2"/>
  <c r="K223" i="2"/>
  <c r="J223" i="2"/>
  <c r="L223" i="2" s="1"/>
  <c r="M223" i="2" s="1"/>
  <c r="O223" i="2" s="1"/>
  <c r="I223" i="2"/>
  <c r="K222" i="2"/>
  <c r="J222" i="2"/>
  <c r="L222" i="2" s="1"/>
  <c r="M222" i="2" s="1"/>
  <c r="O222" i="2" s="1"/>
  <c r="I222" i="2"/>
  <c r="K221" i="2"/>
  <c r="J221" i="2"/>
  <c r="L221" i="2" s="1"/>
  <c r="M221" i="2" s="1"/>
  <c r="O221" i="2" s="1"/>
  <c r="I221" i="2"/>
  <c r="K220" i="2"/>
  <c r="J220" i="2"/>
  <c r="L220" i="2" s="1"/>
  <c r="M220" i="2" s="1"/>
  <c r="O220" i="2" s="1"/>
  <c r="I220" i="2"/>
  <c r="K219" i="2"/>
  <c r="J219" i="2"/>
  <c r="L219" i="2" s="1"/>
  <c r="M219" i="2" s="1"/>
  <c r="O219" i="2" s="1"/>
  <c r="I219" i="2"/>
  <c r="K218" i="2"/>
  <c r="J218" i="2"/>
  <c r="L218" i="2" s="1"/>
  <c r="M218" i="2" s="1"/>
  <c r="O218" i="2" s="1"/>
  <c r="I218" i="2"/>
  <c r="K217" i="2"/>
  <c r="J217" i="2"/>
  <c r="L217" i="2" s="1"/>
  <c r="M217" i="2" s="1"/>
  <c r="O217" i="2" s="1"/>
  <c r="I217" i="2"/>
  <c r="K216" i="2"/>
  <c r="J216" i="2"/>
  <c r="L216" i="2" s="1"/>
  <c r="M216" i="2" s="1"/>
  <c r="O216" i="2" s="1"/>
  <c r="I216" i="2"/>
  <c r="K215" i="2"/>
  <c r="J215" i="2"/>
  <c r="L215" i="2" s="1"/>
  <c r="M215" i="2" s="1"/>
  <c r="O215" i="2" s="1"/>
  <c r="I215" i="2"/>
  <c r="K214" i="2"/>
  <c r="J214" i="2"/>
  <c r="L214" i="2" s="1"/>
  <c r="M214" i="2" s="1"/>
  <c r="O214" i="2" s="1"/>
  <c r="I214" i="2"/>
  <c r="K213" i="2"/>
  <c r="J213" i="2"/>
  <c r="L213" i="2" s="1"/>
  <c r="M213" i="2" s="1"/>
  <c r="O213" i="2" s="1"/>
  <c r="I213" i="2"/>
  <c r="K212" i="2"/>
  <c r="J212" i="2"/>
  <c r="L212" i="2" s="1"/>
  <c r="M212" i="2" s="1"/>
  <c r="O212" i="2" s="1"/>
  <c r="I212" i="2"/>
  <c r="K211" i="2"/>
  <c r="J211" i="2"/>
  <c r="L211" i="2" s="1"/>
  <c r="M211" i="2" s="1"/>
  <c r="O211" i="2" s="1"/>
  <c r="I211" i="2"/>
  <c r="K210" i="2"/>
  <c r="J210" i="2"/>
  <c r="L210" i="2" s="1"/>
  <c r="M210" i="2" s="1"/>
  <c r="O210" i="2" s="1"/>
  <c r="I210" i="2"/>
  <c r="K209" i="2"/>
  <c r="J209" i="2"/>
  <c r="L209" i="2" s="1"/>
  <c r="M209" i="2" s="1"/>
  <c r="O209" i="2" s="1"/>
  <c r="I209" i="2"/>
  <c r="K208" i="2"/>
  <c r="J208" i="2"/>
  <c r="L208" i="2" s="1"/>
  <c r="M208" i="2" s="1"/>
  <c r="O208" i="2" s="1"/>
  <c r="I208" i="2"/>
  <c r="K207" i="2"/>
  <c r="J207" i="2"/>
  <c r="L207" i="2" s="1"/>
  <c r="M207" i="2" s="1"/>
  <c r="O207" i="2" s="1"/>
  <c r="I207" i="2"/>
  <c r="K206" i="2"/>
  <c r="J206" i="2"/>
  <c r="L206" i="2" s="1"/>
  <c r="M206" i="2" s="1"/>
  <c r="O206" i="2" s="1"/>
  <c r="I206" i="2"/>
  <c r="K205" i="2"/>
  <c r="J205" i="2"/>
  <c r="L205" i="2" s="1"/>
  <c r="M205" i="2" s="1"/>
  <c r="O205" i="2" s="1"/>
  <c r="I205" i="2"/>
  <c r="K204" i="2"/>
  <c r="J204" i="2"/>
  <c r="L204" i="2" s="1"/>
  <c r="M204" i="2" s="1"/>
  <c r="O204" i="2" s="1"/>
  <c r="I204" i="2"/>
  <c r="K203" i="2"/>
  <c r="J203" i="2"/>
  <c r="L203" i="2" s="1"/>
  <c r="M203" i="2" s="1"/>
  <c r="O203" i="2" s="1"/>
  <c r="I203" i="2"/>
  <c r="K202" i="2"/>
  <c r="J202" i="2"/>
  <c r="L202" i="2" s="1"/>
  <c r="M202" i="2" s="1"/>
  <c r="O202" i="2" s="1"/>
  <c r="I202" i="2"/>
  <c r="K201" i="2"/>
  <c r="J201" i="2"/>
  <c r="L201" i="2" s="1"/>
  <c r="M201" i="2" s="1"/>
  <c r="O201" i="2" s="1"/>
  <c r="I201" i="2"/>
  <c r="K200" i="2"/>
  <c r="J200" i="2"/>
  <c r="L200" i="2" s="1"/>
  <c r="M200" i="2" s="1"/>
  <c r="O200" i="2" s="1"/>
  <c r="I200" i="2"/>
  <c r="K199" i="2"/>
  <c r="J199" i="2"/>
  <c r="L199" i="2" s="1"/>
  <c r="M199" i="2" s="1"/>
  <c r="O199" i="2" s="1"/>
  <c r="I199" i="2"/>
  <c r="K198" i="2"/>
  <c r="J198" i="2"/>
  <c r="L198" i="2" s="1"/>
  <c r="M198" i="2" s="1"/>
  <c r="O198" i="2" s="1"/>
  <c r="I198" i="2"/>
  <c r="K197" i="2"/>
  <c r="J197" i="2"/>
  <c r="L197" i="2" s="1"/>
  <c r="M197" i="2" s="1"/>
  <c r="O197" i="2" s="1"/>
  <c r="I197" i="2"/>
  <c r="K196" i="2"/>
  <c r="J196" i="2"/>
  <c r="L196" i="2" s="1"/>
  <c r="M196" i="2" s="1"/>
  <c r="O196" i="2" s="1"/>
  <c r="I196" i="2"/>
  <c r="K195" i="2"/>
  <c r="J195" i="2"/>
  <c r="L195" i="2" s="1"/>
  <c r="M195" i="2" s="1"/>
  <c r="O195" i="2" s="1"/>
  <c r="I195" i="2"/>
  <c r="K194" i="2"/>
  <c r="J194" i="2"/>
  <c r="L194" i="2" s="1"/>
  <c r="M194" i="2" s="1"/>
  <c r="O194" i="2" s="1"/>
  <c r="I194" i="2"/>
  <c r="K193" i="2"/>
  <c r="J193" i="2"/>
  <c r="L193" i="2" s="1"/>
  <c r="M193" i="2" s="1"/>
  <c r="O193" i="2" s="1"/>
  <c r="I193" i="2"/>
  <c r="K192" i="2"/>
  <c r="J192" i="2"/>
  <c r="L192" i="2" s="1"/>
  <c r="M192" i="2" s="1"/>
  <c r="O192" i="2" s="1"/>
  <c r="I192" i="2"/>
  <c r="K191" i="2"/>
  <c r="J191" i="2"/>
  <c r="L191" i="2" s="1"/>
  <c r="M191" i="2" s="1"/>
  <c r="O191" i="2" s="1"/>
  <c r="I191" i="2"/>
  <c r="K190" i="2"/>
  <c r="J190" i="2"/>
  <c r="L190" i="2" s="1"/>
  <c r="M190" i="2" s="1"/>
  <c r="O190" i="2" s="1"/>
  <c r="I190" i="2"/>
  <c r="K189" i="2"/>
  <c r="J189" i="2"/>
  <c r="L189" i="2" s="1"/>
  <c r="M189" i="2" s="1"/>
  <c r="O189" i="2" s="1"/>
  <c r="I189" i="2"/>
  <c r="K188" i="2"/>
  <c r="J188" i="2"/>
  <c r="L188" i="2" s="1"/>
  <c r="M188" i="2" s="1"/>
  <c r="O188" i="2" s="1"/>
  <c r="I188" i="2"/>
  <c r="K187" i="2"/>
  <c r="J187" i="2"/>
  <c r="L187" i="2" s="1"/>
  <c r="M187" i="2" s="1"/>
  <c r="O187" i="2" s="1"/>
  <c r="I187" i="2"/>
  <c r="K186" i="2"/>
  <c r="J186" i="2"/>
  <c r="L186" i="2" s="1"/>
  <c r="M186" i="2" s="1"/>
  <c r="O186" i="2" s="1"/>
  <c r="I186" i="2"/>
  <c r="K185" i="2"/>
  <c r="J185" i="2"/>
  <c r="L185" i="2" s="1"/>
  <c r="M185" i="2" s="1"/>
  <c r="O185" i="2" s="1"/>
  <c r="I185" i="2"/>
  <c r="K184" i="2"/>
  <c r="J184" i="2"/>
  <c r="L184" i="2" s="1"/>
  <c r="M184" i="2" s="1"/>
  <c r="O184" i="2" s="1"/>
  <c r="I184" i="2"/>
  <c r="K183" i="2"/>
  <c r="J183" i="2"/>
  <c r="L183" i="2" s="1"/>
  <c r="M183" i="2" s="1"/>
  <c r="O183" i="2" s="1"/>
  <c r="I183" i="2"/>
  <c r="K182" i="2"/>
  <c r="J182" i="2"/>
  <c r="L182" i="2" s="1"/>
  <c r="M182" i="2" s="1"/>
  <c r="O182" i="2" s="1"/>
  <c r="I182" i="2"/>
  <c r="K181" i="2"/>
  <c r="J181" i="2"/>
  <c r="L181" i="2" s="1"/>
  <c r="M181" i="2" s="1"/>
  <c r="O181" i="2" s="1"/>
  <c r="I181" i="2"/>
  <c r="K180" i="2"/>
  <c r="J180" i="2"/>
  <c r="L180" i="2" s="1"/>
  <c r="M180" i="2" s="1"/>
  <c r="O180" i="2" s="1"/>
  <c r="I180" i="2"/>
  <c r="K179" i="2"/>
  <c r="J179" i="2"/>
  <c r="L179" i="2" s="1"/>
  <c r="M179" i="2" s="1"/>
  <c r="O179" i="2" s="1"/>
  <c r="I179" i="2"/>
  <c r="K178" i="2"/>
  <c r="J178" i="2"/>
  <c r="L178" i="2" s="1"/>
  <c r="M178" i="2" s="1"/>
  <c r="O178" i="2" s="1"/>
  <c r="I178" i="2"/>
  <c r="K177" i="2"/>
  <c r="J177" i="2"/>
  <c r="L177" i="2" s="1"/>
  <c r="M177" i="2" s="1"/>
  <c r="O177" i="2" s="1"/>
  <c r="I177" i="2"/>
  <c r="K176" i="2"/>
  <c r="J176" i="2"/>
  <c r="L176" i="2" s="1"/>
  <c r="M176" i="2" s="1"/>
  <c r="O176" i="2" s="1"/>
  <c r="I176" i="2"/>
  <c r="K175" i="2"/>
  <c r="J175" i="2"/>
  <c r="L175" i="2" s="1"/>
  <c r="M175" i="2" s="1"/>
  <c r="O175" i="2" s="1"/>
  <c r="I175" i="2"/>
  <c r="K174" i="2"/>
  <c r="J174" i="2"/>
  <c r="L174" i="2" s="1"/>
  <c r="M174" i="2" s="1"/>
  <c r="O174" i="2" s="1"/>
  <c r="I174" i="2"/>
  <c r="K173" i="2"/>
  <c r="J173" i="2"/>
  <c r="L173" i="2" s="1"/>
  <c r="M173" i="2" s="1"/>
  <c r="O173" i="2" s="1"/>
  <c r="I173" i="2"/>
  <c r="K172" i="2"/>
  <c r="J172" i="2"/>
  <c r="L172" i="2" s="1"/>
  <c r="M172" i="2" s="1"/>
  <c r="O172" i="2" s="1"/>
  <c r="I172" i="2"/>
  <c r="K171" i="2"/>
  <c r="J171" i="2"/>
  <c r="L171" i="2" s="1"/>
  <c r="M171" i="2" s="1"/>
  <c r="O171" i="2" s="1"/>
  <c r="I171" i="2"/>
  <c r="K170" i="2"/>
  <c r="J170" i="2"/>
  <c r="L170" i="2" s="1"/>
  <c r="M170" i="2" s="1"/>
  <c r="O170" i="2" s="1"/>
  <c r="I170" i="2"/>
  <c r="K169" i="2"/>
  <c r="J169" i="2"/>
  <c r="L169" i="2" s="1"/>
  <c r="M169" i="2" s="1"/>
  <c r="O169" i="2" s="1"/>
  <c r="I169" i="2"/>
  <c r="K168" i="2"/>
  <c r="J168" i="2"/>
  <c r="L168" i="2" s="1"/>
  <c r="M168" i="2" s="1"/>
  <c r="O168" i="2" s="1"/>
  <c r="I168" i="2"/>
  <c r="K167" i="2"/>
  <c r="J167" i="2"/>
  <c r="L167" i="2" s="1"/>
  <c r="M167" i="2" s="1"/>
  <c r="O167" i="2" s="1"/>
  <c r="I167" i="2"/>
  <c r="K166" i="2"/>
  <c r="J166" i="2"/>
  <c r="L166" i="2" s="1"/>
  <c r="M166" i="2" s="1"/>
  <c r="O166" i="2" s="1"/>
  <c r="I166" i="2"/>
  <c r="K165" i="2"/>
  <c r="J165" i="2"/>
  <c r="L165" i="2" s="1"/>
  <c r="M165" i="2" s="1"/>
  <c r="O165" i="2" s="1"/>
  <c r="I165" i="2"/>
  <c r="K164" i="2"/>
  <c r="J164" i="2"/>
  <c r="L164" i="2" s="1"/>
  <c r="M164" i="2" s="1"/>
  <c r="O164" i="2" s="1"/>
  <c r="I164" i="2"/>
  <c r="K163" i="2"/>
  <c r="J163" i="2"/>
  <c r="L163" i="2" s="1"/>
  <c r="M163" i="2" s="1"/>
  <c r="O163" i="2" s="1"/>
  <c r="I163" i="2"/>
  <c r="K162" i="2"/>
  <c r="J162" i="2"/>
  <c r="L162" i="2" s="1"/>
  <c r="M162" i="2" s="1"/>
  <c r="O162" i="2" s="1"/>
  <c r="I162" i="2"/>
  <c r="K161" i="2"/>
  <c r="J161" i="2"/>
  <c r="L161" i="2" s="1"/>
  <c r="M161" i="2" s="1"/>
  <c r="O161" i="2" s="1"/>
  <c r="I161" i="2"/>
  <c r="K160" i="2"/>
  <c r="J160" i="2"/>
  <c r="L160" i="2" s="1"/>
  <c r="M160" i="2" s="1"/>
  <c r="O160" i="2" s="1"/>
  <c r="I160" i="2"/>
  <c r="K159" i="2"/>
  <c r="J159" i="2"/>
  <c r="L159" i="2" s="1"/>
  <c r="M159" i="2" s="1"/>
  <c r="O159" i="2" s="1"/>
  <c r="I159" i="2"/>
  <c r="K158" i="2"/>
  <c r="J158" i="2"/>
  <c r="L158" i="2" s="1"/>
  <c r="M158" i="2" s="1"/>
  <c r="O158" i="2" s="1"/>
  <c r="I158" i="2"/>
  <c r="K157" i="2"/>
  <c r="J157" i="2"/>
  <c r="L157" i="2" s="1"/>
  <c r="M157" i="2" s="1"/>
  <c r="O157" i="2" s="1"/>
  <c r="I157" i="2"/>
  <c r="K156" i="2"/>
  <c r="J156" i="2"/>
  <c r="L156" i="2" s="1"/>
  <c r="M156" i="2" s="1"/>
  <c r="O156" i="2" s="1"/>
  <c r="I156" i="2"/>
  <c r="K155" i="2"/>
  <c r="J155" i="2"/>
  <c r="L155" i="2" s="1"/>
  <c r="M155" i="2" s="1"/>
  <c r="O155" i="2" s="1"/>
  <c r="I155" i="2"/>
  <c r="K154" i="2"/>
  <c r="J154" i="2"/>
  <c r="L154" i="2" s="1"/>
  <c r="M154" i="2" s="1"/>
  <c r="O154" i="2" s="1"/>
  <c r="I154" i="2"/>
  <c r="K153" i="2"/>
  <c r="J153" i="2"/>
  <c r="L153" i="2" s="1"/>
  <c r="M153" i="2" s="1"/>
  <c r="O153" i="2" s="1"/>
  <c r="I153" i="2"/>
  <c r="K152" i="2"/>
  <c r="J152" i="2"/>
  <c r="L152" i="2" s="1"/>
  <c r="M152" i="2" s="1"/>
  <c r="O152" i="2" s="1"/>
  <c r="I152" i="2"/>
  <c r="K151" i="2"/>
  <c r="J151" i="2"/>
  <c r="L151" i="2" s="1"/>
  <c r="M151" i="2" s="1"/>
  <c r="O151" i="2" s="1"/>
  <c r="I151" i="2"/>
  <c r="K150" i="2"/>
  <c r="J150" i="2"/>
  <c r="L150" i="2" s="1"/>
  <c r="M150" i="2" s="1"/>
  <c r="O150" i="2" s="1"/>
  <c r="I150" i="2"/>
  <c r="K149" i="2"/>
  <c r="J149" i="2"/>
  <c r="L149" i="2" s="1"/>
  <c r="M149" i="2" s="1"/>
  <c r="O149" i="2" s="1"/>
  <c r="I149" i="2"/>
  <c r="K148" i="2"/>
  <c r="J148" i="2"/>
  <c r="L148" i="2" s="1"/>
  <c r="M148" i="2" s="1"/>
  <c r="O148" i="2" s="1"/>
  <c r="I148" i="2"/>
  <c r="K147" i="2"/>
  <c r="J147" i="2"/>
  <c r="L147" i="2" s="1"/>
  <c r="M147" i="2" s="1"/>
  <c r="O147" i="2" s="1"/>
  <c r="I147" i="2"/>
  <c r="K146" i="2"/>
  <c r="J146" i="2"/>
  <c r="L146" i="2" s="1"/>
  <c r="M146" i="2" s="1"/>
  <c r="O146" i="2" s="1"/>
  <c r="I146" i="2"/>
  <c r="K145" i="2"/>
  <c r="J145" i="2"/>
  <c r="L145" i="2" s="1"/>
  <c r="M145" i="2" s="1"/>
  <c r="O145" i="2" s="1"/>
  <c r="I145" i="2"/>
  <c r="K144" i="2"/>
  <c r="J144" i="2"/>
  <c r="L144" i="2" s="1"/>
  <c r="M144" i="2" s="1"/>
  <c r="O144" i="2" s="1"/>
  <c r="I144" i="2"/>
  <c r="K143" i="2"/>
  <c r="J143" i="2"/>
  <c r="L143" i="2" s="1"/>
  <c r="M143" i="2" s="1"/>
  <c r="O143" i="2" s="1"/>
  <c r="I143" i="2"/>
  <c r="K142" i="2"/>
  <c r="J142" i="2"/>
  <c r="L142" i="2" s="1"/>
  <c r="M142" i="2" s="1"/>
  <c r="O142" i="2" s="1"/>
  <c r="I142" i="2"/>
  <c r="K141" i="2"/>
  <c r="J141" i="2"/>
  <c r="L141" i="2" s="1"/>
  <c r="M141" i="2" s="1"/>
  <c r="O141" i="2" s="1"/>
  <c r="I141" i="2"/>
  <c r="K140" i="2"/>
  <c r="J140" i="2"/>
  <c r="L140" i="2" s="1"/>
  <c r="M140" i="2" s="1"/>
  <c r="O140" i="2" s="1"/>
  <c r="I140" i="2"/>
  <c r="K139" i="2"/>
  <c r="J139" i="2"/>
  <c r="L139" i="2" s="1"/>
  <c r="M139" i="2" s="1"/>
  <c r="O139" i="2" s="1"/>
  <c r="I139" i="2"/>
  <c r="K138" i="2"/>
  <c r="J138" i="2"/>
  <c r="L138" i="2" s="1"/>
  <c r="M138" i="2" s="1"/>
  <c r="O138" i="2" s="1"/>
  <c r="I138" i="2"/>
  <c r="K137" i="2"/>
  <c r="J137" i="2"/>
  <c r="L137" i="2" s="1"/>
  <c r="M137" i="2" s="1"/>
  <c r="O137" i="2" s="1"/>
  <c r="I137" i="2"/>
  <c r="K136" i="2"/>
  <c r="J136" i="2"/>
  <c r="L136" i="2" s="1"/>
  <c r="M136" i="2" s="1"/>
  <c r="O136" i="2" s="1"/>
  <c r="I136" i="2"/>
  <c r="K135" i="2"/>
  <c r="J135" i="2"/>
  <c r="L135" i="2" s="1"/>
  <c r="M135" i="2" s="1"/>
  <c r="O135" i="2" s="1"/>
  <c r="I135" i="2"/>
  <c r="K134" i="2"/>
  <c r="J134" i="2"/>
  <c r="L134" i="2" s="1"/>
  <c r="M134" i="2" s="1"/>
  <c r="O134" i="2" s="1"/>
  <c r="I134" i="2"/>
  <c r="K133" i="2"/>
  <c r="J133" i="2"/>
  <c r="L133" i="2" s="1"/>
  <c r="M133" i="2" s="1"/>
  <c r="O133" i="2" s="1"/>
  <c r="I133" i="2"/>
  <c r="K132" i="2"/>
  <c r="J132" i="2"/>
  <c r="L132" i="2" s="1"/>
  <c r="M132" i="2" s="1"/>
  <c r="O132" i="2" s="1"/>
  <c r="I132" i="2"/>
  <c r="K131" i="2"/>
  <c r="J131" i="2"/>
  <c r="L131" i="2" s="1"/>
  <c r="M131" i="2" s="1"/>
  <c r="O131" i="2" s="1"/>
  <c r="I131" i="2"/>
  <c r="K130" i="2"/>
  <c r="J130" i="2"/>
  <c r="L130" i="2" s="1"/>
  <c r="M130" i="2" s="1"/>
  <c r="O130" i="2" s="1"/>
  <c r="I130" i="2"/>
  <c r="K129" i="2"/>
  <c r="J129" i="2"/>
  <c r="L129" i="2" s="1"/>
  <c r="M129" i="2" s="1"/>
  <c r="O129" i="2" s="1"/>
  <c r="I129" i="2"/>
  <c r="K127" i="2"/>
  <c r="J127" i="2"/>
  <c r="L127" i="2" s="1"/>
  <c r="M127" i="2" s="1"/>
  <c r="O127" i="2" s="1"/>
  <c r="I127" i="2"/>
  <c r="K126" i="2"/>
  <c r="J126" i="2"/>
  <c r="L126" i="2" s="1"/>
  <c r="M126" i="2" s="1"/>
  <c r="O126" i="2" s="1"/>
  <c r="I126" i="2"/>
  <c r="K125" i="2"/>
  <c r="J125" i="2"/>
  <c r="L125" i="2" s="1"/>
  <c r="M125" i="2" s="1"/>
  <c r="O125" i="2" s="1"/>
  <c r="I125" i="2"/>
  <c r="K124" i="2"/>
  <c r="J124" i="2"/>
  <c r="L124" i="2" s="1"/>
  <c r="M124" i="2" s="1"/>
  <c r="O124" i="2" s="1"/>
  <c r="I124" i="2"/>
  <c r="K123" i="2"/>
  <c r="J123" i="2"/>
  <c r="L123" i="2" s="1"/>
  <c r="M123" i="2" s="1"/>
  <c r="O123" i="2" s="1"/>
  <c r="I123" i="2"/>
  <c r="K122" i="2"/>
  <c r="J122" i="2"/>
  <c r="L122" i="2" s="1"/>
  <c r="M122" i="2" s="1"/>
  <c r="O122" i="2" s="1"/>
  <c r="I122" i="2"/>
  <c r="K121" i="2"/>
  <c r="J121" i="2"/>
  <c r="L121" i="2" s="1"/>
  <c r="M121" i="2" s="1"/>
  <c r="O121" i="2" s="1"/>
  <c r="I121" i="2"/>
  <c r="K120" i="2"/>
  <c r="J120" i="2"/>
  <c r="L120" i="2" s="1"/>
  <c r="M120" i="2" s="1"/>
  <c r="O120" i="2" s="1"/>
  <c r="I120" i="2"/>
  <c r="K119" i="2"/>
  <c r="J119" i="2"/>
  <c r="L119" i="2" s="1"/>
  <c r="M119" i="2" s="1"/>
  <c r="O119" i="2" s="1"/>
  <c r="I119" i="2"/>
  <c r="K118" i="2"/>
  <c r="J118" i="2"/>
  <c r="L118" i="2" s="1"/>
  <c r="M118" i="2" s="1"/>
  <c r="O118" i="2" s="1"/>
  <c r="I118" i="2"/>
  <c r="K117" i="2"/>
  <c r="J117" i="2"/>
  <c r="L117" i="2" s="1"/>
  <c r="M117" i="2" s="1"/>
  <c r="O117" i="2" s="1"/>
  <c r="I117" i="2"/>
  <c r="K116" i="2"/>
  <c r="J116" i="2"/>
  <c r="L116" i="2" s="1"/>
  <c r="M116" i="2" s="1"/>
  <c r="O116" i="2" s="1"/>
  <c r="I116" i="2"/>
  <c r="K115" i="2"/>
  <c r="J115" i="2"/>
  <c r="L115" i="2" s="1"/>
  <c r="M115" i="2" s="1"/>
  <c r="O115" i="2" s="1"/>
  <c r="I115" i="2"/>
  <c r="K114" i="2"/>
  <c r="J114" i="2"/>
  <c r="L114" i="2" s="1"/>
  <c r="M114" i="2" s="1"/>
  <c r="O114" i="2" s="1"/>
  <c r="I114" i="2"/>
  <c r="K113" i="2"/>
  <c r="J113" i="2"/>
  <c r="L113" i="2" s="1"/>
  <c r="M113" i="2" s="1"/>
  <c r="O113" i="2" s="1"/>
  <c r="I113" i="2"/>
  <c r="K112" i="2"/>
  <c r="J112" i="2"/>
  <c r="L112" i="2" s="1"/>
  <c r="M112" i="2" s="1"/>
  <c r="O112" i="2" s="1"/>
  <c r="I112" i="2"/>
  <c r="K111" i="2"/>
  <c r="J111" i="2"/>
  <c r="L111" i="2" s="1"/>
  <c r="M111" i="2" s="1"/>
  <c r="O111" i="2" s="1"/>
  <c r="I111" i="2"/>
  <c r="K110" i="2"/>
  <c r="J110" i="2"/>
  <c r="L110" i="2" s="1"/>
  <c r="M110" i="2" s="1"/>
  <c r="O110" i="2" s="1"/>
  <c r="I110" i="2"/>
  <c r="K109" i="2"/>
  <c r="J109" i="2"/>
  <c r="L109" i="2" s="1"/>
  <c r="M109" i="2" s="1"/>
  <c r="O109" i="2" s="1"/>
  <c r="I109" i="2"/>
  <c r="K108" i="2"/>
  <c r="J108" i="2"/>
  <c r="L108" i="2" s="1"/>
  <c r="M108" i="2" s="1"/>
  <c r="O108" i="2" s="1"/>
  <c r="I108" i="2"/>
  <c r="K106" i="2"/>
  <c r="J106" i="2"/>
  <c r="L106" i="2" s="1"/>
  <c r="M106" i="2" s="1"/>
  <c r="O106" i="2" s="1"/>
  <c r="I106" i="2"/>
  <c r="K105" i="2"/>
  <c r="J105" i="2"/>
  <c r="L105" i="2" s="1"/>
  <c r="M105" i="2" s="1"/>
  <c r="O105" i="2" s="1"/>
  <c r="I105" i="2"/>
  <c r="K104" i="2"/>
  <c r="J104" i="2"/>
  <c r="L104" i="2" s="1"/>
  <c r="M104" i="2" s="1"/>
  <c r="O104" i="2" s="1"/>
  <c r="I104" i="2"/>
  <c r="K103" i="2"/>
  <c r="J103" i="2"/>
  <c r="L103" i="2" s="1"/>
  <c r="M103" i="2" s="1"/>
  <c r="O103" i="2" s="1"/>
  <c r="I103" i="2"/>
  <c r="K101" i="2"/>
  <c r="J101" i="2"/>
  <c r="L101" i="2" s="1"/>
  <c r="M101" i="2" s="1"/>
  <c r="O101" i="2" s="1"/>
  <c r="I101" i="2"/>
  <c r="K100" i="2"/>
  <c r="J100" i="2"/>
  <c r="L100" i="2" s="1"/>
  <c r="M100" i="2" s="1"/>
  <c r="O100" i="2" s="1"/>
  <c r="I100" i="2"/>
  <c r="K98" i="2"/>
  <c r="J98" i="2"/>
  <c r="L98" i="2" s="1"/>
  <c r="M98" i="2" s="1"/>
  <c r="O98" i="2" s="1"/>
  <c r="I98" i="2"/>
  <c r="K97" i="2"/>
  <c r="J97" i="2"/>
  <c r="L97" i="2" s="1"/>
  <c r="M97" i="2" s="1"/>
  <c r="O97" i="2" s="1"/>
  <c r="I97" i="2"/>
  <c r="K96" i="2"/>
  <c r="J96" i="2"/>
  <c r="L96" i="2" s="1"/>
  <c r="M96" i="2" s="1"/>
  <c r="O96" i="2" s="1"/>
  <c r="I96" i="2"/>
  <c r="K95" i="2"/>
  <c r="J95" i="2"/>
  <c r="L95" i="2" s="1"/>
  <c r="M95" i="2" s="1"/>
  <c r="O95" i="2" s="1"/>
  <c r="I95" i="2"/>
  <c r="K94" i="2"/>
  <c r="J94" i="2"/>
  <c r="L94" i="2" s="1"/>
  <c r="M94" i="2" s="1"/>
  <c r="O94" i="2" s="1"/>
  <c r="I94" i="2"/>
  <c r="K93" i="2"/>
  <c r="J93" i="2"/>
  <c r="L93" i="2" s="1"/>
  <c r="M93" i="2" s="1"/>
  <c r="O93" i="2" s="1"/>
  <c r="I93" i="2"/>
  <c r="K92" i="2"/>
  <c r="J92" i="2"/>
  <c r="L92" i="2" s="1"/>
  <c r="M92" i="2" s="1"/>
  <c r="O92" i="2" s="1"/>
  <c r="I92" i="2"/>
  <c r="K91" i="2"/>
  <c r="J91" i="2"/>
  <c r="L91" i="2" s="1"/>
  <c r="M91" i="2" s="1"/>
  <c r="O91" i="2" s="1"/>
  <c r="I91" i="2"/>
  <c r="K90" i="2"/>
  <c r="J90" i="2"/>
  <c r="L90" i="2" s="1"/>
  <c r="M90" i="2" s="1"/>
  <c r="O90" i="2" s="1"/>
  <c r="I90" i="2"/>
  <c r="K89" i="2"/>
  <c r="J89" i="2"/>
  <c r="L89" i="2" s="1"/>
  <c r="M89" i="2" s="1"/>
  <c r="O89" i="2" s="1"/>
  <c r="I89" i="2"/>
  <c r="K88" i="2"/>
  <c r="J88" i="2"/>
  <c r="L88" i="2" s="1"/>
  <c r="M88" i="2" s="1"/>
  <c r="O88" i="2" s="1"/>
  <c r="I88" i="2"/>
  <c r="K87" i="2"/>
  <c r="J87" i="2"/>
  <c r="L87" i="2" s="1"/>
  <c r="M87" i="2" s="1"/>
  <c r="O87" i="2" s="1"/>
  <c r="I87" i="2"/>
  <c r="K86" i="2"/>
  <c r="J86" i="2"/>
  <c r="L86" i="2" s="1"/>
  <c r="M86" i="2" s="1"/>
  <c r="O86" i="2" s="1"/>
  <c r="I86" i="2"/>
  <c r="K85" i="2"/>
  <c r="J85" i="2"/>
  <c r="L85" i="2" s="1"/>
  <c r="M85" i="2" s="1"/>
  <c r="O85" i="2" s="1"/>
  <c r="I85" i="2"/>
  <c r="K84" i="2"/>
  <c r="J84" i="2"/>
  <c r="L84" i="2" s="1"/>
  <c r="M84" i="2" s="1"/>
  <c r="O84" i="2" s="1"/>
  <c r="I84" i="2"/>
  <c r="K83" i="2"/>
  <c r="J83" i="2"/>
  <c r="L83" i="2" s="1"/>
  <c r="M83" i="2" s="1"/>
  <c r="O83" i="2" s="1"/>
  <c r="I83" i="2"/>
  <c r="K82" i="2"/>
  <c r="J82" i="2"/>
  <c r="L82" i="2" s="1"/>
  <c r="M82" i="2" s="1"/>
  <c r="O82" i="2" s="1"/>
  <c r="I82" i="2"/>
  <c r="K81" i="2"/>
  <c r="J81" i="2"/>
  <c r="L81" i="2" s="1"/>
  <c r="M81" i="2" s="1"/>
  <c r="O81" i="2" s="1"/>
  <c r="I81" i="2"/>
  <c r="K80" i="2"/>
  <c r="J80" i="2"/>
  <c r="L80" i="2" s="1"/>
  <c r="M80" i="2" s="1"/>
  <c r="O80" i="2" s="1"/>
  <c r="I80" i="2"/>
  <c r="K79" i="2"/>
  <c r="J79" i="2"/>
  <c r="L79" i="2" s="1"/>
  <c r="M79" i="2" s="1"/>
  <c r="O79" i="2" s="1"/>
  <c r="I79" i="2"/>
  <c r="K78" i="2"/>
  <c r="J78" i="2"/>
  <c r="L78" i="2" s="1"/>
  <c r="M78" i="2" s="1"/>
  <c r="O78" i="2" s="1"/>
  <c r="I78" i="2"/>
  <c r="K77" i="2"/>
  <c r="J77" i="2"/>
  <c r="L77" i="2" s="1"/>
  <c r="M77" i="2" s="1"/>
  <c r="O77" i="2" s="1"/>
  <c r="I77" i="2"/>
  <c r="K76" i="2"/>
  <c r="J76" i="2"/>
  <c r="L76" i="2" s="1"/>
  <c r="M76" i="2" s="1"/>
  <c r="O76" i="2" s="1"/>
  <c r="I76" i="2"/>
  <c r="K75" i="2"/>
  <c r="J75" i="2"/>
  <c r="L75" i="2" s="1"/>
  <c r="M75" i="2" s="1"/>
  <c r="O75" i="2" s="1"/>
  <c r="I75" i="2"/>
  <c r="K74" i="2"/>
  <c r="J74" i="2"/>
  <c r="L74" i="2" s="1"/>
  <c r="M74" i="2" s="1"/>
  <c r="O74" i="2" s="1"/>
  <c r="I74" i="2"/>
  <c r="K73" i="2"/>
  <c r="J73" i="2"/>
  <c r="L73" i="2" s="1"/>
  <c r="M73" i="2" s="1"/>
  <c r="O73" i="2" s="1"/>
  <c r="I73" i="2"/>
  <c r="K72" i="2"/>
  <c r="J72" i="2"/>
  <c r="L72" i="2" s="1"/>
  <c r="M72" i="2" s="1"/>
  <c r="O72" i="2" s="1"/>
  <c r="I72" i="2"/>
  <c r="K71" i="2"/>
  <c r="J71" i="2"/>
  <c r="L71" i="2" s="1"/>
  <c r="M71" i="2" s="1"/>
  <c r="O71" i="2" s="1"/>
  <c r="I71" i="2"/>
  <c r="K70" i="2"/>
  <c r="J70" i="2"/>
  <c r="L70" i="2" s="1"/>
  <c r="M70" i="2" s="1"/>
  <c r="O70" i="2" s="1"/>
  <c r="I70" i="2"/>
  <c r="K69" i="2"/>
  <c r="J69" i="2"/>
  <c r="L69" i="2" s="1"/>
  <c r="M69" i="2" s="1"/>
  <c r="O69" i="2" s="1"/>
  <c r="I69" i="2"/>
  <c r="K68" i="2"/>
  <c r="J68" i="2"/>
  <c r="L68" i="2" s="1"/>
  <c r="M68" i="2" s="1"/>
  <c r="O68" i="2" s="1"/>
  <c r="I68" i="2"/>
  <c r="K67" i="2"/>
  <c r="J67" i="2"/>
  <c r="L67" i="2" s="1"/>
  <c r="M67" i="2" s="1"/>
  <c r="O67" i="2" s="1"/>
  <c r="I67" i="2"/>
  <c r="K66" i="2"/>
  <c r="J66" i="2"/>
  <c r="L66" i="2" s="1"/>
  <c r="M66" i="2" s="1"/>
  <c r="O66" i="2" s="1"/>
  <c r="I66" i="2"/>
  <c r="K65" i="2"/>
  <c r="J65" i="2"/>
  <c r="L65" i="2" s="1"/>
  <c r="M65" i="2" s="1"/>
  <c r="O65" i="2" s="1"/>
  <c r="I65" i="2"/>
  <c r="K64" i="2"/>
  <c r="J64" i="2"/>
  <c r="L64" i="2" s="1"/>
  <c r="M64" i="2" s="1"/>
  <c r="O64" i="2" s="1"/>
  <c r="I64" i="2"/>
  <c r="K63" i="2"/>
  <c r="J63" i="2"/>
  <c r="L63" i="2" s="1"/>
  <c r="M63" i="2" s="1"/>
  <c r="O63" i="2" s="1"/>
  <c r="I63" i="2"/>
  <c r="K62" i="2"/>
  <c r="J62" i="2"/>
  <c r="L62" i="2" s="1"/>
  <c r="M62" i="2" s="1"/>
  <c r="O62" i="2" s="1"/>
  <c r="I62" i="2"/>
  <c r="K61" i="2"/>
  <c r="J61" i="2"/>
  <c r="L61" i="2" s="1"/>
  <c r="M61" i="2" s="1"/>
  <c r="O61" i="2" s="1"/>
  <c r="I61" i="2"/>
  <c r="K60" i="2"/>
  <c r="J60" i="2"/>
  <c r="L60" i="2" s="1"/>
  <c r="M60" i="2" s="1"/>
  <c r="O60" i="2" s="1"/>
  <c r="I60" i="2"/>
  <c r="K59" i="2"/>
  <c r="J59" i="2"/>
  <c r="L59" i="2" s="1"/>
  <c r="M59" i="2" s="1"/>
  <c r="O59" i="2" s="1"/>
  <c r="I59" i="2"/>
  <c r="K58" i="2"/>
  <c r="J58" i="2"/>
  <c r="L58" i="2" s="1"/>
  <c r="M58" i="2" s="1"/>
  <c r="O58" i="2" s="1"/>
  <c r="I58" i="2"/>
  <c r="K57" i="2"/>
  <c r="J57" i="2"/>
  <c r="L57" i="2" s="1"/>
  <c r="M57" i="2" s="1"/>
  <c r="O57" i="2" s="1"/>
  <c r="I57" i="2"/>
  <c r="K56" i="2"/>
  <c r="J56" i="2"/>
  <c r="L56" i="2" s="1"/>
  <c r="M56" i="2" s="1"/>
  <c r="O56" i="2" s="1"/>
  <c r="I56" i="2"/>
  <c r="K55" i="2"/>
  <c r="J55" i="2"/>
  <c r="L55" i="2" s="1"/>
  <c r="M55" i="2" s="1"/>
  <c r="O55" i="2" s="1"/>
  <c r="I55" i="2"/>
  <c r="K54" i="2"/>
  <c r="J54" i="2"/>
  <c r="L54" i="2" s="1"/>
  <c r="M54" i="2" s="1"/>
  <c r="O54" i="2" s="1"/>
  <c r="I54" i="2"/>
  <c r="K53" i="2"/>
  <c r="J53" i="2"/>
  <c r="L53" i="2" s="1"/>
  <c r="M53" i="2" s="1"/>
  <c r="O53" i="2" s="1"/>
  <c r="I53" i="2"/>
  <c r="K52" i="2"/>
  <c r="J52" i="2"/>
  <c r="L52" i="2" s="1"/>
  <c r="M52" i="2" s="1"/>
  <c r="O52" i="2" s="1"/>
  <c r="I52" i="2"/>
  <c r="K51" i="2"/>
  <c r="J51" i="2"/>
  <c r="L51" i="2" s="1"/>
  <c r="M51" i="2" s="1"/>
  <c r="O51" i="2" s="1"/>
  <c r="I51" i="2"/>
  <c r="K50" i="2"/>
  <c r="J50" i="2"/>
  <c r="L50" i="2" s="1"/>
  <c r="M50" i="2" s="1"/>
  <c r="O50" i="2" s="1"/>
  <c r="I50" i="2"/>
  <c r="K49" i="2"/>
  <c r="J49" i="2"/>
  <c r="L49" i="2" s="1"/>
  <c r="M49" i="2" s="1"/>
  <c r="O49" i="2" s="1"/>
  <c r="I49" i="2"/>
  <c r="K48" i="2"/>
  <c r="J48" i="2"/>
  <c r="L48" i="2" s="1"/>
  <c r="M48" i="2" s="1"/>
  <c r="O48" i="2" s="1"/>
  <c r="I48" i="2"/>
  <c r="K47" i="2"/>
  <c r="J47" i="2"/>
  <c r="L47" i="2" s="1"/>
  <c r="M47" i="2" s="1"/>
  <c r="O47" i="2" s="1"/>
  <c r="I47" i="2"/>
  <c r="K46" i="2"/>
  <c r="J46" i="2"/>
  <c r="L46" i="2" s="1"/>
  <c r="M46" i="2" s="1"/>
  <c r="O46" i="2" s="1"/>
  <c r="I46" i="2"/>
  <c r="K45" i="2"/>
  <c r="J45" i="2"/>
  <c r="L45" i="2" s="1"/>
  <c r="M45" i="2" s="1"/>
  <c r="O45" i="2" s="1"/>
  <c r="I45" i="2"/>
  <c r="K44" i="2"/>
  <c r="J44" i="2"/>
  <c r="L44" i="2" s="1"/>
  <c r="M44" i="2" s="1"/>
  <c r="O44" i="2" s="1"/>
  <c r="I44" i="2"/>
  <c r="K43" i="2"/>
  <c r="J43" i="2"/>
  <c r="L43" i="2" s="1"/>
  <c r="M43" i="2" s="1"/>
  <c r="O43" i="2" s="1"/>
  <c r="I43" i="2"/>
  <c r="K42" i="2"/>
  <c r="J42" i="2"/>
  <c r="L42" i="2" s="1"/>
  <c r="M42" i="2" s="1"/>
  <c r="O42" i="2" s="1"/>
  <c r="I42" i="2"/>
  <c r="K41" i="2"/>
  <c r="J41" i="2"/>
  <c r="L41" i="2" s="1"/>
  <c r="M41" i="2" s="1"/>
  <c r="O41" i="2" s="1"/>
  <c r="I41" i="2"/>
  <c r="K40" i="2"/>
  <c r="J40" i="2"/>
  <c r="L40" i="2" s="1"/>
  <c r="M40" i="2" s="1"/>
  <c r="O40" i="2" s="1"/>
  <c r="I40" i="2"/>
  <c r="K39" i="2"/>
  <c r="J39" i="2"/>
  <c r="L39" i="2" s="1"/>
  <c r="M39" i="2" s="1"/>
  <c r="O39" i="2" s="1"/>
  <c r="I39" i="2"/>
  <c r="K38" i="2"/>
  <c r="J38" i="2"/>
  <c r="L38" i="2" s="1"/>
  <c r="M38" i="2" s="1"/>
  <c r="O38" i="2" s="1"/>
  <c r="I38" i="2"/>
  <c r="K37" i="2"/>
  <c r="J37" i="2"/>
  <c r="L37" i="2" s="1"/>
  <c r="M37" i="2" s="1"/>
  <c r="O37" i="2" s="1"/>
  <c r="I37" i="2"/>
  <c r="K36" i="2"/>
  <c r="J36" i="2"/>
  <c r="L36" i="2" s="1"/>
  <c r="M36" i="2" s="1"/>
  <c r="O36" i="2" s="1"/>
  <c r="I36" i="2"/>
  <c r="K35" i="2"/>
  <c r="J35" i="2"/>
  <c r="L35" i="2" s="1"/>
  <c r="M35" i="2" s="1"/>
  <c r="O35" i="2" s="1"/>
  <c r="I35" i="2"/>
  <c r="K34" i="2"/>
  <c r="J34" i="2"/>
  <c r="L34" i="2" s="1"/>
  <c r="M34" i="2" s="1"/>
  <c r="O34" i="2" s="1"/>
  <c r="I34" i="2"/>
  <c r="K32" i="2"/>
  <c r="J32" i="2"/>
  <c r="L32" i="2" s="1"/>
  <c r="M32" i="2" s="1"/>
  <c r="O32" i="2" s="1"/>
  <c r="I32" i="2"/>
  <c r="K31" i="2"/>
  <c r="J31" i="2"/>
  <c r="L31" i="2" s="1"/>
  <c r="M31" i="2" s="1"/>
  <c r="O31" i="2" s="1"/>
  <c r="I31" i="2"/>
  <c r="K30" i="2"/>
  <c r="J30" i="2"/>
  <c r="L30" i="2" s="1"/>
  <c r="M30" i="2" s="1"/>
  <c r="O30" i="2" s="1"/>
  <c r="I30" i="2"/>
  <c r="K542" i="2" s="1"/>
  <c r="K29" i="2"/>
  <c r="J29" i="2"/>
  <c r="L29" i="2" s="1"/>
  <c r="M29" i="2" s="1"/>
  <c r="O29" i="2" s="1"/>
  <c r="I29" i="2"/>
  <c r="K28" i="2"/>
  <c r="J28" i="2"/>
  <c r="L28" i="2" s="1"/>
  <c r="M28" i="2" s="1"/>
  <c r="O28" i="2" s="1"/>
  <c r="I28" i="2"/>
  <c r="K27" i="2"/>
  <c r="J27" i="2"/>
  <c r="L27" i="2" s="1"/>
  <c r="M27" i="2" s="1"/>
  <c r="O27" i="2" s="1"/>
  <c r="I27" i="2"/>
  <c r="K26" i="2"/>
  <c r="J26" i="2"/>
  <c r="L26" i="2" s="1"/>
  <c r="M26" i="2" s="1"/>
  <c r="O26" i="2" s="1"/>
  <c r="I26" i="2"/>
  <c r="K25" i="2"/>
  <c r="J25" i="2"/>
  <c r="L25" i="2" s="1"/>
  <c r="M25" i="2" s="1"/>
  <c r="O25" i="2" s="1"/>
  <c r="I25" i="2"/>
  <c r="K24" i="2"/>
  <c r="J24" i="2"/>
  <c r="L24" i="2" s="1"/>
  <c r="M24" i="2" s="1"/>
  <c r="O24" i="2" s="1"/>
  <c r="I24" i="2"/>
  <c r="K23" i="2"/>
  <c r="J23" i="2"/>
  <c r="L23" i="2" s="1"/>
  <c r="M23" i="2" s="1"/>
  <c r="O23" i="2" s="1"/>
  <c r="I23" i="2"/>
  <c r="K22" i="2"/>
  <c r="J22" i="2"/>
  <c r="L22" i="2" s="1"/>
  <c r="M22" i="2" s="1"/>
  <c r="O22" i="2" s="1"/>
  <c r="I22" i="2"/>
  <c r="K21" i="2"/>
  <c r="J21" i="2"/>
  <c r="L21" i="2" s="1"/>
  <c r="M21" i="2" s="1"/>
  <c r="O21" i="2" s="1"/>
  <c r="I21" i="2"/>
  <c r="K20" i="2"/>
  <c r="J20" i="2"/>
  <c r="L20" i="2" s="1"/>
  <c r="M20" i="2" s="1"/>
  <c r="O20" i="2" s="1"/>
  <c r="I20" i="2"/>
  <c r="K19" i="2"/>
  <c r="J19" i="2"/>
  <c r="L19" i="2" s="1"/>
  <c r="M19" i="2" s="1"/>
  <c r="O19" i="2" s="1"/>
  <c r="I19" i="2"/>
  <c r="K18" i="2"/>
  <c r="J18" i="2"/>
  <c r="L18" i="2" s="1"/>
  <c r="M18" i="2" s="1"/>
  <c r="O18" i="2" s="1"/>
  <c r="I18" i="2"/>
  <c r="K17" i="2"/>
  <c r="J17" i="2"/>
  <c r="L17" i="2" s="1"/>
  <c r="M17" i="2" s="1"/>
  <c r="O17" i="2" s="1"/>
  <c r="I17" i="2"/>
  <c r="K16" i="2"/>
  <c r="J16" i="2"/>
  <c r="L16" i="2" s="1"/>
  <c r="M16" i="2" s="1"/>
  <c r="O16" i="2" s="1"/>
  <c r="I16" i="2"/>
  <c r="K15" i="2"/>
  <c r="J15" i="2"/>
  <c r="L15" i="2" s="1"/>
  <c r="M15" i="2" s="1"/>
  <c r="O15" i="2" s="1"/>
  <c r="I15" i="2"/>
  <c r="K14" i="2"/>
  <c r="J14" i="2"/>
  <c r="L14" i="2" s="1"/>
  <c r="M14" i="2" s="1"/>
  <c r="O14" i="2" s="1"/>
  <c r="I14" i="2"/>
  <c r="K7" i="2"/>
  <c r="J7" i="2"/>
  <c r="I7" i="2"/>
  <c r="K6" i="2"/>
  <c r="J6" i="2"/>
  <c r="L6" i="2" s="1"/>
  <c r="I6" i="2"/>
  <c r="O541" i="2" l="1"/>
  <c r="Q721" i="7" s="1"/>
  <c r="O13" i="1"/>
  <c r="P13" i="1" s="1"/>
  <c r="M13" i="1"/>
  <c r="O21" i="1"/>
  <c r="P21" i="1" s="1"/>
  <c r="M21" i="1"/>
  <c r="O26" i="1"/>
  <c r="P26" i="1" s="1"/>
  <c r="M26" i="1"/>
  <c r="M34" i="1"/>
  <c r="O34" i="1"/>
  <c r="P34" i="1" s="1"/>
  <c r="M41" i="1"/>
  <c r="O41" i="1"/>
  <c r="P41" i="1" s="1"/>
  <c r="O45" i="1"/>
  <c r="P45" i="1" s="1"/>
  <c r="M45" i="1"/>
  <c r="M51" i="1"/>
  <c r="O51" i="1"/>
  <c r="P51" i="1" s="1"/>
  <c r="M58" i="1"/>
  <c r="O58" i="1"/>
  <c r="P58" i="1" s="1"/>
  <c r="O64" i="1"/>
  <c r="P64" i="1" s="1"/>
  <c r="M64" i="1"/>
  <c r="O72" i="1"/>
  <c r="P72" i="1" s="1"/>
  <c r="M72" i="1"/>
  <c r="M76" i="1"/>
  <c r="O76" i="1"/>
  <c r="P76" i="1" s="1"/>
  <c r="M83" i="1"/>
  <c r="O83" i="1"/>
  <c r="P83" i="1" s="1"/>
  <c r="M88" i="1"/>
  <c r="O88" i="1"/>
  <c r="P88" i="1" s="1"/>
  <c r="M92" i="1"/>
  <c r="O92" i="1"/>
  <c r="P92" i="1" s="1"/>
  <c r="O97" i="1"/>
  <c r="P97" i="1" s="1"/>
  <c r="M97" i="1"/>
  <c r="O102" i="1"/>
  <c r="P102" i="1" s="1"/>
  <c r="M102" i="1"/>
  <c r="O106" i="1"/>
  <c r="P106" i="1" s="1"/>
  <c r="M106" i="1"/>
  <c r="O113" i="1"/>
  <c r="P113" i="1" s="1"/>
  <c r="M113" i="1"/>
  <c r="O118" i="1"/>
  <c r="P118" i="1" s="1"/>
  <c r="M118" i="1"/>
  <c r="O123" i="1"/>
  <c r="P123" i="1" s="1"/>
  <c r="M123" i="1"/>
  <c r="O128" i="1"/>
  <c r="P128" i="1" s="1"/>
  <c r="M128" i="1"/>
  <c r="O133" i="1"/>
  <c r="P133" i="1" s="1"/>
  <c r="M133" i="1"/>
  <c r="M140" i="1"/>
  <c r="O140" i="1"/>
  <c r="P140" i="1" s="1"/>
  <c r="M145" i="1"/>
  <c r="O145" i="1"/>
  <c r="P145" i="1" s="1"/>
  <c r="O151" i="1"/>
  <c r="P151" i="1" s="1"/>
  <c r="M151" i="1"/>
  <c r="O158" i="1"/>
  <c r="P158" i="1" s="1"/>
  <c r="M158" i="1"/>
  <c r="O163" i="1"/>
  <c r="P163" i="1" s="1"/>
  <c r="M163" i="1"/>
  <c r="M167" i="1"/>
  <c r="O167" i="1"/>
  <c r="P167" i="1" s="1"/>
  <c r="O173" i="1"/>
  <c r="P173" i="1" s="1"/>
  <c r="M173" i="1"/>
  <c r="M180" i="1"/>
  <c r="O180" i="1"/>
  <c r="P180" i="1" s="1"/>
  <c r="M199" i="1"/>
  <c r="O199" i="1"/>
  <c r="P199" i="1" s="1"/>
  <c r="O203" i="1"/>
  <c r="P203" i="1" s="1"/>
  <c r="M203" i="1"/>
  <c r="M208" i="1"/>
  <c r="O208" i="1"/>
  <c r="P208" i="1" s="1"/>
  <c r="O213" i="1"/>
  <c r="P213" i="1" s="1"/>
  <c r="M213" i="1"/>
  <c r="M217" i="1"/>
  <c r="O217" i="1"/>
  <c r="P217" i="1" s="1"/>
  <c r="M223" i="1"/>
  <c r="O223" i="1"/>
  <c r="P223" i="1" s="1"/>
  <c r="O229" i="1"/>
  <c r="P229" i="1" s="1"/>
  <c r="M229" i="1"/>
  <c r="M239" i="1"/>
  <c r="O239" i="1"/>
  <c r="P239" i="1" s="1"/>
  <c r="M265" i="1"/>
  <c r="O265" i="1"/>
  <c r="P265" i="1" s="1"/>
  <c r="O269" i="1"/>
  <c r="P269" i="1" s="1"/>
  <c r="M269" i="1"/>
  <c r="M273" i="1"/>
  <c r="O273" i="1"/>
  <c r="P273" i="1" s="1"/>
  <c r="M277" i="1"/>
  <c r="O277" i="1"/>
  <c r="P277" i="1" s="1"/>
  <c r="M281" i="1"/>
  <c r="O281" i="1"/>
  <c r="P281" i="1" s="1"/>
  <c r="O285" i="1"/>
  <c r="P285" i="1" s="1"/>
  <c r="M285" i="1"/>
  <c r="M289" i="1"/>
  <c r="O289" i="1"/>
  <c r="P289" i="1" s="1"/>
  <c r="O293" i="1"/>
  <c r="P293" i="1" s="1"/>
  <c r="M293" i="1"/>
  <c r="M297" i="1"/>
  <c r="O297" i="1"/>
  <c r="P297" i="1" s="1"/>
  <c r="M301" i="1"/>
  <c r="O301" i="1"/>
  <c r="P301" i="1" s="1"/>
  <c r="M305" i="1"/>
  <c r="O305" i="1"/>
  <c r="P305" i="1" s="1"/>
  <c r="O309" i="1"/>
  <c r="P309" i="1" s="1"/>
  <c r="M309" i="1"/>
  <c r="O313" i="1"/>
  <c r="P313" i="1" s="1"/>
  <c r="M313" i="1"/>
  <c r="O317" i="1"/>
  <c r="P317" i="1" s="1"/>
  <c r="M317" i="1"/>
  <c r="M321" i="1"/>
  <c r="O321" i="1"/>
  <c r="P321" i="1" s="1"/>
  <c r="O325" i="1"/>
  <c r="P325" i="1" s="1"/>
  <c r="M325" i="1"/>
  <c r="M329" i="1"/>
  <c r="O329" i="1"/>
  <c r="P329" i="1" s="1"/>
  <c r="M333" i="1"/>
  <c r="O333" i="1"/>
  <c r="P333" i="1" s="1"/>
  <c r="O338" i="1"/>
  <c r="P338" i="1" s="1"/>
  <c r="M338" i="1"/>
  <c r="O344" i="1"/>
  <c r="P344" i="1" s="1"/>
  <c r="M344" i="1"/>
  <c r="O350" i="1"/>
  <c r="P350" i="1" s="1"/>
  <c r="M350" i="1"/>
  <c r="M354" i="1"/>
  <c r="O354" i="1"/>
  <c r="P354" i="1" s="1"/>
  <c r="M358" i="1"/>
  <c r="O358" i="1"/>
  <c r="P358" i="1" s="1"/>
  <c r="M362" i="1"/>
  <c r="O362" i="1"/>
  <c r="P362" i="1" s="1"/>
  <c r="O366" i="1"/>
  <c r="P366" i="1" s="1"/>
  <c r="M366" i="1"/>
  <c r="M370" i="1"/>
  <c r="O370" i="1"/>
  <c r="P370" i="1" s="1"/>
  <c r="O374" i="1"/>
  <c r="P374" i="1" s="1"/>
  <c r="M374" i="1"/>
  <c r="M378" i="1"/>
  <c r="O378" i="1"/>
  <c r="P378" i="1" s="1"/>
  <c r="O382" i="1"/>
  <c r="P382" i="1" s="1"/>
  <c r="M382" i="1"/>
  <c r="M386" i="1"/>
  <c r="O386" i="1"/>
  <c r="P386" i="1" s="1"/>
  <c r="M390" i="1"/>
  <c r="O390" i="1"/>
  <c r="P390" i="1" s="1"/>
  <c r="M394" i="1"/>
  <c r="O394" i="1"/>
  <c r="P394" i="1" s="1"/>
  <c r="M398" i="1"/>
  <c r="O398" i="1"/>
  <c r="P398" i="1" s="1"/>
  <c r="M402" i="1"/>
  <c r="O402" i="1"/>
  <c r="P402" i="1" s="1"/>
  <c r="O406" i="1"/>
  <c r="P406" i="1" s="1"/>
  <c r="M406" i="1"/>
  <c r="M412" i="1"/>
  <c r="O412" i="1"/>
  <c r="P412" i="1" s="1"/>
  <c r="O416" i="1"/>
  <c r="P416" i="1" s="1"/>
  <c r="M416" i="1"/>
  <c r="O421" i="1"/>
  <c r="P421" i="1" s="1"/>
  <c r="M421" i="1"/>
  <c r="M427" i="1"/>
  <c r="O427" i="1"/>
  <c r="P427" i="1" s="1"/>
  <c r="O433" i="1"/>
  <c r="P433" i="1" s="1"/>
  <c r="M433" i="1"/>
  <c r="O437" i="1"/>
  <c r="P437" i="1" s="1"/>
  <c r="M437" i="1"/>
  <c r="M441" i="1"/>
  <c r="O441" i="1"/>
  <c r="P441" i="1" s="1"/>
  <c r="O451" i="1"/>
  <c r="P451" i="1" s="1"/>
  <c r="M451" i="1"/>
  <c r="M455" i="1"/>
  <c r="O455" i="1"/>
  <c r="P455" i="1" s="1"/>
  <c r="O461" i="1"/>
  <c r="P461" i="1" s="1"/>
  <c r="M461" i="1"/>
  <c r="O472" i="1"/>
  <c r="P472" i="1" s="1"/>
  <c r="M472" i="1"/>
  <c r="O478" i="1"/>
  <c r="P478" i="1" s="1"/>
  <c r="M478" i="1"/>
  <c r="M483" i="1"/>
  <c r="O483" i="1"/>
  <c r="P483" i="1" s="1"/>
  <c r="M489" i="1"/>
  <c r="O489" i="1"/>
  <c r="P489" i="1" s="1"/>
  <c r="M515" i="1"/>
  <c r="O515" i="1"/>
  <c r="P515" i="1" s="1"/>
  <c r="O519" i="1"/>
  <c r="P519" i="1" s="1"/>
  <c r="M519" i="1"/>
  <c r="O523" i="1"/>
  <c r="P523" i="1" s="1"/>
  <c r="M523" i="1"/>
  <c r="O543" i="1"/>
  <c r="P543" i="1" s="1"/>
  <c r="M543" i="1"/>
  <c r="O547" i="1"/>
  <c r="P547" i="1" s="1"/>
  <c r="M547" i="1"/>
  <c r="M552" i="1"/>
  <c r="O552" i="1"/>
  <c r="P552" i="1" s="1"/>
  <c r="O556" i="1"/>
  <c r="P556" i="1" s="1"/>
  <c r="M556" i="1"/>
  <c r="O561" i="1"/>
  <c r="P561" i="1" s="1"/>
  <c r="M561" i="1"/>
  <c r="O565" i="1"/>
  <c r="P565" i="1" s="1"/>
  <c r="M565" i="1"/>
  <c r="M569" i="1"/>
  <c r="O569" i="1"/>
  <c r="P569" i="1" s="1"/>
  <c r="M575" i="1"/>
  <c r="O575" i="1"/>
  <c r="P575" i="1" s="1"/>
  <c r="M579" i="1"/>
  <c r="O579" i="1"/>
  <c r="P579" i="1" s="1"/>
  <c r="M583" i="1"/>
  <c r="O583" i="1"/>
  <c r="P583" i="1" s="1"/>
  <c r="O587" i="1"/>
  <c r="P587" i="1" s="1"/>
  <c r="M587" i="1"/>
  <c r="O591" i="1"/>
  <c r="P591" i="1" s="1"/>
  <c r="M591" i="1"/>
  <c r="O595" i="1"/>
  <c r="P595" i="1" s="1"/>
  <c r="M595" i="1"/>
  <c r="O599" i="1"/>
  <c r="P599" i="1" s="1"/>
  <c r="M599" i="1"/>
  <c r="O603" i="1"/>
  <c r="P603" i="1" s="1"/>
  <c r="M603" i="1"/>
  <c r="O607" i="1"/>
  <c r="P607" i="1" s="1"/>
  <c r="M607" i="1"/>
  <c r="O611" i="1"/>
  <c r="P611" i="1" s="1"/>
  <c r="M611" i="1"/>
  <c r="O615" i="1"/>
  <c r="P615" i="1" s="1"/>
  <c r="M615" i="1"/>
  <c r="O623" i="1"/>
  <c r="P623" i="1" s="1"/>
  <c r="M623" i="1"/>
  <c r="O628" i="1"/>
  <c r="P628" i="1" s="1"/>
  <c r="M628" i="1"/>
  <c r="M636" i="1"/>
  <c r="O636" i="1"/>
  <c r="P636" i="1" s="1"/>
  <c r="M640" i="1"/>
  <c r="O640" i="1"/>
  <c r="P640" i="1" s="1"/>
  <c r="O644" i="1"/>
  <c r="P644" i="1" s="1"/>
  <c r="M644" i="1"/>
  <c r="O648" i="1"/>
  <c r="P648" i="1" s="1"/>
  <c r="M648" i="1"/>
  <c r="O652" i="1"/>
  <c r="P652" i="1" s="1"/>
  <c r="M652" i="1"/>
  <c r="M656" i="1"/>
  <c r="O656" i="1"/>
  <c r="P656" i="1" s="1"/>
  <c r="M660" i="1"/>
  <c r="O660" i="1"/>
  <c r="P660" i="1" s="1"/>
  <c r="M541" i="3"/>
  <c r="O10" i="1"/>
  <c r="P10" i="1" s="1"/>
  <c r="M10" i="1"/>
  <c r="O20" i="1"/>
  <c r="P20" i="1" s="1"/>
  <c r="M20" i="1"/>
  <c r="M25" i="1"/>
  <c r="O25" i="1"/>
  <c r="P25" i="1" s="1"/>
  <c r="M31" i="1"/>
  <c r="O31" i="1"/>
  <c r="P31" i="1" s="1"/>
  <c r="O39" i="1"/>
  <c r="P39" i="1" s="1"/>
  <c r="M39" i="1"/>
  <c r="M44" i="1"/>
  <c r="O44" i="1"/>
  <c r="P44" i="1" s="1"/>
  <c r="O50" i="1"/>
  <c r="P50" i="1" s="1"/>
  <c r="M50" i="1"/>
  <c r="M56" i="1"/>
  <c r="O56" i="1"/>
  <c r="P56" i="1" s="1"/>
  <c r="M62" i="1"/>
  <c r="O62" i="1"/>
  <c r="P62" i="1" s="1"/>
  <c r="O71" i="1"/>
  <c r="P71" i="1" s="1"/>
  <c r="M71" i="1"/>
  <c r="M75" i="1"/>
  <c r="O75" i="1"/>
  <c r="P75" i="1" s="1"/>
  <c r="M82" i="1"/>
  <c r="O82" i="1"/>
  <c r="P82" i="1" s="1"/>
  <c r="M86" i="1"/>
  <c r="O86" i="1"/>
  <c r="P86" i="1" s="1"/>
  <c r="O91" i="1"/>
  <c r="P91" i="1" s="1"/>
  <c r="M91" i="1"/>
  <c r="O96" i="1"/>
  <c r="P96" i="1" s="1"/>
  <c r="M96" i="1"/>
  <c r="M100" i="1"/>
  <c r="O100" i="1"/>
  <c r="P100" i="1" s="1"/>
  <c r="M105" i="1"/>
  <c r="O105" i="1"/>
  <c r="P105" i="1" s="1"/>
  <c r="M111" i="1"/>
  <c r="O111" i="1"/>
  <c r="P111" i="1" s="1"/>
  <c r="O116" i="1"/>
  <c r="P116" i="1" s="1"/>
  <c r="M116" i="1"/>
  <c r="M122" i="1"/>
  <c r="O122" i="1"/>
  <c r="P122" i="1" s="1"/>
  <c r="M127" i="1"/>
  <c r="O127" i="1"/>
  <c r="P127" i="1" s="1"/>
  <c r="O132" i="1"/>
  <c r="P132" i="1" s="1"/>
  <c r="M132" i="1"/>
  <c r="M138" i="1"/>
  <c r="O138" i="1"/>
  <c r="P138" i="1" s="1"/>
  <c r="M144" i="1"/>
  <c r="O144" i="1"/>
  <c r="P144" i="1" s="1"/>
  <c r="O150" i="1"/>
  <c r="P150" i="1" s="1"/>
  <c r="M150" i="1"/>
  <c r="O155" i="1"/>
  <c r="P155" i="1" s="1"/>
  <c r="M155" i="1"/>
  <c r="M161" i="1"/>
  <c r="O161" i="1"/>
  <c r="P161" i="1" s="1"/>
  <c r="O166" i="1"/>
  <c r="P166" i="1" s="1"/>
  <c r="M166" i="1"/>
  <c r="M171" i="1"/>
  <c r="O171" i="1"/>
  <c r="P171" i="1" s="1"/>
  <c r="O178" i="1"/>
  <c r="P178" i="1" s="1"/>
  <c r="M178" i="1"/>
  <c r="O183" i="1"/>
  <c r="P183" i="1" s="1"/>
  <c r="M183" i="1"/>
  <c r="M202" i="1"/>
  <c r="O202" i="1"/>
  <c r="P202" i="1" s="1"/>
  <c r="O207" i="1"/>
  <c r="P207" i="1" s="1"/>
  <c r="M207" i="1"/>
  <c r="M211" i="1"/>
  <c r="O211" i="1"/>
  <c r="P211" i="1" s="1"/>
  <c r="M216" i="1"/>
  <c r="O216" i="1"/>
  <c r="P216" i="1" s="1"/>
  <c r="O222" i="1"/>
  <c r="P222" i="1" s="1"/>
  <c r="M222" i="1"/>
  <c r="O228" i="1"/>
  <c r="P228" i="1" s="1"/>
  <c r="M228" i="1"/>
  <c r="O236" i="1"/>
  <c r="P236" i="1" s="1"/>
  <c r="M236" i="1"/>
  <c r="O264" i="1"/>
  <c r="P264" i="1" s="1"/>
  <c r="M264" i="1"/>
  <c r="M268" i="1"/>
  <c r="O268" i="1"/>
  <c r="P268" i="1" s="1"/>
  <c r="M272" i="1"/>
  <c r="O272" i="1"/>
  <c r="P272" i="1" s="1"/>
  <c r="M276" i="1"/>
  <c r="O276" i="1"/>
  <c r="P276" i="1" s="1"/>
  <c r="O280" i="1"/>
  <c r="P280" i="1" s="1"/>
  <c r="M280" i="1"/>
  <c r="O284" i="1"/>
  <c r="P284" i="1" s="1"/>
  <c r="M284" i="1"/>
  <c r="M288" i="1"/>
  <c r="O288" i="1"/>
  <c r="P288" i="1" s="1"/>
  <c r="M292" i="1"/>
  <c r="O292" i="1"/>
  <c r="P292" i="1" s="1"/>
  <c r="O296" i="1"/>
  <c r="P296" i="1" s="1"/>
  <c r="M296" i="1"/>
  <c r="O300" i="1"/>
  <c r="P300" i="1" s="1"/>
  <c r="M300" i="1"/>
  <c r="O304" i="1"/>
  <c r="P304" i="1" s="1"/>
  <c r="M304" i="1"/>
  <c r="O308" i="1"/>
  <c r="P308" i="1" s="1"/>
  <c r="M308" i="1"/>
  <c r="O312" i="1"/>
  <c r="P312" i="1" s="1"/>
  <c r="M312" i="1"/>
  <c r="O316" i="1"/>
  <c r="P316" i="1" s="1"/>
  <c r="M316" i="1"/>
  <c r="M320" i="1"/>
  <c r="O320" i="1"/>
  <c r="P320" i="1" s="1"/>
  <c r="M324" i="1"/>
  <c r="O324" i="1"/>
  <c r="P324" i="1" s="1"/>
  <c r="O328" i="1"/>
  <c r="P328" i="1" s="1"/>
  <c r="M328" i="1"/>
  <c r="O332" i="1"/>
  <c r="P332" i="1" s="1"/>
  <c r="M332" i="1"/>
  <c r="O336" i="1"/>
  <c r="P336" i="1" s="1"/>
  <c r="M336" i="1"/>
  <c r="O341" i="1"/>
  <c r="P341" i="1" s="1"/>
  <c r="M341" i="1"/>
  <c r="O349" i="1"/>
  <c r="P349" i="1" s="1"/>
  <c r="M349" i="1"/>
  <c r="M353" i="1"/>
  <c r="O353" i="1"/>
  <c r="P353" i="1" s="1"/>
  <c r="O357" i="1"/>
  <c r="P357" i="1" s="1"/>
  <c r="M357" i="1"/>
  <c r="O361" i="1"/>
  <c r="P361" i="1" s="1"/>
  <c r="M361" i="1"/>
  <c r="M365" i="1"/>
  <c r="O365" i="1"/>
  <c r="P365" i="1" s="1"/>
  <c r="M369" i="1"/>
  <c r="O369" i="1"/>
  <c r="P369" i="1" s="1"/>
  <c r="O373" i="1"/>
  <c r="P373" i="1" s="1"/>
  <c r="M373" i="1"/>
  <c r="M377" i="1"/>
  <c r="O377" i="1"/>
  <c r="P377" i="1" s="1"/>
  <c r="M381" i="1"/>
  <c r="O381" i="1"/>
  <c r="P381" i="1" s="1"/>
  <c r="O385" i="1"/>
  <c r="P385" i="1" s="1"/>
  <c r="M385" i="1"/>
  <c r="O389" i="1"/>
  <c r="P389" i="1" s="1"/>
  <c r="M389" i="1"/>
  <c r="O393" i="1"/>
  <c r="P393" i="1" s="1"/>
  <c r="M393" i="1"/>
  <c r="O397" i="1"/>
  <c r="P397" i="1" s="1"/>
  <c r="M397" i="1"/>
  <c r="M401" i="1"/>
  <c r="O401" i="1"/>
  <c r="P401" i="1" s="1"/>
  <c r="M405" i="1"/>
  <c r="O405" i="1"/>
  <c r="P405" i="1" s="1"/>
  <c r="O411" i="1"/>
  <c r="P411" i="1" s="1"/>
  <c r="M411" i="1"/>
  <c r="M415" i="1"/>
  <c r="O415" i="1"/>
  <c r="P415" i="1" s="1"/>
  <c r="M419" i="1"/>
  <c r="O419" i="1"/>
  <c r="P419" i="1" s="1"/>
  <c r="O426" i="1"/>
  <c r="P426" i="1" s="1"/>
  <c r="M426" i="1"/>
  <c r="M432" i="1"/>
  <c r="O432" i="1"/>
  <c r="P432" i="1" s="1"/>
  <c r="O436" i="1"/>
  <c r="P436" i="1" s="1"/>
  <c r="M436" i="1"/>
  <c r="O440" i="1"/>
  <c r="P440" i="1" s="1"/>
  <c r="M440" i="1"/>
  <c r="M449" i="1"/>
  <c r="O449" i="1"/>
  <c r="P449" i="1" s="1"/>
  <c r="M454" i="1"/>
  <c r="O454" i="1"/>
  <c r="P454" i="1" s="1"/>
  <c r="M458" i="1"/>
  <c r="O458" i="1"/>
  <c r="P458" i="1" s="1"/>
  <c r="M471" i="1"/>
  <c r="O471" i="1"/>
  <c r="P471" i="1" s="1"/>
  <c r="O477" i="1"/>
  <c r="P477" i="1" s="1"/>
  <c r="M477" i="1"/>
  <c r="M482" i="1"/>
  <c r="O482" i="1"/>
  <c r="P482" i="1" s="1"/>
  <c r="O488" i="1"/>
  <c r="P488" i="1" s="1"/>
  <c r="M488" i="1"/>
  <c r="M514" i="1"/>
  <c r="O514" i="1"/>
  <c r="P514" i="1" s="1"/>
  <c r="M518" i="1"/>
  <c r="O518" i="1"/>
  <c r="P518" i="1" s="1"/>
  <c r="O522" i="1"/>
  <c r="P522" i="1" s="1"/>
  <c r="M522" i="1"/>
  <c r="O542" i="1"/>
  <c r="P542" i="1" s="1"/>
  <c r="M542" i="1"/>
  <c r="O546" i="1"/>
  <c r="P546" i="1" s="1"/>
  <c r="M546" i="1"/>
  <c r="M551" i="1"/>
  <c r="O551" i="1"/>
  <c r="P551" i="1" s="1"/>
  <c r="M555" i="1"/>
  <c r="O555" i="1"/>
  <c r="P555" i="1" s="1"/>
  <c r="O560" i="1"/>
  <c r="P560" i="1" s="1"/>
  <c r="M560" i="1"/>
  <c r="O564" i="1"/>
  <c r="P564" i="1" s="1"/>
  <c r="M564" i="1"/>
  <c r="M568" i="1"/>
  <c r="O568" i="1"/>
  <c r="P568" i="1" s="1"/>
  <c r="O574" i="1"/>
  <c r="P574" i="1" s="1"/>
  <c r="M574" i="1"/>
  <c r="O578" i="1"/>
  <c r="P578" i="1" s="1"/>
  <c r="M578" i="1"/>
  <c r="M582" i="1"/>
  <c r="O582" i="1"/>
  <c r="P582" i="1" s="1"/>
  <c r="O586" i="1"/>
  <c r="P586" i="1" s="1"/>
  <c r="M586" i="1"/>
  <c r="O590" i="1"/>
  <c r="P590" i="1" s="1"/>
  <c r="M590" i="1"/>
  <c r="O594" i="1"/>
  <c r="P594" i="1" s="1"/>
  <c r="M594" i="1"/>
  <c r="M598" i="1"/>
  <c r="O598" i="1"/>
  <c r="P598" i="1" s="1"/>
  <c r="O602" i="1"/>
  <c r="P602" i="1" s="1"/>
  <c r="M602" i="1"/>
  <c r="M606" i="1"/>
  <c r="O606" i="1"/>
  <c r="P606" i="1" s="1"/>
  <c r="M610" i="1"/>
  <c r="O610" i="1"/>
  <c r="P610" i="1" s="1"/>
  <c r="M614" i="1"/>
  <c r="O614" i="1"/>
  <c r="P614" i="1" s="1"/>
  <c r="O622" i="1"/>
  <c r="P622" i="1" s="1"/>
  <c r="M622" i="1"/>
  <c r="O627" i="1"/>
  <c r="P627" i="1" s="1"/>
  <c r="M627" i="1"/>
  <c r="O634" i="1"/>
  <c r="P634" i="1" s="1"/>
  <c r="M634" i="1"/>
  <c r="M639" i="1"/>
  <c r="O639" i="1"/>
  <c r="P639" i="1" s="1"/>
  <c r="O643" i="1"/>
  <c r="P643" i="1" s="1"/>
  <c r="M643" i="1"/>
  <c r="O647" i="1"/>
  <c r="P647" i="1" s="1"/>
  <c r="M647" i="1"/>
  <c r="O651" i="1"/>
  <c r="P651" i="1" s="1"/>
  <c r="M651" i="1"/>
  <c r="U731" i="14"/>
  <c r="U721" i="11"/>
  <c r="S721" i="9"/>
  <c r="M9" i="1"/>
  <c r="O9" i="1"/>
  <c r="P9" i="1" s="1"/>
  <c r="O19" i="1"/>
  <c r="P19" i="1" s="1"/>
  <c r="M19" i="1"/>
  <c r="M24" i="1"/>
  <c r="O24" i="1"/>
  <c r="P24" i="1" s="1"/>
  <c r="O30" i="1"/>
  <c r="P30" i="1" s="1"/>
  <c r="M30" i="1"/>
  <c r="O38" i="1"/>
  <c r="P38" i="1" s="1"/>
  <c r="M38" i="1"/>
  <c r="M43" i="1"/>
  <c r="O43" i="1"/>
  <c r="P43" i="1" s="1"/>
  <c r="O48" i="1"/>
  <c r="P48" i="1" s="1"/>
  <c r="M48" i="1"/>
  <c r="M54" i="1"/>
  <c r="O54" i="1"/>
  <c r="P54" i="1" s="1"/>
  <c r="M61" i="1"/>
  <c r="O61" i="1"/>
  <c r="P61" i="1" s="1"/>
  <c r="M70" i="1"/>
  <c r="O70" i="1"/>
  <c r="P70" i="1" s="1"/>
  <c r="M74" i="1"/>
  <c r="O74" i="1"/>
  <c r="P74" i="1" s="1"/>
  <c r="M81" i="1"/>
  <c r="O81" i="1"/>
  <c r="P81" i="1" s="1"/>
  <c r="O85" i="1"/>
  <c r="P85" i="1" s="1"/>
  <c r="M85" i="1"/>
  <c r="O90" i="1"/>
  <c r="P90" i="1" s="1"/>
  <c r="M90" i="1"/>
  <c r="O95" i="1"/>
  <c r="P95" i="1" s="1"/>
  <c r="M95" i="1"/>
  <c r="O99" i="1"/>
  <c r="P99" i="1" s="1"/>
  <c r="M99" i="1"/>
  <c r="M104" i="1"/>
  <c r="O104" i="1"/>
  <c r="P104" i="1" s="1"/>
  <c r="O110" i="1"/>
  <c r="P110" i="1" s="1"/>
  <c r="M110" i="1"/>
  <c r="O115" i="1"/>
  <c r="P115" i="1" s="1"/>
  <c r="M115" i="1"/>
  <c r="M121" i="1"/>
  <c r="O121" i="1"/>
  <c r="P121" i="1" s="1"/>
  <c r="O125" i="1"/>
  <c r="P125" i="1" s="1"/>
  <c r="M125" i="1"/>
  <c r="O131" i="1"/>
  <c r="P131" i="1" s="1"/>
  <c r="M131" i="1"/>
  <c r="M136" i="1"/>
  <c r="O136" i="1"/>
  <c r="P136" i="1" s="1"/>
  <c r="O143" i="1"/>
  <c r="P143" i="1" s="1"/>
  <c r="M143" i="1"/>
  <c r="M148" i="1"/>
  <c r="O148" i="1"/>
  <c r="P148" i="1" s="1"/>
  <c r="O153" i="1"/>
  <c r="P153" i="1" s="1"/>
  <c r="M153" i="1"/>
  <c r="O160" i="1"/>
  <c r="P160" i="1" s="1"/>
  <c r="M160" i="1"/>
  <c r="M165" i="1"/>
  <c r="O165" i="1"/>
  <c r="P165" i="1" s="1"/>
  <c r="M169" i="1"/>
  <c r="O169" i="1"/>
  <c r="P169" i="1" s="1"/>
  <c r="O175" i="1"/>
  <c r="P175" i="1" s="1"/>
  <c r="M175" i="1"/>
  <c r="M182" i="1"/>
  <c r="O182" i="1"/>
  <c r="P182" i="1" s="1"/>
  <c r="O201" i="1"/>
  <c r="P201" i="1" s="1"/>
  <c r="M201" i="1"/>
  <c r="O206" i="1"/>
  <c r="P206" i="1" s="1"/>
  <c r="M206" i="1"/>
  <c r="M210" i="1"/>
  <c r="O210" i="1"/>
  <c r="P210" i="1" s="1"/>
  <c r="O215" i="1"/>
  <c r="P215" i="1" s="1"/>
  <c r="M215" i="1"/>
  <c r="O220" i="1"/>
  <c r="P220" i="1" s="1"/>
  <c r="M220" i="1"/>
  <c r="M227" i="1"/>
  <c r="O227" i="1"/>
  <c r="P227" i="1" s="1"/>
  <c r="O234" i="1"/>
  <c r="P234" i="1" s="1"/>
  <c r="M234" i="1"/>
  <c r="M263" i="1"/>
  <c r="O263" i="1"/>
  <c r="P263" i="1" s="1"/>
  <c r="M267" i="1"/>
  <c r="O267" i="1"/>
  <c r="P267" i="1" s="1"/>
  <c r="O271" i="1"/>
  <c r="P271" i="1" s="1"/>
  <c r="M271" i="1"/>
  <c r="M275" i="1"/>
  <c r="O275" i="1"/>
  <c r="P275" i="1" s="1"/>
  <c r="M279" i="1"/>
  <c r="O279" i="1"/>
  <c r="P279" i="1" s="1"/>
  <c r="O283" i="1"/>
  <c r="P283" i="1" s="1"/>
  <c r="M283" i="1"/>
  <c r="M287" i="1"/>
  <c r="O287" i="1"/>
  <c r="P287" i="1" s="1"/>
  <c r="O291" i="1"/>
  <c r="P291" i="1" s="1"/>
  <c r="M291" i="1"/>
  <c r="O295" i="1"/>
  <c r="P295" i="1" s="1"/>
  <c r="M295" i="1"/>
  <c r="O299" i="1"/>
  <c r="P299" i="1" s="1"/>
  <c r="M299" i="1"/>
  <c r="O303" i="1"/>
  <c r="P303" i="1" s="1"/>
  <c r="M303" i="1"/>
  <c r="M307" i="1"/>
  <c r="O307" i="1"/>
  <c r="P307" i="1" s="1"/>
  <c r="O311" i="1"/>
  <c r="P311" i="1" s="1"/>
  <c r="M311" i="1"/>
  <c r="M315" i="1"/>
  <c r="O315" i="1"/>
  <c r="P315" i="1" s="1"/>
  <c r="O319" i="1"/>
  <c r="P319" i="1" s="1"/>
  <c r="M319" i="1"/>
  <c r="O323" i="1"/>
  <c r="P323" i="1" s="1"/>
  <c r="M323" i="1"/>
  <c r="O327" i="1"/>
  <c r="P327" i="1" s="1"/>
  <c r="M327" i="1"/>
  <c r="M331" i="1"/>
  <c r="O331" i="1"/>
  <c r="P331" i="1" s="1"/>
  <c r="O335" i="1"/>
  <c r="P335" i="1" s="1"/>
  <c r="M335" i="1"/>
  <c r="O340" i="1"/>
  <c r="P340" i="1" s="1"/>
  <c r="M340" i="1"/>
  <c r="O348" i="1"/>
  <c r="P348" i="1" s="1"/>
  <c r="M348" i="1"/>
  <c r="O352" i="1"/>
  <c r="P352" i="1" s="1"/>
  <c r="M352" i="1"/>
  <c r="M356" i="1"/>
  <c r="O356" i="1"/>
  <c r="P356" i="1" s="1"/>
  <c r="O360" i="1"/>
  <c r="P360" i="1" s="1"/>
  <c r="M360" i="1"/>
  <c r="O364" i="1"/>
  <c r="P364" i="1" s="1"/>
  <c r="M364" i="1"/>
  <c r="M368" i="1"/>
  <c r="O368" i="1"/>
  <c r="P368" i="1" s="1"/>
  <c r="O372" i="1"/>
  <c r="P372" i="1" s="1"/>
  <c r="M372" i="1"/>
  <c r="M376" i="1"/>
  <c r="O376" i="1"/>
  <c r="P376" i="1" s="1"/>
  <c r="O380" i="1"/>
  <c r="P380" i="1" s="1"/>
  <c r="M380" i="1"/>
  <c r="M384" i="1"/>
  <c r="O384" i="1"/>
  <c r="P384" i="1" s="1"/>
  <c r="O388" i="1"/>
  <c r="P388" i="1" s="1"/>
  <c r="M388" i="1"/>
  <c r="M392" i="1"/>
  <c r="O392" i="1"/>
  <c r="P392" i="1" s="1"/>
  <c r="M396" i="1"/>
  <c r="O396" i="1"/>
  <c r="P396" i="1" s="1"/>
  <c r="M400" i="1"/>
  <c r="O400" i="1"/>
  <c r="P400" i="1" s="1"/>
  <c r="M404" i="1"/>
  <c r="O404" i="1"/>
  <c r="P404" i="1" s="1"/>
  <c r="O409" i="1"/>
  <c r="P409" i="1" s="1"/>
  <c r="M409" i="1"/>
  <c r="O414" i="1"/>
  <c r="P414" i="1" s="1"/>
  <c r="M414" i="1"/>
  <c r="O418" i="1"/>
  <c r="P418" i="1" s="1"/>
  <c r="M418" i="1"/>
  <c r="M424" i="1"/>
  <c r="O424" i="1"/>
  <c r="P424" i="1" s="1"/>
  <c r="M431" i="1"/>
  <c r="O431" i="1"/>
  <c r="P431" i="1" s="1"/>
  <c r="M435" i="1"/>
  <c r="O435" i="1"/>
  <c r="P435" i="1" s="1"/>
  <c r="O439" i="1"/>
  <c r="P439" i="1" s="1"/>
  <c r="M439" i="1"/>
  <c r="O448" i="1"/>
  <c r="P448" i="1" s="1"/>
  <c r="M448" i="1"/>
  <c r="O453" i="1"/>
  <c r="P453" i="1" s="1"/>
  <c r="M453" i="1"/>
  <c r="M457" i="1"/>
  <c r="O457" i="1"/>
  <c r="P457" i="1" s="1"/>
  <c r="M466" i="1"/>
  <c r="O466" i="1"/>
  <c r="P466" i="1" s="1"/>
  <c r="O474" i="1"/>
  <c r="P474" i="1" s="1"/>
  <c r="M474" i="1"/>
  <c r="M481" i="1"/>
  <c r="O481" i="1"/>
  <c r="P481" i="1" s="1"/>
  <c r="M487" i="1"/>
  <c r="O487" i="1"/>
  <c r="P487" i="1" s="1"/>
  <c r="O513" i="1"/>
  <c r="P513" i="1" s="1"/>
  <c r="M513" i="1"/>
  <c r="M517" i="1"/>
  <c r="O517" i="1"/>
  <c r="P517" i="1" s="1"/>
  <c r="M521" i="1"/>
  <c r="O521" i="1"/>
  <c r="P521" i="1" s="1"/>
  <c r="M541" i="1"/>
  <c r="O541" i="1"/>
  <c r="P541" i="1" s="1"/>
  <c r="O545" i="1"/>
  <c r="P545" i="1" s="1"/>
  <c r="M545" i="1"/>
  <c r="M550" i="1"/>
  <c r="O550" i="1"/>
  <c r="P550" i="1" s="1"/>
  <c r="M554" i="1"/>
  <c r="O554" i="1"/>
  <c r="P554" i="1" s="1"/>
  <c r="M559" i="1"/>
  <c r="O559" i="1"/>
  <c r="P559" i="1" s="1"/>
  <c r="O563" i="1"/>
  <c r="P563" i="1" s="1"/>
  <c r="M563" i="1"/>
  <c r="M567" i="1"/>
  <c r="O567" i="1"/>
  <c r="P567" i="1" s="1"/>
  <c r="M571" i="1"/>
  <c r="O571" i="1"/>
  <c r="P571" i="1" s="1"/>
  <c r="O577" i="1"/>
  <c r="P577" i="1" s="1"/>
  <c r="M577" i="1"/>
  <c r="O581" i="1"/>
  <c r="P581" i="1" s="1"/>
  <c r="M581" i="1"/>
  <c r="O585" i="1"/>
  <c r="P585" i="1" s="1"/>
  <c r="M585" i="1"/>
  <c r="M589" i="1"/>
  <c r="O589" i="1"/>
  <c r="P589" i="1" s="1"/>
  <c r="M593" i="1"/>
  <c r="O593" i="1"/>
  <c r="P593" i="1" s="1"/>
  <c r="O597" i="1"/>
  <c r="P597" i="1" s="1"/>
  <c r="M597" i="1"/>
  <c r="O601" i="1"/>
  <c r="P601" i="1" s="1"/>
  <c r="M601" i="1"/>
  <c r="M605" i="1"/>
  <c r="O605" i="1"/>
  <c r="P605" i="1" s="1"/>
  <c r="O609" i="1"/>
  <c r="P609" i="1" s="1"/>
  <c r="M609" i="1"/>
  <c r="M613" i="1"/>
  <c r="O613" i="1"/>
  <c r="P613" i="1" s="1"/>
  <c r="O621" i="1"/>
  <c r="P621" i="1" s="1"/>
  <c r="M621" i="1"/>
  <c r="M626" i="1"/>
  <c r="O626" i="1"/>
  <c r="P626" i="1" s="1"/>
  <c r="O633" i="1"/>
  <c r="P633" i="1" s="1"/>
  <c r="M633" i="1"/>
  <c r="M638" i="1"/>
  <c r="O638" i="1"/>
  <c r="P638" i="1" s="1"/>
  <c r="O642" i="1"/>
  <c r="P642" i="1" s="1"/>
  <c r="M642" i="1"/>
  <c r="O646" i="1"/>
  <c r="P646" i="1" s="1"/>
  <c r="M646" i="1"/>
  <c r="M650" i="1"/>
  <c r="O650" i="1"/>
  <c r="P650" i="1" s="1"/>
  <c r="M6" i="1"/>
  <c r="O6" i="1"/>
  <c r="P6" i="1" s="1"/>
  <c r="O18" i="1"/>
  <c r="P18" i="1" s="1"/>
  <c r="M18" i="1"/>
  <c r="M23" i="1"/>
  <c r="O23" i="1"/>
  <c r="P23" i="1" s="1"/>
  <c r="O28" i="1"/>
  <c r="P28" i="1" s="1"/>
  <c r="M28" i="1"/>
  <c r="O35" i="1"/>
  <c r="P35" i="1" s="1"/>
  <c r="M35" i="1"/>
  <c r="M42" i="1"/>
  <c r="O42" i="1"/>
  <c r="P42" i="1" s="1"/>
  <c r="O47" i="1"/>
  <c r="P47" i="1" s="1"/>
  <c r="M47" i="1"/>
  <c r="M52" i="1"/>
  <c r="O52" i="1"/>
  <c r="P52" i="1" s="1"/>
  <c r="O59" i="1"/>
  <c r="P59" i="1" s="1"/>
  <c r="M59" i="1"/>
  <c r="M65" i="1"/>
  <c r="O65" i="1"/>
  <c r="P65" i="1" s="1"/>
  <c r="M73" i="1"/>
  <c r="O73" i="1"/>
  <c r="P73" i="1" s="1"/>
  <c r="M77" i="1"/>
  <c r="O77" i="1"/>
  <c r="P77" i="1" s="1"/>
  <c r="O84" i="1"/>
  <c r="P84" i="1" s="1"/>
  <c r="M84" i="1"/>
  <c r="M89" i="1"/>
  <c r="O89" i="1"/>
  <c r="P89" i="1" s="1"/>
  <c r="O93" i="1"/>
  <c r="P93" i="1" s="1"/>
  <c r="M93" i="1"/>
  <c r="M98" i="1"/>
  <c r="O98" i="1"/>
  <c r="P98" i="1" s="1"/>
  <c r="M103" i="1"/>
  <c r="O103" i="1"/>
  <c r="P103" i="1" s="1"/>
  <c r="M107" i="1"/>
  <c r="O107" i="1"/>
  <c r="P107" i="1" s="1"/>
  <c r="O114" i="1"/>
  <c r="P114" i="1" s="1"/>
  <c r="M114" i="1"/>
  <c r="O119" i="1"/>
  <c r="P119" i="1" s="1"/>
  <c r="M119" i="1"/>
  <c r="M124" i="1"/>
  <c r="O124" i="1"/>
  <c r="P124" i="1" s="1"/>
  <c r="M129" i="1"/>
  <c r="O129" i="1"/>
  <c r="P129" i="1" s="1"/>
  <c r="M135" i="1"/>
  <c r="O135" i="1"/>
  <c r="P135" i="1" s="1"/>
  <c r="O141" i="1"/>
  <c r="P141" i="1" s="1"/>
  <c r="M141" i="1"/>
  <c r="M146" i="1"/>
  <c r="O146" i="1"/>
  <c r="P146" i="1" s="1"/>
  <c r="M152" i="1"/>
  <c r="O152" i="1"/>
  <c r="P152" i="1" s="1"/>
  <c r="O159" i="1"/>
  <c r="P159" i="1" s="1"/>
  <c r="M159" i="1"/>
  <c r="M164" i="1"/>
  <c r="O164" i="1"/>
  <c r="P164" i="1" s="1"/>
  <c r="M168" i="1"/>
  <c r="O168" i="1"/>
  <c r="P168" i="1" s="1"/>
  <c r="M174" i="1"/>
  <c r="O174" i="1"/>
  <c r="P174" i="1" s="1"/>
  <c r="M181" i="1"/>
  <c r="O181" i="1"/>
  <c r="P181" i="1" s="1"/>
  <c r="M200" i="1"/>
  <c r="O200" i="1"/>
  <c r="P200" i="1" s="1"/>
  <c r="O204" i="1"/>
  <c r="P204" i="1" s="1"/>
  <c r="M204" i="1"/>
  <c r="M209" i="1"/>
  <c r="O209" i="1"/>
  <c r="P209" i="1" s="1"/>
  <c r="O214" i="1"/>
  <c r="P214" i="1" s="1"/>
  <c r="M214" i="1"/>
  <c r="O219" i="1"/>
  <c r="P219" i="1" s="1"/>
  <c r="M219" i="1"/>
  <c r="O226" i="1"/>
  <c r="P226" i="1" s="1"/>
  <c r="M226" i="1"/>
  <c r="M230" i="1"/>
  <c r="O230" i="1"/>
  <c r="P230" i="1" s="1"/>
  <c r="M244" i="1"/>
  <c r="O244" i="1"/>
  <c r="P244" i="1" s="1"/>
  <c r="O266" i="1"/>
  <c r="P266" i="1" s="1"/>
  <c r="M266" i="1"/>
  <c r="O270" i="1"/>
  <c r="P270" i="1" s="1"/>
  <c r="M270" i="1"/>
  <c r="O274" i="1"/>
  <c r="P274" i="1" s="1"/>
  <c r="M274" i="1"/>
  <c r="O278" i="1"/>
  <c r="P278" i="1" s="1"/>
  <c r="M278" i="1"/>
  <c r="O282" i="1"/>
  <c r="P282" i="1" s="1"/>
  <c r="M282" i="1"/>
  <c r="M286" i="1"/>
  <c r="O286" i="1"/>
  <c r="P286" i="1" s="1"/>
  <c r="O290" i="1"/>
  <c r="P290" i="1" s="1"/>
  <c r="M290" i="1"/>
  <c r="O294" i="1"/>
  <c r="P294" i="1" s="1"/>
  <c r="M294" i="1"/>
  <c r="O298" i="1"/>
  <c r="P298" i="1" s="1"/>
  <c r="M298" i="1"/>
  <c r="M302" i="1"/>
  <c r="O302" i="1"/>
  <c r="P302" i="1" s="1"/>
  <c r="M306" i="1"/>
  <c r="O306" i="1"/>
  <c r="P306" i="1" s="1"/>
  <c r="O310" i="1"/>
  <c r="P310" i="1" s="1"/>
  <c r="M310" i="1"/>
  <c r="M314" i="1"/>
  <c r="O314" i="1"/>
  <c r="P314" i="1" s="1"/>
  <c r="O318" i="1"/>
  <c r="P318" i="1" s="1"/>
  <c r="M318" i="1"/>
  <c r="M322" i="1"/>
  <c r="O322" i="1"/>
  <c r="P322" i="1" s="1"/>
  <c r="M326" i="1"/>
  <c r="O326" i="1"/>
  <c r="P326" i="1" s="1"/>
  <c r="M330" i="1"/>
  <c r="O330" i="1"/>
  <c r="P330" i="1" s="1"/>
  <c r="O334" i="1"/>
  <c r="P334" i="1" s="1"/>
  <c r="M334" i="1"/>
  <c r="M339" i="1"/>
  <c r="O339" i="1"/>
  <c r="P339" i="1" s="1"/>
  <c r="M347" i="1"/>
  <c r="O347" i="1"/>
  <c r="P347" i="1" s="1"/>
  <c r="O351" i="1"/>
  <c r="P351" i="1" s="1"/>
  <c r="M351" i="1"/>
  <c r="O355" i="1"/>
  <c r="P355" i="1" s="1"/>
  <c r="M355" i="1"/>
  <c r="M359" i="1"/>
  <c r="O359" i="1"/>
  <c r="P359" i="1" s="1"/>
  <c r="O363" i="1"/>
  <c r="P363" i="1" s="1"/>
  <c r="M363" i="1"/>
  <c r="M367" i="1"/>
  <c r="O367" i="1"/>
  <c r="P367" i="1" s="1"/>
  <c r="M371" i="1"/>
  <c r="O371" i="1"/>
  <c r="P371" i="1" s="1"/>
  <c r="O375" i="1"/>
  <c r="P375" i="1" s="1"/>
  <c r="M375" i="1"/>
  <c r="O379" i="1"/>
  <c r="P379" i="1" s="1"/>
  <c r="M379" i="1"/>
  <c r="O383" i="1"/>
  <c r="P383" i="1" s="1"/>
  <c r="M383" i="1"/>
  <c r="M387" i="1"/>
  <c r="O387" i="1"/>
  <c r="P387" i="1" s="1"/>
  <c r="M391" i="1"/>
  <c r="O391" i="1"/>
  <c r="P391" i="1" s="1"/>
  <c r="O395" i="1"/>
  <c r="P395" i="1" s="1"/>
  <c r="M395" i="1"/>
  <c r="M399" i="1"/>
  <c r="O399" i="1"/>
  <c r="P399" i="1" s="1"/>
  <c r="M403" i="1"/>
  <c r="O403" i="1"/>
  <c r="P403" i="1" s="1"/>
  <c r="M408" i="1"/>
  <c r="O408" i="1"/>
  <c r="P408" i="1" s="1"/>
  <c r="O413" i="1"/>
  <c r="P413" i="1" s="1"/>
  <c r="M413" i="1"/>
  <c r="O417" i="1"/>
  <c r="P417" i="1" s="1"/>
  <c r="M417" i="1"/>
  <c r="O422" i="1"/>
  <c r="P422" i="1" s="1"/>
  <c r="M422" i="1"/>
  <c r="O428" i="1"/>
  <c r="P428" i="1" s="1"/>
  <c r="M428" i="1"/>
  <c r="O434" i="1"/>
  <c r="P434" i="1" s="1"/>
  <c r="M434" i="1"/>
  <c r="M438" i="1"/>
  <c r="O438" i="1"/>
  <c r="P438" i="1" s="1"/>
  <c r="O442" i="1"/>
  <c r="P442" i="1" s="1"/>
  <c r="M442" i="1"/>
  <c r="O452" i="1"/>
  <c r="P452" i="1" s="1"/>
  <c r="M452" i="1"/>
  <c r="M456" i="1"/>
  <c r="O456" i="1"/>
  <c r="P456" i="1" s="1"/>
  <c r="O465" i="1"/>
  <c r="P465" i="1" s="1"/>
  <c r="M465" i="1"/>
  <c r="O473" i="1"/>
  <c r="P473" i="1" s="1"/>
  <c r="M473" i="1"/>
  <c r="O480" i="1"/>
  <c r="P480" i="1" s="1"/>
  <c r="M480" i="1"/>
  <c r="O486" i="1"/>
  <c r="P486" i="1" s="1"/>
  <c r="M486" i="1"/>
  <c r="O512" i="1"/>
  <c r="P512" i="1" s="1"/>
  <c r="M512" i="1"/>
  <c r="O516" i="1"/>
  <c r="P516" i="1" s="1"/>
  <c r="M516" i="1"/>
  <c r="O520" i="1"/>
  <c r="P520" i="1" s="1"/>
  <c r="M520" i="1"/>
  <c r="O540" i="1"/>
  <c r="P540" i="1" s="1"/>
  <c r="M540" i="1"/>
  <c r="M544" i="1"/>
  <c r="O544" i="1"/>
  <c r="P544" i="1" s="1"/>
  <c r="M548" i="1"/>
  <c r="O548" i="1"/>
  <c r="P548" i="1" s="1"/>
  <c r="O553" i="1"/>
  <c r="P553" i="1" s="1"/>
  <c r="M553" i="1"/>
  <c r="O557" i="1"/>
  <c r="P557" i="1" s="1"/>
  <c r="M557" i="1"/>
  <c r="O562" i="1"/>
  <c r="P562" i="1" s="1"/>
  <c r="M562" i="1"/>
  <c r="M566" i="1"/>
  <c r="O566" i="1"/>
  <c r="P566" i="1" s="1"/>
  <c r="O570" i="1"/>
  <c r="P570" i="1" s="1"/>
  <c r="M570" i="1"/>
  <c r="O576" i="1"/>
  <c r="P576" i="1" s="1"/>
  <c r="M576" i="1"/>
  <c r="O580" i="1"/>
  <c r="P580" i="1" s="1"/>
  <c r="M580" i="1"/>
  <c r="M584" i="1"/>
  <c r="O584" i="1"/>
  <c r="P584" i="1" s="1"/>
  <c r="M588" i="1"/>
  <c r="O588" i="1"/>
  <c r="P588" i="1" s="1"/>
  <c r="O592" i="1"/>
  <c r="P592" i="1" s="1"/>
  <c r="M592" i="1"/>
  <c r="O596" i="1"/>
  <c r="P596" i="1" s="1"/>
  <c r="M596" i="1"/>
  <c r="O600" i="1"/>
  <c r="P600" i="1" s="1"/>
  <c r="M600" i="1"/>
  <c r="M604" i="1"/>
  <c r="O604" i="1"/>
  <c r="P604" i="1" s="1"/>
  <c r="O608" i="1"/>
  <c r="P608" i="1" s="1"/>
  <c r="M608" i="1"/>
  <c r="O612" i="1"/>
  <c r="P612" i="1" s="1"/>
  <c r="M612" i="1"/>
  <c r="O618" i="1"/>
  <c r="P618" i="1" s="1"/>
  <c r="M618" i="1"/>
  <c r="O624" i="1"/>
  <c r="P624" i="1" s="1"/>
  <c r="M624" i="1"/>
  <c r="O629" i="1"/>
  <c r="P629" i="1" s="1"/>
  <c r="M629" i="1"/>
  <c r="O637" i="1"/>
  <c r="P637" i="1" s="1"/>
  <c r="M637" i="1"/>
  <c r="O641" i="1"/>
  <c r="P641" i="1" s="1"/>
  <c r="M641" i="1"/>
  <c r="O645" i="1"/>
  <c r="P645" i="1" s="1"/>
  <c r="M645" i="1"/>
  <c r="O649" i="1"/>
  <c r="P649" i="1" s="1"/>
  <c r="M649" i="1"/>
  <c r="O653" i="1"/>
  <c r="P653" i="1" s="1"/>
  <c r="M653" i="1"/>
  <c r="M664" i="1"/>
  <c r="O664" i="1"/>
  <c r="P664" i="1" s="1"/>
  <c r="M668" i="1"/>
  <c r="O668" i="1"/>
  <c r="P668" i="1" s="1"/>
  <c r="O672" i="1"/>
  <c r="P672" i="1" s="1"/>
  <c r="M672" i="1"/>
  <c r="O676" i="1"/>
  <c r="P676" i="1" s="1"/>
  <c r="M676" i="1"/>
  <c r="O680" i="1"/>
  <c r="P680" i="1" s="1"/>
  <c r="M680" i="1"/>
  <c r="O702" i="1"/>
  <c r="P702" i="1" s="1"/>
  <c r="M702" i="1"/>
  <c r="M706" i="1"/>
  <c r="O706" i="1"/>
  <c r="P706" i="1" s="1"/>
  <c r="M710" i="1"/>
  <c r="O710" i="1"/>
  <c r="P710" i="1" s="1"/>
  <c r="O9" i="5"/>
  <c r="P9" i="5" s="1"/>
  <c r="M9" i="5"/>
  <c r="O19" i="5"/>
  <c r="P19" i="5" s="1"/>
  <c r="M19" i="5"/>
  <c r="O24" i="5"/>
  <c r="P24" i="5" s="1"/>
  <c r="M24" i="5"/>
  <c r="O30" i="5"/>
  <c r="P30" i="5" s="1"/>
  <c r="M30" i="5"/>
  <c r="O38" i="5"/>
  <c r="P38" i="5" s="1"/>
  <c r="M38" i="5"/>
  <c r="O43" i="5"/>
  <c r="P43" i="5" s="1"/>
  <c r="M43" i="5"/>
  <c r="M48" i="5"/>
  <c r="O48" i="5"/>
  <c r="P48" i="5" s="1"/>
  <c r="M54" i="5"/>
  <c r="O54" i="5"/>
  <c r="P54" i="5" s="1"/>
  <c r="O61" i="5"/>
  <c r="P61" i="5" s="1"/>
  <c r="M61" i="5"/>
  <c r="M70" i="5"/>
  <c r="O70" i="5"/>
  <c r="P70" i="5" s="1"/>
  <c r="O74" i="5"/>
  <c r="P74" i="5" s="1"/>
  <c r="M74" i="5"/>
  <c r="M81" i="5"/>
  <c r="O81" i="5"/>
  <c r="P81" i="5" s="1"/>
  <c r="O85" i="5"/>
  <c r="P85" i="5" s="1"/>
  <c r="M85" i="5"/>
  <c r="O90" i="5"/>
  <c r="P90" i="5" s="1"/>
  <c r="M90" i="5"/>
  <c r="M95" i="5"/>
  <c r="O95" i="5"/>
  <c r="P95" i="5" s="1"/>
  <c r="M99" i="5"/>
  <c r="O99" i="5"/>
  <c r="P99" i="5" s="1"/>
  <c r="O104" i="5"/>
  <c r="P104" i="5" s="1"/>
  <c r="M104" i="5"/>
  <c r="M110" i="5"/>
  <c r="O110" i="5"/>
  <c r="P110" i="5" s="1"/>
  <c r="M115" i="5"/>
  <c r="O115" i="5"/>
  <c r="P115" i="5" s="1"/>
  <c r="O121" i="5"/>
  <c r="M121" i="5"/>
  <c r="M125" i="5"/>
  <c r="O125" i="5"/>
  <c r="P125" i="5" s="1"/>
  <c r="O131" i="5"/>
  <c r="P131" i="5" s="1"/>
  <c r="M131" i="5"/>
  <c r="M136" i="5"/>
  <c r="O136" i="5"/>
  <c r="P136" i="5" s="1"/>
  <c r="O143" i="5"/>
  <c r="P143" i="5" s="1"/>
  <c r="M143" i="5"/>
  <c r="O148" i="5"/>
  <c r="P148" i="5" s="1"/>
  <c r="M148" i="5"/>
  <c r="O153" i="5"/>
  <c r="P153" i="5" s="1"/>
  <c r="M153" i="5"/>
  <c r="M160" i="5"/>
  <c r="O160" i="5"/>
  <c r="P160" i="5" s="1"/>
  <c r="M165" i="5"/>
  <c r="O165" i="5"/>
  <c r="M169" i="5"/>
  <c r="O169" i="5"/>
  <c r="P169" i="5" s="1"/>
  <c r="O175" i="5"/>
  <c r="P175" i="5" s="1"/>
  <c r="M175" i="5"/>
  <c r="O182" i="5"/>
  <c r="P182" i="5" s="1"/>
  <c r="M182" i="5"/>
  <c r="O201" i="5"/>
  <c r="P201" i="5" s="1"/>
  <c r="M201" i="5"/>
  <c r="O206" i="5"/>
  <c r="P206" i="5" s="1"/>
  <c r="M206" i="5"/>
  <c r="M210" i="5"/>
  <c r="O210" i="5"/>
  <c r="P210" i="5" s="1"/>
  <c r="O215" i="5"/>
  <c r="P215" i="5" s="1"/>
  <c r="M215" i="5"/>
  <c r="O220" i="5"/>
  <c r="P220" i="5" s="1"/>
  <c r="M220" i="5"/>
  <c r="O227" i="5"/>
  <c r="P227" i="5" s="1"/>
  <c r="M227" i="5"/>
  <c r="O234" i="5"/>
  <c r="P234" i="5" s="1"/>
  <c r="M234" i="5"/>
  <c r="O263" i="5"/>
  <c r="P263" i="5" s="1"/>
  <c r="M263" i="5"/>
  <c r="M267" i="5"/>
  <c r="O267" i="5"/>
  <c r="P267" i="5" s="1"/>
  <c r="O271" i="5"/>
  <c r="P271" i="5" s="1"/>
  <c r="M271" i="5"/>
  <c r="M275" i="5"/>
  <c r="O275" i="5"/>
  <c r="P275" i="5" s="1"/>
  <c r="O279" i="5"/>
  <c r="P279" i="5" s="1"/>
  <c r="M279" i="5"/>
  <c r="M283" i="5"/>
  <c r="O283" i="5"/>
  <c r="P283" i="5" s="1"/>
  <c r="O287" i="5"/>
  <c r="P287" i="5" s="1"/>
  <c r="M287" i="5"/>
  <c r="M291" i="5"/>
  <c r="O291" i="5"/>
  <c r="P291" i="5" s="1"/>
  <c r="O295" i="5"/>
  <c r="P295" i="5" s="1"/>
  <c r="M295" i="5"/>
  <c r="O299" i="5"/>
  <c r="P299" i="5" s="1"/>
  <c r="M299" i="5"/>
  <c r="M303" i="5"/>
  <c r="O303" i="5"/>
  <c r="P303" i="5" s="1"/>
  <c r="M307" i="5"/>
  <c r="O307" i="5"/>
  <c r="P307" i="5" s="1"/>
  <c r="M311" i="5"/>
  <c r="O311" i="5"/>
  <c r="P311" i="5" s="1"/>
  <c r="M315" i="5"/>
  <c r="O315" i="5"/>
  <c r="P315" i="5" s="1"/>
  <c r="M319" i="5"/>
  <c r="O319" i="5"/>
  <c r="P319" i="5" s="1"/>
  <c r="M323" i="5"/>
  <c r="O323" i="5"/>
  <c r="P323" i="5" s="1"/>
  <c r="O327" i="5"/>
  <c r="P327" i="5" s="1"/>
  <c r="M327" i="5"/>
  <c r="O331" i="5"/>
  <c r="P331" i="5" s="1"/>
  <c r="M331" i="5"/>
  <c r="M335" i="5"/>
  <c r="O335" i="5"/>
  <c r="P335" i="5" s="1"/>
  <c r="O340" i="5"/>
  <c r="P340" i="5" s="1"/>
  <c r="M340" i="5"/>
  <c r="O348" i="5"/>
  <c r="P348" i="5" s="1"/>
  <c r="M348" i="5"/>
  <c r="O352" i="5"/>
  <c r="P352" i="5" s="1"/>
  <c r="M352" i="5"/>
  <c r="M356" i="5"/>
  <c r="O356" i="5"/>
  <c r="P356" i="5" s="1"/>
  <c r="O360" i="5"/>
  <c r="P360" i="5" s="1"/>
  <c r="M360" i="5"/>
  <c r="M364" i="5"/>
  <c r="O364" i="5"/>
  <c r="P364" i="5" s="1"/>
  <c r="M368" i="5"/>
  <c r="O368" i="5"/>
  <c r="P368" i="5" s="1"/>
  <c r="O372" i="5"/>
  <c r="P372" i="5" s="1"/>
  <c r="M372" i="5"/>
  <c r="O376" i="5"/>
  <c r="P376" i="5" s="1"/>
  <c r="M376" i="5"/>
  <c r="M380" i="5"/>
  <c r="O380" i="5"/>
  <c r="P380" i="5" s="1"/>
  <c r="O384" i="5"/>
  <c r="P384" i="5" s="1"/>
  <c r="M384" i="5"/>
  <c r="M388" i="5"/>
  <c r="O388" i="5"/>
  <c r="P388" i="5" s="1"/>
  <c r="M392" i="5"/>
  <c r="O392" i="5"/>
  <c r="P392" i="5" s="1"/>
  <c r="M396" i="5"/>
  <c r="O396" i="5"/>
  <c r="P396" i="5" s="1"/>
  <c r="M400" i="5"/>
  <c r="O400" i="5"/>
  <c r="P400" i="5" s="1"/>
  <c r="O404" i="5"/>
  <c r="P404" i="5" s="1"/>
  <c r="M404" i="5"/>
  <c r="M409" i="5"/>
  <c r="O409" i="5"/>
  <c r="P409" i="5" s="1"/>
  <c r="O414" i="5"/>
  <c r="P414" i="5" s="1"/>
  <c r="M414" i="5"/>
  <c r="M418" i="5"/>
  <c r="O418" i="5"/>
  <c r="P418" i="5" s="1"/>
  <c r="O424" i="5"/>
  <c r="P424" i="5" s="1"/>
  <c r="M424" i="5"/>
  <c r="O431" i="5"/>
  <c r="P431" i="5" s="1"/>
  <c r="M431" i="5"/>
  <c r="O435" i="5"/>
  <c r="P435" i="5" s="1"/>
  <c r="M435" i="5"/>
  <c r="M439" i="5"/>
  <c r="O439" i="5"/>
  <c r="P439" i="5" s="1"/>
  <c r="M448" i="5"/>
  <c r="O448" i="5"/>
  <c r="P448" i="5" s="1"/>
  <c r="O453" i="5"/>
  <c r="P453" i="5" s="1"/>
  <c r="M453" i="5"/>
  <c r="M457" i="5"/>
  <c r="O457" i="5"/>
  <c r="P457" i="5" s="1"/>
  <c r="M466" i="5"/>
  <c r="O466" i="5"/>
  <c r="P466" i="5" s="1"/>
  <c r="M474" i="5"/>
  <c r="O474" i="5"/>
  <c r="P474" i="5" s="1"/>
  <c r="O481" i="5"/>
  <c r="P481" i="5" s="1"/>
  <c r="M481" i="5"/>
  <c r="M487" i="5"/>
  <c r="O487" i="5"/>
  <c r="P487" i="5" s="1"/>
  <c r="O513" i="5"/>
  <c r="P513" i="5" s="1"/>
  <c r="M513" i="5"/>
  <c r="M517" i="5"/>
  <c r="O517" i="5"/>
  <c r="P517" i="5" s="1"/>
  <c r="O521" i="5"/>
  <c r="P521" i="5" s="1"/>
  <c r="M521" i="5"/>
  <c r="M541" i="5"/>
  <c r="O541" i="5"/>
  <c r="P541" i="5" s="1"/>
  <c r="O545" i="5"/>
  <c r="P545" i="5" s="1"/>
  <c r="M545" i="5"/>
  <c r="O550" i="5"/>
  <c r="P550" i="5" s="1"/>
  <c r="M550" i="5"/>
  <c r="M554" i="5"/>
  <c r="O554" i="5"/>
  <c r="P554" i="5" s="1"/>
  <c r="O559" i="5"/>
  <c r="P559" i="5" s="1"/>
  <c r="M559" i="5"/>
  <c r="M563" i="5"/>
  <c r="O563" i="5"/>
  <c r="P563" i="5" s="1"/>
  <c r="O567" i="5"/>
  <c r="P567" i="5" s="1"/>
  <c r="M567" i="5"/>
  <c r="M571" i="5"/>
  <c r="O571" i="5"/>
  <c r="P571" i="5" s="1"/>
  <c r="M577" i="5"/>
  <c r="O577" i="5"/>
  <c r="P577" i="5" s="1"/>
  <c r="O581" i="5"/>
  <c r="P581" i="5" s="1"/>
  <c r="M581" i="5"/>
  <c r="M585" i="5"/>
  <c r="O585" i="5"/>
  <c r="P585" i="5" s="1"/>
  <c r="O589" i="5"/>
  <c r="P589" i="5" s="1"/>
  <c r="M589" i="5"/>
  <c r="M593" i="5"/>
  <c r="O593" i="5"/>
  <c r="P593" i="5" s="1"/>
  <c r="O597" i="5"/>
  <c r="P597" i="5" s="1"/>
  <c r="M597" i="5"/>
  <c r="O601" i="5"/>
  <c r="P601" i="5" s="1"/>
  <c r="M601" i="5"/>
  <c r="O605" i="5"/>
  <c r="P605" i="5" s="1"/>
  <c r="M605" i="5"/>
  <c r="O609" i="5"/>
  <c r="P609" i="5" s="1"/>
  <c r="M609" i="5"/>
  <c r="O613" i="5"/>
  <c r="P613" i="5" s="1"/>
  <c r="M613" i="5"/>
  <c r="O621" i="5"/>
  <c r="P621" i="5" s="1"/>
  <c r="M621" i="5"/>
  <c r="O626" i="5"/>
  <c r="P626" i="5" s="1"/>
  <c r="M626" i="5"/>
  <c r="O633" i="5"/>
  <c r="P633" i="5" s="1"/>
  <c r="M633" i="5"/>
  <c r="M638" i="5"/>
  <c r="O638" i="5"/>
  <c r="P638" i="5" s="1"/>
  <c r="M642" i="5"/>
  <c r="O642" i="5"/>
  <c r="P642" i="5" s="1"/>
  <c r="O646" i="5"/>
  <c r="P646" i="5" s="1"/>
  <c r="M646" i="5"/>
  <c r="O650" i="5"/>
  <c r="P650" i="5" s="1"/>
  <c r="M650" i="5"/>
  <c r="O654" i="5"/>
  <c r="P654" i="5" s="1"/>
  <c r="M654" i="5"/>
  <c r="M658" i="5"/>
  <c r="O658" i="5"/>
  <c r="P658" i="5" s="1"/>
  <c r="M662" i="5"/>
  <c r="O662" i="5"/>
  <c r="P662" i="5" s="1"/>
  <c r="O666" i="5"/>
  <c r="P666" i="5" s="1"/>
  <c r="M666" i="5"/>
  <c r="M670" i="5"/>
  <c r="O670" i="5"/>
  <c r="P670" i="5" s="1"/>
  <c r="O674" i="5"/>
  <c r="P674" i="5" s="1"/>
  <c r="M674" i="5"/>
  <c r="O678" i="5"/>
  <c r="P678" i="5" s="1"/>
  <c r="M678" i="5"/>
  <c r="O700" i="5"/>
  <c r="P700" i="5" s="1"/>
  <c r="M700" i="5"/>
  <c r="M704" i="5"/>
  <c r="O704" i="5"/>
  <c r="P704" i="5" s="1"/>
  <c r="O708" i="5"/>
  <c r="P708" i="5" s="1"/>
  <c r="M708" i="5"/>
  <c r="M718" i="5"/>
  <c r="O718" i="5"/>
  <c r="P718" i="5" s="1"/>
  <c r="M13" i="7"/>
  <c r="O13" i="7"/>
  <c r="P13" i="7" s="1"/>
  <c r="O19" i="7"/>
  <c r="P19" i="7" s="1"/>
  <c r="M19" i="7"/>
  <c r="O23" i="7"/>
  <c r="P23" i="7" s="1"/>
  <c r="M23" i="7"/>
  <c r="M27" i="7"/>
  <c r="O27" i="7"/>
  <c r="P27" i="7" s="1"/>
  <c r="O31" i="7"/>
  <c r="P31" i="7" s="1"/>
  <c r="M31" i="7"/>
  <c r="O35" i="7"/>
  <c r="P35" i="7" s="1"/>
  <c r="M35" i="7"/>
  <c r="M40" i="7"/>
  <c r="O40" i="7"/>
  <c r="P40" i="7" s="1"/>
  <c r="O44" i="7"/>
  <c r="P44" i="7" s="1"/>
  <c r="M44" i="7"/>
  <c r="O48" i="7"/>
  <c r="P48" i="7" s="1"/>
  <c r="M48" i="7"/>
  <c r="O52" i="7"/>
  <c r="P52" i="7" s="1"/>
  <c r="M52" i="7"/>
  <c r="O58" i="7"/>
  <c r="P58" i="7" s="1"/>
  <c r="M58" i="7"/>
  <c r="M64" i="7"/>
  <c r="O64" i="7"/>
  <c r="P64" i="7" s="1"/>
  <c r="O70" i="7"/>
  <c r="P70" i="7" s="1"/>
  <c r="M70" i="7"/>
  <c r="O74" i="7"/>
  <c r="P74" i="7" s="1"/>
  <c r="M74" i="7"/>
  <c r="M80" i="7"/>
  <c r="O80" i="7"/>
  <c r="P80" i="7" s="1"/>
  <c r="O84" i="7"/>
  <c r="P84" i="7" s="1"/>
  <c r="M84" i="7"/>
  <c r="O88" i="7"/>
  <c r="P88" i="7" s="1"/>
  <c r="M88" i="7"/>
  <c r="O92" i="7"/>
  <c r="P92" i="7" s="1"/>
  <c r="M92" i="7"/>
  <c r="M97" i="7"/>
  <c r="O97" i="7"/>
  <c r="P97" i="7" s="1"/>
  <c r="O102" i="7"/>
  <c r="P102" i="7" s="1"/>
  <c r="M102" i="7"/>
  <c r="M106" i="7"/>
  <c r="O106" i="7"/>
  <c r="P106" i="7" s="1"/>
  <c r="O112" i="7"/>
  <c r="P112" i="7" s="1"/>
  <c r="M112" i="7"/>
  <c r="O116" i="7"/>
  <c r="P116" i="7" s="1"/>
  <c r="M116" i="7"/>
  <c r="O120" i="7"/>
  <c r="P120" i="7" s="1"/>
  <c r="M120" i="7"/>
  <c r="O124" i="7"/>
  <c r="P124" i="7" s="1"/>
  <c r="M124" i="7"/>
  <c r="O128" i="7"/>
  <c r="P128" i="7" s="1"/>
  <c r="M128" i="7"/>
  <c r="M133" i="7"/>
  <c r="O133" i="7"/>
  <c r="P133" i="7" s="1"/>
  <c r="M138" i="7"/>
  <c r="O138" i="7"/>
  <c r="P138" i="7" s="1"/>
  <c r="O144" i="7"/>
  <c r="P144" i="7" s="1"/>
  <c r="M144" i="7"/>
  <c r="O150" i="7"/>
  <c r="P150" i="7" s="1"/>
  <c r="M150" i="7"/>
  <c r="M155" i="7"/>
  <c r="O155" i="7"/>
  <c r="P155" i="7" s="1"/>
  <c r="O159" i="7"/>
  <c r="P159" i="7" s="1"/>
  <c r="M159" i="7"/>
  <c r="M163" i="7"/>
  <c r="O163" i="7"/>
  <c r="P163" i="7" s="1"/>
  <c r="O167" i="7"/>
  <c r="P167" i="7" s="1"/>
  <c r="M167" i="7"/>
  <c r="O173" i="7"/>
  <c r="P173" i="7" s="1"/>
  <c r="M173" i="7"/>
  <c r="O180" i="7"/>
  <c r="P180" i="7" s="1"/>
  <c r="M180" i="7"/>
  <c r="O184" i="7"/>
  <c r="P184" i="7" s="1"/>
  <c r="M184" i="7"/>
  <c r="M188" i="7"/>
  <c r="O188" i="7"/>
  <c r="P188" i="7" s="1"/>
  <c r="O193" i="7"/>
  <c r="P193" i="7" s="1"/>
  <c r="M193" i="7"/>
  <c r="O197" i="7"/>
  <c r="P197" i="7" s="1"/>
  <c r="M197" i="7"/>
  <c r="M201" i="7"/>
  <c r="O201" i="7"/>
  <c r="P201" i="7" s="1"/>
  <c r="O206" i="7"/>
  <c r="P206" i="7" s="1"/>
  <c r="M206" i="7"/>
  <c r="M210" i="7"/>
  <c r="O210" i="7"/>
  <c r="P210" i="7" s="1"/>
  <c r="O215" i="7"/>
  <c r="P215" i="7" s="1"/>
  <c r="M215" i="7"/>
  <c r="M220" i="7"/>
  <c r="O220" i="7"/>
  <c r="P220" i="7" s="1"/>
  <c r="M227" i="7"/>
  <c r="O227" i="7"/>
  <c r="P227" i="7" s="1"/>
  <c r="O234" i="7"/>
  <c r="P234" i="7" s="1"/>
  <c r="M234" i="7"/>
  <c r="O261" i="7"/>
  <c r="P261" i="7" s="1"/>
  <c r="M261" i="7"/>
  <c r="O265" i="7"/>
  <c r="P265" i="7" s="1"/>
  <c r="M265" i="7"/>
  <c r="O269" i="7"/>
  <c r="P269" i="7" s="1"/>
  <c r="M269" i="7"/>
  <c r="O273" i="7"/>
  <c r="P273" i="7" s="1"/>
  <c r="M273" i="7"/>
  <c r="O277" i="7"/>
  <c r="P277" i="7" s="1"/>
  <c r="M277" i="7"/>
  <c r="O281" i="7"/>
  <c r="P281" i="7" s="1"/>
  <c r="M281" i="7"/>
  <c r="O285" i="7"/>
  <c r="P285" i="7" s="1"/>
  <c r="M285" i="7"/>
  <c r="O289" i="7"/>
  <c r="P289" i="7" s="1"/>
  <c r="M289" i="7"/>
  <c r="O293" i="7"/>
  <c r="P293" i="7" s="1"/>
  <c r="M293" i="7"/>
  <c r="M297" i="7"/>
  <c r="O297" i="7"/>
  <c r="P297" i="7" s="1"/>
  <c r="O301" i="7"/>
  <c r="P301" i="7" s="1"/>
  <c r="M301" i="7"/>
  <c r="O305" i="7"/>
  <c r="P305" i="7" s="1"/>
  <c r="M305" i="7"/>
  <c r="M309" i="7"/>
  <c r="O309" i="7"/>
  <c r="P309" i="7" s="1"/>
  <c r="M313" i="7"/>
  <c r="O313" i="7"/>
  <c r="P313" i="7" s="1"/>
  <c r="M317" i="7"/>
  <c r="O317" i="7"/>
  <c r="P317" i="7" s="1"/>
  <c r="O321" i="7"/>
  <c r="P321" i="7" s="1"/>
  <c r="M321" i="7"/>
  <c r="O325" i="7"/>
  <c r="P325" i="7" s="1"/>
  <c r="M325" i="7"/>
  <c r="O329" i="7"/>
  <c r="P329" i="7" s="1"/>
  <c r="M329" i="7"/>
  <c r="O333" i="7"/>
  <c r="P333" i="7" s="1"/>
  <c r="M333" i="7"/>
  <c r="O338" i="7"/>
  <c r="P338" i="7" s="1"/>
  <c r="M338" i="7"/>
  <c r="O344" i="7"/>
  <c r="P344" i="7" s="1"/>
  <c r="M344" i="7"/>
  <c r="O348" i="7"/>
  <c r="P348" i="7" s="1"/>
  <c r="M348" i="7"/>
  <c r="O352" i="7"/>
  <c r="P352" i="7" s="1"/>
  <c r="M352" i="7"/>
  <c r="M356" i="7"/>
  <c r="O356" i="7"/>
  <c r="P356" i="7" s="1"/>
  <c r="M360" i="7"/>
  <c r="O360" i="7"/>
  <c r="P360" i="7" s="1"/>
  <c r="M364" i="7"/>
  <c r="O364" i="7"/>
  <c r="P364" i="7" s="1"/>
  <c r="M368" i="7"/>
  <c r="O368" i="7"/>
  <c r="P368" i="7" s="1"/>
  <c r="O372" i="7"/>
  <c r="P372" i="7" s="1"/>
  <c r="M372" i="7"/>
  <c r="O376" i="7"/>
  <c r="P376" i="7" s="1"/>
  <c r="M376" i="7"/>
  <c r="O380" i="7"/>
  <c r="P380" i="7" s="1"/>
  <c r="M380" i="7"/>
  <c r="M384" i="7"/>
  <c r="O384" i="7"/>
  <c r="P384" i="7" s="1"/>
  <c r="O388" i="7"/>
  <c r="P388" i="7" s="1"/>
  <c r="M388" i="7"/>
  <c r="M392" i="7"/>
  <c r="O392" i="7"/>
  <c r="P392" i="7" s="1"/>
  <c r="M396" i="7"/>
  <c r="O396" i="7"/>
  <c r="P396" i="7" s="1"/>
  <c r="O400" i="7"/>
  <c r="P400" i="7" s="1"/>
  <c r="M400" i="7"/>
  <c r="O404" i="7"/>
  <c r="P404" i="7" s="1"/>
  <c r="M404" i="7"/>
  <c r="M409" i="7"/>
  <c r="O409" i="7"/>
  <c r="P409" i="7" s="1"/>
  <c r="O413" i="7"/>
  <c r="P413" i="7" s="1"/>
  <c r="M413" i="7"/>
  <c r="M417" i="7"/>
  <c r="O417" i="7"/>
  <c r="P417" i="7" s="1"/>
  <c r="M422" i="7"/>
  <c r="O422" i="7"/>
  <c r="P422" i="7" s="1"/>
  <c r="O428" i="7"/>
  <c r="P428" i="7" s="1"/>
  <c r="M428" i="7"/>
  <c r="M434" i="7"/>
  <c r="O434" i="7"/>
  <c r="P434" i="7" s="1"/>
  <c r="M438" i="7"/>
  <c r="O438" i="7"/>
  <c r="P438" i="7" s="1"/>
  <c r="O442" i="7"/>
  <c r="P442" i="7" s="1"/>
  <c r="M442" i="7"/>
  <c r="M452" i="7"/>
  <c r="O452" i="7"/>
  <c r="P452" i="7" s="1"/>
  <c r="M456" i="7"/>
  <c r="O456" i="7"/>
  <c r="P456" i="7" s="1"/>
  <c r="M463" i="7"/>
  <c r="O463" i="7"/>
  <c r="P463" i="7" s="1"/>
  <c r="O472" i="7"/>
  <c r="P472" i="7" s="1"/>
  <c r="M472" i="7"/>
  <c r="M478" i="7"/>
  <c r="O478" i="7"/>
  <c r="P478" i="7" s="1"/>
  <c r="O483" i="7"/>
  <c r="P483" i="7" s="1"/>
  <c r="M483" i="7"/>
  <c r="O489" i="7"/>
  <c r="P489" i="7" s="1"/>
  <c r="M489" i="7"/>
  <c r="M515" i="7"/>
  <c r="O515" i="7"/>
  <c r="P515" i="7" s="1"/>
  <c r="M519" i="7"/>
  <c r="O519" i="7"/>
  <c r="P519" i="7" s="1"/>
  <c r="O523" i="7"/>
  <c r="P523" i="7" s="1"/>
  <c r="M523" i="7"/>
  <c r="M543" i="7"/>
  <c r="O543" i="7"/>
  <c r="P543" i="7" s="1"/>
  <c r="O547" i="7"/>
  <c r="P547" i="7" s="1"/>
  <c r="M547" i="7"/>
  <c r="M552" i="7"/>
  <c r="O552" i="7"/>
  <c r="P552" i="7" s="1"/>
  <c r="O556" i="7"/>
  <c r="P556" i="7" s="1"/>
  <c r="M556" i="7"/>
  <c r="O561" i="7"/>
  <c r="P561" i="7" s="1"/>
  <c r="M561" i="7"/>
  <c r="O565" i="7"/>
  <c r="P565" i="7" s="1"/>
  <c r="M565" i="7"/>
  <c r="M569" i="7"/>
  <c r="O569" i="7"/>
  <c r="P569" i="7" s="1"/>
  <c r="O575" i="7"/>
  <c r="P575" i="7" s="1"/>
  <c r="M575" i="7"/>
  <c r="O579" i="7"/>
  <c r="P579" i="7" s="1"/>
  <c r="M579" i="7"/>
  <c r="M583" i="7"/>
  <c r="O583" i="7"/>
  <c r="P583" i="7" s="1"/>
  <c r="M587" i="7"/>
  <c r="O587" i="7"/>
  <c r="P587" i="7" s="1"/>
  <c r="O591" i="7"/>
  <c r="P591" i="7" s="1"/>
  <c r="M591" i="7"/>
  <c r="M595" i="7"/>
  <c r="O595" i="7"/>
  <c r="P595" i="7" s="1"/>
  <c r="M599" i="7"/>
  <c r="O599" i="7"/>
  <c r="P599" i="7" s="1"/>
  <c r="M603" i="7"/>
  <c r="O603" i="7"/>
  <c r="P603" i="7" s="1"/>
  <c r="M607" i="7"/>
  <c r="O607" i="7"/>
  <c r="P607" i="7" s="1"/>
  <c r="M611" i="7"/>
  <c r="O611" i="7"/>
  <c r="P611" i="7" s="1"/>
  <c r="M615" i="7"/>
  <c r="O615" i="7"/>
  <c r="P615" i="7" s="1"/>
  <c r="O623" i="7"/>
  <c r="P623" i="7" s="1"/>
  <c r="M623" i="7"/>
  <c r="O628" i="7"/>
  <c r="P628" i="7" s="1"/>
  <c r="M628" i="7"/>
  <c r="M636" i="7"/>
  <c r="O636" i="7"/>
  <c r="P636" i="7" s="1"/>
  <c r="M640" i="7"/>
  <c r="O640" i="7"/>
  <c r="P640" i="7" s="1"/>
  <c r="O644" i="7"/>
  <c r="P644" i="7" s="1"/>
  <c r="M644" i="7"/>
  <c r="M648" i="7"/>
  <c r="O648" i="7"/>
  <c r="P648" i="7" s="1"/>
  <c r="O652" i="7"/>
  <c r="P652" i="7" s="1"/>
  <c r="M652" i="7"/>
  <c r="O656" i="7"/>
  <c r="P656" i="7" s="1"/>
  <c r="M656" i="7"/>
  <c r="M660" i="7"/>
  <c r="O660" i="7"/>
  <c r="P660" i="7" s="1"/>
  <c r="O664" i="7"/>
  <c r="P664" i="7" s="1"/>
  <c r="M664" i="7"/>
  <c r="O668" i="7"/>
  <c r="P668" i="7" s="1"/>
  <c r="M668" i="7"/>
  <c r="O672" i="7"/>
  <c r="P672" i="7" s="1"/>
  <c r="M672" i="7"/>
  <c r="O676" i="7"/>
  <c r="P676" i="7" s="1"/>
  <c r="M676" i="7"/>
  <c r="M680" i="7"/>
  <c r="O680" i="7"/>
  <c r="P680" i="7" s="1"/>
  <c r="O702" i="7"/>
  <c r="P702" i="7" s="1"/>
  <c r="M702" i="7"/>
  <c r="O706" i="7"/>
  <c r="P706" i="7" s="1"/>
  <c r="M706" i="7"/>
  <c r="O710" i="7"/>
  <c r="P710" i="7" s="1"/>
  <c r="M710" i="7"/>
  <c r="O9" i="9"/>
  <c r="Q9" i="9"/>
  <c r="R9" i="9" s="1"/>
  <c r="Q17" i="9"/>
  <c r="R17" i="9" s="1"/>
  <c r="O17" i="9"/>
  <c r="Q21" i="9"/>
  <c r="R21" i="9" s="1"/>
  <c r="O21" i="9"/>
  <c r="Q25" i="9"/>
  <c r="R25" i="9" s="1"/>
  <c r="O25" i="9"/>
  <c r="Q29" i="9"/>
  <c r="R29" i="9" s="1"/>
  <c r="O29" i="9"/>
  <c r="Q33" i="9"/>
  <c r="R33" i="9" s="1"/>
  <c r="O33" i="9"/>
  <c r="O38" i="9"/>
  <c r="Q38" i="9"/>
  <c r="R38" i="9" s="1"/>
  <c r="O42" i="9"/>
  <c r="Q42" i="9"/>
  <c r="R42" i="9" s="1"/>
  <c r="O46" i="9"/>
  <c r="Q46" i="9"/>
  <c r="R46" i="9" s="1"/>
  <c r="Q50" i="9"/>
  <c r="R50" i="9" s="1"/>
  <c r="O50" i="9"/>
  <c r="O54" i="9"/>
  <c r="Q54" i="9"/>
  <c r="R54" i="9" s="1"/>
  <c r="O61" i="9"/>
  <c r="Q61" i="9"/>
  <c r="R61" i="9" s="1"/>
  <c r="O68" i="9"/>
  <c r="Q68" i="9"/>
  <c r="R68" i="9" s="1"/>
  <c r="O72" i="9"/>
  <c r="Q72" i="9"/>
  <c r="R72" i="9" s="1"/>
  <c r="Q76" i="9"/>
  <c r="R76" i="9" s="1"/>
  <c r="O76" i="9"/>
  <c r="O82" i="9"/>
  <c r="Q82" i="9"/>
  <c r="R82" i="9" s="1"/>
  <c r="O86" i="9"/>
  <c r="Q86" i="9"/>
  <c r="R86" i="9" s="1"/>
  <c r="O90" i="9"/>
  <c r="Q90" i="9"/>
  <c r="R90" i="9" s="1"/>
  <c r="O95" i="9"/>
  <c r="Q95" i="9"/>
  <c r="R95" i="9" s="1"/>
  <c r="O99" i="9"/>
  <c r="Q99" i="9"/>
  <c r="R99" i="9" s="1"/>
  <c r="Q104" i="9"/>
  <c r="R104" i="9" s="1"/>
  <c r="O104" i="9"/>
  <c r="O110" i="9"/>
  <c r="Q110" i="9"/>
  <c r="R110" i="9" s="1"/>
  <c r="Q114" i="9"/>
  <c r="R114" i="9" s="1"/>
  <c r="O114" i="9"/>
  <c r="O118" i="9"/>
  <c r="Q118" i="9"/>
  <c r="R118" i="9" s="1"/>
  <c r="Q122" i="9"/>
  <c r="R122" i="9" s="1"/>
  <c r="O122" i="9"/>
  <c r="Q126" i="9"/>
  <c r="R126" i="9" s="1"/>
  <c r="O126" i="9"/>
  <c r="O131" i="9"/>
  <c r="Q131" i="9"/>
  <c r="R131" i="9" s="1"/>
  <c r="Q136" i="9"/>
  <c r="R136" i="9" s="1"/>
  <c r="O136" i="9"/>
  <c r="Q141" i="9"/>
  <c r="R141" i="9" s="1"/>
  <c r="O141" i="9"/>
  <c r="O146" i="9"/>
  <c r="Q146" i="9"/>
  <c r="R146" i="9" s="1"/>
  <c r="Q152" i="9"/>
  <c r="R152" i="9" s="1"/>
  <c r="O152" i="9"/>
  <c r="Q157" i="9"/>
  <c r="R157" i="9" s="1"/>
  <c r="O157" i="9"/>
  <c r="O161" i="9"/>
  <c r="Q161" i="9"/>
  <c r="R161" i="9" s="1"/>
  <c r="O165" i="9"/>
  <c r="Q165" i="9"/>
  <c r="R165" i="9" s="1"/>
  <c r="O169" i="9"/>
  <c r="Q169" i="9"/>
  <c r="R169" i="9" s="1"/>
  <c r="O175" i="9"/>
  <c r="Q175" i="9"/>
  <c r="R175" i="9" s="1"/>
  <c r="Q182" i="9"/>
  <c r="R182" i="9" s="1"/>
  <c r="O182" i="9"/>
  <c r="Q186" i="9"/>
  <c r="R186" i="9" s="1"/>
  <c r="O186" i="9"/>
  <c r="Q191" i="9"/>
  <c r="R191" i="9" s="1"/>
  <c r="O191" i="9"/>
  <c r="O195" i="9"/>
  <c r="Q195" i="9"/>
  <c r="R195" i="9" s="1"/>
  <c r="O199" i="9"/>
  <c r="Q199" i="9"/>
  <c r="R199" i="9" s="1"/>
  <c r="O203" i="9"/>
  <c r="Q203" i="9"/>
  <c r="R203" i="9" s="1"/>
  <c r="Q208" i="9"/>
  <c r="R208" i="9" s="1"/>
  <c r="O208" i="9"/>
  <c r="O213" i="9"/>
  <c r="Q213" i="9"/>
  <c r="R213" i="9" s="1"/>
  <c r="O217" i="9"/>
  <c r="Q217" i="9"/>
  <c r="R217" i="9" s="1"/>
  <c r="O223" i="9"/>
  <c r="Q223" i="9"/>
  <c r="R223" i="9" s="1"/>
  <c r="Q229" i="9"/>
  <c r="R229" i="9" s="1"/>
  <c r="O229" i="9"/>
  <c r="O239" i="9"/>
  <c r="Q239" i="9"/>
  <c r="R239" i="9" s="1"/>
  <c r="O263" i="9"/>
  <c r="Q263" i="9"/>
  <c r="R263" i="9" s="1"/>
  <c r="O267" i="9"/>
  <c r="Q267" i="9"/>
  <c r="R267" i="9" s="1"/>
  <c r="O271" i="9"/>
  <c r="Q271" i="9"/>
  <c r="R271" i="9" s="1"/>
  <c r="O275" i="9"/>
  <c r="Q275" i="9"/>
  <c r="R275" i="9" s="1"/>
  <c r="O279" i="9"/>
  <c r="Q279" i="9"/>
  <c r="R279" i="9" s="1"/>
  <c r="O283" i="9"/>
  <c r="Q283" i="9"/>
  <c r="R283" i="9" s="1"/>
  <c r="O287" i="9"/>
  <c r="Q287" i="9"/>
  <c r="R287" i="9" s="1"/>
  <c r="O291" i="9"/>
  <c r="Q291" i="9"/>
  <c r="R291" i="9" s="1"/>
  <c r="O295" i="9"/>
  <c r="Q295" i="9"/>
  <c r="R295" i="9" s="1"/>
  <c r="O299" i="9"/>
  <c r="Q299" i="9"/>
  <c r="R299" i="9" s="1"/>
  <c r="O303" i="9"/>
  <c r="Q303" i="9"/>
  <c r="R303" i="9" s="1"/>
  <c r="O307" i="9"/>
  <c r="Q307" i="9"/>
  <c r="R307" i="9" s="1"/>
  <c r="O311" i="9"/>
  <c r="Q311" i="9"/>
  <c r="R311" i="9" s="1"/>
  <c r="O315" i="9"/>
  <c r="Q315" i="9"/>
  <c r="R315" i="9" s="1"/>
  <c r="O319" i="9"/>
  <c r="Q319" i="9"/>
  <c r="R319" i="9" s="1"/>
  <c r="O323" i="9"/>
  <c r="Q323" i="9"/>
  <c r="R323" i="9" s="1"/>
  <c r="O327" i="9"/>
  <c r="Q327" i="9"/>
  <c r="R327" i="9" s="1"/>
  <c r="O331" i="9"/>
  <c r="Q331" i="9"/>
  <c r="R331" i="9" s="1"/>
  <c r="O335" i="9"/>
  <c r="Q335" i="9"/>
  <c r="R335" i="9" s="1"/>
  <c r="O340" i="9"/>
  <c r="Q340" i="9"/>
  <c r="R340" i="9" s="1"/>
  <c r="Q346" i="9"/>
  <c r="R346" i="9" s="1"/>
  <c r="O346" i="9"/>
  <c r="Q350" i="9"/>
  <c r="R350" i="9" s="1"/>
  <c r="O350" i="9"/>
  <c r="Q354" i="9"/>
  <c r="R354" i="9" s="1"/>
  <c r="O354" i="9"/>
  <c r="Q358" i="9"/>
  <c r="R358" i="9" s="1"/>
  <c r="O358" i="9"/>
  <c r="Q362" i="9"/>
  <c r="R362" i="9" s="1"/>
  <c r="O362" i="9"/>
  <c r="O366" i="9"/>
  <c r="Q366" i="9"/>
  <c r="R366" i="9" s="1"/>
  <c r="Q370" i="9"/>
  <c r="R370" i="9" s="1"/>
  <c r="O370" i="9"/>
  <c r="O374" i="9"/>
  <c r="Q374" i="9"/>
  <c r="R374" i="9" s="1"/>
  <c r="O378" i="9"/>
  <c r="Q378" i="9"/>
  <c r="R378" i="9" s="1"/>
  <c r="O382" i="9"/>
  <c r="Q382" i="9"/>
  <c r="R382" i="9" s="1"/>
  <c r="Q386" i="9"/>
  <c r="R386" i="9" s="1"/>
  <c r="O386" i="9"/>
  <c r="O390" i="9"/>
  <c r="Q390" i="9"/>
  <c r="R390" i="9" s="1"/>
  <c r="Q394" i="9"/>
  <c r="R394" i="9" s="1"/>
  <c r="O394" i="9"/>
  <c r="Q398" i="9"/>
  <c r="R398" i="9" s="1"/>
  <c r="O398" i="9"/>
  <c r="Q402" i="9"/>
  <c r="R402" i="9" s="1"/>
  <c r="O402" i="9"/>
  <c r="Q406" i="9"/>
  <c r="R406" i="9" s="1"/>
  <c r="O406" i="9"/>
  <c r="O412" i="9"/>
  <c r="Q412" i="9"/>
  <c r="R412" i="9" s="1"/>
  <c r="Q416" i="9"/>
  <c r="R416" i="9" s="1"/>
  <c r="O416" i="9"/>
  <c r="O421" i="9"/>
  <c r="Q421" i="9"/>
  <c r="R421" i="9" s="1"/>
  <c r="O427" i="9"/>
  <c r="Q427" i="9"/>
  <c r="R427" i="9" s="1"/>
  <c r="O433" i="9"/>
  <c r="Q433" i="9"/>
  <c r="R433" i="9" s="1"/>
  <c r="Q437" i="9"/>
  <c r="R437" i="9" s="1"/>
  <c r="O437" i="9"/>
  <c r="O441" i="9"/>
  <c r="Q441" i="9"/>
  <c r="R441" i="9" s="1"/>
  <c r="O451" i="9"/>
  <c r="Q451" i="9"/>
  <c r="R451" i="9" s="1"/>
  <c r="Q455" i="9"/>
  <c r="R455" i="9" s="1"/>
  <c r="O455" i="9"/>
  <c r="Q461" i="9"/>
  <c r="R461" i="9" s="1"/>
  <c r="O461" i="9"/>
  <c r="O472" i="9"/>
  <c r="Q472" i="9"/>
  <c r="R472" i="9" s="1"/>
  <c r="Q478" i="9"/>
  <c r="R478" i="9" s="1"/>
  <c r="O478" i="9"/>
  <c r="O483" i="9"/>
  <c r="Q483" i="9"/>
  <c r="R483" i="9" s="1"/>
  <c r="O489" i="9"/>
  <c r="Q489" i="9"/>
  <c r="R489" i="9" s="1"/>
  <c r="O515" i="9"/>
  <c r="Q515" i="9"/>
  <c r="R515" i="9" s="1"/>
  <c r="O519" i="9"/>
  <c r="Q519" i="9"/>
  <c r="R519" i="9" s="1"/>
  <c r="O523" i="9"/>
  <c r="Q523" i="9"/>
  <c r="R523" i="9" s="1"/>
  <c r="O543" i="9"/>
  <c r="Q543" i="9"/>
  <c r="R543" i="9" s="1"/>
  <c r="O547" i="9"/>
  <c r="Q547" i="9"/>
  <c r="R547" i="9" s="1"/>
  <c r="Q552" i="9"/>
  <c r="R552" i="9" s="1"/>
  <c r="O552" i="9"/>
  <c r="O556" i="9"/>
  <c r="Q556" i="9"/>
  <c r="R556" i="9" s="1"/>
  <c r="O561" i="9"/>
  <c r="Q561" i="9"/>
  <c r="R561" i="9" s="1"/>
  <c r="O565" i="9"/>
  <c r="Q565" i="9"/>
  <c r="R565" i="9" s="1"/>
  <c r="O569" i="9"/>
  <c r="Q569" i="9"/>
  <c r="R569" i="9" s="1"/>
  <c r="O575" i="9"/>
  <c r="Q575" i="9"/>
  <c r="R575" i="9" s="1"/>
  <c r="O579" i="9"/>
  <c r="Q579" i="9"/>
  <c r="R579" i="9" s="1"/>
  <c r="O583" i="9"/>
  <c r="Q583" i="9"/>
  <c r="R583" i="9" s="1"/>
  <c r="O587" i="9"/>
  <c r="Q587" i="9"/>
  <c r="R587" i="9" s="1"/>
  <c r="O591" i="9"/>
  <c r="Q591" i="9"/>
  <c r="R591" i="9" s="1"/>
  <c r="O595" i="9"/>
  <c r="Q595" i="9"/>
  <c r="R595" i="9" s="1"/>
  <c r="O599" i="9"/>
  <c r="Q599" i="9"/>
  <c r="R599" i="9" s="1"/>
  <c r="Q603" i="9"/>
  <c r="R603" i="9" s="1"/>
  <c r="O603" i="9"/>
  <c r="O607" i="9"/>
  <c r="Q607" i="9"/>
  <c r="R607" i="9" s="1"/>
  <c r="Q611" i="9"/>
  <c r="R611" i="9" s="1"/>
  <c r="O611" i="9"/>
  <c r="O615" i="9"/>
  <c r="Q615" i="9"/>
  <c r="R615" i="9" s="1"/>
  <c r="O623" i="9"/>
  <c r="Q623" i="9"/>
  <c r="R623" i="9" s="1"/>
  <c r="O628" i="9"/>
  <c r="Q628" i="9"/>
  <c r="R628" i="9" s="1"/>
  <c r="O636" i="9"/>
  <c r="Q636" i="9"/>
  <c r="R636" i="9" s="1"/>
  <c r="Q640" i="9"/>
  <c r="R640" i="9" s="1"/>
  <c r="O640" i="9"/>
  <c r="Q644" i="9"/>
  <c r="R644" i="9" s="1"/>
  <c r="O644" i="9"/>
  <c r="Q648" i="9"/>
  <c r="R648" i="9" s="1"/>
  <c r="O648" i="9"/>
  <c r="Q652" i="9"/>
  <c r="R652" i="9" s="1"/>
  <c r="O652" i="9"/>
  <c r="O656" i="9"/>
  <c r="Q656" i="9"/>
  <c r="R656" i="9" s="1"/>
  <c r="O660" i="9"/>
  <c r="Q660" i="9"/>
  <c r="R660" i="9" s="1"/>
  <c r="O664" i="9"/>
  <c r="Q664" i="9"/>
  <c r="R664" i="9" s="1"/>
  <c r="O668" i="9"/>
  <c r="Q668" i="9"/>
  <c r="R668" i="9" s="1"/>
  <c r="O672" i="9"/>
  <c r="Q672" i="9"/>
  <c r="R672" i="9" s="1"/>
  <c r="O676" i="9"/>
  <c r="Q676" i="9"/>
  <c r="R676" i="9" s="1"/>
  <c r="O680" i="9"/>
  <c r="Q680" i="9"/>
  <c r="R680" i="9" s="1"/>
  <c r="Q702" i="9"/>
  <c r="R702" i="9" s="1"/>
  <c r="O702" i="9"/>
  <c r="O706" i="9"/>
  <c r="Q706" i="9"/>
  <c r="R706" i="9" s="1"/>
  <c r="O710" i="9"/>
  <c r="Q710" i="9"/>
  <c r="R710" i="9" s="1"/>
  <c r="Q9" i="11"/>
  <c r="S9" i="11"/>
  <c r="T9" i="11" s="1"/>
  <c r="Q17" i="11"/>
  <c r="S17" i="11"/>
  <c r="T17" i="11" s="1"/>
  <c r="S21" i="11"/>
  <c r="T21" i="11" s="1"/>
  <c r="Q21" i="11"/>
  <c r="S25" i="11"/>
  <c r="T25" i="11" s="1"/>
  <c r="Q25" i="11"/>
  <c r="Q29" i="11"/>
  <c r="S29" i="11"/>
  <c r="T29" i="11" s="1"/>
  <c r="Q33" i="11"/>
  <c r="S33" i="11"/>
  <c r="T33" i="11" s="1"/>
  <c r="S38" i="11"/>
  <c r="T38" i="11" s="1"/>
  <c r="Q38" i="11"/>
  <c r="S42" i="11"/>
  <c r="T42" i="11" s="1"/>
  <c r="Q42" i="11"/>
  <c r="Q46" i="11"/>
  <c r="S46" i="11"/>
  <c r="T46" i="11" s="1"/>
  <c r="Q50" i="11"/>
  <c r="S50" i="11"/>
  <c r="T50" i="11" s="1"/>
  <c r="Q54" i="11"/>
  <c r="S54" i="11"/>
  <c r="T54" i="11" s="1"/>
  <c r="S61" i="11"/>
  <c r="T61" i="11" s="1"/>
  <c r="Q61" i="11"/>
  <c r="Q68" i="11"/>
  <c r="S68" i="11"/>
  <c r="T68" i="11" s="1"/>
  <c r="Q72" i="11"/>
  <c r="S72" i="11"/>
  <c r="T72" i="11" s="1"/>
  <c r="Q76" i="11"/>
  <c r="S76" i="11"/>
  <c r="T76" i="11" s="1"/>
  <c r="S82" i="11"/>
  <c r="T82" i="11" s="1"/>
  <c r="Q82" i="11"/>
  <c r="Q86" i="11"/>
  <c r="S86" i="11"/>
  <c r="T86" i="11" s="1"/>
  <c r="Q90" i="11"/>
  <c r="S90" i="11"/>
  <c r="T90" i="11" s="1"/>
  <c r="S95" i="11"/>
  <c r="T95" i="11" s="1"/>
  <c r="Q95" i="11"/>
  <c r="S99" i="11"/>
  <c r="T99" i="11" s="1"/>
  <c r="Q99" i="11"/>
  <c r="Q104" i="11"/>
  <c r="S104" i="11"/>
  <c r="T104" i="11" s="1"/>
  <c r="Q110" i="11"/>
  <c r="S110" i="11"/>
  <c r="T110" i="11" s="1"/>
  <c r="S114" i="11"/>
  <c r="T114" i="11" s="1"/>
  <c r="Q114" i="11"/>
  <c r="Q118" i="11"/>
  <c r="S118" i="11"/>
  <c r="T118" i="11" s="1"/>
  <c r="Q122" i="11"/>
  <c r="S122" i="11"/>
  <c r="T122" i="11" s="1"/>
  <c r="Q126" i="11"/>
  <c r="S126" i="11"/>
  <c r="T126" i="11" s="1"/>
  <c r="Q131" i="11"/>
  <c r="S131" i="11"/>
  <c r="T131" i="11" s="1"/>
  <c r="Q136" i="11"/>
  <c r="S136" i="11"/>
  <c r="T136" i="11" s="1"/>
  <c r="Q141" i="11"/>
  <c r="S141" i="11"/>
  <c r="T141" i="11" s="1"/>
  <c r="Q146" i="11"/>
  <c r="S146" i="11"/>
  <c r="T146" i="11" s="1"/>
  <c r="Q152" i="11"/>
  <c r="S152" i="11"/>
  <c r="T152" i="11" s="1"/>
  <c r="Q157" i="11"/>
  <c r="S157" i="11"/>
  <c r="T157" i="11" s="1"/>
  <c r="S161" i="11"/>
  <c r="T161" i="11" s="1"/>
  <c r="Q161" i="11"/>
  <c r="Q165" i="11"/>
  <c r="S165" i="11"/>
  <c r="T165" i="11" s="1"/>
  <c r="S169" i="11"/>
  <c r="T169" i="11" s="1"/>
  <c r="Q169" i="11"/>
  <c r="Q175" i="11"/>
  <c r="S175" i="11"/>
  <c r="T175" i="11" s="1"/>
  <c r="Q182" i="11"/>
  <c r="S182" i="11"/>
  <c r="T182" i="11" s="1"/>
  <c r="Q186" i="11"/>
  <c r="S186" i="11"/>
  <c r="T186" i="11" s="1"/>
  <c r="Q191" i="11"/>
  <c r="S191" i="11"/>
  <c r="T191" i="11" s="1"/>
  <c r="Q195" i="11"/>
  <c r="S195" i="11"/>
  <c r="T195" i="11" s="1"/>
  <c r="S199" i="11"/>
  <c r="T199" i="11" s="1"/>
  <c r="Q199" i="11"/>
  <c r="S203" i="11"/>
  <c r="T203" i="11" s="1"/>
  <c r="Q203" i="11"/>
  <c r="Q208" i="11"/>
  <c r="S208" i="11"/>
  <c r="T208" i="11" s="1"/>
  <c r="Q213" i="11"/>
  <c r="S213" i="11"/>
  <c r="T213" i="11" s="1"/>
  <c r="S217" i="11"/>
  <c r="T217" i="11" s="1"/>
  <c r="Q217" i="11"/>
  <c r="Q223" i="11"/>
  <c r="S223" i="11"/>
  <c r="T223" i="11" s="1"/>
  <c r="S229" i="11"/>
  <c r="T229" i="11" s="1"/>
  <c r="Q229" i="11"/>
  <c r="S239" i="11"/>
  <c r="T239" i="11" s="1"/>
  <c r="Q239" i="11"/>
  <c r="Q263" i="11"/>
  <c r="S263" i="11"/>
  <c r="T263" i="11" s="1"/>
  <c r="Q267" i="11"/>
  <c r="S267" i="11"/>
  <c r="T267" i="11" s="1"/>
  <c r="S271" i="11"/>
  <c r="T271" i="11" s="1"/>
  <c r="Q271" i="11"/>
  <c r="Q275" i="11"/>
  <c r="S275" i="11"/>
  <c r="T275" i="11" s="1"/>
  <c r="Q279" i="11"/>
  <c r="S279" i="11"/>
  <c r="T279" i="11" s="1"/>
  <c r="S283" i="11"/>
  <c r="T283" i="11" s="1"/>
  <c r="Q283" i="11"/>
  <c r="S287" i="11"/>
  <c r="T287" i="11" s="1"/>
  <c r="Q287" i="11"/>
  <c r="S291" i="11"/>
  <c r="T291" i="11" s="1"/>
  <c r="Q291" i="11"/>
  <c r="S295" i="11"/>
  <c r="T295" i="11" s="1"/>
  <c r="Q295" i="11"/>
  <c r="S299" i="11"/>
  <c r="T299" i="11" s="1"/>
  <c r="Q299" i="11"/>
  <c r="Q303" i="11"/>
  <c r="S303" i="11"/>
  <c r="T303" i="11" s="1"/>
  <c r="S307" i="11"/>
  <c r="T307" i="11" s="1"/>
  <c r="Q307" i="11"/>
  <c r="S311" i="11"/>
  <c r="T311" i="11" s="1"/>
  <c r="Q311" i="11"/>
  <c r="Q315" i="11"/>
  <c r="S315" i="11"/>
  <c r="T315" i="11" s="1"/>
  <c r="Q319" i="11"/>
  <c r="S319" i="11"/>
  <c r="T319" i="11" s="1"/>
  <c r="Q323" i="11"/>
  <c r="S323" i="11"/>
  <c r="T323" i="11" s="1"/>
  <c r="Q327" i="11"/>
  <c r="S327" i="11"/>
  <c r="T327" i="11" s="1"/>
  <c r="Q331" i="11"/>
  <c r="S331" i="11"/>
  <c r="T331" i="11" s="1"/>
  <c r="Q335" i="11"/>
  <c r="S335" i="11"/>
  <c r="T335" i="11" s="1"/>
  <c r="Q340" i="11"/>
  <c r="S340" i="11"/>
  <c r="T340" i="11" s="1"/>
  <c r="S346" i="11"/>
  <c r="T346" i="11" s="1"/>
  <c r="Q346" i="11"/>
  <c r="Q350" i="11"/>
  <c r="S350" i="11"/>
  <c r="T350" i="11" s="1"/>
  <c r="S354" i="11"/>
  <c r="T354" i="11" s="1"/>
  <c r="Q354" i="11"/>
  <c r="Q358" i="11"/>
  <c r="S358" i="11"/>
  <c r="T358" i="11" s="1"/>
  <c r="S362" i="11"/>
  <c r="T362" i="11" s="1"/>
  <c r="Q362" i="11"/>
  <c r="Q366" i="11"/>
  <c r="S366" i="11"/>
  <c r="T366" i="11" s="1"/>
  <c r="S370" i="11"/>
  <c r="T370" i="11" s="1"/>
  <c r="Q370" i="11"/>
  <c r="Q374" i="11"/>
  <c r="S374" i="11"/>
  <c r="T374" i="11" s="1"/>
  <c r="S378" i="11"/>
  <c r="T378" i="11" s="1"/>
  <c r="Q378" i="11"/>
  <c r="Q382" i="11"/>
  <c r="S382" i="11"/>
  <c r="T382" i="11" s="1"/>
  <c r="Q386" i="11"/>
  <c r="S386" i="11"/>
  <c r="T386" i="11" s="1"/>
  <c r="S390" i="11"/>
  <c r="T390" i="11" s="1"/>
  <c r="Q390" i="11"/>
  <c r="Q394" i="11"/>
  <c r="S394" i="11"/>
  <c r="T394" i="11" s="1"/>
  <c r="Q398" i="11"/>
  <c r="S398" i="11"/>
  <c r="T398" i="11" s="1"/>
  <c r="Q402" i="11"/>
  <c r="S402" i="11"/>
  <c r="T402" i="11" s="1"/>
  <c r="S406" i="11"/>
  <c r="T406" i="11" s="1"/>
  <c r="Q406" i="11"/>
  <c r="Q412" i="11"/>
  <c r="S412" i="11"/>
  <c r="T412" i="11" s="1"/>
  <c r="S416" i="11"/>
  <c r="T416" i="11" s="1"/>
  <c r="Q416" i="11"/>
  <c r="Q421" i="11"/>
  <c r="S421" i="11"/>
  <c r="T421" i="11" s="1"/>
  <c r="S427" i="11"/>
  <c r="T427" i="11" s="1"/>
  <c r="Q427" i="11"/>
  <c r="S433" i="11"/>
  <c r="T433" i="11" s="1"/>
  <c r="Q433" i="11"/>
  <c r="S437" i="11"/>
  <c r="T437" i="11" s="1"/>
  <c r="Q437" i="11"/>
  <c r="Q441" i="11"/>
  <c r="S441" i="11"/>
  <c r="T441" i="11" s="1"/>
  <c r="Q451" i="11"/>
  <c r="S451" i="11"/>
  <c r="T451" i="11" s="1"/>
  <c r="Q455" i="11"/>
  <c r="S455" i="11"/>
  <c r="T455" i="11" s="1"/>
  <c r="S461" i="11"/>
  <c r="T461" i="11" s="1"/>
  <c r="Q461" i="11"/>
  <c r="Q472" i="11"/>
  <c r="S472" i="11"/>
  <c r="T472" i="11" s="1"/>
  <c r="S478" i="11"/>
  <c r="T478" i="11" s="1"/>
  <c r="Q478" i="11"/>
  <c r="Q483" i="11"/>
  <c r="S483" i="11"/>
  <c r="T483" i="11" s="1"/>
  <c r="Q489" i="11"/>
  <c r="S489" i="11"/>
  <c r="T489" i="11" s="1"/>
  <c r="Q515" i="11"/>
  <c r="S515" i="11"/>
  <c r="T515" i="11" s="1"/>
  <c r="S519" i="11"/>
  <c r="T519" i="11" s="1"/>
  <c r="Q519" i="11"/>
  <c r="S523" i="11"/>
  <c r="T523" i="11" s="1"/>
  <c r="Q523" i="11"/>
  <c r="Q543" i="11"/>
  <c r="S543" i="11"/>
  <c r="T543" i="11" s="1"/>
  <c r="Q547" i="11"/>
  <c r="S547" i="11"/>
  <c r="T547" i="11" s="1"/>
  <c r="S552" i="11"/>
  <c r="T552" i="11" s="1"/>
  <c r="Q552" i="11"/>
  <c r="Q556" i="11"/>
  <c r="S556" i="11"/>
  <c r="T556" i="11" s="1"/>
  <c r="Q561" i="11"/>
  <c r="S561" i="11"/>
  <c r="T561" i="11" s="1"/>
  <c r="Q565" i="11"/>
  <c r="S565" i="11"/>
  <c r="T565" i="11" s="1"/>
  <c r="S569" i="11"/>
  <c r="T569" i="11" s="1"/>
  <c r="Q569" i="11"/>
  <c r="Q575" i="11"/>
  <c r="S575" i="11"/>
  <c r="T575" i="11" s="1"/>
  <c r="Q579" i="11"/>
  <c r="S579" i="11"/>
  <c r="T579" i="11" s="1"/>
  <c r="S583" i="11"/>
  <c r="T583" i="11" s="1"/>
  <c r="Q583" i="11"/>
  <c r="S587" i="11"/>
  <c r="T587" i="11" s="1"/>
  <c r="Q587" i="11"/>
  <c r="Q591" i="11"/>
  <c r="S591" i="11"/>
  <c r="T591" i="11" s="1"/>
  <c r="S595" i="11"/>
  <c r="T595" i="11" s="1"/>
  <c r="Q595" i="11"/>
  <c r="Q599" i="11"/>
  <c r="S599" i="11"/>
  <c r="T599" i="11" s="1"/>
  <c r="S603" i="11"/>
  <c r="T603" i="11" s="1"/>
  <c r="Q603" i="11"/>
  <c r="S607" i="11"/>
  <c r="T607" i="11" s="1"/>
  <c r="Q607" i="11"/>
  <c r="Q611" i="11"/>
  <c r="S611" i="11"/>
  <c r="T611" i="11" s="1"/>
  <c r="S615" i="11"/>
  <c r="T615" i="11" s="1"/>
  <c r="Q615" i="11"/>
  <c r="S623" i="11"/>
  <c r="T623" i="11" s="1"/>
  <c r="Q623" i="11"/>
  <c r="Q628" i="11"/>
  <c r="S628" i="11"/>
  <c r="T628" i="11" s="1"/>
  <c r="S636" i="11"/>
  <c r="T636" i="11" s="1"/>
  <c r="Q636" i="11"/>
  <c r="S640" i="11"/>
  <c r="T640" i="11" s="1"/>
  <c r="Q640" i="11"/>
  <c r="Q644" i="11"/>
  <c r="S644" i="11"/>
  <c r="T644" i="11" s="1"/>
  <c r="Q648" i="11"/>
  <c r="S648" i="11"/>
  <c r="T648" i="11" s="1"/>
  <c r="Q652" i="11"/>
  <c r="S652" i="11"/>
  <c r="T652" i="11" s="1"/>
  <c r="Q656" i="11"/>
  <c r="S656" i="11"/>
  <c r="T656" i="11" s="1"/>
  <c r="S660" i="11"/>
  <c r="T660" i="11" s="1"/>
  <c r="Q660" i="11"/>
  <c r="Q664" i="11"/>
  <c r="S664" i="11"/>
  <c r="T664" i="11" s="1"/>
  <c r="Q668" i="11"/>
  <c r="S668" i="11"/>
  <c r="T668" i="11" s="1"/>
  <c r="Q672" i="11"/>
  <c r="S672" i="11"/>
  <c r="T672" i="11" s="1"/>
  <c r="Q676" i="11"/>
  <c r="S676" i="11"/>
  <c r="T676" i="11" s="1"/>
  <c r="S680" i="11"/>
  <c r="T680" i="11" s="1"/>
  <c r="Q680" i="11"/>
  <c r="S702" i="11"/>
  <c r="T702" i="11" s="1"/>
  <c r="Q702" i="11"/>
  <c r="S706" i="11"/>
  <c r="T706" i="11" s="1"/>
  <c r="Q706" i="11"/>
  <c r="Q710" i="11"/>
  <c r="S710" i="11"/>
  <c r="T710" i="11" s="1"/>
  <c r="R6" i="14"/>
  <c r="F6" i="14"/>
  <c r="G6" i="14" s="1"/>
  <c r="I6" i="14" s="1"/>
  <c r="S9" i="14"/>
  <c r="Q9" i="14"/>
  <c r="F14" i="14"/>
  <c r="G14" i="14" s="1"/>
  <c r="I14" i="14" s="1"/>
  <c r="R14" i="14"/>
  <c r="Q15" i="14"/>
  <c r="S15" i="14"/>
  <c r="F18" i="14"/>
  <c r="G18" i="14" s="1"/>
  <c r="I18" i="14" s="1"/>
  <c r="R18" i="14"/>
  <c r="Q19" i="14"/>
  <c r="S19" i="14"/>
  <c r="S23" i="14"/>
  <c r="Q23" i="14"/>
  <c r="F26" i="14"/>
  <c r="G26" i="14" s="1"/>
  <c r="I26" i="14" s="1"/>
  <c r="R26" i="14"/>
  <c r="Q27" i="14"/>
  <c r="S27" i="14"/>
  <c r="T27" i="14" s="1"/>
  <c r="R30" i="14"/>
  <c r="F30" i="14"/>
  <c r="G30" i="14" s="1"/>
  <c r="I30" i="14" s="1"/>
  <c r="S31" i="14"/>
  <c r="Q31" i="14"/>
  <c r="R34" i="14"/>
  <c r="F34" i="14"/>
  <c r="G34" i="14" s="1"/>
  <c r="I34" i="14" s="1"/>
  <c r="Q35" i="14"/>
  <c r="S35" i="14"/>
  <c r="F38" i="14"/>
  <c r="G38" i="14" s="1"/>
  <c r="I38" i="14" s="1"/>
  <c r="R38" i="14"/>
  <c r="Q39" i="14"/>
  <c r="S39" i="14"/>
  <c r="F42" i="14"/>
  <c r="G42" i="14" s="1"/>
  <c r="I42" i="14" s="1"/>
  <c r="R42" i="14"/>
  <c r="Q43" i="14"/>
  <c r="S43" i="14"/>
  <c r="Q47" i="14"/>
  <c r="S47" i="14"/>
  <c r="F50" i="14"/>
  <c r="G50" i="14" s="1"/>
  <c r="I50" i="14" s="1"/>
  <c r="R50" i="14"/>
  <c r="S51" i="14"/>
  <c r="Q51" i="14"/>
  <c r="Q55" i="14"/>
  <c r="S55" i="14"/>
  <c r="S70" i="14"/>
  <c r="Q70" i="14"/>
  <c r="R73" i="14"/>
  <c r="F73" i="14"/>
  <c r="G73" i="14" s="1"/>
  <c r="I73" i="14" s="1"/>
  <c r="Q74" i="14"/>
  <c r="S74" i="14"/>
  <c r="S78" i="14"/>
  <c r="Q78" i="14"/>
  <c r="R81" i="14"/>
  <c r="F81" i="14"/>
  <c r="G81" i="14" s="1"/>
  <c r="I81" i="14" s="1"/>
  <c r="S82" i="14"/>
  <c r="Q82" i="14"/>
  <c r="F85" i="14"/>
  <c r="G85" i="14" s="1"/>
  <c r="I85" i="14" s="1"/>
  <c r="R85" i="14"/>
  <c r="Q86" i="14"/>
  <c r="S86" i="14"/>
  <c r="F89" i="14"/>
  <c r="G89" i="14" s="1"/>
  <c r="I89" i="14" s="1"/>
  <c r="R89" i="14"/>
  <c r="S90" i="14"/>
  <c r="Q90" i="14"/>
  <c r="F93" i="14"/>
  <c r="G93" i="14" s="1"/>
  <c r="I93" i="14" s="1"/>
  <c r="R93" i="14"/>
  <c r="Q112" i="14"/>
  <c r="S112" i="14"/>
  <c r="T112" i="14" s="1"/>
  <c r="R115" i="14"/>
  <c r="F115" i="14"/>
  <c r="G115" i="14" s="1"/>
  <c r="I115" i="14" s="1"/>
  <c r="Q116" i="14"/>
  <c r="S116" i="14"/>
  <c r="F119" i="14"/>
  <c r="G119" i="14" s="1"/>
  <c r="I119" i="14" s="1"/>
  <c r="R119" i="14"/>
  <c r="Q120" i="14"/>
  <c r="S120" i="14"/>
  <c r="T120" i="14" s="1"/>
  <c r="R123" i="14"/>
  <c r="F123" i="14"/>
  <c r="G123" i="14" s="1"/>
  <c r="I123" i="14" s="1"/>
  <c r="Q124" i="14"/>
  <c r="S124" i="14"/>
  <c r="R127" i="14"/>
  <c r="F127" i="14"/>
  <c r="G127" i="14" s="1"/>
  <c r="I127" i="14" s="1"/>
  <c r="S128" i="14"/>
  <c r="Q128" i="14"/>
  <c r="Q139" i="14"/>
  <c r="S139" i="14"/>
  <c r="R142" i="14"/>
  <c r="F142" i="14"/>
  <c r="G142" i="14" s="1"/>
  <c r="I142" i="14" s="1"/>
  <c r="Q143" i="14"/>
  <c r="S143" i="14"/>
  <c r="T143" i="14" s="1"/>
  <c r="R146" i="14"/>
  <c r="F146" i="14"/>
  <c r="G146" i="14" s="1"/>
  <c r="I146" i="14" s="1"/>
  <c r="Q147" i="14"/>
  <c r="S147" i="14"/>
  <c r="Q158" i="14"/>
  <c r="S158" i="14"/>
  <c r="R161" i="14"/>
  <c r="F161" i="14"/>
  <c r="G161" i="14" s="1"/>
  <c r="I161" i="14" s="1"/>
  <c r="Q162" i="14"/>
  <c r="S162" i="14"/>
  <c r="T162" i="14" s="1"/>
  <c r="F165" i="14"/>
  <c r="G165" i="14" s="1"/>
  <c r="I165" i="14" s="1"/>
  <c r="R165" i="14"/>
  <c r="S166" i="14"/>
  <c r="Q166" i="14"/>
  <c r="R169" i="14"/>
  <c r="F169" i="14"/>
  <c r="G169" i="14" s="1"/>
  <c r="I169" i="14" s="1"/>
  <c r="S184" i="14"/>
  <c r="T184" i="14" s="1"/>
  <c r="Q184" i="14"/>
  <c r="R187" i="14"/>
  <c r="F187" i="14"/>
  <c r="G187" i="14" s="1"/>
  <c r="I187" i="14" s="1"/>
  <c r="S188" i="14"/>
  <c r="Q188" i="14"/>
  <c r="R191" i="14"/>
  <c r="F191" i="14"/>
  <c r="G191" i="14" s="1"/>
  <c r="I191" i="14" s="1"/>
  <c r="Q192" i="14"/>
  <c r="S192" i="14"/>
  <c r="R195" i="14"/>
  <c r="F195" i="14"/>
  <c r="G195" i="14" s="1"/>
  <c r="I195" i="14" s="1"/>
  <c r="Q196" i="14"/>
  <c r="S196" i="14"/>
  <c r="F199" i="14"/>
  <c r="G199" i="14" s="1"/>
  <c r="I199" i="14" s="1"/>
  <c r="R199" i="14"/>
  <c r="S200" i="14"/>
  <c r="Q200" i="14"/>
  <c r="R203" i="14"/>
  <c r="F203" i="14"/>
  <c r="G203" i="14" s="1"/>
  <c r="I203" i="14" s="1"/>
  <c r="S204" i="14"/>
  <c r="Q204" i="14"/>
  <c r="R227" i="14"/>
  <c r="F227" i="14"/>
  <c r="G227" i="14" s="1"/>
  <c r="I227" i="14" s="1"/>
  <c r="Q228" i="14"/>
  <c r="S228" i="14"/>
  <c r="S262" i="14"/>
  <c r="T262" i="14" s="1"/>
  <c r="Q262" i="14"/>
  <c r="R265" i="14"/>
  <c r="F265" i="14"/>
  <c r="G265" i="14" s="1"/>
  <c r="I265" i="14" s="1"/>
  <c r="Q266" i="14"/>
  <c r="S266" i="14"/>
  <c r="R269" i="14"/>
  <c r="F269" i="14"/>
  <c r="G269" i="14" s="1"/>
  <c r="I269" i="14" s="1"/>
  <c r="Q270" i="14"/>
  <c r="S270" i="14"/>
  <c r="R273" i="14"/>
  <c r="F273" i="14"/>
  <c r="G273" i="14" s="1"/>
  <c r="I273" i="14" s="1"/>
  <c r="S274" i="14"/>
  <c r="Q274" i="14"/>
  <c r="F277" i="14"/>
  <c r="G277" i="14" s="1"/>
  <c r="I277" i="14" s="1"/>
  <c r="R277" i="14"/>
  <c r="Q278" i="14"/>
  <c r="S278" i="14"/>
  <c r="R281" i="14"/>
  <c r="F281" i="14"/>
  <c r="G281" i="14" s="1"/>
  <c r="I281" i="14" s="1"/>
  <c r="Q282" i="14"/>
  <c r="S282" i="14"/>
  <c r="F285" i="14"/>
  <c r="G285" i="14" s="1"/>
  <c r="I285" i="14" s="1"/>
  <c r="R285" i="14"/>
  <c r="S286" i="14"/>
  <c r="Q286" i="14"/>
  <c r="R289" i="14"/>
  <c r="F289" i="14"/>
  <c r="G289" i="14" s="1"/>
  <c r="I289" i="14" s="1"/>
  <c r="Q290" i="14"/>
  <c r="S290" i="14"/>
  <c r="F293" i="14"/>
  <c r="G293" i="14" s="1"/>
  <c r="I293" i="14" s="1"/>
  <c r="R293" i="14"/>
  <c r="S294" i="14"/>
  <c r="Q294" i="14"/>
  <c r="R297" i="14"/>
  <c r="F297" i="14"/>
  <c r="G297" i="14" s="1"/>
  <c r="I297" i="14" s="1"/>
  <c r="S298" i="14"/>
  <c r="Q298" i="14"/>
  <c r="F301" i="14"/>
  <c r="G301" i="14" s="1"/>
  <c r="I301" i="14" s="1"/>
  <c r="R301" i="14"/>
  <c r="S302" i="14"/>
  <c r="Q302" i="14"/>
  <c r="F305" i="14"/>
  <c r="G305" i="14" s="1"/>
  <c r="I305" i="14" s="1"/>
  <c r="R305" i="14"/>
  <c r="S306" i="14"/>
  <c r="Q306" i="14"/>
  <c r="R309" i="14"/>
  <c r="F309" i="14"/>
  <c r="G309" i="14" s="1"/>
  <c r="I309" i="14" s="1"/>
  <c r="Q310" i="14"/>
  <c r="S310" i="14"/>
  <c r="R313" i="14"/>
  <c r="F313" i="14"/>
  <c r="G313" i="14" s="1"/>
  <c r="I313" i="14" s="1"/>
  <c r="S314" i="14"/>
  <c r="Q314" i="14"/>
  <c r="R317" i="14"/>
  <c r="F317" i="14"/>
  <c r="G317" i="14" s="1"/>
  <c r="I317" i="14" s="1"/>
  <c r="S318" i="14"/>
  <c r="Q318" i="14"/>
  <c r="S322" i="14"/>
  <c r="Q322" i="14"/>
  <c r="R325" i="14"/>
  <c r="F325" i="14"/>
  <c r="G325" i="14" s="1"/>
  <c r="I325" i="14" s="1"/>
  <c r="S326" i="14"/>
  <c r="Q326" i="14"/>
  <c r="F329" i="14"/>
  <c r="G329" i="14" s="1"/>
  <c r="I329" i="14" s="1"/>
  <c r="R329" i="14"/>
  <c r="Q330" i="14"/>
  <c r="S330" i="14"/>
  <c r="F333" i="14"/>
  <c r="G333" i="14" s="1"/>
  <c r="I333" i="14" s="1"/>
  <c r="R333" i="14"/>
  <c r="S334" i="14"/>
  <c r="Q334" i="14"/>
  <c r="R337" i="14"/>
  <c r="F337" i="14"/>
  <c r="G337" i="14" s="1"/>
  <c r="I337" i="14" s="1"/>
  <c r="Q338" i="14"/>
  <c r="S338" i="14"/>
  <c r="S342" i="14"/>
  <c r="Q342" i="14"/>
  <c r="Q346" i="14"/>
  <c r="S346" i="14"/>
  <c r="T346" i="14" s="1"/>
  <c r="F349" i="14"/>
  <c r="G349" i="14" s="1"/>
  <c r="I349" i="14" s="1"/>
  <c r="R349" i="14"/>
  <c r="Q350" i="14"/>
  <c r="S350" i="14"/>
  <c r="F353" i="14"/>
  <c r="G353" i="14" s="1"/>
  <c r="I353" i="14" s="1"/>
  <c r="R353" i="14"/>
  <c r="S354" i="14"/>
  <c r="Q354" i="14"/>
  <c r="R357" i="14"/>
  <c r="F357" i="14"/>
  <c r="G357" i="14" s="1"/>
  <c r="I357" i="14" s="1"/>
  <c r="Q358" i="14"/>
  <c r="S358" i="14"/>
  <c r="R361" i="14"/>
  <c r="F361" i="14"/>
  <c r="G361" i="14" s="1"/>
  <c r="I361" i="14" s="1"/>
  <c r="Q362" i="14"/>
  <c r="S362" i="14"/>
  <c r="F365" i="14"/>
  <c r="G365" i="14" s="1"/>
  <c r="I365" i="14" s="1"/>
  <c r="R365" i="14"/>
  <c r="Q366" i="14"/>
  <c r="S366" i="14"/>
  <c r="R369" i="14"/>
  <c r="F369" i="14"/>
  <c r="G369" i="14" s="1"/>
  <c r="I369" i="14" s="1"/>
  <c r="Q370" i="14"/>
  <c r="S370" i="14"/>
  <c r="R373" i="14"/>
  <c r="F373" i="14"/>
  <c r="G373" i="14" s="1"/>
  <c r="I373" i="14" s="1"/>
  <c r="Q374" i="14"/>
  <c r="S374" i="14"/>
  <c r="S378" i="14"/>
  <c r="Q378" i="14"/>
  <c r="F381" i="14"/>
  <c r="G381" i="14" s="1"/>
  <c r="I381" i="14" s="1"/>
  <c r="R381" i="14"/>
  <c r="S382" i="14"/>
  <c r="Q382" i="14"/>
  <c r="F385" i="14"/>
  <c r="G385" i="14" s="1"/>
  <c r="I385" i="14" s="1"/>
  <c r="R385" i="14"/>
  <c r="Q386" i="14"/>
  <c r="S386" i="14"/>
  <c r="F389" i="14"/>
  <c r="G389" i="14" s="1"/>
  <c r="I389" i="14" s="1"/>
  <c r="R389" i="14"/>
  <c r="S390" i="14"/>
  <c r="Q390" i="14"/>
  <c r="R393" i="14"/>
  <c r="F393" i="14"/>
  <c r="G393" i="14" s="1"/>
  <c r="I393" i="14" s="1"/>
  <c r="Q394" i="14"/>
  <c r="S394" i="14"/>
  <c r="T394" i="14" s="1"/>
  <c r="R397" i="14"/>
  <c r="F397" i="14"/>
  <c r="G397" i="14" s="1"/>
  <c r="I397" i="14" s="1"/>
  <c r="Q398" i="14"/>
  <c r="S398" i="14"/>
  <c r="F401" i="14"/>
  <c r="G401" i="14" s="1"/>
  <c r="I401" i="14" s="1"/>
  <c r="R401" i="14"/>
  <c r="S402" i="14"/>
  <c r="Q402" i="14"/>
  <c r="Q406" i="14"/>
  <c r="S406" i="14"/>
  <c r="T406" i="14" s="1"/>
  <c r="F409" i="14"/>
  <c r="G409" i="14" s="1"/>
  <c r="I409" i="14" s="1"/>
  <c r="R409" i="14"/>
  <c r="Q410" i="14"/>
  <c r="S410" i="14"/>
  <c r="Q414" i="14"/>
  <c r="S414" i="14"/>
  <c r="R417" i="14"/>
  <c r="F417" i="14"/>
  <c r="G417" i="14" s="1"/>
  <c r="I417" i="14" s="1"/>
  <c r="Q418" i="14"/>
  <c r="S418" i="14"/>
  <c r="R421" i="14"/>
  <c r="F421" i="14"/>
  <c r="G421" i="14" s="1"/>
  <c r="I421" i="14" s="1"/>
  <c r="S422" i="14"/>
  <c r="Q422" i="14"/>
  <c r="F425" i="14"/>
  <c r="G425" i="14" s="1"/>
  <c r="I425" i="14" s="1"/>
  <c r="R425" i="14"/>
  <c r="S426" i="14"/>
  <c r="Q426" i="14"/>
  <c r="F429" i="14"/>
  <c r="G429" i="14" s="1"/>
  <c r="I429" i="14" s="1"/>
  <c r="R429" i="14"/>
  <c r="S430" i="14"/>
  <c r="Q430" i="14"/>
  <c r="R433" i="14"/>
  <c r="F433" i="14"/>
  <c r="G433" i="14" s="1"/>
  <c r="I433" i="14" s="1"/>
  <c r="S434" i="14"/>
  <c r="Q434" i="14"/>
  <c r="R437" i="14"/>
  <c r="F437" i="14"/>
  <c r="G437" i="14" s="1"/>
  <c r="I437" i="14" s="1"/>
  <c r="S438" i="14"/>
  <c r="Q438" i="14"/>
  <c r="F441" i="14"/>
  <c r="G441" i="14" s="1"/>
  <c r="I441" i="14" s="1"/>
  <c r="R441" i="14"/>
  <c r="S442" i="14"/>
  <c r="Q442" i="14"/>
  <c r="R449" i="14"/>
  <c r="F449" i="14"/>
  <c r="G449" i="14" s="1"/>
  <c r="I449" i="14" s="1"/>
  <c r="S450" i="14"/>
  <c r="Q450" i="14"/>
  <c r="F453" i="14"/>
  <c r="G453" i="14" s="1"/>
  <c r="I453" i="14" s="1"/>
  <c r="R453" i="14"/>
  <c r="S454" i="14"/>
  <c r="Q454" i="14"/>
  <c r="R457" i="14"/>
  <c r="F457" i="14"/>
  <c r="G457" i="14" s="1"/>
  <c r="I457" i="14" s="1"/>
  <c r="Q458" i="14"/>
  <c r="S458" i="14"/>
  <c r="S462" i="14"/>
  <c r="Q462" i="14"/>
  <c r="S466" i="14"/>
  <c r="Q466" i="14"/>
  <c r="R469" i="14"/>
  <c r="F469" i="14"/>
  <c r="G469" i="14" s="1"/>
  <c r="I469" i="14" s="1"/>
  <c r="Q470" i="14"/>
  <c r="S470" i="14"/>
  <c r="F473" i="14"/>
  <c r="G473" i="14" s="1"/>
  <c r="I473" i="14" s="1"/>
  <c r="R473" i="14"/>
  <c r="Q474" i="14"/>
  <c r="S474" i="14"/>
  <c r="Q478" i="14"/>
  <c r="S478" i="14"/>
  <c r="R481" i="14"/>
  <c r="F481" i="14"/>
  <c r="G481" i="14" s="1"/>
  <c r="I481" i="14" s="1"/>
  <c r="Q482" i="14"/>
  <c r="S482" i="14"/>
  <c r="R485" i="14"/>
  <c r="F485" i="14"/>
  <c r="G485" i="14" s="1"/>
  <c r="I485" i="14" s="1"/>
  <c r="S486" i="14"/>
  <c r="Q486" i="14"/>
  <c r="R489" i="14"/>
  <c r="F489" i="14"/>
  <c r="G489" i="14" s="1"/>
  <c r="I489" i="14" s="1"/>
  <c r="S490" i="14"/>
  <c r="Q490" i="14"/>
  <c r="F514" i="14"/>
  <c r="G514" i="14" s="1"/>
  <c r="I514" i="14" s="1"/>
  <c r="R514" i="14"/>
  <c r="Q515" i="14"/>
  <c r="S515" i="14"/>
  <c r="R518" i="14"/>
  <c r="F518" i="14"/>
  <c r="G518" i="14" s="1"/>
  <c r="I518" i="14" s="1"/>
  <c r="Q519" i="14"/>
  <c r="S519" i="14"/>
  <c r="R522" i="14"/>
  <c r="F522" i="14"/>
  <c r="G522" i="14" s="1"/>
  <c r="I522" i="14" s="1"/>
  <c r="Q523" i="14"/>
  <c r="S523" i="14"/>
  <c r="T523" i="14" s="1"/>
  <c r="F542" i="14"/>
  <c r="G542" i="14" s="1"/>
  <c r="I542" i="14" s="1"/>
  <c r="R542" i="14"/>
  <c r="Q543" i="14"/>
  <c r="S543" i="14"/>
  <c r="R546" i="14"/>
  <c r="F546" i="14"/>
  <c r="G546" i="14" s="1"/>
  <c r="I546" i="14" s="1"/>
  <c r="Q547" i="14"/>
  <c r="S547" i="14"/>
  <c r="F550" i="14"/>
  <c r="G550" i="14" s="1"/>
  <c r="I550" i="14" s="1"/>
  <c r="R550" i="14"/>
  <c r="S551" i="14"/>
  <c r="Q551" i="14"/>
  <c r="F554" i="14"/>
  <c r="G554" i="14" s="1"/>
  <c r="I554" i="14" s="1"/>
  <c r="R554" i="14"/>
  <c r="Q555" i="14"/>
  <c r="S555" i="14"/>
  <c r="Q559" i="14"/>
  <c r="S559" i="14"/>
  <c r="R562" i="14"/>
  <c r="F562" i="14"/>
  <c r="G562" i="14" s="1"/>
  <c r="I562" i="14" s="1"/>
  <c r="S563" i="14"/>
  <c r="Q563" i="14"/>
  <c r="F566" i="14"/>
  <c r="G566" i="14" s="1"/>
  <c r="I566" i="14" s="1"/>
  <c r="R566" i="14"/>
  <c r="S567" i="14"/>
  <c r="Q567" i="14"/>
  <c r="R570" i="14"/>
  <c r="F570" i="14"/>
  <c r="G570" i="14" s="1"/>
  <c r="I570" i="14" s="1"/>
  <c r="S571" i="14"/>
  <c r="Q571" i="14"/>
  <c r="R576" i="14"/>
  <c r="F576" i="14"/>
  <c r="G576" i="14" s="1"/>
  <c r="I576" i="14" s="1"/>
  <c r="S577" i="14"/>
  <c r="Q577" i="14"/>
  <c r="F580" i="14"/>
  <c r="G580" i="14" s="1"/>
  <c r="I580" i="14" s="1"/>
  <c r="R580" i="14"/>
  <c r="Q581" i="14"/>
  <c r="S581" i="14"/>
  <c r="R584" i="14"/>
  <c r="F584" i="14"/>
  <c r="G584" i="14" s="1"/>
  <c r="I584" i="14" s="1"/>
  <c r="S585" i="14"/>
  <c r="Q585" i="14"/>
  <c r="F588" i="14"/>
  <c r="G588" i="14" s="1"/>
  <c r="I588" i="14" s="1"/>
  <c r="R588" i="14"/>
  <c r="Q589" i="14"/>
  <c r="S589" i="14"/>
  <c r="R592" i="14"/>
  <c r="F592" i="14"/>
  <c r="G592" i="14" s="1"/>
  <c r="I592" i="14" s="1"/>
  <c r="Q593" i="14"/>
  <c r="S593" i="14"/>
  <c r="S597" i="14"/>
  <c r="Q597" i="14"/>
  <c r="F600" i="14"/>
  <c r="G600" i="14" s="1"/>
  <c r="I600" i="14" s="1"/>
  <c r="R600" i="14"/>
  <c r="S601" i="14"/>
  <c r="Q601" i="14"/>
  <c r="R604" i="14"/>
  <c r="F604" i="14"/>
  <c r="G604" i="14" s="1"/>
  <c r="I604" i="14" s="1"/>
  <c r="Q605" i="14"/>
  <c r="S605" i="14"/>
  <c r="F608" i="14"/>
  <c r="G608" i="14" s="1"/>
  <c r="I608" i="14" s="1"/>
  <c r="R608" i="14"/>
  <c r="S609" i="14"/>
  <c r="Q609" i="14"/>
  <c r="R612" i="14"/>
  <c r="F612" i="14"/>
  <c r="G612" i="14" s="1"/>
  <c r="I612" i="14" s="1"/>
  <c r="S613" i="14"/>
  <c r="Q613" i="14"/>
  <c r="F616" i="14"/>
  <c r="G616" i="14" s="1"/>
  <c r="I616" i="14" s="1"/>
  <c r="R616" i="14"/>
  <c r="Q617" i="14"/>
  <c r="S617" i="14"/>
  <c r="R622" i="14"/>
  <c r="F622" i="14"/>
  <c r="G622" i="14" s="1"/>
  <c r="I622" i="14" s="1"/>
  <c r="S623" i="14"/>
  <c r="Q623" i="14"/>
  <c r="R627" i="14"/>
  <c r="F627" i="14"/>
  <c r="G627" i="14" s="1"/>
  <c r="I627" i="14" s="1"/>
  <c r="S628" i="14"/>
  <c r="Q628" i="14"/>
  <c r="F634" i="14"/>
  <c r="G634" i="14" s="1"/>
  <c r="I634" i="14" s="1"/>
  <c r="R634" i="14"/>
  <c r="S636" i="14"/>
  <c r="T636" i="14" s="1"/>
  <c r="Q636" i="14"/>
  <c r="F639" i="14"/>
  <c r="G639" i="14" s="1"/>
  <c r="I639" i="14" s="1"/>
  <c r="R639" i="14"/>
  <c r="Q640" i="14"/>
  <c r="S640" i="14"/>
  <c r="R643" i="14"/>
  <c r="F643" i="14"/>
  <c r="G643" i="14" s="1"/>
  <c r="I643" i="14" s="1"/>
  <c r="Q644" i="14"/>
  <c r="S644" i="14"/>
  <c r="T644" i="14" s="1"/>
  <c r="F647" i="14"/>
  <c r="G647" i="14" s="1"/>
  <c r="I647" i="14" s="1"/>
  <c r="R647" i="14"/>
  <c r="S648" i="14"/>
  <c r="Q648" i="14"/>
  <c r="S652" i="14"/>
  <c r="Q652" i="14"/>
  <c r="Q656" i="14"/>
  <c r="S656" i="14"/>
  <c r="Q660" i="14"/>
  <c r="S660" i="14"/>
  <c r="F663" i="14"/>
  <c r="G663" i="14" s="1"/>
  <c r="I663" i="14" s="1"/>
  <c r="R663" i="14"/>
  <c r="Q664" i="14"/>
  <c r="S664" i="14"/>
  <c r="R667" i="14"/>
  <c r="F667" i="14"/>
  <c r="G667" i="14" s="1"/>
  <c r="I667" i="14" s="1"/>
  <c r="Q668" i="14"/>
  <c r="S668" i="14"/>
  <c r="F671" i="14"/>
  <c r="G671" i="14" s="1"/>
  <c r="I671" i="14" s="1"/>
  <c r="R671" i="14"/>
  <c r="S672" i="14"/>
  <c r="T672" i="14" s="1"/>
  <c r="Q672" i="14"/>
  <c r="F675" i="14"/>
  <c r="G675" i="14" s="1"/>
  <c r="I675" i="14" s="1"/>
  <c r="R675" i="14"/>
  <c r="S676" i="14"/>
  <c r="Q676" i="14"/>
  <c r="F679" i="14"/>
  <c r="G679" i="14" s="1"/>
  <c r="I679" i="14" s="1"/>
  <c r="R679" i="14"/>
  <c r="Q680" i="14"/>
  <c r="S680" i="14"/>
  <c r="T680" i="14" s="1"/>
  <c r="R702" i="14"/>
  <c r="F702" i="14"/>
  <c r="G702" i="14" s="1"/>
  <c r="I702" i="14" s="1"/>
  <c r="S703" i="14"/>
  <c r="Q703" i="14"/>
  <c r="F706" i="14"/>
  <c r="G706" i="14" s="1"/>
  <c r="I706" i="14" s="1"/>
  <c r="R706" i="14"/>
  <c r="S707" i="14"/>
  <c r="Q707" i="14"/>
  <c r="R710" i="14"/>
  <c r="F710" i="14"/>
  <c r="G710" i="14" s="1"/>
  <c r="I710" i="14" s="1"/>
  <c r="M655" i="1"/>
  <c r="O655" i="1"/>
  <c r="P655" i="1" s="1"/>
  <c r="M659" i="1"/>
  <c r="O659" i="1"/>
  <c r="P659" i="1" s="1"/>
  <c r="O663" i="1"/>
  <c r="P663" i="1" s="1"/>
  <c r="M663" i="1"/>
  <c r="O667" i="1"/>
  <c r="P667" i="1" s="1"/>
  <c r="M667" i="1"/>
  <c r="O671" i="1"/>
  <c r="P671" i="1" s="1"/>
  <c r="M671" i="1"/>
  <c r="M675" i="1"/>
  <c r="O675" i="1"/>
  <c r="P675" i="1" s="1"/>
  <c r="O679" i="1"/>
  <c r="P679" i="1" s="1"/>
  <c r="M679" i="1"/>
  <c r="O701" i="1"/>
  <c r="P701" i="1" s="1"/>
  <c r="M701" i="1"/>
  <c r="O705" i="1"/>
  <c r="P705" i="1" s="1"/>
  <c r="M705" i="1"/>
  <c r="O709" i="1"/>
  <c r="P709" i="1" s="1"/>
  <c r="M709" i="1"/>
  <c r="O6" i="5"/>
  <c r="P6" i="5" s="1"/>
  <c r="M6" i="5"/>
  <c r="M18" i="5"/>
  <c r="O18" i="5"/>
  <c r="P18" i="5" s="1"/>
  <c r="O23" i="5"/>
  <c r="P23" i="5" s="1"/>
  <c r="M23" i="5"/>
  <c r="O28" i="5"/>
  <c r="P28" i="5" s="1"/>
  <c r="M28" i="5"/>
  <c r="O35" i="5"/>
  <c r="P35" i="5" s="1"/>
  <c r="M35" i="5"/>
  <c r="M42" i="5"/>
  <c r="O42" i="5"/>
  <c r="P42" i="5" s="1"/>
  <c r="O47" i="5"/>
  <c r="P47" i="5" s="1"/>
  <c r="M47" i="5"/>
  <c r="O52" i="5"/>
  <c r="P52" i="5" s="1"/>
  <c r="M52" i="5"/>
  <c r="M59" i="5"/>
  <c r="O59" i="5"/>
  <c r="P59" i="5" s="1"/>
  <c r="O65" i="5"/>
  <c r="P65" i="5" s="1"/>
  <c r="M65" i="5"/>
  <c r="O73" i="5"/>
  <c r="P73" i="5" s="1"/>
  <c r="M73" i="5"/>
  <c r="M77" i="5"/>
  <c r="O77" i="5"/>
  <c r="P77" i="5" s="1"/>
  <c r="O84" i="5"/>
  <c r="P84" i="5" s="1"/>
  <c r="M84" i="5"/>
  <c r="M89" i="5"/>
  <c r="O89" i="5"/>
  <c r="P89" i="5" s="1"/>
  <c r="M93" i="5"/>
  <c r="O93" i="5"/>
  <c r="P93" i="5" s="1"/>
  <c r="O98" i="5"/>
  <c r="P98" i="5" s="1"/>
  <c r="M98" i="5"/>
  <c r="M103" i="5"/>
  <c r="O103" i="5"/>
  <c r="P103" i="5" s="1"/>
  <c r="M107" i="5"/>
  <c r="O107" i="5"/>
  <c r="P107" i="5" s="1"/>
  <c r="M114" i="5"/>
  <c r="O114" i="5"/>
  <c r="P114" i="5" s="1"/>
  <c r="M119" i="5"/>
  <c r="O119" i="5"/>
  <c r="P119" i="5" s="1"/>
  <c r="M124" i="5"/>
  <c r="O124" i="5"/>
  <c r="P124" i="5" s="1"/>
  <c r="M129" i="5"/>
  <c r="O129" i="5"/>
  <c r="P129" i="5" s="1"/>
  <c r="M135" i="5"/>
  <c r="O135" i="5"/>
  <c r="P135" i="5" s="1"/>
  <c r="M141" i="5"/>
  <c r="O141" i="5"/>
  <c r="P141" i="5" s="1"/>
  <c r="O146" i="5"/>
  <c r="P146" i="5" s="1"/>
  <c r="M146" i="5"/>
  <c r="O152" i="5"/>
  <c r="P152" i="5" s="1"/>
  <c r="M152" i="5"/>
  <c r="O159" i="5"/>
  <c r="P159" i="5" s="1"/>
  <c r="M159" i="5"/>
  <c r="O164" i="5"/>
  <c r="P164" i="5" s="1"/>
  <c r="M164" i="5"/>
  <c r="O168" i="5"/>
  <c r="P168" i="5" s="1"/>
  <c r="M168" i="5"/>
  <c r="O174" i="5"/>
  <c r="P174" i="5" s="1"/>
  <c r="M174" i="5"/>
  <c r="M181" i="5"/>
  <c r="O181" i="5"/>
  <c r="P181" i="5" s="1"/>
  <c r="O200" i="5"/>
  <c r="P200" i="5" s="1"/>
  <c r="M200" i="5"/>
  <c r="M204" i="5"/>
  <c r="O204" i="5"/>
  <c r="P204" i="5" s="1"/>
  <c r="O209" i="5"/>
  <c r="P209" i="5" s="1"/>
  <c r="M209" i="5"/>
  <c r="O214" i="5"/>
  <c r="P214" i="5" s="1"/>
  <c r="M214" i="5"/>
  <c r="O219" i="5"/>
  <c r="P219" i="5" s="1"/>
  <c r="M219" i="5"/>
  <c r="O226" i="5"/>
  <c r="P226" i="5" s="1"/>
  <c r="M226" i="5"/>
  <c r="O230" i="5"/>
  <c r="P230" i="5" s="1"/>
  <c r="M230" i="5"/>
  <c r="M244" i="5"/>
  <c r="O244" i="5"/>
  <c r="P244" i="5" s="1"/>
  <c r="M266" i="5"/>
  <c r="O266" i="5"/>
  <c r="P266" i="5" s="1"/>
  <c r="O270" i="5"/>
  <c r="P270" i="5" s="1"/>
  <c r="M270" i="5"/>
  <c r="O274" i="5"/>
  <c r="P274" i="5" s="1"/>
  <c r="M274" i="5"/>
  <c r="O278" i="5"/>
  <c r="P278" i="5" s="1"/>
  <c r="M278" i="5"/>
  <c r="O282" i="5"/>
  <c r="P282" i="5" s="1"/>
  <c r="M282" i="5"/>
  <c r="M286" i="5"/>
  <c r="O286" i="5"/>
  <c r="P286" i="5" s="1"/>
  <c r="O290" i="5"/>
  <c r="P290" i="5" s="1"/>
  <c r="M290" i="5"/>
  <c r="O294" i="5"/>
  <c r="P294" i="5" s="1"/>
  <c r="M294" i="5"/>
  <c r="M298" i="5"/>
  <c r="O298" i="5"/>
  <c r="P298" i="5" s="1"/>
  <c r="O302" i="5"/>
  <c r="P302" i="5" s="1"/>
  <c r="M302" i="5"/>
  <c r="O306" i="5"/>
  <c r="P306" i="5" s="1"/>
  <c r="M306" i="5"/>
  <c r="M310" i="5"/>
  <c r="O310" i="5"/>
  <c r="P310" i="5" s="1"/>
  <c r="M314" i="5"/>
  <c r="O314" i="5"/>
  <c r="P314" i="5" s="1"/>
  <c r="O318" i="5"/>
  <c r="P318" i="5" s="1"/>
  <c r="M318" i="5"/>
  <c r="M322" i="5"/>
  <c r="O322" i="5"/>
  <c r="P322" i="5" s="1"/>
  <c r="O326" i="5"/>
  <c r="P326" i="5" s="1"/>
  <c r="M326" i="5"/>
  <c r="M330" i="5"/>
  <c r="O330" i="5"/>
  <c r="P330" i="5" s="1"/>
  <c r="O334" i="5"/>
  <c r="P334" i="5" s="1"/>
  <c r="M334" i="5"/>
  <c r="M339" i="5"/>
  <c r="O339" i="5"/>
  <c r="P339" i="5" s="1"/>
  <c r="M347" i="5"/>
  <c r="O347" i="5"/>
  <c r="P347" i="5" s="1"/>
  <c r="O351" i="5"/>
  <c r="P351" i="5" s="1"/>
  <c r="M351" i="5"/>
  <c r="O355" i="5"/>
  <c r="P355" i="5" s="1"/>
  <c r="M355" i="5"/>
  <c r="M359" i="5"/>
  <c r="O359" i="5"/>
  <c r="P359" i="5" s="1"/>
  <c r="O363" i="5"/>
  <c r="P363" i="5" s="1"/>
  <c r="M363" i="5"/>
  <c r="M367" i="5"/>
  <c r="O367" i="5"/>
  <c r="P367" i="5" s="1"/>
  <c r="M371" i="5"/>
  <c r="O371" i="5"/>
  <c r="P371" i="5" s="1"/>
  <c r="M375" i="5"/>
  <c r="O375" i="5"/>
  <c r="P375" i="5" s="1"/>
  <c r="O379" i="5"/>
  <c r="P379" i="5" s="1"/>
  <c r="M379" i="5"/>
  <c r="O383" i="5"/>
  <c r="P383" i="5" s="1"/>
  <c r="M383" i="5"/>
  <c r="O387" i="5"/>
  <c r="P387" i="5" s="1"/>
  <c r="M387" i="5"/>
  <c r="O391" i="5"/>
  <c r="P391" i="5" s="1"/>
  <c r="M391" i="5"/>
  <c r="M395" i="5"/>
  <c r="O395" i="5"/>
  <c r="P395" i="5" s="1"/>
  <c r="O399" i="5"/>
  <c r="P399" i="5" s="1"/>
  <c r="M399" i="5"/>
  <c r="M403" i="5"/>
  <c r="O403" i="5"/>
  <c r="P403" i="5" s="1"/>
  <c r="M408" i="5"/>
  <c r="O408" i="5"/>
  <c r="P408" i="5" s="1"/>
  <c r="M413" i="5"/>
  <c r="O413" i="5"/>
  <c r="P413" i="5" s="1"/>
  <c r="M417" i="5"/>
  <c r="O417" i="5"/>
  <c r="P417" i="5" s="1"/>
  <c r="O422" i="5"/>
  <c r="P422" i="5" s="1"/>
  <c r="M422" i="5"/>
  <c r="O428" i="5"/>
  <c r="P428" i="5" s="1"/>
  <c r="M428" i="5"/>
  <c r="M434" i="5"/>
  <c r="O434" i="5"/>
  <c r="P434" i="5" s="1"/>
  <c r="O438" i="5"/>
  <c r="P438" i="5" s="1"/>
  <c r="M438" i="5"/>
  <c r="M442" i="5"/>
  <c r="O442" i="5"/>
  <c r="P442" i="5" s="1"/>
  <c r="M452" i="5"/>
  <c r="O452" i="5"/>
  <c r="P452" i="5" s="1"/>
  <c r="O456" i="5"/>
  <c r="P456" i="5" s="1"/>
  <c r="M456" i="5"/>
  <c r="O465" i="5"/>
  <c r="P465" i="5" s="1"/>
  <c r="M465" i="5"/>
  <c r="O473" i="5"/>
  <c r="P473" i="5" s="1"/>
  <c r="M473" i="5"/>
  <c r="M480" i="5"/>
  <c r="O480" i="5"/>
  <c r="P480" i="5" s="1"/>
  <c r="M486" i="5"/>
  <c r="O486" i="5"/>
  <c r="P486" i="5" s="1"/>
  <c r="O512" i="5"/>
  <c r="P512" i="5" s="1"/>
  <c r="M512" i="5"/>
  <c r="M516" i="5"/>
  <c r="O516" i="5"/>
  <c r="P516" i="5" s="1"/>
  <c r="M520" i="5"/>
  <c r="O520" i="5"/>
  <c r="P520" i="5" s="1"/>
  <c r="O540" i="5"/>
  <c r="P540" i="5" s="1"/>
  <c r="M540" i="5"/>
  <c r="O544" i="5"/>
  <c r="P544" i="5" s="1"/>
  <c r="M544" i="5"/>
  <c r="O548" i="5"/>
  <c r="P548" i="5" s="1"/>
  <c r="M548" i="5"/>
  <c r="M553" i="5"/>
  <c r="O553" i="5"/>
  <c r="P553" i="5" s="1"/>
  <c r="O557" i="5"/>
  <c r="P557" i="5" s="1"/>
  <c r="M557" i="5"/>
  <c r="O562" i="5"/>
  <c r="P562" i="5" s="1"/>
  <c r="M562" i="5"/>
  <c r="O566" i="5"/>
  <c r="P566" i="5" s="1"/>
  <c r="M566" i="5"/>
  <c r="O570" i="5"/>
  <c r="P570" i="5" s="1"/>
  <c r="M570" i="5"/>
  <c r="O576" i="5"/>
  <c r="P576" i="5" s="1"/>
  <c r="M576" i="5"/>
  <c r="M580" i="5"/>
  <c r="O580" i="5"/>
  <c r="P580" i="5" s="1"/>
  <c r="M584" i="5"/>
  <c r="O584" i="5"/>
  <c r="P584" i="5" s="1"/>
  <c r="M588" i="5"/>
  <c r="O588" i="5"/>
  <c r="P588" i="5" s="1"/>
  <c r="M592" i="5"/>
  <c r="O592" i="5"/>
  <c r="P592" i="5" s="1"/>
  <c r="O596" i="5"/>
  <c r="P596" i="5" s="1"/>
  <c r="M596" i="5"/>
  <c r="M600" i="5"/>
  <c r="O600" i="5"/>
  <c r="P600" i="5" s="1"/>
  <c r="O604" i="5"/>
  <c r="P604" i="5" s="1"/>
  <c r="M604" i="5"/>
  <c r="O608" i="5"/>
  <c r="P608" i="5" s="1"/>
  <c r="M608" i="5"/>
  <c r="O612" i="5"/>
  <c r="P612" i="5" s="1"/>
  <c r="M612" i="5"/>
  <c r="O618" i="5"/>
  <c r="P618" i="5" s="1"/>
  <c r="M618" i="5"/>
  <c r="M624" i="5"/>
  <c r="O624" i="5"/>
  <c r="P624" i="5" s="1"/>
  <c r="M629" i="5"/>
  <c r="O629" i="5"/>
  <c r="P629" i="5" s="1"/>
  <c r="M637" i="5"/>
  <c r="O637" i="5"/>
  <c r="P637" i="5" s="1"/>
  <c r="O641" i="5"/>
  <c r="P641" i="5" s="1"/>
  <c r="M641" i="5"/>
  <c r="O645" i="5"/>
  <c r="P645" i="5" s="1"/>
  <c r="M645" i="5"/>
  <c r="M649" i="5"/>
  <c r="O649" i="5"/>
  <c r="P649" i="5" s="1"/>
  <c r="O653" i="5"/>
  <c r="P653" i="5" s="1"/>
  <c r="M653" i="5"/>
  <c r="O657" i="5"/>
  <c r="P657" i="5" s="1"/>
  <c r="M657" i="5"/>
  <c r="M661" i="5"/>
  <c r="O661" i="5"/>
  <c r="P661" i="5" s="1"/>
  <c r="M665" i="5"/>
  <c r="O665" i="5"/>
  <c r="P665" i="5" s="1"/>
  <c r="M669" i="5"/>
  <c r="O669" i="5"/>
  <c r="P669" i="5" s="1"/>
  <c r="O673" i="5"/>
  <c r="P673" i="5" s="1"/>
  <c r="M673" i="5"/>
  <c r="O677" i="5"/>
  <c r="P677" i="5" s="1"/>
  <c r="M677" i="5"/>
  <c r="O695" i="5"/>
  <c r="P695" i="5" s="1"/>
  <c r="M695" i="5"/>
  <c r="M703" i="5"/>
  <c r="O703" i="5"/>
  <c r="P703" i="5" s="1"/>
  <c r="O707" i="5"/>
  <c r="P707" i="5" s="1"/>
  <c r="M707" i="5"/>
  <c r="O717" i="5"/>
  <c r="P717" i="5" s="1"/>
  <c r="M717" i="5"/>
  <c r="M10" i="7"/>
  <c r="O10" i="7"/>
  <c r="P10" i="7" s="1"/>
  <c r="O18" i="7"/>
  <c r="P18" i="7" s="1"/>
  <c r="M18" i="7"/>
  <c r="M22" i="7"/>
  <c r="O22" i="7"/>
  <c r="P22" i="7" s="1"/>
  <c r="O26" i="7"/>
  <c r="P26" i="7" s="1"/>
  <c r="M26" i="7"/>
  <c r="O30" i="7"/>
  <c r="P30" i="7" s="1"/>
  <c r="M30" i="7"/>
  <c r="O34" i="7"/>
  <c r="P34" i="7" s="1"/>
  <c r="M34" i="7"/>
  <c r="O39" i="7"/>
  <c r="P39" i="7" s="1"/>
  <c r="M39" i="7"/>
  <c r="M43" i="7"/>
  <c r="O43" i="7"/>
  <c r="P43" i="7" s="1"/>
  <c r="O47" i="7"/>
  <c r="P47" i="7" s="1"/>
  <c r="M47" i="7"/>
  <c r="O51" i="7"/>
  <c r="P51" i="7" s="1"/>
  <c r="M51" i="7"/>
  <c r="O56" i="7"/>
  <c r="P56" i="7" s="1"/>
  <c r="M56" i="7"/>
  <c r="O62" i="7"/>
  <c r="P62" i="7" s="1"/>
  <c r="M62" i="7"/>
  <c r="M69" i="7"/>
  <c r="O69" i="7"/>
  <c r="P69" i="7" s="1"/>
  <c r="M73" i="7"/>
  <c r="O73" i="7"/>
  <c r="P73" i="7" s="1"/>
  <c r="O77" i="7"/>
  <c r="P77" i="7" s="1"/>
  <c r="M77" i="7"/>
  <c r="O83" i="7"/>
  <c r="P83" i="7" s="1"/>
  <c r="M83" i="7"/>
  <c r="O87" i="7"/>
  <c r="P87" i="7" s="1"/>
  <c r="M87" i="7"/>
  <c r="O91" i="7"/>
  <c r="P91" i="7" s="1"/>
  <c r="M91" i="7"/>
  <c r="O96" i="7"/>
  <c r="P96" i="7" s="1"/>
  <c r="M96" i="7"/>
  <c r="M100" i="7"/>
  <c r="O100" i="7"/>
  <c r="P100" i="7" s="1"/>
  <c r="O105" i="7"/>
  <c r="P105" i="7" s="1"/>
  <c r="M105" i="7"/>
  <c r="O111" i="7"/>
  <c r="P111" i="7" s="1"/>
  <c r="M111" i="7"/>
  <c r="O115" i="7"/>
  <c r="P115" i="7" s="1"/>
  <c r="M115" i="7"/>
  <c r="O119" i="7"/>
  <c r="P119" i="7" s="1"/>
  <c r="M119" i="7"/>
  <c r="O123" i="7"/>
  <c r="P123" i="7" s="1"/>
  <c r="M123" i="7"/>
  <c r="O127" i="7"/>
  <c r="P127" i="7" s="1"/>
  <c r="M127" i="7"/>
  <c r="O132" i="7"/>
  <c r="P132" i="7" s="1"/>
  <c r="M132" i="7"/>
  <c r="M137" i="7"/>
  <c r="O137" i="7"/>
  <c r="P137" i="7" s="1"/>
  <c r="M143" i="7"/>
  <c r="O143" i="7"/>
  <c r="P143" i="7" s="1"/>
  <c r="O148" i="7"/>
  <c r="P148" i="7" s="1"/>
  <c r="M148" i="7"/>
  <c r="O153" i="7"/>
  <c r="P153" i="7" s="1"/>
  <c r="M153" i="7"/>
  <c r="M158" i="7"/>
  <c r="O158" i="7"/>
  <c r="P158" i="7" s="1"/>
  <c r="O162" i="7"/>
  <c r="P162" i="7" s="1"/>
  <c r="M162" i="7"/>
  <c r="M166" i="7"/>
  <c r="O166" i="7"/>
  <c r="P166" i="7" s="1"/>
  <c r="M171" i="7"/>
  <c r="O171" i="7"/>
  <c r="P171" i="7" s="1"/>
  <c r="O178" i="7"/>
  <c r="P178" i="7" s="1"/>
  <c r="M178" i="7"/>
  <c r="M183" i="7"/>
  <c r="O183" i="7"/>
  <c r="P183" i="7" s="1"/>
  <c r="O187" i="7"/>
  <c r="P187" i="7" s="1"/>
  <c r="M187" i="7"/>
  <c r="M192" i="7"/>
  <c r="O192" i="7"/>
  <c r="P192" i="7" s="1"/>
  <c r="O196" i="7"/>
  <c r="P196" i="7" s="1"/>
  <c r="M196" i="7"/>
  <c r="O200" i="7"/>
  <c r="P200" i="7" s="1"/>
  <c r="M200" i="7"/>
  <c r="M204" i="7"/>
  <c r="O204" i="7"/>
  <c r="P204" i="7" s="1"/>
  <c r="O209" i="7"/>
  <c r="P209" i="7" s="1"/>
  <c r="M209" i="7"/>
  <c r="O214" i="7"/>
  <c r="P214" i="7" s="1"/>
  <c r="M214" i="7"/>
  <c r="O219" i="7"/>
  <c r="P219" i="7" s="1"/>
  <c r="M219" i="7"/>
  <c r="O226" i="7"/>
  <c r="P226" i="7" s="1"/>
  <c r="M226" i="7"/>
  <c r="M230" i="7"/>
  <c r="O230" i="7"/>
  <c r="P230" i="7" s="1"/>
  <c r="O244" i="7"/>
  <c r="P244" i="7" s="1"/>
  <c r="M244" i="7"/>
  <c r="O264" i="7"/>
  <c r="P264" i="7" s="1"/>
  <c r="M264" i="7"/>
  <c r="M268" i="7"/>
  <c r="O268" i="7"/>
  <c r="P268" i="7" s="1"/>
  <c r="M272" i="7"/>
  <c r="O272" i="7"/>
  <c r="P272" i="7" s="1"/>
  <c r="M276" i="7"/>
  <c r="O276" i="7"/>
  <c r="P276" i="7" s="1"/>
  <c r="M280" i="7"/>
  <c r="O280" i="7"/>
  <c r="P280" i="7" s="1"/>
  <c r="M284" i="7"/>
  <c r="O284" i="7"/>
  <c r="P284" i="7" s="1"/>
  <c r="M288" i="7"/>
  <c r="O288" i="7"/>
  <c r="P288" i="7" s="1"/>
  <c r="O292" i="7"/>
  <c r="P292" i="7" s="1"/>
  <c r="M292" i="7"/>
  <c r="O296" i="7"/>
  <c r="P296" i="7" s="1"/>
  <c r="M296" i="7"/>
  <c r="M300" i="7"/>
  <c r="O300" i="7"/>
  <c r="P300" i="7" s="1"/>
  <c r="O304" i="7"/>
  <c r="P304" i="7" s="1"/>
  <c r="M304" i="7"/>
  <c r="O308" i="7"/>
  <c r="P308" i="7" s="1"/>
  <c r="M308" i="7"/>
  <c r="O312" i="7"/>
  <c r="P312" i="7" s="1"/>
  <c r="M312" i="7"/>
  <c r="O316" i="7"/>
  <c r="P316" i="7" s="1"/>
  <c r="M316" i="7"/>
  <c r="M320" i="7"/>
  <c r="O320" i="7"/>
  <c r="P320" i="7" s="1"/>
  <c r="O324" i="7"/>
  <c r="P324" i="7" s="1"/>
  <c r="M324" i="7"/>
  <c r="O328" i="7"/>
  <c r="P328" i="7" s="1"/>
  <c r="M328" i="7"/>
  <c r="O332" i="7"/>
  <c r="P332" i="7" s="1"/>
  <c r="M332" i="7"/>
  <c r="O336" i="7"/>
  <c r="P336" i="7" s="1"/>
  <c r="M336" i="7"/>
  <c r="O341" i="7"/>
  <c r="P341" i="7" s="1"/>
  <c r="M341" i="7"/>
  <c r="M347" i="7"/>
  <c r="O347" i="7"/>
  <c r="P347" i="7" s="1"/>
  <c r="M351" i="7"/>
  <c r="O351" i="7"/>
  <c r="P351" i="7" s="1"/>
  <c r="O355" i="7"/>
  <c r="P355" i="7" s="1"/>
  <c r="M355" i="7"/>
  <c r="M359" i="7"/>
  <c r="O359" i="7"/>
  <c r="P359" i="7" s="1"/>
  <c r="O363" i="7"/>
  <c r="P363" i="7" s="1"/>
  <c r="M363" i="7"/>
  <c r="O367" i="7"/>
  <c r="P367" i="7" s="1"/>
  <c r="M367" i="7"/>
  <c r="O371" i="7"/>
  <c r="P371" i="7" s="1"/>
  <c r="M371" i="7"/>
  <c r="O375" i="7"/>
  <c r="P375" i="7" s="1"/>
  <c r="M375" i="7"/>
  <c r="O379" i="7"/>
  <c r="P379" i="7" s="1"/>
  <c r="M379" i="7"/>
  <c r="O383" i="7"/>
  <c r="P383" i="7" s="1"/>
  <c r="M383" i="7"/>
  <c r="O387" i="7"/>
  <c r="P387" i="7" s="1"/>
  <c r="M387" i="7"/>
  <c r="M391" i="7"/>
  <c r="O391" i="7"/>
  <c r="P391" i="7" s="1"/>
  <c r="M395" i="7"/>
  <c r="O395" i="7"/>
  <c r="P395" i="7" s="1"/>
  <c r="O399" i="7"/>
  <c r="P399" i="7" s="1"/>
  <c r="M399" i="7"/>
  <c r="M403" i="7"/>
  <c r="O403" i="7"/>
  <c r="P403" i="7" s="1"/>
  <c r="O408" i="7"/>
  <c r="P408" i="7" s="1"/>
  <c r="M408" i="7"/>
  <c r="O412" i="7"/>
  <c r="P412" i="7" s="1"/>
  <c r="M412" i="7"/>
  <c r="O416" i="7"/>
  <c r="P416" i="7" s="1"/>
  <c r="M416" i="7"/>
  <c r="O421" i="7"/>
  <c r="P421" i="7" s="1"/>
  <c r="M421" i="7"/>
  <c r="O427" i="7"/>
  <c r="P427" i="7" s="1"/>
  <c r="M427" i="7"/>
  <c r="M433" i="7"/>
  <c r="O433" i="7"/>
  <c r="P433" i="7" s="1"/>
  <c r="M437" i="7"/>
  <c r="O437" i="7"/>
  <c r="P437" i="7" s="1"/>
  <c r="O441" i="7"/>
  <c r="P441" i="7" s="1"/>
  <c r="M441" i="7"/>
  <c r="O451" i="7"/>
  <c r="P451" i="7" s="1"/>
  <c r="M451" i="7"/>
  <c r="M455" i="7"/>
  <c r="O455" i="7"/>
  <c r="P455" i="7" s="1"/>
  <c r="M461" i="7"/>
  <c r="O461" i="7"/>
  <c r="P461" i="7" s="1"/>
  <c r="O471" i="7"/>
  <c r="P471" i="7" s="1"/>
  <c r="M471" i="7"/>
  <c r="O477" i="7"/>
  <c r="P477" i="7" s="1"/>
  <c r="M477" i="7"/>
  <c r="M482" i="7"/>
  <c r="O482" i="7"/>
  <c r="P482" i="7" s="1"/>
  <c r="O488" i="7"/>
  <c r="P488" i="7" s="1"/>
  <c r="M488" i="7"/>
  <c r="O514" i="7"/>
  <c r="P514" i="7" s="1"/>
  <c r="M514" i="7"/>
  <c r="O518" i="7"/>
  <c r="P518" i="7" s="1"/>
  <c r="M518" i="7"/>
  <c r="O522" i="7"/>
  <c r="P522" i="7" s="1"/>
  <c r="M522" i="7"/>
  <c r="O542" i="7"/>
  <c r="P542" i="7" s="1"/>
  <c r="M542" i="7"/>
  <c r="O546" i="7"/>
  <c r="P546" i="7" s="1"/>
  <c r="M546" i="7"/>
  <c r="M551" i="7"/>
  <c r="O551" i="7"/>
  <c r="P551" i="7" s="1"/>
  <c r="M555" i="7"/>
  <c r="O555" i="7"/>
  <c r="P555" i="7" s="1"/>
  <c r="M560" i="7"/>
  <c r="O560" i="7"/>
  <c r="P560" i="7" s="1"/>
  <c r="O564" i="7"/>
  <c r="P564" i="7" s="1"/>
  <c r="M564" i="7"/>
  <c r="M568" i="7"/>
  <c r="O568" i="7"/>
  <c r="P568" i="7" s="1"/>
  <c r="O574" i="7"/>
  <c r="P574" i="7" s="1"/>
  <c r="M574" i="7"/>
  <c r="O578" i="7"/>
  <c r="P578" i="7" s="1"/>
  <c r="M578" i="7"/>
  <c r="M582" i="7"/>
  <c r="O582" i="7"/>
  <c r="P582" i="7" s="1"/>
  <c r="M586" i="7"/>
  <c r="O586" i="7"/>
  <c r="P586" i="7" s="1"/>
  <c r="O590" i="7"/>
  <c r="P590" i="7" s="1"/>
  <c r="M590" i="7"/>
  <c r="M594" i="7"/>
  <c r="O594" i="7"/>
  <c r="P594" i="7" s="1"/>
  <c r="O598" i="7"/>
  <c r="P598" i="7" s="1"/>
  <c r="M598" i="7"/>
  <c r="O602" i="7"/>
  <c r="P602" i="7" s="1"/>
  <c r="M602" i="7"/>
  <c r="O606" i="7"/>
  <c r="P606" i="7" s="1"/>
  <c r="M606" i="7"/>
  <c r="M610" i="7"/>
  <c r="O610" i="7"/>
  <c r="P610" i="7" s="1"/>
  <c r="O614" i="7"/>
  <c r="P614" i="7" s="1"/>
  <c r="M614" i="7"/>
  <c r="M622" i="7"/>
  <c r="O622" i="7"/>
  <c r="P622" i="7" s="1"/>
  <c r="O627" i="7"/>
  <c r="P627" i="7" s="1"/>
  <c r="M627" i="7"/>
  <c r="M634" i="7"/>
  <c r="O634" i="7"/>
  <c r="P634" i="7" s="1"/>
  <c r="O639" i="7"/>
  <c r="P639" i="7" s="1"/>
  <c r="M639" i="7"/>
  <c r="O643" i="7"/>
  <c r="P643" i="7" s="1"/>
  <c r="M643" i="7"/>
  <c r="O647" i="7"/>
  <c r="P647" i="7" s="1"/>
  <c r="M647" i="7"/>
  <c r="O651" i="7"/>
  <c r="P651" i="7" s="1"/>
  <c r="M651" i="7"/>
  <c r="M655" i="7"/>
  <c r="O655" i="7"/>
  <c r="P655" i="7" s="1"/>
  <c r="O659" i="7"/>
  <c r="P659" i="7" s="1"/>
  <c r="M659" i="7"/>
  <c r="O663" i="7"/>
  <c r="P663" i="7" s="1"/>
  <c r="M663" i="7"/>
  <c r="O667" i="7"/>
  <c r="P667" i="7" s="1"/>
  <c r="M667" i="7"/>
  <c r="O671" i="7"/>
  <c r="P671" i="7" s="1"/>
  <c r="M671" i="7"/>
  <c r="O675" i="7"/>
  <c r="P675" i="7" s="1"/>
  <c r="M675" i="7"/>
  <c r="M679" i="7"/>
  <c r="O679" i="7"/>
  <c r="P679" i="7" s="1"/>
  <c r="M701" i="7"/>
  <c r="O701" i="7"/>
  <c r="P701" i="7" s="1"/>
  <c r="O705" i="7"/>
  <c r="P705" i="7" s="1"/>
  <c r="M705" i="7"/>
  <c r="M709" i="7"/>
  <c r="O709" i="7"/>
  <c r="P709" i="7" s="1"/>
  <c r="O6" i="9"/>
  <c r="Q6" i="9"/>
  <c r="R6" i="9" s="1"/>
  <c r="O16" i="9"/>
  <c r="Q16" i="9"/>
  <c r="R16" i="9" s="1"/>
  <c r="O20" i="9"/>
  <c r="Q20" i="9"/>
  <c r="R20" i="9" s="1"/>
  <c r="O24" i="9"/>
  <c r="Q24" i="9"/>
  <c r="R24" i="9" s="1"/>
  <c r="O28" i="9"/>
  <c r="Q28" i="9"/>
  <c r="R28" i="9" s="1"/>
  <c r="O32" i="9"/>
  <c r="Q32" i="9"/>
  <c r="R32" i="9" s="1"/>
  <c r="O36" i="9"/>
  <c r="Q36" i="9"/>
  <c r="R36" i="9" s="1"/>
  <c r="Q41" i="9"/>
  <c r="R41" i="9" s="1"/>
  <c r="O41" i="9"/>
  <c r="Q45" i="9"/>
  <c r="R45" i="9" s="1"/>
  <c r="O45" i="9"/>
  <c r="O49" i="9"/>
  <c r="Q49" i="9"/>
  <c r="R49" i="9" s="1"/>
  <c r="O53" i="9"/>
  <c r="Q53" i="9"/>
  <c r="R53" i="9" s="1"/>
  <c r="O59" i="9"/>
  <c r="Q59" i="9"/>
  <c r="R59" i="9" s="1"/>
  <c r="O65" i="9"/>
  <c r="Q65" i="9"/>
  <c r="R65" i="9" s="1"/>
  <c r="O71" i="9"/>
  <c r="Q71" i="9"/>
  <c r="R71" i="9" s="1"/>
  <c r="O75" i="9"/>
  <c r="Q75" i="9"/>
  <c r="R75" i="9" s="1"/>
  <c r="O81" i="9"/>
  <c r="Q81" i="9"/>
  <c r="R81" i="9" s="1"/>
  <c r="O85" i="9"/>
  <c r="Q85" i="9"/>
  <c r="R85" i="9" s="1"/>
  <c r="Q89" i="9"/>
  <c r="R89" i="9" s="1"/>
  <c r="O89" i="9"/>
  <c r="O93" i="9"/>
  <c r="Q93" i="9"/>
  <c r="R93" i="9" s="1"/>
  <c r="O98" i="9"/>
  <c r="Q98" i="9"/>
  <c r="R98" i="9" s="1"/>
  <c r="O103" i="9"/>
  <c r="Q103" i="9"/>
  <c r="R103" i="9" s="1"/>
  <c r="O107" i="9"/>
  <c r="Q107" i="9"/>
  <c r="R107" i="9" s="1"/>
  <c r="Q113" i="9"/>
  <c r="R113" i="9" s="1"/>
  <c r="O113" i="9"/>
  <c r="O117" i="9"/>
  <c r="Q117" i="9"/>
  <c r="R117" i="9" s="1"/>
  <c r="O121" i="9"/>
  <c r="Q121" i="9"/>
  <c r="R121" i="9" s="1"/>
  <c r="O125" i="9"/>
  <c r="Q125" i="9"/>
  <c r="R125" i="9" s="1"/>
  <c r="O129" i="9"/>
  <c r="Q129" i="9"/>
  <c r="R129" i="9" s="1"/>
  <c r="O135" i="9"/>
  <c r="Q135" i="9"/>
  <c r="R135" i="9" s="1"/>
  <c r="Q140" i="9"/>
  <c r="R140" i="9" s="1"/>
  <c r="O140" i="9"/>
  <c r="Q145" i="9"/>
  <c r="R145" i="9" s="1"/>
  <c r="O145" i="9"/>
  <c r="O151" i="9"/>
  <c r="Q151" i="9"/>
  <c r="R151" i="9" s="1"/>
  <c r="O156" i="9"/>
  <c r="Q156" i="9"/>
  <c r="R156" i="9" s="1"/>
  <c r="O160" i="9"/>
  <c r="Q160" i="9"/>
  <c r="R160" i="9" s="1"/>
  <c r="Q164" i="9"/>
  <c r="R164" i="9" s="1"/>
  <c r="O164" i="9"/>
  <c r="O168" i="9"/>
  <c r="Q168" i="9"/>
  <c r="R168" i="9" s="1"/>
  <c r="O174" i="9"/>
  <c r="Q174" i="9"/>
  <c r="R174" i="9" s="1"/>
  <c r="O181" i="9"/>
  <c r="Q181" i="9"/>
  <c r="R181" i="9" s="1"/>
  <c r="Q185" i="9"/>
  <c r="R185" i="9" s="1"/>
  <c r="O185" i="9"/>
  <c r="O190" i="9"/>
  <c r="Q190" i="9"/>
  <c r="R190" i="9" s="1"/>
  <c r="O194" i="9"/>
  <c r="Q194" i="9"/>
  <c r="R194" i="9" s="1"/>
  <c r="O198" i="9"/>
  <c r="Q198" i="9"/>
  <c r="R198" i="9" s="1"/>
  <c r="Q202" i="9"/>
  <c r="R202" i="9" s="1"/>
  <c r="O202" i="9"/>
  <c r="O207" i="9"/>
  <c r="Q207" i="9"/>
  <c r="R207" i="9" s="1"/>
  <c r="O211" i="9"/>
  <c r="Q211" i="9"/>
  <c r="R211" i="9" s="1"/>
  <c r="Q216" i="9"/>
  <c r="R216" i="9" s="1"/>
  <c r="O216" i="9"/>
  <c r="O222" i="9"/>
  <c r="Q222" i="9"/>
  <c r="R222" i="9" s="1"/>
  <c r="Q228" i="9"/>
  <c r="R228" i="9" s="1"/>
  <c r="O228" i="9"/>
  <c r="Q236" i="9"/>
  <c r="R236" i="9" s="1"/>
  <c r="O236" i="9"/>
  <c r="Q262" i="9"/>
  <c r="R262" i="9" s="1"/>
  <c r="O262" i="9"/>
  <c r="Q266" i="9"/>
  <c r="R266" i="9" s="1"/>
  <c r="O266" i="9"/>
  <c r="Q270" i="9"/>
  <c r="R270" i="9" s="1"/>
  <c r="O270" i="9"/>
  <c r="Q274" i="9"/>
  <c r="R274" i="9" s="1"/>
  <c r="O274" i="9"/>
  <c r="O278" i="9"/>
  <c r="Q278" i="9"/>
  <c r="R278" i="9" s="1"/>
  <c r="Q282" i="9"/>
  <c r="R282" i="9" s="1"/>
  <c r="O282" i="9"/>
  <c r="Q286" i="9"/>
  <c r="R286" i="9" s="1"/>
  <c r="O286" i="9"/>
  <c r="O290" i="9"/>
  <c r="Q290" i="9"/>
  <c r="R290" i="9" s="1"/>
  <c r="O294" i="9"/>
  <c r="Q294" i="9"/>
  <c r="R294" i="9" s="1"/>
  <c r="O298" i="9"/>
  <c r="Q298" i="9"/>
  <c r="R298" i="9" s="1"/>
  <c r="Q302" i="9"/>
  <c r="R302" i="9" s="1"/>
  <c r="O302" i="9"/>
  <c r="O306" i="9"/>
  <c r="Q306" i="9"/>
  <c r="R306" i="9" s="1"/>
  <c r="O310" i="9"/>
  <c r="Q310" i="9"/>
  <c r="R310" i="9" s="1"/>
  <c r="Q314" i="9"/>
  <c r="R314" i="9" s="1"/>
  <c r="O314" i="9"/>
  <c r="O318" i="9"/>
  <c r="Q318" i="9"/>
  <c r="R318" i="9" s="1"/>
  <c r="Q322" i="9"/>
  <c r="R322" i="9" s="1"/>
  <c r="O322" i="9"/>
  <c r="O326" i="9"/>
  <c r="Q326" i="9"/>
  <c r="R326" i="9" s="1"/>
  <c r="Q330" i="9"/>
  <c r="R330" i="9" s="1"/>
  <c r="O330" i="9"/>
  <c r="Q334" i="9"/>
  <c r="R334" i="9" s="1"/>
  <c r="O334" i="9"/>
  <c r="O339" i="9"/>
  <c r="Q339" i="9"/>
  <c r="R339" i="9" s="1"/>
  <c r="O345" i="9"/>
  <c r="Q345" i="9"/>
  <c r="R345" i="9" s="1"/>
  <c r="O349" i="9"/>
  <c r="Q349" i="9"/>
  <c r="R349" i="9" s="1"/>
  <c r="O353" i="9"/>
  <c r="Q353" i="9"/>
  <c r="R353" i="9" s="1"/>
  <c r="O357" i="9"/>
  <c r="Q357" i="9"/>
  <c r="R357" i="9" s="1"/>
  <c r="Q361" i="9"/>
  <c r="R361" i="9" s="1"/>
  <c r="O361" i="9"/>
  <c r="O365" i="9"/>
  <c r="Q365" i="9"/>
  <c r="R365" i="9" s="1"/>
  <c r="O369" i="9"/>
  <c r="Q369" i="9"/>
  <c r="R369" i="9" s="1"/>
  <c r="O373" i="9"/>
  <c r="Q373" i="9"/>
  <c r="R373" i="9" s="1"/>
  <c r="Q377" i="9"/>
  <c r="R377" i="9" s="1"/>
  <c r="O377" i="9"/>
  <c r="Q381" i="9"/>
  <c r="R381" i="9" s="1"/>
  <c r="O381" i="9"/>
  <c r="O385" i="9"/>
  <c r="Q385" i="9"/>
  <c r="R385" i="9" s="1"/>
  <c r="O389" i="9"/>
  <c r="Q389" i="9"/>
  <c r="R389" i="9" s="1"/>
  <c r="O393" i="9"/>
  <c r="Q393" i="9"/>
  <c r="R393" i="9" s="1"/>
  <c r="O397" i="9"/>
  <c r="Q397" i="9"/>
  <c r="R397" i="9" s="1"/>
  <c r="O401" i="9"/>
  <c r="Q401" i="9"/>
  <c r="R401" i="9" s="1"/>
  <c r="O405" i="9"/>
  <c r="Q405" i="9"/>
  <c r="R405" i="9" s="1"/>
  <c r="O411" i="9"/>
  <c r="Q411" i="9"/>
  <c r="R411" i="9" s="1"/>
  <c r="O415" i="9"/>
  <c r="Q415" i="9"/>
  <c r="R415" i="9" s="1"/>
  <c r="O419" i="9"/>
  <c r="Q419" i="9"/>
  <c r="R419" i="9" s="1"/>
  <c r="Q426" i="9"/>
  <c r="R426" i="9" s="1"/>
  <c r="O426" i="9"/>
  <c r="Q432" i="9"/>
  <c r="R432" i="9" s="1"/>
  <c r="O432" i="9"/>
  <c r="Q436" i="9"/>
  <c r="R436" i="9" s="1"/>
  <c r="O436" i="9"/>
  <c r="O440" i="9"/>
  <c r="Q440" i="9"/>
  <c r="R440" i="9" s="1"/>
  <c r="Q449" i="9"/>
  <c r="R449" i="9" s="1"/>
  <c r="O449" i="9"/>
  <c r="Q454" i="9"/>
  <c r="R454" i="9" s="1"/>
  <c r="O454" i="9"/>
  <c r="Q458" i="9"/>
  <c r="R458" i="9" s="1"/>
  <c r="O458" i="9"/>
  <c r="O471" i="9"/>
  <c r="Q471" i="9"/>
  <c r="R471" i="9" s="1"/>
  <c r="O477" i="9"/>
  <c r="Q477" i="9"/>
  <c r="R477" i="9" s="1"/>
  <c r="Q482" i="9"/>
  <c r="R482" i="9" s="1"/>
  <c r="O482" i="9"/>
  <c r="O488" i="9"/>
  <c r="Q488" i="9"/>
  <c r="R488" i="9" s="1"/>
  <c r="Q514" i="9"/>
  <c r="R514" i="9" s="1"/>
  <c r="O514" i="9"/>
  <c r="O518" i="9"/>
  <c r="Q518" i="9"/>
  <c r="R518" i="9" s="1"/>
  <c r="Q522" i="9"/>
  <c r="R522" i="9" s="1"/>
  <c r="O522" i="9"/>
  <c r="O542" i="9"/>
  <c r="Q542" i="9"/>
  <c r="R542" i="9" s="1"/>
  <c r="Q546" i="9"/>
  <c r="R546" i="9" s="1"/>
  <c r="O546" i="9"/>
  <c r="O551" i="9"/>
  <c r="Q551" i="9"/>
  <c r="R551" i="9" s="1"/>
  <c r="Q555" i="9"/>
  <c r="R555" i="9" s="1"/>
  <c r="O555" i="9"/>
  <c r="Q560" i="9"/>
  <c r="R560" i="9" s="1"/>
  <c r="O560" i="9"/>
  <c r="Q564" i="9"/>
  <c r="R564" i="9" s="1"/>
  <c r="O564" i="9"/>
  <c r="O568" i="9"/>
  <c r="Q568" i="9"/>
  <c r="R568" i="9" s="1"/>
  <c r="Q574" i="9"/>
  <c r="R574" i="9" s="1"/>
  <c r="O574" i="9"/>
  <c r="O578" i="9"/>
  <c r="Q578" i="9"/>
  <c r="R578" i="9" s="1"/>
  <c r="Q582" i="9"/>
  <c r="R582" i="9" s="1"/>
  <c r="O582" i="9"/>
  <c r="O586" i="9"/>
  <c r="Q586" i="9"/>
  <c r="R586" i="9" s="1"/>
  <c r="Q590" i="9"/>
  <c r="R590" i="9" s="1"/>
  <c r="O590" i="9"/>
  <c r="O594" i="9"/>
  <c r="Q594" i="9"/>
  <c r="R594" i="9" s="1"/>
  <c r="Q598" i="9"/>
  <c r="R598" i="9" s="1"/>
  <c r="O598" i="9"/>
  <c r="O602" i="9"/>
  <c r="Q602" i="9"/>
  <c r="R602" i="9" s="1"/>
  <c r="Q606" i="9"/>
  <c r="R606" i="9" s="1"/>
  <c r="O606" i="9"/>
  <c r="Q610" i="9"/>
  <c r="R610" i="9" s="1"/>
  <c r="O610" i="9"/>
  <c r="O614" i="9"/>
  <c r="Q614" i="9"/>
  <c r="R614" i="9" s="1"/>
  <c r="Q622" i="9"/>
  <c r="R622" i="9" s="1"/>
  <c r="O622" i="9"/>
  <c r="Q627" i="9"/>
  <c r="R627" i="9" s="1"/>
  <c r="O627" i="9"/>
  <c r="Q634" i="9"/>
  <c r="R634" i="9" s="1"/>
  <c r="O634" i="9"/>
  <c r="Q639" i="9"/>
  <c r="R639" i="9" s="1"/>
  <c r="O639" i="9"/>
  <c r="O643" i="9"/>
  <c r="Q643" i="9"/>
  <c r="R643" i="9" s="1"/>
  <c r="Q647" i="9"/>
  <c r="R647" i="9" s="1"/>
  <c r="O647" i="9"/>
  <c r="Q651" i="9"/>
  <c r="R651" i="9" s="1"/>
  <c r="O651" i="9"/>
  <c r="Q655" i="9"/>
  <c r="R655" i="9" s="1"/>
  <c r="O655" i="9"/>
  <c r="Q659" i="9"/>
  <c r="R659" i="9" s="1"/>
  <c r="O659" i="9"/>
  <c r="Q663" i="9"/>
  <c r="R663" i="9" s="1"/>
  <c r="O663" i="9"/>
  <c r="Q667" i="9"/>
  <c r="R667" i="9" s="1"/>
  <c r="O667" i="9"/>
  <c r="Q671" i="9"/>
  <c r="R671" i="9" s="1"/>
  <c r="O671" i="9"/>
  <c r="Q675" i="9"/>
  <c r="R675" i="9" s="1"/>
  <c r="O675" i="9"/>
  <c r="Q679" i="9"/>
  <c r="R679" i="9" s="1"/>
  <c r="O679" i="9"/>
  <c r="Q701" i="9"/>
  <c r="R701" i="9" s="1"/>
  <c r="O701" i="9"/>
  <c r="Q705" i="9"/>
  <c r="R705" i="9" s="1"/>
  <c r="O705" i="9"/>
  <c r="Q709" i="9"/>
  <c r="R709" i="9" s="1"/>
  <c r="O709" i="9"/>
  <c r="Q6" i="11"/>
  <c r="S6" i="11"/>
  <c r="T6" i="11" s="1"/>
  <c r="Q16" i="11"/>
  <c r="S16" i="11"/>
  <c r="T16" i="11" s="1"/>
  <c r="S20" i="11"/>
  <c r="T20" i="11" s="1"/>
  <c r="Q20" i="11"/>
  <c r="Q24" i="11"/>
  <c r="S24" i="11"/>
  <c r="T24" i="11" s="1"/>
  <c r="Q28" i="11"/>
  <c r="S28" i="11"/>
  <c r="T28" i="11" s="1"/>
  <c r="S32" i="11"/>
  <c r="T32" i="11" s="1"/>
  <c r="Q32" i="11"/>
  <c r="S36" i="11"/>
  <c r="T36" i="11" s="1"/>
  <c r="Q36" i="11"/>
  <c r="S41" i="11"/>
  <c r="T41" i="11" s="1"/>
  <c r="Q41" i="11"/>
  <c r="Q45" i="11"/>
  <c r="S45" i="11"/>
  <c r="T45" i="11" s="1"/>
  <c r="S49" i="11"/>
  <c r="T49" i="11" s="1"/>
  <c r="Q49" i="11"/>
  <c r="Q53" i="11"/>
  <c r="S53" i="11"/>
  <c r="T53" i="11" s="1"/>
  <c r="S59" i="11"/>
  <c r="T59" i="11" s="1"/>
  <c r="Q59" i="11"/>
  <c r="Q65" i="11"/>
  <c r="S65" i="11"/>
  <c r="T65" i="11" s="1"/>
  <c r="Q71" i="11"/>
  <c r="S71" i="11"/>
  <c r="T71" i="11" s="1"/>
  <c r="S75" i="11"/>
  <c r="T75" i="11" s="1"/>
  <c r="Q75" i="11"/>
  <c r="S81" i="11"/>
  <c r="T81" i="11" s="1"/>
  <c r="Q81" i="11"/>
  <c r="Q85" i="11"/>
  <c r="S85" i="11"/>
  <c r="T85" i="11" s="1"/>
  <c r="S89" i="11"/>
  <c r="T89" i="11" s="1"/>
  <c r="Q89" i="11"/>
  <c r="S93" i="11"/>
  <c r="T93" i="11" s="1"/>
  <c r="Q93" i="11"/>
  <c r="S98" i="11"/>
  <c r="T98" i="11" s="1"/>
  <c r="Q98" i="11"/>
  <c r="Q103" i="11"/>
  <c r="S103" i="11"/>
  <c r="T103" i="11" s="1"/>
  <c r="S107" i="11"/>
  <c r="T107" i="11" s="1"/>
  <c r="Q107" i="11"/>
  <c r="S113" i="11"/>
  <c r="T113" i="11" s="1"/>
  <c r="Q113" i="11"/>
  <c r="S117" i="11"/>
  <c r="T117" i="11" s="1"/>
  <c r="Q117" i="11"/>
  <c r="S121" i="11"/>
  <c r="T121" i="11" s="1"/>
  <c r="Q121" i="11"/>
  <c r="S125" i="11"/>
  <c r="T125" i="11" s="1"/>
  <c r="Q125" i="11"/>
  <c r="Q129" i="11"/>
  <c r="S129" i="11"/>
  <c r="T129" i="11" s="1"/>
  <c r="Q135" i="11"/>
  <c r="S135" i="11"/>
  <c r="T135" i="11" s="1"/>
  <c r="S140" i="11"/>
  <c r="T140" i="11" s="1"/>
  <c r="Q140" i="11"/>
  <c r="Q145" i="11"/>
  <c r="S145" i="11"/>
  <c r="T145" i="11" s="1"/>
  <c r="Q151" i="11"/>
  <c r="S151" i="11"/>
  <c r="T151" i="11" s="1"/>
  <c r="Q156" i="11"/>
  <c r="S156" i="11"/>
  <c r="T156" i="11" s="1"/>
  <c r="Q160" i="11"/>
  <c r="S160" i="11"/>
  <c r="T160" i="11" s="1"/>
  <c r="S164" i="11"/>
  <c r="T164" i="11" s="1"/>
  <c r="Q164" i="11"/>
  <c r="Q168" i="11"/>
  <c r="S168" i="11"/>
  <c r="T168" i="11" s="1"/>
  <c r="Q174" i="11"/>
  <c r="S174" i="11"/>
  <c r="T174" i="11" s="1"/>
  <c r="Q181" i="11"/>
  <c r="S181" i="11"/>
  <c r="T181" i="11" s="1"/>
  <c r="Q185" i="11"/>
  <c r="S185" i="11"/>
  <c r="T185" i="11" s="1"/>
  <c r="S190" i="11"/>
  <c r="T190" i="11" s="1"/>
  <c r="Q190" i="11"/>
  <c r="Q194" i="11"/>
  <c r="S194" i="11"/>
  <c r="T194" i="11" s="1"/>
  <c r="Q198" i="11"/>
  <c r="S198" i="11"/>
  <c r="T198" i="11" s="1"/>
  <c r="Q202" i="11"/>
  <c r="S202" i="11"/>
  <c r="T202" i="11" s="1"/>
  <c r="Q207" i="11"/>
  <c r="S207" i="11"/>
  <c r="T207" i="11" s="1"/>
  <c r="Q211" i="11"/>
  <c r="S211" i="11"/>
  <c r="T211" i="11" s="1"/>
  <c r="S216" i="11"/>
  <c r="T216" i="11" s="1"/>
  <c r="Q216" i="11"/>
  <c r="S222" i="11"/>
  <c r="T222" i="11" s="1"/>
  <c r="Q222" i="11"/>
  <c r="S228" i="11"/>
  <c r="T228" i="11" s="1"/>
  <c r="Q228" i="11"/>
  <c r="S236" i="11"/>
  <c r="T236" i="11" s="1"/>
  <c r="Q236" i="11"/>
  <c r="S262" i="11"/>
  <c r="T262" i="11" s="1"/>
  <c r="Q262" i="11"/>
  <c r="Q266" i="11"/>
  <c r="S266" i="11"/>
  <c r="T266" i="11" s="1"/>
  <c r="S270" i="11"/>
  <c r="T270" i="11" s="1"/>
  <c r="Q270" i="11"/>
  <c r="S274" i="11"/>
  <c r="T274" i="11" s="1"/>
  <c r="Q274" i="11"/>
  <c r="S278" i="11"/>
  <c r="T278" i="11" s="1"/>
  <c r="Q278" i="11"/>
  <c r="S282" i="11"/>
  <c r="T282" i="11" s="1"/>
  <c r="Q282" i="11"/>
  <c r="Q286" i="11"/>
  <c r="S286" i="11"/>
  <c r="T286" i="11" s="1"/>
  <c r="S290" i="11"/>
  <c r="T290" i="11" s="1"/>
  <c r="Q290" i="11"/>
  <c r="Q294" i="11"/>
  <c r="S294" i="11"/>
  <c r="T294" i="11" s="1"/>
  <c r="S298" i="11"/>
  <c r="T298" i="11" s="1"/>
  <c r="Q298" i="11"/>
  <c r="Q302" i="11"/>
  <c r="S302" i="11"/>
  <c r="T302" i="11" s="1"/>
  <c r="S306" i="11"/>
  <c r="T306" i="11" s="1"/>
  <c r="Q306" i="11"/>
  <c r="S310" i="11"/>
  <c r="T310" i="11" s="1"/>
  <c r="Q310" i="11"/>
  <c r="Q314" i="11"/>
  <c r="S314" i="11"/>
  <c r="T314" i="11" s="1"/>
  <c r="S318" i="11"/>
  <c r="T318" i="11" s="1"/>
  <c r="Q318" i="11"/>
  <c r="Q322" i="11"/>
  <c r="S322" i="11"/>
  <c r="T322" i="11" s="1"/>
  <c r="S326" i="11"/>
  <c r="T326" i="11" s="1"/>
  <c r="Q326" i="11"/>
  <c r="Q330" i="11"/>
  <c r="S330" i="11"/>
  <c r="T330" i="11" s="1"/>
  <c r="Q334" i="11"/>
  <c r="S334" i="11"/>
  <c r="T334" i="11" s="1"/>
  <c r="S339" i="11"/>
  <c r="T339" i="11" s="1"/>
  <c r="Q339" i="11"/>
  <c r="Q345" i="11"/>
  <c r="S345" i="11"/>
  <c r="T345" i="11" s="1"/>
  <c r="Q349" i="11"/>
  <c r="S349" i="11"/>
  <c r="T349" i="11" s="1"/>
  <c r="Q353" i="11"/>
  <c r="S353" i="11"/>
  <c r="T353" i="11" s="1"/>
  <c r="Q357" i="11"/>
  <c r="S357" i="11"/>
  <c r="T357" i="11" s="1"/>
  <c r="Q361" i="11"/>
  <c r="S361" i="11"/>
  <c r="T361" i="11" s="1"/>
  <c r="Q365" i="11"/>
  <c r="S365" i="11"/>
  <c r="T365" i="11" s="1"/>
  <c r="Q369" i="11"/>
  <c r="S369" i="11"/>
  <c r="T369" i="11" s="1"/>
  <c r="Q373" i="11"/>
  <c r="S373" i="11"/>
  <c r="T373" i="11" s="1"/>
  <c r="S377" i="11"/>
  <c r="T377" i="11" s="1"/>
  <c r="Q377" i="11"/>
  <c r="S381" i="11"/>
  <c r="T381" i="11" s="1"/>
  <c r="Q381" i="11"/>
  <c r="S385" i="11"/>
  <c r="T385" i="11" s="1"/>
  <c r="Q385" i="11"/>
  <c r="Q389" i="11"/>
  <c r="S389" i="11"/>
  <c r="T389" i="11" s="1"/>
  <c r="S393" i="11"/>
  <c r="T393" i="11" s="1"/>
  <c r="Q393" i="11"/>
  <c r="S397" i="11"/>
  <c r="T397" i="11" s="1"/>
  <c r="Q397" i="11"/>
  <c r="S401" i="11"/>
  <c r="T401" i="11" s="1"/>
  <c r="Q401" i="11"/>
  <c r="Q405" i="11"/>
  <c r="S405" i="11"/>
  <c r="T405" i="11" s="1"/>
  <c r="S411" i="11"/>
  <c r="T411" i="11" s="1"/>
  <c r="Q411" i="11"/>
  <c r="S415" i="11"/>
  <c r="T415" i="11" s="1"/>
  <c r="Q415" i="11"/>
  <c r="Q419" i="11"/>
  <c r="S419" i="11"/>
  <c r="T419" i="11" s="1"/>
  <c r="S426" i="11"/>
  <c r="T426" i="11" s="1"/>
  <c r="Q426" i="11"/>
  <c r="S432" i="11"/>
  <c r="T432" i="11" s="1"/>
  <c r="Q432" i="11"/>
  <c r="S436" i="11"/>
  <c r="T436" i="11" s="1"/>
  <c r="Q436" i="11"/>
  <c r="Q440" i="11"/>
  <c r="S440" i="11"/>
  <c r="T440" i="11" s="1"/>
  <c r="S449" i="11"/>
  <c r="T449" i="11" s="1"/>
  <c r="Q449" i="11"/>
  <c r="Q454" i="11"/>
  <c r="S454" i="11"/>
  <c r="T454" i="11" s="1"/>
  <c r="S458" i="11"/>
  <c r="T458" i="11" s="1"/>
  <c r="Q458" i="11"/>
  <c r="Q471" i="11"/>
  <c r="S471" i="11"/>
  <c r="T471" i="11" s="1"/>
  <c r="Q477" i="11"/>
  <c r="S477" i="11"/>
  <c r="T477" i="11" s="1"/>
  <c r="Q482" i="11"/>
  <c r="S482" i="11"/>
  <c r="T482" i="11" s="1"/>
  <c r="S488" i="11"/>
  <c r="T488" i="11" s="1"/>
  <c r="Q488" i="11"/>
  <c r="S514" i="11"/>
  <c r="T514" i="11" s="1"/>
  <c r="Q514" i="11"/>
  <c r="Q518" i="11"/>
  <c r="S518" i="11"/>
  <c r="T518" i="11" s="1"/>
  <c r="Q522" i="11"/>
  <c r="S522" i="11"/>
  <c r="T522" i="11" s="1"/>
  <c r="Q542" i="11"/>
  <c r="S542" i="11"/>
  <c r="T542" i="11" s="1"/>
  <c r="S546" i="11"/>
  <c r="T546" i="11" s="1"/>
  <c r="Q546" i="11"/>
  <c r="Q551" i="11"/>
  <c r="S551" i="11"/>
  <c r="T551" i="11" s="1"/>
  <c r="Q555" i="11"/>
  <c r="S555" i="11"/>
  <c r="T555" i="11" s="1"/>
  <c r="Q560" i="11"/>
  <c r="S560" i="11"/>
  <c r="T560" i="11" s="1"/>
  <c r="S564" i="11"/>
  <c r="T564" i="11" s="1"/>
  <c r="Q564" i="11"/>
  <c r="S568" i="11"/>
  <c r="T568" i="11" s="1"/>
  <c r="Q568" i="11"/>
  <c r="S574" i="11"/>
  <c r="T574" i="11" s="1"/>
  <c r="Q574" i="11"/>
  <c r="Q578" i="11"/>
  <c r="S578" i="11"/>
  <c r="T578" i="11" s="1"/>
  <c r="Q582" i="11"/>
  <c r="S582" i="11"/>
  <c r="T582" i="11" s="1"/>
  <c r="Q586" i="11"/>
  <c r="S586" i="11"/>
  <c r="T586" i="11" s="1"/>
  <c r="Q590" i="11"/>
  <c r="S590" i="11"/>
  <c r="T590" i="11" s="1"/>
  <c r="Q594" i="11"/>
  <c r="S594" i="11"/>
  <c r="T594" i="11" s="1"/>
  <c r="S598" i="11"/>
  <c r="T598" i="11" s="1"/>
  <c r="Q598" i="11"/>
  <c r="Q602" i="11"/>
  <c r="S602" i="11"/>
  <c r="T602" i="11" s="1"/>
  <c r="S606" i="11"/>
  <c r="T606" i="11" s="1"/>
  <c r="Q606" i="11"/>
  <c r="Q610" i="11"/>
  <c r="S610" i="11"/>
  <c r="T610" i="11" s="1"/>
  <c r="S614" i="11"/>
  <c r="T614" i="11" s="1"/>
  <c r="Q614" i="11"/>
  <c r="Q622" i="11"/>
  <c r="S622" i="11"/>
  <c r="T622" i="11" s="1"/>
  <c r="Q627" i="11"/>
  <c r="S627" i="11"/>
  <c r="T627" i="11" s="1"/>
  <c r="Q634" i="11"/>
  <c r="S634" i="11"/>
  <c r="T634" i="11" s="1"/>
  <c r="Q639" i="11"/>
  <c r="S639" i="11"/>
  <c r="T639" i="11" s="1"/>
  <c r="Q643" i="11"/>
  <c r="S643" i="11"/>
  <c r="T643" i="11" s="1"/>
  <c r="S647" i="11"/>
  <c r="T647" i="11" s="1"/>
  <c r="Q647" i="11"/>
  <c r="Q651" i="11"/>
  <c r="S651" i="11"/>
  <c r="T651" i="11" s="1"/>
  <c r="Q655" i="11"/>
  <c r="S655" i="11"/>
  <c r="T655" i="11" s="1"/>
  <c r="S659" i="11"/>
  <c r="T659" i="11" s="1"/>
  <c r="Q659" i="11"/>
  <c r="S663" i="11"/>
  <c r="T663" i="11" s="1"/>
  <c r="Q663" i="11"/>
  <c r="S667" i="11"/>
  <c r="T667" i="11" s="1"/>
  <c r="Q667" i="11"/>
  <c r="Q671" i="11"/>
  <c r="S671" i="11"/>
  <c r="T671" i="11" s="1"/>
  <c r="S675" i="11"/>
  <c r="T675" i="11" s="1"/>
  <c r="Q675" i="11"/>
  <c r="Q679" i="11"/>
  <c r="S679" i="11"/>
  <c r="T679" i="11" s="1"/>
  <c r="Q701" i="11"/>
  <c r="S701" i="11"/>
  <c r="T701" i="11" s="1"/>
  <c r="S705" i="11"/>
  <c r="T705" i="11" s="1"/>
  <c r="Q705" i="11"/>
  <c r="Q709" i="11"/>
  <c r="S709" i="11"/>
  <c r="T709" i="11" s="1"/>
  <c r="S6" i="14"/>
  <c r="Q6" i="14"/>
  <c r="Q14" i="14"/>
  <c r="S14" i="14"/>
  <c r="S18" i="14"/>
  <c r="Q18" i="14"/>
  <c r="R21" i="14"/>
  <c r="F21" i="14"/>
  <c r="G21" i="14" s="1"/>
  <c r="I21" i="14" s="1"/>
  <c r="S22" i="14"/>
  <c r="T22" i="14" s="1"/>
  <c r="Q22" i="14"/>
  <c r="F25" i="14"/>
  <c r="G25" i="14" s="1"/>
  <c r="I25" i="14" s="1"/>
  <c r="R25" i="14"/>
  <c r="Q26" i="14"/>
  <c r="S26" i="14"/>
  <c r="S30" i="14"/>
  <c r="Q30" i="14"/>
  <c r="S34" i="14"/>
  <c r="T34" i="14" s="1"/>
  <c r="Q34" i="14"/>
  <c r="F37" i="14"/>
  <c r="G37" i="14" s="1"/>
  <c r="I37" i="14" s="1"/>
  <c r="R37" i="14"/>
  <c r="S38" i="14"/>
  <c r="Q38" i="14"/>
  <c r="R41" i="14"/>
  <c r="F41" i="14"/>
  <c r="G41" i="14" s="1"/>
  <c r="I41" i="14" s="1"/>
  <c r="S42" i="14"/>
  <c r="Q42" i="14"/>
  <c r="F45" i="14"/>
  <c r="G45" i="14" s="1"/>
  <c r="I45" i="14" s="1"/>
  <c r="R45" i="14"/>
  <c r="Q46" i="14"/>
  <c r="S46" i="14"/>
  <c r="T46" i="14" s="1"/>
  <c r="S50" i="14"/>
  <c r="Q50" i="14"/>
  <c r="Q54" i="14"/>
  <c r="S54" i="14"/>
  <c r="T54" i="14" s="1"/>
  <c r="S69" i="14"/>
  <c r="T69" i="14" s="1"/>
  <c r="Q69" i="14"/>
  <c r="F72" i="14"/>
  <c r="G72" i="14" s="1"/>
  <c r="I72" i="14" s="1"/>
  <c r="R72" i="14"/>
  <c r="Q73" i="14"/>
  <c r="S73" i="14"/>
  <c r="R76" i="14"/>
  <c r="F76" i="14"/>
  <c r="G76" i="14" s="1"/>
  <c r="I76" i="14" s="1"/>
  <c r="S77" i="14"/>
  <c r="T77" i="14" s="1"/>
  <c r="Q77" i="14"/>
  <c r="S81" i="14"/>
  <c r="Q81" i="14"/>
  <c r="F84" i="14"/>
  <c r="G84" i="14" s="1"/>
  <c r="I84" i="14" s="1"/>
  <c r="R84" i="14"/>
  <c r="S85" i="14"/>
  <c r="Q85" i="14"/>
  <c r="F88" i="14"/>
  <c r="G88" i="14" s="1"/>
  <c r="I88" i="14" s="1"/>
  <c r="R88" i="14"/>
  <c r="S89" i="14"/>
  <c r="Q89" i="14"/>
  <c r="F92" i="14"/>
  <c r="G92" i="14" s="1"/>
  <c r="I92" i="14" s="1"/>
  <c r="R92" i="14"/>
  <c r="Q93" i="14"/>
  <c r="S93" i="14"/>
  <c r="F114" i="14"/>
  <c r="G114" i="14" s="1"/>
  <c r="I114" i="14" s="1"/>
  <c r="R114" i="14"/>
  <c r="Q115" i="14"/>
  <c r="S115" i="14"/>
  <c r="R118" i="14"/>
  <c r="F118" i="14"/>
  <c r="G118" i="14" s="1"/>
  <c r="I118" i="14" s="1"/>
  <c r="Q119" i="14"/>
  <c r="S119" i="14"/>
  <c r="F122" i="14"/>
  <c r="G122" i="14" s="1"/>
  <c r="I122" i="14" s="1"/>
  <c r="R122" i="14"/>
  <c r="S123" i="14"/>
  <c r="Q123" i="14"/>
  <c r="S127" i="14"/>
  <c r="Q127" i="14"/>
  <c r="S138" i="14"/>
  <c r="T138" i="14" s="1"/>
  <c r="Q138" i="14"/>
  <c r="R141" i="14"/>
  <c r="F141" i="14"/>
  <c r="G141" i="14" s="1"/>
  <c r="I141" i="14" s="1"/>
  <c r="Q142" i="14"/>
  <c r="S142" i="14"/>
  <c r="F145" i="14"/>
  <c r="G145" i="14" s="1"/>
  <c r="I145" i="14" s="1"/>
  <c r="R145" i="14"/>
  <c r="S146" i="14"/>
  <c r="Q146" i="14"/>
  <c r="Q157" i="14"/>
  <c r="S157" i="14"/>
  <c r="T157" i="14" s="1"/>
  <c r="F160" i="14"/>
  <c r="G160" i="14" s="1"/>
  <c r="I160" i="14" s="1"/>
  <c r="R160" i="14"/>
  <c r="S161" i="14"/>
  <c r="Q161" i="14"/>
  <c r="R164" i="14"/>
  <c r="F164" i="14"/>
  <c r="G164" i="14" s="1"/>
  <c r="I164" i="14" s="1"/>
  <c r="S165" i="14"/>
  <c r="Q165" i="14"/>
  <c r="F168" i="14"/>
  <c r="G168" i="14" s="1"/>
  <c r="I168" i="14" s="1"/>
  <c r="R168" i="14"/>
  <c r="Q169" i="14"/>
  <c r="S169" i="14"/>
  <c r="F186" i="14"/>
  <c r="G186" i="14" s="1"/>
  <c r="I186" i="14" s="1"/>
  <c r="R186" i="14"/>
  <c r="Q187" i="14"/>
  <c r="S187" i="14"/>
  <c r="Q191" i="14"/>
  <c r="S191" i="14"/>
  <c r="R194" i="14"/>
  <c r="F194" i="14"/>
  <c r="G194" i="14" s="1"/>
  <c r="I194" i="14" s="1"/>
  <c r="Q195" i="14"/>
  <c r="S195" i="14"/>
  <c r="Q199" i="14"/>
  <c r="S199" i="14"/>
  <c r="F202" i="14"/>
  <c r="G202" i="14" s="1"/>
  <c r="I202" i="14" s="1"/>
  <c r="R202" i="14"/>
  <c r="S203" i="14"/>
  <c r="Q203" i="14"/>
  <c r="Q227" i="14"/>
  <c r="S227" i="14"/>
  <c r="R230" i="14"/>
  <c r="F230" i="14"/>
  <c r="G230" i="14" s="1"/>
  <c r="I230" i="14" s="1"/>
  <c r="Q261" i="14"/>
  <c r="S261" i="14"/>
  <c r="T261" i="14" s="1"/>
  <c r="R264" i="14"/>
  <c r="F264" i="14"/>
  <c r="G264" i="14" s="1"/>
  <c r="I264" i="14" s="1"/>
  <c r="Q265" i="14"/>
  <c r="S265" i="14"/>
  <c r="F268" i="14"/>
  <c r="G268" i="14" s="1"/>
  <c r="I268" i="14" s="1"/>
  <c r="R268" i="14"/>
  <c r="Q269" i="14"/>
  <c r="S269" i="14"/>
  <c r="F272" i="14"/>
  <c r="G272" i="14" s="1"/>
  <c r="I272" i="14" s="1"/>
  <c r="R272" i="14"/>
  <c r="S273" i="14"/>
  <c r="Q273" i="14"/>
  <c r="F276" i="14"/>
  <c r="G276" i="14" s="1"/>
  <c r="I276" i="14" s="1"/>
  <c r="R276" i="14"/>
  <c r="S277" i="14"/>
  <c r="Q277" i="14"/>
  <c r="R280" i="14"/>
  <c r="F280" i="14"/>
  <c r="G280" i="14" s="1"/>
  <c r="I280" i="14" s="1"/>
  <c r="Q281" i="14"/>
  <c r="S281" i="14"/>
  <c r="R284" i="14"/>
  <c r="F284" i="14"/>
  <c r="G284" i="14" s="1"/>
  <c r="I284" i="14" s="1"/>
  <c r="Q285" i="14"/>
  <c r="S285" i="14"/>
  <c r="F288" i="14"/>
  <c r="G288" i="14" s="1"/>
  <c r="I288" i="14" s="1"/>
  <c r="R288" i="14"/>
  <c r="S289" i="14"/>
  <c r="Q289" i="14"/>
  <c r="Q293" i="14"/>
  <c r="S293" i="14"/>
  <c r="F296" i="14"/>
  <c r="G296" i="14" s="1"/>
  <c r="I296" i="14" s="1"/>
  <c r="R296" i="14"/>
  <c r="Q297" i="14"/>
  <c r="S297" i="14"/>
  <c r="F300" i="14"/>
  <c r="G300" i="14" s="1"/>
  <c r="I300" i="14" s="1"/>
  <c r="R300" i="14"/>
  <c r="S301" i="14"/>
  <c r="Q301" i="14"/>
  <c r="F304" i="14"/>
  <c r="G304" i="14" s="1"/>
  <c r="I304" i="14" s="1"/>
  <c r="R304" i="14"/>
  <c r="S305" i="14"/>
  <c r="Q305" i="14"/>
  <c r="R308" i="14"/>
  <c r="F308" i="14"/>
  <c r="G308" i="14" s="1"/>
  <c r="I308" i="14" s="1"/>
  <c r="Q309" i="14"/>
  <c r="S309" i="14"/>
  <c r="S313" i="14"/>
  <c r="Q313" i="14"/>
  <c r="F316" i="14"/>
  <c r="G316" i="14" s="1"/>
  <c r="I316" i="14" s="1"/>
  <c r="R316" i="14"/>
  <c r="Q317" i="14"/>
  <c r="S317" i="14"/>
  <c r="F320" i="14"/>
  <c r="G320" i="14" s="1"/>
  <c r="I320" i="14" s="1"/>
  <c r="R320" i="14"/>
  <c r="Q321" i="14"/>
  <c r="S321" i="14"/>
  <c r="T321" i="14" s="1"/>
  <c r="F324" i="14"/>
  <c r="G324" i="14" s="1"/>
  <c r="I324" i="14" s="1"/>
  <c r="R324" i="14"/>
  <c r="Q325" i="14"/>
  <c r="S325" i="14"/>
  <c r="R328" i="14"/>
  <c r="F328" i="14"/>
  <c r="G328" i="14" s="1"/>
  <c r="I328" i="14" s="1"/>
  <c r="S329" i="14"/>
  <c r="Q329" i="14"/>
  <c r="F332" i="14"/>
  <c r="G332" i="14" s="1"/>
  <c r="I332" i="14" s="1"/>
  <c r="R332" i="14"/>
  <c r="Q333" i="14"/>
  <c r="S333" i="14"/>
  <c r="T333" i="14" s="1"/>
  <c r="Q337" i="14"/>
  <c r="S337" i="14"/>
  <c r="R340" i="14"/>
  <c r="F340" i="14"/>
  <c r="G340" i="14" s="1"/>
  <c r="I340" i="14" s="1"/>
  <c r="S341" i="14"/>
  <c r="T341" i="14" s="1"/>
  <c r="Q341" i="14"/>
  <c r="F344" i="14"/>
  <c r="G344" i="14" s="1"/>
  <c r="I344" i="14" s="1"/>
  <c r="R344" i="14"/>
  <c r="Q345" i="14"/>
  <c r="S345" i="14"/>
  <c r="T345" i="14" s="1"/>
  <c r="R348" i="14"/>
  <c r="F348" i="14"/>
  <c r="G348" i="14" s="1"/>
  <c r="I348" i="14" s="1"/>
  <c r="Q349" i="14"/>
  <c r="S349" i="14"/>
  <c r="R352" i="14"/>
  <c r="F352" i="14"/>
  <c r="G352" i="14" s="1"/>
  <c r="I352" i="14" s="1"/>
  <c r="Q353" i="14"/>
  <c r="S353" i="14"/>
  <c r="F356" i="14"/>
  <c r="G356" i="14" s="1"/>
  <c r="I356" i="14" s="1"/>
  <c r="R356" i="14"/>
  <c r="Q357" i="14"/>
  <c r="S357" i="14"/>
  <c r="S361" i="14"/>
  <c r="Q361" i="14"/>
  <c r="F364" i="14"/>
  <c r="G364" i="14" s="1"/>
  <c r="I364" i="14" s="1"/>
  <c r="R364" i="14"/>
  <c r="S365" i="14"/>
  <c r="Q365" i="14"/>
  <c r="R368" i="14"/>
  <c r="F368" i="14"/>
  <c r="G368" i="14" s="1"/>
  <c r="I368" i="14" s="1"/>
  <c r="Q369" i="14"/>
  <c r="S369" i="14"/>
  <c r="R372" i="14"/>
  <c r="F372" i="14"/>
  <c r="G372" i="14" s="1"/>
  <c r="I372" i="14" s="1"/>
  <c r="Q373" i="14"/>
  <c r="S373" i="14"/>
  <c r="S377" i="14"/>
  <c r="T377" i="14" s="1"/>
  <c r="Q377" i="14"/>
  <c r="R380" i="14"/>
  <c r="F380" i="14"/>
  <c r="G380" i="14" s="1"/>
  <c r="I380" i="14" s="1"/>
  <c r="S381" i="14"/>
  <c r="Q381" i="14"/>
  <c r="F384" i="14"/>
  <c r="G384" i="14" s="1"/>
  <c r="I384" i="14" s="1"/>
  <c r="R384" i="14"/>
  <c r="S385" i="14"/>
  <c r="Q385" i="14"/>
  <c r="R388" i="14"/>
  <c r="F388" i="14"/>
  <c r="G388" i="14" s="1"/>
  <c r="I388" i="14" s="1"/>
  <c r="S389" i="14"/>
  <c r="Q389" i="14"/>
  <c r="R392" i="14"/>
  <c r="F392" i="14"/>
  <c r="G392" i="14" s="1"/>
  <c r="I392" i="14" s="1"/>
  <c r="Q393" i="14"/>
  <c r="S393" i="14"/>
  <c r="R396" i="14"/>
  <c r="F396" i="14"/>
  <c r="G396" i="14" s="1"/>
  <c r="I396" i="14" s="1"/>
  <c r="Q397" i="14"/>
  <c r="S397" i="14"/>
  <c r="Q401" i="14"/>
  <c r="S401" i="14"/>
  <c r="R404" i="14"/>
  <c r="F404" i="14"/>
  <c r="G404" i="14" s="1"/>
  <c r="I404" i="14" s="1"/>
  <c r="S405" i="14"/>
  <c r="T405" i="14" s="1"/>
  <c r="Q405" i="14"/>
  <c r="R408" i="14"/>
  <c r="F408" i="14"/>
  <c r="G408" i="14" s="1"/>
  <c r="I408" i="14" s="1"/>
  <c r="Q409" i="14"/>
  <c r="S409" i="14"/>
  <c r="T409" i="14" s="1"/>
  <c r="F412" i="14"/>
  <c r="G412" i="14" s="1"/>
  <c r="I412" i="14" s="1"/>
  <c r="R412" i="14"/>
  <c r="Q413" i="14"/>
  <c r="S413" i="14"/>
  <c r="T413" i="14" s="1"/>
  <c r="Q417" i="14"/>
  <c r="S417" i="14"/>
  <c r="F420" i="14"/>
  <c r="G420" i="14" s="1"/>
  <c r="I420" i="14" s="1"/>
  <c r="R420" i="14"/>
  <c r="Q421" i="14"/>
  <c r="S421" i="14"/>
  <c r="F424" i="14"/>
  <c r="G424" i="14" s="1"/>
  <c r="I424" i="14" s="1"/>
  <c r="R424" i="14"/>
  <c r="S425" i="14"/>
  <c r="Q425" i="14"/>
  <c r="F428" i="14"/>
  <c r="G428" i="14" s="1"/>
  <c r="I428" i="14" s="1"/>
  <c r="R428" i="14"/>
  <c r="S429" i="14"/>
  <c r="Q429" i="14"/>
  <c r="R432" i="14"/>
  <c r="F432" i="14"/>
  <c r="G432" i="14" s="1"/>
  <c r="I432" i="14" s="1"/>
  <c r="Q433" i="14"/>
  <c r="S433" i="14"/>
  <c r="R436" i="14"/>
  <c r="F436" i="14"/>
  <c r="G436" i="14" s="1"/>
  <c r="I436" i="14" s="1"/>
  <c r="Q437" i="14"/>
  <c r="S437" i="14"/>
  <c r="R440" i="14"/>
  <c r="F440" i="14"/>
  <c r="G440" i="14" s="1"/>
  <c r="I440" i="14" s="1"/>
  <c r="S441" i="14"/>
  <c r="Q441" i="14"/>
  <c r="Q449" i="14"/>
  <c r="S449" i="14"/>
  <c r="F452" i="14"/>
  <c r="G452" i="14" s="1"/>
  <c r="I452" i="14" s="1"/>
  <c r="R452" i="14"/>
  <c r="Q453" i="14"/>
  <c r="S453" i="14"/>
  <c r="F456" i="14"/>
  <c r="G456" i="14" s="1"/>
  <c r="I456" i="14" s="1"/>
  <c r="R456" i="14"/>
  <c r="Q457" i="14"/>
  <c r="S457" i="14"/>
  <c r="R460" i="14"/>
  <c r="F460" i="14"/>
  <c r="G460" i="14" s="1"/>
  <c r="I460" i="14" s="1"/>
  <c r="S461" i="14"/>
  <c r="T461" i="14" s="1"/>
  <c r="Q461" i="14"/>
  <c r="F464" i="14"/>
  <c r="G464" i="14" s="1"/>
  <c r="I464" i="14" s="1"/>
  <c r="R464" i="14"/>
  <c r="Q465" i="14"/>
  <c r="S465" i="14"/>
  <c r="T465" i="14" s="1"/>
  <c r="R468" i="14"/>
  <c r="F468" i="14"/>
  <c r="G468" i="14" s="1"/>
  <c r="I468" i="14" s="1"/>
  <c r="Q469" i="14"/>
  <c r="S469" i="14"/>
  <c r="R472" i="14"/>
  <c r="F472" i="14"/>
  <c r="G472" i="14" s="1"/>
  <c r="I472" i="14" s="1"/>
  <c r="Q473" i="14"/>
  <c r="S473" i="14"/>
  <c r="F476" i="14"/>
  <c r="G476" i="14" s="1"/>
  <c r="I476" i="14" s="1"/>
  <c r="R476" i="14"/>
  <c r="S477" i="14"/>
  <c r="T477" i="14" s="1"/>
  <c r="Q477" i="14"/>
  <c r="Q481" i="14"/>
  <c r="S481" i="14"/>
  <c r="R484" i="14"/>
  <c r="F484" i="14"/>
  <c r="G484" i="14" s="1"/>
  <c r="I484" i="14" s="1"/>
  <c r="S485" i="14"/>
  <c r="Q485" i="14"/>
  <c r="F488" i="14"/>
  <c r="G488" i="14" s="1"/>
  <c r="I488" i="14" s="1"/>
  <c r="R488" i="14"/>
  <c r="Q489" i="14"/>
  <c r="S489" i="14"/>
  <c r="S514" i="14"/>
  <c r="Q514" i="14"/>
  <c r="F517" i="14"/>
  <c r="G517" i="14" s="1"/>
  <c r="I517" i="14" s="1"/>
  <c r="R517" i="14"/>
  <c r="S518" i="14"/>
  <c r="Q518" i="14"/>
  <c r="F521" i="14"/>
  <c r="G521" i="14" s="1"/>
  <c r="I521" i="14" s="1"/>
  <c r="R521" i="14"/>
  <c r="Q522" i="14"/>
  <c r="S522" i="14"/>
  <c r="R541" i="14"/>
  <c r="F541" i="14"/>
  <c r="G541" i="14" s="1"/>
  <c r="I541" i="14" s="1"/>
  <c r="Q542" i="14"/>
  <c r="S542" i="14"/>
  <c r="R545" i="14"/>
  <c r="F545" i="14"/>
  <c r="G545" i="14" s="1"/>
  <c r="I545" i="14" s="1"/>
  <c r="Q546" i="14"/>
  <c r="S546" i="14"/>
  <c r="Q550" i="14"/>
  <c r="S550" i="14"/>
  <c r="R553" i="14"/>
  <c r="F553" i="14"/>
  <c r="G553" i="14" s="1"/>
  <c r="I553" i="14" s="1"/>
  <c r="Q554" i="14"/>
  <c r="S554" i="14"/>
  <c r="F557" i="14"/>
  <c r="G557" i="14" s="1"/>
  <c r="I557" i="14" s="1"/>
  <c r="R557" i="14"/>
  <c r="S558" i="14"/>
  <c r="T558" i="14" s="1"/>
  <c r="Q558" i="14"/>
  <c r="R561" i="14"/>
  <c r="F561" i="14"/>
  <c r="G561" i="14" s="1"/>
  <c r="I561" i="14" s="1"/>
  <c r="Q562" i="14"/>
  <c r="S562" i="14"/>
  <c r="R565" i="14"/>
  <c r="F565" i="14"/>
  <c r="G565" i="14" s="1"/>
  <c r="I565" i="14" s="1"/>
  <c r="Q566" i="14"/>
  <c r="S566" i="14"/>
  <c r="R569" i="14"/>
  <c r="F569" i="14"/>
  <c r="G569" i="14" s="1"/>
  <c r="I569" i="14" s="1"/>
  <c r="Q570" i="14"/>
  <c r="S570" i="14"/>
  <c r="F575" i="14"/>
  <c r="G575" i="14" s="1"/>
  <c r="I575" i="14" s="1"/>
  <c r="R575" i="14"/>
  <c r="S576" i="14"/>
  <c r="Q576" i="14"/>
  <c r="R579" i="14"/>
  <c r="F579" i="14"/>
  <c r="G579" i="14" s="1"/>
  <c r="I579" i="14" s="1"/>
  <c r="Q580" i="14"/>
  <c r="S580" i="14"/>
  <c r="R583" i="14"/>
  <c r="F583" i="14"/>
  <c r="G583" i="14" s="1"/>
  <c r="I583" i="14" s="1"/>
  <c r="S584" i="14"/>
  <c r="Q584" i="14"/>
  <c r="F587" i="14"/>
  <c r="G587" i="14" s="1"/>
  <c r="I587" i="14" s="1"/>
  <c r="R587" i="14"/>
  <c r="S588" i="14"/>
  <c r="Q588" i="14"/>
  <c r="R591" i="14"/>
  <c r="F591" i="14"/>
  <c r="G591" i="14" s="1"/>
  <c r="I591" i="14" s="1"/>
  <c r="S592" i="14"/>
  <c r="T592" i="14" s="1"/>
  <c r="Q592" i="14"/>
  <c r="F595" i="14"/>
  <c r="G595" i="14" s="1"/>
  <c r="I595" i="14" s="1"/>
  <c r="R595" i="14"/>
  <c r="S596" i="14"/>
  <c r="T596" i="14" s="1"/>
  <c r="Q596" i="14"/>
  <c r="F599" i="14"/>
  <c r="G599" i="14" s="1"/>
  <c r="I599" i="14" s="1"/>
  <c r="R599" i="14"/>
  <c r="S600" i="14"/>
  <c r="Q600" i="14"/>
  <c r="S604" i="14"/>
  <c r="Q604" i="14"/>
  <c r="F607" i="14"/>
  <c r="G607" i="14" s="1"/>
  <c r="I607" i="14" s="1"/>
  <c r="R607" i="14"/>
  <c r="Q608" i="14"/>
  <c r="S608" i="14"/>
  <c r="R611" i="14"/>
  <c r="F611" i="14"/>
  <c r="G611" i="14" s="1"/>
  <c r="I611" i="14" s="1"/>
  <c r="Q612" i="14"/>
  <c r="S612" i="14"/>
  <c r="F615" i="14"/>
  <c r="G615" i="14" s="1"/>
  <c r="I615" i="14" s="1"/>
  <c r="R615" i="14"/>
  <c r="Q616" i="14"/>
  <c r="S616" i="14"/>
  <c r="F621" i="14"/>
  <c r="G621" i="14" s="1"/>
  <c r="I621" i="14" s="1"/>
  <c r="R621" i="14"/>
  <c r="Q622" i="14"/>
  <c r="S622" i="14"/>
  <c r="R626" i="14"/>
  <c r="F626" i="14"/>
  <c r="G626" i="14" s="1"/>
  <c r="I626" i="14" s="1"/>
  <c r="S627" i="14"/>
  <c r="Q627" i="14"/>
  <c r="R633" i="14"/>
  <c r="F633" i="14"/>
  <c r="G633" i="14" s="1"/>
  <c r="I633" i="14" s="1"/>
  <c r="Q634" i="14"/>
  <c r="S634" i="14"/>
  <c r="R638" i="14"/>
  <c r="F638" i="14"/>
  <c r="G638" i="14" s="1"/>
  <c r="I638" i="14" s="1"/>
  <c r="S639" i="14"/>
  <c r="Q639" i="14"/>
  <c r="Q643" i="14"/>
  <c r="S643" i="14"/>
  <c r="R646" i="14"/>
  <c r="F646" i="14"/>
  <c r="G646" i="14" s="1"/>
  <c r="I646" i="14" s="1"/>
  <c r="Q647" i="14"/>
  <c r="S647" i="14"/>
  <c r="R650" i="14"/>
  <c r="F650" i="14"/>
  <c r="G650" i="14" s="1"/>
  <c r="I650" i="14" s="1"/>
  <c r="Q651" i="14"/>
  <c r="S651" i="14"/>
  <c r="T651" i="14" s="1"/>
  <c r="F654" i="14"/>
  <c r="G654" i="14" s="1"/>
  <c r="I654" i="14" s="1"/>
  <c r="R654" i="14"/>
  <c r="Q655" i="14"/>
  <c r="S655" i="14"/>
  <c r="T655" i="14" s="1"/>
  <c r="F658" i="14"/>
  <c r="G658" i="14" s="1"/>
  <c r="I658" i="14" s="1"/>
  <c r="R658" i="14"/>
  <c r="S659" i="14"/>
  <c r="T659" i="14" s="1"/>
  <c r="Q659" i="14"/>
  <c r="R662" i="14"/>
  <c r="F662" i="14"/>
  <c r="G662" i="14" s="1"/>
  <c r="I662" i="14" s="1"/>
  <c r="Q663" i="14"/>
  <c r="S663" i="14"/>
  <c r="F666" i="14"/>
  <c r="G666" i="14" s="1"/>
  <c r="I666" i="14" s="1"/>
  <c r="R666" i="14"/>
  <c r="S667" i="14"/>
  <c r="Q667" i="14"/>
  <c r="R670" i="14"/>
  <c r="F670" i="14"/>
  <c r="G670" i="14" s="1"/>
  <c r="I670" i="14" s="1"/>
  <c r="S671" i="14"/>
  <c r="Q671" i="14"/>
  <c r="R674" i="14"/>
  <c r="F674" i="14"/>
  <c r="G674" i="14" s="1"/>
  <c r="I674" i="14" s="1"/>
  <c r="S675" i="14"/>
  <c r="Q675" i="14"/>
  <c r="R678" i="14"/>
  <c r="F678" i="14"/>
  <c r="G678" i="14" s="1"/>
  <c r="I678" i="14" s="1"/>
  <c r="S679" i="14"/>
  <c r="Q679" i="14"/>
  <c r="F701" i="14"/>
  <c r="G701" i="14" s="1"/>
  <c r="I701" i="14" s="1"/>
  <c r="R701" i="14"/>
  <c r="S702" i="14"/>
  <c r="Q702" i="14"/>
  <c r="F705" i="14"/>
  <c r="G705" i="14" s="1"/>
  <c r="I705" i="14" s="1"/>
  <c r="R705" i="14"/>
  <c r="Q706" i="14"/>
  <c r="S706" i="14"/>
  <c r="F709" i="14"/>
  <c r="G709" i="14" s="1"/>
  <c r="I709" i="14" s="1"/>
  <c r="R709" i="14"/>
  <c r="Q710" i="14"/>
  <c r="S710" i="14"/>
  <c r="O654" i="1"/>
  <c r="P654" i="1" s="1"/>
  <c r="M654" i="1"/>
  <c r="O658" i="1"/>
  <c r="P658" i="1" s="1"/>
  <c r="M658" i="1"/>
  <c r="M662" i="1"/>
  <c r="O662" i="1"/>
  <c r="P662" i="1" s="1"/>
  <c r="O666" i="1"/>
  <c r="P666" i="1" s="1"/>
  <c r="M666" i="1"/>
  <c r="M670" i="1"/>
  <c r="O670" i="1"/>
  <c r="P670" i="1" s="1"/>
  <c r="O674" i="1"/>
  <c r="P674" i="1" s="1"/>
  <c r="M674" i="1"/>
  <c r="O678" i="1"/>
  <c r="P678" i="1" s="1"/>
  <c r="M678" i="1"/>
  <c r="O700" i="1"/>
  <c r="P700" i="1" s="1"/>
  <c r="M700" i="1"/>
  <c r="O704" i="1"/>
  <c r="P704" i="1" s="1"/>
  <c r="M704" i="1"/>
  <c r="O708" i="1"/>
  <c r="P708" i="1" s="1"/>
  <c r="M708" i="1"/>
  <c r="M718" i="1"/>
  <c r="O718" i="1"/>
  <c r="P718" i="1" s="1"/>
  <c r="O13" i="5"/>
  <c r="P13" i="5" s="1"/>
  <c r="M13" i="5"/>
  <c r="O21" i="5"/>
  <c r="P21" i="5" s="1"/>
  <c r="M21" i="5"/>
  <c r="O26" i="5"/>
  <c r="P26" i="5" s="1"/>
  <c r="M26" i="5"/>
  <c r="O34" i="5"/>
  <c r="P34" i="5" s="1"/>
  <c r="M34" i="5"/>
  <c r="O41" i="5"/>
  <c r="P41" i="5" s="1"/>
  <c r="M41" i="5"/>
  <c r="M45" i="5"/>
  <c r="O45" i="5"/>
  <c r="P45" i="5" s="1"/>
  <c r="O51" i="5"/>
  <c r="P51" i="5" s="1"/>
  <c r="M51" i="5"/>
  <c r="O58" i="5"/>
  <c r="P58" i="5" s="1"/>
  <c r="M58" i="5"/>
  <c r="O64" i="5"/>
  <c r="P64" i="5" s="1"/>
  <c r="M64" i="5"/>
  <c r="M72" i="5"/>
  <c r="O72" i="5"/>
  <c r="P72" i="5" s="1"/>
  <c r="O76" i="5"/>
  <c r="P76" i="5" s="1"/>
  <c r="M76" i="5"/>
  <c r="M83" i="5"/>
  <c r="O83" i="5"/>
  <c r="P83" i="5" s="1"/>
  <c r="M88" i="5"/>
  <c r="O88" i="5"/>
  <c r="P88" i="5" s="1"/>
  <c r="O92" i="5"/>
  <c r="P92" i="5" s="1"/>
  <c r="M92" i="5"/>
  <c r="O97" i="5"/>
  <c r="P97" i="5" s="1"/>
  <c r="M97" i="5"/>
  <c r="M102" i="5"/>
  <c r="O102" i="5"/>
  <c r="P102" i="5" s="1"/>
  <c r="O106" i="5"/>
  <c r="P106" i="5" s="1"/>
  <c r="M106" i="5"/>
  <c r="M113" i="5"/>
  <c r="O113" i="5"/>
  <c r="P113" i="5" s="1"/>
  <c r="M118" i="5"/>
  <c r="O118" i="5"/>
  <c r="P118" i="5" s="1"/>
  <c r="O123" i="5"/>
  <c r="P123" i="5" s="1"/>
  <c r="M123" i="5"/>
  <c r="M128" i="5"/>
  <c r="O128" i="5"/>
  <c r="P128" i="5" s="1"/>
  <c r="O133" i="5"/>
  <c r="P133" i="5" s="1"/>
  <c r="M133" i="5"/>
  <c r="O140" i="5"/>
  <c r="P140" i="5" s="1"/>
  <c r="M140" i="5"/>
  <c r="M145" i="5"/>
  <c r="O145" i="5"/>
  <c r="P145" i="5" s="1"/>
  <c r="M151" i="5"/>
  <c r="O151" i="5"/>
  <c r="P151" i="5" s="1"/>
  <c r="O158" i="5"/>
  <c r="P158" i="5" s="1"/>
  <c r="M158" i="5"/>
  <c r="O163" i="5"/>
  <c r="P163" i="5" s="1"/>
  <c r="M163" i="5"/>
  <c r="O167" i="5"/>
  <c r="P167" i="5" s="1"/>
  <c r="M167" i="5"/>
  <c r="M173" i="5"/>
  <c r="O173" i="5"/>
  <c r="P173" i="5" s="1"/>
  <c r="O180" i="5"/>
  <c r="P180" i="5" s="1"/>
  <c r="M180" i="5"/>
  <c r="O199" i="5"/>
  <c r="P199" i="5" s="1"/>
  <c r="M199" i="5"/>
  <c r="O203" i="5"/>
  <c r="P203" i="5" s="1"/>
  <c r="M203" i="5"/>
  <c r="O208" i="5"/>
  <c r="P208" i="5" s="1"/>
  <c r="M208" i="5"/>
  <c r="M213" i="5"/>
  <c r="O213" i="5"/>
  <c r="P213" i="5" s="1"/>
  <c r="O217" i="5"/>
  <c r="P217" i="5" s="1"/>
  <c r="M217" i="5"/>
  <c r="O223" i="5"/>
  <c r="P223" i="5" s="1"/>
  <c r="M223" i="5"/>
  <c r="O229" i="5"/>
  <c r="P229" i="5" s="1"/>
  <c r="M229" i="5"/>
  <c r="M239" i="5"/>
  <c r="O239" i="5"/>
  <c r="P239" i="5" s="1"/>
  <c r="O265" i="5"/>
  <c r="P265" i="5" s="1"/>
  <c r="M265" i="5"/>
  <c r="M269" i="5"/>
  <c r="O269" i="5"/>
  <c r="P269" i="5" s="1"/>
  <c r="M273" i="5"/>
  <c r="O273" i="5"/>
  <c r="P273" i="5" s="1"/>
  <c r="M277" i="5"/>
  <c r="O277" i="5"/>
  <c r="P277" i="5" s="1"/>
  <c r="O281" i="5"/>
  <c r="P281" i="5" s="1"/>
  <c r="M281" i="5"/>
  <c r="M285" i="5"/>
  <c r="O285" i="5"/>
  <c r="P285" i="5" s="1"/>
  <c r="O289" i="5"/>
  <c r="P289" i="5" s="1"/>
  <c r="M289" i="5"/>
  <c r="O293" i="5"/>
  <c r="P293" i="5" s="1"/>
  <c r="M293" i="5"/>
  <c r="O297" i="5"/>
  <c r="P297" i="5" s="1"/>
  <c r="M297" i="5"/>
  <c r="O301" i="5"/>
  <c r="P301" i="5" s="1"/>
  <c r="M301" i="5"/>
  <c r="O305" i="5"/>
  <c r="P305" i="5" s="1"/>
  <c r="M305" i="5"/>
  <c r="M309" i="5"/>
  <c r="O309" i="5"/>
  <c r="P309" i="5" s="1"/>
  <c r="O313" i="5"/>
  <c r="P313" i="5" s="1"/>
  <c r="M313" i="5"/>
  <c r="O317" i="5"/>
  <c r="P317" i="5" s="1"/>
  <c r="M317" i="5"/>
  <c r="O321" i="5"/>
  <c r="P321" i="5" s="1"/>
  <c r="M321" i="5"/>
  <c r="M325" i="5"/>
  <c r="O325" i="5"/>
  <c r="P325" i="5" s="1"/>
  <c r="M329" i="5"/>
  <c r="O329" i="5"/>
  <c r="P329" i="5" s="1"/>
  <c r="M333" i="5"/>
  <c r="O333" i="5"/>
  <c r="P333" i="5" s="1"/>
  <c r="O338" i="5"/>
  <c r="P338" i="5" s="1"/>
  <c r="M338" i="5"/>
  <c r="M344" i="5"/>
  <c r="O344" i="5"/>
  <c r="P344" i="5" s="1"/>
  <c r="O350" i="5"/>
  <c r="P350" i="5" s="1"/>
  <c r="M350" i="5"/>
  <c r="O354" i="5"/>
  <c r="P354" i="5" s="1"/>
  <c r="M354" i="5"/>
  <c r="O358" i="5"/>
  <c r="P358" i="5" s="1"/>
  <c r="M358" i="5"/>
  <c r="M362" i="5"/>
  <c r="O362" i="5"/>
  <c r="P362" i="5" s="1"/>
  <c r="M366" i="5"/>
  <c r="O366" i="5"/>
  <c r="P366" i="5" s="1"/>
  <c r="O370" i="5"/>
  <c r="P370" i="5" s="1"/>
  <c r="M370" i="5"/>
  <c r="M374" i="5"/>
  <c r="O374" i="5"/>
  <c r="P374" i="5" s="1"/>
  <c r="O378" i="5"/>
  <c r="P378" i="5" s="1"/>
  <c r="M378" i="5"/>
  <c r="O382" i="5"/>
  <c r="P382" i="5" s="1"/>
  <c r="M382" i="5"/>
  <c r="M386" i="5"/>
  <c r="O386" i="5"/>
  <c r="P386" i="5" s="1"/>
  <c r="O390" i="5"/>
  <c r="P390" i="5" s="1"/>
  <c r="M390" i="5"/>
  <c r="O394" i="5"/>
  <c r="P394" i="5" s="1"/>
  <c r="M394" i="5"/>
  <c r="O398" i="5"/>
  <c r="P398" i="5" s="1"/>
  <c r="M398" i="5"/>
  <c r="M402" i="5"/>
  <c r="O402" i="5"/>
  <c r="P402" i="5" s="1"/>
  <c r="O406" i="5"/>
  <c r="P406" i="5" s="1"/>
  <c r="M406" i="5"/>
  <c r="O412" i="5"/>
  <c r="P412" i="5" s="1"/>
  <c r="M412" i="5"/>
  <c r="M416" i="5"/>
  <c r="O416" i="5"/>
  <c r="P416" i="5" s="1"/>
  <c r="O421" i="5"/>
  <c r="P421" i="5" s="1"/>
  <c r="M421" i="5"/>
  <c r="O427" i="5"/>
  <c r="P427" i="5" s="1"/>
  <c r="M427" i="5"/>
  <c r="O433" i="5"/>
  <c r="P433" i="5" s="1"/>
  <c r="M433" i="5"/>
  <c r="M437" i="5"/>
  <c r="O437" i="5"/>
  <c r="P437" i="5" s="1"/>
  <c r="M441" i="5"/>
  <c r="O441" i="5"/>
  <c r="P441" i="5" s="1"/>
  <c r="O451" i="5"/>
  <c r="P451" i="5" s="1"/>
  <c r="M451" i="5"/>
  <c r="M455" i="5"/>
  <c r="O455" i="5"/>
  <c r="P455" i="5" s="1"/>
  <c r="O461" i="5"/>
  <c r="P461" i="5" s="1"/>
  <c r="M461" i="5"/>
  <c r="M472" i="5"/>
  <c r="O472" i="5"/>
  <c r="P472" i="5" s="1"/>
  <c r="O478" i="5"/>
  <c r="P478" i="5" s="1"/>
  <c r="M478" i="5"/>
  <c r="O483" i="5"/>
  <c r="P483" i="5" s="1"/>
  <c r="M483" i="5"/>
  <c r="O489" i="5"/>
  <c r="P489" i="5" s="1"/>
  <c r="M489" i="5"/>
  <c r="O515" i="5"/>
  <c r="P515" i="5" s="1"/>
  <c r="M515" i="5"/>
  <c r="O519" i="5"/>
  <c r="P519" i="5" s="1"/>
  <c r="M519" i="5"/>
  <c r="O523" i="5"/>
  <c r="P523" i="5" s="1"/>
  <c r="M523" i="5"/>
  <c r="O543" i="5"/>
  <c r="P543" i="5" s="1"/>
  <c r="M543" i="5"/>
  <c r="M547" i="5"/>
  <c r="O547" i="5"/>
  <c r="P547" i="5" s="1"/>
  <c r="O552" i="5"/>
  <c r="P552" i="5" s="1"/>
  <c r="M552" i="5"/>
  <c r="O556" i="5"/>
  <c r="P556" i="5" s="1"/>
  <c r="M556" i="5"/>
  <c r="M561" i="5"/>
  <c r="O561" i="5"/>
  <c r="P561" i="5" s="1"/>
  <c r="O565" i="5"/>
  <c r="P565" i="5" s="1"/>
  <c r="M565" i="5"/>
  <c r="O569" i="5"/>
  <c r="P569" i="5" s="1"/>
  <c r="M569" i="5"/>
  <c r="O575" i="5"/>
  <c r="P575" i="5" s="1"/>
  <c r="M575" i="5"/>
  <c r="M579" i="5"/>
  <c r="O579" i="5"/>
  <c r="P579" i="5" s="1"/>
  <c r="O583" i="5"/>
  <c r="P583" i="5" s="1"/>
  <c r="M583" i="5"/>
  <c r="O587" i="5"/>
  <c r="P587" i="5" s="1"/>
  <c r="M587" i="5"/>
  <c r="M591" i="5"/>
  <c r="O591" i="5"/>
  <c r="P591" i="5" s="1"/>
  <c r="O595" i="5"/>
  <c r="P595" i="5" s="1"/>
  <c r="M595" i="5"/>
  <c r="M599" i="5"/>
  <c r="O599" i="5"/>
  <c r="P599" i="5" s="1"/>
  <c r="O603" i="5"/>
  <c r="P603" i="5" s="1"/>
  <c r="M603" i="5"/>
  <c r="M607" i="5"/>
  <c r="O607" i="5"/>
  <c r="P607" i="5" s="1"/>
  <c r="O611" i="5"/>
  <c r="P611" i="5" s="1"/>
  <c r="M611" i="5"/>
  <c r="M615" i="5"/>
  <c r="O615" i="5"/>
  <c r="P615" i="5" s="1"/>
  <c r="O623" i="5"/>
  <c r="P623" i="5" s="1"/>
  <c r="M623" i="5"/>
  <c r="O628" i="5"/>
  <c r="P628" i="5" s="1"/>
  <c r="M628" i="5"/>
  <c r="M636" i="5"/>
  <c r="O636" i="5"/>
  <c r="P636" i="5" s="1"/>
  <c r="O640" i="5"/>
  <c r="P640" i="5" s="1"/>
  <c r="M640" i="5"/>
  <c r="M644" i="5"/>
  <c r="O644" i="5"/>
  <c r="P644" i="5" s="1"/>
  <c r="O648" i="5"/>
  <c r="P648" i="5" s="1"/>
  <c r="M648" i="5"/>
  <c r="O652" i="5"/>
  <c r="P652" i="5" s="1"/>
  <c r="M652" i="5"/>
  <c r="O656" i="5"/>
  <c r="P656" i="5" s="1"/>
  <c r="M656" i="5"/>
  <c r="O660" i="5"/>
  <c r="P660" i="5" s="1"/>
  <c r="M660" i="5"/>
  <c r="O664" i="5"/>
  <c r="P664" i="5" s="1"/>
  <c r="M664" i="5"/>
  <c r="O668" i="5"/>
  <c r="P668" i="5" s="1"/>
  <c r="M668" i="5"/>
  <c r="M672" i="5"/>
  <c r="O672" i="5"/>
  <c r="P672" i="5" s="1"/>
  <c r="M676" i="5"/>
  <c r="O676" i="5"/>
  <c r="P676" i="5" s="1"/>
  <c r="O680" i="5"/>
  <c r="P680" i="5" s="1"/>
  <c r="M680" i="5"/>
  <c r="O702" i="5"/>
  <c r="P702" i="5" s="1"/>
  <c r="M702" i="5"/>
  <c r="O706" i="5"/>
  <c r="P706" i="5" s="1"/>
  <c r="M706" i="5"/>
  <c r="O710" i="5"/>
  <c r="P710" i="5" s="1"/>
  <c r="M710" i="5"/>
  <c r="O9" i="7"/>
  <c r="P9" i="7" s="1"/>
  <c r="M9" i="7"/>
  <c r="O17" i="7"/>
  <c r="P17" i="7" s="1"/>
  <c r="M17" i="7"/>
  <c r="M21" i="7"/>
  <c r="O21" i="7"/>
  <c r="P21" i="7" s="1"/>
  <c r="O25" i="7"/>
  <c r="P25" i="7" s="1"/>
  <c r="M25" i="7"/>
  <c r="M29" i="7"/>
  <c r="O29" i="7"/>
  <c r="P29" i="7" s="1"/>
  <c r="M33" i="7"/>
  <c r="O33" i="7"/>
  <c r="P33" i="7" s="1"/>
  <c r="O38" i="7"/>
  <c r="P38" i="7" s="1"/>
  <c r="M38" i="7"/>
  <c r="M42" i="7"/>
  <c r="O42" i="7"/>
  <c r="P42" i="7" s="1"/>
  <c r="O46" i="7"/>
  <c r="P46" i="7" s="1"/>
  <c r="M46" i="7"/>
  <c r="O50" i="7"/>
  <c r="P50" i="7" s="1"/>
  <c r="M50" i="7"/>
  <c r="M54" i="7"/>
  <c r="O54" i="7"/>
  <c r="P54" i="7" s="1"/>
  <c r="O61" i="7"/>
  <c r="P61" i="7" s="1"/>
  <c r="M61" i="7"/>
  <c r="M68" i="7"/>
  <c r="O68" i="7"/>
  <c r="P68" i="7" s="1"/>
  <c r="O72" i="7"/>
  <c r="P72" i="7" s="1"/>
  <c r="M72" i="7"/>
  <c r="O76" i="7"/>
  <c r="P76" i="7" s="1"/>
  <c r="M76" i="7"/>
  <c r="M82" i="7"/>
  <c r="O82" i="7"/>
  <c r="P82" i="7" s="1"/>
  <c r="M86" i="7"/>
  <c r="O86" i="7"/>
  <c r="P86" i="7" s="1"/>
  <c r="M90" i="7"/>
  <c r="O90" i="7"/>
  <c r="P90" i="7" s="1"/>
  <c r="O95" i="7"/>
  <c r="P95" i="7" s="1"/>
  <c r="M95" i="7"/>
  <c r="M99" i="7"/>
  <c r="O99" i="7"/>
  <c r="P99" i="7" s="1"/>
  <c r="M104" i="7"/>
  <c r="O104" i="7"/>
  <c r="P104" i="7" s="1"/>
  <c r="O110" i="7"/>
  <c r="P110" i="7" s="1"/>
  <c r="M110" i="7"/>
  <c r="O114" i="7"/>
  <c r="P114" i="7" s="1"/>
  <c r="M114" i="7"/>
  <c r="O118" i="7"/>
  <c r="P118" i="7" s="1"/>
  <c r="M118" i="7"/>
  <c r="O122" i="7"/>
  <c r="P122" i="7" s="1"/>
  <c r="M122" i="7"/>
  <c r="O126" i="7"/>
  <c r="P126" i="7" s="1"/>
  <c r="M126" i="7"/>
  <c r="O131" i="7"/>
  <c r="P131" i="7" s="1"/>
  <c r="M131" i="7"/>
  <c r="O136" i="7"/>
  <c r="P136" i="7" s="1"/>
  <c r="M136" i="7"/>
  <c r="O141" i="7"/>
  <c r="P141" i="7" s="1"/>
  <c r="M141" i="7"/>
  <c r="O146" i="7"/>
  <c r="P146" i="7" s="1"/>
  <c r="M146" i="7"/>
  <c r="O152" i="7"/>
  <c r="P152" i="7" s="1"/>
  <c r="M152" i="7"/>
  <c r="O157" i="7"/>
  <c r="P157" i="7" s="1"/>
  <c r="M157" i="7"/>
  <c r="M161" i="7"/>
  <c r="O161" i="7"/>
  <c r="P161" i="7" s="1"/>
  <c r="O165" i="7"/>
  <c r="P165" i="7" s="1"/>
  <c r="M165" i="7"/>
  <c r="O169" i="7"/>
  <c r="P169" i="7" s="1"/>
  <c r="M169" i="7"/>
  <c r="M175" i="7"/>
  <c r="O175" i="7"/>
  <c r="P175" i="7" s="1"/>
  <c r="O182" i="7"/>
  <c r="P182" i="7" s="1"/>
  <c r="M182" i="7"/>
  <c r="O186" i="7"/>
  <c r="P186" i="7" s="1"/>
  <c r="M186" i="7"/>
  <c r="M191" i="7"/>
  <c r="O191" i="7"/>
  <c r="P191" i="7" s="1"/>
  <c r="O195" i="7"/>
  <c r="P195" i="7" s="1"/>
  <c r="M195" i="7"/>
  <c r="O199" i="7"/>
  <c r="P199" i="7" s="1"/>
  <c r="M199" i="7"/>
  <c r="O203" i="7"/>
  <c r="P203" i="7" s="1"/>
  <c r="M203" i="7"/>
  <c r="O208" i="7"/>
  <c r="P208" i="7" s="1"/>
  <c r="M208" i="7"/>
  <c r="O213" i="7"/>
  <c r="P213" i="7" s="1"/>
  <c r="M213" i="7"/>
  <c r="M217" i="7"/>
  <c r="O217" i="7"/>
  <c r="P217" i="7" s="1"/>
  <c r="M223" i="7"/>
  <c r="O223" i="7"/>
  <c r="P223" i="7" s="1"/>
  <c r="M229" i="7"/>
  <c r="O229" i="7"/>
  <c r="P229" i="7" s="1"/>
  <c r="O239" i="7"/>
  <c r="P239" i="7" s="1"/>
  <c r="M239" i="7"/>
  <c r="O263" i="7"/>
  <c r="P263" i="7" s="1"/>
  <c r="M263" i="7"/>
  <c r="O267" i="7"/>
  <c r="P267" i="7" s="1"/>
  <c r="M267" i="7"/>
  <c r="M271" i="7"/>
  <c r="O271" i="7"/>
  <c r="P271" i="7" s="1"/>
  <c r="O275" i="7"/>
  <c r="P275" i="7" s="1"/>
  <c r="M275" i="7"/>
  <c r="M279" i="7"/>
  <c r="O279" i="7"/>
  <c r="P279" i="7" s="1"/>
  <c r="O283" i="7"/>
  <c r="P283" i="7" s="1"/>
  <c r="M283" i="7"/>
  <c r="M287" i="7"/>
  <c r="O287" i="7"/>
  <c r="P287" i="7" s="1"/>
  <c r="O291" i="7"/>
  <c r="P291" i="7" s="1"/>
  <c r="M291" i="7"/>
  <c r="O295" i="7"/>
  <c r="P295" i="7" s="1"/>
  <c r="M295" i="7"/>
  <c r="M299" i="7"/>
  <c r="O299" i="7"/>
  <c r="P299" i="7" s="1"/>
  <c r="M303" i="7"/>
  <c r="O303" i="7"/>
  <c r="P303" i="7" s="1"/>
  <c r="O307" i="7"/>
  <c r="P307" i="7" s="1"/>
  <c r="M307" i="7"/>
  <c r="O311" i="7"/>
  <c r="P311" i="7" s="1"/>
  <c r="M311" i="7"/>
  <c r="O315" i="7"/>
  <c r="P315" i="7" s="1"/>
  <c r="M315" i="7"/>
  <c r="O319" i="7"/>
  <c r="P319" i="7" s="1"/>
  <c r="M319" i="7"/>
  <c r="O323" i="7"/>
  <c r="P323" i="7" s="1"/>
  <c r="M323" i="7"/>
  <c r="M327" i="7"/>
  <c r="O327" i="7"/>
  <c r="P327" i="7" s="1"/>
  <c r="M331" i="7"/>
  <c r="O331" i="7"/>
  <c r="P331" i="7" s="1"/>
  <c r="O335" i="7"/>
  <c r="P335" i="7" s="1"/>
  <c r="M335" i="7"/>
  <c r="M340" i="7"/>
  <c r="O340" i="7"/>
  <c r="P340" i="7" s="1"/>
  <c r="M346" i="7"/>
  <c r="O346" i="7"/>
  <c r="P346" i="7" s="1"/>
  <c r="O350" i="7"/>
  <c r="P350" i="7" s="1"/>
  <c r="M350" i="7"/>
  <c r="O354" i="7"/>
  <c r="P354" i="7" s="1"/>
  <c r="M354" i="7"/>
  <c r="M358" i="7"/>
  <c r="O358" i="7"/>
  <c r="P358" i="7" s="1"/>
  <c r="O362" i="7"/>
  <c r="P362" i="7" s="1"/>
  <c r="M362" i="7"/>
  <c r="M366" i="7"/>
  <c r="O366" i="7"/>
  <c r="P366" i="7" s="1"/>
  <c r="O370" i="7"/>
  <c r="P370" i="7" s="1"/>
  <c r="M370" i="7"/>
  <c r="O374" i="7"/>
  <c r="P374" i="7" s="1"/>
  <c r="M374" i="7"/>
  <c r="M378" i="7"/>
  <c r="O378" i="7"/>
  <c r="P378" i="7" s="1"/>
  <c r="O382" i="7"/>
  <c r="P382" i="7" s="1"/>
  <c r="M382" i="7"/>
  <c r="O386" i="7"/>
  <c r="P386" i="7" s="1"/>
  <c r="M386" i="7"/>
  <c r="O390" i="7"/>
  <c r="P390" i="7" s="1"/>
  <c r="M390" i="7"/>
  <c r="O394" i="7"/>
  <c r="P394" i="7" s="1"/>
  <c r="M394" i="7"/>
  <c r="M398" i="7"/>
  <c r="O398" i="7"/>
  <c r="P398" i="7" s="1"/>
  <c r="O402" i="7"/>
  <c r="P402" i="7" s="1"/>
  <c r="M402" i="7"/>
  <c r="M406" i="7"/>
  <c r="O406" i="7"/>
  <c r="P406" i="7" s="1"/>
  <c r="M411" i="7"/>
  <c r="O411" i="7"/>
  <c r="P411" i="7" s="1"/>
  <c r="O415" i="7"/>
  <c r="P415" i="7" s="1"/>
  <c r="M415" i="7"/>
  <c r="M419" i="7"/>
  <c r="O419" i="7"/>
  <c r="P419" i="7" s="1"/>
  <c r="M426" i="7"/>
  <c r="O426" i="7"/>
  <c r="P426" i="7" s="1"/>
  <c r="M432" i="7"/>
  <c r="O432" i="7"/>
  <c r="P432" i="7" s="1"/>
  <c r="M436" i="7"/>
  <c r="O436" i="7"/>
  <c r="P436" i="7" s="1"/>
  <c r="O440" i="7"/>
  <c r="P440" i="7" s="1"/>
  <c r="M440" i="7"/>
  <c r="M449" i="7"/>
  <c r="O449" i="7"/>
  <c r="P449" i="7" s="1"/>
  <c r="M454" i="7"/>
  <c r="O454" i="7"/>
  <c r="P454" i="7" s="1"/>
  <c r="O458" i="7"/>
  <c r="P458" i="7" s="1"/>
  <c r="M458" i="7"/>
  <c r="M466" i="7"/>
  <c r="O466" i="7"/>
  <c r="P466" i="7" s="1"/>
  <c r="M474" i="7"/>
  <c r="O474" i="7"/>
  <c r="P474" i="7" s="1"/>
  <c r="O481" i="7"/>
  <c r="P481" i="7" s="1"/>
  <c r="M481" i="7"/>
  <c r="O487" i="7"/>
  <c r="P487" i="7" s="1"/>
  <c r="M487" i="7"/>
  <c r="O513" i="7"/>
  <c r="P513" i="7" s="1"/>
  <c r="M513" i="7"/>
  <c r="M517" i="7"/>
  <c r="O517" i="7"/>
  <c r="P517" i="7" s="1"/>
  <c r="O521" i="7"/>
  <c r="P521" i="7" s="1"/>
  <c r="M521" i="7"/>
  <c r="M541" i="7"/>
  <c r="O541" i="7"/>
  <c r="P541" i="7" s="1"/>
  <c r="O545" i="7"/>
  <c r="P545" i="7" s="1"/>
  <c r="M545" i="7"/>
  <c r="M550" i="7"/>
  <c r="O550" i="7"/>
  <c r="P550" i="7" s="1"/>
  <c r="O554" i="7"/>
  <c r="P554" i="7" s="1"/>
  <c r="M554" i="7"/>
  <c r="O559" i="7"/>
  <c r="P559" i="7" s="1"/>
  <c r="M559" i="7"/>
  <c r="M563" i="7"/>
  <c r="O563" i="7"/>
  <c r="P563" i="7" s="1"/>
  <c r="M567" i="7"/>
  <c r="O567" i="7"/>
  <c r="P567" i="7" s="1"/>
  <c r="M571" i="7"/>
  <c r="O571" i="7"/>
  <c r="P571" i="7" s="1"/>
  <c r="M577" i="7"/>
  <c r="O577" i="7"/>
  <c r="P577" i="7" s="1"/>
  <c r="M581" i="7"/>
  <c r="O581" i="7"/>
  <c r="P581" i="7" s="1"/>
  <c r="O585" i="7"/>
  <c r="P585" i="7" s="1"/>
  <c r="M585" i="7"/>
  <c r="O589" i="7"/>
  <c r="P589" i="7" s="1"/>
  <c r="M589" i="7"/>
  <c r="M593" i="7"/>
  <c r="O593" i="7"/>
  <c r="P593" i="7" s="1"/>
  <c r="O597" i="7"/>
  <c r="P597" i="7" s="1"/>
  <c r="M597" i="7"/>
  <c r="O601" i="7"/>
  <c r="P601" i="7" s="1"/>
  <c r="M601" i="7"/>
  <c r="O605" i="7"/>
  <c r="P605" i="7" s="1"/>
  <c r="M605" i="7"/>
  <c r="M609" i="7"/>
  <c r="O609" i="7"/>
  <c r="P609" i="7" s="1"/>
  <c r="O613" i="7"/>
  <c r="P613" i="7" s="1"/>
  <c r="M613" i="7"/>
  <c r="O621" i="7"/>
  <c r="P621" i="7" s="1"/>
  <c r="M621" i="7"/>
  <c r="M626" i="7"/>
  <c r="O626" i="7"/>
  <c r="P626" i="7" s="1"/>
  <c r="O633" i="7"/>
  <c r="P633" i="7" s="1"/>
  <c r="M633" i="7"/>
  <c r="M638" i="7"/>
  <c r="O638" i="7"/>
  <c r="P638" i="7" s="1"/>
  <c r="M642" i="7"/>
  <c r="O642" i="7"/>
  <c r="P642" i="7" s="1"/>
  <c r="M646" i="7"/>
  <c r="O646" i="7"/>
  <c r="P646" i="7" s="1"/>
  <c r="O650" i="7"/>
  <c r="P650" i="7" s="1"/>
  <c r="M650" i="7"/>
  <c r="M654" i="7"/>
  <c r="O654" i="7"/>
  <c r="P654" i="7" s="1"/>
  <c r="O658" i="7"/>
  <c r="P658" i="7" s="1"/>
  <c r="M658" i="7"/>
  <c r="M662" i="7"/>
  <c r="O662" i="7"/>
  <c r="P662" i="7" s="1"/>
  <c r="M666" i="7"/>
  <c r="O666" i="7"/>
  <c r="P666" i="7" s="1"/>
  <c r="M670" i="7"/>
  <c r="O670" i="7"/>
  <c r="P670" i="7" s="1"/>
  <c r="M674" i="7"/>
  <c r="O674" i="7"/>
  <c r="P674" i="7" s="1"/>
  <c r="O678" i="7"/>
  <c r="P678" i="7" s="1"/>
  <c r="M678" i="7"/>
  <c r="O700" i="7"/>
  <c r="P700" i="7" s="1"/>
  <c r="M700" i="7"/>
  <c r="M704" i="7"/>
  <c r="O704" i="7"/>
  <c r="P704" i="7" s="1"/>
  <c r="O708" i="7"/>
  <c r="P708" i="7" s="1"/>
  <c r="M708" i="7"/>
  <c r="O718" i="7"/>
  <c r="P718" i="7" s="1"/>
  <c r="M718" i="7"/>
  <c r="O13" i="9"/>
  <c r="Q13" i="9"/>
  <c r="R13" i="9" s="1"/>
  <c r="O19" i="9"/>
  <c r="Q19" i="9"/>
  <c r="R19" i="9" s="1"/>
  <c r="O23" i="9"/>
  <c r="Q23" i="9"/>
  <c r="R23" i="9" s="1"/>
  <c r="Q27" i="9"/>
  <c r="R27" i="9" s="1"/>
  <c r="O27" i="9"/>
  <c r="O31" i="9"/>
  <c r="Q31" i="9"/>
  <c r="R31" i="9" s="1"/>
  <c r="O35" i="9"/>
  <c r="Q35" i="9"/>
  <c r="R35" i="9" s="1"/>
  <c r="O40" i="9"/>
  <c r="Q40" i="9"/>
  <c r="R40" i="9" s="1"/>
  <c r="O44" i="9"/>
  <c r="Q44" i="9"/>
  <c r="R44" i="9" s="1"/>
  <c r="O48" i="9"/>
  <c r="Q48" i="9"/>
  <c r="R48" i="9" s="1"/>
  <c r="Q52" i="9"/>
  <c r="R52" i="9" s="1"/>
  <c r="O52" i="9"/>
  <c r="Q58" i="9"/>
  <c r="R58" i="9" s="1"/>
  <c r="O58" i="9"/>
  <c r="Q64" i="9"/>
  <c r="R64" i="9" s="1"/>
  <c r="O64" i="9"/>
  <c r="Q70" i="9"/>
  <c r="R70" i="9" s="1"/>
  <c r="O70" i="9"/>
  <c r="O74" i="9"/>
  <c r="Q74" i="9"/>
  <c r="R74" i="9" s="1"/>
  <c r="Q80" i="9"/>
  <c r="R80" i="9" s="1"/>
  <c r="O80" i="9"/>
  <c r="O84" i="9"/>
  <c r="Q84" i="9"/>
  <c r="R84" i="9" s="1"/>
  <c r="O88" i="9"/>
  <c r="Q88" i="9"/>
  <c r="R88" i="9" s="1"/>
  <c r="O92" i="9"/>
  <c r="Q92" i="9"/>
  <c r="R92" i="9" s="1"/>
  <c r="O97" i="9"/>
  <c r="Q97" i="9"/>
  <c r="R97" i="9" s="1"/>
  <c r="O102" i="9"/>
  <c r="Q102" i="9"/>
  <c r="R102" i="9" s="1"/>
  <c r="Q106" i="9"/>
  <c r="R106" i="9" s="1"/>
  <c r="O106" i="9"/>
  <c r="O112" i="9"/>
  <c r="Q112" i="9"/>
  <c r="R112" i="9" s="1"/>
  <c r="O116" i="9"/>
  <c r="Q116" i="9"/>
  <c r="R116" i="9" s="1"/>
  <c r="O120" i="9"/>
  <c r="Q120" i="9"/>
  <c r="R120" i="9" s="1"/>
  <c r="O124" i="9"/>
  <c r="Q124" i="9"/>
  <c r="R124" i="9" s="1"/>
  <c r="Q128" i="9"/>
  <c r="R128" i="9" s="1"/>
  <c r="O128" i="9"/>
  <c r="O133" i="9"/>
  <c r="Q133" i="9"/>
  <c r="R133" i="9" s="1"/>
  <c r="O138" i="9"/>
  <c r="Q138" i="9"/>
  <c r="R138" i="9" s="1"/>
  <c r="Q144" i="9"/>
  <c r="R144" i="9" s="1"/>
  <c r="O144" i="9"/>
  <c r="O150" i="9"/>
  <c r="Q150" i="9"/>
  <c r="R150" i="9" s="1"/>
  <c r="O155" i="9"/>
  <c r="Q155" i="9"/>
  <c r="R155" i="9" s="1"/>
  <c r="O159" i="9"/>
  <c r="Q159" i="9"/>
  <c r="R159" i="9" s="1"/>
  <c r="O163" i="9"/>
  <c r="Q163" i="9"/>
  <c r="R163" i="9" s="1"/>
  <c r="O167" i="9"/>
  <c r="Q167" i="9"/>
  <c r="R167" i="9" s="1"/>
  <c r="O173" i="9"/>
  <c r="Q173" i="9"/>
  <c r="R173" i="9" s="1"/>
  <c r="O180" i="9"/>
  <c r="Q180" i="9"/>
  <c r="R180" i="9" s="1"/>
  <c r="Q184" i="9"/>
  <c r="R184" i="9" s="1"/>
  <c r="O184" i="9"/>
  <c r="Q188" i="9"/>
  <c r="R188" i="9" s="1"/>
  <c r="O188" i="9"/>
  <c r="O193" i="9"/>
  <c r="Q193" i="9"/>
  <c r="R193" i="9" s="1"/>
  <c r="O197" i="9"/>
  <c r="Q197" i="9"/>
  <c r="R197" i="9" s="1"/>
  <c r="O201" i="9"/>
  <c r="Q201" i="9"/>
  <c r="R201" i="9" s="1"/>
  <c r="Q206" i="9"/>
  <c r="R206" i="9" s="1"/>
  <c r="O206" i="9"/>
  <c r="Q210" i="9"/>
  <c r="R210" i="9" s="1"/>
  <c r="O210" i="9"/>
  <c r="O215" i="9"/>
  <c r="Q215" i="9"/>
  <c r="R215" i="9" s="1"/>
  <c r="Q220" i="9"/>
  <c r="R220" i="9" s="1"/>
  <c r="O220" i="9"/>
  <c r="O227" i="9"/>
  <c r="Q227" i="9"/>
  <c r="R227" i="9" s="1"/>
  <c r="Q234" i="9"/>
  <c r="R234" i="9" s="1"/>
  <c r="O234" i="9"/>
  <c r="O261" i="9"/>
  <c r="Q261" i="9"/>
  <c r="R261" i="9" s="1"/>
  <c r="O265" i="9"/>
  <c r="Q265" i="9"/>
  <c r="R265" i="9" s="1"/>
  <c r="O269" i="9"/>
  <c r="Q269" i="9"/>
  <c r="R269" i="9" s="1"/>
  <c r="O273" i="9"/>
  <c r="Q273" i="9"/>
  <c r="R273" i="9" s="1"/>
  <c r="O277" i="9"/>
  <c r="Q277" i="9"/>
  <c r="R277" i="9" s="1"/>
  <c r="O281" i="9"/>
  <c r="Q281" i="9"/>
  <c r="R281" i="9" s="1"/>
  <c r="O285" i="9"/>
  <c r="Q285" i="9"/>
  <c r="R285" i="9" s="1"/>
  <c r="O289" i="9"/>
  <c r="Q289" i="9"/>
  <c r="R289" i="9" s="1"/>
  <c r="O293" i="9"/>
  <c r="Q293" i="9"/>
  <c r="R293" i="9" s="1"/>
  <c r="O297" i="9"/>
  <c r="Q297" i="9"/>
  <c r="R297" i="9" s="1"/>
  <c r="O301" i="9"/>
  <c r="Q301" i="9"/>
  <c r="R301" i="9" s="1"/>
  <c r="O305" i="9"/>
  <c r="Q305" i="9"/>
  <c r="R305" i="9" s="1"/>
  <c r="O309" i="9"/>
  <c r="Q309" i="9"/>
  <c r="R309" i="9" s="1"/>
  <c r="O313" i="9"/>
  <c r="Q313" i="9"/>
  <c r="R313" i="9" s="1"/>
  <c r="O317" i="9"/>
  <c r="Q317" i="9"/>
  <c r="R317" i="9" s="1"/>
  <c r="O321" i="9"/>
  <c r="Q321" i="9"/>
  <c r="R321" i="9" s="1"/>
  <c r="O325" i="9"/>
  <c r="Q325" i="9"/>
  <c r="R325" i="9" s="1"/>
  <c r="O329" i="9"/>
  <c r="Q329" i="9"/>
  <c r="R329" i="9" s="1"/>
  <c r="O333" i="9"/>
  <c r="Q333" i="9"/>
  <c r="R333" i="9" s="1"/>
  <c r="Q338" i="9"/>
  <c r="R338" i="9" s="1"/>
  <c r="O338" i="9"/>
  <c r="Q344" i="9"/>
  <c r="R344" i="9" s="1"/>
  <c r="O344" i="9"/>
  <c r="O348" i="9"/>
  <c r="Q348" i="9"/>
  <c r="R348" i="9" s="1"/>
  <c r="Q352" i="9"/>
  <c r="R352" i="9" s="1"/>
  <c r="O352" i="9"/>
  <c r="Q356" i="9"/>
  <c r="R356" i="9" s="1"/>
  <c r="O356" i="9"/>
  <c r="O360" i="9"/>
  <c r="Q360" i="9"/>
  <c r="R360" i="9" s="1"/>
  <c r="O364" i="9"/>
  <c r="Q364" i="9"/>
  <c r="R364" i="9" s="1"/>
  <c r="Q368" i="9"/>
  <c r="R368" i="9" s="1"/>
  <c r="O368" i="9"/>
  <c r="Q372" i="9"/>
  <c r="R372" i="9" s="1"/>
  <c r="O372" i="9"/>
  <c r="O376" i="9"/>
  <c r="Q376" i="9"/>
  <c r="R376" i="9" s="1"/>
  <c r="Q380" i="9"/>
  <c r="R380" i="9" s="1"/>
  <c r="O380" i="9"/>
  <c r="O384" i="9"/>
  <c r="Q384" i="9"/>
  <c r="R384" i="9" s="1"/>
  <c r="Q388" i="9"/>
  <c r="R388" i="9" s="1"/>
  <c r="O388" i="9"/>
  <c r="Q392" i="9"/>
  <c r="R392" i="9" s="1"/>
  <c r="O392" i="9"/>
  <c r="Q396" i="9"/>
  <c r="R396" i="9" s="1"/>
  <c r="O396" i="9"/>
  <c r="Q400" i="9"/>
  <c r="R400" i="9" s="1"/>
  <c r="O400" i="9"/>
  <c r="O404" i="9"/>
  <c r="Q404" i="9"/>
  <c r="R404" i="9" s="1"/>
  <c r="O409" i="9"/>
  <c r="Q409" i="9"/>
  <c r="R409" i="9" s="1"/>
  <c r="O414" i="9"/>
  <c r="Q414" i="9"/>
  <c r="R414" i="9" s="1"/>
  <c r="Q418" i="9"/>
  <c r="R418" i="9" s="1"/>
  <c r="O418" i="9"/>
  <c r="Q424" i="9"/>
  <c r="R424" i="9" s="1"/>
  <c r="O424" i="9"/>
  <c r="O431" i="9"/>
  <c r="Q431" i="9"/>
  <c r="R431" i="9" s="1"/>
  <c r="O435" i="9"/>
  <c r="Q435" i="9"/>
  <c r="R435" i="9" s="1"/>
  <c r="Q439" i="9"/>
  <c r="R439" i="9" s="1"/>
  <c r="O439" i="9"/>
  <c r="Q448" i="9"/>
  <c r="R448" i="9" s="1"/>
  <c r="O448" i="9"/>
  <c r="O453" i="9"/>
  <c r="Q453" i="9"/>
  <c r="R453" i="9" s="1"/>
  <c r="O457" i="9"/>
  <c r="Q457" i="9"/>
  <c r="R457" i="9" s="1"/>
  <c r="Q466" i="9"/>
  <c r="R466" i="9" s="1"/>
  <c r="O466" i="9"/>
  <c r="Q474" i="9"/>
  <c r="R474" i="9" s="1"/>
  <c r="O474" i="9"/>
  <c r="O481" i="9"/>
  <c r="Q481" i="9"/>
  <c r="R481" i="9" s="1"/>
  <c r="O487" i="9"/>
  <c r="Q487" i="9"/>
  <c r="R487" i="9" s="1"/>
  <c r="O513" i="9"/>
  <c r="Q513" i="9"/>
  <c r="R513" i="9" s="1"/>
  <c r="O517" i="9"/>
  <c r="Q517" i="9"/>
  <c r="R517" i="9" s="1"/>
  <c r="Q521" i="9"/>
  <c r="R521" i="9" s="1"/>
  <c r="O521" i="9"/>
  <c r="Q541" i="9"/>
  <c r="R541" i="9" s="1"/>
  <c r="O541" i="9"/>
  <c r="O545" i="9"/>
  <c r="Q545" i="9"/>
  <c r="R545" i="9" s="1"/>
  <c r="O550" i="9"/>
  <c r="Q550" i="9"/>
  <c r="R550" i="9" s="1"/>
  <c r="Q554" i="9"/>
  <c r="R554" i="9" s="1"/>
  <c r="O554" i="9"/>
  <c r="O559" i="9"/>
  <c r="Q559" i="9"/>
  <c r="R559" i="9" s="1"/>
  <c r="O563" i="9"/>
  <c r="Q563" i="9"/>
  <c r="R563" i="9" s="1"/>
  <c r="O567" i="9"/>
  <c r="Q567" i="9"/>
  <c r="R567" i="9" s="1"/>
  <c r="Q571" i="9"/>
  <c r="R571" i="9" s="1"/>
  <c r="O571" i="9"/>
  <c r="O577" i="9"/>
  <c r="Q577" i="9"/>
  <c r="R577" i="9" s="1"/>
  <c r="O581" i="9"/>
  <c r="Q581" i="9"/>
  <c r="R581" i="9" s="1"/>
  <c r="O585" i="9"/>
  <c r="Q585" i="9"/>
  <c r="R585" i="9" s="1"/>
  <c r="O589" i="9"/>
  <c r="Q589" i="9"/>
  <c r="R589" i="9" s="1"/>
  <c r="O593" i="9"/>
  <c r="Q593" i="9"/>
  <c r="R593" i="9" s="1"/>
  <c r="O597" i="9"/>
  <c r="Q597" i="9"/>
  <c r="R597" i="9" s="1"/>
  <c r="O601" i="9"/>
  <c r="Q601" i="9"/>
  <c r="R601" i="9" s="1"/>
  <c r="O605" i="9"/>
  <c r="Q605" i="9"/>
  <c r="R605" i="9" s="1"/>
  <c r="O609" i="9"/>
  <c r="Q609" i="9"/>
  <c r="R609" i="9" s="1"/>
  <c r="O613" i="9"/>
  <c r="Q613" i="9"/>
  <c r="R613" i="9" s="1"/>
  <c r="O621" i="9"/>
  <c r="Q621" i="9"/>
  <c r="R621" i="9" s="1"/>
  <c r="O626" i="9"/>
  <c r="Q626" i="9"/>
  <c r="R626" i="9" s="1"/>
  <c r="Q633" i="9"/>
  <c r="R633" i="9" s="1"/>
  <c r="O633" i="9"/>
  <c r="O638" i="9"/>
  <c r="Q638" i="9"/>
  <c r="R638" i="9" s="1"/>
  <c r="Q642" i="9"/>
  <c r="R642" i="9" s="1"/>
  <c r="O642" i="9"/>
  <c r="O646" i="9"/>
  <c r="Q646" i="9"/>
  <c r="R646" i="9" s="1"/>
  <c r="O650" i="9"/>
  <c r="Q650" i="9"/>
  <c r="R650" i="9" s="1"/>
  <c r="Q654" i="9"/>
  <c r="R654" i="9" s="1"/>
  <c r="O654" i="9"/>
  <c r="Q658" i="9"/>
  <c r="R658" i="9" s="1"/>
  <c r="O658" i="9"/>
  <c r="O662" i="9"/>
  <c r="Q662" i="9"/>
  <c r="R662" i="9" s="1"/>
  <c r="Q666" i="9"/>
  <c r="R666" i="9" s="1"/>
  <c r="O666" i="9"/>
  <c r="O670" i="9"/>
  <c r="Q670" i="9"/>
  <c r="R670" i="9" s="1"/>
  <c r="Q674" i="9"/>
  <c r="R674" i="9" s="1"/>
  <c r="O674" i="9"/>
  <c r="O678" i="9"/>
  <c r="Q678" i="9"/>
  <c r="R678" i="9" s="1"/>
  <c r="Q700" i="9"/>
  <c r="R700" i="9" s="1"/>
  <c r="O700" i="9"/>
  <c r="O704" i="9"/>
  <c r="Q704" i="9"/>
  <c r="R704" i="9" s="1"/>
  <c r="Q708" i="9"/>
  <c r="R708" i="9" s="1"/>
  <c r="O708" i="9"/>
  <c r="O718" i="9"/>
  <c r="Q718" i="9"/>
  <c r="R718" i="9" s="1"/>
  <c r="Q13" i="11"/>
  <c r="S13" i="11"/>
  <c r="T13" i="11" s="1"/>
  <c r="Q19" i="11"/>
  <c r="S19" i="11"/>
  <c r="T19" i="11" s="1"/>
  <c r="Q23" i="11"/>
  <c r="S23" i="11"/>
  <c r="T23" i="11" s="1"/>
  <c r="S27" i="11"/>
  <c r="T27" i="11" s="1"/>
  <c r="Q27" i="11"/>
  <c r="Q31" i="11"/>
  <c r="S31" i="11"/>
  <c r="T31" i="11" s="1"/>
  <c r="S35" i="11"/>
  <c r="T35" i="11" s="1"/>
  <c r="Q35" i="11"/>
  <c r="Q40" i="11"/>
  <c r="S40" i="11"/>
  <c r="T40" i="11" s="1"/>
  <c r="S44" i="11"/>
  <c r="T44" i="11" s="1"/>
  <c r="Q44" i="11"/>
  <c r="S48" i="11"/>
  <c r="T48" i="11" s="1"/>
  <c r="Q48" i="11"/>
  <c r="S52" i="11"/>
  <c r="T52" i="11" s="1"/>
  <c r="Q52" i="11"/>
  <c r="Q58" i="11"/>
  <c r="S58" i="11"/>
  <c r="T58" i="11" s="1"/>
  <c r="S64" i="11"/>
  <c r="T64" i="11" s="1"/>
  <c r="Q64" i="11"/>
  <c r="Q70" i="11"/>
  <c r="S70" i="11"/>
  <c r="T70" i="11" s="1"/>
  <c r="Q74" i="11"/>
  <c r="S74" i="11"/>
  <c r="T74" i="11" s="1"/>
  <c r="S80" i="11"/>
  <c r="T80" i="11" s="1"/>
  <c r="Q80" i="11"/>
  <c r="Q84" i="11"/>
  <c r="S84" i="11"/>
  <c r="T84" i="11" s="1"/>
  <c r="Q88" i="11"/>
  <c r="S88" i="11"/>
  <c r="T88" i="11" s="1"/>
  <c r="S92" i="11"/>
  <c r="T92" i="11" s="1"/>
  <c r="Q92" i="11"/>
  <c r="S97" i="11"/>
  <c r="T97" i="11" s="1"/>
  <c r="Q97" i="11"/>
  <c r="S102" i="11"/>
  <c r="T102" i="11" s="1"/>
  <c r="Q102" i="11"/>
  <c r="S106" i="11"/>
  <c r="T106" i="11" s="1"/>
  <c r="Q106" i="11"/>
  <c r="S112" i="11"/>
  <c r="T112" i="11" s="1"/>
  <c r="Q112" i="11"/>
  <c r="Q116" i="11"/>
  <c r="S116" i="11"/>
  <c r="T116" i="11" s="1"/>
  <c r="S120" i="11"/>
  <c r="T120" i="11" s="1"/>
  <c r="Q120" i="11"/>
  <c r="Q124" i="11"/>
  <c r="S124" i="11"/>
  <c r="T124" i="11" s="1"/>
  <c r="Q128" i="11"/>
  <c r="S128" i="11"/>
  <c r="T128" i="11" s="1"/>
  <c r="Q133" i="11"/>
  <c r="S133" i="11"/>
  <c r="T133" i="11" s="1"/>
  <c r="Q138" i="11"/>
  <c r="S138" i="11"/>
  <c r="T138" i="11" s="1"/>
  <c r="Q144" i="11"/>
  <c r="S144" i="11"/>
  <c r="T144" i="11" s="1"/>
  <c r="Q150" i="11"/>
  <c r="S150" i="11"/>
  <c r="T150" i="11" s="1"/>
  <c r="Q155" i="11"/>
  <c r="S155" i="11"/>
  <c r="T155" i="11" s="1"/>
  <c r="Q159" i="11"/>
  <c r="S159" i="11"/>
  <c r="T159" i="11" s="1"/>
  <c r="Q163" i="11"/>
  <c r="S163" i="11"/>
  <c r="T163" i="11" s="1"/>
  <c r="Q167" i="11"/>
  <c r="S167" i="11"/>
  <c r="T167" i="11" s="1"/>
  <c r="S173" i="11"/>
  <c r="T173" i="11" s="1"/>
  <c r="Q173" i="11"/>
  <c r="S180" i="11"/>
  <c r="T180" i="11" s="1"/>
  <c r="Q180" i="11"/>
  <c r="Q184" i="11"/>
  <c r="S184" i="11"/>
  <c r="T184" i="11" s="1"/>
  <c r="S188" i="11"/>
  <c r="T188" i="11" s="1"/>
  <c r="Q188" i="11"/>
  <c r="S193" i="11"/>
  <c r="T193" i="11" s="1"/>
  <c r="Q193" i="11"/>
  <c r="Q197" i="11"/>
  <c r="S197" i="11"/>
  <c r="T197" i="11" s="1"/>
  <c r="Q201" i="11"/>
  <c r="S201" i="11"/>
  <c r="T201" i="11" s="1"/>
  <c r="S206" i="11"/>
  <c r="T206" i="11" s="1"/>
  <c r="Q206" i="11"/>
  <c r="S210" i="11"/>
  <c r="T210" i="11" s="1"/>
  <c r="Q210" i="11"/>
  <c r="S215" i="11"/>
  <c r="T215" i="11" s="1"/>
  <c r="Q215" i="11"/>
  <c r="Q220" i="11"/>
  <c r="S220" i="11"/>
  <c r="T220" i="11" s="1"/>
  <c r="Q227" i="11"/>
  <c r="S227" i="11"/>
  <c r="T227" i="11" s="1"/>
  <c r="S234" i="11"/>
  <c r="T234" i="11" s="1"/>
  <c r="Q234" i="11"/>
  <c r="S261" i="11"/>
  <c r="T261" i="11" s="1"/>
  <c r="Q261" i="11"/>
  <c r="S265" i="11"/>
  <c r="T265" i="11" s="1"/>
  <c r="Q265" i="11"/>
  <c r="Q269" i="11"/>
  <c r="S269" i="11"/>
  <c r="T269" i="11" s="1"/>
  <c r="S273" i="11"/>
  <c r="T273" i="11" s="1"/>
  <c r="Q273" i="11"/>
  <c r="S277" i="11"/>
  <c r="T277" i="11" s="1"/>
  <c r="Q277" i="11"/>
  <c r="Q281" i="11"/>
  <c r="S281" i="11"/>
  <c r="T281" i="11" s="1"/>
  <c r="S285" i="11"/>
  <c r="T285" i="11" s="1"/>
  <c r="Q285" i="11"/>
  <c r="Q289" i="11"/>
  <c r="S289" i="11"/>
  <c r="T289" i="11" s="1"/>
  <c r="Q293" i="11"/>
  <c r="S293" i="11"/>
  <c r="T293" i="11" s="1"/>
  <c r="Q297" i="11"/>
  <c r="S297" i="11"/>
  <c r="T297" i="11" s="1"/>
  <c r="Q301" i="11"/>
  <c r="S301" i="11"/>
  <c r="T301" i="11" s="1"/>
  <c r="Q305" i="11"/>
  <c r="S305" i="11"/>
  <c r="T305" i="11" s="1"/>
  <c r="S309" i="11"/>
  <c r="T309" i="11" s="1"/>
  <c r="Q309" i="11"/>
  <c r="Q313" i="11"/>
  <c r="S313" i="11"/>
  <c r="T313" i="11" s="1"/>
  <c r="Q317" i="11"/>
  <c r="S317" i="11"/>
  <c r="T317" i="11" s="1"/>
  <c r="S321" i="11"/>
  <c r="T321" i="11" s="1"/>
  <c r="Q321" i="11"/>
  <c r="S325" i="11"/>
  <c r="T325" i="11" s="1"/>
  <c r="Q325" i="11"/>
  <c r="Q329" i="11"/>
  <c r="S329" i="11"/>
  <c r="T329" i="11" s="1"/>
  <c r="S333" i="11"/>
  <c r="T333" i="11" s="1"/>
  <c r="Q333" i="11"/>
  <c r="Q338" i="11"/>
  <c r="S338" i="11"/>
  <c r="T338" i="11" s="1"/>
  <c r="S344" i="11"/>
  <c r="T344" i="11" s="1"/>
  <c r="Q344" i="11"/>
  <c r="Q348" i="11"/>
  <c r="S348" i="11"/>
  <c r="T348" i="11" s="1"/>
  <c r="S352" i="11"/>
  <c r="T352" i="11" s="1"/>
  <c r="Q352" i="11"/>
  <c r="Q356" i="11"/>
  <c r="S356" i="11"/>
  <c r="T356" i="11" s="1"/>
  <c r="S360" i="11"/>
  <c r="T360" i="11" s="1"/>
  <c r="Q360" i="11"/>
  <c r="Q364" i="11"/>
  <c r="S364" i="11"/>
  <c r="T364" i="11" s="1"/>
  <c r="Q368" i="11"/>
  <c r="S368" i="11"/>
  <c r="T368" i="11" s="1"/>
  <c r="S372" i="11"/>
  <c r="T372" i="11" s="1"/>
  <c r="Q372" i="11"/>
  <c r="S376" i="11"/>
  <c r="T376" i="11" s="1"/>
  <c r="Q376" i="11"/>
  <c r="S380" i="11"/>
  <c r="T380" i="11" s="1"/>
  <c r="Q380" i="11"/>
  <c r="S384" i="11"/>
  <c r="T384" i="11" s="1"/>
  <c r="Q384" i="11"/>
  <c r="Q388" i="11"/>
  <c r="S388" i="11"/>
  <c r="T388" i="11" s="1"/>
  <c r="Q392" i="11"/>
  <c r="S392" i="11"/>
  <c r="T392" i="11" s="1"/>
  <c r="S396" i="11"/>
  <c r="T396" i="11" s="1"/>
  <c r="Q396" i="11"/>
  <c r="S400" i="11"/>
  <c r="T400" i="11" s="1"/>
  <c r="Q400" i="11"/>
  <c r="Q404" i="11"/>
  <c r="S404" i="11"/>
  <c r="T404" i="11" s="1"/>
  <c r="Q409" i="11"/>
  <c r="S409" i="11"/>
  <c r="T409" i="11" s="1"/>
  <c r="Q414" i="11"/>
  <c r="S414" i="11"/>
  <c r="T414" i="11" s="1"/>
  <c r="S418" i="11"/>
  <c r="T418" i="11" s="1"/>
  <c r="Q418" i="11"/>
  <c r="Q424" i="11"/>
  <c r="S424" i="11"/>
  <c r="T424" i="11" s="1"/>
  <c r="S431" i="11"/>
  <c r="T431" i="11" s="1"/>
  <c r="Q431" i="11"/>
  <c r="S435" i="11"/>
  <c r="T435" i="11" s="1"/>
  <c r="Q435" i="11"/>
  <c r="Q439" i="11"/>
  <c r="S439" i="11"/>
  <c r="T439" i="11" s="1"/>
  <c r="S448" i="11"/>
  <c r="T448" i="11" s="1"/>
  <c r="Q448" i="11"/>
  <c r="Q453" i="11"/>
  <c r="S453" i="11"/>
  <c r="T453" i="11" s="1"/>
  <c r="Q457" i="11"/>
  <c r="S457" i="11"/>
  <c r="T457" i="11" s="1"/>
  <c r="Q466" i="11"/>
  <c r="S466" i="11"/>
  <c r="T466" i="11" s="1"/>
  <c r="Q474" i="11"/>
  <c r="S474" i="11"/>
  <c r="T474" i="11" s="1"/>
  <c r="S481" i="11"/>
  <c r="T481" i="11" s="1"/>
  <c r="Q481" i="11"/>
  <c r="Q487" i="11"/>
  <c r="S487" i="11"/>
  <c r="T487" i="11" s="1"/>
  <c r="S513" i="11"/>
  <c r="T513" i="11" s="1"/>
  <c r="Q513" i="11"/>
  <c r="Q517" i="11"/>
  <c r="S517" i="11"/>
  <c r="T517" i="11" s="1"/>
  <c r="Q521" i="11"/>
  <c r="S521" i="11"/>
  <c r="T521" i="11" s="1"/>
  <c r="Q541" i="11"/>
  <c r="S541" i="11"/>
  <c r="T541" i="11" s="1"/>
  <c r="S545" i="11"/>
  <c r="T545" i="11" s="1"/>
  <c r="Q545" i="11"/>
  <c r="Q550" i="11"/>
  <c r="S550" i="11"/>
  <c r="T550" i="11" s="1"/>
  <c r="Q554" i="11"/>
  <c r="S554" i="11"/>
  <c r="T554" i="11" s="1"/>
  <c r="S559" i="11"/>
  <c r="T559" i="11" s="1"/>
  <c r="Q559" i="11"/>
  <c r="Q563" i="11"/>
  <c r="S563" i="11"/>
  <c r="T563" i="11" s="1"/>
  <c r="S567" i="11"/>
  <c r="T567" i="11" s="1"/>
  <c r="Q567" i="11"/>
  <c r="Q571" i="11"/>
  <c r="S571" i="11"/>
  <c r="T571" i="11" s="1"/>
  <c r="Q577" i="11"/>
  <c r="S577" i="11"/>
  <c r="T577" i="11" s="1"/>
  <c r="S581" i="11"/>
  <c r="T581" i="11" s="1"/>
  <c r="Q581" i="11"/>
  <c r="Q585" i="11"/>
  <c r="S585" i="11"/>
  <c r="T585" i="11" s="1"/>
  <c r="S589" i="11"/>
  <c r="T589" i="11" s="1"/>
  <c r="Q589" i="11"/>
  <c r="S593" i="11"/>
  <c r="T593" i="11" s="1"/>
  <c r="Q593" i="11"/>
  <c r="Q597" i="11"/>
  <c r="S597" i="11"/>
  <c r="T597" i="11" s="1"/>
  <c r="Q601" i="11"/>
  <c r="S601" i="11"/>
  <c r="T601" i="11" s="1"/>
  <c r="Q605" i="11"/>
  <c r="S605" i="11"/>
  <c r="T605" i="11" s="1"/>
  <c r="S609" i="11"/>
  <c r="T609" i="11" s="1"/>
  <c r="Q609" i="11"/>
  <c r="S613" i="11"/>
  <c r="T613" i="11" s="1"/>
  <c r="Q613" i="11"/>
  <c r="S621" i="11"/>
  <c r="T621" i="11" s="1"/>
  <c r="Q621" i="11"/>
  <c r="Q626" i="11"/>
  <c r="S626" i="11"/>
  <c r="T626" i="11" s="1"/>
  <c r="Q633" i="11"/>
  <c r="S633" i="11"/>
  <c r="T633" i="11" s="1"/>
  <c r="S638" i="11"/>
  <c r="T638" i="11" s="1"/>
  <c r="Q638" i="11"/>
  <c r="Q642" i="11"/>
  <c r="S642" i="11"/>
  <c r="T642" i="11" s="1"/>
  <c r="S646" i="11"/>
  <c r="T646" i="11" s="1"/>
  <c r="Q646" i="11"/>
  <c r="Q650" i="11"/>
  <c r="S650" i="11"/>
  <c r="T650" i="11" s="1"/>
  <c r="S654" i="11"/>
  <c r="T654" i="11" s="1"/>
  <c r="Q654" i="11"/>
  <c r="Q658" i="11"/>
  <c r="S658" i="11"/>
  <c r="T658" i="11" s="1"/>
  <c r="Q662" i="11"/>
  <c r="S662" i="11"/>
  <c r="T662" i="11" s="1"/>
  <c r="Q666" i="11"/>
  <c r="S666" i="11"/>
  <c r="T666" i="11" s="1"/>
  <c r="Q670" i="11"/>
  <c r="S670" i="11"/>
  <c r="T670" i="11" s="1"/>
  <c r="Q674" i="11"/>
  <c r="S674" i="11"/>
  <c r="T674" i="11" s="1"/>
  <c r="Q678" i="11"/>
  <c r="S678" i="11"/>
  <c r="T678" i="11" s="1"/>
  <c r="Q700" i="11"/>
  <c r="S700" i="11"/>
  <c r="T700" i="11" s="1"/>
  <c r="S704" i="11"/>
  <c r="T704" i="11" s="1"/>
  <c r="Q704" i="11"/>
  <c r="S708" i="11"/>
  <c r="T708" i="11" s="1"/>
  <c r="Q708" i="11"/>
  <c r="Q718" i="11"/>
  <c r="S718" i="11"/>
  <c r="T718" i="11" s="1"/>
  <c r="Q13" i="14"/>
  <c r="S13" i="14"/>
  <c r="T13" i="14" s="1"/>
  <c r="S17" i="14"/>
  <c r="T17" i="14" s="1"/>
  <c r="Q17" i="14"/>
  <c r="F20" i="14"/>
  <c r="G20" i="14" s="1"/>
  <c r="I20" i="14" s="1"/>
  <c r="R20" i="14"/>
  <c r="S21" i="14"/>
  <c r="Q21" i="14"/>
  <c r="F24" i="14"/>
  <c r="G24" i="14" s="1"/>
  <c r="I24" i="14" s="1"/>
  <c r="R24" i="14"/>
  <c r="S25" i="14"/>
  <c r="Q25" i="14"/>
  <c r="F28" i="14"/>
  <c r="G28" i="14" s="1"/>
  <c r="I28" i="14" s="1"/>
  <c r="R28" i="14"/>
  <c r="Q29" i="14"/>
  <c r="S29" i="14"/>
  <c r="T29" i="14" s="1"/>
  <c r="Q33" i="14"/>
  <c r="S33" i="14"/>
  <c r="T33" i="14" s="1"/>
  <c r="S37" i="14"/>
  <c r="Q37" i="14"/>
  <c r="S41" i="14"/>
  <c r="T41" i="14" s="1"/>
  <c r="Q41" i="14"/>
  <c r="R44" i="14"/>
  <c r="F44" i="14"/>
  <c r="G44" i="14" s="1"/>
  <c r="I44" i="14" s="1"/>
  <c r="Q45" i="14"/>
  <c r="S45" i="14"/>
  <c r="R48" i="14"/>
  <c r="F48" i="14"/>
  <c r="G48" i="14" s="1"/>
  <c r="I48" i="14" s="1"/>
  <c r="S49" i="14"/>
  <c r="T49" i="14" s="1"/>
  <c r="Q49" i="14"/>
  <c r="R52" i="14"/>
  <c r="F52" i="14"/>
  <c r="G52" i="14" s="1"/>
  <c r="I52" i="14" s="1"/>
  <c r="Q53" i="14"/>
  <c r="S53" i="14"/>
  <c r="T53" i="14" s="1"/>
  <c r="R56" i="14"/>
  <c r="F56" i="14"/>
  <c r="G56" i="14" s="1"/>
  <c r="I56" i="14" s="1"/>
  <c r="S68" i="14"/>
  <c r="T68" i="14" s="1"/>
  <c r="Q68" i="14"/>
  <c r="F71" i="14"/>
  <c r="G71" i="14" s="1"/>
  <c r="I71" i="14" s="1"/>
  <c r="R71" i="14"/>
  <c r="Q72" i="14"/>
  <c r="S72" i="14"/>
  <c r="R75" i="14"/>
  <c r="F75" i="14"/>
  <c r="G75" i="14" s="1"/>
  <c r="I75" i="14" s="1"/>
  <c r="Q76" i="14"/>
  <c r="S76" i="14"/>
  <c r="F79" i="14"/>
  <c r="G79" i="14" s="1"/>
  <c r="I79" i="14" s="1"/>
  <c r="R79" i="14"/>
  <c r="Q80" i="14"/>
  <c r="S80" i="14"/>
  <c r="T80" i="14" s="1"/>
  <c r="R83" i="14"/>
  <c r="F83" i="14"/>
  <c r="G83" i="14" s="1"/>
  <c r="I83" i="14" s="1"/>
  <c r="S84" i="14"/>
  <c r="Q84" i="14"/>
  <c r="Q88" i="14"/>
  <c r="S88" i="14"/>
  <c r="F91" i="14"/>
  <c r="G91" i="14" s="1"/>
  <c r="I91" i="14" s="1"/>
  <c r="R91" i="14"/>
  <c r="Q92" i="14"/>
  <c r="S92" i="14"/>
  <c r="Q114" i="14"/>
  <c r="S114" i="14"/>
  <c r="S118" i="14"/>
  <c r="Q118" i="14"/>
  <c r="F121" i="14"/>
  <c r="G121" i="14" s="1"/>
  <c r="I121" i="14" s="1"/>
  <c r="R121" i="14"/>
  <c r="S122" i="14"/>
  <c r="Q122" i="14"/>
  <c r="F125" i="14"/>
  <c r="G125" i="14" s="1"/>
  <c r="I125" i="14" s="1"/>
  <c r="R125" i="14"/>
  <c r="S126" i="14"/>
  <c r="T126" i="14" s="1"/>
  <c r="Q126" i="14"/>
  <c r="R129" i="14"/>
  <c r="F129" i="14"/>
  <c r="G129" i="14" s="1"/>
  <c r="I129" i="14" s="1"/>
  <c r="Q137" i="14"/>
  <c r="S137" i="14"/>
  <c r="T137" i="14" s="1"/>
  <c r="Q141" i="14"/>
  <c r="S141" i="14"/>
  <c r="F144" i="14"/>
  <c r="G144" i="14" s="1"/>
  <c r="I144" i="14" s="1"/>
  <c r="R144" i="14"/>
  <c r="Q145" i="14"/>
  <c r="S145" i="14"/>
  <c r="F148" i="14"/>
  <c r="G148" i="14" s="1"/>
  <c r="I148" i="14" s="1"/>
  <c r="R148" i="14"/>
  <c r="Q156" i="14"/>
  <c r="S156" i="14"/>
  <c r="T156" i="14" s="1"/>
  <c r="F159" i="14"/>
  <c r="G159" i="14" s="1"/>
  <c r="I159" i="14" s="1"/>
  <c r="R159" i="14"/>
  <c r="Q160" i="14"/>
  <c r="S160" i="14"/>
  <c r="F163" i="14"/>
  <c r="G163" i="14" s="1"/>
  <c r="I163" i="14" s="1"/>
  <c r="R163" i="14"/>
  <c r="Q164" i="14"/>
  <c r="S164" i="14"/>
  <c r="F167" i="14"/>
  <c r="G167" i="14" s="1"/>
  <c r="I167" i="14" s="1"/>
  <c r="R167" i="14"/>
  <c r="Q168" i="14"/>
  <c r="S168" i="14"/>
  <c r="S186" i="14"/>
  <c r="Q186" i="14"/>
  <c r="F189" i="14"/>
  <c r="G189" i="14" s="1"/>
  <c r="I189" i="14" s="1"/>
  <c r="R189" i="14"/>
  <c r="Q190" i="14"/>
  <c r="S190" i="14"/>
  <c r="T190" i="14" s="1"/>
  <c r="F193" i="14"/>
  <c r="G193" i="14" s="1"/>
  <c r="I193" i="14" s="1"/>
  <c r="R193" i="14"/>
  <c r="Q194" i="14"/>
  <c r="S194" i="14"/>
  <c r="R197" i="14"/>
  <c r="F197" i="14"/>
  <c r="G197" i="14" s="1"/>
  <c r="I197" i="14" s="1"/>
  <c r="Q198" i="14"/>
  <c r="S198" i="14"/>
  <c r="T198" i="14" s="1"/>
  <c r="F201" i="14"/>
  <c r="G201" i="14" s="1"/>
  <c r="I201" i="14" s="1"/>
  <c r="R201" i="14"/>
  <c r="Q202" i="14"/>
  <c r="S202" i="14"/>
  <c r="S226" i="14"/>
  <c r="T226" i="14" s="1"/>
  <c r="Q226" i="14"/>
  <c r="S230" i="14"/>
  <c r="Q230" i="14"/>
  <c r="R263" i="14"/>
  <c r="F263" i="14"/>
  <c r="G263" i="14" s="1"/>
  <c r="I263" i="14" s="1"/>
  <c r="S264" i="14"/>
  <c r="Q264" i="14"/>
  <c r="R267" i="14"/>
  <c r="F267" i="14"/>
  <c r="G267" i="14" s="1"/>
  <c r="I267" i="14" s="1"/>
  <c r="Q268" i="14"/>
  <c r="S268" i="14"/>
  <c r="R271" i="14"/>
  <c r="F271" i="14"/>
  <c r="G271" i="14" s="1"/>
  <c r="I271" i="14" s="1"/>
  <c r="S272" i="14"/>
  <c r="Q272" i="14"/>
  <c r="R275" i="14"/>
  <c r="F275" i="14"/>
  <c r="G275" i="14" s="1"/>
  <c r="I275" i="14" s="1"/>
  <c r="Q276" i="14"/>
  <c r="S276" i="14"/>
  <c r="R279" i="14"/>
  <c r="F279" i="14"/>
  <c r="G279" i="14" s="1"/>
  <c r="I279" i="14" s="1"/>
  <c r="S280" i="14"/>
  <c r="Q280" i="14"/>
  <c r="F283" i="14"/>
  <c r="G283" i="14" s="1"/>
  <c r="I283" i="14" s="1"/>
  <c r="R283" i="14"/>
  <c r="Q284" i="14"/>
  <c r="S284" i="14"/>
  <c r="R287" i="14"/>
  <c r="F287" i="14"/>
  <c r="G287" i="14" s="1"/>
  <c r="I287" i="14" s="1"/>
  <c r="S288" i="14"/>
  <c r="Q288" i="14"/>
  <c r="F291" i="14"/>
  <c r="G291" i="14" s="1"/>
  <c r="I291" i="14" s="1"/>
  <c r="R291" i="14"/>
  <c r="S292" i="14"/>
  <c r="T292" i="14" s="1"/>
  <c r="Q292" i="14"/>
  <c r="R295" i="14"/>
  <c r="F295" i="14"/>
  <c r="G295" i="14" s="1"/>
  <c r="I295" i="14" s="1"/>
  <c r="Q296" i="14"/>
  <c r="S296" i="14"/>
  <c r="R299" i="14"/>
  <c r="F299" i="14"/>
  <c r="G299" i="14" s="1"/>
  <c r="I299" i="14" s="1"/>
  <c r="Q300" i="14"/>
  <c r="S300" i="14"/>
  <c r="R303" i="14"/>
  <c r="F303" i="14"/>
  <c r="G303" i="14" s="1"/>
  <c r="I303" i="14" s="1"/>
  <c r="Q304" i="14"/>
  <c r="S304" i="14"/>
  <c r="F307" i="14"/>
  <c r="G307" i="14" s="1"/>
  <c r="I307" i="14" s="1"/>
  <c r="R307" i="14"/>
  <c r="S308" i="14"/>
  <c r="Q308" i="14"/>
  <c r="R311" i="14"/>
  <c r="F311" i="14"/>
  <c r="G311" i="14" s="1"/>
  <c r="I311" i="14" s="1"/>
  <c r="Q312" i="14"/>
  <c r="S312" i="14"/>
  <c r="T312" i="14" s="1"/>
  <c r="R315" i="14"/>
  <c r="F315" i="14"/>
  <c r="G315" i="14" s="1"/>
  <c r="I315" i="14" s="1"/>
  <c r="Q316" i="14"/>
  <c r="S316" i="14"/>
  <c r="R319" i="14"/>
  <c r="F319" i="14"/>
  <c r="G319" i="14" s="1"/>
  <c r="I319" i="14" s="1"/>
  <c r="S320" i="14"/>
  <c r="Q320" i="14"/>
  <c r="R323" i="14"/>
  <c r="F323" i="14"/>
  <c r="G323" i="14" s="1"/>
  <c r="I323" i="14" s="1"/>
  <c r="S324" i="14"/>
  <c r="Q324" i="14"/>
  <c r="F327" i="14"/>
  <c r="G327" i="14" s="1"/>
  <c r="I327" i="14" s="1"/>
  <c r="R327" i="14"/>
  <c r="S328" i="14"/>
  <c r="Q328" i="14"/>
  <c r="R331" i="14"/>
  <c r="F331" i="14"/>
  <c r="G331" i="14" s="1"/>
  <c r="I331" i="14" s="1"/>
  <c r="Q332" i="14"/>
  <c r="S332" i="14"/>
  <c r="R335" i="14"/>
  <c r="F335" i="14"/>
  <c r="G335" i="14" s="1"/>
  <c r="I335" i="14" s="1"/>
  <c r="Q336" i="14"/>
  <c r="S336" i="14"/>
  <c r="T336" i="14" s="1"/>
  <c r="F339" i="14"/>
  <c r="G339" i="14" s="1"/>
  <c r="I339" i="14" s="1"/>
  <c r="R339" i="14"/>
  <c r="S340" i="14"/>
  <c r="Q340" i="14"/>
  <c r="R343" i="14"/>
  <c r="F343" i="14"/>
  <c r="G343" i="14" s="1"/>
  <c r="I343" i="14" s="1"/>
  <c r="Q344" i="14"/>
  <c r="S344" i="14"/>
  <c r="R347" i="14"/>
  <c r="F347" i="14"/>
  <c r="G347" i="14" s="1"/>
  <c r="I347" i="14" s="1"/>
  <c r="Q348" i="14"/>
  <c r="S348" i="14"/>
  <c r="F351" i="14"/>
  <c r="G351" i="14" s="1"/>
  <c r="I351" i="14" s="1"/>
  <c r="R351" i="14"/>
  <c r="Q352" i="14"/>
  <c r="S352" i="14"/>
  <c r="F355" i="14"/>
  <c r="G355" i="14" s="1"/>
  <c r="I355" i="14" s="1"/>
  <c r="R355" i="14"/>
  <c r="S356" i="14"/>
  <c r="Q356" i="14"/>
  <c r="F359" i="14"/>
  <c r="G359" i="14" s="1"/>
  <c r="I359" i="14" s="1"/>
  <c r="R359" i="14"/>
  <c r="Q360" i="14"/>
  <c r="S360" i="14"/>
  <c r="T360" i="14" s="1"/>
  <c r="F363" i="14"/>
  <c r="G363" i="14" s="1"/>
  <c r="I363" i="14" s="1"/>
  <c r="R363" i="14"/>
  <c r="S364" i="14"/>
  <c r="Q364" i="14"/>
  <c r="F367" i="14"/>
  <c r="G367" i="14" s="1"/>
  <c r="I367" i="14" s="1"/>
  <c r="R367" i="14"/>
  <c r="S368" i="14"/>
  <c r="Q368" i="14"/>
  <c r="R371" i="14"/>
  <c r="F371" i="14"/>
  <c r="G371" i="14" s="1"/>
  <c r="I371" i="14" s="1"/>
  <c r="Q372" i="14"/>
  <c r="S372" i="14"/>
  <c r="F375" i="14"/>
  <c r="G375" i="14" s="1"/>
  <c r="I375" i="14" s="1"/>
  <c r="R375" i="14"/>
  <c r="S376" i="14"/>
  <c r="T376" i="14" s="1"/>
  <c r="Q376" i="14"/>
  <c r="R379" i="14"/>
  <c r="F379" i="14"/>
  <c r="G379" i="14" s="1"/>
  <c r="I379" i="14" s="1"/>
  <c r="S380" i="14"/>
  <c r="Q380" i="14"/>
  <c r="R383" i="14"/>
  <c r="F383" i="14"/>
  <c r="G383" i="14" s="1"/>
  <c r="I383" i="14" s="1"/>
  <c r="Q384" i="14"/>
  <c r="S384" i="14"/>
  <c r="F387" i="14"/>
  <c r="G387" i="14" s="1"/>
  <c r="I387" i="14" s="1"/>
  <c r="R387" i="14"/>
  <c r="S388" i="14"/>
  <c r="Q388" i="14"/>
  <c r="R391" i="14"/>
  <c r="F391" i="14"/>
  <c r="G391" i="14" s="1"/>
  <c r="I391" i="14" s="1"/>
  <c r="Q392" i="14"/>
  <c r="S392" i="14"/>
  <c r="F395" i="14"/>
  <c r="G395" i="14" s="1"/>
  <c r="I395" i="14" s="1"/>
  <c r="R395" i="14"/>
  <c r="Q396" i="14"/>
  <c r="S396" i="14"/>
  <c r="F399" i="14"/>
  <c r="G399" i="14" s="1"/>
  <c r="I399" i="14" s="1"/>
  <c r="R399" i="14"/>
  <c r="Q400" i="14"/>
  <c r="S400" i="14"/>
  <c r="T400" i="14" s="1"/>
  <c r="R403" i="14"/>
  <c r="F403" i="14"/>
  <c r="G403" i="14" s="1"/>
  <c r="I403" i="14" s="1"/>
  <c r="S404" i="14"/>
  <c r="Q404" i="14"/>
  <c r="F407" i="14"/>
  <c r="G407" i="14" s="1"/>
  <c r="I407" i="14" s="1"/>
  <c r="R407" i="14"/>
  <c r="Q408" i="14"/>
  <c r="S408" i="14"/>
  <c r="R411" i="14"/>
  <c r="F411" i="14"/>
  <c r="G411" i="14" s="1"/>
  <c r="I411" i="14" s="1"/>
  <c r="Q412" i="14"/>
  <c r="S412" i="14"/>
  <c r="R415" i="14"/>
  <c r="F415" i="14"/>
  <c r="G415" i="14" s="1"/>
  <c r="I415" i="14" s="1"/>
  <c r="S416" i="14"/>
  <c r="T416" i="14" s="1"/>
  <c r="Q416" i="14"/>
  <c r="F419" i="14"/>
  <c r="G419" i="14" s="1"/>
  <c r="I419" i="14" s="1"/>
  <c r="R419" i="14"/>
  <c r="S420" i="14"/>
  <c r="Q420" i="14"/>
  <c r="R423" i="14"/>
  <c r="F423" i="14"/>
  <c r="G423" i="14" s="1"/>
  <c r="I423" i="14" s="1"/>
  <c r="S424" i="14"/>
  <c r="Q424" i="14"/>
  <c r="Q428" i="14"/>
  <c r="S428" i="14"/>
  <c r="S432" i="14"/>
  <c r="T432" i="14" s="1"/>
  <c r="Q432" i="14"/>
  <c r="R435" i="14"/>
  <c r="F435" i="14"/>
  <c r="G435" i="14" s="1"/>
  <c r="I435" i="14" s="1"/>
  <c r="Q436" i="14"/>
  <c r="S436" i="14"/>
  <c r="R439" i="14"/>
  <c r="F439" i="14"/>
  <c r="G439" i="14" s="1"/>
  <c r="I439" i="14" s="1"/>
  <c r="S440" i="14"/>
  <c r="T440" i="14" s="1"/>
  <c r="Q440" i="14"/>
  <c r="F447" i="14"/>
  <c r="G447" i="14" s="1"/>
  <c r="I447" i="14" s="1"/>
  <c r="R447" i="14"/>
  <c r="Q448" i="14"/>
  <c r="S448" i="14"/>
  <c r="T448" i="14" s="1"/>
  <c r="Q452" i="14"/>
  <c r="S452" i="14"/>
  <c r="R455" i="14"/>
  <c r="F455" i="14"/>
  <c r="G455" i="14" s="1"/>
  <c r="I455" i="14" s="1"/>
  <c r="S456" i="14"/>
  <c r="Q456" i="14"/>
  <c r="Q460" i="14"/>
  <c r="S460" i="14"/>
  <c r="F463" i="14"/>
  <c r="G463" i="14" s="1"/>
  <c r="I463" i="14" s="1"/>
  <c r="R463" i="14"/>
  <c r="S464" i="14"/>
  <c r="Q464" i="14"/>
  <c r="F467" i="14"/>
  <c r="G467" i="14" s="1"/>
  <c r="I467" i="14" s="1"/>
  <c r="R467" i="14"/>
  <c r="S468" i="14"/>
  <c r="Q468" i="14"/>
  <c r="Q472" i="14"/>
  <c r="S472" i="14"/>
  <c r="R475" i="14"/>
  <c r="F475" i="14"/>
  <c r="G475" i="14" s="1"/>
  <c r="I475" i="14" s="1"/>
  <c r="Q476" i="14"/>
  <c r="S476" i="14"/>
  <c r="F479" i="14"/>
  <c r="G479" i="14" s="1"/>
  <c r="I479" i="14" s="1"/>
  <c r="R479" i="14"/>
  <c r="Q480" i="14"/>
  <c r="S480" i="14"/>
  <c r="T480" i="14" s="1"/>
  <c r="R483" i="14"/>
  <c r="F483" i="14"/>
  <c r="G483" i="14" s="1"/>
  <c r="I483" i="14" s="1"/>
  <c r="Q484" i="14"/>
  <c r="S484" i="14"/>
  <c r="F487" i="14"/>
  <c r="G487" i="14" s="1"/>
  <c r="I487" i="14" s="1"/>
  <c r="R487" i="14"/>
  <c r="S488" i="14"/>
  <c r="Q488" i="14"/>
  <c r="S513" i="14"/>
  <c r="T513" i="14" s="1"/>
  <c r="Q513" i="14"/>
  <c r="F516" i="14"/>
  <c r="G516" i="14" s="1"/>
  <c r="I516" i="14" s="1"/>
  <c r="R516" i="14"/>
  <c r="Q517" i="14"/>
  <c r="S517" i="14"/>
  <c r="R520" i="14"/>
  <c r="F520" i="14"/>
  <c r="G520" i="14" s="1"/>
  <c r="I520" i="14" s="1"/>
  <c r="S521" i="14"/>
  <c r="Q521" i="14"/>
  <c r="S541" i="14"/>
  <c r="Q541" i="14"/>
  <c r="F544" i="14"/>
  <c r="G544" i="14" s="1"/>
  <c r="I544" i="14" s="1"/>
  <c r="R544" i="14"/>
  <c r="Q545" i="14"/>
  <c r="S545" i="14"/>
  <c r="F548" i="14"/>
  <c r="G548" i="14" s="1"/>
  <c r="I548" i="14" s="1"/>
  <c r="R548" i="14"/>
  <c r="Q549" i="14"/>
  <c r="S549" i="14"/>
  <c r="T549" i="14" s="1"/>
  <c r="R552" i="14"/>
  <c r="F552" i="14"/>
  <c r="G552" i="14" s="1"/>
  <c r="I552" i="14" s="1"/>
  <c r="Q553" i="14"/>
  <c r="S553" i="14"/>
  <c r="R556" i="14"/>
  <c r="F556" i="14"/>
  <c r="G556" i="14" s="1"/>
  <c r="I556" i="14" s="1"/>
  <c r="Q557" i="14"/>
  <c r="S557" i="14"/>
  <c r="F560" i="14"/>
  <c r="G560" i="14" s="1"/>
  <c r="I560" i="14" s="1"/>
  <c r="R560" i="14"/>
  <c r="S561" i="14"/>
  <c r="Q561" i="14"/>
  <c r="R564" i="14"/>
  <c r="F564" i="14"/>
  <c r="G564" i="14" s="1"/>
  <c r="I564" i="14" s="1"/>
  <c r="Q565" i="14"/>
  <c r="S565" i="14"/>
  <c r="F568" i="14"/>
  <c r="G568" i="14" s="1"/>
  <c r="I568" i="14" s="1"/>
  <c r="R568" i="14"/>
  <c r="Q569" i="14"/>
  <c r="S569" i="14"/>
  <c r="R574" i="14"/>
  <c r="F574" i="14"/>
  <c r="G574" i="14" s="1"/>
  <c r="I574" i="14" s="1"/>
  <c r="Q575" i="14"/>
  <c r="S575" i="14"/>
  <c r="F578" i="14"/>
  <c r="G578" i="14" s="1"/>
  <c r="I578" i="14" s="1"/>
  <c r="R578" i="14"/>
  <c r="Q579" i="14"/>
  <c r="S579" i="14"/>
  <c r="F582" i="14"/>
  <c r="G582" i="14" s="1"/>
  <c r="I582" i="14" s="1"/>
  <c r="R582" i="14"/>
  <c r="S583" i="14"/>
  <c r="Q583" i="14"/>
  <c r="R586" i="14"/>
  <c r="F586" i="14"/>
  <c r="G586" i="14" s="1"/>
  <c r="I586" i="14" s="1"/>
  <c r="S587" i="14"/>
  <c r="Q587" i="14"/>
  <c r="F590" i="14"/>
  <c r="G590" i="14" s="1"/>
  <c r="I590" i="14" s="1"/>
  <c r="R590" i="14"/>
  <c r="S591" i="14"/>
  <c r="Q591" i="14"/>
  <c r="F594" i="14"/>
  <c r="G594" i="14" s="1"/>
  <c r="I594" i="14" s="1"/>
  <c r="R594" i="14"/>
  <c r="Q595" i="14"/>
  <c r="S595" i="14"/>
  <c r="F598" i="14"/>
  <c r="G598" i="14" s="1"/>
  <c r="I598" i="14" s="1"/>
  <c r="R598" i="14"/>
  <c r="S599" i="14"/>
  <c r="Q599" i="14"/>
  <c r="R602" i="14"/>
  <c r="F602" i="14"/>
  <c r="G602" i="14" s="1"/>
  <c r="I602" i="14" s="1"/>
  <c r="Q603" i="14"/>
  <c r="S603" i="14"/>
  <c r="T603" i="14" s="1"/>
  <c r="R606" i="14"/>
  <c r="F606" i="14"/>
  <c r="G606" i="14" s="1"/>
  <c r="I606" i="14" s="1"/>
  <c r="S607" i="14"/>
  <c r="Q607" i="14"/>
  <c r="R610" i="14"/>
  <c r="F610" i="14"/>
  <c r="G610" i="14" s="1"/>
  <c r="I610" i="14" s="1"/>
  <c r="S611" i="14"/>
  <c r="Q611" i="14"/>
  <c r="F614" i="14"/>
  <c r="G614" i="14" s="1"/>
  <c r="I614" i="14" s="1"/>
  <c r="R614" i="14"/>
  <c r="Q615" i="14"/>
  <c r="S615" i="14"/>
  <c r="S621" i="14"/>
  <c r="Q621" i="14"/>
  <c r="S626" i="14"/>
  <c r="Q626" i="14"/>
  <c r="R629" i="14"/>
  <c r="F629" i="14"/>
  <c r="G629" i="14" s="1"/>
  <c r="I629" i="14" s="1"/>
  <c r="Q633" i="14"/>
  <c r="S633" i="14"/>
  <c r="Q638" i="14"/>
  <c r="S638" i="14"/>
  <c r="F641" i="14"/>
  <c r="G641" i="14" s="1"/>
  <c r="I641" i="14" s="1"/>
  <c r="R641" i="14"/>
  <c r="S642" i="14"/>
  <c r="T642" i="14" s="1"/>
  <c r="Q642" i="14"/>
  <c r="F645" i="14"/>
  <c r="G645" i="14" s="1"/>
  <c r="I645" i="14" s="1"/>
  <c r="R645" i="14"/>
  <c r="Q646" i="14"/>
  <c r="S646" i="14"/>
  <c r="F649" i="14"/>
  <c r="G649" i="14" s="1"/>
  <c r="I649" i="14" s="1"/>
  <c r="R649" i="14"/>
  <c r="S650" i="14"/>
  <c r="Q650" i="14"/>
  <c r="R653" i="14"/>
  <c r="F653" i="14"/>
  <c r="G653" i="14" s="1"/>
  <c r="I653" i="14" s="1"/>
  <c r="Q654" i="14"/>
  <c r="S654" i="14"/>
  <c r="F657" i="14"/>
  <c r="G657" i="14" s="1"/>
  <c r="I657" i="14" s="1"/>
  <c r="R657" i="14"/>
  <c r="S658" i="14"/>
  <c r="Q658" i="14"/>
  <c r="F661" i="14"/>
  <c r="G661" i="14" s="1"/>
  <c r="I661" i="14" s="1"/>
  <c r="R661" i="14"/>
  <c r="S662" i="14"/>
  <c r="T662" i="14" s="1"/>
  <c r="Q662" i="14"/>
  <c r="R665" i="14"/>
  <c r="F665" i="14"/>
  <c r="G665" i="14" s="1"/>
  <c r="I665" i="14" s="1"/>
  <c r="Q666" i="14"/>
  <c r="S666" i="14"/>
  <c r="R669" i="14"/>
  <c r="F669" i="14"/>
  <c r="G669" i="14" s="1"/>
  <c r="I669" i="14" s="1"/>
  <c r="S670" i="14"/>
  <c r="Q670" i="14"/>
  <c r="R673" i="14"/>
  <c r="F673" i="14"/>
  <c r="G673" i="14" s="1"/>
  <c r="I673" i="14" s="1"/>
  <c r="Q674" i="14"/>
  <c r="S674" i="14"/>
  <c r="Q678" i="14"/>
  <c r="S678" i="14"/>
  <c r="Q701" i="14"/>
  <c r="S701" i="14"/>
  <c r="R704" i="14"/>
  <c r="F704" i="14"/>
  <c r="G704" i="14" s="1"/>
  <c r="I704" i="14" s="1"/>
  <c r="S705" i="14"/>
  <c r="Q705" i="14"/>
  <c r="R708" i="14"/>
  <c r="F708" i="14"/>
  <c r="G708" i="14" s="1"/>
  <c r="I708" i="14" s="1"/>
  <c r="S709" i="14"/>
  <c r="Q709" i="14"/>
  <c r="O657" i="1"/>
  <c r="P657" i="1" s="1"/>
  <c r="M657" i="1"/>
  <c r="O661" i="1"/>
  <c r="P661" i="1" s="1"/>
  <c r="M661" i="1"/>
  <c r="O665" i="1"/>
  <c r="P665" i="1" s="1"/>
  <c r="M665" i="1"/>
  <c r="O669" i="1"/>
  <c r="P669" i="1" s="1"/>
  <c r="M669" i="1"/>
  <c r="O673" i="1"/>
  <c r="P673" i="1" s="1"/>
  <c r="M673" i="1"/>
  <c r="O677" i="1"/>
  <c r="P677" i="1" s="1"/>
  <c r="M677" i="1"/>
  <c r="M695" i="1"/>
  <c r="O695" i="1"/>
  <c r="P695" i="1" s="1"/>
  <c r="O703" i="1"/>
  <c r="P703" i="1" s="1"/>
  <c r="M703" i="1"/>
  <c r="O707" i="1"/>
  <c r="P707" i="1" s="1"/>
  <c r="M707" i="1"/>
  <c r="O717" i="1"/>
  <c r="P717" i="1" s="1"/>
  <c r="M717" i="1"/>
  <c r="O10" i="5"/>
  <c r="P10" i="5" s="1"/>
  <c r="M10" i="5"/>
  <c r="O20" i="5"/>
  <c r="P20" i="5" s="1"/>
  <c r="M20" i="5"/>
  <c r="O25" i="5"/>
  <c r="P25" i="5" s="1"/>
  <c r="M25" i="5"/>
  <c r="O31" i="5"/>
  <c r="P31" i="5" s="1"/>
  <c r="M31" i="5"/>
  <c r="O39" i="5"/>
  <c r="P39" i="5" s="1"/>
  <c r="M39" i="5"/>
  <c r="O44" i="5"/>
  <c r="P44" i="5" s="1"/>
  <c r="M44" i="5"/>
  <c r="M50" i="5"/>
  <c r="O50" i="5"/>
  <c r="P50" i="5" s="1"/>
  <c r="M56" i="5"/>
  <c r="O56" i="5"/>
  <c r="P56" i="5" s="1"/>
  <c r="O62" i="5"/>
  <c r="P62" i="5" s="1"/>
  <c r="M62" i="5"/>
  <c r="O71" i="5"/>
  <c r="P71" i="5" s="1"/>
  <c r="M71" i="5"/>
  <c r="M75" i="5"/>
  <c r="O75" i="5"/>
  <c r="P75" i="5" s="1"/>
  <c r="O82" i="5"/>
  <c r="P82" i="5" s="1"/>
  <c r="M82" i="5"/>
  <c r="O86" i="5"/>
  <c r="P86" i="5" s="1"/>
  <c r="M86" i="5"/>
  <c r="M91" i="5"/>
  <c r="O91" i="5"/>
  <c r="P91" i="5" s="1"/>
  <c r="M96" i="5"/>
  <c r="O96" i="5"/>
  <c r="P96" i="5" s="1"/>
  <c r="O100" i="5"/>
  <c r="P100" i="5" s="1"/>
  <c r="M100" i="5"/>
  <c r="O105" i="5"/>
  <c r="P105" i="5" s="1"/>
  <c r="M105" i="5"/>
  <c r="O111" i="5"/>
  <c r="P111" i="5" s="1"/>
  <c r="M111" i="5"/>
  <c r="O116" i="5"/>
  <c r="P116" i="5" s="1"/>
  <c r="M116" i="5"/>
  <c r="P121" i="5"/>
  <c r="O122" i="5"/>
  <c r="P122" i="5" s="1"/>
  <c r="M122" i="5"/>
  <c r="O127" i="5"/>
  <c r="P127" i="5" s="1"/>
  <c r="M127" i="5"/>
  <c r="M132" i="5"/>
  <c r="O132" i="5"/>
  <c r="P132" i="5" s="1"/>
  <c r="O138" i="5"/>
  <c r="P138" i="5" s="1"/>
  <c r="M138" i="5"/>
  <c r="M144" i="5"/>
  <c r="O144" i="5"/>
  <c r="P144" i="5" s="1"/>
  <c r="O150" i="5"/>
  <c r="P150" i="5" s="1"/>
  <c r="M150" i="5"/>
  <c r="M155" i="5"/>
  <c r="O155" i="5"/>
  <c r="P155" i="5" s="1"/>
  <c r="O161" i="5"/>
  <c r="P161" i="5" s="1"/>
  <c r="M161" i="5"/>
  <c r="P165" i="5"/>
  <c r="O166" i="5"/>
  <c r="P166" i="5" s="1"/>
  <c r="M166" i="5"/>
  <c r="O171" i="5"/>
  <c r="P171" i="5" s="1"/>
  <c r="M171" i="5"/>
  <c r="O178" i="5"/>
  <c r="P178" i="5" s="1"/>
  <c r="M178" i="5"/>
  <c r="M183" i="5"/>
  <c r="O183" i="5"/>
  <c r="P183" i="5" s="1"/>
  <c r="M202" i="5"/>
  <c r="O202" i="5"/>
  <c r="P202" i="5" s="1"/>
  <c r="O207" i="5"/>
  <c r="P207" i="5" s="1"/>
  <c r="M207" i="5"/>
  <c r="M211" i="5"/>
  <c r="O211" i="5"/>
  <c r="P211" i="5" s="1"/>
  <c r="M216" i="5"/>
  <c r="O216" i="5"/>
  <c r="P216" i="5" s="1"/>
  <c r="M222" i="5"/>
  <c r="O222" i="5"/>
  <c r="P222" i="5" s="1"/>
  <c r="M228" i="5"/>
  <c r="O228" i="5"/>
  <c r="P228" i="5" s="1"/>
  <c r="O236" i="5"/>
  <c r="P236" i="5" s="1"/>
  <c r="M236" i="5"/>
  <c r="M264" i="5"/>
  <c r="O264" i="5"/>
  <c r="P264" i="5" s="1"/>
  <c r="O268" i="5"/>
  <c r="P268" i="5" s="1"/>
  <c r="M268" i="5"/>
  <c r="O272" i="5"/>
  <c r="P272" i="5" s="1"/>
  <c r="M272" i="5"/>
  <c r="O276" i="5"/>
  <c r="P276" i="5" s="1"/>
  <c r="M276" i="5"/>
  <c r="M280" i="5"/>
  <c r="O280" i="5"/>
  <c r="P280" i="5" s="1"/>
  <c r="O284" i="5"/>
  <c r="P284" i="5" s="1"/>
  <c r="M284" i="5"/>
  <c r="M288" i="5"/>
  <c r="O288" i="5"/>
  <c r="P288" i="5" s="1"/>
  <c r="O292" i="5"/>
  <c r="P292" i="5" s="1"/>
  <c r="M292" i="5"/>
  <c r="O296" i="5"/>
  <c r="P296" i="5" s="1"/>
  <c r="M296" i="5"/>
  <c r="O300" i="5"/>
  <c r="P300" i="5" s="1"/>
  <c r="M300" i="5"/>
  <c r="M304" i="5"/>
  <c r="O304" i="5"/>
  <c r="P304" i="5" s="1"/>
  <c r="M308" i="5"/>
  <c r="O308" i="5"/>
  <c r="P308" i="5" s="1"/>
  <c r="O312" i="5"/>
  <c r="P312" i="5" s="1"/>
  <c r="M312" i="5"/>
  <c r="O316" i="5"/>
  <c r="P316" i="5" s="1"/>
  <c r="M316" i="5"/>
  <c r="M320" i="5"/>
  <c r="O320" i="5"/>
  <c r="P320" i="5" s="1"/>
  <c r="O324" i="5"/>
  <c r="P324" i="5" s="1"/>
  <c r="M324" i="5"/>
  <c r="O328" i="5"/>
  <c r="P328" i="5" s="1"/>
  <c r="M328" i="5"/>
  <c r="O332" i="5"/>
  <c r="P332" i="5" s="1"/>
  <c r="M332" i="5"/>
  <c r="O336" i="5"/>
  <c r="P336" i="5" s="1"/>
  <c r="M336" i="5"/>
  <c r="M341" i="5"/>
  <c r="O341" i="5"/>
  <c r="P341" i="5" s="1"/>
  <c r="M349" i="5"/>
  <c r="O349" i="5"/>
  <c r="P349" i="5" s="1"/>
  <c r="O353" i="5"/>
  <c r="P353" i="5" s="1"/>
  <c r="M353" i="5"/>
  <c r="O357" i="5"/>
  <c r="P357" i="5" s="1"/>
  <c r="M357" i="5"/>
  <c r="M361" i="5"/>
  <c r="O361" i="5"/>
  <c r="P361" i="5" s="1"/>
  <c r="O365" i="5"/>
  <c r="P365" i="5" s="1"/>
  <c r="M365" i="5"/>
  <c r="O369" i="5"/>
  <c r="P369" i="5" s="1"/>
  <c r="M369" i="5"/>
  <c r="O373" i="5"/>
  <c r="P373" i="5" s="1"/>
  <c r="M373" i="5"/>
  <c r="O377" i="5"/>
  <c r="P377" i="5" s="1"/>
  <c r="M377" i="5"/>
  <c r="M381" i="5"/>
  <c r="O381" i="5"/>
  <c r="P381" i="5" s="1"/>
  <c r="O385" i="5"/>
  <c r="P385" i="5" s="1"/>
  <c r="M385" i="5"/>
  <c r="M389" i="5"/>
  <c r="O389" i="5"/>
  <c r="P389" i="5" s="1"/>
  <c r="O393" i="5"/>
  <c r="P393" i="5" s="1"/>
  <c r="M393" i="5"/>
  <c r="O397" i="5"/>
  <c r="P397" i="5" s="1"/>
  <c r="M397" i="5"/>
  <c r="O401" i="5"/>
  <c r="P401" i="5" s="1"/>
  <c r="M401" i="5"/>
  <c r="O405" i="5"/>
  <c r="P405" i="5" s="1"/>
  <c r="M405" i="5"/>
  <c r="O411" i="5"/>
  <c r="P411" i="5" s="1"/>
  <c r="M411" i="5"/>
  <c r="O415" i="5"/>
  <c r="P415" i="5" s="1"/>
  <c r="M415" i="5"/>
  <c r="O419" i="5"/>
  <c r="P419" i="5" s="1"/>
  <c r="M419" i="5"/>
  <c r="M426" i="5"/>
  <c r="O426" i="5"/>
  <c r="P426" i="5" s="1"/>
  <c r="M432" i="5"/>
  <c r="O432" i="5"/>
  <c r="P432" i="5" s="1"/>
  <c r="M436" i="5"/>
  <c r="O436" i="5"/>
  <c r="P436" i="5" s="1"/>
  <c r="O440" i="5"/>
  <c r="P440" i="5" s="1"/>
  <c r="M440" i="5"/>
  <c r="M449" i="5"/>
  <c r="O449" i="5"/>
  <c r="P449" i="5" s="1"/>
  <c r="O454" i="5"/>
  <c r="P454" i="5" s="1"/>
  <c r="M454" i="5"/>
  <c r="O458" i="5"/>
  <c r="P458" i="5" s="1"/>
  <c r="M458" i="5"/>
  <c r="O471" i="5"/>
  <c r="P471" i="5" s="1"/>
  <c r="M471" i="5"/>
  <c r="O477" i="5"/>
  <c r="P477" i="5" s="1"/>
  <c r="M477" i="5"/>
  <c r="M482" i="5"/>
  <c r="O482" i="5"/>
  <c r="P482" i="5" s="1"/>
  <c r="M488" i="5"/>
  <c r="O488" i="5"/>
  <c r="P488" i="5" s="1"/>
  <c r="O514" i="5"/>
  <c r="P514" i="5" s="1"/>
  <c r="M514" i="5"/>
  <c r="M518" i="5"/>
  <c r="O518" i="5"/>
  <c r="P518" i="5" s="1"/>
  <c r="O522" i="5"/>
  <c r="P522" i="5" s="1"/>
  <c r="M522" i="5"/>
  <c r="O542" i="5"/>
  <c r="P542" i="5" s="1"/>
  <c r="M542" i="5"/>
  <c r="O546" i="5"/>
  <c r="P546" i="5" s="1"/>
  <c r="M546" i="5"/>
  <c r="O551" i="5"/>
  <c r="P551" i="5" s="1"/>
  <c r="M551" i="5"/>
  <c r="O555" i="5"/>
  <c r="P555" i="5" s="1"/>
  <c r="M555" i="5"/>
  <c r="M560" i="5"/>
  <c r="O560" i="5"/>
  <c r="P560" i="5" s="1"/>
  <c r="O564" i="5"/>
  <c r="P564" i="5" s="1"/>
  <c r="M564" i="5"/>
  <c r="M568" i="5"/>
  <c r="O568" i="5"/>
  <c r="P568" i="5" s="1"/>
  <c r="O574" i="5"/>
  <c r="P574" i="5" s="1"/>
  <c r="M574" i="5"/>
  <c r="O578" i="5"/>
  <c r="P578" i="5" s="1"/>
  <c r="M578" i="5"/>
  <c r="O582" i="5"/>
  <c r="P582" i="5" s="1"/>
  <c r="M582" i="5"/>
  <c r="O586" i="5"/>
  <c r="P586" i="5" s="1"/>
  <c r="M586" i="5"/>
  <c r="M590" i="5"/>
  <c r="O590" i="5"/>
  <c r="P590" i="5" s="1"/>
  <c r="O594" i="5"/>
  <c r="P594" i="5" s="1"/>
  <c r="M594" i="5"/>
  <c r="M598" i="5"/>
  <c r="O598" i="5"/>
  <c r="P598" i="5" s="1"/>
  <c r="M602" i="5"/>
  <c r="O602" i="5"/>
  <c r="P602" i="5" s="1"/>
  <c r="M606" i="5"/>
  <c r="O606" i="5"/>
  <c r="P606" i="5" s="1"/>
  <c r="M610" i="5"/>
  <c r="O610" i="5"/>
  <c r="P610" i="5" s="1"/>
  <c r="M614" i="5"/>
  <c r="O614" i="5"/>
  <c r="P614" i="5" s="1"/>
  <c r="M622" i="5"/>
  <c r="O622" i="5"/>
  <c r="P622" i="5" s="1"/>
  <c r="O627" i="5"/>
  <c r="P627" i="5" s="1"/>
  <c r="M627" i="5"/>
  <c r="O634" i="5"/>
  <c r="P634" i="5" s="1"/>
  <c r="M634" i="5"/>
  <c r="O639" i="5"/>
  <c r="P639" i="5" s="1"/>
  <c r="M639" i="5"/>
  <c r="O643" i="5"/>
  <c r="P643" i="5" s="1"/>
  <c r="M643" i="5"/>
  <c r="O647" i="5"/>
  <c r="P647" i="5" s="1"/>
  <c r="M647" i="5"/>
  <c r="M651" i="5"/>
  <c r="O651" i="5"/>
  <c r="P651" i="5" s="1"/>
  <c r="M655" i="5"/>
  <c r="O655" i="5"/>
  <c r="P655" i="5" s="1"/>
  <c r="O659" i="5"/>
  <c r="P659" i="5" s="1"/>
  <c r="M659" i="5"/>
  <c r="O663" i="5"/>
  <c r="P663" i="5" s="1"/>
  <c r="M663" i="5"/>
  <c r="O667" i="5"/>
  <c r="P667" i="5" s="1"/>
  <c r="M667" i="5"/>
  <c r="O671" i="5"/>
  <c r="P671" i="5" s="1"/>
  <c r="M671" i="5"/>
  <c r="O675" i="5"/>
  <c r="P675" i="5" s="1"/>
  <c r="M675" i="5"/>
  <c r="M679" i="5"/>
  <c r="O679" i="5"/>
  <c r="P679" i="5" s="1"/>
  <c r="O701" i="5"/>
  <c r="P701" i="5" s="1"/>
  <c r="M701" i="5"/>
  <c r="O705" i="5"/>
  <c r="P705" i="5" s="1"/>
  <c r="M705" i="5"/>
  <c r="O709" i="5"/>
  <c r="P709" i="5" s="1"/>
  <c r="M709" i="5"/>
  <c r="O6" i="7"/>
  <c r="P6" i="7" s="1"/>
  <c r="M6" i="7"/>
  <c r="M16" i="7"/>
  <c r="O16" i="7"/>
  <c r="P16" i="7" s="1"/>
  <c r="M20" i="7"/>
  <c r="O20" i="7"/>
  <c r="P20" i="7" s="1"/>
  <c r="M24" i="7"/>
  <c r="O24" i="7"/>
  <c r="P24" i="7" s="1"/>
  <c r="M28" i="7"/>
  <c r="O28" i="7"/>
  <c r="P28" i="7" s="1"/>
  <c r="O32" i="7"/>
  <c r="P32" i="7" s="1"/>
  <c r="M32" i="7"/>
  <c r="O36" i="7"/>
  <c r="P36" i="7" s="1"/>
  <c r="M36" i="7"/>
  <c r="M41" i="7"/>
  <c r="O41" i="7"/>
  <c r="P41" i="7" s="1"/>
  <c r="O45" i="7"/>
  <c r="P45" i="7" s="1"/>
  <c r="M45" i="7"/>
  <c r="O49" i="7"/>
  <c r="P49" i="7" s="1"/>
  <c r="M49" i="7"/>
  <c r="M53" i="7"/>
  <c r="O53" i="7"/>
  <c r="P53" i="7" s="1"/>
  <c r="O59" i="7"/>
  <c r="P59" i="7" s="1"/>
  <c r="M59" i="7"/>
  <c r="M65" i="7"/>
  <c r="O65" i="7"/>
  <c r="P65" i="7" s="1"/>
  <c r="O71" i="7"/>
  <c r="P71" i="7" s="1"/>
  <c r="M71" i="7"/>
  <c r="O75" i="7"/>
  <c r="P75" i="7" s="1"/>
  <c r="M75" i="7"/>
  <c r="M81" i="7"/>
  <c r="O81" i="7"/>
  <c r="P81" i="7" s="1"/>
  <c r="O85" i="7"/>
  <c r="P85" i="7" s="1"/>
  <c r="M85" i="7"/>
  <c r="O89" i="7"/>
  <c r="P89" i="7" s="1"/>
  <c r="M89" i="7"/>
  <c r="O93" i="7"/>
  <c r="P93" i="7" s="1"/>
  <c r="M93" i="7"/>
  <c r="M98" i="7"/>
  <c r="O98" i="7"/>
  <c r="P98" i="7" s="1"/>
  <c r="O103" i="7"/>
  <c r="P103" i="7" s="1"/>
  <c r="M103" i="7"/>
  <c r="M107" i="7"/>
  <c r="O107" i="7"/>
  <c r="P107" i="7" s="1"/>
  <c r="O113" i="7"/>
  <c r="P113" i="7" s="1"/>
  <c r="M113" i="7"/>
  <c r="M117" i="7"/>
  <c r="O117" i="7"/>
  <c r="P117" i="7" s="1"/>
  <c r="M121" i="7"/>
  <c r="O121" i="7"/>
  <c r="P121" i="7" s="1"/>
  <c r="O125" i="7"/>
  <c r="P125" i="7" s="1"/>
  <c r="M125" i="7"/>
  <c r="O129" i="7"/>
  <c r="P129" i="7" s="1"/>
  <c r="M129" i="7"/>
  <c r="O135" i="7"/>
  <c r="P135" i="7" s="1"/>
  <c r="M135" i="7"/>
  <c r="M140" i="7"/>
  <c r="O140" i="7"/>
  <c r="P140" i="7" s="1"/>
  <c r="O145" i="7"/>
  <c r="P145" i="7" s="1"/>
  <c r="M145" i="7"/>
  <c r="M151" i="7"/>
  <c r="O151" i="7"/>
  <c r="P151" i="7" s="1"/>
  <c r="O156" i="7"/>
  <c r="P156" i="7" s="1"/>
  <c r="M156" i="7"/>
  <c r="O160" i="7"/>
  <c r="P160" i="7" s="1"/>
  <c r="M160" i="7"/>
  <c r="M164" i="7"/>
  <c r="O164" i="7"/>
  <c r="P164" i="7" s="1"/>
  <c r="O168" i="7"/>
  <c r="P168" i="7" s="1"/>
  <c r="M168" i="7"/>
  <c r="O174" i="7"/>
  <c r="P174" i="7" s="1"/>
  <c r="M174" i="7"/>
  <c r="O181" i="7"/>
  <c r="P181" i="7" s="1"/>
  <c r="M181" i="7"/>
  <c r="O185" i="7"/>
  <c r="P185" i="7" s="1"/>
  <c r="M185" i="7"/>
  <c r="M190" i="7"/>
  <c r="O190" i="7"/>
  <c r="P190" i="7" s="1"/>
  <c r="O194" i="7"/>
  <c r="P194" i="7" s="1"/>
  <c r="M194" i="7"/>
  <c r="O198" i="7"/>
  <c r="P198" i="7" s="1"/>
  <c r="M198" i="7"/>
  <c r="O202" i="7"/>
  <c r="P202" i="7" s="1"/>
  <c r="M202" i="7"/>
  <c r="O207" i="7"/>
  <c r="P207" i="7" s="1"/>
  <c r="M207" i="7"/>
  <c r="O211" i="7"/>
  <c r="P211" i="7" s="1"/>
  <c r="M211" i="7"/>
  <c r="O216" i="7"/>
  <c r="P216" i="7" s="1"/>
  <c r="M216" i="7"/>
  <c r="M222" i="7"/>
  <c r="O222" i="7"/>
  <c r="P222" i="7" s="1"/>
  <c r="O228" i="7"/>
  <c r="P228" i="7" s="1"/>
  <c r="M228" i="7"/>
  <c r="O236" i="7"/>
  <c r="P236" i="7" s="1"/>
  <c r="M236" i="7"/>
  <c r="M262" i="7"/>
  <c r="O262" i="7"/>
  <c r="P262" i="7" s="1"/>
  <c r="M266" i="7"/>
  <c r="O266" i="7"/>
  <c r="P266" i="7" s="1"/>
  <c r="O270" i="7"/>
  <c r="P270" i="7" s="1"/>
  <c r="M270" i="7"/>
  <c r="O274" i="7"/>
  <c r="P274" i="7" s="1"/>
  <c r="M274" i="7"/>
  <c r="O278" i="7"/>
  <c r="P278" i="7" s="1"/>
  <c r="M278" i="7"/>
  <c r="O282" i="7"/>
  <c r="P282" i="7" s="1"/>
  <c r="M282" i="7"/>
  <c r="O286" i="7"/>
  <c r="P286" i="7" s="1"/>
  <c r="M286" i="7"/>
  <c r="M290" i="7"/>
  <c r="O290" i="7"/>
  <c r="P290" i="7" s="1"/>
  <c r="O294" i="7"/>
  <c r="P294" i="7" s="1"/>
  <c r="M294" i="7"/>
  <c r="O298" i="7"/>
  <c r="P298" i="7" s="1"/>
  <c r="M298" i="7"/>
  <c r="O302" i="7"/>
  <c r="P302" i="7" s="1"/>
  <c r="M302" i="7"/>
  <c r="M306" i="7"/>
  <c r="O306" i="7"/>
  <c r="P306" i="7" s="1"/>
  <c r="M310" i="7"/>
  <c r="O310" i="7"/>
  <c r="P310" i="7" s="1"/>
  <c r="M314" i="7"/>
  <c r="O314" i="7"/>
  <c r="P314" i="7" s="1"/>
  <c r="M318" i="7"/>
  <c r="O318" i="7"/>
  <c r="P318" i="7" s="1"/>
  <c r="O322" i="7"/>
  <c r="P322" i="7" s="1"/>
  <c r="M322" i="7"/>
  <c r="O326" i="7"/>
  <c r="P326" i="7" s="1"/>
  <c r="M326" i="7"/>
  <c r="M330" i="7"/>
  <c r="O330" i="7"/>
  <c r="P330" i="7" s="1"/>
  <c r="O334" i="7"/>
  <c r="P334" i="7" s="1"/>
  <c r="M334" i="7"/>
  <c r="M339" i="7"/>
  <c r="O339" i="7"/>
  <c r="P339" i="7" s="1"/>
  <c r="O345" i="7"/>
  <c r="P345" i="7" s="1"/>
  <c r="M345" i="7"/>
  <c r="O349" i="7"/>
  <c r="P349" i="7" s="1"/>
  <c r="M349" i="7"/>
  <c r="O353" i="7"/>
  <c r="P353" i="7" s="1"/>
  <c r="M353" i="7"/>
  <c r="O357" i="7"/>
  <c r="P357" i="7" s="1"/>
  <c r="M357" i="7"/>
  <c r="M361" i="7"/>
  <c r="O361" i="7"/>
  <c r="P361" i="7" s="1"/>
  <c r="O365" i="7"/>
  <c r="P365" i="7" s="1"/>
  <c r="M365" i="7"/>
  <c r="O369" i="7"/>
  <c r="P369" i="7" s="1"/>
  <c r="M369" i="7"/>
  <c r="O373" i="7"/>
  <c r="P373" i="7" s="1"/>
  <c r="M373" i="7"/>
  <c r="M377" i="7"/>
  <c r="O377" i="7"/>
  <c r="P377" i="7" s="1"/>
  <c r="M381" i="7"/>
  <c r="O381" i="7"/>
  <c r="P381" i="7" s="1"/>
  <c r="M385" i="7"/>
  <c r="O385" i="7"/>
  <c r="P385" i="7" s="1"/>
  <c r="M389" i="7"/>
  <c r="O389" i="7"/>
  <c r="P389" i="7" s="1"/>
  <c r="M393" i="7"/>
  <c r="O393" i="7"/>
  <c r="P393" i="7" s="1"/>
  <c r="M397" i="7"/>
  <c r="O397" i="7"/>
  <c r="P397" i="7" s="1"/>
  <c r="O401" i="7"/>
  <c r="P401" i="7" s="1"/>
  <c r="M401" i="7"/>
  <c r="O405" i="7"/>
  <c r="P405" i="7" s="1"/>
  <c r="M405" i="7"/>
  <c r="M410" i="7"/>
  <c r="O410" i="7"/>
  <c r="P410" i="7" s="1"/>
  <c r="O414" i="7"/>
  <c r="P414" i="7" s="1"/>
  <c r="M414" i="7"/>
  <c r="M418" i="7"/>
  <c r="O418" i="7"/>
  <c r="P418" i="7" s="1"/>
  <c r="M424" i="7"/>
  <c r="O424" i="7"/>
  <c r="P424" i="7" s="1"/>
  <c r="M431" i="7"/>
  <c r="O431" i="7"/>
  <c r="P431" i="7" s="1"/>
  <c r="M435" i="7"/>
  <c r="O435" i="7"/>
  <c r="P435" i="7" s="1"/>
  <c r="O439" i="7"/>
  <c r="P439" i="7" s="1"/>
  <c r="M439" i="7"/>
  <c r="M448" i="7"/>
  <c r="O448" i="7"/>
  <c r="P448" i="7" s="1"/>
  <c r="O453" i="7"/>
  <c r="P453" i="7" s="1"/>
  <c r="M453" i="7"/>
  <c r="O457" i="7"/>
  <c r="P457" i="7" s="1"/>
  <c r="M457" i="7"/>
  <c r="O465" i="7"/>
  <c r="P465" i="7" s="1"/>
  <c r="M465" i="7"/>
  <c r="M473" i="7"/>
  <c r="O473" i="7"/>
  <c r="P473" i="7" s="1"/>
  <c r="O480" i="7"/>
  <c r="P480" i="7" s="1"/>
  <c r="M480" i="7"/>
  <c r="O486" i="7"/>
  <c r="P486" i="7" s="1"/>
  <c r="M486" i="7"/>
  <c r="O512" i="7"/>
  <c r="P512" i="7" s="1"/>
  <c r="M512" i="7"/>
  <c r="M516" i="7"/>
  <c r="O516" i="7"/>
  <c r="P516" i="7" s="1"/>
  <c r="M520" i="7"/>
  <c r="O520" i="7"/>
  <c r="P520" i="7" s="1"/>
  <c r="O540" i="7"/>
  <c r="P540" i="7" s="1"/>
  <c r="M540" i="7"/>
  <c r="O544" i="7"/>
  <c r="P544" i="7" s="1"/>
  <c r="M544" i="7"/>
  <c r="M548" i="7"/>
  <c r="O548" i="7"/>
  <c r="P548" i="7" s="1"/>
  <c r="O553" i="7"/>
  <c r="P553" i="7" s="1"/>
  <c r="M553" i="7"/>
  <c r="M557" i="7"/>
  <c r="O557" i="7"/>
  <c r="P557" i="7" s="1"/>
  <c r="M562" i="7"/>
  <c r="O562" i="7"/>
  <c r="P562" i="7" s="1"/>
  <c r="O566" i="7"/>
  <c r="P566" i="7" s="1"/>
  <c r="M566" i="7"/>
  <c r="M570" i="7"/>
  <c r="O570" i="7"/>
  <c r="P570" i="7" s="1"/>
  <c r="M576" i="7"/>
  <c r="O576" i="7"/>
  <c r="P576" i="7" s="1"/>
  <c r="M580" i="7"/>
  <c r="O580" i="7"/>
  <c r="P580" i="7" s="1"/>
  <c r="O584" i="7"/>
  <c r="P584" i="7" s="1"/>
  <c r="M584" i="7"/>
  <c r="M588" i="7"/>
  <c r="O588" i="7"/>
  <c r="P588" i="7" s="1"/>
  <c r="O592" i="7"/>
  <c r="P592" i="7" s="1"/>
  <c r="M592" i="7"/>
  <c r="O596" i="7"/>
  <c r="P596" i="7" s="1"/>
  <c r="M596" i="7"/>
  <c r="M600" i="7"/>
  <c r="O600" i="7"/>
  <c r="P600" i="7" s="1"/>
  <c r="O604" i="7"/>
  <c r="P604" i="7" s="1"/>
  <c r="M604" i="7"/>
  <c r="O608" i="7"/>
  <c r="P608" i="7" s="1"/>
  <c r="M608" i="7"/>
  <c r="M612" i="7"/>
  <c r="O612" i="7"/>
  <c r="P612" i="7" s="1"/>
  <c r="M618" i="7"/>
  <c r="O618" i="7"/>
  <c r="P618" i="7" s="1"/>
  <c r="M624" i="7"/>
  <c r="O624" i="7"/>
  <c r="P624" i="7" s="1"/>
  <c r="M629" i="7"/>
  <c r="O629" i="7"/>
  <c r="P629" i="7" s="1"/>
  <c r="O637" i="7"/>
  <c r="P637" i="7" s="1"/>
  <c r="M637" i="7"/>
  <c r="O641" i="7"/>
  <c r="P641" i="7" s="1"/>
  <c r="M641" i="7"/>
  <c r="O645" i="7"/>
  <c r="P645" i="7" s="1"/>
  <c r="M645" i="7"/>
  <c r="M649" i="7"/>
  <c r="O649" i="7"/>
  <c r="P649" i="7" s="1"/>
  <c r="M653" i="7"/>
  <c r="O653" i="7"/>
  <c r="P653" i="7" s="1"/>
  <c r="M657" i="7"/>
  <c r="O657" i="7"/>
  <c r="P657" i="7" s="1"/>
  <c r="O661" i="7"/>
  <c r="P661" i="7" s="1"/>
  <c r="M661" i="7"/>
  <c r="O665" i="7"/>
  <c r="P665" i="7" s="1"/>
  <c r="M665" i="7"/>
  <c r="O669" i="7"/>
  <c r="P669" i="7" s="1"/>
  <c r="M669" i="7"/>
  <c r="M673" i="7"/>
  <c r="O673" i="7"/>
  <c r="P673" i="7" s="1"/>
  <c r="O677" i="7"/>
  <c r="P677" i="7" s="1"/>
  <c r="M677" i="7"/>
  <c r="O695" i="7"/>
  <c r="P695" i="7" s="1"/>
  <c r="M695" i="7"/>
  <c r="O703" i="7"/>
  <c r="P703" i="7" s="1"/>
  <c r="M703" i="7"/>
  <c r="O707" i="7"/>
  <c r="P707" i="7" s="1"/>
  <c r="M707" i="7"/>
  <c r="M717" i="7"/>
  <c r="O717" i="7"/>
  <c r="P717" i="7" s="1"/>
  <c r="O10" i="9"/>
  <c r="Q10" i="9"/>
  <c r="R10" i="9" s="1"/>
  <c r="O18" i="9"/>
  <c r="Q18" i="9"/>
  <c r="R18" i="9" s="1"/>
  <c r="O22" i="9"/>
  <c r="Q22" i="9"/>
  <c r="R22" i="9" s="1"/>
  <c r="O26" i="9"/>
  <c r="Q26" i="9"/>
  <c r="R26" i="9" s="1"/>
  <c r="Q30" i="9"/>
  <c r="R30" i="9" s="1"/>
  <c r="O30" i="9"/>
  <c r="O34" i="9"/>
  <c r="Q34" i="9"/>
  <c r="R34" i="9" s="1"/>
  <c r="O39" i="9"/>
  <c r="Q39" i="9"/>
  <c r="R39" i="9" s="1"/>
  <c r="Q43" i="9"/>
  <c r="R43" i="9" s="1"/>
  <c r="O43" i="9"/>
  <c r="Q47" i="9"/>
  <c r="R47" i="9" s="1"/>
  <c r="O47" i="9"/>
  <c r="O51" i="9"/>
  <c r="Q51" i="9"/>
  <c r="R51" i="9" s="1"/>
  <c r="Q56" i="9"/>
  <c r="R56" i="9" s="1"/>
  <c r="O56" i="9"/>
  <c r="Q62" i="9"/>
  <c r="R62" i="9" s="1"/>
  <c r="O62" i="9"/>
  <c r="O69" i="9"/>
  <c r="Q69" i="9"/>
  <c r="R69" i="9" s="1"/>
  <c r="O73" i="9"/>
  <c r="Q73" i="9"/>
  <c r="R73" i="9" s="1"/>
  <c r="O77" i="9"/>
  <c r="Q77" i="9"/>
  <c r="R77" i="9" s="1"/>
  <c r="O83" i="9"/>
  <c r="Q83" i="9"/>
  <c r="R83" i="9" s="1"/>
  <c r="O87" i="9"/>
  <c r="Q87" i="9"/>
  <c r="R87" i="9" s="1"/>
  <c r="O91" i="9"/>
  <c r="Q91" i="9"/>
  <c r="R91" i="9" s="1"/>
  <c r="Q96" i="9"/>
  <c r="R96" i="9" s="1"/>
  <c r="O96" i="9"/>
  <c r="Q100" i="9"/>
  <c r="R100" i="9" s="1"/>
  <c r="O100" i="9"/>
  <c r="Q105" i="9"/>
  <c r="R105" i="9" s="1"/>
  <c r="O105" i="9"/>
  <c r="O111" i="9"/>
  <c r="Q111" i="9"/>
  <c r="R111" i="9" s="1"/>
  <c r="O115" i="9"/>
  <c r="Q115" i="9"/>
  <c r="R115" i="9" s="1"/>
  <c r="O119" i="9"/>
  <c r="Q119" i="9"/>
  <c r="R119" i="9" s="1"/>
  <c r="Q123" i="9"/>
  <c r="R123" i="9" s="1"/>
  <c r="O123" i="9"/>
  <c r="O127" i="9"/>
  <c r="Q127" i="9"/>
  <c r="R127" i="9" s="1"/>
  <c r="O132" i="9"/>
  <c r="Q132" i="9"/>
  <c r="R132" i="9" s="1"/>
  <c r="O137" i="9"/>
  <c r="Q137" i="9"/>
  <c r="R137" i="9" s="1"/>
  <c r="O143" i="9"/>
  <c r="Q143" i="9"/>
  <c r="R143" i="9" s="1"/>
  <c r="O148" i="9"/>
  <c r="Q148" i="9"/>
  <c r="R148" i="9" s="1"/>
  <c r="O153" i="9"/>
  <c r="Q153" i="9"/>
  <c r="R153" i="9" s="1"/>
  <c r="Q158" i="9"/>
  <c r="R158" i="9" s="1"/>
  <c r="O158" i="9"/>
  <c r="O162" i="9"/>
  <c r="Q162" i="9"/>
  <c r="R162" i="9" s="1"/>
  <c r="Q166" i="9"/>
  <c r="R166" i="9" s="1"/>
  <c r="O166" i="9"/>
  <c r="O171" i="9"/>
  <c r="Q171" i="9"/>
  <c r="R171" i="9" s="1"/>
  <c r="O178" i="9"/>
  <c r="Q178" i="9"/>
  <c r="R178" i="9" s="1"/>
  <c r="O183" i="9"/>
  <c r="Q183" i="9"/>
  <c r="R183" i="9" s="1"/>
  <c r="O187" i="9"/>
  <c r="Q187" i="9"/>
  <c r="R187" i="9" s="1"/>
  <c r="O192" i="9"/>
  <c r="Q192" i="9"/>
  <c r="R192" i="9" s="1"/>
  <c r="Q196" i="9"/>
  <c r="R196" i="9" s="1"/>
  <c r="O196" i="9"/>
  <c r="Q200" i="9"/>
  <c r="R200" i="9" s="1"/>
  <c r="O200" i="9"/>
  <c r="O204" i="9"/>
  <c r="Q204" i="9"/>
  <c r="R204" i="9" s="1"/>
  <c r="O209" i="9"/>
  <c r="Q209" i="9"/>
  <c r="R209" i="9" s="1"/>
  <c r="O214" i="9"/>
  <c r="Q214" i="9"/>
  <c r="R214" i="9" s="1"/>
  <c r="O219" i="9"/>
  <c r="Q219" i="9"/>
  <c r="R219" i="9" s="1"/>
  <c r="Q226" i="9"/>
  <c r="R226" i="9" s="1"/>
  <c r="O226" i="9"/>
  <c r="Q230" i="9"/>
  <c r="R230" i="9" s="1"/>
  <c r="O230" i="9"/>
  <c r="Q244" i="9"/>
  <c r="R244" i="9" s="1"/>
  <c r="O244" i="9"/>
  <c r="Q264" i="9"/>
  <c r="R264" i="9" s="1"/>
  <c r="O264" i="9"/>
  <c r="O268" i="9"/>
  <c r="Q268" i="9"/>
  <c r="R268" i="9" s="1"/>
  <c r="O272" i="9"/>
  <c r="Q272" i="9"/>
  <c r="R272" i="9" s="1"/>
  <c r="Q276" i="9"/>
  <c r="R276" i="9" s="1"/>
  <c r="O276" i="9"/>
  <c r="Q280" i="9"/>
  <c r="R280" i="9" s="1"/>
  <c r="O280" i="9"/>
  <c r="Q284" i="9"/>
  <c r="R284" i="9" s="1"/>
  <c r="O284" i="9"/>
  <c r="O288" i="9"/>
  <c r="Q288" i="9"/>
  <c r="R288" i="9" s="1"/>
  <c r="O292" i="9"/>
  <c r="Q292" i="9"/>
  <c r="R292" i="9" s="1"/>
  <c r="Q296" i="9"/>
  <c r="R296" i="9" s="1"/>
  <c r="O296" i="9"/>
  <c r="O300" i="9"/>
  <c r="Q300" i="9"/>
  <c r="R300" i="9" s="1"/>
  <c r="Q304" i="9"/>
  <c r="R304" i="9" s="1"/>
  <c r="O304" i="9"/>
  <c r="Q308" i="9"/>
  <c r="R308" i="9" s="1"/>
  <c r="O308" i="9"/>
  <c r="Q312" i="9"/>
  <c r="R312" i="9" s="1"/>
  <c r="O312" i="9"/>
  <c r="O316" i="9"/>
  <c r="Q316" i="9"/>
  <c r="R316" i="9" s="1"/>
  <c r="Q320" i="9"/>
  <c r="R320" i="9" s="1"/>
  <c r="O320" i="9"/>
  <c r="Q324" i="9"/>
  <c r="R324" i="9" s="1"/>
  <c r="O324" i="9"/>
  <c r="Q328" i="9"/>
  <c r="R328" i="9" s="1"/>
  <c r="O328" i="9"/>
  <c r="Q332" i="9"/>
  <c r="R332" i="9" s="1"/>
  <c r="O332" i="9"/>
  <c r="O336" i="9"/>
  <c r="Q336" i="9"/>
  <c r="R336" i="9" s="1"/>
  <c r="O341" i="9"/>
  <c r="Q341" i="9"/>
  <c r="R341" i="9" s="1"/>
  <c r="O347" i="9"/>
  <c r="Q347" i="9"/>
  <c r="R347" i="9" s="1"/>
  <c r="O351" i="9"/>
  <c r="Q351" i="9"/>
  <c r="R351" i="9" s="1"/>
  <c r="O355" i="9"/>
  <c r="Q355" i="9"/>
  <c r="R355" i="9" s="1"/>
  <c r="O359" i="9"/>
  <c r="Q359" i="9"/>
  <c r="R359" i="9" s="1"/>
  <c r="O363" i="9"/>
  <c r="Q363" i="9"/>
  <c r="R363" i="9" s="1"/>
  <c r="O367" i="9"/>
  <c r="Q367" i="9"/>
  <c r="R367" i="9" s="1"/>
  <c r="O371" i="9"/>
  <c r="Q371" i="9"/>
  <c r="R371" i="9" s="1"/>
  <c r="O375" i="9"/>
  <c r="Q375" i="9"/>
  <c r="R375" i="9" s="1"/>
  <c r="O379" i="9"/>
  <c r="Q379" i="9"/>
  <c r="R379" i="9" s="1"/>
  <c r="O383" i="9"/>
  <c r="Q383" i="9"/>
  <c r="R383" i="9" s="1"/>
  <c r="O387" i="9"/>
  <c r="Q387" i="9"/>
  <c r="R387" i="9" s="1"/>
  <c r="O391" i="9"/>
  <c r="Q391" i="9"/>
  <c r="R391" i="9" s="1"/>
  <c r="O395" i="9"/>
  <c r="Q395" i="9"/>
  <c r="R395" i="9" s="1"/>
  <c r="O399" i="9"/>
  <c r="Q399" i="9"/>
  <c r="R399" i="9" s="1"/>
  <c r="O403" i="9"/>
  <c r="Q403" i="9"/>
  <c r="R403" i="9" s="1"/>
  <c r="O408" i="9"/>
  <c r="Q408" i="9"/>
  <c r="R408" i="9" s="1"/>
  <c r="Q413" i="9"/>
  <c r="R413" i="9" s="1"/>
  <c r="O413" i="9"/>
  <c r="O417" i="9"/>
  <c r="Q417" i="9"/>
  <c r="R417" i="9" s="1"/>
  <c r="Q422" i="9"/>
  <c r="R422" i="9" s="1"/>
  <c r="O422" i="9"/>
  <c r="Q428" i="9"/>
  <c r="R428" i="9" s="1"/>
  <c r="O428" i="9"/>
  <c r="O434" i="9"/>
  <c r="Q434" i="9"/>
  <c r="R434" i="9" s="1"/>
  <c r="Q438" i="9"/>
  <c r="R438" i="9" s="1"/>
  <c r="O438" i="9"/>
  <c r="O442" i="9"/>
  <c r="Q442" i="9"/>
  <c r="R442" i="9" s="1"/>
  <c r="O452" i="9"/>
  <c r="Q452" i="9"/>
  <c r="R452" i="9" s="1"/>
  <c r="O456" i="9"/>
  <c r="Q456" i="9"/>
  <c r="R456" i="9" s="1"/>
  <c r="Q465" i="9"/>
  <c r="R465" i="9" s="1"/>
  <c r="O465" i="9"/>
  <c r="O473" i="9"/>
  <c r="Q473" i="9"/>
  <c r="R473" i="9" s="1"/>
  <c r="Q480" i="9"/>
  <c r="R480" i="9" s="1"/>
  <c r="O480" i="9"/>
  <c r="O486" i="9"/>
  <c r="Q486" i="9"/>
  <c r="R486" i="9" s="1"/>
  <c r="Q512" i="9"/>
  <c r="R512" i="9" s="1"/>
  <c r="O512" i="9"/>
  <c r="O516" i="9"/>
  <c r="Q516" i="9"/>
  <c r="R516" i="9" s="1"/>
  <c r="Q520" i="9"/>
  <c r="R520" i="9" s="1"/>
  <c r="O520" i="9"/>
  <c r="Q540" i="9"/>
  <c r="R540" i="9" s="1"/>
  <c r="O540" i="9"/>
  <c r="Q544" i="9"/>
  <c r="R544" i="9" s="1"/>
  <c r="O544" i="9"/>
  <c r="Q548" i="9"/>
  <c r="R548" i="9" s="1"/>
  <c r="O548" i="9"/>
  <c r="O553" i="9"/>
  <c r="Q553" i="9"/>
  <c r="R553" i="9" s="1"/>
  <c r="O557" i="9"/>
  <c r="Q557" i="9"/>
  <c r="R557" i="9" s="1"/>
  <c r="O562" i="9"/>
  <c r="Q562" i="9"/>
  <c r="R562" i="9" s="1"/>
  <c r="Q566" i="9"/>
  <c r="R566" i="9" s="1"/>
  <c r="O566" i="9"/>
  <c r="Q570" i="9"/>
  <c r="R570" i="9" s="1"/>
  <c r="O570" i="9"/>
  <c r="Q576" i="9"/>
  <c r="R576" i="9" s="1"/>
  <c r="O576" i="9"/>
  <c r="O580" i="9"/>
  <c r="Q580" i="9"/>
  <c r="R580" i="9" s="1"/>
  <c r="O584" i="9"/>
  <c r="Q584" i="9"/>
  <c r="R584" i="9" s="1"/>
  <c r="Q588" i="9"/>
  <c r="R588" i="9" s="1"/>
  <c r="O588" i="9"/>
  <c r="Q592" i="9"/>
  <c r="R592" i="9" s="1"/>
  <c r="O592" i="9"/>
  <c r="Q596" i="9"/>
  <c r="R596" i="9" s="1"/>
  <c r="O596" i="9"/>
  <c r="Q600" i="9"/>
  <c r="R600" i="9" s="1"/>
  <c r="O600" i="9"/>
  <c r="O604" i="9"/>
  <c r="Q604" i="9"/>
  <c r="R604" i="9" s="1"/>
  <c r="O608" i="9"/>
  <c r="Q608" i="9"/>
  <c r="R608" i="9" s="1"/>
  <c r="Q612" i="9"/>
  <c r="R612" i="9" s="1"/>
  <c r="O612" i="9"/>
  <c r="Q618" i="9"/>
  <c r="R618" i="9" s="1"/>
  <c r="O618" i="9"/>
  <c r="O624" i="9"/>
  <c r="Q624" i="9"/>
  <c r="R624" i="9" s="1"/>
  <c r="Q629" i="9"/>
  <c r="R629" i="9" s="1"/>
  <c r="O629" i="9"/>
  <c r="Q637" i="9"/>
  <c r="R637" i="9" s="1"/>
  <c r="O637" i="9"/>
  <c r="Q641" i="9"/>
  <c r="R641" i="9" s="1"/>
  <c r="O641" i="9"/>
  <c r="Q645" i="9"/>
  <c r="R645" i="9" s="1"/>
  <c r="O645" i="9"/>
  <c r="Q649" i="9"/>
  <c r="R649" i="9" s="1"/>
  <c r="O649" i="9"/>
  <c r="Q653" i="9"/>
  <c r="R653" i="9" s="1"/>
  <c r="O653" i="9"/>
  <c r="Q657" i="9"/>
  <c r="R657" i="9" s="1"/>
  <c r="O657" i="9"/>
  <c r="Q661" i="9"/>
  <c r="R661" i="9" s="1"/>
  <c r="O661" i="9"/>
  <c r="Q665" i="9"/>
  <c r="R665" i="9" s="1"/>
  <c r="O665" i="9"/>
  <c r="Q669" i="9"/>
  <c r="R669" i="9" s="1"/>
  <c r="O669" i="9"/>
  <c r="Q673" i="9"/>
  <c r="R673" i="9" s="1"/>
  <c r="O673" i="9"/>
  <c r="Q677" i="9"/>
  <c r="R677" i="9" s="1"/>
  <c r="O677" i="9"/>
  <c r="O695" i="9"/>
  <c r="Q695" i="9"/>
  <c r="R695" i="9" s="1"/>
  <c r="O703" i="9"/>
  <c r="Q703" i="9"/>
  <c r="R703" i="9" s="1"/>
  <c r="Q707" i="9"/>
  <c r="R707" i="9" s="1"/>
  <c r="O707" i="9"/>
  <c r="Q717" i="9"/>
  <c r="R717" i="9" s="1"/>
  <c r="O717" i="9"/>
  <c r="S10" i="11"/>
  <c r="T10" i="11" s="1"/>
  <c r="Q10" i="11"/>
  <c r="Q18" i="11"/>
  <c r="S18" i="11"/>
  <c r="T18" i="11" s="1"/>
  <c r="Q22" i="11"/>
  <c r="S22" i="11"/>
  <c r="T22" i="11" s="1"/>
  <c r="Q26" i="11"/>
  <c r="S26" i="11"/>
  <c r="T26" i="11" s="1"/>
  <c r="S30" i="11"/>
  <c r="T30" i="11" s="1"/>
  <c r="Q30" i="11"/>
  <c r="Q34" i="11"/>
  <c r="S34" i="11"/>
  <c r="T34" i="11" s="1"/>
  <c r="Q39" i="11"/>
  <c r="S39" i="11"/>
  <c r="T39" i="11" s="1"/>
  <c r="Q43" i="11"/>
  <c r="S43" i="11"/>
  <c r="T43" i="11" s="1"/>
  <c r="Q47" i="11"/>
  <c r="S47" i="11"/>
  <c r="T47" i="11" s="1"/>
  <c r="S51" i="11"/>
  <c r="T51" i="11" s="1"/>
  <c r="Q51" i="11"/>
  <c r="S56" i="11"/>
  <c r="T56" i="11" s="1"/>
  <c r="Q56" i="11"/>
  <c r="S62" i="11"/>
  <c r="T62" i="11" s="1"/>
  <c r="Q62" i="11"/>
  <c r="Q69" i="11"/>
  <c r="S69" i="11"/>
  <c r="T69" i="11" s="1"/>
  <c r="S73" i="11"/>
  <c r="T73" i="11" s="1"/>
  <c r="Q73" i="11"/>
  <c r="Q77" i="11"/>
  <c r="S77" i="11"/>
  <c r="T77" i="11" s="1"/>
  <c r="Q83" i="11"/>
  <c r="S83" i="11"/>
  <c r="T83" i="11" s="1"/>
  <c r="S87" i="11"/>
  <c r="T87" i="11" s="1"/>
  <c r="Q87" i="11"/>
  <c r="Q91" i="11"/>
  <c r="S91" i="11"/>
  <c r="T91" i="11" s="1"/>
  <c r="S96" i="11"/>
  <c r="T96" i="11" s="1"/>
  <c r="Q96" i="11"/>
  <c r="S100" i="11"/>
  <c r="T100" i="11" s="1"/>
  <c r="Q100" i="11"/>
  <c r="S105" i="11"/>
  <c r="T105" i="11" s="1"/>
  <c r="Q105" i="11"/>
  <c r="Q111" i="11"/>
  <c r="S111" i="11"/>
  <c r="T111" i="11" s="1"/>
  <c r="Q115" i="11"/>
  <c r="S115" i="11"/>
  <c r="T115" i="11" s="1"/>
  <c r="S119" i="11"/>
  <c r="T119" i="11" s="1"/>
  <c r="Q119" i="11"/>
  <c r="S123" i="11"/>
  <c r="T123" i="11" s="1"/>
  <c r="Q123" i="11"/>
  <c r="S127" i="11"/>
  <c r="T127" i="11" s="1"/>
  <c r="Q127" i="11"/>
  <c r="Q132" i="11"/>
  <c r="S132" i="11"/>
  <c r="T132" i="11" s="1"/>
  <c r="Q137" i="11"/>
  <c r="S137" i="11"/>
  <c r="T137" i="11" s="1"/>
  <c r="Q143" i="11"/>
  <c r="S143" i="11"/>
  <c r="T143" i="11" s="1"/>
  <c r="Q148" i="11"/>
  <c r="S148" i="11"/>
  <c r="T148" i="11" s="1"/>
  <c r="Q153" i="11"/>
  <c r="S153" i="11"/>
  <c r="T153" i="11" s="1"/>
  <c r="Q158" i="11"/>
  <c r="S158" i="11"/>
  <c r="T158" i="11" s="1"/>
  <c r="Q162" i="11"/>
  <c r="S162" i="11"/>
  <c r="T162" i="11" s="1"/>
  <c r="Q166" i="11"/>
  <c r="S166" i="11"/>
  <c r="T166" i="11" s="1"/>
  <c r="S171" i="11"/>
  <c r="T171" i="11" s="1"/>
  <c r="Q171" i="11"/>
  <c r="Q178" i="11"/>
  <c r="S178" i="11"/>
  <c r="T178" i="11" s="1"/>
  <c r="Q183" i="11"/>
  <c r="S183" i="11"/>
  <c r="T183" i="11" s="1"/>
  <c r="Q187" i="11"/>
  <c r="S187" i="11"/>
  <c r="T187" i="11" s="1"/>
  <c r="Q192" i="11"/>
  <c r="S192" i="11"/>
  <c r="T192" i="11" s="1"/>
  <c r="Q196" i="11"/>
  <c r="S196" i="11"/>
  <c r="T196" i="11" s="1"/>
  <c r="Q200" i="11"/>
  <c r="S200" i="11"/>
  <c r="T200" i="11" s="1"/>
  <c r="Q204" i="11"/>
  <c r="S204" i="11"/>
  <c r="T204" i="11" s="1"/>
  <c r="S209" i="11"/>
  <c r="T209" i="11" s="1"/>
  <c r="Q209" i="11"/>
  <c r="S214" i="11"/>
  <c r="T214" i="11" s="1"/>
  <c r="Q214" i="11"/>
  <c r="Q219" i="11"/>
  <c r="S219" i="11"/>
  <c r="T219" i="11" s="1"/>
  <c r="Q226" i="11"/>
  <c r="S226" i="11"/>
  <c r="T226" i="11" s="1"/>
  <c r="S230" i="11"/>
  <c r="T230" i="11" s="1"/>
  <c r="Q230" i="11"/>
  <c r="Q244" i="11"/>
  <c r="S244" i="11"/>
  <c r="T244" i="11" s="1"/>
  <c r="Q264" i="11"/>
  <c r="S264" i="11"/>
  <c r="T264" i="11" s="1"/>
  <c r="Q268" i="11"/>
  <c r="S268" i="11"/>
  <c r="T268" i="11" s="1"/>
  <c r="Q272" i="11"/>
  <c r="S272" i="11"/>
  <c r="T272" i="11" s="1"/>
  <c r="S276" i="11"/>
  <c r="T276" i="11" s="1"/>
  <c r="Q276" i="11"/>
  <c r="Q280" i="11"/>
  <c r="S280" i="11"/>
  <c r="T280" i="11" s="1"/>
  <c r="Q284" i="11"/>
  <c r="S284" i="11"/>
  <c r="T284" i="11" s="1"/>
  <c r="Q288" i="11"/>
  <c r="S288" i="11"/>
  <c r="T288" i="11" s="1"/>
  <c r="S292" i="11"/>
  <c r="T292" i="11" s="1"/>
  <c r="Q292" i="11"/>
  <c r="Q296" i="11"/>
  <c r="S296" i="11"/>
  <c r="T296" i="11" s="1"/>
  <c r="Q300" i="11"/>
  <c r="S300" i="11"/>
  <c r="T300" i="11" s="1"/>
  <c r="S304" i="11"/>
  <c r="T304" i="11" s="1"/>
  <c r="Q304" i="11"/>
  <c r="S308" i="11"/>
  <c r="T308" i="11" s="1"/>
  <c r="Q308" i="11"/>
  <c r="Q312" i="11"/>
  <c r="S312" i="11"/>
  <c r="T312" i="11" s="1"/>
  <c r="Q316" i="11"/>
  <c r="S316" i="11"/>
  <c r="T316" i="11" s="1"/>
  <c r="S320" i="11"/>
  <c r="T320" i="11" s="1"/>
  <c r="Q320" i="11"/>
  <c r="Q324" i="11"/>
  <c r="S324" i="11"/>
  <c r="T324" i="11" s="1"/>
  <c r="S328" i="11"/>
  <c r="T328" i="11" s="1"/>
  <c r="Q328" i="11"/>
  <c r="S332" i="11"/>
  <c r="T332" i="11" s="1"/>
  <c r="Q332" i="11"/>
  <c r="S336" i="11"/>
  <c r="T336" i="11" s="1"/>
  <c r="Q336" i="11"/>
  <c r="S341" i="11"/>
  <c r="T341" i="11" s="1"/>
  <c r="Q341" i="11"/>
  <c r="S347" i="11"/>
  <c r="T347" i="11" s="1"/>
  <c r="Q347" i="11"/>
  <c r="S351" i="11"/>
  <c r="T351" i="11" s="1"/>
  <c r="Q351" i="11"/>
  <c r="Q355" i="11"/>
  <c r="S355" i="11"/>
  <c r="T355" i="11" s="1"/>
  <c r="Q359" i="11"/>
  <c r="S359" i="11"/>
  <c r="T359" i="11" s="1"/>
  <c r="Q363" i="11"/>
  <c r="S363" i="11"/>
  <c r="T363" i="11" s="1"/>
  <c r="Q367" i="11"/>
  <c r="S367" i="11"/>
  <c r="T367" i="11" s="1"/>
  <c r="Q371" i="11"/>
  <c r="S371" i="11"/>
  <c r="T371" i="11" s="1"/>
  <c r="Q375" i="11"/>
  <c r="S375" i="11"/>
  <c r="T375" i="11" s="1"/>
  <c r="S379" i="11"/>
  <c r="T379" i="11" s="1"/>
  <c r="Q379" i="11"/>
  <c r="Q383" i="11"/>
  <c r="S383" i="11"/>
  <c r="T383" i="11" s="1"/>
  <c r="S387" i="11"/>
  <c r="T387" i="11" s="1"/>
  <c r="Q387" i="11"/>
  <c r="Q391" i="11"/>
  <c r="S391" i="11"/>
  <c r="T391" i="11" s="1"/>
  <c r="Q395" i="11"/>
  <c r="S395" i="11"/>
  <c r="T395" i="11" s="1"/>
  <c r="Q399" i="11"/>
  <c r="S399" i="11"/>
  <c r="T399" i="11" s="1"/>
  <c r="Q403" i="11"/>
  <c r="S403" i="11"/>
  <c r="T403" i="11" s="1"/>
  <c r="S408" i="11"/>
  <c r="T408" i="11" s="1"/>
  <c r="Q408" i="11"/>
  <c r="S413" i="11"/>
  <c r="T413" i="11" s="1"/>
  <c r="Q413" i="11"/>
  <c r="S417" i="11"/>
  <c r="T417" i="11" s="1"/>
  <c r="Q417" i="11"/>
  <c r="Q422" i="11"/>
  <c r="S422" i="11"/>
  <c r="T422" i="11" s="1"/>
  <c r="Q428" i="11"/>
  <c r="S428" i="11"/>
  <c r="T428" i="11" s="1"/>
  <c r="Q434" i="11"/>
  <c r="S434" i="11"/>
  <c r="T434" i="11" s="1"/>
  <c r="Q438" i="11"/>
  <c r="S438" i="11"/>
  <c r="T438" i="11" s="1"/>
  <c r="S442" i="11"/>
  <c r="T442" i="11" s="1"/>
  <c r="Q442" i="11"/>
  <c r="S452" i="11"/>
  <c r="T452" i="11" s="1"/>
  <c r="Q452" i="11"/>
  <c r="Q456" i="11"/>
  <c r="S456" i="11"/>
  <c r="T456" i="11" s="1"/>
  <c r="S465" i="11"/>
  <c r="T465" i="11" s="1"/>
  <c r="Q465" i="11"/>
  <c r="S473" i="11"/>
  <c r="T473" i="11" s="1"/>
  <c r="Q473" i="11"/>
  <c r="S480" i="11"/>
  <c r="T480" i="11" s="1"/>
  <c r="Q480" i="11"/>
  <c r="S486" i="11"/>
  <c r="T486" i="11" s="1"/>
  <c r="Q486" i="11"/>
  <c r="Q512" i="11"/>
  <c r="S512" i="11"/>
  <c r="T512" i="11" s="1"/>
  <c r="Q516" i="11"/>
  <c r="S516" i="11"/>
  <c r="T516" i="11" s="1"/>
  <c r="Q520" i="11"/>
  <c r="S520" i="11"/>
  <c r="T520" i="11" s="1"/>
  <c r="S540" i="11"/>
  <c r="T540" i="11" s="1"/>
  <c r="Q540" i="11"/>
  <c r="Q544" i="11"/>
  <c r="S544" i="11"/>
  <c r="T544" i="11" s="1"/>
  <c r="Q548" i="11"/>
  <c r="S548" i="11"/>
  <c r="T548" i="11" s="1"/>
  <c r="S553" i="11"/>
  <c r="T553" i="11" s="1"/>
  <c r="Q553" i="11"/>
  <c r="S557" i="11"/>
  <c r="T557" i="11" s="1"/>
  <c r="Q557" i="11"/>
  <c r="S562" i="11"/>
  <c r="T562" i="11" s="1"/>
  <c r="Q562" i="11"/>
  <c r="Q566" i="11"/>
  <c r="S566" i="11"/>
  <c r="T566" i="11" s="1"/>
  <c r="S570" i="11"/>
  <c r="T570" i="11" s="1"/>
  <c r="Q570" i="11"/>
  <c r="Q576" i="11"/>
  <c r="S576" i="11"/>
  <c r="T576" i="11" s="1"/>
  <c r="S580" i="11"/>
  <c r="T580" i="11" s="1"/>
  <c r="Q580" i="11"/>
  <c r="S584" i="11"/>
  <c r="T584" i="11" s="1"/>
  <c r="Q584" i="11"/>
  <c r="Q588" i="11"/>
  <c r="S588" i="11"/>
  <c r="T588" i="11" s="1"/>
  <c r="S592" i="11"/>
  <c r="T592" i="11" s="1"/>
  <c r="Q592" i="11"/>
  <c r="Q596" i="11"/>
  <c r="S596" i="11"/>
  <c r="T596" i="11" s="1"/>
  <c r="Q600" i="11"/>
  <c r="S600" i="11"/>
  <c r="T600" i="11" s="1"/>
  <c r="Q604" i="11"/>
  <c r="S604" i="11"/>
  <c r="T604" i="11" s="1"/>
  <c r="S608" i="11"/>
  <c r="T608" i="11" s="1"/>
  <c r="Q608" i="11"/>
  <c r="Q612" i="11"/>
  <c r="S612" i="11"/>
  <c r="T612" i="11" s="1"/>
  <c r="S618" i="11"/>
  <c r="T618" i="11" s="1"/>
  <c r="Q618" i="11"/>
  <c r="Q624" i="11"/>
  <c r="S624" i="11"/>
  <c r="T624" i="11" s="1"/>
  <c r="Q629" i="11"/>
  <c r="S629" i="11"/>
  <c r="T629" i="11" s="1"/>
  <c r="S637" i="11"/>
  <c r="T637" i="11" s="1"/>
  <c r="Q637" i="11"/>
  <c r="Q641" i="11"/>
  <c r="S641" i="11"/>
  <c r="T641" i="11" s="1"/>
  <c r="S645" i="11"/>
  <c r="T645" i="11" s="1"/>
  <c r="Q645" i="11"/>
  <c r="S649" i="11"/>
  <c r="T649" i="11" s="1"/>
  <c r="Q649" i="11"/>
  <c r="Q653" i="11"/>
  <c r="S653" i="11"/>
  <c r="T653" i="11" s="1"/>
  <c r="S657" i="11"/>
  <c r="T657" i="11" s="1"/>
  <c r="Q657" i="11"/>
  <c r="Q661" i="11"/>
  <c r="S661" i="11"/>
  <c r="T661" i="11" s="1"/>
  <c r="Q665" i="11"/>
  <c r="S665" i="11"/>
  <c r="T665" i="11" s="1"/>
  <c r="Q669" i="11"/>
  <c r="S669" i="11"/>
  <c r="T669" i="11" s="1"/>
  <c r="Q673" i="11"/>
  <c r="S673" i="11"/>
  <c r="T673" i="11" s="1"/>
  <c r="Q677" i="11"/>
  <c r="S677" i="11"/>
  <c r="T677" i="11" s="1"/>
  <c r="Q695" i="11"/>
  <c r="S695" i="11"/>
  <c r="T695" i="11" s="1"/>
  <c r="S703" i="11"/>
  <c r="T703" i="11" s="1"/>
  <c r="Q703" i="11"/>
  <c r="S707" i="11"/>
  <c r="T707" i="11" s="1"/>
  <c r="Q707" i="11"/>
  <c r="S717" i="11"/>
  <c r="T717" i="11" s="1"/>
  <c r="Q717" i="11"/>
  <c r="R9" i="14"/>
  <c r="F9" i="14"/>
  <c r="G9" i="14" s="1"/>
  <c r="I9" i="14" s="1"/>
  <c r="S10" i="14"/>
  <c r="T10" i="14" s="1"/>
  <c r="Q10" i="14"/>
  <c r="F15" i="14"/>
  <c r="G15" i="14" s="1"/>
  <c r="I15" i="14" s="1"/>
  <c r="R15" i="14"/>
  <c r="Q16" i="14"/>
  <c r="S16" i="14"/>
  <c r="T16" i="14" s="1"/>
  <c r="F19" i="14"/>
  <c r="G19" i="14" s="1"/>
  <c r="I19" i="14" s="1"/>
  <c r="R19" i="14"/>
  <c r="S20" i="14"/>
  <c r="Q20" i="14"/>
  <c r="R23" i="14"/>
  <c r="F23" i="14"/>
  <c r="G23" i="14" s="1"/>
  <c r="I23" i="14" s="1"/>
  <c r="S24" i="14"/>
  <c r="Q24" i="14"/>
  <c r="S28" i="14"/>
  <c r="Q28" i="14"/>
  <c r="F31" i="14"/>
  <c r="G31" i="14" s="1"/>
  <c r="I31" i="14" s="1"/>
  <c r="R31" i="14"/>
  <c r="Q32" i="14"/>
  <c r="S32" i="14"/>
  <c r="T32" i="14" s="1"/>
  <c r="F35" i="14"/>
  <c r="G35" i="14" s="1"/>
  <c r="I35" i="14" s="1"/>
  <c r="R35" i="14"/>
  <c r="S36" i="14"/>
  <c r="T36" i="14" s="1"/>
  <c r="Q36" i="14"/>
  <c r="R39" i="14"/>
  <c r="F39" i="14"/>
  <c r="G39" i="14" s="1"/>
  <c r="I39" i="14" s="1"/>
  <c r="Q40" i="14"/>
  <c r="S40" i="14"/>
  <c r="T40" i="14" s="1"/>
  <c r="R43" i="14"/>
  <c r="F43" i="14"/>
  <c r="G43" i="14" s="1"/>
  <c r="I43" i="14" s="1"/>
  <c r="Q44" i="14"/>
  <c r="S44" i="14"/>
  <c r="F47" i="14"/>
  <c r="G47" i="14" s="1"/>
  <c r="I47" i="14" s="1"/>
  <c r="R47" i="14"/>
  <c r="Q48" i="14"/>
  <c r="S48" i="14"/>
  <c r="F51" i="14"/>
  <c r="G51" i="14" s="1"/>
  <c r="I51" i="14" s="1"/>
  <c r="R51" i="14"/>
  <c r="Q52" i="14"/>
  <c r="S52" i="14"/>
  <c r="R55" i="14"/>
  <c r="F55" i="14"/>
  <c r="G55" i="14" s="1"/>
  <c r="I55" i="14" s="1"/>
  <c r="Q56" i="14"/>
  <c r="S56" i="14"/>
  <c r="F70" i="14"/>
  <c r="G70" i="14" s="1"/>
  <c r="I70" i="14" s="1"/>
  <c r="R70" i="14"/>
  <c r="S71" i="14"/>
  <c r="Q71" i="14"/>
  <c r="F74" i="14"/>
  <c r="G74" i="14" s="1"/>
  <c r="I74" i="14" s="1"/>
  <c r="R74" i="14"/>
  <c r="Q75" i="14"/>
  <c r="S75" i="14"/>
  <c r="F78" i="14"/>
  <c r="G78" i="14" s="1"/>
  <c r="I78" i="14" s="1"/>
  <c r="R78" i="14"/>
  <c r="S79" i="14"/>
  <c r="Q79" i="14"/>
  <c r="R82" i="14"/>
  <c r="F82" i="14"/>
  <c r="G82" i="14" s="1"/>
  <c r="I82" i="14" s="1"/>
  <c r="S83" i="14"/>
  <c r="Q83" i="14"/>
  <c r="R86" i="14"/>
  <c r="F86" i="14"/>
  <c r="G86" i="14" s="1"/>
  <c r="I86" i="14" s="1"/>
  <c r="Q87" i="14"/>
  <c r="S87" i="14"/>
  <c r="T87" i="14" s="1"/>
  <c r="R90" i="14"/>
  <c r="F90" i="14"/>
  <c r="G90" i="14" s="1"/>
  <c r="I90" i="14" s="1"/>
  <c r="S91" i="14"/>
  <c r="Q91" i="14"/>
  <c r="Q113" i="14"/>
  <c r="S113" i="14"/>
  <c r="T113" i="14" s="1"/>
  <c r="R116" i="14"/>
  <c r="F116" i="14"/>
  <c r="G116" i="14" s="1"/>
  <c r="I116" i="14" s="1"/>
  <c r="S117" i="14"/>
  <c r="T117" i="14" s="1"/>
  <c r="Q117" i="14"/>
  <c r="Q121" i="14"/>
  <c r="S121" i="14"/>
  <c r="F124" i="14"/>
  <c r="G124" i="14" s="1"/>
  <c r="I124" i="14" s="1"/>
  <c r="R124" i="14"/>
  <c r="Q125" i="14"/>
  <c r="S125" i="14"/>
  <c r="R128" i="14"/>
  <c r="F128" i="14"/>
  <c r="G128" i="14" s="1"/>
  <c r="I128" i="14" s="1"/>
  <c r="Q129" i="14"/>
  <c r="S129" i="14"/>
  <c r="R139" i="14"/>
  <c r="F139" i="14"/>
  <c r="G139" i="14" s="1"/>
  <c r="I139" i="14" s="1"/>
  <c r="S140" i="14"/>
  <c r="T140" i="14" s="1"/>
  <c r="Q140" i="14"/>
  <c r="S144" i="14"/>
  <c r="Q144" i="14"/>
  <c r="F147" i="14"/>
  <c r="G147" i="14" s="1"/>
  <c r="I147" i="14" s="1"/>
  <c r="R147" i="14"/>
  <c r="Q148" i="14"/>
  <c r="S148" i="14"/>
  <c r="F158" i="14"/>
  <c r="G158" i="14" s="1"/>
  <c r="I158" i="14" s="1"/>
  <c r="R158" i="14"/>
  <c r="Q159" i="14"/>
  <c r="S159" i="14"/>
  <c r="S163" i="14"/>
  <c r="Q163" i="14"/>
  <c r="R166" i="14"/>
  <c r="F166" i="14"/>
  <c r="G166" i="14" s="1"/>
  <c r="I166" i="14" s="1"/>
  <c r="Q167" i="14"/>
  <c r="S167" i="14"/>
  <c r="Q185" i="14"/>
  <c r="S185" i="14"/>
  <c r="T185" i="14" s="1"/>
  <c r="F188" i="14"/>
  <c r="G188" i="14" s="1"/>
  <c r="I188" i="14" s="1"/>
  <c r="R188" i="14"/>
  <c r="S189" i="14"/>
  <c r="Q189" i="14"/>
  <c r="F192" i="14"/>
  <c r="G192" i="14" s="1"/>
  <c r="I192" i="14" s="1"/>
  <c r="R192" i="14"/>
  <c r="S193" i="14"/>
  <c r="Q193" i="14"/>
  <c r="R196" i="14"/>
  <c r="F196" i="14"/>
  <c r="G196" i="14" s="1"/>
  <c r="I196" i="14" s="1"/>
  <c r="Q197" i="14"/>
  <c r="S197" i="14"/>
  <c r="R200" i="14"/>
  <c r="F200" i="14"/>
  <c r="G200" i="14" s="1"/>
  <c r="I200" i="14" s="1"/>
  <c r="S201" i="14"/>
  <c r="Q201" i="14"/>
  <c r="F204" i="14"/>
  <c r="G204" i="14" s="1"/>
  <c r="I204" i="14" s="1"/>
  <c r="R204" i="14"/>
  <c r="Q223" i="14"/>
  <c r="S223" i="14"/>
  <c r="T223" i="14" s="1"/>
  <c r="R228" i="14"/>
  <c r="F228" i="14"/>
  <c r="G228" i="14" s="1"/>
  <c r="I228" i="14" s="1"/>
  <c r="Q229" i="14"/>
  <c r="S229" i="14"/>
  <c r="T229" i="14" s="1"/>
  <c r="S263" i="14"/>
  <c r="Q263" i="14"/>
  <c r="R266" i="14"/>
  <c r="F266" i="14"/>
  <c r="G266" i="14" s="1"/>
  <c r="I266" i="14" s="1"/>
  <c r="S267" i="14"/>
  <c r="Q267" i="14"/>
  <c r="R270" i="14"/>
  <c r="F270" i="14"/>
  <c r="G270" i="14" s="1"/>
  <c r="I270" i="14" s="1"/>
  <c r="Q271" i="14"/>
  <c r="S271" i="14"/>
  <c r="F274" i="14"/>
  <c r="G274" i="14" s="1"/>
  <c r="I274" i="14" s="1"/>
  <c r="R274" i="14"/>
  <c r="Q275" i="14"/>
  <c r="S275" i="14"/>
  <c r="R278" i="14"/>
  <c r="F278" i="14"/>
  <c r="G278" i="14" s="1"/>
  <c r="I278" i="14" s="1"/>
  <c r="Q279" i="14"/>
  <c r="S279" i="14"/>
  <c r="F282" i="14"/>
  <c r="G282" i="14" s="1"/>
  <c r="I282" i="14" s="1"/>
  <c r="R282" i="14"/>
  <c r="S283" i="14"/>
  <c r="Q283" i="14"/>
  <c r="F286" i="14"/>
  <c r="G286" i="14" s="1"/>
  <c r="I286" i="14" s="1"/>
  <c r="R286" i="14"/>
  <c r="S287" i="14"/>
  <c r="Q287" i="14"/>
  <c r="R290" i="14"/>
  <c r="F290" i="14"/>
  <c r="G290" i="14" s="1"/>
  <c r="I290" i="14" s="1"/>
  <c r="S291" i="14"/>
  <c r="Q291" i="14"/>
  <c r="F294" i="14"/>
  <c r="G294" i="14" s="1"/>
  <c r="I294" i="14" s="1"/>
  <c r="R294" i="14"/>
  <c r="Q295" i="14"/>
  <c r="S295" i="14"/>
  <c r="R298" i="14"/>
  <c r="F298" i="14"/>
  <c r="G298" i="14" s="1"/>
  <c r="I298" i="14" s="1"/>
  <c r="S299" i="14"/>
  <c r="Q299" i="14"/>
  <c r="F302" i="14"/>
  <c r="G302" i="14" s="1"/>
  <c r="I302" i="14" s="1"/>
  <c r="R302" i="14"/>
  <c r="Q303" i="14"/>
  <c r="S303" i="14"/>
  <c r="R306" i="14"/>
  <c r="F306" i="14"/>
  <c r="G306" i="14" s="1"/>
  <c r="I306" i="14" s="1"/>
  <c r="Q307" i="14"/>
  <c r="S307" i="14"/>
  <c r="F310" i="14"/>
  <c r="G310" i="14" s="1"/>
  <c r="I310" i="14" s="1"/>
  <c r="R310" i="14"/>
  <c r="Q311" i="14"/>
  <c r="S311" i="14"/>
  <c r="R314" i="14"/>
  <c r="F314" i="14"/>
  <c r="G314" i="14" s="1"/>
  <c r="I314" i="14" s="1"/>
  <c r="S315" i="14"/>
  <c r="Q315" i="14"/>
  <c r="F318" i="14"/>
  <c r="G318" i="14" s="1"/>
  <c r="I318" i="14" s="1"/>
  <c r="R318" i="14"/>
  <c r="S319" i="14"/>
  <c r="Q319" i="14"/>
  <c r="F322" i="14"/>
  <c r="G322" i="14" s="1"/>
  <c r="I322" i="14" s="1"/>
  <c r="R322" i="14"/>
  <c r="Q323" i="14"/>
  <c r="S323" i="14"/>
  <c r="F326" i="14"/>
  <c r="G326" i="14" s="1"/>
  <c r="I326" i="14" s="1"/>
  <c r="R326" i="14"/>
  <c r="S327" i="14"/>
  <c r="Q327" i="14"/>
  <c r="F330" i="14"/>
  <c r="G330" i="14" s="1"/>
  <c r="I330" i="14" s="1"/>
  <c r="R330" i="14"/>
  <c r="S331" i="14"/>
  <c r="Q331" i="14"/>
  <c r="F334" i="14"/>
  <c r="G334" i="14" s="1"/>
  <c r="I334" i="14" s="1"/>
  <c r="R334" i="14"/>
  <c r="Q335" i="14"/>
  <c r="S335" i="14"/>
  <c r="R338" i="14"/>
  <c r="F338" i="14"/>
  <c r="G338" i="14" s="1"/>
  <c r="I338" i="14" s="1"/>
  <c r="Q339" i="14"/>
  <c r="S339" i="14"/>
  <c r="F342" i="14"/>
  <c r="G342" i="14" s="1"/>
  <c r="I342" i="14" s="1"/>
  <c r="R342" i="14"/>
  <c r="S343" i="14"/>
  <c r="Q343" i="14"/>
  <c r="S347" i="14"/>
  <c r="Q347" i="14"/>
  <c r="F350" i="14"/>
  <c r="G350" i="14" s="1"/>
  <c r="I350" i="14" s="1"/>
  <c r="R350" i="14"/>
  <c r="S351" i="14"/>
  <c r="Q351" i="14"/>
  <c r="R354" i="14"/>
  <c r="F354" i="14"/>
  <c r="G354" i="14" s="1"/>
  <c r="I354" i="14" s="1"/>
  <c r="Q355" i="14"/>
  <c r="S355" i="14"/>
  <c r="R358" i="14"/>
  <c r="F358" i="14"/>
  <c r="G358" i="14" s="1"/>
  <c r="I358" i="14" s="1"/>
  <c r="S359" i="14"/>
  <c r="Q359" i="14"/>
  <c r="R362" i="14"/>
  <c r="F362" i="14"/>
  <c r="G362" i="14" s="1"/>
  <c r="I362" i="14" s="1"/>
  <c r="S363" i="14"/>
  <c r="Q363" i="14"/>
  <c r="R366" i="14"/>
  <c r="F366" i="14"/>
  <c r="G366" i="14" s="1"/>
  <c r="I366" i="14" s="1"/>
  <c r="S367" i="14"/>
  <c r="Q367" i="14"/>
  <c r="F370" i="14"/>
  <c r="G370" i="14" s="1"/>
  <c r="I370" i="14" s="1"/>
  <c r="R370" i="14"/>
  <c r="S371" i="14"/>
  <c r="Q371" i="14"/>
  <c r="R374" i="14"/>
  <c r="F374" i="14"/>
  <c r="G374" i="14" s="1"/>
  <c r="I374" i="14" s="1"/>
  <c r="S375" i="14"/>
  <c r="Q375" i="14"/>
  <c r="R378" i="14"/>
  <c r="F378" i="14"/>
  <c r="G378" i="14" s="1"/>
  <c r="I378" i="14" s="1"/>
  <c r="Q379" i="14"/>
  <c r="S379" i="14"/>
  <c r="F382" i="14"/>
  <c r="G382" i="14" s="1"/>
  <c r="I382" i="14" s="1"/>
  <c r="R382" i="14"/>
  <c r="Q383" i="14"/>
  <c r="S383" i="14"/>
  <c r="R386" i="14"/>
  <c r="F386" i="14"/>
  <c r="G386" i="14" s="1"/>
  <c r="I386" i="14" s="1"/>
  <c r="S387" i="14"/>
  <c r="Q387" i="14"/>
  <c r="F390" i="14"/>
  <c r="G390" i="14" s="1"/>
  <c r="I390" i="14" s="1"/>
  <c r="R390" i="14"/>
  <c r="Q391" i="14"/>
  <c r="S391" i="14"/>
  <c r="S395" i="14"/>
  <c r="Q395" i="14"/>
  <c r="R398" i="14"/>
  <c r="F398" i="14"/>
  <c r="G398" i="14" s="1"/>
  <c r="I398" i="14" s="1"/>
  <c r="S399" i="14"/>
  <c r="Q399" i="14"/>
  <c r="R402" i="14"/>
  <c r="F402" i="14"/>
  <c r="G402" i="14" s="1"/>
  <c r="I402" i="14" s="1"/>
  <c r="Q403" i="14"/>
  <c r="S403" i="14"/>
  <c r="Q407" i="14"/>
  <c r="S407" i="14"/>
  <c r="F410" i="14"/>
  <c r="G410" i="14" s="1"/>
  <c r="I410" i="14" s="1"/>
  <c r="R410" i="14"/>
  <c r="Q411" i="14"/>
  <c r="S411" i="14"/>
  <c r="R414" i="14"/>
  <c r="F414" i="14"/>
  <c r="G414" i="14" s="1"/>
  <c r="I414" i="14" s="1"/>
  <c r="S415" i="14"/>
  <c r="Q415" i="14"/>
  <c r="R418" i="14"/>
  <c r="F418" i="14"/>
  <c r="G418" i="14" s="1"/>
  <c r="I418" i="14" s="1"/>
  <c r="Q419" i="14"/>
  <c r="S419" i="14"/>
  <c r="F422" i="14"/>
  <c r="G422" i="14" s="1"/>
  <c r="I422" i="14" s="1"/>
  <c r="R422" i="14"/>
  <c r="Q423" i="14"/>
  <c r="S423" i="14"/>
  <c r="R426" i="14"/>
  <c r="F426" i="14"/>
  <c r="G426" i="14" s="1"/>
  <c r="I426" i="14" s="1"/>
  <c r="Q427" i="14"/>
  <c r="S427" i="14"/>
  <c r="T427" i="14" s="1"/>
  <c r="R430" i="14"/>
  <c r="F430" i="14"/>
  <c r="G430" i="14" s="1"/>
  <c r="I430" i="14" s="1"/>
  <c r="S431" i="14"/>
  <c r="T431" i="14" s="1"/>
  <c r="Q431" i="14"/>
  <c r="F434" i="14"/>
  <c r="G434" i="14" s="1"/>
  <c r="I434" i="14" s="1"/>
  <c r="R434" i="14"/>
  <c r="Q435" i="14"/>
  <c r="S435" i="14"/>
  <c r="R438" i="14"/>
  <c r="F438" i="14"/>
  <c r="G438" i="14" s="1"/>
  <c r="I438" i="14" s="1"/>
  <c r="S439" i="14"/>
  <c r="Q439" i="14"/>
  <c r="F442" i="14"/>
  <c r="G442" i="14" s="1"/>
  <c r="I442" i="14" s="1"/>
  <c r="R442" i="14"/>
  <c r="Q447" i="14"/>
  <c r="S447" i="14"/>
  <c r="F450" i="14"/>
  <c r="G450" i="14" s="1"/>
  <c r="I450" i="14" s="1"/>
  <c r="R450" i="14"/>
  <c r="S451" i="14"/>
  <c r="T451" i="14" s="1"/>
  <c r="Q451" i="14"/>
  <c r="F454" i="14"/>
  <c r="G454" i="14" s="1"/>
  <c r="I454" i="14" s="1"/>
  <c r="R454" i="14"/>
  <c r="Q455" i="14"/>
  <c r="S455" i="14"/>
  <c r="F458" i="14"/>
  <c r="G458" i="14" s="1"/>
  <c r="I458" i="14" s="1"/>
  <c r="R458" i="14"/>
  <c r="S459" i="14"/>
  <c r="T459" i="14" s="1"/>
  <c r="Q459" i="14"/>
  <c r="R462" i="14"/>
  <c r="F462" i="14"/>
  <c r="G462" i="14" s="1"/>
  <c r="I462" i="14" s="1"/>
  <c r="Q463" i="14"/>
  <c r="S463" i="14"/>
  <c r="F466" i="14"/>
  <c r="G466" i="14" s="1"/>
  <c r="I466" i="14" s="1"/>
  <c r="R466" i="14"/>
  <c r="S467" i="14"/>
  <c r="Q467" i="14"/>
  <c r="F470" i="14"/>
  <c r="G470" i="14" s="1"/>
  <c r="I470" i="14" s="1"/>
  <c r="R470" i="14"/>
  <c r="S471" i="14"/>
  <c r="T471" i="14" s="1"/>
  <c r="Q471" i="14"/>
  <c r="F474" i="14"/>
  <c r="G474" i="14" s="1"/>
  <c r="I474" i="14" s="1"/>
  <c r="R474" i="14"/>
  <c r="Q475" i="14"/>
  <c r="S475" i="14"/>
  <c r="R478" i="14"/>
  <c r="F478" i="14"/>
  <c r="G478" i="14" s="1"/>
  <c r="I478" i="14" s="1"/>
  <c r="Q479" i="14"/>
  <c r="S479" i="14"/>
  <c r="R482" i="14"/>
  <c r="F482" i="14"/>
  <c r="G482" i="14" s="1"/>
  <c r="I482" i="14" s="1"/>
  <c r="Q483" i="14"/>
  <c r="S483" i="14"/>
  <c r="R486" i="14"/>
  <c r="F486" i="14"/>
  <c r="G486" i="14" s="1"/>
  <c r="I486" i="14" s="1"/>
  <c r="S487" i="14"/>
  <c r="Q487" i="14"/>
  <c r="R490" i="14"/>
  <c r="F490" i="14"/>
  <c r="G490" i="14" s="1"/>
  <c r="I490" i="14" s="1"/>
  <c r="Q512" i="14"/>
  <c r="S512" i="14"/>
  <c r="T512" i="14" s="1"/>
  <c r="R515" i="14"/>
  <c r="F515" i="14"/>
  <c r="G515" i="14" s="1"/>
  <c r="I515" i="14" s="1"/>
  <c r="S516" i="14"/>
  <c r="Q516" i="14"/>
  <c r="F519" i="14"/>
  <c r="G519" i="14" s="1"/>
  <c r="I519" i="14" s="1"/>
  <c r="R519" i="14"/>
  <c r="S520" i="14"/>
  <c r="Q520" i="14"/>
  <c r="S540" i="14"/>
  <c r="T540" i="14" s="1"/>
  <c r="Q540" i="14"/>
  <c r="R543" i="14"/>
  <c r="F543" i="14"/>
  <c r="G543" i="14" s="1"/>
  <c r="I543" i="14" s="1"/>
  <c r="S544" i="14"/>
  <c r="Q544" i="14"/>
  <c r="R547" i="14"/>
  <c r="F547" i="14"/>
  <c r="G547" i="14" s="1"/>
  <c r="I547" i="14" s="1"/>
  <c r="S548" i="14"/>
  <c r="Q548" i="14"/>
  <c r="R551" i="14"/>
  <c r="F551" i="14"/>
  <c r="G551" i="14" s="1"/>
  <c r="I551" i="14" s="1"/>
  <c r="S552" i="14"/>
  <c r="Q552" i="14"/>
  <c r="R555" i="14"/>
  <c r="F555" i="14"/>
  <c r="G555" i="14" s="1"/>
  <c r="I555" i="14" s="1"/>
  <c r="S556" i="14"/>
  <c r="Q556" i="14"/>
  <c r="R559" i="14"/>
  <c r="F559" i="14"/>
  <c r="G559" i="14" s="1"/>
  <c r="I559" i="14" s="1"/>
  <c r="Q560" i="14"/>
  <c r="S560" i="14"/>
  <c r="F563" i="14"/>
  <c r="G563" i="14" s="1"/>
  <c r="I563" i="14" s="1"/>
  <c r="R563" i="14"/>
  <c r="Q564" i="14"/>
  <c r="S564" i="14"/>
  <c r="F567" i="14"/>
  <c r="G567" i="14" s="1"/>
  <c r="I567" i="14" s="1"/>
  <c r="R567" i="14"/>
  <c r="Q568" i="14"/>
  <c r="S568" i="14"/>
  <c r="F571" i="14"/>
  <c r="G571" i="14" s="1"/>
  <c r="I571" i="14" s="1"/>
  <c r="R571" i="14"/>
  <c r="S574" i="14"/>
  <c r="Q574" i="14"/>
  <c r="R577" i="14"/>
  <c r="F577" i="14"/>
  <c r="G577" i="14" s="1"/>
  <c r="I577" i="14" s="1"/>
  <c r="Q578" i="14"/>
  <c r="S578" i="14"/>
  <c r="F581" i="14"/>
  <c r="G581" i="14" s="1"/>
  <c r="I581" i="14" s="1"/>
  <c r="R581" i="14"/>
  <c r="Q582" i="14"/>
  <c r="S582" i="14"/>
  <c r="R585" i="14"/>
  <c r="F585" i="14"/>
  <c r="G585" i="14" s="1"/>
  <c r="I585" i="14" s="1"/>
  <c r="Q586" i="14"/>
  <c r="S586" i="14"/>
  <c r="F589" i="14"/>
  <c r="G589" i="14" s="1"/>
  <c r="I589" i="14" s="1"/>
  <c r="R589" i="14"/>
  <c r="Q590" i="14"/>
  <c r="S590" i="14"/>
  <c r="F593" i="14"/>
  <c r="G593" i="14" s="1"/>
  <c r="I593" i="14" s="1"/>
  <c r="R593" i="14"/>
  <c r="S594" i="14"/>
  <c r="Q594" i="14"/>
  <c r="F597" i="14"/>
  <c r="G597" i="14" s="1"/>
  <c r="I597" i="14" s="1"/>
  <c r="R597" i="14"/>
  <c r="S598" i="14"/>
  <c r="Q598" i="14"/>
  <c r="R601" i="14"/>
  <c r="F601" i="14"/>
  <c r="G601" i="14" s="1"/>
  <c r="I601" i="14" s="1"/>
  <c r="Q602" i="14"/>
  <c r="S602" i="14"/>
  <c r="R605" i="14"/>
  <c r="F605" i="14"/>
  <c r="G605" i="14" s="1"/>
  <c r="I605" i="14" s="1"/>
  <c r="S606" i="14"/>
  <c r="Q606" i="14"/>
  <c r="R609" i="14"/>
  <c r="F609" i="14"/>
  <c r="G609" i="14" s="1"/>
  <c r="I609" i="14" s="1"/>
  <c r="Q610" i="14"/>
  <c r="S610" i="14"/>
  <c r="R613" i="14"/>
  <c r="F613" i="14"/>
  <c r="G613" i="14" s="1"/>
  <c r="I613" i="14" s="1"/>
  <c r="Q614" i="14"/>
  <c r="S614" i="14"/>
  <c r="F617" i="14"/>
  <c r="G617" i="14" s="1"/>
  <c r="I617" i="14" s="1"/>
  <c r="R617" i="14"/>
  <c r="Q618" i="14"/>
  <c r="S618" i="14"/>
  <c r="T618" i="14" s="1"/>
  <c r="R623" i="14"/>
  <c r="F623" i="14"/>
  <c r="G623" i="14" s="1"/>
  <c r="I623" i="14" s="1"/>
  <c r="Q624" i="14"/>
  <c r="S624" i="14"/>
  <c r="T624" i="14" s="1"/>
  <c r="R628" i="14"/>
  <c r="F628" i="14"/>
  <c r="G628" i="14" s="1"/>
  <c r="I628" i="14" s="1"/>
  <c r="Q629" i="14"/>
  <c r="S629" i="14"/>
  <c r="Q637" i="14"/>
  <c r="S637" i="14"/>
  <c r="T637" i="14" s="1"/>
  <c r="R640" i="14"/>
  <c r="F640" i="14"/>
  <c r="G640" i="14" s="1"/>
  <c r="I640" i="14" s="1"/>
  <c r="S641" i="14"/>
  <c r="Q641" i="14"/>
  <c r="Q645" i="14"/>
  <c r="S645" i="14"/>
  <c r="R648" i="14"/>
  <c r="F648" i="14"/>
  <c r="G648" i="14" s="1"/>
  <c r="I648" i="14" s="1"/>
  <c r="Q649" i="14"/>
  <c r="S649" i="14"/>
  <c r="F652" i="14"/>
  <c r="G652" i="14" s="1"/>
  <c r="I652" i="14" s="1"/>
  <c r="R652" i="14"/>
  <c r="S653" i="14"/>
  <c r="Q653" i="14"/>
  <c r="R656" i="14"/>
  <c r="F656" i="14"/>
  <c r="G656" i="14" s="1"/>
  <c r="I656" i="14" s="1"/>
  <c r="S657" i="14"/>
  <c r="Q657" i="14"/>
  <c r="F660" i="14"/>
  <c r="G660" i="14" s="1"/>
  <c r="I660" i="14" s="1"/>
  <c r="R660" i="14"/>
  <c r="S661" i="14"/>
  <c r="Q661" i="14"/>
  <c r="R664" i="14"/>
  <c r="F664" i="14"/>
  <c r="G664" i="14" s="1"/>
  <c r="I664" i="14" s="1"/>
  <c r="Q665" i="14"/>
  <c r="S665" i="14"/>
  <c r="F668" i="14"/>
  <c r="G668" i="14" s="1"/>
  <c r="I668" i="14" s="1"/>
  <c r="R668" i="14"/>
  <c r="Q669" i="14"/>
  <c r="S669" i="14"/>
  <c r="S673" i="14"/>
  <c r="Q673" i="14"/>
  <c r="R676" i="14"/>
  <c r="F676" i="14"/>
  <c r="G676" i="14" s="1"/>
  <c r="I676" i="14" s="1"/>
  <c r="S677" i="14"/>
  <c r="T677" i="14" s="1"/>
  <c r="Q677" i="14"/>
  <c r="S700" i="14"/>
  <c r="T700" i="14" s="1"/>
  <c r="Q700" i="14"/>
  <c r="R703" i="14"/>
  <c r="F703" i="14"/>
  <c r="G703" i="14" s="1"/>
  <c r="I703" i="14" s="1"/>
  <c r="Q704" i="14"/>
  <c r="S704" i="14"/>
  <c r="F707" i="14"/>
  <c r="G707" i="14" s="1"/>
  <c r="I707" i="14" s="1"/>
  <c r="R707" i="14"/>
  <c r="Q708" i="14"/>
  <c r="S708" i="14"/>
  <c r="P721" i="7" l="1"/>
  <c r="T721" i="11"/>
  <c r="I731" i="14"/>
  <c r="Q721" i="5"/>
  <c r="T515" i="14"/>
  <c r="T482" i="14"/>
  <c r="T478" i="14"/>
  <c r="T370" i="14"/>
  <c r="T350" i="14"/>
  <c r="T617" i="14"/>
  <c r="T362" i="14"/>
  <c r="T649" i="14"/>
  <c r="T641" i="14"/>
  <c r="T555" i="14"/>
  <c r="T196" i="14"/>
  <c r="T158" i="14"/>
  <c r="T86" i="14"/>
  <c r="T55" i="14"/>
  <c r="T43" i="14"/>
  <c r="T39" i="14"/>
  <c r="T519" i="14"/>
  <c r="T410" i="14"/>
  <c r="T330" i="14"/>
  <c r="T116" i="14"/>
  <c r="T708" i="14"/>
  <c r="T623" i="14"/>
  <c r="T613" i="14"/>
  <c r="T609" i="14"/>
  <c r="T601" i="14"/>
  <c r="T200" i="14"/>
  <c r="T128" i="14"/>
  <c r="T78" i="14"/>
  <c r="T31" i="14"/>
  <c r="T139" i="14"/>
  <c r="T74" i="14"/>
  <c r="T559" i="14"/>
  <c r="T197" i="14"/>
  <c r="T129" i="14"/>
  <c r="T284" i="14"/>
  <c r="T490" i="14"/>
  <c r="T486" i="14"/>
  <c r="T462" i="14"/>
  <c r="T118" i="14"/>
  <c r="T21" i="14"/>
  <c r="T326" i="14"/>
  <c r="T469" i="14"/>
  <c r="T142" i="14"/>
  <c r="T648" i="14"/>
  <c r="T597" i="14"/>
  <c r="T204" i="14"/>
  <c r="T188" i="14"/>
  <c r="T166" i="14"/>
  <c r="T633" i="14"/>
  <c r="T545" i="14"/>
  <c r="T570" i="14"/>
  <c r="T562" i="14"/>
  <c r="T437" i="14"/>
  <c r="T417" i="14"/>
  <c r="T334" i="14"/>
  <c r="T322" i="14"/>
  <c r="T571" i="14"/>
  <c r="T567" i="14"/>
  <c r="T563" i="14"/>
  <c r="T483" i="14"/>
  <c r="T378" i="14"/>
  <c r="T577" i="14"/>
  <c r="T70" i="14"/>
  <c r="T51" i="14"/>
  <c r="T676" i="14"/>
  <c r="T707" i="14"/>
  <c r="T466" i="14"/>
  <c r="T454" i="14"/>
  <c r="T450" i="14"/>
  <c r="T442" i="14"/>
  <c r="T434" i="14"/>
  <c r="T422" i="14"/>
  <c r="T302" i="14"/>
  <c r="T294" i="14"/>
  <c r="T286" i="14"/>
  <c r="T652" i="14"/>
  <c r="T430" i="14"/>
  <c r="T426" i="14"/>
  <c r="T390" i="14"/>
  <c r="T382" i="14"/>
  <c r="T314" i="14"/>
  <c r="T306" i="14"/>
  <c r="T298" i="14"/>
  <c r="T363" i="14"/>
  <c r="T412" i="14"/>
  <c r="T316" i="14"/>
  <c r="T268" i="14"/>
  <c r="T453" i="14"/>
  <c r="T359" i="14"/>
  <c r="T121" i="14"/>
  <c r="T307" i="14"/>
  <c r="T91" i="14"/>
  <c r="T164" i="14"/>
  <c r="T643" i="14"/>
  <c r="T489" i="14"/>
  <c r="T357" i="14"/>
  <c r="T629" i="14"/>
  <c r="T610" i="14"/>
  <c r="T602" i="14"/>
  <c r="T586" i="14"/>
  <c r="T48" i="14"/>
  <c r="T674" i="14"/>
  <c r="T646" i="14"/>
  <c r="P721" i="5"/>
  <c r="P723" i="5" s="1"/>
  <c r="K729" i="5" s="1"/>
  <c r="T325" i="14"/>
  <c r="T227" i="14"/>
  <c r="T723" i="11"/>
  <c r="O729" i="11" s="1"/>
  <c r="T310" i="14"/>
  <c r="T282" i="14"/>
  <c r="T560" i="14"/>
  <c r="T470" i="14"/>
  <c r="T668" i="14"/>
  <c r="T418" i="14"/>
  <c r="T414" i="14"/>
  <c r="T290" i="14"/>
  <c r="T278" i="14"/>
  <c r="T270" i="14"/>
  <c r="T266" i="14"/>
  <c r="T428" i="14"/>
  <c r="T353" i="14"/>
  <c r="T199" i="14"/>
  <c r="T568" i="14"/>
  <c r="T474" i="14"/>
  <c r="T664" i="14"/>
  <c r="T593" i="14"/>
  <c r="T479" i="14"/>
  <c r="T386" i="14"/>
  <c r="T159" i="14"/>
  <c r="T19" i="14"/>
  <c r="T15" i="14"/>
  <c r="P723" i="7"/>
  <c r="M729" i="7" s="1"/>
  <c r="T467" i="14"/>
  <c r="T455" i="14"/>
  <c r="T673" i="14"/>
  <c r="T669" i="14"/>
  <c r="T606" i="14"/>
  <c r="T574" i="14"/>
  <c r="T552" i="14"/>
  <c r="T423" i="14"/>
  <c r="T415" i="14"/>
  <c r="T411" i="14"/>
  <c r="T403" i="14"/>
  <c r="T391" i="14"/>
  <c r="T383" i="14"/>
  <c r="T379" i="14"/>
  <c r="T335" i="14"/>
  <c r="T331" i="14"/>
  <c r="T323" i="14"/>
  <c r="T319" i="14"/>
  <c r="T303" i="14"/>
  <c r="T299" i="14"/>
  <c r="T287" i="14"/>
  <c r="T279" i="14"/>
  <c r="T271" i="14"/>
  <c r="T263" i="14"/>
  <c r="T621" i="14"/>
  <c r="T615" i="14"/>
  <c r="T607" i="14"/>
  <c r="T591" i="14"/>
  <c r="T583" i="14"/>
  <c r="T579" i="14"/>
  <c r="T569" i="14"/>
  <c r="T561" i="14"/>
  <c r="T553" i="14"/>
  <c r="T554" i="14"/>
  <c r="T550" i="14"/>
  <c r="T514" i="14"/>
  <c r="T317" i="14"/>
  <c r="T309" i="14"/>
  <c r="T297" i="14"/>
  <c r="T289" i="14"/>
  <c r="T273" i="14"/>
  <c r="T308" i="14"/>
  <c r="T612" i="14"/>
  <c r="T604" i="14"/>
  <c r="T85" i="14"/>
  <c r="T472" i="14"/>
  <c r="T468" i="14"/>
  <c r="T460" i="14"/>
  <c r="T401" i="14"/>
  <c r="T389" i="14"/>
  <c r="T385" i="14"/>
  <c r="T381" i="14"/>
  <c r="T373" i="14"/>
  <c r="T361" i="14"/>
  <c r="T38" i="14"/>
  <c r="T26" i="14"/>
  <c r="T372" i="14"/>
  <c r="T368" i="14"/>
  <c r="T92" i="14"/>
  <c r="T84" i="14"/>
  <c r="T25" i="14"/>
  <c r="T702" i="14"/>
  <c r="T667" i="14"/>
  <c r="T457" i="14"/>
  <c r="M729" i="5"/>
  <c r="T122" i="14"/>
  <c r="T710" i="14"/>
  <c r="T656" i="14"/>
  <c r="T589" i="14"/>
  <c r="T581" i="14"/>
  <c r="T542" i="14"/>
  <c r="T433" i="14"/>
  <c r="T421" i="14"/>
  <c r="T313" i="14"/>
  <c r="T281" i="14"/>
  <c r="T269" i="14"/>
  <c r="T265" i="14"/>
  <c r="T228" i="14"/>
  <c r="T192" i="14"/>
  <c r="T73" i="14"/>
  <c r="P721" i="1"/>
  <c r="P723" i="1" s="1"/>
  <c r="T556" i="14"/>
  <c r="T565" i="14"/>
  <c r="T487" i="14"/>
  <c r="T447" i="14"/>
  <c r="T384" i="14"/>
  <c r="T125" i="14"/>
  <c r="T88" i="14"/>
  <c r="R721" i="9"/>
  <c r="R723" i="9" s="1"/>
  <c r="T638" i="14"/>
  <c r="T626" i="14"/>
  <c r="T611" i="14"/>
  <c r="T488" i="14"/>
  <c r="T449" i="14"/>
  <c r="T396" i="14"/>
  <c r="T392" i="14"/>
  <c r="T388" i="14"/>
  <c r="T380" i="14"/>
  <c r="T369" i="14"/>
  <c r="T332" i="14"/>
  <c r="T324" i="14"/>
  <c r="T320" i="14"/>
  <c r="T202" i="14"/>
  <c r="T194" i="14"/>
  <c r="T42" i="14"/>
  <c r="T660" i="14"/>
  <c r="T640" i="14"/>
  <c r="T605" i="14"/>
  <c r="T585" i="14"/>
  <c r="T546" i="14"/>
  <c r="T522" i="14"/>
  <c r="T518" i="14"/>
  <c r="T485" i="14"/>
  <c r="T481" i="14"/>
  <c r="T458" i="14"/>
  <c r="T397" i="14"/>
  <c r="T393" i="14"/>
  <c r="T374" i="14"/>
  <c r="T366" i="14"/>
  <c r="T358" i="14"/>
  <c r="T342" i="14"/>
  <c r="T329" i="14"/>
  <c r="T127" i="14"/>
  <c r="T123" i="14"/>
  <c r="T115" i="14"/>
  <c r="T81" i="14"/>
  <c r="T50" i="14"/>
  <c r="T30" i="14"/>
  <c r="T9" i="14"/>
  <c r="T653" i="14"/>
  <c r="T463" i="14"/>
  <c r="T311" i="14"/>
  <c r="T295" i="14"/>
  <c r="T275" i="14"/>
  <c r="T704" i="14"/>
  <c r="T516" i="14"/>
  <c r="T475" i="14"/>
  <c r="T439" i="14"/>
  <c r="T435" i="14"/>
  <c r="T167" i="14"/>
  <c r="T163" i="14"/>
  <c r="T148" i="14"/>
  <c r="T144" i="14"/>
  <c r="T114" i="14"/>
  <c r="T79" i="14"/>
  <c r="T71" i="14"/>
  <c r="T709" i="14"/>
  <c r="T705" i="14"/>
  <c r="T701" i="14"/>
  <c r="T666" i="14"/>
  <c r="T658" i="14"/>
  <c r="T654" i="14"/>
  <c r="T622" i="14"/>
  <c r="T521" i="14"/>
  <c r="T517" i="14"/>
  <c r="T484" i="14"/>
  <c r="T424" i="14"/>
  <c r="T420" i="14"/>
  <c r="T408" i="14"/>
  <c r="T404" i="14"/>
  <c r="T356" i="14"/>
  <c r="T344" i="14"/>
  <c r="T328" i="14"/>
  <c r="T288" i="14"/>
  <c r="T276" i="14"/>
  <c r="T272" i="14"/>
  <c r="T145" i="14"/>
  <c r="T119" i="14"/>
  <c r="T93" i="14"/>
  <c r="T72" i="14"/>
  <c r="T45" i="14"/>
  <c r="T37" i="14"/>
  <c r="T703" i="14"/>
  <c r="T628" i="14"/>
  <c r="T588" i="14"/>
  <c r="T580" i="14"/>
  <c r="T566" i="14"/>
  <c r="T547" i="14"/>
  <c r="T543" i="14"/>
  <c r="T473" i="14"/>
  <c r="T438" i="14"/>
  <c r="T398" i="14"/>
  <c r="T354" i="14"/>
  <c r="T337" i="14"/>
  <c r="T318" i="14"/>
  <c r="T274" i="14"/>
  <c r="T165" i="14"/>
  <c r="T146" i="14"/>
  <c r="T124" i="14"/>
  <c r="T35" i="14"/>
  <c r="T18" i="14"/>
  <c r="T14" i="14"/>
  <c r="J742" i="14"/>
  <c r="M742" i="14" s="1"/>
  <c r="I734" i="14"/>
  <c r="I736" i="14" s="1"/>
  <c r="K729" i="14"/>
  <c r="I733" i="14"/>
  <c r="I732" i="14"/>
  <c r="T564" i="14"/>
  <c r="T371" i="14"/>
  <c r="T347" i="14"/>
  <c r="T665" i="14"/>
  <c r="T343" i="14"/>
  <c r="T315" i="14"/>
  <c r="T267" i="14"/>
  <c r="T661" i="14"/>
  <c r="T657" i="14"/>
  <c r="T645" i="14"/>
  <c r="T614" i="14"/>
  <c r="T598" i="14"/>
  <c r="T594" i="14"/>
  <c r="T590" i="14"/>
  <c r="T582" i="14"/>
  <c r="T578" i="14"/>
  <c r="T548" i="14"/>
  <c r="T544" i="14"/>
  <c r="T520" i="14"/>
  <c r="T419" i="14"/>
  <c r="T407" i="14"/>
  <c r="T399" i="14"/>
  <c r="T395" i="14"/>
  <c r="T387" i="14"/>
  <c r="T375" i="14"/>
  <c r="T367" i="14"/>
  <c r="T355" i="14"/>
  <c r="T351" i="14"/>
  <c r="T339" i="14"/>
  <c r="T327" i="14"/>
  <c r="T291" i="14"/>
  <c r="T283" i="14"/>
  <c r="T201" i="14"/>
  <c r="T193" i="14"/>
  <c r="T189" i="14"/>
  <c r="T83" i="14"/>
  <c r="T75" i="14"/>
  <c r="T56" i="14"/>
  <c r="T52" i="14"/>
  <c r="T44" i="14"/>
  <c r="T28" i="14"/>
  <c r="T24" i="14"/>
  <c r="T20" i="14"/>
  <c r="T678" i="14"/>
  <c r="T670" i="14"/>
  <c r="T650" i="14"/>
  <c r="T627" i="14"/>
  <c r="T599" i="14"/>
  <c r="T595" i="14"/>
  <c r="T587" i="14"/>
  <c r="T575" i="14"/>
  <c r="T557" i="14"/>
  <c r="T541" i="14"/>
  <c r="T476" i="14"/>
  <c r="T464" i="14"/>
  <c r="T456" i="14"/>
  <c r="T452" i="14"/>
  <c r="T436" i="14"/>
  <c r="T364" i="14"/>
  <c r="T352" i="14"/>
  <c r="T348" i="14"/>
  <c r="T340" i="14"/>
  <c r="T304" i="14"/>
  <c r="T300" i="14"/>
  <c r="T296" i="14"/>
  <c r="T280" i="14"/>
  <c r="T264" i="14"/>
  <c r="T230" i="14"/>
  <c r="T186" i="14"/>
  <c r="T168" i="14"/>
  <c r="T160" i="14"/>
  <c r="T141" i="14"/>
  <c r="T89" i="14"/>
  <c r="T76" i="14"/>
  <c r="T706" i="14"/>
  <c r="T679" i="14"/>
  <c r="T675" i="14"/>
  <c r="T671" i="14"/>
  <c r="T663" i="14"/>
  <c r="T647" i="14"/>
  <c r="T639" i="14"/>
  <c r="T634" i="14"/>
  <c r="T616" i="14"/>
  <c r="T608" i="14"/>
  <c r="T600" i="14"/>
  <c r="T584" i="14"/>
  <c r="T576" i="14"/>
  <c r="T551" i="14"/>
  <c r="T441" i="14"/>
  <c r="T429" i="14"/>
  <c r="T425" i="14"/>
  <c r="T402" i="14"/>
  <c r="T365" i="14"/>
  <c r="T349" i="14"/>
  <c r="T338" i="14"/>
  <c r="T305" i="14"/>
  <c r="T301" i="14"/>
  <c r="T293" i="14"/>
  <c r="T285" i="14"/>
  <c r="T277" i="14"/>
  <c r="T203" i="14"/>
  <c r="T195" i="14"/>
  <c r="T191" i="14"/>
  <c r="T187" i="14"/>
  <c r="T169" i="14"/>
  <c r="T161" i="14"/>
  <c r="T147" i="14"/>
  <c r="T90" i="14"/>
  <c r="T82" i="14"/>
  <c r="T47" i="14"/>
  <c r="T23" i="14"/>
  <c r="T6" i="14"/>
  <c r="T731" i="14" s="1"/>
  <c r="T733" i="14" s="1"/>
  <c r="T726" i="11" l="1"/>
  <c r="I724" i="11" s="1"/>
  <c r="Q729" i="11"/>
  <c r="K729" i="7"/>
  <c r="I735" i="14"/>
  <c r="I737" i="14" s="1"/>
  <c r="K744" i="14" s="1"/>
  <c r="R726" i="9"/>
  <c r="G721" i="9" s="1"/>
  <c r="O729" i="9"/>
  <c r="M729" i="1"/>
  <c r="K729" i="1"/>
  <c r="Q742" i="14"/>
  <c r="O742" i="14"/>
  <c r="T736" i="14"/>
  <c r="I726" i="11" l="1"/>
  <c r="I725" i="11"/>
  <c r="I727" i="11" s="1"/>
  <c r="K731" i="11" s="1"/>
  <c r="I739" i="14"/>
  <c r="H729" i="9"/>
  <c r="G722" i="9"/>
  <c r="G723" i="9"/>
  <c r="G724" i="9"/>
  <c r="G726" i="9" s="1"/>
  <c r="K746" i="14"/>
  <c r="K751" i="14" s="1"/>
  <c r="L744" i="14"/>
  <c r="L751" i="14"/>
  <c r="L738" i="11" l="1"/>
  <c r="K733" i="11"/>
  <c r="K738" i="11" s="1"/>
  <c r="L731" i="11"/>
  <c r="G725" i="9"/>
  <c r="G727" i="9" s="1"/>
  <c r="K729" i="9"/>
  <c r="M729"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anarvaez</author>
  </authors>
  <commentList>
    <comment ref="T44" authorId="0" shapeId="0" xr:uid="{00000000-0006-0000-1200-000001000000}">
      <text>
        <r>
          <rPr>
            <sz val="8"/>
            <color indexed="81"/>
            <rFont val="Tahoma"/>
            <family val="2"/>
          </rPr>
          <t>Sumartoria de los subtotales</t>
        </r>
      </text>
    </comment>
    <comment ref="T45" authorId="0" shapeId="0" xr:uid="{00000000-0006-0000-1200-000002000000}">
      <text>
        <r>
          <rPr>
            <sz val="8"/>
            <color indexed="81"/>
            <rFont val="Tahoma"/>
            <family val="2"/>
          </rPr>
          <t>Total costo directo multiplicado por el AIU</t>
        </r>
        <r>
          <rPr>
            <sz val="8"/>
            <color indexed="81"/>
            <rFont val="Tahoma"/>
            <family val="2"/>
          </rPr>
          <t xml:space="preserve">
</t>
        </r>
      </text>
    </comment>
    <comment ref="T46" authorId="0" shapeId="0" xr:uid="{00000000-0006-0000-1200-000003000000}">
      <text>
        <r>
          <rPr>
            <sz val="8"/>
            <color indexed="81"/>
            <rFont val="Tahoma"/>
            <family val="2"/>
          </rPr>
          <t>Sumatoria costo directo y costo indirecto</t>
        </r>
        <r>
          <rPr>
            <sz val="8"/>
            <color indexed="81"/>
            <rFont val="Tahoma"/>
            <family val="2"/>
          </rPr>
          <t xml:space="preserve">
</t>
        </r>
      </text>
    </comment>
    <comment ref="T47" authorId="0" shapeId="0" xr:uid="{00000000-0006-0000-1200-000004000000}">
      <text>
        <r>
          <rPr>
            <sz val="8"/>
            <color indexed="81"/>
            <rFont val="Tahoma"/>
            <family val="2"/>
          </rPr>
          <t>Valor total actividad multiplicado por la cantidad</t>
        </r>
        <r>
          <rPr>
            <sz val="8"/>
            <color indexed="81"/>
            <rFont val="Tahoma"/>
            <family val="2"/>
          </rPr>
          <t xml:space="preserve">
</t>
        </r>
      </text>
    </comment>
    <comment ref="A57" authorId="0" shapeId="0" xr:uid="{00000000-0006-0000-1200-000005000000}">
      <text>
        <r>
          <rPr>
            <sz val="8"/>
            <color indexed="81"/>
            <rFont val="Tahoma"/>
            <family val="2"/>
          </rPr>
          <t>Observaciones al rendimiento, valor unitario, jornales, etc., o Manifestación de Acuerdo con el Valor Propuesto</t>
        </r>
        <r>
          <rPr>
            <sz val="8"/>
            <color indexed="81"/>
            <rFont val="Tahoma"/>
            <family val="2"/>
          </rPr>
          <t xml:space="preserve">
</t>
        </r>
      </text>
    </comment>
  </commentList>
</comments>
</file>

<file path=xl/sharedStrings.xml><?xml version="1.0" encoding="utf-8"?>
<sst xmlns="http://schemas.openxmlformats.org/spreadsheetml/2006/main" count="31665" uniqueCount="1499">
  <si>
    <t>CONSTRUCCIÓN DE LA PRIMERA ETAPA DE LA SEDE TERRITORIAL DE LA ESAP EN LA CIUDAD DE NEIVA, DEPARTAMENTO DEL HUILA</t>
  </si>
  <si>
    <t>ÍTEM</t>
  </si>
  <si>
    <t xml:space="preserve">DESCRIPCIÓN </t>
  </si>
  <si>
    <t>UNIDAD</t>
  </si>
  <si>
    <t xml:space="preserve">CANTIDAD </t>
  </si>
  <si>
    <t>VALOR UNITARIO</t>
  </si>
  <si>
    <t xml:space="preserve"> VALOR TOTAL </t>
  </si>
  <si>
    <t>PRECIO FASE II</t>
  </si>
  <si>
    <t>PRELIMINARES</t>
  </si>
  <si>
    <t>1.1</t>
  </si>
  <si>
    <t>OBRAS PRELIMINARES</t>
  </si>
  <si>
    <t>1.1.1</t>
  </si>
  <si>
    <t>DESCAPOTE A MAQUINA (INCLUYE RETIRO)</t>
  </si>
  <si>
    <t>M2</t>
  </si>
  <si>
    <t>1.1.4</t>
  </si>
  <si>
    <t>BARRERA DE PROTECCIÓN PARA ARBOLES EXISTENTES</t>
  </si>
  <si>
    <t>UND</t>
  </si>
  <si>
    <t>1.2</t>
  </si>
  <si>
    <t>INSTALACION SERVICIOS PROVISIONALES</t>
  </si>
  <si>
    <t>1.3</t>
  </si>
  <si>
    <t>DEMOLICIONES</t>
  </si>
  <si>
    <t>1.3.1</t>
  </si>
  <si>
    <t>DEMOLICIÓN AREA DE ESPACIO PUBLICO (VIAS, ANDENES, CUNETAS) INCLUYE RETIRO DE SOBRANTES Y DISPOSICIÓN FINAL</t>
  </si>
  <si>
    <t>1.3.2</t>
  </si>
  <si>
    <t>DEMOLICIÓN DE ESTRUCTURA EXISTENTE AREA CUBIERTA INCLUYE RETIRO DE SOBRANTES Y DISPOSICIÓN FINAL</t>
  </si>
  <si>
    <t>CIMENTACION</t>
  </si>
  <si>
    <t>2.1</t>
  </si>
  <si>
    <t>EXCAVACIONES, RELLENOS Y OTROS</t>
  </si>
  <si>
    <t>2.1.1</t>
  </si>
  <si>
    <t>EXCAVACIÓN MECÁNICA EN MATERIAL COMÚN (incluye cargue y retiro)</t>
  </si>
  <si>
    <t>M3</t>
  </si>
  <si>
    <t>2.1.2</t>
  </si>
  <si>
    <t>EXCAVACIÓN MANUAL EN MATERIAL COMÚN (incluye cargue y retiro)</t>
  </si>
  <si>
    <t>2.1.3</t>
  </si>
  <si>
    <t>RELLENOS EN MATERIAL COMÚN, SELECCIONADO DE OBRA (Incluye Compactación)</t>
  </si>
  <si>
    <t>2.1.4</t>
  </si>
  <si>
    <t>RELLENO EN RECEBO COMÚN (Incluye Compactación)</t>
  </si>
  <si>
    <t>2.2</t>
  </si>
  <si>
    <t xml:space="preserve">CONCRETOS DE CIMENTACIÓN </t>
  </si>
  <si>
    <t>2.2.1</t>
  </si>
  <si>
    <t>CONCRETO POBRE DE LIMPIEZA  e=0.05 m</t>
  </si>
  <si>
    <t>2.2.2</t>
  </si>
  <si>
    <t>CONCRETO PARA ZAPATAS DE 4000 psi</t>
  </si>
  <si>
    <t>2.2.3</t>
  </si>
  <si>
    <t>VIGAS DE CIMENTACIÓN DE 4000 psi</t>
  </si>
  <si>
    <t>2.2.4</t>
  </si>
  <si>
    <t>MURO DE CONTENCIÓN SOTANO EN CONCRETO DE 4000 PSI</t>
  </si>
  <si>
    <t>2.3</t>
  </si>
  <si>
    <t xml:space="preserve">CONSTRUCCIÓN VARIOS EN CONCRETO </t>
  </si>
  <si>
    <t>2.3.1</t>
  </si>
  <si>
    <t>TANQUE DE ALMACENAMIENTO Y RESERVA EN CONCRETO DE 4000 PSI</t>
  </si>
  <si>
    <t>2.4</t>
  </si>
  <si>
    <t>SUMINISTRO E INSTALACIÓN ACERO DE REFUERZO CIMENTACIÓN</t>
  </si>
  <si>
    <t>2.4.1</t>
  </si>
  <si>
    <t>ACERO DE REFUERZO 60000 psi Incluye ALAMBRE DE AMARRE</t>
  </si>
  <si>
    <t>KG</t>
  </si>
  <si>
    <t>2.4.2</t>
  </si>
  <si>
    <t>MALLA ELECTROSOLDADA PLACA CONTRAPISO Q84 Ø4 mm separación 15x15 cm o similar</t>
  </si>
  <si>
    <t>ESTRUCTURAS EN CONCRETO Y METALICAS</t>
  </si>
  <si>
    <t>3.1</t>
  </si>
  <si>
    <t>ELEMENTOS ESTRUCTURALES</t>
  </si>
  <si>
    <t>3.1.1</t>
  </si>
  <si>
    <t>COLUMNAS EN CONCRETO DE 4000 psi</t>
  </si>
  <si>
    <t>3.1.2</t>
  </si>
  <si>
    <t>PANTALLAS ASCENSORES Y ESCALERA EJES F2 Y K2 EN CONCRETO DE 4000 PSI</t>
  </si>
  <si>
    <t>3.2</t>
  </si>
  <si>
    <t>PLACAS Y LOSAS DE ENTREPISO</t>
  </si>
  <si>
    <t>3.2.1</t>
  </si>
  <si>
    <t>PLACA ENTREPISO ALIGERADA H= 0.60M EN CONCRETO DE 4000 PSI incluye, VIGAS, VIGUETAS, RIOSTRAS, CASETON E: 7.5 cm aprox</t>
  </si>
  <si>
    <t>3.2.2</t>
  </si>
  <si>
    <t>PLACA MACIZA CONTRAPISO CIMENTACION E: 15 cms</t>
  </si>
  <si>
    <t>3.2.3</t>
  </si>
  <si>
    <t xml:space="preserve">PLACA MACIZA ZONA ASCENSOR 2DA PLANTA </t>
  </si>
  <si>
    <t>3.3</t>
  </si>
  <si>
    <t>CONSTRUCCIONES VARIAS EN CONCRETO</t>
  </si>
  <si>
    <t>3.3.1</t>
  </si>
  <si>
    <t>MURO EN CONCRETO DE 4000 PSI DESCOLGADO VIGA 00C 30x120</t>
  </si>
  <si>
    <t>3.3.2</t>
  </si>
  <si>
    <t>MURO ESTRUCTURAL EN CONCRETO DE 4000 PSI FACHADA EXTERIOR</t>
  </si>
  <si>
    <t>3.3.3</t>
  </si>
  <si>
    <t>ESCALERAS INTERNAS</t>
  </si>
  <si>
    <t>3.3.4</t>
  </si>
  <si>
    <t>ESCALERA ACCESO SEGUNDO (2DO) Y TERCER (3ER) PISO EJES 1 Y 4'</t>
  </si>
  <si>
    <t>3.3.5</t>
  </si>
  <si>
    <t>RAMPAS DE ACCESO Incluye ACERO DE REFUERZO</t>
  </si>
  <si>
    <t>3.4</t>
  </si>
  <si>
    <t>SUMINISTRO E INSTALACIÓN ACERO DE REFUERZO ELEMENTOS ESTRUCTURALES, PLACAS MACIZAS, CONSTRUCCIONES VARIAS EN CONCRETOS</t>
  </si>
  <si>
    <t>3.4.1</t>
  </si>
  <si>
    <t>3.4.2</t>
  </si>
  <si>
    <t>MALLA ELECTROSOLDADA PLACA ENTREPISO Q85 Ø4 mm separación 15x15 cm o similar</t>
  </si>
  <si>
    <t>3.5</t>
  </si>
  <si>
    <t>SUMINISTRO E INSTALACION DE ESTRUCTURA METALICA CUBIERTA</t>
  </si>
  <si>
    <t>3.5.1</t>
  </si>
  <si>
    <t>CERCHA METALICA CUBIERTA</t>
  </si>
  <si>
    <t>ML</t>
  </si>
  <si>
    <t>3.5.2</t>
  </si>
  <si>
    <t>CORREAS METALICAS CUBIERTA</t>
  </si>
  <si>
    <t>3.5.3</t>
  </si>
  <si>
    <t>CUBIERTA TIPO SANDWICH</t>
  </si>
  <si>
    <t>CIELO RASOS</t>
  </si>
  <si>
    <t>4.1</t>
  </si>
  <si>
    <t>SUMINISTRO E INSTALACION DE CIELOS RASOS PISO 1</t>
  </si>
  <si>
    <t>4.1.1</t>
  </si>
  <si>
    <t>SUMINISTRO E INSTALACION CIELO RASO EN DRYWALL LAMINA VERDE RH  PINTADO A 3 MANOS PINTURA VINILO TIPO 1 o similar  BLANCA Ref. Planos 09512</t>
  </si>
  <si>
    <t>4.1.2</t>
  </si>
  <si>
    <t>SUMINISTRO E INSTALACION CIELO RASO EN DRYWALL LAMINA BLANCA PINTADO A 3 MANOS PINTURA VINILO TIPO 1  BLANCA Ref. Planos 09511</t>
  </si>
  <si>
    <t>CONSTRUCCIÓN DE MUROS ARQUITECTONICOS</t>
  </si>
  <si>
    <t>5.1</t>
  </si>
  <si>
    <t>CONSTRUCCIÓN MUROS ARQUITECTONICOS SEMISOTANO</t>
  </si>
  <si>
    <t>5.1.1</t>
  </si>
  <si>
    <t>MURO EN CONCRETO DE 4000 PSI e=0.12 m Ver. Planos Tipo Muro M-1</t>
  </si>
  <si>
    <t>5.1.2</t>
  </si>
  <si>
    <t>MURO EN CONCRETO DE 4000 PSI e=0.15 m Ver. Planos Tipo Muro M-2</t>
  </si>
  <si>
    <t>5.1.3</t>
  </si>
  <si>
    <t>MURO EN CONCRETO DE 4000 PSI e=0.25 m Ver. Planos Tipo Muro M-3</t>
  </si>
  <si>
    <t>5.1.4</t>
  </si>
  <si>
    <t>MURO EN CONCRETO DE 4000 PSI e=0.30 m Ver. Planos Tipo Muro M-4</t>
  </si>
  <si>
    <t>5.1.5</t>
  </si>
  <si>
    <t>MURO EN CONCRETO DE 4000 PSI e=0.40 m Ver. Planos Tipo Muro M-5</t>
  </si>
  <si>
    <t>5.1.6</t>
  </si>
  <si>
    <t>MURO EN LADRILLO GRAN FORMATO e= 0.12 m Ref. Tierra Ver. Planos Tipo Muro M-6</t>
  </si>
  <si>
    <t>5.1.7</t>
  </si>
  <si>
    <t xml:space="preserve">MURO EN LADRILLO GRAN FORMATO e= 0.25 m Ref. Tierra Ver. Planos Tipo Muro M-7 </t>
  </si>
  <si>
    <t>5.2</t>
  </si>
  <si>
    <t>CONSTRUCCIÓN MUROS ARQUITECTONICOS EXTERIORES</t>
  </si>
  <si>
    <t>5.2.1</t>
  </si>
  <si>
    <t>5.2.2</t>
  </si>
  <si>
    <t>5.3</t>
  </si>
  <si>
    <t>CONSTRUCCIÓN MUROS ARQUITECTONICOS PISO 1</t>
  </si>
  <si>
    <t>5.3.1</t>
  </si>
  <si>
    <t>ENCHAPE DE MURO BAÑOS PORCELANATO GRIS 30*40CM</t>
  </si>
  <si>
    <t>5.3.2</t>
  </si>
  <si>
    <t>5.3.3</t>
  </si>
  <si>
    <t>5.3.4</t>
  </si>
  <si>
    <t>||</t>
  </si>
  <si>
    <t>5.3.5</t>
  </si>
  <si>
    <t>5.3.6</t>
  </si>
  <si>
    <t>5.4</t>
  </si>
  <si>
    <t>CONSTRUCCIÓN MUROS ARQUITECTONICOS PISO 2</t>
  </si>
  <si>
    <t>5.4.1</t>
  </si>
  <si>
    <t>5.4.2</t>
  </si>
  <si>
    <t>5.4.3</t>
  </si>
  <si>
    <t>5.4.4</t>
  </si>
  <si>
    <t>5.4.5</t>
  </si>
  <si>
    <t>5.4.6</t>
  </si>
  <si>
    <t>ACABADOS DE PISOS</t>
  </si>
  <si>
    <t>6.1</t>
  </si>
  <si>
    <t>SUMINISTRO E INSTALACIÓN PISOS SEMISOTANO</t>
  </si>
  <si>
    <t>6.1.1</t>
  </si>
  <si>
    <t xml:space="preserve">ANDEN INTERNO EN CONCRETO DE 2500 PSI CON ACABADO CEMENTO PULIDO Ref. Planos 03318 </t>
  </si>
  <si>
    <t>6.1.2</t>
  </si>
  <si>
    <t>ACABADO DE PISO DE CONCRETO GRIS PULIDO   Ref. Planos 09650-1</t>
  </si>
  <si>
    <t>6.1.3</t>
  </si>
  <si>
    <t>SUMINISTRO E INSTALACION PISO TABLETA ZONAS COMUNES Incluye ALISTADO Referencia  ALFA 30 X 30 HUILA Ref. Planos 09610.1</t>
  </si>
  <si>
    <t>6.2</t>
  </si>
  <si>
    <t>SUMINISTRO E INSTALACIÓN DE PISOS ESPACIO PUBLICO</t>
  </si>
  <si>
    <t>6.2.1</t>
  </si>
  <si>
    <t>SUMINISTRO E INSTALACION ANDEN EN LOSETA PREFABRICADA Referencia A50  GRIS 40 X 40 incluye alistadio - (Especificación Cartilla Andenes IDU-2011)</t>
  </si>
  <si>
    <t>6.2.2</t>
  </si>
  <si>
    <t>SUMINISTRO E INSTALACION JARDIN Ref. Planos A2900 (Incluye material aislante, impermeabilizante, tierra, abonos y plantas ornamentales)</t>
  </si>
  <si>
    <t>6.3</t>
  </si>
  <si>
    <t>SUMINISTRO E INSTALACIÓN DE PISOS PISO 1</t>
  </si>
  <si>
    <t>6.3.1</t>
  </si>
  <si>
    <t>6.3.2</t>
  </si>
  <si>
    <t>SUMINISTRO E INSTALACION PISO LOSETA PREFABRICADA GRIS Referencia A30 DE 40X60 - (Especificación Cartilla Andenes IDU-2011)  Ref. Planos 09620.8</t>
  </si>
  <si>
    <t>6.3.3</t>
  </si>
  <si>
    <t>SUMINISTRO E INSTALACION PISO EN VINILO GRIS TARIMA Ref. Planos 09650.1</t>
  </si>
  <si>
    <t>6.3.4</t>
  </si>
  <si>
    <t>SUMINISTRO E INSTALACION PISO EN ALFOMBRA Referencia TRAFICO PESADO Ref. Planos 09680.A1</t>
  </si>
  <si>
    <t>6.3.5</t>
  </si>
  <si>
    <t>6.4</t>
  </si>
  <si>
    <t>SUMINISTRO E INSTALACIÓN DE PISOS PISO 2</t>
  </si>
  <si>
    <t>6.4.1</t>
  </si>
  <si>
    <t>6.4.2</t>
  </si>
  <si>
    <t>6.4.3</t>
  </si>
  <si>
    <t>VENTANERIA</t>
  </si>
  <si>
    <t>7.1</t>
  </si>
  <si>
    <t>SUMINISTRO E INSTALACION VENTANAS ESPACIO PUBLICO</t>
  </si>
  <si>
    <t>7.1.1</t>
  </si>
  <si>
    <t>SUMINISTRO E INSTALACION VENTANA EN ALUMINIO o similar TIPO V-R Incluye VIDRIO Ver NOTAS GENERALES DE PLANCHA</t>
  </si>
  <si>
    <t>7.2</t>
  </si>
  <si>
    <t>SUMINISTRO E INSTALACION VENTANAS PISO 1</t>
  </si>
  <si>
    <t>7.2.1</t>
  </si>
  <si>
    <t>SUMINISTRO E INSTALACION VENTANA EN ALUMINIO o similar TIPO V3 Incluye VIDRIO Referencia SOLARBAN Ver NOTAS GENERALES DE PLANCHA</t>
  </si>
  <si>
    <t>7.2.2</t>
  </si>
  <si>
    <t>SUMINISTRO E INSTALACION VENTANA EN ALUMINIO o similar TIPO V4 Incluye VIDRIO Ver NOTAS GENERALES DE PLANCHA</t>
  </si>
  <si>
    <t>7.3</t>
  </si>
  <si>
    <t>SUMINISTRO E INSTALACION VENTANAS PISO 2</t>
  </si>
  <si>
    <t>7.3.1</t>
  </si>
  <si>
    <t>SUMINISTRO E INSTALACION VENTANA EN ALUMINIO o similar TIPO V1 Incluye VIDRIO Referencia SOLARBAN Ver NOTAS GENERALES DE PLANCHA</t>
  </si>
  <si>
    <t>7.3.2</t>
  </si>
  <si>
    <t>SUMINISTRO E INSTALACION VENTANA EN ALUMINIO o similar TIPO V2 Incluye VIDRIO Referencia SOLARBAN Ver NOTAS GENERALES DE PLANCHA</t>
  </si>
  <si>
    <t>7.3.3</t>
  </si>
  <si>
    <t>7.3.4</t>
  </si>
  <si>
    <t>7.3.5</t>
  </si>
  <si>
    <t>SUMINISTRO E INSTALACION VENTANA EN ALUMINIO o similar TIPO V5 Incluye VIDRIO Referencia SOLARBAN Ver NOTAS GENERALES DE PLANCHA</t>
  </si>
  <si>
    <t>VENTANALES</t>
  </si>
  <si>
    <t>8.1</t>
  </si>
  <si>
    <t>SUMINISTRO E INSTALACION VENTANALES PISO 1</t>
  </si>
  <si>
    <t>8.1.1</t>
  </si>
  <si>
    <t>SUMINISTRO E INSTALACION VENTANAL INTERIOR EN ALUMINIO o similar TIPO V-0 Incluye VIDRIO Referencia TRASLUCIDO TEMPLADO 10MM Ver NOTAS GENERALES DE PLANCHA</t>
  </si>
  <si>
    <t>8.1.2</t>
  </si>
  <si>
    <t>SUMINISTRO E INSTALACION VENTANAL PERFIL 12cm EN ALUMINIO o similar TIPO V-1 Incluye VIDRIO Referencia SOLARBAN Ver NOTAS GENERALES DE PLANCHA</t>
  </si>
  <si>
    <t>8.1.3</t>
  </si>
  <si>
    <t>SUMINISTRO E INSTALACION VENTANAL DOBLE ALTURA EN ALUMINIO o similar TIPO V-4 Incluye VIDRIO Referencia SOLARBAN Ver NOTAS GENERALES DE PLANCHA</t>
  </si>
  <si>
    <t>8.1.4</t>
  </si>
  <si>
    <t>SUMINISTRO E INSTALACIONVENTANAL DOBLE ALTURA LIBRE EN ALUMINIO o similar TIPO V-5 Incluye VIDRIO Referencia SOLARBAN Ver NOTAS GENERALES DE PLANCHA</t>
  </si>
  <si>
    <t>8.2</t>
  </si>
  <si>
    <t>SUMINISTRO E INSTALACION VENTANALES PISO 2</t>
  </si>
  <si>
    <t>8.2.1</t>
  </si>
  <si>
    <t>SUMINISTRO E INSTALACION CORTASOL Referencia 84R TIPO CS-1 Ver NOTAS GENERALES DE PLANCHA</t>
  </si>
  <si>
    <t>8.2.2</t>
  </si>
  <si>
    <t>8.2.3</t>
  </si>
  <si>
    <t>8.2.4</t>
  </si>
  <si>
    <t>SUMINISTRO E INSTALACION VENTANAL PERFIL 12cm  AULAS COMPLETO EN ALUMINIO o similar TIPO V-2 Incluye VIDRIO Referencia SOLARBAN Ver NOTAS GENERALES DE PLANCHA</t>
  </si>
  <si>
    <t>8.2.5</t>
  </si>
  <si>
    <t>SUMINISTRO E INSTALACION VENTANAL PERFIL 15cm EN ALUMINIO o similar TIPO V-3 Incluye VIDRIO Referencia SOLARBAN Ver NOTAS GENERALES DE PLANCHA</t>
  </si>
  <si>
    <t>8.2.6</t>
  </si>
  <si>
    <t>SUMINISTRO E INSTALACION VENTANAL DOBLE ALTURA LIBRE EN ALUMINIO o similar TIPO V-5 Incluye VIDRIO Referencia SOLARBAN Ver NOTAS GENERALES DE PLANCHA</t>
  </si>
  <si>
    <t>8.2.7</t>
  </si>
  <si>
    <t>SUMINISTRO E INSTALACION VENTANAL INTERIOR PERFIL 15cm SALONES EN ALUMINIO o similar TIPO V-6Incluye VIDRIO Referencia TRASLUCIDO TEMPLADO 10MM Ver NOTAS GENERALES DE PLANCHA</t>
  </si>
  <si>
    <t>PUERTAS</t>
  </si>
  <si>
    <t>9.1</t>
  </si>
  <si>
    <t>SUMINISTRO E INSTALACIÓN PUERTAS SEMISOTANO</t>
  </si>
  <si>
    <t>9.1.1</t>
  </si>
  <si>
    <t>SUMINISTRO E INSTALACION PUERTA DE EVACUACIÓN TIPO P-1 Ver NOTAS GENERALES DE PLANCHA</t>
  </si>
  <si>
    <t>9.1.2</t>
  </si>
  <si>
    <t>SUMINISTRO E INSTALACION PUERTA METALICA DEPOSITOS TIPO P-2 Ver NOTAS GENERALES DE PLANCHA</t>
  </si>
  <si>
    <t>9.1.3</t>
  </si>
  <si>
    <t>SUMINISTRO E INSTALACION PUERTA METALICA DOBLE HOJA TIPO P-7 Ver NOTAS GENERALES DE PLANCHA</t>
  </si>
  <si>
    <t>9.1.4</t>
  </si>
  <si>
    <t>SUMINISTRO E INSTALACION PUERTA GARAJE TIPO P-9 Ver NOTAS GENERALES DE PLANCHA</t>
  </si>
  <si>
    <t>9.2</t>
  </si>
  <si>
    <t>SUMINISTRO E INSTALACIÓN PUERTAS PISO 1</t>
  </si>
  <si>
    <t>9.2.1</t>
  </si>
  <si>
    <t>9.2.2</t>
  </si>
  <si>
    <t>9.2.3</t>
  </si>
  <si>
    <t>SUMINISTRO E INSTALACION PUERTA DIVISORIA DE MADERA TIPO P-3 Ver NOTAS GENERALES DE PLANCHA</t>
  </si>
  <si>
    <t>9.2.4</t>
  </si>
  <si>
    <t>SUMINISTRO E INSTALACION PUERTA DIVISORIA DE MADERA TIPO P-4 Ver NOTAS GENERALES DE PLANCHA</t>
  </si>
  <si>
    <t>9.2.5</t>
  </si>
  <si>
    <t>SUMINISTRO E INSTALACION PUERTA DIVISORIA DE MADERA TIPO P-5 Ver NOTAS GENERALES DE PLANCHA</t>
  </si>
  <si>
    <t>9.2.6</t>
  </si>
  <si>
    <t>9.2.7</t>
  </si>
  <si>
    <t>SUMINISTRO E INSTALACION PUERTA DIVISORIA EN VIDRIO TIPO PV1 Ver NOTAS GENERALES DE PLANCHA</t>
  </si>
  <si>
    <t>9.3</t>
  </si>
  <si>
    <t>SUMINISTRO E INSTALACIÓN PUERTAS PISO 2</t>
  </si>
  <si>
    <t>9.3.1</t>
  </si>
  <si>
    <t>9.3.2</t>
  </si>
  <si>
    <t>9.3.3</t>
  </si>
  <si>
    <t>9.3.4</t>
  </si>
  <si>
    <t>9.3.5</t>
  </si>
  <si>
    <t>9.3.6</t>
  </si>
  <si>
    <t>OTROS ARQUITECTONICOS</t>
  </si>
  <si>
    <t>10.2</t>
  </si>
  <si>
    <t>SUMINISTRO E INSTALACIÓN DE BARANDAS</t>
  </si>
  <si>
    <t>10.2.1</t>
  </si>
  <si>
    <t>SUMINISTRO E INSTALACION BARANDA TIPO B1 EN ACERO INOXIDABLE (Incluye todos los accesorios para su instalación)</t>
  </si>
  <si>
    <t>10.2.2</t>
  </si>
  <si>
    <t>SUMINISTRO E INSTALACION PASAMANOS PUNTO FIJO No. 1 (Incluye todos los accesorios para su instalación)</t>
  </si>
  <si>
    <t>10.3</t>
  </si>
  <si>
    <t>SUMINISTRO E INSTALACIÓN DE DIVISIONES DE BAÑOS</t>
  </si>
  <si>
    <t>10.3.1</t>
  </si>
  <si>
    <t>SUMINISTRO E INSTALACION DIVISION EN ACERO INOXIDABLE BAÑOS (Incluye todos los accesorios para su instalación)</t>
  </si>
  <si>
    <t xml:space="preserve">RED HIDRÁULICO Y SANITARIO </t>
  </si>
  <si>
    <t>12.1</t>
  </si>
  <si>
    <t>SUMINISTRO E INSTALACIÓN RED AGUA POTABLE</t>
  </si>
  <si>
    <t>12.1.1</t>
  </si>
  <si>
    <t>SUMINISTRO E INSTALACIÓN TUBERIA PVC-P DIAMETRO 1/2" RDE 9</t>
  </si>
  <si>
    <t xml:space="preserve">ML   </t>
  </si>
  <si>
    <t>12.1.2</t>
  </si>
  <si>
    <t>SUMINISTRO E INSTALACIÓN TUBERIA PCV-P DIAMETRO 3/4" RDE 11</t>
  </si>
  <si>
    <t>12.1.3</t>
  </si>
  <si>
    <t>SUMINISTRO E INSTALACIÓN TUBERIA PCV-P DIAMETRO 1" RDE 13,5</t>
  </si>
  <si>
    <t>12.1.4</t>
  </si>
  <si>
    <t>SUMINISTRO E INSTALACIÓN TUBERIA PCV-P DIAMETRO 1 1/4" RDE 21</t>
  </si>
  <si>
    <t>12.1.5</t>
  </si>
  <si>
    <t>SUMINISTRO E INSTALACIÓN TUBERIA PCV-P DIAMETRO 1 1/2" RDE 21</t>
  </si>
  <si>
    <t>12.1.6</t>
  </si>
  <si>
    <t>SUMINISTRO E INSTALACIÓN TUBERIA PCV-P DIAMETRO 2" RDE 21</t>
  </si>
  <si>
    <t>12.1.7</t>
  </si>
  <si>
    <t>SUMINISTRO E INSTALACIÓN TUBERIA PCV-P DIAMETRO 2 1/2" RDE 21</t>
  </si>
  <si>
    <t>12.1.8</t>
  </si>
  <si>
    <t>SUMINISTRO E INSTALACIÓN ACCESORIOS PVC-P 1/2" SCH 40</t>
  </si>
  <si>
    <t xml:space="preserve">UN   </t>
  </si>
  <si>
    <t>12.1.9</t>
  </si>
  <si>
    <t>SUMINISTRO E INSTALACIÓN ACCESORIOS PVC-P 3/4" SCH 40</t>
  </si>
  <si>
    <t>12.1.10</t>
  </si>
  <si>
    <t>SUMINISTRO E INSTALACIÓN ACCESORIOS PVC-P 1" SCH 40</t>
  </si>
  <si>
    <t>12.1.11</t>
  </si>
  <si>
    <t>SUMINISTRO E INSTALACIÓN ACCESORIOS PVC-P 1 1/4" SCH 40</t>
  </si>
  <si>
    <t>12.1.12</t>
  </si>
  <si>
    <t xml:space="preserve">SUMINISTRO E INSTALACIÓN ACCESORIOS PVC-P 1 1/2" SCH 40                                                </t>
  </si>
  <si>
    <t>12.1.13</t>
  </si>
  <si>
    <t>SUMINISTRO E INSTALACIÓN ACCESORIOS PVC-P 2" SCH 40</t>
  </si>
  <si>
    <t>12.1.14</t>
  </si>
  <si>
    <t xml:space="preserve">SUMINISTRO E INSTALACIÓN ACCESORIOS PVC-P 2 1/2" SCH 40                                           </t>
  </si>
  <si>
    <t>12.1.15</t>
  </si>
  <si>
    <t xml:space="preserve">SUMINISTRO E INSTALACIÓN SOPORTE DE 1/2"                                                                 </t>
  </si>
  <si>
    <t>12.1.16</t>
  </si>
  <si>
    <t xml:space="preserve">SUMINISTRO E INSTALACIÓN SOPORTE DE 3/4"                                                                 </t>
  </si>
  <si>
    <t>12.1.17</t>
  </si>
  <si>
    <t xml:space="preserve">SUMINISTRO E INSTALACIÓN SOPORTE DE 1"                                                                   </t>
  </si>
  <si>
    <t>12.1.18</t>
  </si>
  <si>
    <t xml:space="preserve">SUMINISTRO E INSTALACIÓN SOPORTE DE 1 1/4"                                                               </t>
  </si>
  <si>
    <t>12.1.19</t>
  </si>
  <si>
    <t xml:space="preserve">SUMINISTRO E INSTALACIÓN SOPORTE DE 1 1/2"                                                               </t>
  </si>
  <si>
    <t>12.1.20</t>
  </si>
  <si>
    <t xml:space="preserve">SUMINISTRO E INSTALACIÓN SOPORTE DE 2"                                                                   </t>
  </si>
  <si>
    <t>12.1.21</t>
  </si>
  <si>
    <t xml:space="preserve">SUMINISTRO E INSTALACIÓN SOPORTE DE 2 1/2"                                                               </t>
  </si>
  <si>
    <t>12.1.22</t>
  </si>
  <si>
    <t xml:space="preserve">SUMINISTRO E INSTALACIÓN PUNTO HIDRÁULICO PVC-P 1/2"                                                      </t>
  </si>
  <si>
    <t>12.1.23</t>
  </si>
  <si>
    <t xml:space="preserve">SUMINISTRO E INSTALACIÓN PUNTO HIDRÁULICO PVC-P 3/4"                                                      </t>
  </si>
  <si>
    <t>12.1.24</t>
  </si>
  <si>
    <t xml:space="preserve">SUMINISTRO E INSTALACIÓN PUNTO HIDRÁULICO PVC-P 1 1/4"                                                    </t>
  </si>
  <si>
    <t>12.1.25</t>
  </si>
  <si>
    <t xml:space="preserve">SUMINISTRO E INSTALACIÓN REGISTRO CORTINA ROSCAR 1/2"                                                   </t>
  </si>
  <si>
    <t>12.1.26</t>
  </si>
  <si>
    <t xml:space="preserve">SUMINISTRO E INSTALACIÓN REGISTRO CORTINA P/D ROSCAR 1 1/4"                                                 </t>
  </si>
  <si>
    <t>12.1.27</t>
  </si>
  <si>
    <t xml:space="preserve">SUMINISTRO E INSTALACIÓN REGISTRO CORTINA P/D ROSCAR 1 1/2"                                                 </t>
  </si>
  <si>
    <t>12.1.28</t>
  </si>
  <si>
    <t xml:space="preserve">SUMINISTRO E INSTALACIÓN VÁLVULA FLOTADOR 1"                                                           </t>
  </si>
  <si>
    <t>12.1.29</t>
  </si>
  <si>
    <t xml:space="preserve">SUMINISTRO E INSTALACIÓN MEDIDOR VELOCIMETRICO  3/4"                                                   </t>
  </si>
  <si>
    <t>12.2</t>
  </si>
  <si>
    <t xml:space="preserve">SUMINISTRO E INSTALACION RED DESAGÜES AGUAS RESIDUALES                                                                              </t>
  </si>
  <si>
    <t>12.2.1</t>
  </si>
  <si>
    <t xml:space="preserve">SUMINISTRO E INSTALACIÓN TUBERIA PVC-S DIAMETRO 2"                                                                        </t>
  </si>
  <si>
    <t>12.2.2</t>
  </si>
  <si>
    <t xml:space="preserve">SUMINISTRO E INSTALACIÓN TUBERIA PVC-S DIAMETRO 3"                                                                        </t>
  </si>
  <si>
    <t>12.2.3</t>
  </si>
  <si>
    <t xml:space="preserve">SUMINISTRO E INSTALACIÓN TUBERÍA PVC-S DIAMETRO 4"                                                                        </t>
  </si>
  <si>
    <t>12.2.4</t>
  </si>
  <si>
    <t xml:space="preserve">SUMINISTRO E INSTALACIÓN TUBERIA PVC-VENT DIAMETRO 2"                                                                     </t>
  </si>
  <si>
    <t>12.2.5</t>
  </si>
  <si>
    <t xml:space="preserve">SUMINISTRO E INSTALACIÓN TUBERIA PVC-VENT DIAMETRO 3"                                                                     </t>
  </si>
  <si>
    <t>12.2.6</t>
  </si>
  <si>
    <t xml:space="preserve">SUMINISTRO E INSTALACIÓN ACCESORIOS PVC-S DIAMETRO  2"                                                             </t>
  </si>
  <si>
    <t>12.2.7</t>
  </si>
  <si>
    <t xml:space="preserve">SUMINISTRO E INSTALACIÓN ACCESORIOS PVC-S DIAMETRO  3"                                                             </t>
  </si>
  <si>
    <t>12.2.8</t>
  </si>
  <si>
    <t xml:space="preserve">SUMINISTRO E INSTALACIÓN ACCESORIOS PVC-S DIAMETRO  4"                                                             </t>
  </si>
  <si>
    <t>12.2.9</t>
  </si>
  <si>
    <t xml:space="preserve">SUMINISTRO E INSTALACIÓN SOPORTE 2"                                                                   </t>
  </si>
  <si>
    <t>12.2.10</t>
  </si>
  <si>
    <t xml:space="preserve">SUMINISTRO E INSTALACIÓN SOPORTE 3"                                                                   </t>
  </si>
  <si>
    <t>12.2.11</t>
  </si>
  <si>
    <t xml:space="preserve">SUMINISTRO E INSTALACIÓN SOPORTE 4"                                                                   </t>
  </si>
  <si>
    <t>12.2.12</t>
  </si>
  <si>
    <t xml:space="preserve">SUMINISTRO E INSTALACIÓN SALIDA SANITARIA 2"                                    </t>
  </si>
  <si>
    <t>12.2.13</t>
  </si>
  <si>
    <t xml:space="preserve">SUMINISTRO E INSTALACIÓN SALIDA SANITARIA 3"                                    </t>
  </si>
  <si>
    <t>12.2.14</t>
  </si>
  <si>
    <t xml:space="preserve">SUMINISTRO E INSTALACIÓN SALIDA SANITARIA 4"                                    </t>
  </si>
  <si>
    <t>12.2.15</t>
  </si>
  <si>
    <t xml:space="preserve">SUMINISTRO Y CONSTRUCCIÓN CAJA DE INSPECCIÓN 0.80mX0.80m H mäx:1.0m                                                                    </t>
  </si>
  <si>
    <t>12.2.16</t>
  </si>
  <si>
    <t xml:space="preserve">SUMINISTRO E INSTALACIÓN TUBERIA PVC-ALC DIAMETRO 160mm                                                                   </t>
  </si>
  <si>
    <t>12.2.17</t>
  </si>
  <si>
    <t xml:space="preserve">SUMINISTRO E INSTALACIÓN TUBERIA PVC-ALC DIAMETRO 200mm                                                                   </t>
  </si>
  <si>
    <t>12.2.18</t>
  </si>
  <si>
    <t xml:space="preserve">SUMINISTRO E INSTALACIÓN TUBERÍA PVC-P DIAMETRO 4"                                                        </t>
  </si>
  <si>
    <t>12.2.19</t>
  </si>
  <si>
    <t xml:space="preserve">SUMINISTRO E INSTALACIÓN ACCESORIOS PVC-P DIAMETRO 4"                                                             </t>
  </si>
  <si>
    <t>12.3</t>
  </si>
  <si>
    <t>SUMINISTRO E INSTALACIÓN DE APARATOS SANITARIOS</t>
  </si>
  <si>
    <t xml:space="preserve">     </t>
  </si>
  <si>
    <t>12.3.1</t>
  </si>
  <si>
    <t>SUMINISTRO E INSTALACIÓN SANITARIO INSTITUCIONAL incluye FLUXOMETRO</t>
  </si>
  <si>
    <t>12.3.2</t>
  </si>
  <si>
    <t xml:space="preserve">SUMINISTRO E INSTALACIÓN SANITARIO DE BAJO CONSUMO </t>
  </si>
  <si>
    <t>UN</t>
  </si>
  <si>
    <t>12.3.3</t>
  </si>
  <si>
    <t>SUMINISTRO E INSTALACIÓN ORINAL</t>
  </si>
  <si>
    <t>12.3.4</t>
  </si>
  <si>
    <t>SUMINISTRO E INSTALACIÓN MESÓN EN GRANITO NEGRO ABSOLUTO o similar, ANCHO 0.60m</t>
  </si>
  <si>
    <t>12.3.5</t>
  </si>
  <si>
    <t xml:space="preserve">SUMINISTRO E INSTALACIÓN LAVAMANOS SOBREPONER </t>
  </si>
  <si>
    <t>12.3.6</t>
  </si>
  <si>
    <t>SUMINISTRO E INSTALACIÓN LAVAMANOS PEDESTAL</t>
  </si>
  <si>
    <t>12.3.7</t>
  </si>
  <si>
    <t>SUMINISTRO E INSTALACIÓN ESPEJO e=4MM PEGADO SOBRE BASTIDOR EN ALUMINIO DE 2X1</t>
  </si>
  <si>
    <t>12.3.8</t>
  </si>
  <si>
    <t>SUMINISTRO E INSTALACIÓN LLAVES MANGUERA</t>
  </si>
  <si>
    <t>12.4</t>
  </si>
  <si>
    <t xml:space="preserve">SUMINISTRO E INSTALACION RED DESAGÜES AGUAS LLUVIAS                                                                                 </t>
  </si>
  <si>
    <t>12.4.1</t>
  </si>
  <si>
    <t xml:space="preserve">SUMINISTRO E INSTALACIÓN TUBERIA PVC-S DIAMETRO  3 PUL                                                                 </t>
  </si>
  <si>
    <t>12.4.2</t>
  </si>
  <si>
    <t xml:space="preserve">SUMINISTRO E INSTALACIÓN TUBERIA PVC-S DIAMETRO 4 PUL                                                                 </t>
  </si>
  <si>
    <t>12.4.3</t>
  </si>
  <si>
    <t xml:space="preserve">SUMINISTRO E INSTALACIÓN TUBERIA PVC-S DIAMETRO 6 PUL                                                                 </t>
  </si>
  <si>
    <t>12.4.4</t>
  </si>
  <si>
    <t xml:space="preserve">SUMINISTRO E INSTALACIÓN ACCESORIOS PVC-S DIAMETRO 3"                                                             </t>
  </si>
  <si>
    <t>12.4.5</t>
  </si>
  <si>
    <t xml:space="preserve">SUMINISTRO E INSTALACIÓN ACCESORIOS PVC-S DIAMETRO 4"                                                             </t>
  </si>
  <si>
    <t>12.4.6</t>
  </si>
  <si>
    <t xml:space="preserve">SUMINISTRO E INSTALACIÓN ACCESORIOS PVC-S DIAMETRO 6"                                                             </t>
  </si>
  <si>
    <t>12.4.7</t>
  </si>
  <si>
    <t xml:space="preserve">SUMINISTRO E INSTALACIÓN SALIDA SANITARIA DIAMETRO 3 PULG                                                               </t>
  </si>
  <si>
    <t>12.4.8</t>
  </si>
  <si>
    <t xml:space="preserve">SUMINISTRO E INSTALACIÓN SALIDA SANITARIA DIAMETRO 4 PULG                                                               </t>
  </si>
  <si>
    <t>12.4.9</t>
  </si>
  <si>
    <t xml:space="preserve">SUMINISTRO E INSTALACIÓN POLIETILENO PEAD PARA FILTRO 90 mm                                                                  </t>
  </si>
  <si>
    <t>12.4.10</t>
  </si>
  <si>
    <t xml:space="preserve">SUMINISTRO E INSTALACIÓN TUBERIA PVC-ALC 90 mm                                                                  </t>
  </si>
  <si>
    <t>12.4.11</t>
  </si>
  <si>
    <t xml:space="preserve">SUMINISTRO E INSTALACIÓN TUBERIA PVC-ALC 110 mm                                                                 </t>
  </si>
  <si>
    <t>12.4.12</t>
  </si>
  <si>
    <t xml:space="preserve">SUMINISTRO E INSTALACIÓN TUBERIA PVC-ALC 160 mm                                                                 </t>
  </si>
  <si>
    <t>12.4.13</t>
  </si>
  <si>
    <t xml:space="preserve">SUMINISTRO E INSTALACIÓN TUBERIA PVC-ALC 250mm                                                                   </t>
  </si>
  <si>
    <t>12.4.14</t>
  </si>
  <si>
    <t>12.5</t>
  </si>
  <si>
    <t xml:space="preserve">EXCAVACIONES Y RELLENOS                                                                                       </t>
  </si>
  <si>
    <t>12.5.1</t>
  </si>
  <si>
    <t>EXCAVACIÓN MANUAL EN MATERIAL COMÚN (Incluye cargue y retiro)</t>
  </si>
  <si>
    <t xml:space="preserve">M3   </t>
  </si>
  <si>
    <t>12.5.2</t>
  </si>
  <si>
    <t xml:space="preserve">RELLENO EN ARENA INCLUYE TRANSPORTE Y COLOCACIÓN       </t>
  </si>
  <si>
    <t>12.5.3</t>
  </si>
  <si>
    <t>12.5.4</t>
  </si>
  <si>
    <t>RELLENO EN MATERIAL COMÚN SELECCIONADO DE OBRA (Incluye Compactación)</t>
  </si>
  <si>
    <t>12.6</t>
  </si>
  <si>
    <t xml:space="preserve">SUMINISTRO E INSTALACION DE EQUIPOS DE BOMBEO                                                                                             </t>
  </si>
  <si>
    <t>12.6.1</t>
  </si>
  <si>
    <t xml:space="preserve">SUMINISTRO E INSTALACIÓN EQUIPO DE BOMBEO AGUA POTABLE 3 BOMBAS. 4.0HP C/U INCLUYE VALVULAS, ADITAMENTOS, TUBERIAS. </t>
  </si>
  <si>
    <t>12.6.2</t>
  </si>
  <si>
    <t>SUMINISTRO E INSTALACIÓN DE EQUIPO PROTECCIÓN CONTRA INCENDIO 2 HP, 3500 RPM r completo conformado por bomba, motor, tablero de control y accesorios.</t>
  </si>
  <si>
    <t>12.6.3</t>
  </si>
  <si>
    <t xml:space="preserve">SUMINISTRO E INSTALACIÓN DE EQUIPO EYECTOR 2 BOMBAS 3HP C/U </t>
  </si>
  <si>
    <t xml:space="preserve">RED DE PROTECCION CONTRA INCENDIO </t>
  </si>
  <si>
    <t>13.1</t>
  </si>
  <si>
    <t>SUMINISTRO E INSTALACIÓN RED DE ACERO NEGRO SCH 40</t>
  </si>
  <si>
    <t>13.1.1</t>
  </si>
  <si>
    <t xml:space="preserve">SUMINISTRO E INSTALACIÓN TUBERIA ACERO 1" SCH 40 INCLUYE. SOPORTES Y ADITAMENTOS                                 </t>
  </si>
  <si>
    <t>13.1.2</t>
  </si>
  <si>
    <t xml:space="preserve">SUMINISTRO E INSTALACIÓN TUBERIA ACERO 2" SCH 40 INCLUYE. SOPORTES Y ADITAMENTOS                                 </t>
  </si>
  <si>
    <t>13.1.3</t>
  </si>
  <si>
    <t xml:space="preserve">SUMINISTRO E INSTALACIÓN TUBERIA ACERO 3" SCH 40 INCLUYE. SOPORTES Y ADITAMENTOS                                 </t>
  </si>
  <si>
    <t>13.1.4</t>
  </si>
  <si>
    <t xml:space="preserve">SUMINISTRO E INSTALACIÓN TUBERIA ACERO 4" SCH 40 INCLUYE. SOPORTES Y ADITAMENTOS                                 </t>
  </si>
  <si>
    <t>13.1.5</t>
  </si>
  <si>
    <t xml:space="preserve">SUMINISTRO E INSTALACIÓN ACCESORIOS ACERO NEGRO 1"                                                       </t>
  </si>
  <si>
    <t>13.1.6</t>
  </si>
  <si>
    <t xml:space="preserve">SUMINISTRO E INSTALACIÓN ACCESORIOS ACERO NEGRO 2"                                                       </t>
  </si>
  <si>
    <t>13.1.7</t>
  </si>
  <si>
    <t xml:space="preserve">SUMINISTRO E INSTALACIÓN ACCESORIOS ACERO NEGRO 3"                                                       </t>
  </si>
  <si>
    <t>13.1.8</t>
  </si>
  <si>
    <t xml:space="preserve">SUMINISTRO E INSTALACIÓN ACCESORIOS ACERO NEGRO 4"                                                       </t>
  </si>
  <si>
    <t>13.1.9</t>
  </si>
  <si>
    <t xml:space="preserve">SUMINISTRO E INSTALACIÓN ACOPLES HIERRO FUNDIDO DIAMETRO 2"                                                      </t>
  </si>
  <si>
    <t>13.1.10</t>
  </si>
  <si>
    <t xml:space="preserve">SUMINISTRO E INSTALACIÓN ACOPLES HIERRO FUNDIDO DIAMETRO 3"                                                       </t>
  </si>
  <si>
    <t>13.1.11</t>
  </si>
  <si>
    <t xml:space="preserve">SUMINISTRO E INSTALACIÓN ACOPLES HIERRO FUNDIDO DIAMETRO 4"                                                       </t>
  </si>
  <si>
    <t>13.1.12</t>
  </si>
  <si>
    <t xml:space="preserve">SUMINISTRO Y APLICACIÓN PINTURA RED DE INCENDIO DIAMETRO DE 1" A 2"                                                              </t>
  </si>
  <si>
    <t>13.1.13</t>
  </si>
  <si>
    <t xml:space="preserve">SUMINISTRO Y APLICACIÓN PINTURA RED DE INCENDIO DIAMETRO DE  2 1/2" A 4"                                                          </t>
  </si>
  <si>
    <t>13.2</t>
  </si>
  <si>
    <t>SUMINISTRO E INSTALACION ELEMENTOS RED CONTRA INCENDIO</t>
  </si>
  <si>
    <t>13.2.1</t>
  </si>
  <si>
    <t xml:space="preserve">SUMINISTRO E INSTALACIÓN ROCIADOR PENDENT K:5.6                                                          </t>
  </si>
  <si>
    <t>13.2.2</t>
  </si>
  <si>
    <t xml:space="preserve">SUMINISTRO E INSTALACIÓN ROCIADOR MONTANTE K:5.6                                                          </t>
  </si>
  <si>
    <t>13.2.3</t>
  </si>
  <si>
    <t xml:space="preserve">SUMINISTRO E INSTALACIÓN ROCIADOR PENDENT K:11.2                                                          </t>
  </si>
  <si>
    <t>13.2.4</t>
  </si>
  <si>
    <t xml:space="preserve">SUMINISTRO E INSTALACIÓN PUNTO HIDRÁULICO PARA ROCIADOR                                                  </t>
  </si>
  <si>
    <t>13.2.5</t>
  </si>
  <si>
    <t xml:space="preserve">SUMINISTRO E INSTALACIÓN ESTACIÓN DE CONTROL, PRUEBA Y DRENAJE 3"                                        </t>
  </si>
  <si>
    <t>13.2.6</t>
  </si>
  <si>
    <t xml:space="preserve">SUMINISTRO E INSTALACIÓN VÁLVULA TOMA Y DESC. AIRE 1" INCENDIO                                           </t>
  </si>
  <si>
    <t>13.2.7</t>
  </si>
  <si>
    <t xml:space="preserve">SUMINISTRO E INSTALACIÓN SIAMESA DE INYECCIÓN                                                            </t>
  </si>
  <si>
    <t>13.2.8</t>
  </si>
  <si>
    <t xml:space="preserve">SUMINISTRO E INSTALACIÓN CABEZAL DE PRUEBAS                                                         </t>
  </si>
  <si>
    <t>13.2.9</t>
  </si>
  <si>
    <t xml:space="preserve">SUMINISTRO E INSTALACIÓN CHEQUE RANURADO 4"                                                              </t>
  </si>
  <si>
    <t>13.2.10</t>
  </si>
  <si>
    <t xml:space="preserve">SUMINISTRO E INSTALACIÓN VÁLVULA OS&amp;Y 4"                                                                 </t>
  </si>
  <si>
    <t>13.2.11</t>
  </si>
  <si>
    <t xml:space="preserve">SUMINISTRO E INSTALACIÓN SOPORTE LONGITUDINAL 4 VÍAS 3"                                                               </t>
  </si>
  <si>
    <t>13.2.12</t>
  </si>
  <si>
    <t xml:space="preserve">SUMINISTRO E INSTALACIÓN SOPORTE LONGITUDINAL 4 VÍAS 4"                                                               </t>
  </si>
  <si>
    <t>13.2.13</t>
  </si>
  <si>
    <t xml:space="preserve">SUMINISTRO E INSTALACIÓN SOPORTE LATERAL 2 VÍAS 2"                                                       </t>
  </si>
  <si>
    <t>13.2.14</t>
  </si>
  <si>
    <t xml:space="preserve">SUMINISTRO E INSTALACIÓN SOPORTE LATERAL 2 VÍAS 3"                                                       </t>
  </si>
  <si>
    <t>13.2.15</t>
  </si>
  <si>
    <t xml:space="preserve">SUMINISTRO E INSTALACIÓN GABINETE TIPO II </t>
  </si>
  <si>
    <t>SALIDAS DE ALUMBRADO Y TOMACORRIENTES ELÉCTRICOS</t>
  </si>
  <si>
    <t>14.1</t>
  </si>
  <si>
    <t>SUMINISTRO E INSTALACIÓN SALIDAS DE ALUMBRADO EN TUBERIA PVC INCRUSTRADA (NO SE INCLUYE LAS LUMINARIAS)</t>
  </si>
  <si>
    <t>14.1.1</t>
  </si>
  <si>
    <t>SUMINISTRO E INSTALACIÓN SALIDA PARA LAMPARA LED DE 1x28 W</t>
  </si>
  <si>
    <t>14.1.2</t>
  </si>
  <si>
    <t>SUMINISTRO E INSTALACIÓN SALIDA PARA LAMPARA LED DE 2x54 W</t>
  </si>
  <si>
    <t>14.1.3</t>
  </si>
  <si>
    <t>SUMINISTRO E INSTALACIÓN SALIDA PARA BALA DE LED 35W 120V</t>
  </si>
  <si>
    <t>14.1.4</t>
  </si>
  <si>
    <t>SUMINISTRO E INSTALACIÓN SALIDA PARA BALA RECESADA LED 10W 120V</t>
  </si>
  <si>
    <t>14.1.5</t>
  </si>
  <si>
    <t>SUMINISTRO E INSTALACIÓN SALIDA PARA LUMINARIA LED 2x26W 120V</t>
  </si>
  <si>
    <t>14.1.6</t>
  </si>
  <si>
    <t>SUMINISTRO E INSTALACIÓN SALIDA PARA REFLECTOR DE LUZ DIRECTA</t>
  </si>
  <si>
    <t>14.1.7</t>
  </si>
  <si>
    <t>SUMINISTRO E INSTALACIÓN SALIDA PARA APLIQUE DE ESCALERA 1000W 120V</t>
  </si>
  <si>
    <t>14.1.8</t>
  </si>
  <si>
    <t>SUMINISTRO E INSTALACIÓN SALIDA PARA BALAS LED DE PISO 3W 120V</t>
  </si>
  <si>
    <t>14.1.9</t>
  </si>
  <si>
    <t>SUMINISTRO E INSTALACIÓN SALIDA PARA BALAS DE PISO 50W 120V</t>
  </si>
  <si>
    <t>14.1.10</t>
  </si>
  <si>
    <t>SUMINISTRO E INSTALACIÓN SALIDA PARA INTERRUPTOR SENCILLO COLOR BLANCO</t>
  </si>
  <si>
    <t>14.1.11</t>
  </si>
  <si>
    <t>SUMINISTRO E INSTALACIÓN SALIDA PARA INTERRUPTOR DOBLE COLOR BLANCO</t>
  </si>
  <si>
    <t>14.1.12</t>
  </si>
  <si>
    <t>SUMINISTRO E INSTALACIÓN SALIDA PARA INTERRUPTOR SENCILLO CONMUTABLE COLOR BLANCO</t>
  </si>
  <si>
    <t>14.1.13</t>
  </si>
  <si>
    <t>SUMINISTRO E INSTALACIÓN SALIDA PARA INTERRUPTOR DOBLE CONMUTABLE COLOR BLANCO</t>
  </si>
  <si>
    <t>14.1.14</t>
  </si>
  <si>
    <t>SUMINISTRO E INSTALACIÓN SALIDA PARA INTERRUPTOR DE SENSOR DE PRESENCIA</t>
  </si>
  <si>
    <t>14.1.15</t>
  </si>
  <si>
    <t>SUMINISTRO E INSTALACIÓN SALIDA PARA SENSOR DE MOVIEMIENTO DE TECHO</t>
  </si>
  <si>
    <t>14.1.16</t>
  </si>
  <si>
    <t xml:space="preserve">SUMINISTRO E INSTALACIÓN SALIDAS PARCIALES DE CIRCUITO PARA SALIDAS DE ALUMBRADO Y TOMACORIRIENTE DE USO NORMAL EN CABLE #12 AWG THHN/THWN, DESDE EL TABLERO DE AUTOMATICOS POR EL DUCTO PORTACABLES HASTA LOS PRIMEROS PUNTOS DE DERIVACIÓN. </t>
  </si>
  <si>
    <t>14.2</t>
  </si>
  <si>
    <t xml:space="preserve">SUMINISTRO E INSTALACIÓN SALIDAS PARA TOMACORRIENTES USO NORMAL EN TUBERIA PVC INCRUSTRADA </t>
  </si>
  <si>
    <t>14.2.1</t>
  </si>
  <si>
    <t>SUMINISTRO E INSTALACIÓN SALIDA PARA TOMACORRIENTE DOBLE MONOFÁSICO CON POLO A TIERRA</t>
  </si>
  <si>
    <t>14.2.2</t>
  </si>
  <si>
    <t>SUMINISTRO E INSTALACIÓN SALIDA PARA TOMACORRIENTE DOBLE TIPO GFCI COLOR BLANCO MONOFÁSICODE MURO CON POLO A TIERRA</t>
  </si>
  <si>
    <t>14.2.3</t>
  </si>
  <si>
    <t>SUMINISTRO E INSTALACIÓN SALIDA PARA SECADOR 20A-120V a 1.2 METROS DE ALTURA</t>
  </si>
  <si>
    <t>14.2.4</t>
  </si>
  <si>
    <t>SUMINISTRO E INSTALACIÓN SALIDA PARA TOMA TRIFÁSICA 208v 3FASES EN CAFETERIA</t>
  </si>
  <si>
    <t>14.2.5</t>
  </si>
  <si>
    <t xml:space="preserve">SUMINISTRO E INSTALACIÓN SALIDAS PARCIALES DE CIRCUITO PARA TOMACORIRIENTE DE USO NORMAL EN CABLE #12 AWG THHN/THWN, DESDE EL TABLERO DE AUTOMATICOS POR EL DUCTO PORTACABLES HASTA LOS PRIMEROS PUNTOS DE DERIVACIÓN. </t>
  </si>
  <si>
    <t>14.3</t>
  </si>
  <si>
    <t xml:space="preserve">SUMINISTRO E INSTALACIÓN SALIDAS PARA TOMACORRIENTES USO REGULADO EN TUBERIA PVC INCRUSTRADA </t>
  </si>
  <si>
    <t>14.3.1</t>
  </si>
  <si>
    <t>SUMINISTRO E INSTALACIÓN SALIDA PARA TOMACORRIENTE DOBLE DE COLOR NARAJA, PARA INSTALAR EN MURO</t>
  </si>
  <si>
    <t>14.3.2</t>
  </si>
  <si>
    <t xml:space="preserve">SUMINISTRO E INSTALACIÓN SALIDA PARA TOMACORRIENTE DOBLE DE COLOR NARAJA, PARA INSTALAR EN CANALETA PERIMETRAL </t>
  </si>
  <si>
    <t>14.3.3</t>
  </si>
  <si>
    <t>SUMINISTRO E INSTALACIÓN INTERCONEXIÓN ENTRE EL DUCTO PORTACABLES Y LA CANALETA PERIMETRAL EN ø 1 1/2" CON 4#12 AWG THHN/THWN</t>
  </si>
  <si>
    <t>14.3.4</t>
  </si>
  <si>
    <t xml:space="preserve">SUMINISTRO E INSTALACIÓN SALIDAS PARCIALES DE CIRCUITO PARA TOMACORIRIENTE DE USO REGULADO EN CABLE #12 AWG THHN/THWN, DESDE EL TABLERO DE AUTOMATICOS POR EL DUCTO PORTACABLES HASTA LOS PRIMEROS PUNTOS DE DERIVACIÓN. </t>
  </si>
  <si>
    <t>DUCTOS, ACOMETIDAS, TABLEROS, PUESTA A TIERRA, PARARRAYOS Y PLANTA ELÉCTRICA</t>
  </si>
  <si>
    <t>15.1</t>
  </si>
  <si>
    <t>SUMINISTRO E INSTALACIÓN DE DUCTOS PORTACABLES</t>
  </si>
  <si>
    <t>15.1.1</t>
  </si>
  <si>
    <t>SUMINISTRO E INSTALACIÓN DUCTO PORTACABLES CERRADO PREVISTO PARA LA ALIMENTACIÓN DE CIRCUITOS ELÉCTRICOS DE ALUMBRADO, TOMACORRIENTES NORMALES Y REGULADOS CON DIVISIÓN PARA DATOS EN LÁMINA COLD ROLLED CAL. 18 DE SECCIÓN 30x10 cm CON TAPA CLIP T ACABADO ELECTROSTÁTICO GRIS NOPAL TEXTURIZADO</t>
  </si>
  <si>
    <t>15.1.2</t>
  </si>
  <si>
    <t>SUMINISTRO E INSTALACIÓN TÉE PARA DUCTO PORTACABLES TROQUELADO DE 30x10 cm</t>
  </si>
  <si>
    <t>15.1.3</t>
  </si>
  <si>
    <t>SUMINISTRO E INSTALACIÓN SOPORTES DE FIJACIÓN TIPO PELDAÑO DESCOLGADO PARA DUCTOS PORTACABLES TROQUELADO</t>
  </si>
  <si>
    <t>15.1.4</t>
  </si>
  <si>
    <t>SUMINISTRO E INSTALACIÓN DUCTO PORTACABLES CERRADO PREVISTO PARA LA ALIMENTACIÓN DE TABLEROS ELÉCTRICOS POR MEDIO DE ACOMETIDAS, CON DIVISIÓN PARA DATOS EN LÁMINA COLD ROLLED CAL. 18 DE SECCIÓN 100x30 cm CON TAPA CLIP T ACABADO ELECTROSTÁTICO GRIS NOPAL TEXTURIZADO</t>
  </si>
  <si>
    <t>15.1.5</t>
  </si>
  <si>
    <t>SUMINISTRO E INSTALACIÓN TÉE PARA DUCTO PORTACABLES TROQUELADO DE 100x30 cm</t>
  </si>
  <si>
    <t>15.1.6</t>
  </si>
  <si>
    <t>SUMINISTRO E INSTALACIÓN SOPORTES DE FIJACIÓN TIPO PELDAÑO DESCOLGADO PARA DUCTO PORTACABLES TROQUELADO</t>
  </si>
  <si>
    <t>15.2</t>
  </si>
  <si>
    <t>CANALETA PERIMETRAL MULTITOMA</t>
  </si>
  <si>
    <t>15.2.1</t>
  </si>
  <si>
    <t>SUMINISTRO E INSTALACIÓN CANALETA MULTITOMA DE DOS COMPARTIMIENTOS EN LÁMINA COLD ROLLED CAL. 18 DE SECCIÓN 10x4 cm CON TAPA CLIP Y ACABADO ELECTROESTÁTICO GRIS NOPAL TEXTURIZADO</t>
  </si>
  <si>
    <t>15.2.2</t>
  </si>
  <si>
    <t>SUMINISTRO E INSTALACIÓN PLACA TOMA TROQUELADA PARA CANALETA 10x4 cm, CON PERFORACIONES PARA UNA (1) TOMA DOBLE COLOR BLANCO, UNA (1) TOMA DOBLE COLOR NARANJA Y UNA (1) TOMA RJ-45</t>
  </si>
  <si>
    <t>15.3</t>
  </si>
  <si>
    <t>SUMINISTRO E INSTALACIÓN COMETIDA RED MEDIA TENSIÓN (SEGÚN NORMAS CODENSA SA ESP)</t>
  </si>
  <si>
    <t>15.3.1</t>
  </si>
  <si>
    <t>SUMINISTRO E INSTALACIÓN TRANSFORMADOR DE DISTRIBUCIÓN DE 500 Kva, NIVEL DE TENSIÓN PRIMARIO 13.200 VOLTIOS, NIVEL DE TENSIÓN SECUNDARIO 208/120 VOLTIOS. INCLUYE: RIEL DE SOPORTE PARA TRANSFORMADOR (PATIN), RUEDAS PARA RIEL CON FRENO MECANICO</t>
  </si>
  <si>
    <t>15.3.2</t>
  </si>
  <si>
    <t>SUMINISTRO E INSTALACIÓN PUERTA CORTAFUEGO PINTURA ELECTROESTÁTICA Y SEÑALES DE RIESGO ELÉCTRICO. INCLUYE ACCESORIOS PARA ENCLAVAMIENTO</t>
  </si>
  <si>
    <t>15.3.3</t>
  </si>
  <si>
    <t>SUMINISTRO E INSTALACIÓN BARRERA DE PROTECCIÓN PARA EVITAR CONTACTO DIRECTO CON TRANSFORMADOR. INCLUYE INDUMENTARIA PARA ASEGURAR LA BARRERA A LA DISTANCIA ADECUADA DEL TRANSFORMADOR</t>
  </si>
  <si>
    <t>15.3.4</t>
  </si>
  <si>
    <t>SUMINISTRO E INSTALACIÓN ENCLAVAMIENTO EN MURO PARA SOPORTE DE ACOMETIDA DE MEDIA TENSIÓN EN ENTRADA DE TRANSFORMADOR</t>
  </si>
  <si>
    <t>15.3.5</t>
  </si>
  <si>
    <t>SUMINISTRO E INSTALACIÓN PASAMUROS DE MEDIA TENSIÓN, PASA MUROS EN PVC INCLUYE OBRAS NECESARIAS PARA LA INSTALACIÓN DE LAS MISMAS (JUEGO)</t>
  </si>
  <si>
    <t>15.3.6</t>
  </si>
  <si>
    <t>SUMINISTRO E INSTALACIÓN DUCTO DE VENTILACIÓN CON DÁMPER FIRE, INCLUYE REJILLA DAMPER PARA EMERGENCIA</t>
  </si>
  <si>
    <t>15.3.7</t>
  </si>
  <si>
    <t xml:space="preserve">SUMINISTRO E INSTALACIÓN PUESTA A TIERRA DE TODAS LAS PARTES METALICAS DE EQUIPOS Y ELEMENTOS QUE SE ENCUENTREN DENTRO DEL CUARTO DEL TRANSFORMADOR. INCLUYE: 10m DE CABLE DESNUDO #2/0 PARA PUESTA A TIERRA, SOLDADURA EXOTERMICA 115gr, MOLDE PARA SOLDADURA VARILLA CABLE, MOLDE PARA SOLDADURA CABLE CABLE. </t>
  </si>
  <si>
    <t>15.3.8</t>
  </si>
  <si>
    <t>SUMINISTRO E INSTALACIÓN DE DPS (DISPOSITIVO DE PROTECCIÓN CONTRA SOBRETENSIONES)</t>
  </si>
  <si>
    <t>15.3.9</t>
  </si>
  <si>
    <t>SUMINISTRO E INSTALACIÓN CELDA DE PROTECCIÓN TRIPLEX PARA SUBESTACIÓN, INCLUYE 3 JUEGOS DE SECCIONADORES CON SUS RESPECTIVOS FUSIBLES Y TERMINALES PROMOLDEADOS</t>
  </si>
  <si>
    <t>15.3.10</t>
  </si>
  <si>
    <t xml:space="preserve">SUMINISTRO E INSTALACIÓN CAJA DE INSPECCIÓN SENCILLA CON TAPA EN CONCRETO SEGÚN NORMA CS-276 CODENSA S.A. ESP PARA RED DE MEDIA Y BAJA TENSIÓN. </t>
  </si>
  <si>
    <t>15.4</t>
  </si>
  <si>
    <t>SUMINISTRO E INSTALACIÓN ALIMENTADORES ELÉCTRICOS PRINCIPALES</t>
  </si>
  <si>
    <t>15.4.1</t>
  </si>
  <si>
    <t>SUMINISTRO E INSTALACIÓN INTERCONEXIÓN ENTRE CAJA CS-276 Y CELDA DE MEDIDA CABLE XLPE 15KV T AWG EN TUBERÍA PVC 6".</t>
  </si>
  <si>
    <t>15.4.2</t>
  </si>
  <si>
    <t>SUMINISTRO E INSTALACIÓN ALIMENTADOR DESDE CELDA DE MEDIDA HASTA EL TABLERO DE DISTRIBUCIÓN Y TRANSFERENCIA TD-GENERAL EN 3(3x500) +3(400) +3/0 T AWG INCLUYENDO TERMINALES DE CONEXIÓN.</t>
  </si>
  <si>
    <t>15.4.3</t>
  </si>
  <si>
    <t>SUMINISTRO E INSTALACIÓN INTERCONEXION ENTRE BORNES DEL GENERADOR Y CELDA DE TRANSFERENCIA PLANTA RED DE LA BOMBA CONTRA INCENDIO EN 3(3x500) +3(400) +3/0 T AWG EN TUBERÍA PVC 6"</t>
  </si>
  <si>
    <t>15.5</t>
  </si>
  <si>
    <t>15.5.1</t>
  </si>
  <si>
    <t>SUMINISTRO E INSTALACIÓN ALIMENTADOR DESDE TRANSFERENCIA HASTA TABLERO GENERAL DE MAQUINAS EN 3#4/0+1#4/0N+1#2T AWG EN BANDEJA PORTA CABLES</t>
  </si>
  <si>
    <t>15.5.2</t>
  </si>
  <si>
    <t>SUMINISTRO E INSTALACIÓN ALIMENTADOR DESDE EL TABLERO GENERAL MAQUINAS HASTA EL TABLERO DE ASCENSOR EN 3#6+1#6N+1#8T AWG EN TUBERIA PVC ø 1 1/2" INCLUYENDO DE TERMINALES DE CONEXIÓN</t>
  </si>
  <si>
    <t>15.5.3</t>
  </si>
  <si>
    <t>SUMINISTRO E INSTALACIÓN ALIMENTADOR DESDE EL TABLERO GENERAL MAQUINAS HASTA EL TABLERO NORMAL BOMBAS EN 3#6+1#6N+1#8T AWG EN TUBERIA PVC 1 ø 1 1/2" INCLUYENDO DE TERMINALES DE CONEXIÓN</t>
  </si>
  <si>
    <t>15.5.4</t>
  </si>
  <si>
    <t>SUMINISTRO E INSTALACIÓN ALIMENTADOR DESDE TRANSFERENCIA HASTA EL TABLERO GENERAL DE DISTRIBUCIÓN EN 6#4/0+2#4/0N+1#4T EN BANDEJA PORTACABLES</t>
  </si>
  <si>
    <t>15.5.5</t>
  </si>
  <si>
    <t>SUMINISTRO E INSTALACIÓN ALIMENTADOR DESDE EL TABLERO GENERAL DE DISTRIBUCIÓN HASTA EL TNS SOTANO POR CARCAMO CON 3#6+1#6N+1#8T AWG INCLUYE TERMINALES DE CONEXIÓN</t>
  </si>
  <si>
    <t>15.5.6</t>
  </si>
  <si>
    <t>SUMINISTRO E INSTALACIÓN ALIMENTADOR DESDE EL TABLERO GENERAL DE DISTRIBUCIÓN HASTA EL TNP1 PISO 1 EN 1 ø 2" CON 3#2/0+1#2/0N+1#4T AWG INCLUYE TERMINALES DE CONEXIÓN</t>
  </si>
  <si>
    <t>15.5.7</t>
  </si>
  <si>
    <t>SUMINISTRO E INSTALACIÓN ALIMENTADOR DESDE EL TABLERO GENERAL DE DISTRIBUCIÓN HASTA EL TNP2 PISO 2 EN 1 ø 3" CON 3#4/0+1#2/0N+1#4T AWG INCLUYE TERMINALES DE CONEXIÓN</t>
  </si>
  <si>
    <t>15.5.8</t>
  </si>
  <si>
    <t>SUMINISTRO E INSTALACIÓN ALIMENTADOR DESDE EL TABLERO GENERAL DE DISTRIBUCIÓN HASTA EL TNP3 PISO 3 EN 1 ø 3" CON 3#4/0+1#2/0N+1#4T AWG INCLUYE TERMINALES DE CONEXIÓN</t>
  </si>
  <si>
    <t>15.5.9</t>
  </si>
  <si>
    <t>SUMINISTRO E INSTALACIÓN ALIMENTADOR DESDE EL TABLERO GENERAL DE DISTRIBUCIÓN HASTA EL TNP3 PISO 4 EN 1 Ø 3" CON 3#4/0+1#2/0N+1#4T AWG INCLUYE TERMINALES DE CONEXIÓN</t>
  </si>
  <si>
    <t>15.5.10</t>
  </si>
  <si>
    <t xml:space="preserve">SUMINISTRO E INSTALACIÓNALIMENTADOR DESDE EL TABLERO GENERAL DE DISTRIBUCIÓN HASTA LA UPS1 PISO 1 EN 1 Ø 2" con 3#3/0+1#2/0N+1#2/OT AWG INCLUYENDO TERMINALES DE CONEXIÓN </t>
  </si>
  <si>
    <t>15.5.11</t>
  </si>
  <si>
    <t xml:space="preserve">SUMINISTRO E INSTALACIÓN ALIMENTADOR DESDE UPS1 HASTA EL TABLERO REGULADO 1 PISO 1 EN 1 Ø 2" con 3#2+1#2N+1#8T AWG INCLUYENDO TERMINALES DE CONEXIÓN </t>
  </si>
  <si>
    <t>15.5.16</t>
  </si>
  <si>
    <t>SUMINISTRO E INSTALACIÓN ALIMENTADOR DESDE TRANSFERENCIA HASTA BOMBA CONTRA INCENDIOS EN 1Ø3" CON  3#4/0+1#2/0N+1#4T AWG INCLUYENDO TERMINALES DE CONEXIÓN.</t>
  </si>
  <si>
    <t>15.6</t>
  </si>
  <si>
    <t xml:space="preserve">SUMINISTRO E INSTALACIÓN DE CANALIZACIONES </t>
  </si>
  <si>
    <t>15.6.1</t>
  </si>
  <si>
    <t>SUMINISTRO E INSTALACIÓN TUBERÍA PVC Ø 4" (Incluye todos los materiales para su instalación)</t>
  </si>
  <si>
    <t>15.6.2</t>
  </si>
  <si>
    <t>SUMINISTRO E INSTALACIÓN TUBERÍA PVC Ø 6" (Incluye todos los materiales para su instalación)</t>
  </si>
  <si>
    <t>15.7</t>
  </si>
  <si>
    <t>SUMINISTRO E INSTALACIÓN DE TABLEROS E INTERRUPTORES</t>
  </si>
  <si>
    <t>15.7.1</t>
  </si>
  <si>
    <t>SUMINISTRO E INSTALACIÓN TABLERO AUTOMATICO DE 38 CIRCUITOS TIPO PESADO CON PUERTA Y CERRRADURA DE CIERRE, CERRADURA Y ESPACIO TOTALIZADOR INDUSTRIAL (TNP4)</t>
  </si>
  <si>
    <t>15.7.2</t>
  </si>
  <si>
    <t xml:space="preserve">SUMINISTRO E INSTALACIÓN TABLERO AUTOMATICO DE 18 CIRCUITOS TIPO PESADO CON PUERTA Y CERRRADURA DE CIERRE, CERRADURA Y ESPACIO TOTALIZADOR INDUSTRIAL CON BARRAJE DE TIERRA AISLADA. </t>
  </si>
  <si>
    <t>15.7.3</t>
  </si>
  <si>
    <t>SUMINISTRO E INSTALACIÓN TABLERO AUTOMATICO DE 24 CIRCUITOS TIPO PESADO CON PUERTA Y CERRRADURA DE CIERRE, CERRADURA Y ESPACIO TOTALIZADOR INDUSTRIAL CON BARRAJE DE TIERRA AISLADA (TNS, TR1, TR2)</t>
  </si>
  <si>
    <t>15.7.4</t>
  </si>
  <si>
    <t>SUMINISTRO E INSTALACIÓN TABLERO AUTOMATICO DE 42 CIRCUITOS TIPO PESADO CON PUERTA Y CERRRADURA DE CIERRE, CERRADURA Y ESPACIO TOTALIZADOR INDUSTRIAL (TNP1, TNP2, TNP3)</t>
  </si>
  <si>
    <t>15.7.5</t>
  </si>
  <si>
    <t>SUMINISTRO E INSTALACIÓN INTERRUPTORES AUTOMÁTICOS ENCHUFABLES 240 V. 10kA 1x20 AMPS. TIPO ENCHUFABLE 10 Ka 240V.</t>
  </si>
  <si>
    <t>15.7.6</t>
  </si>
  <si>
    <t>SUMINISTRO E INSTALACIÓN INTERRUPTORES AUTOMÁTICOS ENCHUFABLES 240 V. 10kA 1x30 AMPS. TIPO ENCHUFABLE 10 Ka 240V.</t>
  </si>
  <si>
    <t>15.7.7</t>
  </si>
  <si>
    <t>SUMINISTRO E INSTALACIÓN INTERRUPTORES AUTOMÁTICOS ENCHUFABLES 240 V. 10kA 3x30 AMPS. TIPO ENCHUFABLE 10 Ka 240V.</t>
  </si>
  <si>
    <t>15.8</t>
  </si>
  <si>
    <t>SUMINISTRO E INSTALACIÓN CONSOLA DE CONTROL REMOTO ALUMBRADO ZONAS COMUNES Y EXTERIOR UBICADA EN LA RECEPCIÓN</t>
  </si>
  <si>
    <t>15.8.1</t>
  </si>
  <si>
    <t>SUMINISTRO E INSTALACIÓN GABINETE DE 30x30x15 cm, CONSTRUIDO EN LÁMINA CALIBRE 18 QUE INCLUYA: SEIS (6) CONMUTADORES DE MULETILLA CONTACTO MANTENIDO 2 POSICIONES, BORNERAS, CANALETAS DE CABLEADO Y TERMINALES DE IDENTIFICACIÓN Y SEIS (6) BOMBILLOS DE NEON QUE INDICAN EL ENCENDIDO DE LOS CONTACTORES (13 ÚTILES)</t>
  </si>
  <si>
    <t>15.9</t>
  </si>
  <si>
    <t>SUMINISTRO E INSTALACIÓN TABLEROS DE DISTRIBUCIÓN GENERAL</t>
  </si>
  <si>
    <t>15.9.1</t>
  </si>
  <si>
    <t>SUMINISTRO E INSTALACIÓN GABINETE METÁLICO CONSTRUIDO EN LÁMINA COLD ROLLED CALIBRE 16 TIPO AUTOSOPORTADO, CON TRATAMIENTO SUPERFICIAL PARA PROTEGERLO DE LA OXIDACIÓN Y FOSFATADO), CON ACABADO FINAL PINTURA EN POLVO ELECTROSTÁTICA EN RAAL 7030. DIMENSIONES: ANCHO = 1.00 M. ALTO = 2.00 M Y PROF. = 0.40 M. ESPACIO PARA ALOJAR UNA TRANSFERENCIA SUMINISTRADA POR EL PROPIETARIO VER ESPECIFICACIÓN PARA ESTE ÍTEM.</t>
  </si>
  <si>
    <t>15.9.2</t>
  </si>
  <si>
    <t>SUMINISTRO E INSTALACIÓN GABINETE METÁLICO CONSTRUIDO EN LÁMINA COLD ROLLED CALIBRE 16 TIPO AUTOSOPORTADO, CON TRATAMIENTO SUPERFICIAL PARA PROTEGERLO DE LA OXIDACIÓN Y FOSFATADO), CON ACABADO FINAL PINTURA EN POLVO ELECTROSTÁTICA EN RAAL 7030. DIMENSIONES: ANCHO = 0.60 M. ALTO = 1,20 M Y PROF. = 0.30 M. VER ESPECIFICACIÓN PARA ESTE ÍTEM.</t>
  </si>
  <si>
    <t>15.9.3</t>
  </si>
  <si>
    <t>SUMINISTRO E INSTALACIÓN GABINETE METÁLICO CONSTRUIDO SEGÚN NORMAS AE-319 DE CODENSA EN LÁMINA COLD ROLLED CALIBRE 16, CON TRATAMIENTO SUPERFICIAL CON DESENGRASANTE, FOSFATIZADO Y ACABADO FINAL EN PINTURA ELECTROSTÁTICA HORNEABLE RAAL 7032. DIMENSIONES: ANCHO = 0.80 M. ALTO = 2,00 M Y PROF. = 0.40 M. VER ESPECIFICACIÓN PARA ESTE ÍTEM.</t>
  </si>
  <si>
    <t>15.10</t>
  </si>
  <si>
    <t xml:space="preserve">SUMINISTRO E INSTALACIÓN PUESTA A TIERRA TRANSFORMADOR Y SUBESTACIÓN (Incluye preparación de tierra con la solución Sanick Gel para obtener una elevada conductividad eléctrica (ver especificaciones técnicas de diseño anexas) </t>
  </si>
  <si>
    <t>15.10.1</t>
  </si>
  <si>
    <t>SUMINISTRO E INSTALACIÓN CONDUCTOR 2/0 Cu. TEMPLE DURO</t>
  </si>
  <si>
    <t>15.10.2</t>
  </si>
  <si>
    <t>SUMINISTRO E INSTALACIÓN ELECTROSOLDADA DE PUESTA A TIERRA EN VARILLA DE COBRE DE 5/8" x 2.40m</t>
  </si>
  <si>
    <t>15.10.3</t>
  </si>
  <si>
    <t>SUMINISTRO E INSTALACIÓN CONEXIÓN TERMOSOLDADA DE VARILLA A CABLE DE COBRE DESNUDO # 2/0 AWG, INCLUYE SUMINISTRO DE MOLDE, FÚNDENTE Y DEMÁS ACCESORIOS.</t>
  </si>
  <si>
    <t>15.10.4</t>
  </si>
  <si>
    <t>SUMINISTRO E INSTALACIÓN CONEXIÓN TERMOSOLDADA DE CABLE A CABLE EN “T” DE COBRE DESNUDO # 2/0 AWG, INCLUYE SUMINISTRO DE MOLDE, FÚNDENTE Y DEMÁS ACCESORIOS.</t>
  </si>
  <si>
    <t>15.10.5</t>
  </si>
  <si>
    <t>SUMINISTRO E INSTALACIÓN POZO CONSTRUIDO EN CEFIPLAST CONCRETO PARA ALBERGAR UN ELECTRODO DE PUESTA A TIERRA EN CU DE 5/8” X 8' COMPUESTO DE TUBO Y TAPA DE INSPECCIÓN. EL TUBO TENDRÁ LAS SIGUIENTES DIMENSIONES: 80 CM. DE ALTO, DIÁMETRO EXTERIOR SUPERIOR E 25 CM., DIÁMETRO EXTERIOR INFERIOR DE 32 CM. LA TAPA TENDRÁ LAS SIGUIENTES DIMENSIONES: 30 CM. DE DIÁMETRO EXTERIOR.</t>
  </si>
  <si>
    <t>15.11</t>
  </si>
  <si>
    <t xml:space="preserve">SUMINISTRO E INSTALACIÓN PUESTA A TIERRA TABLERO DE DISTRIBUCIÓN Y GENERAL (Incluye preparación de tierra con la solución Sanick Gel para obtener una elevada conductividad eléctrica (ver especificaciones técnicas de diseño anexas) </t>
  </si>
  <si>
    <t>15.11.1</t>
  </si>
  <si>
    <t>SUMINISTRO E INSTALACIÓN CONDUCTOR 6 Cu TEMPLE DURO</t>
  </si>
  <si>
    <t>15.11.2</t>
  </si>
  <si>
    <t>SUMINISTRO E INSTALACIÓN ELECTRODO DE PUESTA A TIERRA EN VARILLA DE COBRE DE 5/8" X 2.40 M</t>
  </si>
  <si>
    <t>15.11.3</t>
  </si>
  <si>
    <t>SUMINISTRO E INSTALACIÓN CONEXIÓN TERMOSOLDADA DE VARILLA A CABLE DE COBRE DESNUDO # 6 AWG, INCLUYE SUMINISTRO DE MOLDE, FÚNDENTE Y DEMÁS ACCESORIOS.</t>
  </si>
  <si>
    <t>15.11.4</t>
  </si>
  <si>
    <t>SUMINISTRO E INSTALACIÓN CONEXIÓN TERMOSOLDADA DE CABLE A CABLE EN “T” DE COBRE DESNUDO # 6 AWG, INCLUYE SUMINISTRO DE MOLDE, FÚNDENTE Y DEMÁS ACCESORIOS.</t>
  </si>
  <si>
    <t>15.11.5</t>
  </si>
  <si>
    <t>15.12</t>
  </si>
  <si>
    <t xml:space="preserve">SUMINISTRO E INSTALACIÓN PUESTA A TIERRA PLANTA GENERADORA (Incluye preparación de tierra con la solución Sanick Gel para obtener una elevada conductividad eléctrica (ver especificaciones técnicas de diseño anexas) </t>
  </si>
  <si>
    <t>15.12.1</t>
  </si>
  <si>
    <t>15.12.2</t>
  </si>
  <si>
    <t>SUMINISTRO E INSTALACIÓN DE UNA VÍA DE CHISPAS DE SEPARACIÓN PARA INTERCONECTAR LA PUESTA A TIERRA DE PARARRAYOS Y LA PUESTA A TIERRA DEL SISTEMA ELÉCTRICO, DE LAS SIGUIENTES CARACTERÍSTICAS: TENSIÓN ALTERNA DE RESPUESTA: 2.5 KV, TENSIÓN DE RESPUESTA A CHOQUE DE RAYO: 5.0 KV, INTENSIDAD NOMINAL DE DESCARGA: 100 KA</t>
  </si>
  <si>
    <t>15.13</t>
  </si>
  <si>
    <t>SISTEMA DE PROTECCIÓN EXTERNA CONTRA DESCARGAS ATMOSFÉRICAS BAJANTES DE PARARRAYOS DESDE CUBIERTA A TERRENO</t>
  </si>
  <si>
    <t>15.13.1</t>
  </si>
  <si>
    <t>SUMINISTRO E INSTALACIÓN TENDIDO DE TUBERÍA Ø 3/4” PVC EMBEBIDO EN LAS COLUMNAS DE CONCRETO, DESDE LA CUBIERTA HASTA EL TERRENO.</t>
  </si>
  <si>
    <t>15.13.2</t>
  </si>
  <si>
    <t>SUMINISTRO E INSTALACIÓN TENDIDO DE CONDUCTOR DE COBRE DESNUDO # 2 AWG, DESDE LA CUBIERTA HASTA EL TERRENO POR LAS BAJANTES.</t>
  </si>
  <si>
    <t>15.13.3</t>
  </si>
  <si>
    <t>SUMINISTRO E INSTALACIÓN TENDIDO DE ALAMBRON 8MM SOBREPUESTO EN LOS BORDES DE LA CUBIERTA PARA INTERCONEXIÓN DE PUNTAS CAPTADORAS Y BAJANTES A MALLA A TIERRA.</t>
  </si>
  <si>
    <t>15.13.4</t>
  </si>
  <si>
    <t>SUMINISTRO E INSTALACIÓN TENDIDO DE ALAMBRE SÓLIDO DE COBRE ESTAÑADO # 2 AWG DESNUDO SUBTERRÁNEO DESDE BAJANTES, INTERCONECTANDO CON MALLA DE TIERRA DE SUBESTACION.</t>
  </si>
  <si>
    <t>15.13.5</t>
  </si>
  <si>
    <t>SUMINISTRO E INSTALACIÓN DE UN KIT DE MONTAJE PARA PUNTA CAPTADORA COMPUESTO DE LOS SIGUIENTES ELEMENTOS: BASE EN BRONCE CON TORNILLOS DE FIJACIÓN A LA SUPERFICIE DE CONCRETO. PUNTA CAPTADORA FRANKLIN DE 0.60 M. DE ALTURA. EN ACERO INOXIDABLE DE Ø 3/8” TIPO 1. ABRAZADERA PARA FIJACIÓN DE CABLE</t>
  </si>
  <si>
    <t>15.13.6</t>
  </si>
  <si>
    <t>SUMINISTRO E INSTALACIÓN ABRAZADERAS DE BRONCE PARA SOPORTAR EL CABLE AL MURO DE CONCRETO APROBADAS PARA INTEMPERIE.</t>
  </si>
  <si>
    <t>15.13.7</t>
  </si>
  <si>
    <t>SUMINISTRO E INSTALACIÓN GRAPA DERIVACIÓN EN T DE BRONCE PARA SOPORTAR EL CABLE AL MURO DE CONCRETO APROBADAS PARA INTEMPERIE.</t>
  </si>
  <si>
    <t>15.13.8</t>
  </si>
  <si>
    <t>SUMINISTRO E INSTALACIÓN ELECTRODO DE PUESTA A TIERRA EN CU DE 5/8"X 8' + CONECTOR</t>
  </si>
  <si>
    <t>15.13.9</t>
  </si>
  <si>
    <t>SUMINISTRO E INSTALACIÓN CONEXIÓN EXOTÉRMICA VARILLA-CABLE CALIBRE #2 AWG. INCLUYE SUMINISTRO DE MOLDE FÚNDENTE Y DEMÁS ACCESORIOS.</t>
  </si>
  <si>
    <t>15.13.10</t>
  </si>
  <si>
    <t>SUMINISTRO E INSTALACIÓN CAJA DE 30 CM X 30 CM, COMPUESTA DE TAPA DE INSPECCIÓN EN CONCRETO DE 2500 PSI Y MANIJA, PARA ALBERGAR UN ELECTRODO DE PUESTA A TIERRA EN CU DE 5/8” X 8'.</t>
  </si>
  <si>
    <t>LUMINARIAS Y LAMPARAS</t>
  </si>
  <si>
    <t>16.1</t>
  </si>
  <si>
    <t xml:space="preserve">SUMINISTRO E INSTALACIÓN DE LÁMPARAS FLUORESCENTES </t>
  </si>
  <si>
    <t>16.1.1</t>
  </si>
  <si>
    <t>SUMINISTRO E INSTALACIÓN LÁMPARA LED 1x28 W</t>
  </si>
  <si>
    <t>16.1.2</t>
  </si>
  <si>
    <t>SUMINISTRO E INSTALACIÓN LÁMPARA LED 2x54 W</t>
  </si>
  <si>
    <t>16.1.3</t>
  </si>
  <si>
    <t>SUMINISTRO E INSTALACIÓN BALA LED 35W 120 V</t>
  </si>
  <si>
    <t>16.1.4</t>
  </si>
  <si>
    <t>SUMINISTRO E INSTALACIÓN BALA RECESADA LED 10W 120 V</t>
  </si>
  <si>
    <t>16.1.5</t>
  </si>
  <si>
    <t>SUMINISTRO E INSTALACIÓN LUMINARIA LED 2x26W 120V</t>
  </si>
  <si>
    <t>16.1.6</t>
  </si>
  <si>
    <t>SUMINISTRO E INSTALACIÓN REFLECTOR DE LUZ INDIRECTA</t>
  </si>
  <si>
    <t>16.1.7</t>
  </si>
  <si>
    <t>SUMINISTRO E INSTALACIÓN APLIQUE DE ESCALERA 1000W 120V</t>
  </si>
  <si>
    <t>16.1.8</t>
  </si>
  <si>
    <t>SUMINISTRO E INSTALACIÓN BALAS LED DE PISO 3W 120V</t>
  </si>
  <si>
    <t>16.1.9</t>
  </si>
  <si>
    <t>SUMINISTRO E INSTALACIÓN BALAS DE PISO 50W 120 V</t>
  </si>
  <si>
    <t>AIRE ACONDICIONADO</t>
  </si>
  <si>
    <t>17.2</t>
  </si>
  <si>
    <t>SUMINISTRO E INSTALACION DE TUBERIA AGUA FRIA PVC</t>
  </si>
  <si>
    <t>17.2.1</t>
  </si>
  <si>
    <t>SUMINISTRO E INSTALACION TUBERIA Y ACCESORIOS RDE 21 Ø DIAMETRO  4"</t>
  </si>
  <si>
    <t>17.2.2</t>
  </si>
  <si>
    <t>SUMINISTRO E INSTALACION TUBERIA Y ACCESORIOS RDE 21 Ø DIAMETRO  3"</t>
  </si>
  <si>
    <t>17.2.3</t>
  </si>
  <si>
    <t>SUMINISTRO E INSTALACION TUBERIA Y ACCESORIOS RDE 21 Ø DIAMETRO  2 1/2"</t>
  </si>
  <si>
    <t>17.2.4</t>
  </si>
  <si>
    <t>SUMINISTRO E INSTALACION TUBERIA Y ACCESORIOS RDE 21 Ø DIAMETRO  2"</t>
  </si>
  <si>
    <t>17.2.5</t>
  </si>
  <si>
    <t>SUMINISTRO E INSTALACION TUBERIA Y ACCESORIOS RDE 21 Ø DIAMETRO  1 1/2"</t>
  </si>
  <si>
    <t>17.2.6</t>
  </si>
  <si>
    <t>SUMINISTRO E INSTALACION TUBERIA Y ACCESORIOS RDE 21 Ø DIAMETRO  1 1/4"</t>
  </si>
  <si>
    <t>17.2.7</t>
  </si>
  <si>
    <t>SUMINISTRO E INSTALACION TUBERIA Y ACCESORIOS RDE 21 Ø DIAMETRO  1"</t>
  </si>
  <si>
    <t>17.2.8</t>
  </si>
  <si>
    <t>SUMINISTRO E INSTALACION TUBERIA Y ACCESORIOS RDE 21 Ø DIAMETRO  3/4"</t>
  </si>
  <si>
    <t>17.3</t>
  </si>
  <si>
    <t>SUMINISTRO, MONTAJE E INSTALACIÓN DE AISLAMIENTO TÉRMICO RED DE AGUA FRIA</t>
  </si>
  <si>
    <t>17.3.1</t>
  </si>
  <si>
    <t>SUMINISTRO E INSTALACION DE AISLAMIENTO TERMICO TUBERIA Y ACCESORIOS RDE 21 Ø DIAMETRO  4"</t>
  </si>
  <si>
    <t>17.3.2</t>
  </si>
  <si>
    <t>SUMINISTRO E INSTALACION DE AISLAMIENTO TERMICO TUBERIA Y ACCESORIOS RDE 21 Ø DIAMETRO  3"</t>
  </si>
  <si>
    <t>17.3.3</t>
  </si>
  <si>
    <t>SUMINISTRO E INSTALACION DE AISLAMIENTO TERMICO TUBERIA Y ACCESORIOS RDE 21 Ø DIAMETRO  2 1/2"</t>
  </si>
  <si>
    <t>17.3.4</t>
  </si>
  <si>
    <t>SUMINISTRO E INSTALACION DE AISLAMIENTO TERMICO TUBERIA Y ACCESORIOS RDE 21 Ø DIAMETRO  2"</t>
  </si>
  <si>
    <t>17.3.5</t>
  </si>
  <si>
    <t>SUMINISTRO E INSTALACION DE AISLAMIENTO TERMICO TUBERIA Y ACCESORIOS RDE 21 Ø DIAMETRO  1 1/2"</t>
  </si>
  <si>
    <t>17.3.6</t>
  </si>
  <si>
    <t>SUMINISTRO E INSTALACION DE AISLAMIENTO TERMICO TUBERIA Y ACCESORIOS RDE 21 Ø DIAMETRO  1 1/4"</t>
  </si>
  <si>
    <t>17.3.7</t>
  </si>
  <si>
    <t>SUMINISTRO E INSTALACION DE AISLAMIENTO TERMICO TUBERIA Y ACCESORIOS RDE 21 Ø DIAMETRO  1"</t>
  </si>
  <si>
    <t>17.3.8</t>
  </si>
  <si>
    <t>SUMINISTRO E INSTALACION DE AISLAMIENTO TERMICO TUBERIA Y ACCESORIOS RDE 21 Ø DIAMETRO  3/4"</t>
  </si>
  <si>
    <t>17.4</t>
  </si>
  <si>
    <t>SUMINISTRO, MONTAJE E INSTALACIÓN DE ACCESORIOS RED DE AGUA</t>
  </si>
  <si>
    <t>17.4.1</t>
  </si>
  <si>
    <t>SUMINISTRO E INSTALACION MANOMETROS 4", INCLUYE GRIFOS DE PRUEBA Y ACCESORIOS</t>
  </si>
  <si>
    <t>17.4.2</t>
  </si>
  <si>
    <t>SUMINISTRO E INSTALACION TERMOMETROS 0-100F DE COLUMNA 7"</t>
  </si>
  <si>
    <t>17.4.3</t>
  </si>
  <si>
    <t>SUMINISTRO E INSTALACION ELIMINADORES DE AIRE</t>
  </si>
  <si>
    <t>17.4.4</t>
  </si>
  <si>
    <t xml:space="preserve">SUMINISTRO E INSTALACION TANQUE DE EXPANSIÓN PVC CON VALVULA DE NIVEL </t>
  </si>
  <si>
    <t>17.4.5</t>
  </si>
  <si>
    <t>SUMINISTRO E INSTALACION VALVULAS MARIPOSA DE 4" SUCCIÓN DE BOMBA</t>
  </si>
  <si>
    <t>17.4.6</t>
  </si>
  <si>
    <t>SUMINISTRO E INSTALACION VALVULAS MARIPOSA DE 4" DESCARGA DE BOMBA</t>
  </si>
  <si>
    <t>17.4.7</t>
  </si>
  <si>
    <t>SUMINISTRO E INSTALACION VALVULA TRIPLE - FLOTREX</t>
  </si>
  <si>
    <t>17.4.8</t>
  </si>
  <si>
    <t>SUMINISTRO E INSTALACION VALVULA CORTINA 3" 125PSI - PISO 3</t>
  </si>
  <si>
    <t>17.4.9</t>
  </si>
  <si>
    <t>SUMINISTRO E INSTALACION VALVULA GLOBO 3" 125PSI - PISO 3</t>
  </si>
  <si>
    <t>17.4.10</t>
  </si>
  <si>
    <t>SUMINISTRO E INSTALACION VALVULAS CORTINA 2 1/2" 125PSI - PISOS 2,3,4</t>
  </si>
  <si>
    <t>17.4.11</t>
  </si>
  <si>
    <t>SUMINISTRO E INSTALACION VALVULAS GLOBO 2 1/2" 125PSI - PISOS 2,3,4</t>
  </si>
  <si>
    <t>17.4.12</t>
  </si>
  <si>
    <t>SUMINISTRO E INSTALACION VALVULAS CORTINA 2" 125PSI - PISO 1,4</t>
  </si>
  <si>
    <t>17.4.13</t>
  </si>
  <si>
    <t>SUMINISTRO E INSTALACION VALVULAS GLOBO 2" 125PSI - PISO 1,4</t>
  </si>
  <si>
    <t>17.4.16</t>
  </si>
  <si>
    <t>SUMINISTRO E INSTALACION FILTRO / STRAINER incluye SOPORTERIA</t>
  </si>
  <si>
    <t>17.4.17</t>
  </si>
  <si>
    <t>SUMINISTRO E INSTALACION FLANCHES, CABEZALES Y ACCESORIOS VARIOS ASOCIADOS</t>
  </si>
  <si>
    <t>17.4.18</t>
  </si>
  <si>
    <t>SUMINISTRO E INSTALACION JUNTAS FLEXIBLES CHILLER 4"</t>
  </si>
  <si>
    <t>17.4.19</t>
  </si>
  <si>
    <t>SUMINISTRO E INSTALACION JUNTAS FLEXIBLES BOMBA VERTICAL 3"</t>
  </si>
  <si>
    <t>17.4.20</t>
  </si>
  <si>
    <t>SUMINISTRO E INSTALACION VALVULA DE CORTINA 2" FC 150 PSI</t>
  </si>
  <si>
    <t>17.4.21</t>
  </si>
  <si>
    <t>SUMINISTRO E INSTALACION VALVULA DE GLOBO 2" FC 150 PSI</t>
  </si>
  <si>
    <t>17.4.22</t>
  </si>
  <si>
    <t>SUMINISTRO E INSTALACION VALVULAS DE CORTINA 1 1/4" FC 125 PSI</t>
  </si>
  <si>
    <t>17.4.23</t>
  </si>
  <si>
    <t>SUMINISTRO E INSTALACION VALVULAS DE GLOBO 1 1/4" FC 125 PSI</t>
  </si>
  <si>
    <t>17.4.24</t>
  </si>
  <si>
    <t>SUMINISTRO E INSTALACION VALVULAS DE CORTINA 1 1/2" FC 125-150 PSI</t>
  </si>
  <si>
    <t>17.4.25</t>
  </si>
  <si>
    <t>SUMINISTRO E INSTALACIONVALVULAS DE GLOBO 1   1/2" FC 125-150 PSI</t>
  </si>
  <si>
    <t>17.4.26</t>
  </si>
  <si>
    <t>SUMINISTRO E INSTALACION VALVULAS DE CORTINA 1" FC 125 PSI</t>
  </si>
  <si>
    <t>17.4.27</t>
  </si>
  <si>
    <t>SUMINISTRO E INSTALACION VALVULAS DE GLOBO 1" FC 125 PSI</t>
  </si>
  <si>
    <t>17.4.28</t>
  </si>
  <si>
    <t>SUMINISTRO E INSTALACION VALVULAS DE CORTINA 3/4" FC 125 PSI</t>
  </si>
  <si>
    <t>17.4.29</t>
  </si>
  <si>
    <t>SUMINISTRO E INSTALACION VALVULAS DE GLOBO 3/4" FC 125 PSI</t>
  </si>
  <si>
    <t>17.4.30</t>
  </si>
  <si>
    <t>SUMINISTRO E INSTALACION TERMOTATOS DIGITALES NO PROGRAMABLES FC</t>
  </si>
  <si>
    <t>17.4.31</t>
  </si>
  <si>
    <t xml:space="preserve">SUMINISTRO E INSTALACION TERMOSTATOS PROPORCIONALES DIGITALES </t>
  </si>
  <si>
    <t>17.4.32</t>
  </si>
  <si>
    <t>SUMINISTRO E INSTALACION ELECTROVALVULAS ON-OFF  110V</t>
  </si>
  <si>
    <t>17.4.33</t>
  </si>
  <si>
    <t>SUMINISTRO E INSTALACION ELECTROVALVULAS PROPORCIONALES 2 " - 2 VIAS - 24V</t>
  </si>
  <si>
    <t>17.4.34</t>
  </si>
  <si>
    <t>SUMINISTRO E INSTALACION ELECTROVALVULAS PROPORCIONALES  1 1/2 " - 2 VIAS - 24V</t>
  </si>
  <si>
    <t>17.4.35</t>
  </si>
  <si>
    <t>SUMINISTRO E INSTALACION ELECTROVALVULAS PROPORCIONALES  1 1/2 " - 3 VIAS - 24V</t>
  </si>
  <si>
    <t>17.4.36</t>
  </si>
  <si>
    <t>SUMINISTRO E INSTALACION ELECTROVALVULAS PROPORCIONALES 1 1/4 " - 24V</t>
  </si>
  <si>
    <t>17.4.37</t>
  </si>
  <si>
    <t>SUMINISTRO E INSTALACION ELECTROVALVULAS PROPORCIONALES 1 " - 24V</t>
  </si>
  <si>
    <t>17.5</t>
  </si>
  <si>
    <t>SUMINISTRO, MONTAJE E INSTALACIÓN DE DUCTOS DE AIRE ACONDICIONADO</t>
  </si>
  <si>
    <t>17.5.1</t>
  </si>
  <si>
    <t>SUMINISTRO E INSTALACION DUCTOS EN LAMINA GALVANIZADA CAL. 24 Wrap FC</t>
  </si>
  <si>
    <t>17.5.2</t>
  </si>
  <si>
    <t>SUMINISTRO E INSTALACION DUCTOS EN LAMINA GALVANIZADA CAL. 22 Wrap FC</t>
  </si>
  <si>
    <t>17.5.3</t>
  </si>
  <si>
    <t>SUMINISTRO E INSTALACION AISLAMIENTO DUCTOS EN JUMBOLON FC</t>
  </si>
  <si>
    <t>17.5.4</t>
  </si>
  <si>
    <t>SUMINISTRO E INSTALACION DUCTOS EN LAMINA GALVANIZADA CAL. 20 Wrap UMAS</t>
  </si>
  <si>
    <t>17.5.5</t>
  </si>
  <si>
    <t>SUMINISTRO E INSTALACION AISLAMIENTO DUCTOS EN DUCT WRAP UMAS</t>
  </si>
  <si>
    <t>17.5.6</t>
  </si>
  <si>
    <t>SUMINISTRO E INSTALACION ACOPLE FLEXIBLE DUCTOS - EQUIPOS</t>
  </si>
  <si>
    <t>17.6</t>
  </si>
  <si>
    <t>SUMINISTRO E INSTALACIÓN DIFUSORES Y REJILLAS</t>
  </si>
  <si>
    <t>17.6.1</t>
  </si>
  <si>
    <t>SUMINISTRO E INSTALACION DIFUSORES SUMINISTRO DE 12" x 12" 4V (Tipo Descolgado) con Damper OB</t>
  </si>
  <si>
    <t>17.6.2</t>
  </si>
  <si>
    <t>SUMINISTRO E INSTALACION DIFUSORES SUMINISTRO DE 9" x 9" 4V (Tipo Descolgado) con Damper OB</t>
  </si>
  <si>
    <t>17.6.3</t>
  </si>
  <si>
    <t>SUMINISTRO E INSTALACION REJILLAS SUMINISTRO DE 48" X 12" (TIPO DOBLE ALETA) con Damper incluye EXTRACTORES DE AIRE</t>
  </si>
  <si>
    <t>17.6.4</t>
  </si>
  <si>
    <t>SUMINISTRO E INSTALACION REJILLAS DE ACCESO/ RETORNO A FC DE 18" x 8" 160 CFM</t>
  </si>
  <si>
    <t>17.6.5</t>
  </si>
  <si>
    <t>SUMINISTRO E INSTALACION REJILLAS DE ACCESO/ RETORNO A FC DE 40" x 8"   320 CFM</t>
  </si>
  <si>
    <t>17.6.6</t>
  </si>
  <si>
    <t>SUMINISTRO E INSTALACION REJILLAS DE ACCESO/ RETORNO A FC DE 48" x 12" 400 CFM</t>
  </si>
  <si>
    <t>17.6.7</t>
  </si>
  <si>
    <t>SUMINISTRO E INSTALACION REJILLAS DE ACCESO/ RETORNO A FC DE 48" x 20" 2400 CFM</t>
  </si>
  <si>
    <t>17.6.8</t>
  </si>
  <si>
    <t>SUMINISTRO E INSTALACION REJILLAS DE ACCESO/ RETORNO A FC DE 48" x 24" 3600 CFM</t>
  </si>
  <si>
    <t>17.6.9</t>
  </si>
  <si>
    <t>SUMINISTRO E INSTALACION REJILLAS DE TOMA AIRE EXTERNO TAE 6" x 6"</t>
  </si>
  <si>
    <t>17.6.10</t>
  </si>
  <si>
    <t>SUMINISTRO E INSTALACION REJILLAS DE TOMA AIRE EXTERNO TAE 10" x 8"</t>
  </si>
  <si>
    <t>17.6.11</t>
  </si>
  <si>
    <t>SUMINISTRO E INSTALACION REJILLAS DE TOMA AIRE EXTERNO TAE 12" x 8"</t>
  </si>
  <si>
    <t>17.6.12</t>
  </si>
  <si>
    <t>SUMINISTRO E INSTALACION REJILLAS DE TOMA AIRE EXTERNO TAE 18" x 8"</t>
  </si>
  <si>
    <t>17.6.13</t>
  </si>
  <si>
    <t>SUMINISTRO E INSTALACION REJILLA DE TOMA AIRE EXTERNO TAE 30" x 12" CN DAMPER MOTORIZADO</t>
  </si>
  <si>
    <t>17.6.14</t>
  </si>
  <si>
    <t>SUMINISTRO E INSTALACION REJILLA DE TOMA AIRE EXTERNO TAE 30" x 18" CN DAMPER MOTORIZADO</t>
  </si>
  <si>
    <t>17.7</t>
  </si>
  <si>
    <t>SUMINSITRO, MONTAJE E INSTALACIÓN DE VENTILACIÓN MECANICA</t>
  </si>
  <si>
    <t>17.7.3</t>
  </si>
  <si>
    <t>17.7.4</t>
  </si>
  <si>
    <t>SUMINISTRO E INSTALACION DUCTOS EN LAMINA GALVANIZADA CAL. 22 Wrap UMAS</t>
  </si>
  <si>
    <t>17.7.5</t>
  </si>
  <si>
    <t>SUMINISTRO E INSTALACION BANCO DE FILTROS</t>
  </si>
  <si>
    <t>17.8</t>
  </si>
  <si>
    <t>SUMNISTRO, INSTALACION Y MONTAJE CONTROL</t>
  </si>
  <si>
    <t>17.8.2</t>
  </si>
  <si>
    <t>SUMINISTRO E INSTALACION VALVULA BYPASS 2"</t>
  </si>
  <si>
    <t>17.8.3</t>
  </si>
  <si>
    <t>SUMINISTRO E INSTALACION SENSOR DIFERENCIAL DE PRESIÓN SISTEMA AGUA FRIA</t>
  </si>
  <si>
    <t>17.8.4</t>
  </si>
  <si>
    <t>SUMINISTRO E INSTALACION SENSOR DIFERENCIAL DE PRESIÓN SISTEMA AIRE UMAS</t>
  </si>
  <si>
    <t>17.8.5</t>
  </si>
  <si>
    <t>SUMINISTRO E INSTALACION SENSOR DE FLUJO AIRE UMAS</t>
  </si>
  <si>
    <t>17.8.9</t>
  </si>
  <si>
    <t>SUMINISTRO E INSTALACION SENSOR CO</t>
  </si>
  <si>
    <t>17.8.10</t>
  </si>
  <si>
    <t>SUMINISTRO E INSTALACION SENSOR CONTROL CO2 UMAS</t>
  </si>
  <si>
    <t>RED DE VOZ Y DATOS Cat. 6A BLINDADO LSZH (Low Smoke Zero Halogen)</t>
  </si>
  <si>
    <t>18.1</t>
  </si>
  <si>
    <t>SUMINISTRO E INSTALACION DE TOMAS PUESTOS DE TRABAJO</t>
  </si>
  <si>
    <t>18.1.1</t>
  </si>
  <si>
    <t xml:space="preserve">SUMINISTRO E INSTALACION TOMAS SENCILLA RJ45 Cat. 6A DATOS BLINDADO INCLUYE MARQUILLAS </t>
  </si>
  <si>
    <t>18.1.2</t>
  </si>
  <si>
    <t>SUMINISTRO E INSTALACION TOMAS SENCILLA RJ45 Cat. 6A VOZ BLINDADO INCLUYE MARQUILLAS</t>
  </si>
  <si>
    <t>18.1.3</t>
  </si>
  <si>
    <t>SUMINISTRO E INSTALACION FACE PLATE DOBLE PARA TOMA RJ45</t>
  </si>
  <si>
    <t>18.1.4</t>
  </si>
  <si>
    <t>SUMINISTRO E INSTALACION PATCH CORD. RJ45-RJ45 1,5 m Cat. 6A BLINDADO</t>
  </si>
  <si>
    <t>18.2</t>
  </si>
  <si>
    <t>SUMINISTRO E INSTALACION DE CABLES</t>
  </si>
  <si>
    <t>18.2.1</t>
  </si>
  <si>
    <t>SUMINISTRO E INSTALACION CABLE 10 G F/UTP Cat. 6A CON CHAQUETA LSZH (LOW SMOKE ZERO HALOGEN)</t>
  </si>
  <si>
    <t>18.3</t>
  </si>
  <si>
    <t xml:space="preserve">SUMINISTRO E INSTALACION DE ELEMENTOS DE ADMINISTRACIÓN </t>
  </si>
  <si>
    <t>18.3.1</t>
  </si>
  <si>
    <t>SUMINISTRO E INSTALACION HERRAJE PATVH PANEL 24 Pts Cat. 6A BLINDADO</t>
  </si>
  <si>
    <t>18.3.2</t>
  </si>
  <si>
    <t>SUMINISTRO E INSTALACION TOMA SENCILLA RJ45 Cat. 6A AZUL DATOS BLINDADO INCLUYE MARQUILLAS</t>
  </si>
  <si>
    <t>18.3.3</t>
  </si>
  <si>
    <t>SUMINISTRO E INSTALACION TOMA SENCILLA RJ45 Cat. 6A ROJO VOZ BLINDADO INCLUYE MARQUILLAS</t>
  </si>
  <si>
    <t>18.3.4</t>
  </si>
  <si>
    <t>SUMINISTRO E INSTALACION PATCH CORD. RJ45-RJ45 3 m Cat. 6A DATOS BLINDADO</t>
  </si>
  <si>
    <t>18.3.5</t>
  </si>
  <si>
    <t>SUMINISTRO E INSTALACION PATCH CORD. RJ45-RJ45 3 m Cat. 6A VOZ BLINDADO</t>
  </si>
  <si>
    <t>18.3.6</t>
  </si>
  <si>
    <t>SUMINISTRO E INSTALACION ORGANIZADOR HORIZONTAL 2U</t>
  </si>
  <si>
    <t>18.4</t>
  </si>
  <si>
    <t>SUMINISTRO E INSTALACIÓN INTEGRACIÓN TELEFÓNICA</t>
  </si>
  <si>
    <t>18.4.1</t>
  </si>
  <si>
    <t>SUMINISTRO E INSTALACION PATCH PANEL 24 Pts Cat. 5E BLINDADO PARA INTEGRACIÓN TELEFONICA</t>
  </si>
  <si>
    <t>18.4.2</t>
  </si>
  <si>
    <t>SUMINISTRO E INSTALACION PATCH CORD RJ45-RJ45 1m Cat 5E INTEGRACIÓN TELEFÓNICA INCLUYE MARQUILLAS</t>
  </si>
  <si>
    <t>18.4.3</t>
  </si>
  <si>
    <t>18.5</t>
  </si>
  <si>
    <t>SUMINISTRO E INSTALACIÓN DE BACKBONE</t>
  </si>
  <si>
    <t>18.5.1</t>
  </si>
  <si>
    <t>SUMINISTRO E INSTALACION FIBRA OPTICA 6 HILOS MULTIMODO 50/125 u.</t>
  </si>
  <si>
    <t>18.5.2</t>
  </si>
  <si>
    <t>SUMINISTRO E INSTALACION BANDEJA DE FIBRA OPTICA DE 24 PUERTOS</t>
  </si>
  <si>
    <t>18.5.3</t>
  </si>
  <si>
    <t>SUMINISTRO E INSTALACION ORGANIZADOR HORIZONTAL 1U</t>
  </si>
  <si>
    <t>18.6</t>
  </si>
  <si>
    <t xml:space="preserve">SUMINISTRO E INSTALACIÓN DE OTROS </t>
  </si>
  <si>
    <t>18.6.1</t>
  </si>
  <si>
    <t>SUMINISTRO E INSTALACION GABINETE 2,10 m ALTO X 0,71 m PROFUNDO Y 0,81 m DE ANCHO</t>
  </si>
  <si>
    <t>18.6.2</t>
  </si>
  <si>
    <t>SUMINISTRO E INSTALACION ORGANIZADOR VERTICAL</t>
  </si>
  <si>
    <t>18.6.3</t>
  </si>
  <si>
    <t>SUMINISTRO E INSTALACION MULTITOMA CON 5 SALIDAS ELECTRICAS GRADO HOSPITALARIO</t>
  </si>
  <si>
    <t>18.6.4</t>
  </si>
  <si>
    <t>SUMINISTRO E INSTALACION CABLE THHN No. 6 AWG VERDE. PARA ATERRIZAJE DE ELEMENTOS Y GABINATE</t>
  </si>
  <si>
    <t>18.6.5</t>
  </si>
  <si>
    <t>SUMINISTRO E INSTALACION BANDEJA TIPO MALLA DE 40 x 8 cm CON ACCESORIOS</t>
  </si>
  <si>
    <t>18.6.6</t>
  </si>
  <si>
    <t>SUMINISTRO E INSTALACION CANALETA METÁLICA DE 12 x 5 cm.</t>
  </si>
  <si>
    <t>18.6.7</t>
  </si>
  <si>
    <t>SUMINISTRO E INSTALACION TUBERÍA EMT DE 1" INCLUYE ACCESORIOS</t>
  </si>
  <si>
    <t>18.6.8</t>
  </si>
  <si>
    <t>SUMINISTRO E INSTALACION TUBERÍA EMT DE 3/4" INCLUYE ACCESORIOS</t>
  </si>
  <si>
    <t>18.6.9</t>
  </si>
  <si>
    <t>SUMINISTRO E INSTALACION TUBERÍA PVC DE 1" INCLUYE ACCESORIOS</t>
  </si>
  <si>
    <t>18.6.10</t>
  </si>
  <si>
    <t>SUMINISTRO E INSTALACION TUBERÍA PVC DE 3/4" INCLUYE ACCESORIOS</t>
  </si>
  <si>
    <t>18.6.11</t>
  </si>
  <si>
    <t>SUMINISTRO E INSTALACION PARRILLA ORGANIZADORA DE CABLES DE 1,20 x 0,6 m</t>
  </si>
  <si>
    <t>18.6.12</t>
  </si>
  <si>
    <t>SUMINISTRO E INSTALACION CAJA DE PASO 10 x 10 m DOBLE FONDO</t>
  </si>
  <si>
    <t>18.7</t>
  </si>
  <si>
    <t xml:space="preserve">SUMINISTRO E INSTALACIÓN DE REDES ELECTRICAS ESPECIALES </t>
  </si>
  <si>
    <t>18.7.1</t>
  </si>
  <si>
    <t>SUMINISTRO E INSTALACION SALIDA TOMA NEMA L5-30 RAWELT</t>
  </si>
  <si>
    <t>18.7.2</t>
  </si>
  <si>
    <t>SUMINISTRO E INSTALACION CIRCUITO PREENSAMBLADO AZUL MONOFÁSICO NORMAL PARA RACK</t>
  </si>
  <si>
    <t>18.7.3</t>
  </si>
  <si>
    <t>SUMINISTRO E INSTALACION CIRCUITO PREENSAMBLADO ROJO MONOFÁSICO REGULADO PARA RACK</t>
  </si>
  <si>
    <t>18.7.4</t>
  </si>
  <si>
    <t>SUMINISTRO E INSTALACION BARRAJE DE PUESTA A TIERRA PARA RACK TGB</t>
  </si>
  <si>
    <t>18.8</t>
  </si>
  <si>
    <t>SUMINISTRO E INSTALACION DE EQUIPOS ACTIVOS</t>
  </si>
  <si>
    <t>18.8.1</t>
  </si>
  <si>
    <t xml:space="preserve">SUMINISTRO E INSTALACION SWITCHE DE BORDE DE 24 PoE PUERTOS GIGABIT ETHERNET 10/100/1000 Gbps CON PUERTO DE ADMINSITRACION POR CONSOLA </t>
  </si>
  <si>
    <t>18.8.2</t>
  </si>
  <si>
    <t>SUMINISTRO E INSTALACION MODULO SFP 10G</t>
  </si>
  <si>
    <t>SEGURIDAD ELÉCTRONICA (CCTV, CONTROL ACCESOS, DETECCION INCENDIOS Y SONIDO)</t>
  </si>
  <si>
    <t>19.3</t>
  </si>
  <si>
    <t>SUMINISTRO E INSTALACION DE DETECCIÓN DE INDENDIO</t>
  </si>
  <si>
    <t>19.3.1</t>
  </si>
  <si>
    <t>SUMINISTRO E INSTALACION ESTACION MANUAL DIRECCIONABLE DE AVISO, CON CUBIERTA ACRILICA</t>
  </si>
  <si>
    <t>19.3.2</t>
  </si>
  <si>
    <t>SUMINISTRO E INSTALACION SIRENA / ESTROBO CON SUS MODULOS DE CONTROL</t>
  </si>
  <si>
    <t>19.3.3</t>
  </si>
  <si>
    <t>SUMINISTRO E INSTALACION DETECTOR DE HUMO DIRECCIONABLE CON BASE</t>
  </si>
  <si>
    <t>19.3.4</t>
  </si>
  <si>
    <t>SUMINISTRO E INSTALACION DETECTOR DE MONOXIDO DIRECCIONABLE CON BASE</t>
  </si>
  <si>
    <t>19.3.5</t>
  </si>
  <si>
    <t>SUMINISTRO E INSTALACION CITOFONO DE EMERGENCIA</t>
  </si>
  <si>
    <t>19.3.6</t>
  </si>
  <si>
    <t xml:space="preserve">SUMINISTRO E INSTALACION CENTRAL DE DETECCION DE INCENDIO E INTRUSIÓN, CONSU GABINETE, FUENTE, CPU, DISPLAY Y TECLEDO, CON UN 30% DE RESERVA PARA AMPLIACIÓN. </t>
  </si>
  <si>
    <t>19.3.7</t>
  </si>
  <si>
    <t>SUMINISTRO E INSTALACION CABLE BLINDADO 2 x 16 AWG FPL</t>
  </si>
  <si>
    <t>19.3.8</t>
  </si>
  <si>
    <t>19.3.9</t>
  </si>
  <si>
    <t>19.3.10</t>
  </si>
  <si>
    <t>OTRAS ACTIVIDADES</t>
  </si>
  <si>
    <t>20.2</t>
  </si>
  <si>
    <t>SUMINISTRO Y COLOCACION DE PAÑETE LISO IMPERMEABILIZADO e= 0.02 m (Incluye filos y dilataciones)</t>
  </si>
  <si>
    <t>20.3</t>
  </si>
  <si>
    <t>SUMINISTRO E INSTALACION DE PINTURA TIPO KORAZA O EQUIVALENTE BLANCA MUROS EXISTENTES EN CONCRETO</t>
  </si>
  <si>
    <t>20.4</t>
  </si>
  <si>
    <t>Limpieza mecánica del acero de refuerzo y aplicación de inhibidor de corrosión.</t>
  </si>
  <si>
    <t>20.5</t>
  </si>
  <si>
    <t>Reparación del concreto de elementos estructurales para una profundidad no mayor a los 2,5 cm. Incluye aplicación de pintura anticarbonatación.</t>
  </si>
  <si>
    <t>20.6</t>
  </si>
  <si>
    <t>ESTRUCTURA METALICA PARA CUBIERTA</t>
  </si>
  <si>
    <t>20.7</t>
  </si>
  <si>
    <t>CONSTRUCCIÓN DE ANCLAJES EPOXICOS PARA VARILLAS DE # 3 A # 8 PROFUNIDAD PROMEDIO 15.5 CMS INCLUYE MATERIALES EQUIPOS Y MANO DE OBRA (3/8, 3/4, 7/8, 1”).</t>
  </si>
  <si>
    <t>20.8</t>
  </si>
  <si>
    <t>PUENTE DE ADHERENCIA (ESCARIFICADO Y 500GR DE SIKADUR 32 PRIMER) Suministro e instalación de anclaje químico tipo primer para concreto de dos etapas, incluye limpieza del sustrato)</t>
  </si>
  <si>
    <t>20.9</t>
  </si>
  <si>
    <t>Muro liviano en Eterboard con las siguientes características:  Muro liviano Eterboard doble cara - ESP  15 CM ENTRAMADO CAL  20 C/0.64, incluido pintura    exterior e interior, perfiles, columnetas metálicas, soportes muro fachada</t>
  </si>
  <si>
    <t>20.10</t>
  </si>
  <si>
    <t>Pintura intumescente</t>
  </si>
  <si>
    <t>COSTOS DIRECTOS</t>
  </si>
  <si>
    <t>COSTOS INDIRECTOS</t>
  </si>
  <si>
    <t>ADMINISTRACIÓN *</t>
  </si>
  <si>
    <t>IMPREVISTOS</t>
  </si>
  <si>
    <t>UTILIDAD</t>
  </si>
  <si>
    <t>TOTAL ANTES DE IVA</t>
  </si>
  <si>
    <t>IVA 19% SOBRE UTILIDAD</t>
  </si>
  <si>
    <t>COSTO TOTAL EJECUCIÓN OBRA</t>
  </si>
  <si>
    <t>MAYOR</t>
  </si>
  <si>
    <t>TOTAL</t>
  </si>
  <si>
    <t>CONSTRUCCIÓN SEGUNDA ETAPA SEDE TERRITORIAL  ESAP CIUDAD DE NEIVA, DEPARTAMENTO DEL HUILA</t>
  </si>
  <si>
    <t>PRECIO FASE 1</t>
  </si>
  <si>
    <t>CANT FASE I</t>
  </si>
  <si>
    <t>VALOR</t>
  </si>
  <si>
    <t>CÚAL ES MAYOR?</t>
  </si>
  <si>
    <t>CANTIDAD TOTAL</t>
  </si>
  <si>
    <t>PRECIO MAYOR</t>
  </si>
  <si>
    <t>1.1.2</t>
  </si>
  <si>
    <t>LOCALIZACIÓN Y REPLANTEO</t>
  </si>
  <si>
    <t>1.1.3</t>
  </si>
  <si>
    <t>CERRAMIENTO PROVISIONAL EN LONA VERDE H=2,00 M</t>
  </si>
  <si>
    <t>1.2.1</t>
  </si>
  <si>
    <t>INSTALACIÓN PROVISIONAL DE AGUA (L=30m)</t>
  </si>
  <si>
    <t>1.2.2</t>
  </si>
  <si>
    <t>INSTALACIÓN PROVISIONAL ELECTRICA (L=50M)</t>
  </si>
  <si>
    <t>DEMOLICIÓN AREA DE ESPACIO PUBLICO (VIAS, ANDENES, CUNETAS) INCLIUYE RETIRO DE SOBRANTES Y DISPOSICIÓN FINAL</t>
  </si>
  <si>
    <t>DEMOLICIÓN DE ESTRUCTURA EXISTENTE AREA CUBIERTA INCLIUYE RETIRO DE SOBRANTES Y DISPOSICIÓN FINAL</t>
  </si>
  <si>
    <r>
      <t>CONSTRUCCIÓN VARIOS EN CONCRETO</t>
    </r>
    <r>
      <rPr>
        <sz val="10"/>
        <rFont val="Arial Narrow"/>
        <family val="2"/>
      </rPr>
      <t xml:space="preserve"> </t>
    </r>
  </si>
  <si>
    <t>PLACA ENTREPISO ALIGERADA H= 0.60M EN CONCRETO DE 4000 PSI incluye, VIGAS, VIGUETAS, RIOSTRAS, CASETON E: 7.5 cms aprox, etc</t>
  </si>
  <si>
    <t>en que son??</t>
  </si>
  <si>
    <t xml:space="preserve">SUMINISTRO E INSTALACION CIELO RASO EN DRYWALL LAMINA VERDE RH  PINTADO A 3 MANOS PINTURA VINILO TIPO 1 o similar  BLANCA Ref. Planos 09512 AULAS Y GENERAL </t>
  </si>
  <si>
    <t>4.2</t>
  </si>
  <si>
    <t>SUMINISTRO E INSTALACION DE CIELOS RASOS PISO 2</t>
  </si>
  <si>
    <t>4.2.1</t>
  </si>
  <si>
    <t>4.2.2</t>
  </si>
  <si>
    <t>4.3</t>
  </si>
  <si>
    <t>SUMINISTRO E INSTALACION DE CIELOS RASOS PISO 3</t>
  </si>
  <si>
    <t>4.3.1</t>
  </si>
  <si>
    <t>4.3.2</t>
  </si>
  <si>
    <t>4.4</t>
  </si>
  <si>
    <t>SUMINISTRO E INSTALACION DE CIELOS RASOS PISO 4</t>
  </si>
  <si>
    <t>4.4.1</t>
  </si>
  <si>
    <t>4.4.2</t>
  </si>
  <si>
    <t>4.4.3</t>
  </si>
  <si>
    <t>SUMINISTRO E INSTALACION LINEAL DE DRYWALL LAMINA BLANCA PINTADA A 3 MANOS PINTURAVINILO TIPO 1 BLANCA Ref. Planos 09513</t>
  </si>
  <si>
    <t>4.4.4</t>
  </si>
  <si>
    <t>SUMINISTRO E INSTALACION REJILLA EN MADERA FLOR MORADO NATURAL INCLUYE ESTRUCTURA DE APOYO VER PLANO DETALLE CORTE  06507</t>
  </si>
  <si>
    <t>MURO EN CONCRETO DE 4000 PSI e=0.15 m  Ver. Planos Tipo Muro M-2</t>
  </si>
  <si>
    <t>MURO EN CONCRETO DE 4000 PSI  e=0.25 m Ver. Planos Tipo Muro M-3</t>
  </si>
  <si>
    <t>5.5</t>
  </si>
  <si>
    <t>CONSTRUCCION MUROS ARQUITECTONICOS PISO 3</t>
  </si>
  <si>
    <t>5.5.1</t>
  </si>
  <si>
    <t>5.5.2</t>
  </si>
  <si>
    <t>5.5.3</t>
  </si>
  <si>
    <t>5.5.4</t>
  </si>
  <si>
    <t>5.5.5</t>
  </si>
  <si>
    <t>5.5.6</t>
  </si>
  <si>
    <t>5.6</t>
  </si>
  <si>
    <t>CONSTRUCCIÓN MUROS ARQUITECTONICOS PISO 4</t>
  </si>
  <si>
    <t>5.6.1</t>
  </si>
  <si>
    <t>5.6.2</t>
  </si>
  <si>
    <t>5.6.3</t>
  </si>
  <si>
    <t>5.6.4</t>
  </si>
  <si>
    <t>5.6.5</t>
  </si>
  <si>
    <t>5.6.6</t>
  </si>
  <si>
    <t>5.7</t>
  </si>
  <si>
    <t>CONSTRUCCIÓN MUROS ARQUITECTONICOS CUBIERTA</t>
  </si>
  <si>
    <t>5.7.1</t>
  </si>
  <si>
    <t>MURO EN DRYWALL  e=0.15 m</t>
  </si>
  <si>
    <t>5.7.2</t>
  </si>
  <si>
    <t>5.7.3</t>
  </si>
  <si>
    <t>6.5</t>
  </si>
  <si>
    <t>SUMINISTRO E INSTALACIÓN DE PISOS PISO 3</t>
  </si>
  <si>
    <t>6.5.1</t>
  </si>
  <si>
    <t>6.5.2</t>
  </si>
  <si>
    <t>6.5.3</t>
  </si>
  <si>
    <t>6.6</t>
  </si>
  <si>
    <t>SUMINISTRO E INSTALACIÓN DE PISOS PISO 4</t>
  </si>
  <si>
    <t>6.6.1</t>
  </si>
  <si>
    <t>6.6.2</t>
  </si>
  <si>
    <t>SUMINISTRO E INSTALACION VENTANA EN ALUMINIO o similar TIPO V-R Incluye VIDRIO Referencia SOLARBAN Ver NOTAS GENERALES DE PLANCHA</t>
  </si>
  <si>
    <t>SUMINISTRO E INSTALACION VENTANA EN ALUMINIO o similar  TIPO V4 Incluye VIDRIO Referencia SOLARBAN Ver NOTAS GENERALES DE PLANCHA</t>
  </si>
  <si>
    <t>SUMINISTRO E INSTALACION VENTANA EN ALUMINIO o similar TIPO V4 Incluye VIDRIO Referencia SOLARBAN Ver NOTAS GENERALES DE PLANCHA</t>
  </si>
  <si>
    <t>7.4</t>
  </si>
  <si>
    <t>SUMINISTRO E INSTALACION VENTANAS PISO 3</t>
  </si>
  <si>
    <t>7.4.1</t>
  </si>
  <si>
    <t>7.4.2</t>
  </si>
  <si>
    <t>7.4.3</t>
  </si>
  <si>
    <t>7.4.4</t>
  </si>
  <si>
    <t>7.5</t>
  </si>
  <si>
    <t>SUMINISTRO E INSTALACION VENTANAS PISO 4</t>
  </si>
  <si>
    <t>7.5.1</t>
  </si>
  <si>
    <t>8.3</t>
  </si>
  <si>
    <t>SUMINISTRO E INSTALACION VENTANALES PISO 3</t>
  </si>
  <si>
    <t>8.3.1</t>
  </si>
  <si>
    <t>8.3.2</t>
  </si>
  <si>
    <t>SUMINISTRO E INSTALACION VENTANAL INTERIOR EN ALUMINIO o similar TIPO V-0 Incluye VIDRIO Referencia SOLARBAN Ver NOTAS GENERALES DE PLANCHA</t>
  </si>
  <si>
    <t>8.3.3</t>
  </si>
  <si>
    <t>8.3.4</t>
  </si>
  <si>
    <t>8.3.5</t>
  </si>
  <si>
    <t>8.3.6</t>
  </si>
  <si>
    <t>VENTANAL INTERIOR PERFIL 15cm SALONES EN ALUMINIO o similar TIPO V-6 Incluye VIDRIO Referencia TRASLUCIDO TEMPLADO 10MM Ver NOTAS GENERALES DE PLANCHA</t>
  </si>
  <si>
    <t>8.4</t>
  </si>
  <si>
    <t>SUMINISTRO E INSTALACION VENTANALES PISO 4</t>
  </si>
  <si>
    <t>8.4.1</t>
  </si>
  <si>
    <t>8.4.2</t>
  </si>
  <si>
    <t>8.4.3</t>
  </si>
  <si>
    <t>8.4.4</t>
  </si>
  <si>
    <t>8.4.5</t>
  </si>
  <si>
    <t>8.4.6</t>
  </si>
  <si>
    <t>SUMINISTRO E INSTALACION PUERTA GARAJE  TIPO P-9 Ver NOTAS GENERALES DE PLANCHA</t>
  </si>
  <si>
    <t>9.4</t>
  </si>
  <si>
    <t>SUMINISTRO E INSTALACIÓN PUERTAS PISO 3</t>
  </si>
  <si>
    <t>9.4.1</t>
  </si>
  <si>
    <t>9.4.2</t>
  </si>
  <si>
    <t>9.4.3</t>
  </si>
  <si>
    <t>9.4.4</t>
  </si>
  <si>
    <t>9.4.5</t>
  </si>
  <si>
    <t>9.4.6</t>
  </si>
  <si>
    <t>9.5</t>
  </si>
  <si>
    <t>SUMINISTRO E INSTALACIÓN PUERTAS PISO 4</t>
  </si>
  <si>
    <t>9.5.1</t>
  </si>
  <si>
    <t>9.5.2</t>
  </si>
  <si>
    <t>9.5.3</t>
  </si>
  <si>
    <t>9.5.4</t>
  </si>
  <si>
    <t>9.5.5</t>
  </si>
  <si>
    <t>9.5.6</t>
  </si>
  <si>
    <t>SUMINISTRO E INSTALACION PUERTA DIVISORIA DE MADERA TIPO P-6 Ver NOTAS GENERALES DE PLANCHA</t>
  </si>
  <si>
    <t>9.5.7</t>
  </si>
  <si>
    <t>9.5.8</t>
  </si>
  <si>
    <t>9.6</t>
  </si>
  <si>
    <t>SUMINISTRO E INSTALACIÓN PUERTAS CUBIERTA</t>
  </si>
  <si>
    <t>9.6.1</t>
  </si>
  <si>
    <t>10.1</t>
  </si>
  <si>
    <t xml:space="preserve">SUMINISTRO E INSTALACIÓN DE ASENSOR </t>
  </si>
  <si>
    <t>10.1.1</t>
  </si>
  <si>
    <t>SUMINISTRO E INSTALACION ASCENSOR TIPO ANDINO REFERENCIA MRL 10  SIN CUARTO DE MAQUINAS (Incluye suministro, instalación, prueba de trabajo y todos los accesorios para su funcionamiento)</t>
  </si>
  <si>
    <t>CONSTRUCCIÓN OBRAS PARQUE DE CESIÓN TIPO A</t>
  </si>
  <si>
    <t>11.1</t>
  </si>
  <si>
    <t>11.1.1</t>
  </si>
  <si>
    <t>11.1.2</t>
  </si>
  <si>
    <t>11.1.3</t>
  </si>
  <si>
    <t>11.2</t>
  </si>
  <si>
    <t>11.2.1</t>
  </si>
  <si>
    <t>INSTALACIÓN PROVISIONAL DE AGUA</t>
  </si>
  <si>
    <t>11.2.2</t>
  </si>
  <si>
    <t>INSTALACIÓN PROVISIONAL ELECTRICA</t>
  </si>
  <si>
    <t>11.3</t>
  </si>
  <si>
    <t>11.3.1</t>
  </si>
  <si>
    <t>DEMOLICIÓN ESTRUCTURA  EXISTENTE</t>
  </si>
  <si>
    <t>GL</t>
  </si>
  <si>
    <t>11.4</t>
  </si>
  <si>
    <t>EXCAVACIONES, SUBASES Y BASES</t>
  </si>
  <si>
    <t>11.4.1</t>
  </si>
  <si>
    <t>EXCAVACIÓN MECÁNICA EN MATERIAL COMÚN (incluye retiro)</t>
  </si>
  <si>
    <t>11.4.2</t>
  </si>
  <si>
    <t>SUBBASE GRANULAR (Especificación Ficha C-10 Cartilla Andenes IDU-2011)</t>
  </si>
  <si>
    <t>11.4.3</t>
  </si>
  <si>
    <t>11.4.4</t>
  </si>
  <si>
    <t>MORTERO DE NIVELACIÓN BAJO BORDILLOS</t>
  </si>
  <si>
    <t>11.4.5</t>
  </si>
  <si>
    <t>CONCRETO POBRE DE LIMPIEZA  e=0.05 m BAJO PISO DE CAUCHO PARQUE INFANTIL</t>
  </si>
  <si>
    <t>11.5</t>
  </si>
  <si>
    <t>PISOS ADOQUIN Y PARQUE</t>
  </si>
  <si>
    <t>11.5.1</t>
  </si>
  <si>
    <t>PISO ADOQUIN TOLETE A25 (Especificación Cartilla Andenes IDU-2011)</t>
  </si>
  <si>
    <t>11.5.2</t>
  </si>
  <si>
    <t>PISO EN CAUCHO RECICLADO TIPO HULEX PARA PARQUE INFANTIL</t>
  </si>
  <si>
    <t>11.5.3</t>
  </si>
  <si>
    <t>BORDILLO A-80  (Especificación Cartilla Andenes IDU-2011)</t>
  </si>
  <si>
    <t>11.5.4</t>
  </si>
  <si>
    <t>SUMINISTRO E INSTALACIÓN DE PASTO KIKUYO CORTADO A MAQUINA (Incluye suminsitro y riego de tierra fértil de 10cm de espesor e instalación y siembra de pasto y salado y nivelación)</t>
  </si>
  <si>
    <t>11.6</t>
  </si>
  <si>
    <t xml:space="preserve">MOBILIARIO </t>
  </si>
  <si>
    <t>11.6.1</t>
  </si>
  <si>
    <t>SUMINISTRO E INSTALACIÓN DE CANECA TIPO M-121  (Especificación Cartilla Andenes IDU-2011) INCLUYE CONCRETO PARA ANCLAJE</t>
  </si>
  <si>
    <t>11.6.2</t>
  </si>
  <si>
    <t>SUMINISTRO E INSTALACIÓN DE BANCA TIPO M-31  (Especificación Cartilla Andenes IDU-2011)</t>
  </si>
  <si>
    <t>11.6.3</t>
  </si>
  <si>
    <t>SUMINISTRO E INSTALACIÓN JUEGO DE NIÑOS TIPO M-3 (Especificación IDRD)</t>
  </si>
  <si>
    <t>11.6.4</t>
  </si>
  <si>
    <t>SUMINISTRO Y PLANTACIÓN DE PALO DE CRUZ  H=1.50 m (Incluye siembra, caja, tierra, abono, tutor, transporte y disposición final de escombros)</t>
  </si>
  <si>
    <t>11.6.5</t>
  </si>
  <si>
    <t>SUMINISTRO Y PLANTACIÓN DE CAMULO H=1.50 m (Incluye siembra, caja, tierra, abono, tutor, transporte y disposición final de escombros)</t>
  </si>
  <si>
    <t>11.6.6</t>
  </si>
  <si>
    <t>SUMINISTRO Y PLANTACIÓN DE ARBOL FLOR MORADO (Incluye siembra, caja, tierra, abono, tutor, transporte y disposición final de escombros)</t>
  </si>
  <si>
    <t>11.7</t>
  </si>
  <si>
    <t>INSTALACIONES ELECTRICAS E ILUMINACIÓN</t>
  </si>
  <si>
    <t>11.7.1</t>
  </si>
  <si>
    <t>POSTES DE LUZ INCLUYE CONEXIÓN ELECTRICA TIPO M-130 (Especificación Cartilla Andenes IDU-2011) INCLUYE SUMIN., IZAJE, APLOMADO, INST., BASE SEGÚN NORMA Y LUMINARIA.</t>
  </si>
  <si>
    <t xml:space="preserve">EXCAVACIÓN MANUAL EN MATERIAL COMÚN (Inlcuye cargue y retiro)           </t>
  </si>
  <si>
    <t xml:space="preserve">SUMINISTRO E INSTALACIÓN  EQUIPO DE BOMBEO AGUA POTABLE 3 BOMBAS. 4.0HP C/U  INCLUYE  VALVULAS, ADITAMENTOS, TUBERIAS. </t>
  </si>
  <si>
    <t>SUMINISTRO E INSTALACIÓN DE  EQUIPO PROTECCIÓN CONTRA INCENDIO Ref. AURORA PUMP DE 2 HP, 3500 RPM  o similar completo conformado por bomba, motor, tablero de control y accesorios.</t>
  </si>
  <si>
    <t>SUMINISTRO E INSTALACIÓN ENCLAVAMIENTO EN MURO PARA SOPORTE DE ACOMETIDA DE MEDIA TENSIÓN  EN ENTRADA DE TRANSFORMADOR</t>
  </si>
  <si>
    <t xml:space="preserve">SUMINISTRO E INSTALACIÓN PUESTA A TIERRA DE TODAS LAS PARTES METALICAS DE EQUIPOS Y ELEMENTOS QUE SE ENCUENTREN DENTRO DEL CUARTO DEL TRANSFORMADOR . INCLUYE: 10m DE CABLE DESNUDO #2/0 PARA PUESTA A TIERRA, SOLDADURA EXOTERMICA 115gr, MOLDE PARA SOLDADURA VARILLA CABLE, MOLDE PARA SOLDADURA CABLE CABLE. </t>
  </si>
  <si>
    <t>SUMINISTRO E INSTALACIÓN CELDA DE PROTECCIÓN TRIPLEX PARA SUBESTACIÓN, INCLUYE 3 JUEGOS DE SECCIONADORES CON SUS RESPECTIVOS FUSIBLES Y TERMINALES PRO MOLDEADOS</t>
  </si>
  <si>
    <t>SUMINISTRO E INSTALACIÓN ALIMENTADOR DESDE CELDA DE MEDIDA HASTA EL TABLERO DE DISTRIBUCIÓN Y TRANSFERENCIA TD-GENERAL EN 3(3x500)+3(400)+3/0 T AWG INCLUYENDO TERMINALES DE CONEXIÓN.</t>
  </si>
  <si>
    <t>SUMINISTRO E INSTALACIÓN INTERCONEXION ENTRE BORNES DEL GENERADOR Y CELDA DE TRANSFERENCIA PLANTA RED DE LA BOMBA CONTRA INCENDIO EN 3(3x500)+3(400)+3/0 T AWG EN TUBERÍA PVC 6"</t>
  </si>
  <si>
    <t>15.5.12</t>
  </si>
  <si>
    <t xml:space="preserve">SUMINISTRO E INSTALACIÓN ALIMENTADOR DESDE EL TABLERO GENERAL DE DISTRIBUCIÓN HASTA LA UPS2 PISO 4 EN 1 Ø 2" con 3#3/0+1#2/0N+1#2/0T AWG INCLUYENDO TERMINALES DE CONEXIÓN </t>
  </si>
  <si>
    <t>15.5.13</t>
  </si>
  <si>
    <t xml:space="preserve">SUMINISTRO E INSTALACIÓN ALIMENTADOR DESDE UPS1 HASTA EL TABLERO REGULADO 2 PISO 4 EN 1 Ø 2" con 3#2+1#2N+1#8T AWG INCLUYENDO TERMINALES DE CONEXIÓN </t>
  </si>
  <si>
    <t>15.5.14</t>
  </si>
  <si>
    <t>SUMINISTRO E INSTALACIÓN ALIMENTADOR DESDE TRANSFERENCIA AUTOMATICA HASTA EL TABLERO DE AIRE ACONDICIONADO A EN: 2(3x300)+2(300)+2 T AWG EN TUBERÍA PVC 6"</t>
  </si>
  <si>
    <t>15.5.15</t>
  </si>
  <si>
    <t>SUMINISTRO E INSTALACIÓN ALIMENTADOR DESDE TRANSFERENCIA AUTOMATICA HASTA EL TABLERO DE AIRE ACONDICIONADO B EN: 2(3x300)+2(300)+2 T AWG EN TUBERÍA PVC 6"</t>
  </si>
  <si>
    <t>SUMINISTRO E INSTALACIÓN ALIMENTADOR DESDE TRANSFERENCIA HASTA BOMBA CONTRA INCENDIOS  EN 1Ø3" CON  3#4/0+1#2/0N+1#4T AWG INCLUYENDO TERMINALES DE CONEXIÓN.</t>
  </si>
  <si>
    <t>SUMINISTRO E INSTALACIÓN TUBERÍA PVC Ø 6"  (Incluye todos los materiales para su instalación)</t>
  </si>
  <si>
    <t>SUMINISTRO E INSTALACIÓN CONSOLA DE CONTROL REMOTO ALUMBRADO ZONAS COMUNES Y EXTERIOR UBICADA EN RECEPCIÓN</t>
  </si>
  <si>
    <t>SUMINISTRO E INSTALACIÓN GABINETE DE 30x30x15 cm, CONSTRUIDO EN LÁMINA CALIBRE 18 QUE INCLUYA: SEIS (6) CONMUTADORES DE MULETILLA CONTACTO MANTENIDO 2 POSICIONES, BORNERAS, CANALETAS DE CABLEADO Y TERMINALES DE IDENTIFICACIÓN  Y SEIS (6) BOMBILLOS DE NEON QUE INDICAN EL ENCENDIDO DE LOS CONTACTORES  (13 ÚTILES)</t>
  </si>
  <si>
    <t>SUMINISTRO E INSTALACIÓN GABINETE METÁLICO CONSTRUIDO EN LÁMINA COLD ROLLED CALIBRE 16 TIPO AUTOSOPORTADO, CON TRATAMIENTO SUPERFICIAL PARA PROTEGERLO DE LA OXIDACIÓN Y FOSFATADO), CON ACABADO FINAL PINTURA EN POLVO ELECTROSTÁTICA EN RAAL 7030. DIMENSIONES: ANCHO = 1.00 M. ALTO = 2.00 M Y PROF. = 0.40 M.
ESPACIO PARA ALOJAR UNA TRANSFERENCIA SUMINISTRADA POR EL PROPIETARIO VER ESPECIFICACIÓN PARA ESTE ÍTEM,.</t>
  </si>
  <si>
    <t>SUMINISTRO E INSTALACIÓN GABINETE METÁLICO CONSTRUIDO SEGÚN NORMAS AE-319 DE CODENSA EN LÁMINA COLD ROLLED CALIBRE 16, CON TRATAMIENTO SUPERFICIAL CON DESENGRASANTE, FOSFATIZADO Y ACABADO FINAL EN PINTURA ELECTROSTÁTICA HORNEABLE RAAL 7032. DIMENSIONES: ANCHO = 0.80 M. ALTO = 2,00 M Y PROF. = 0.40 M.
VER ESPECIFICACIÓN PARA ESTE ÍTEM.</t>
  </si>
  <si>
    <t>SUMINISTRO E INSTALACIÓN ELECTROSOLDADA DE PUESTA A TIERRA EN VARILLA DE COBRE  DE 5/8" x 2.40m</t>
  </si>
  <si>
    <t>SUMINISTRO E INSTALACIÓN CONEXIÓN TERMOSOLDADA DE VARILLA A CABLE DE COBRE DESNUDO # 2/0 AWG ,INCLUYE SUMINISTRO DE MOLDE, FÚNDENTE Y DEMÁS ACCESORIOS.</t>
  </si>
  <si>
    <t>SUMINISTRO E INSTALACIÓN CONEXIÓN TERMOSOLDADA DE CABLE A CABLE EN “T” DE COBRE DESNUDO # 2/0 AWG ,INCLUYE SUMINISTRO DE MOLDE, FÚNDENTE Y DEMÁS ACCESORIOS.</t>
  </si>
  <si>
    <t>SUMINISTRO E INSTALACIÓN POZO CONSTRUIDO EN CEFIPLAST CONCRETO PARA ALBERGAR UN ELECTRODO  DE PUESTA A TIERRA EN CU DE 5/8” X 8' COMPUESTO DE TUBO Y TAPA DE INSPECCIÓN. EL TUBO TENDRÁ LAS SIGUIENTES DIMENSIONES : 80 CM. DE ALTO, DIÁMETRO EXTERIOR SUPERIOR E 25 CM., DIÁMETRO EXTERIOR INFERIOR DE 32 CM. LA TAPA TENDRÁ LAS SIGUIENTES DIMENSIONES : 30 CM. DE DIÁMETRO EXTERIOR.</t>
  </si>
  <si>
    <t>SUMINISTRO E INSTALACIÓN CONEXIÓN TERMOSOLDADA DE CABLE A CABLE EN “T” DE COBRE DESNUDO # 6 AWG ,INCLUYE SUMINISTRO DE MOLDE, FÚNDENTE Y DEMÁS ACCESORIOS.</t>
  </si>
  <si>
    <t>SUMINISTRO E INSTALACIÓN DE UNA VÍA DE CHISPAS DE SEPARACIÓN PARA INTERCONECTAR LA PUESTA A TIERRA DE PARARRAYOS Y LA PUESTA A TIERRA DEL SISTEMA ELÉCTRICO, DE LAS SIGUIENTES CARACTERÍSTICAS:  TENSIÓN ALTERNA DE RESPUESTA: 2.5 KV, TENSIÓN DE RESPUESTA A CHOQUE DE RAYO: 5.0 KV, INTENSIDAD NOMINAL DE DESCARGA: 100 KA</t>
  </si>
  <si>
    <t>SUMINISTRO E INSTALACIÓN TENDIDO DE ALAMBRE SÓLIDO DE COBRE ESTAÑADO # 2 AWG  DESNUDO SUBTERRÁNEO DESDE BAJANTES, INTERCONECTANDO CON MALLA DE TIERRA DE SUBESTACION.</t>
  </si>
  <si>
    <t>SUMINISTRO E INSTALACIÓN DE UN KIT DE MONTAJE PARA PUNTA CAPTADORA COMPUESTO DE LOS SIGUIENTES ELEMENTOS: BASE EN BRONCE CON TORNILLOS DE FIJACIÓN A LA SUPERFICIE DE CONCRETO. PUNTA CAPTADORA FRANKLIN DE 0.60 M. DE ALTURA. EN ACERO INOXIDABLE DE Ø 3/8 “ TIPO 1. ABRAZADERA PARA FIJACIÓN DE CABLE</t>
  </si>
  <si>
    <t>SUMINISTRO E INSTALACIÓN CAJA DE 30 CM X 30 CM, COMPUESTA DE TAPA DE INSPECCIÓN EN CONCRETO DE 2500 PSI Y MANIJA, PARA ALBERGAR UN ELECTRODO  DE PUESTA A TIERRA EN CU DE 5/8” X 8' .</t>
  </si>
  <si>
    <t>15.14</t>
  </si>
  <si>
    <t>SISTEMA DE GENERACIÓN ALTERNA MEDIANTE PLANTA DIESEL PARA SERVICIOS DE SUPLENCIA LEGALMENTE REQUERIDA.</t>
  </si>
  <si>
    <t>15.14.1</t>
  </si>
  <si>
    <t>SUMINISTRO E INSTALACIÓN GRUPO MOTOR GENERADOR PARA SUMINISTRO DE ENERGÍA EN CASO DE FALLAR EL SUMINISTRO NORMAL DEL OPERADOR DE RED DE LAS SIGUIENTES CARACTERÍSTICAS: POTENCIA 360 KW EN NEIVA, SISTEMA DE COMBUSTIBLE DIESEL, SISTEMA DE REFRIGERACIÓN RADIADOR, VOLTAJE DE GENERACIÓN 208/120 V ESTRELLA NEUTRO A TIERRA, APTA PARA OPERAR EN PARALELO SIN ADICIONES NI MODIFICACIONES, INTERRUPTOR DE PROTECCIÓN 3X1400 A.  25 KA 240 V, ESTARÁ CONSTITUIDA POR TODOS LOS ELEMENTOS DESCRITOS EN LAS ESPECIFICACIONES ADJUNTAS. ACCESORIOS: SILENCIADORES, ACOPLES FLEXIBLES, INTERRUPTOR AUTOMÁTICO TOTALIZADOR DE 3X1400 A. CON UNIDAD DE DISPARO GRADUABLE, PANEL DE CONTROL, BATERÍAS, PRE-CALENTADOR DE CAMISAS DEL MOTOR, SILENCIADOR TIPO CRÍTICO Y ACCESORIOS DE CONEXIÓN.</t>
  </si>
  <si>
    <t>15.14.2</t>
  </si>
  <si>
    <t>DESARME, TRANSPORTE Y UBICACIÓN DE LA PLANTA EN SU SITIO DE INSTALACIÓN.</t>
  </si>
  <si>
    <t>15.14.3</t>
  </si>
  <si>
    <t>SUMINISTRO E INSTALACIÓN DE PATINES ANTI-VIBRATORIOS TIPO RESORTE</t>
  </si>
  <si>
    <t>15.14.4</t>
  </si>
  <si>
    <t>INSTALACIÓN DE LA PLANTA ELÉCTRICA INCLUYENDO SISTEMAS DE REFRIGERACIÓN, SISTEMAS DE COMBUSTIBLE, SISTEMAS DE ESCAPE DE GASES, CONEXIONADO DE ACOMETIDAS DE POTENCIA Y CONTROL, PUESTA EN MARCHA Y ENTREGA DEL EQUIPO. ENTRENAMIENTO DEL PERSONAL DE OPERACIÓN DEL EDIFICIO .</t>
  </si>
  <si>
    <t>15.14.5</t>
  </si>
  <si>
    <t>SUMINISTRO Y CONEXIÓN DE UN CARGADOR DE BATERÍAS CARACTERÍSTICAS  Y ESPECIFICACIONES APTAS PARA EL EQUIPO SUMINISTRADO</t>
  </si>
  <si>
    <t>15.14.6</t>
  </si>
  <si>
    <t>SUMINISTRO DE CONSUMIBLES EN MANTENIMIENTOS PREVENTIVOS DURANTE LA GARANTÍA DEL EQUIPO EN LABORES DE MANTENIMIENTO.</t>
  </si>
  <si>
    <t>15.14.7</t>
  </si>
  <si>
    <t>SUMINISTRO E INSTALACIÓN DUCTO DE ESCAPE Ø 4” FABRICADO EN LÁMINA COLD ROLLED 16 CON FLANGES, TORNILLOS Y EMPAQUE EN RECORRIDO HORIZONTAL Y VERTICAL DESDE LA PLANTA HASTA LA CUBIERTA.</t>
  </si>
  <si>
    <t>15.14.8</t>
  </si>
  <si>
    <t>SUMINISTRO E INSTALACIÓN DE CODOS DE RADIO AMPLIO Ø4.” CON FLANGES, TORNILLOS, EMPAQUE PARA EXHOSTO PLANTA A SUMINISTRAR.</t>
  </si>
  <si>
    <t>15.14.9</t>
  </si>
  <si>
    <t>SUMINISTRO E INSTALACIÓN SOPORTERÍA PARA SILENCIADOR Y TUBERÍAS MEDIANTE ANCLAJES A TECHO, MUROS INCLUYENDO PERFORES DE  VIGAS INTERIORES Y DUCTO HASTA LA CUBIERTA.</t>
  </si>
  <si>
    <t>15.14.10</t>
  </si>
  <si>
    <t>SUMINISTRO E INSTALACIÓN RECUBRIMIENTO TÉRMICO PARA SILENCIADOR CON FIBRA CERÁMICA DE 1” Y FIBRA DE VIDRIO AW 2” SOPORTADA CON MALLA Y RECUBRIMIENTO FINAL CON FOIL DE ALUMINIO DE 0.5 MM.</t>
  </si>
  <si>
    <t>15.14.11</t>
  </si>
  <si>
    <t>SUMINISTRO E INSTALACIÓN RECUBRIMIENTO TÉRMICO PARA DUCTO Ø4” CON FIBRA DE VIDRIO AW 2” SOPORTADA CON MALLA Y RECUBRIMIENTO FINAL CON FOIL DE ALUMINIO DE 0.5 MM.</t>
  </si>
  <si>
    <t>15.14.12</t>
  </si>
  <si>
    <t>SUMINISTRO E INSTALACION RECUBRIMIENTO TÉRMICO PARA CODOS Ø4” CON FIBRA DE VIDRIO AW 2” SOPORTADA CON MALLA Y RECUBRIMIENTO FINAL CON FOIL DE ALUMINIO DE 0.5 MM.</t>
  </si>
  <si>
    <t>15.15</t>
  </si>
  <si>
    <t>SISTEMA DE INSONORIZACIÓN PARA LA PLANTA</t>
  </si>
  <si>
    <t>15.15.1</t>
  </si>
  <si>
    <t>SUMINISTRO E INSTALACIÓN CABINA INSONORA, CON 4 PUERTAS LATERALES DOBLES PARA MANTENIMIENTO, SILENCIADOR TIPO CRÍTICO, TRAMPA DE RUIDO PARA ENTRADA Y SALIDA DE AIRE CALIENTE, PUERTA DE TABLERO PARA ACCESO Y MANIOBRA, PATINES ANTI-VIBRATORIOS, CHAPAS DE SEGURIDAD. FABRICADA EN LÁMINA COLD ROLLED CALIBRE 16, CON TRATAMIENTO DE FOSFATIZADO, ACABADO FINAL EN PINTURA ELECTROSTÁTICA AL POLVO SECADA AL HORNO. DEBERÁ GARANTIZAR LA OPERACIÓN ININTERRUMPIDA DEL EQUIPO SIN RECALENTAMIENTOS.</t>
  </si>
  <si>
    <t>15.16</t>
  </si>
  <si>
    <t>SUMINISTRO E INSTALACIÓN TANQUE DE COMBUSTIBLE</t>
  </si>
  <si>
    <t>15.16.1</t>
  </si>
  <si>
    <t>SUMINISTRO E INSTALACIÓN TANQUE DE COMBUSTIBLE VERTICAL DE 200 GALONES FABRICADO EN LÁMINA HOT ROLLED DE 1/8” DE LAS SIGUIENTES DIMENSIONES: Ø 0.96 M Y L= 2.00 M. CON ACCESORIOS TALES COMO: MANHOLE, NIVEL VISUAL, LLAVES DE ALIMENTACIÓN, CONEXIONES DE RETORNO PARA ACPM.</t>
  </si>
  <si>
    <t>15.16.2</t>
  </si>
  <si>
    <t>SUMINISTRO E INSTALACIÓN TUBERÍAS DE ACERO SCHEDULE 40 EN DIÁMETROS Ø ¾ PARA ALIMENTACIÓN Y RETORNO DE COMBUSTIBLES CON CODOS UNIONES, ACOPLES, SOPORTES Y MANGUERAS DESDE TANQUE DE 400 GL. A PLANTA ELÉCTRICA.</t>
  </si>
  <si>
    <t>15.16.3</t>
  </si>
  <si>
    <t>SUMINISTRO E INSTALACIÓN TUBERÍAS DE ACERO SCHEDULE 40 EN DIÁMETROS Ø 2” PARA ALIMENTACIÓN DEL TANQUE DE COMBUSTIBLE DESDE EL EXTERIOR, CON UNIONES, CODOS, SOPORTES, UNIVERSALES, LLAVES DE PASO, TAPA Y CAJA CON CERRADURA.</t>
  </si>
  <si>
    <t>15.16.4</t>
  </si>
  <si>
    <t>SUMINISTRO E INSTALACIÓN TUBERÍAS DE ACERO SCHEDULE 40 EN DIÁMETROS Ø 2” PARA DESFOGUE DE GASES DEL TANQUE DE COMBUSTIBLE HACIA EL EXTERIOR, CON UNIONES, CODOS, SOPORTES, UNIVERSALES, LLAVES DE PASO, TAPA Y CAJA CON TRAMPA DE SÓLIDOS.</t>
  </si>
  <si>
    <t>15.16.5</t>
  </si>
  <si>
    <t>SUMINISTRO LLENADO DEL TANQUE DE COMBUSTIBLE INICIAL Y PRUEBAS DE FUNCIONAMIENTO (GALONES)</t>
  </si>
  <si>
    <t>17.1</t>
  </si>
  <si>
    <t>SUMINISTRO, INSTALACION Y MONTAJE DE EQUIPOS</t>
  </si>
  <si>
    <t>17.1.1</t>
  </si>
  <si>
    <t>SUMINISTRO, INSTALACION Y MONTAJE CHILLER # 1 TORRE 1 SCROLL CONDENSADO POR AIRE  TR - 220 V- 3FASES -60HZ (SEGÚN ESPECIFICACIONES) excluye arranque</t>
  </si>
  <si>
    <t>17.1.2</t>
  </si>
  <si>
    <t>SUMINISTRO, INSTALACION Y MONTAJE CHILLER # 2 TORRE 2 SCROLL CONDENSADO POR AIRE TR - 220 V- 3FASES -60HZ  (SEGÚN ESPECIFICACIONES) excluye arranque</t>
  </si>
  <si>
    <t>17.1.3</t>
  </si>
  <si>
    <t xml:space="preserve"> SUMINISTRO, INSTALACION REFRIGERANTE R 407</t>
  </si>
  <si>
    <t>17.1.4</t>
  </si>
  <si>
    <t>SUMINISTRO, INSTALACION Y MONTAJE UNIDADES FANCOIL FC 2000 cfm (incluye INSTALACION DE VALVULAS Y CONTROLES)</t>
  </si>
  <si>
    <t>17.1.5</t>
  </si>
  <si>
    <t>SUMINISTRO, INSTALACION Y MONTAJE UNIDADES FANCOIL FC 1600 cfm  (incluye INSTALACION DE VALVULAS Y CONTROLES)</t>
  </si>
  <si>
    <t>17.1.6</t>
  </si>
  <si>
    <t>SUMINISTRO, INSTALACION Y MONTAJE UNIDAD FANCOIL FC 1200 cfm  (incluye INSTALACION DE VALVULAS Y CONTROLES)</t>
  </si>
  <si>
    <t>17.1.7</t>
  </si>
  <si>
    <t>SUMINISTRO, INSTALACION Y MONTAJE UNIDADES FANCOIL FC 600 cfm  (incluye INSTALACION DE VALVULAS Y CONTROLES)</t>
  </si>
  <si>
    <t>17.1.8</t>
  </si>
  <si>
    <t>SUMINISTRO, INSTALACION Y MONTAJE UNIDADES FANCOIL FCP 350 cfm (incluye INSTALACION DE VALVULAS Y CONTROLES)</t>
  </si>
  <si>
    <t>17.1.9</t>
  </si>
  <si>
    <t>SUMINISTRO, INSTALACION Y MONTAJE UNIDADES FANCOIL FCP 600 cfm (incluye INSTALACION DE VALVULAS Y CONTROLES)</t>
  </si>
  <si>
    <t>17.1.10</t>
  </si>
  <si>
    <t>SUMINISTRO, INSTALACION Y MONTAJE UNIDADES FANCOIL FCP 800 cfm (incluye INSTALACION DE VALVULAS Y CONTROLES)</t>
  </si>
  <si>
    <t>17.1.11</t>
  </si>
  <si>
    <t>SUMINISTRO, INSTALACION Y MONTAJE UNIDAD FANCOIL FCP 1100 cfm BIENESTAR (incluye INSTALACION DE VALVULAS Y CONTROLES)</t>
  </si>
  <si>
    <t>17.1.12</t>
  </si>
  <si>
    <t>SUMINISTRO, INSTALACION Y MONTAJE UNIDAD MANEJADORAS UMAS 1-2 AUDITORIO</t>
  </si>
  <si>
    <t>17.1.13</t>
  </si>
  <si>
    <t xml:space="preserve">SUMINISTRO, INSTALACION Y MONTAJE UNIDAD MANEJADORAS UMA 1 BIBLIOTECA </t>
  </si>
  <si>
    <t>17.1.14</t>
  </si>
  <si>
    <t>SUMINISTRO, INSTALACION Y MONTAJE BOMBA CENTRIFUGA 1800 RPM Según ESPECIFICACIONES (BOMBA MONOBLOCK       GPM -    HP - 220 V - 3 FASES - 60 HZ)</t>
  </si>
  <si>
    <t>17.1.15</t>
  </si>
  <si>
    <t>SUMINISTRO E INSTALACION TABLERO ELECTRICO Según ESPECIFICACIONES INCLUYE CONEXIONES</t>
  </si>
  <si>
    <t>SUMINISTRO, MONTAJE E INSTALACIÓN  DE AISLAMIENTO TERMICO  RED DE AGUA FRIA</t>
  </si>
  <si>
    <t>SUMINISTRO, MONTAJE E INSTALACIÓN  DE ACCESORIOS RED DE AGUA</t>
  </si>
  <si>
    <t>17.4.14</t>
  </si>
  <si>
    <t>SUMINISTRO E INSTALACION VALVULA CORTINA 3/4" 125PSI - PISO 4</t>
  </si>
  <si>
    <t>17.4.15</t>
  </si>
  <si>
    <t>SUMINISTRO E INSTALACION VALVULA GLOBO 3/4" 125PSI - PISO 4</t>
  </si>
  <si>
    <t>SUMINISTRO E INSTALACION REJILLA DE TOMA AIRE EXTERNO TAE 30" x  12" CN DAMPER MOTORIZADO</t>
  </si>
  <si>
    <t>SUMINISTRO E INSTALACION REJILLA DE TOMA AIRE EXTERNO TAE 30" x  18" CN DAMPER MOTORIZADO</t>
  </si>
  <si>
    <t>17.7.1</t>
  </si>
  <si>
    <t>SUMINISTRO E INSTALACION EXTRACTOR CENTRIFUGO 10000 cfm</t>
  </si>
  <si>
    <t>17.7.2</t>
  </si>
  <si>
    <t>SUMINISTRO E INSTALACION EXTRACTOR CENTRIFUGO 7000 cfm</t>
  </si>
  <si>
    <t>17.8.1</t>
  </si>
  <si>
    <t>SUMINISTRO E INSTALACION CONTROLADOR PLC BOMBAS TACTIL</t>
  </si>
  <si>
    <t>17.8.6</t>
  </si>
  <si>
    <t>SUMINISTRO E INSTALACION VARIADOR DE BOMBAS</t>
  </si>
  <si>
    <t>17.8.7</t>
  </si>
  <si>
    <t>SUMINISTRO E INSTALACION CONTROLADOR PLC EXTRACTOR SOTANO</t>
  </si>
  <si>
    <t>17.8.8</t>
  </si>
  <si>
    <t>SUMINISTRO E INSTALACION VARIADOR DE EXTRACTOR SOTANO T1 Y T2</t>
  </si>
  <si>
    <t>17.8.11</t>
  </si>
  <si>
    <t>SUMINISTRO E INSTALACION VARIADOR MOTOR VENTILADOR UMAS</t>
  </si>
  <si>
    <t>19.1</t>
  </si>
  <si>
    <t>SUMINISTRO E INSTALACIÓN DE SISTEMA DE CCTV</t>
  </si>
  <si>
    <t>19.1.1</t>
  </si>
  <si>
    <t>SUMINISTRO E INSTALACION CAMÁRA TIPO DOMO PARA INTERIORES IP</t>
  </si>
  <si>
    <t>19.1.2</t>
  </si>
  <si>
    <t>SUMINISTRO E INSTALACION CAMARA EXTERIOR FIJA IP CON HOUSING Y ACCESORIOS DE MONTAJE</t>
  </si>
  <si>
    <t>19.1.3</t>
  </si>
  <si>
    <t>SUMINISTRO E INSTALACION PC PARA ADMINISTRACIÓN CENTRAL DE SEGURIDAD</t>
  </si>
  <si>
    <t>19.1.4</t>
  </si>
  <si>
    <t>LICENCIA CÁMARA</t>
  </si>
  <si>
    <t>19.1.5</t>
  </si>
  <si>
    <t>SUMINISTRO E INSTALACION MONITOR DE GRAN FORMATO LCD DE 42"</t>
  </si>
  <si>
    <t>19.1.6</t>
  </si>
  <si>
    <t>SUMINISTRO E INSTALACION SERVIDOR DE VIDEO, DISCO DURO DE 6 TB</t>
  </si>
  <si>
    <t>19.1.7</t>
  </si>
  <si>
    <t>SUMINISTRO E INSTALACION PUESTA EN FUNCIONAMIENTO Y CAPACITACIÓN</t>
  </si>
  <si>
    <t>19.2</t>
  </si>
  <si>
    <t>SUMINISTRO E INSTALACIÓN DE CONTROL DE ACCESO</t>
  </si>
  <si>
    <t>19.2.1</t>
  </si>
  <si>
    <t>SUMINISTRO E INSTALACION JUEGO DETECTOR MAGNETICO</t>
  </si>
  <si>
    <t>19.2.2</t>
  </si>
  <si>
    <t>SUMINISTRO E INSTALACION LECTOR BIOMETRICO IP</t>
  </si>
  <si>
    <t>19.2.3</t>
  </si>
  <si>
    <t>SUMINISTRO E INSTALACION CIERRE ELECTROMAGNETICO</t>
  </si>
  <si>
    <t>19.2.4</t>
  </si>
  <si>
    <t>SUMINISTRO E INSTALACION FUENTE PARA CERRADURAS Y MÓDULOS</t>
  </si>
  <si>
    <t>19.2.5</t>
  </si>
  <si>
    <t>SUMINISTRO E INSTALACION PULSADOR SALIDA</t>
  </si>
  <si>
    <t>19.2.6</t>
  </si>
  <si>
    <t>19.2.7</t>
  </si>
  <si>
    <t>SUMINISTRO E INSTALACION SOFTWARE PARA CONTROL DE ACCESO, CONTROL, AUTOMATIZACIÓN E INTEGRACIÓN</t>
  </si>
  <si>
    <t>19.2.8</t>
  </si>
  <si>
    <t>SUMINISTRO E INSTALACION MODULO CONTROLADOR PARA 8 LECTORAS</t>
  </si>
  <si>
    <t>19.2.9</t>
  </si>
  <si>
    <t xml:space="preserve">SUMINISTRO E INSTALACION PC PARA SISTEMA DE ACCESO, INTEGRACIÓN Y CONTROL </t>
  </si>
  <si>
    <t>19.2.10</t>
  </si>
  <si>
    <t>PUESTA EN FUNCIONAMIENTO Y CAPACITACIÓN</t>
  </si>
  <si>
    <t>19.3.11</t>
  </si>
  <si>
    <t>19.4</t>
  </si>
  <si>
    <t>SUMINISTRO E INSTALACION DE SONIDO</t>
  </si>
  <si>
    <t>19.4.1</t>
  </si>
  <si>
    <t>SUMINISTRO E INSTALACION PARLANTE DE TECHO 8", COBERTURA MINIMA 130°</t>
  </si>
  <si>
    <t>19.4.2</t>
  </si>
  <si>
    <t>SUMINISTRO E INSTALACION AMPLIFICADOR DE 4 CANALES INDEPENDIENTES, POTENCIA 1000 W CADA CANAL</t>
  </si>
  <si>
    <t>19.4.3</t>
  </si>
  <si>
    <t>SUMINISTRO E INSTALACION MATRIZ DE CONTROL, MINIMO DOS ENTRADAS ALTERNAS DE PODER</t>
  </si>
  <si>
    <t>19.4.4</t>
  </si>
  <si>
    <t>SUMINISTRO E INSTALACION MICROFONO CUELLO DE GANSO</t>
  </si>
  <si>
    <t>19.4.5</t>
  </si>
  <si>
    <t>19.4.6</t>
  </si>
  <si>
    <t>19.4.7</t>
  </si>
  <si>
    <t>SUMINISTRO E INSTALACION CABLE DUPLEX  2x12 AWG CODIFICADO</t>
  </si>
  <si>
    <t>19.4.8</t>
  </si>
  <si>
    <t>COSTO TOTAL OBRA (ETAPA II)</t>
  </si>
  <si>
    <t>OBRA E INTERVENTORÍA</t>
  </si>
  <si>
    <t>OBRA</t>
  </si>
  <si>
    <t>OBRA TOTAL</t>
  </si>
  <si>
    <t>VALOR ACTUAL</t>
  </si>
  <si>
    <t>DIFERENCIA</t>
  </si>
  <si>
    <t>INTERVENTORIA</t>
  </si>
  <si>
    <t>INTERVENTORÍAS</t>
  </si>
  <si>
    <t>FASE I</t>
  </si>
  <si>
    <t>FASE2</t>
  </si>
  <si>
    <t>PROVISIÓN PARA PAGOS ELÉCTRICOS, RETIE Y RETILAP</t>
  </si>
  <si>
    <t>TOTAL DISPONIBLE</t>
  </si>
  <si>
    <t>CANTIDAD FASE II</t>
  </si>
  <si>
    <t>CANTIDAD FASE I</t>
  </si>
  <si>
    <t>RETIE</t>
  </si>
  <si>
    <t>CONSTRUCCIÓN ETAPAS I Y II - SEDE TERRITORIAL ESAP CIUDAD DE NEIVA, DEPARTAMENTO DEL HUILA</t>
  </si>
  <si>
    <t>PROVISIÓN PARA ACTUALIZACIÓN ELÉCTRICA, RETIE Y RETILAP</t>
  </si>
  <si>
    <t>ESTE VALOR NO PUEDE SER MODIFICADO EN LA ETAPA DE PRESENTACIÓN DE PROPUESTAS</t>
  </si>
  <si>
    <t>COSTO TOTAL PROYECTO</t>
  </si>
  <si>
    <t>DEMOLICIÓN ESTRUCTURA EXISTENTE UTILIZADA COMO OFICINAS PROVISIONALES</t>
  </si>
  <si>
    <t xml:space="preserve">UND  </t>
  </si>
  <si>
    <t>GAL</t>
  </si>
  <si>
    <t>SUMINISTRO E INSTALACION DE TANQUE DE GAS REFRIGERANTE R407 PARA SISTEMA DE CLIMATIZACIÓN</t>
  </si>
  <si>
    <t>SUMINISTRO E INSTALACION PUESTA EN FUNCIONAMIENTO Y CAPACITACIÓN PARA EL MANTENIMIENTO Y FUNCIONAMIENTO DEL SISTEMA DE CCTV</t>
  </si>
  <si>
    <t>SUMINISTRO E INSTALACION PUESTA EN FUNCIONAMIENTO Y CAPACITACIÓN PARA EL MANTENIMIENTO Y FUNCIONAMIENTO DEL CONTROL DE ACCESO A LA SEDE</t>
  </si>
  <si>
    <t>SUMINISTRO E INSTALACION PUESTA EN FUNCIONAMIENTO Y CAPACITACIÓN PARA EL MANTENIMIENTO Y FUNCIONAMIENTO DEL SISTEMA DE SONIDO</t>
  </si>
  <si>
    <t>ACTUALIZADO ICCV Y ACERO A LA FECHA</t>
  </si>
  <si>
    <t xml:space="preserve">ADMINISTRACIÓN </t>
  </si>
  <si>
    <t>VALOR TOTAL DEL PROYECTO</t>
  </si>
  <si>
    <t>COSTO TOTAL OBRA</t>
  </si>
  <si>
    <t>ANÁLISIS DE PRECIOS UNITARIOS</t>
  </si>
  <si>
    <t>CÓDIGO:</t>
  </si>
  <si>
    <t>F-GG-21</t>
  </si>
  <si>
    <t>VERSIÓN:</t>
  </si>
  <si>
    <t>01</t>
  </si>
  <si>
    <t>GERENCIA Y GESTIÓN DE PROYECTOS</t>
  </si>
  <si>
    <t>VIGENCIA:</t>
  </si>
  <si>
    <t>A. DATOS GENERALES</t>
  </si>
  <si>
    <t>CONTRATO No:</t>
  </si>
  <si>
    <t>&lt;Escriba el número de contrato&gt;</t>
  </si>
  <si>
    <t>DE</t>
  </si>
  <si>
    <t>FECHA INICIO</t>
  </si>
  <si>
    <t>FECHA TERMINACIÓN</t>
  </si>
  <si>
    <t>OBJETO DEL CONTRATO:</t>
  </si>
  <si>
    <t xml:space="preserve"> &lt;Tal como aparece en el contrato&gt;</t>
  </si>
  <si>
    <t>CONTRATISTA:</t>
  </si>
  <si>
    <t>&lt;Nombre o razón social  del contratista&gt;</t>
  </si>
  <si>
    <t>INTERVENTOR:</t>
  </si>
  <si>
    <t>&lt;Nombre o razón social  del Interventor &gt;</t>
  </si>
  <si>
    <t>SUPERVISOR:</t>
  </si>
  <si>
    <t>&lt;Escriba  el nombre del supervisor designado por ENTerritorio&gt;</t>
  </si>
  <si>
    <t>B. DATOS ESPECIFÍCOS</t>
  </si>
  <si>
    <t>Ítem</t>
  </si>
  <si>
    <t>Descripción</t>
  </si>
  <si>
    <t>Unidad</t>
  </si>
  <si>
    <t>Cantidad</t>
  </si>
  <si>
    <t>1.  Equipo</t>
  </si>
  <si>
    <t>Marca</t>
  </si>
  <si>
    <t>Tipo</t>
  </si>
  <si>
    <t>Tarifa/Hora</t>
  </si>
  <si>
    <t>Rendimiento</t>
  </si>
  <si>
    <t>Vr. Unitario</t>
  </si>
  <si>
    <t>HERRAMIENTA MENOR</t>
  </si>
  <si>
    <t>SUBTOTAL</t>
  </si>
  <si>
    <t>2.  Materiales</t>
  </si>
  <si>
    <t>Precio Unit.</t>
  </si>
  <si>
    <t>Vr Unitario</t>
  </si>
  <si>
    <t>ACERO DE REFUERZO Fy 4200 kg/cm2 5/8" - 3/4"</t>
  </si>
  <si>
    <t>PRECIO 25-01-22</t>
  </si>
  <si>
    <t>ALAMBRE DE AMARRE</t>
  </si>
  <si>
    <t>3. Transportes</t>
  </si>
  <si>
    <t>Material</t>
  </si>
  <si>
    <t>Vol. o Peso</t>
  </si>
  <si>
    <t>Distancia</t>
  </si>
  <si>
    <t>m2 o Ton/Km</t>
  </si>
  <si>
    <t>Tarifa</t>
  </si>
  <si>
    <t>4. Mano de Obra</t>
  </si>
  <si>
    <t>Trabajador</t>
  </si>
  <si>
    <t>Jornal</t>
  </si>
  <si>
    <t>Prestac.</t>
  </si>
  <si>
    <t>Jornal Total</t>
  </si>
  <si>
    <t>AYUDANTE</t>
  </si>
  <si>
    <t>SALARIO MINIMO DÍA 2022</t>
  </si>
  <si>
    <t>.</t>
  </si>
  <si>
    <t>TOTAL COSTO DIRECTO</t>
  </si>
  <si>
    <t>AIU CONTRACTUAL</t>
  </si>
  <si>
    <t>TOTAL COSTO INDIRECTO</t>
  </si>
  <si>
    <t xml:space="preserve">VALOR TOTAL ACTIVIDAD </t>
  </si>
  <si>
    <t xml:space="preserve">VALOR RECURSOS NECESARIOS PARA LA EJECUCIÓN DE LA ACTIVIDAD </t>
  </si>
  <si>
    <t xml:space="preserve">Para constancia de lo anterior, se firma la presente acta bajo la responsabilidad expresa de los que intervienen en ella, de  conformidad con las funciones desempeñadas por cada uno de los mismos, de acuerdo con el manual de interventoría, en _________,  a los _______( ) días, del mes ___________ del año __________. </t>
  </si>
  <si>
    <t>Firma:</t>
  </si>
  <si>
    <t xml:space="preserve">Nombre: </t>
  </si>
  <si>
    <t>REPRESENTATE LEGAL Ó DIRECTOR DE OBRA</t>
  </si>
  <si>
    <t>C. OBSERVACIONES INTERVENTORÍA (Campo de obligatorio diligenciamiento)</t>
  </si>
  <si>
    <t>Original  - ENTerritorio</t>
  </si>
  <si>
    <t>REPRESENTANTE LEGAL O DIRECTOR DE INTERVENTORÍA</t>
  </si>
  <si>
    <t>Copias: Contratista, Interventor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</si>
</sst>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8" formatCode="&quot;$&quot;\ #,##0.00;[Red]\-&quot;$&quot;\ #,##0.00"/>
    <numFmt numFmtId="164" formatCode="&quot;$&quot;#,##0.00_);[Red]\(&quot;$&quot;#,##0.00\)"/>
    <numFmt numFmtId="165" formatCode="_(&quot;$&quot;* #,##0.00_);_(&quot;$&quot;* \(#,##0.00\);_(&quot;$&quot;* &quot;-&quot;??_);_(@_)"/>
    <numFmt numFmtId="166" formatCode="&quot;$&quot;#,##0.00;[Red]\-&quot;$&quot;#,##0.00"/>
    <numFmt numFmtId="167" formatCode="#,##0.00_);\-#,##0.00"/>
    <numFmt numFmtId="168" formatCode="&quot;$&quot;\ #,##0.00"/>
    <numFmt numFmtId="169" formatCode="#,##0.0"/>
    <numFmt numFmtId="170" formatCode="&quot;$&quot;\ #,##0.00_);[Red]\(&quot;$&quot;\ #,##0.00\)"/>
    <numFmt numFmtId="171" formatCode="&quot;$&quot;#,##0.00"/>
    <numFmt numFmtId="172" formatCode="yyyy\-mm\-dd;@"/>
    <numFmt numFmtId="173" formatCode="_ * #,##0.00_ ;_ * \-#,##0.00_ ;_ * &quot;-&quot;??_ ;_ @_ "/>
    <numFmt numFmtId="174" formatCode="0.000"/>
    <numFmt numFmtId="175" formatCode="0.0000"/>
    <numFmt numFmtId="176" formatCode="#,##0.00000000000"/>
    <numFmt numFmtId="177" formatCode="#,##0.000000000000"/>
    <numFmt numFmtId="178" formatCode="#,##0.00000000000000"/>
    <numFmt numFmtId="179" formatCode="&quot;$&quot;#,##0.00000000000000_);[Red]\(&quot;$&quot;#,##0.00000000000000\)"/>
    <numFmt numFmtId="180" formatCode="0.0000000000"/>
    <numFmt numFmtId="181" formatCode="#,##0.0000"/>
  </numFmts>
  <fonts count="50" x14ac:knownFonts="1">
    <font>
      <sz val="11"/>
      <color theme="1"/>
      <name val="Calibri"/>
      <family val="2"/>
      <scheme val="minor"/>
    </font>
    <font>
      <sz val="11"/>
      <color rgb="FFFF0000"/>
      <name val="Calibri"/>
      <family val="2"/>
      <scheme val="minor"/>
    </font>
    <font>
      <b/>
      <sz val="11"/>
      <color theme="1"/>
      <name val="Calibri"/>
      <family val="2"/>
      <scheme val="minor"/>
    </font>
    <font>
      <b/>
      <sz val="10"/>
      <color theme="0"/>
      <name val="Arial Narrow"/>
      <family val="2"/>
    </font>
    <font>
      <b/>
      <sz val="8"/>
      <color rgb="FF000000"/>
      <name val="Arial Narrow"/>
      <family val="2"/>
    </font>
    <font>
      <b/>
      <sz val="10"/>
      <color rgb="FF000000"/>
      <name val="Arial Narrow"/>
      <family val="2"/>
    </font>
    <font>
      <sz val="10"/>
      <color rgb="FF000000"/>
      <name val="Arial Narrow"/>
      <family val="2"/>
    </font>
    <font>
      <sz val="10"/>
      <name val="Arial Narrow"/>
      <family val="2"/>
    </font>
    <font>
      <sz val="10"/>
      <name val="Arial"/>
      <family val="2"/>
    </font>
    <font>
      <b/>
      <sz val="10"/>
      <name val="Arial Narrow"/>
      <family val="2"/>
    </font>
    <font>
      <sz val="10"/>
      <color theme="1"/>
      <name val="Calibri"/>
      <family val="2"/>
      <scheme val="minor"/>
    </font>
    <font>
      <sz val="11"/>
      <color rgb="FFFFFFFF"/>
      <name val="Calibri"/>
      <family val="2"/>
      <scheme val="minor"/>
    </font>
    <font>
      <sz val="10"/>
      <color rgb="FF000000"/>
      <name val="Arial"/>
      <family val="2"/>
    </font>
    <font>
      <sz val="10"/>
      <color theme="1"/>
      <name val="Arial Narrow"/>
      <family val="2"/>
    </font>
    <font>
      <b/>
      <sz val="10"/>
      <color theme="1"/>
      <name val="Arial Narrow"/>
      <family val="2"/>
    </font>
    <font>
      <b/>
      <sz val="11"/>
      <color rgb="FF000000"/>
      <name val="Arial Narrow"/>
      <family val="2"/>
    </font>
    <font>
      <sz val="8"/>
      <color rgb="FF000000"/>
      <name val="Arial Narrow"/>
      <family val="2"/>
    </font>
    <font>
      <sz val="11"/>
      <color rgb="FF000000"/>
      <name val="Arial Narrow"/>
      <family val="2"/>
    </font>
    <font>
      <sz val="8"/>
      <color theme="1"/>
      <name val="Arial Narrow"/>
      <family val="2"/>
    </font>
    <font>
      <sz val="11"/>
      <color theme="1"/>
      <name val="Arial Narrow"/>
      <family val="2"/>
    </font>
    <font>
      <sz val="11"/>
      <color rgb="FFFF0000"/>
      <name val="Arial Narrow"/>
      <family val="2"/>
    </font>
    <font>
      <b/>
      <sz val="8"/>
      <color theme="1"/>
      <name val="Arial Narrow"/>
      <family val="2"/>
    </font>
    <font>
      <sz val="11"/>
      <color rgb="FF000000"/>
      <name val="Times New Roman"/>
      <family val="1"/>
    </font>
    <font>
      <b/>
      <sz val="11"/>
      <color theme="1"/>
      <name val="Arial Narrow"/>
      <family val="2"/>
    </font>
    <font>
      <b/>
      <sz val="11"/>
      <name val="Arial Narrow"/>
      <family val="2"/>
    </font>
    <font>
      <sz val="11"/>
      <name val="Arial Narrow"/>
      <family val="2"/>
    </font>
    <font>
      <b/>
      <sz val="11"/>
      <name val="Arial"/>
      <family val="2"/>
    </font>
    <font>
      <b/>
      <sz val="10"/>
      <name val="Arial"/>
      <family val="2"/>
    </font>
    <font>
      <sz val="11"/>
      <color indexed="10"/>
      <name val="Arial Narrow"/>
      <family val="2"/>
    </font>
    <font>
      <sz val="11"/>
      <color indexed="12"/>
      <name val="Arial Narrow"/>
      <family val="2"/>
    </font>
    <font>
      <sz val="8"/>
      <name val="Arial Narrow"/>
      <family val="2"/>
    </font>
    <font>
      <b/>
      <sz val="9"/>
      <name val="Arial Narrow"/>
      <family val="2"/>
    </font>
    <font>
      <sz val="10"/>
      <color indexed="10"/>
      <name val="Arial Narrow"/>
      <family val="2"/>
    </font>
    <font>
      <sz val="10"/>
      <color indexed="12"/>
      <name val="Arial Narrow"/>
      <family val="2"/>
    </font>
    <font>
      <sz val="5"/>
      <name val="Arial Narrow"/>
      <family val="2"/>
    </font>
    <font>
      <sz val="9"/>
      <name val="Arial Narrow"/>
      <family val="2"/>
    </font>
    <font>
      <u/>
      <sz val="10"/>
      <name val="Arial Narrow"/>
      <family val="2"/>
    </font>
    <font>
      <i/>
      <sz val="7"/>
      <name val="Arial Narrow"/>
      <family val="2"/>
    </font>
    <font>
      <sz val="7"/>
      <name val="Arial Narrow"/>
      <family val="2"/>
    </font>
    <font>
      <sz val="6"/>
      <color theme="1"/>
      <name val="Arial Narrow"/>
      <family val="2"/>
    </font>
    <font>
      <sz val="6"/>
      <name val="Arial Narrow"/>
      <family val="2"/>
    </font>
    <font>
      <sz val="8"/>
      <color indexed="81"/>
      <name val="Tahoma"/>
      <family val="2"/>
    </font>
    <font>
      <sz val="11"/>
      <color theme="0"/>
      <name val="Calibri"/>
      <family val="2"/>
      <scheme val="minor"/>
    </font>
    <font>
      <b/>
      <sz val="11"/>
      <color rgb="FFFF0000"/>
      <name val="Arial Narrow"/>
      <family val="2"/>
    </font>
    <font>
      <b/>
      <sz val="14"/>
      <color rgb="FF000000"/>
      <name val="Arial Narrow"/>
      <family val="2"/>
    </font>
    <font>
      <sz val="14"/>
      <color rgb="FF000000"/>
      <name val="Arial Narrow"/>
      <family val="2"/>
    </font>
    <font>
      <sz val="14"/>
      <color theme="1"/>
      <name val="Calibri"/>
      <family val="2"/>
      <scheme val="minor"/>
    </font>
    <font>
      <sz val="10"/>
      <color theme="1"/>
      <name val="Arial"/>
      <family val="2"/>
    </font>
    <font>
      <b/>
      <sz val="8"/>
      <color rgb="FFFF0000"/>
      <name val="Arial Narrow"/>
      <family val="2"/>
    </font>
    <font>
      <b/>
      <sz val="11"/>
      <color rgb="FFFF0000"/>
      <name val="Calibri"/>
      <family val="2"/>
      <scheme val="minor"/>
    </font>
  </fonts>
  <fills count="25">
    <fill>
      <patternFill patternType="none"/>
    </fill>
    <fill>
      <patternFill patternType="gray125"/>
    </fill>
    <fill>
      <patternFill patternType="solid">
        <fgColor rgb="FF808080"/>
        <bgColor indexed="64"/>
      </patternFill>
    </fill>
    <fill>
      <patternFill patternType="solid">
        <fgColor rgb="FFF2F2F2"/>
        <bgColor indexed="64"/>
      </patternFill>
    </fill>
    <fill>
      <patternFill patternType="solid">
        <fgColor rgb="FF95B3D7"/>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rgb="FFBFBFBF"/>
        <bgColor indexed="64"/>
      </patternFill>
    </fill>
    <fill>
      <patternFill patternType="solid">
        <fgColor rgb="FFA6A6A6"/>
        <bgColor indexed="64"/>
      </patternFill>
    </fill>
    <fill>
      <patternFill patternType="solid">
        <fgColor rgb="FFFFFFFF"/>
        <bgColor indexed="64"/>
      </patternFill>
    </fill>
    <fill>
      <patternFill patternType="solid">
        <fgColor rgb="FF0070C0"/>
        <bgColor indexed="64"/>
      </patternFill>
    </fill>
    <fill>
      <patternFill patternType="solid">
        <fgColor rgb="FF8EAADB"/>
        <bgColor indexed="64"/>
      </patternFill>
    </fill>
    <fill>
      <patternFill patternType="solid">
        <fgColor rgb="FFFFFFFF"/>
      </patternFill>
    </fill>
    <fill>
      <patternFill patternType="solid">
        <fgColor rgb="FF95B3D6"/>
      </patternFill>
    </fill>
    <fill>
      <patternFill patternType="solid">
        <fgColor rgb="FFFFFFFF"/>
        <bgColor rgb="FF000000"/>
      </patternFill>
    </fill>
    <fill>
      <patternFill patternType="solid">
        <fgColor theme="4"/>
      </patternFill>
    </fill>
    <fill>
      <patternFill patternType="solid">
        <fgColor theme="1" tint="0.499984740745262"/>
        <bgColor indexed="64"/>
      </patternFill>
    </fill>
    <fill>
      <patternFill patternType="solid">
        <fgColor theme="0" tint="-0.14999847407452621"/>
        <bgColor indexed="64"/>
      </patternFill>
    </fill>
  </fills>
  <borders count="49">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style="thin">
        <color rgb="FF000000"/>
      </top>
      <bottom/>
      <diagonal/>
    </border>
    <border>
      <left style="thin">
        <color rgb="FF000000"/>
      </left>
      <right style="medium">
        <color indexed="64"/>
      </right>
      <top style="thin">
        <color rgb="FF000000"/>
      </top>
      <bottom/>
      <diagonal/>
    </border>
    <border>
      <left style="medium">
        <color indexed="64"/>
      </left>
      <right/>
      <top/>
      <bottom style="thin">
        <color rgb="FF000000"/>
      </bottom>
      <diagonal/>
    </border>
    <border>
      <left/>
      <right/>
      <top/>
      <bottom style="thin">
        <color rgb="FF000000"/>
      </bottom>
      <diagonal/>
    </border>
    <border>
      <left style="thin">
        <color rgb="FF000000"/>
      </left>
      <right style="medium">
        <color indexed="64"/>
      </right>
      <top/>
      <bottom style="thin">
        <color rgb="FF000000"/>
      </bottom>
      <diagonal/>
    </border>
  </borders>
  <cellStyleXfs count="4">
    <xf numFmtId="0" fontId="0" fillId="0" borderId="0"/>
    <xf numFmtId="0" fontId="8" fillId="0" borderId="0"/>
    <xf numFmtId="165" fontId="8" fillId="0" borderId="0" applyFont="0" applyFill="0" applyBorder="0" applyAlignment="0" applyProtection="0"/>
    <xf numFmtId="0" fontId="42" fillId="22" borderId="0" applyNumberFormat="0" applyBorder="0" applyAlignment="0" applyProtection="0"/>
  </cellStyleXfs>
  <cellXfs count="521">
    <xf numFmtId="0" fontId="0" fillId="0" borderId="0" xfId="0"/>
    <xf numFmtId="4" fontId="0" fillId="0" borderId="0" xfId="0" applyNumberFormat="1"/>
    <xf numFmtId="0" fontId="4" fillId="3" borderId="1" xfId="0" applyFont="1" applyFill="1" applyBorder="1" applyAlignment="1">
      <alignment horizontal="center" vertical="center" wrapText="1"/>
    </xf>
    <xf numFmtId="2" fontId="4" fillId="3" borderId="1" xfId="0" applyNumberFormat="1" applyFont="1" applyFill="1" applyBorder="1" applyAlignment="1">
      <alignment horizontal="center" vertical="center" wrapText="1"/>
    </xf>
    <xf numFmtId="0" fontId="5" fillId="4" borderId="1" xfId="0" applyFont="1" applyFill="1" applyBorder="1" applyAlignment="1">
      <alignment horizontal="center" vertical="top"/>
    </xf>
    <xf numFmtId="0" fontId="5" fillId="5" borderId="1" xfId="0" applyFont="1" applyFill="1" applyBorder="1" applyAlignment="1">
      <alignment horizontal="justify" vertical="top"/>
    </xf>
    <xf numFmtId="0" fontId="6" fillId="5" borderId="1" xfId="0" applyFont="1" applyFill="1" applyBorder="1" applyAlignment="1">
      <alignment horizontal="center" vertical="top" wrapText="1"/>
    </xf>
    <xf numFmtId="2" fontId="6" fillId="5" borderId="1" xfId="0" applyNumberFormat="1" applyFont="1" applyFill="1" applyBorder="1" applyAlignment="1">
      <alignment horizontal="center" vertical="top" wrapText="1"/>
    </xf>
    <xf numFmtId="4" fontId="0" fillId="0" borderId="0" xfId="0" applyNumberFormat="1" applyAlignment="1">
      <alignment vertical="top"/>
    </xf>
    <xf numFmtId="0" fontId="0" fillId="0" borderId="0" xfId="0" applyAlignment="1">
      <alignment vertical="top"/>
    </xf>
    <xf numFmtId="0" fontId="7" fillId="0" borderId="1" xfId="0" applyFont="1" applyBorder="1" applyAlignment="1">
      <alignment horizontal="center" vertical="top"/>
    </xf>
    <xf numFmtId="0" fontId="7" fillId="0" borderId="1" xfId="0" applyFont="1" applyBorder="1" applyAlignment="1">
      <alignment horizontal="justify" vertical="top" wrapText="1"/>
    </xf>
    <xf numFmtId="2" fontId="8" fillId="0" borderId="1" xfId="0" applyNumberFormat="1" applyFont="1" applyBorder="1" applyAlignment="1">
      <alignment horizontal="center" vertical="top"/>
    </xf>
    <xf numFmtId="0" fontId="9" fillId="6" borderId="1" xfId="0" applyFont="1" applyFill="1" applyBorder="1" applyAlignment="1">
      <alignment horizontal="center" vertical="top"/>
    </xf>
    <xf numFmtId="0" fontId="9" fillId="6" borderId="1" xfId="0" applyFont="1" applyFill="1" applyBorder="1" applyAlignment="1">
      <alignment horizontal="justify" vertical="top" wrapText="1"/>
    </xf>
    <xf numFmtId="2" fontId="8" fillId="6" borderId="1" xfId="0" applyNumberFormat="1" applyFont="1" applyFill="1" applyBorder="1" applyAlignment="1">
      <alignment horizontal="center" vertical="top"/>
    </xf>
    <xf numFmtId="3" fontId="9" fillId="5" borderId="1" xfId="0" applyNumberFormat="1" applyFont="1" applyFill="1" applyBorder="1" applyAlignment="1">
      <alignment horizontal="center" vertical="top"/>
    </xf>
    <xf numFmtId="0" fontId="9" fillId="5" borderId="1" xfId="0" applyFont="1" applyFill="1" applyBorder="1" applyAlignment="1">
      <alignment vertical="top" wrapText="1"/>
    </xf>
    <xf numFmtId="2" fontId="8" fillId="5" borderId="1" xfId="0" applyNumberFormat="1" applyFont="1" applyFill="1" applyBorder="1" applyAlignment="1">
      <alignment horizontal="center" vertical="top"/>
    </xf>
    <xf numFmtId="167" fontId="7" fillId="6" borderId="1" xfId="0" applyNumberFormat="1" applyFont="1" applyFill="1" applyBorder="1" applyAlignment="1">
      <alignment horizontal="right" vertical="top"/>
    </xf>
    <xf numFmtId="0" fontId="7" fillId="7" borderId="1" xfId="0" applyFont="1" applyFill="1" applyBorder="1" applyAlignment="1">
      <alignment horizontal="justify" vertical="top" wrapText="1"/>
    </xf>
    <xf numFmtId="3" fontId="7" fillId="8" borderId="1" xfId="0" applyNumberFormat="1" applyFont="1" applyFill="1" applyBorder="1" applyAlignment="1">
      <alignment horizontal="center" vertical="top"/>
    </xf>
    <xf numFmtId="0" fontId="7" fillId="8" borderId="1" xfId="0" applyFont="1" applyFill="1" applyBorder="1" applyAlignment="1">
      <alignment horizontal="justify" vertical="top" wrapText="1"/>
    </xf>
    <xf numFmtId="0" fontId="7" fillId="8" borderId="1" xfId="0" applyFont="1" applyFill="1" applyBorder="1" applyAlignment="1">
      <alignment horizontal="center" vertical="top"/>
    </xf>
    <xf numFmtId="0" fontId="9" fillId="6" borderId="1" xfId="0" applyFont="1" applyFill="1" applyBorder="1" applyAlignment="1">
      <alignment vertical="top" wrapText="1"/>
    </xf>
    <xf numFmtId="0" fontId="7" fillId="9" borderId="1" xfId="0" applyFont="1" applyFill="1" applyBorder="1" applyAlignment="1">
      <alignment horizontal="justify" vertical="top" wrapText="1"/>
    </xf>
    <xf numFmtId="4" fontId="11" fillId="0" borderId="1" xfId="0" applyNumberFormat="1" applyFont="1" applyBorder="1" applyAlignment="1">
      <alignment vertical="top"/>
    </xf>
    <xf numFmtId="0" fontId="7" fillId="6" borderId="1" xfId="0" applyFont="1" applyFill="1" applyBorder="1" applyAlignment="1">
      <alignment horizontal="center" vertical="top"/>
    </xf>
    <xf numFmtId="0" fontId="9" fillId="10" borderId="1" xfId="0" applyFont="1" applyFill="1" applyBorder="1" applyAlignment="1">
      <alignment horizontal="center" vertical="top"/>
    </xf>
    <xf numFmtId="0" fontId="9" fillId="10" borderId="1" xfId="0" applyFont="1" applyFill="1" applyBorder="1" applyAlignment="1">
      <alignment horizontal="justify" vertical="top" wrapText="1"/>
    </xf>
    <xf numFmtId="0" fontId="7" fillId="10" borderId="1" xfId="0" applyFont="1" applyFill="1" applyBorder="1" applyAlignment="1">
      <alignment horizontal="center" vertical="top"/>
    </xf>
    <xf numFmtId="2" fontId="8" fillId="10" borderId="1" xfId="0" applyNumberFormat="1" applyFont="1" applyFill="1" applyBorder="1" applyAlignment="1">
      <alignment horizontal="center" vertical="top"/>
    </xf>
    <xf numFmtId="3" fontId="9" fillId="6" borderId="1" xfId="0" applyNumberFormat="1" applyFont="1" applyFill="1" applyBorder="1" applyAlignment="1">
      <alignment horizontal="center" vertical="top"/>
    </xf>
    <xf numFmtId="3" fontId="9" fillId="11" borderId="1" xfId="0" applyNumberFormat="1" applyFont="1" applyFill="1" applyBorder="1" applyAlignment="1">
      <alignment horizontal="center" vertical="top"/>
    </xf>
    <xf numFmtId="0" fontId="9" fillId="11" borderId="1" xfId="0" applyFont="1" applyFill="1" applyBorder="1" applyAlignment="1">
      <alignment vertical="top" wrapText="1"/>
    </xf>
    <xf numFmtId="2" fontId="8" fillId="11" borderId="1" xfId="0" applyNumberFormat="1" applyFont="1" applyFill="1" applyBorder="1" applyAlignment="1">
      <alignment horizontal="center" vertical="top"/>
    </xf>
    <xf numFmtId="0" fontId="9" fillId="12" borderId="1" xfId="0" applyFont="1" applyFill="1" applyBorder="1" applyAlignment="1">
      <alignment horizontal="center" vertical="top"/>
    </xf>
    <xf numFmtId="0" fontId="9" fillId="12" borderId="1" xfId="0" applyFont="1" applyFill="1" applyBorder="1" applyAlignment="1">
      <alignment horizontal="justify" vertical="top" wrapText="1"/>
    </xf>
    <xf numFmtId="0" fontId="7" fillId="12" borderId="1" xfId="0" applyFont="1" applyFill="1" applyBorder="1" applyAlignment="1">
      <alignment horizontal="center" vertical="top"/>
    </xf>
    <xf numFmtId="2" fontId="8" fillId="12" borderId="1" xfId="0" applyNumberFormat="1" applyFont="1" applyFill="1" applyBorder="1" applyAlignment="1">
      <alignment horizontal="center" vertical="top"/>
    </xf>
    <xf numFmtId="0" fontId="9" fillId="13" borderId="1" xfId="0" applyFont="1" applyFill="1" applyBorder="1" applyAlignment="1">
      <alignment horizontal="center" vertical="top"/>
    </xf>
    <xf numFmtId="0" fontId="9" fillId="0" borderId="1" xfId="0" applyFont="1" applyBorder="1" applyAlignment="1">
      <alignment horizontal="center" vertical="top"/>
    </xf>
    <xf numFmtId="2" fontId="9" fillId="6" borderId="1" xfId="0" applyNumberFormat="1" applyFont="1" applyFill="1" applyBorder="1" applyAlignment="1">
      <alignment horizontal="center" vertical="top" wrapText="1"/>
    </xf>
    <xf numFmtId="0" fontId="9" fillId="6" borderId="1" xfId="0" applyFont="1" applyFill="1" applyBorder="1" applyAlignment="1">
      <alignment horizontal="left" vertical="top" wrapText="1"/>
    </xf>
    <xf numFmtId="2" fontId="7" fillId="8" borderId="1" xfId="0" applyNumberFormat="1" applyFont="1" applyFill="1" applyBorder="1" applyAlignment="1">
      <alignment horizontal="center" vertical="top"/>
    </xf>
    <xf numFmtId="0" fontId="7" fillId="8" borderId="1" xfId="0" applyFont="1" applyFill="1" applyBorder="1" applyAlignment="1">
      <alignment horizontal="left" vertical="top" wrapText="1"/>
    </xf>
    <xf numFmtId="2" fontId="12" fillId="0" borderId="1" xfId="0" applyNumberFormat="1" applyFont="1" applyBorder="1" applyAlignment="1">
      <alignment horizontal="center" vertical="top"/>
    </xf>
    <xf numFmtId="0" fontId="9" fillId="6" borderId="1" xfId="0" applyFont="1" applyFill="1" applyBorder="1" applyAlignment="1">
      <alignment horizontal="center" vertical="top" wrapText="1"/>
    </xf>
    <xf numFmtId="0" fontId="7" fillId="8" borderId="1" xfId="0" applyFont="1" applyFill="1" applyBorder="1" applyAlignment="1">
      <alignment horizontal="justify" vertical="top"/>
    </xf>
    <xf numFmtId="2" fontId="7" fillId="0" borderId="1" xfId="0" applyNumberFormat="1" applyFont="1" applyBorder="1" applyAlignment="1">
      <alignment horizontal="justify" vertical="top" wrapText="1"/>
    </xf>
    <xf numFmtId="0" fontId="9" fillId="13" borderId="1" xfId="0" applyFont="1" applyFill="1" applyBorder="1" applyAlignment="1">
      <alignment horizontal="center" vertical="top" wrapText="1"/>
    </xf>
    <xf numFmtId="0" fontId="9" fillId="13" borderId="1" xfId="0" applyFont="1" applyFill="1" applyBorder="1" applyAlignment="1">
      <alignment vertical="top" wrapText="1"/>
    </xf>
    <xf numFmtId="2" fontId="8" fillId="13" borderId="1" xfId="0" applyNumberFormat="1" applyFont="1" applyFill="1" applyBorder="1" applyAlignment="1">
      <alignment horizontal="center" vertical="top"/>
    </xf>
    <xf numFmtId="169" fontId="9" fillId="6" borderId="1" xfId="0" applyNumberFormat="1" applyFont="1" applyFill="1" applyBorder="1" applyAlignment="1">
      <alignment horizontal="center" vertical="top"/>
    </xf>
    <xf numFmtId="2" fontId="9" fillId="6" borderId="1" xfId="0" applyNumberFormat="1" applyFont="1" applyFill="1" applyBorder="1" applyAlignment="1">
      <alignment horizontal="center" vertical="top"/>
    </xf>
    <xf numFmtId="0" fontId="13" fillId="8" borderId="1" xfId="0" applyFont="1" applyFill="1" applyBorder="1" applyAlignment="1">
      <alignment horizontal="justify" vertical="top" wrapText="1"/>
    </xf>
    <xf numFmtId="0" fontId="13" fillId="8" borderId="1" xfId="0" applyFont="1" applyFill="1" applyBorder="1" applyAlignment="1">
      <alignment horizontal="center" vertical="top"/>
    </xf>
    <xf numFmtId="0" fontId="9" fillId="11" borderId="1" xfId="0" applyFont="1" applyFill="1" applyBorder="1" applyAlignment="1">
      <alignment horizontal="center" vertical="top"/>
    </xf>
    <xf numFmtId="0" fontId="9" fillId="11" borderId="1" xfId="0" applyFont="1" applyFill="1" applyBorder="1" applyAlignment="1">
      <alignment horizontal="justify" vertical="top" wrapText="1"/>
    </xf>
    <xf numFmtId="4" fontId="2" fillId="0" borderId="0" xfId="0" applyNumberFormat="1" applyFont="1" applyAlignment="1">
      <alignment vertical="top"/>
    </xf>
    <xf numFmtId="2" fontId="7" fillId="0" borderId="1" xfId="0" applyNumberFormat="1" applyFont="1" applyBorder="1" applyAlignment="1">
      <alignment horizontal="center" vertical="top"/>
    </xf>
    <xf numFmtId="0" fontId="9" fillId="14" borderId="1" xfId="0" applyFont="1" applyFill="1" applyBorder="1" applyAlignment="1">
      <alignment horizontal="center" vertical="top"/>
    </xf>
    <xf numFmtId="0" fontId="9" fillId="14" borderId="1" xfId="0" applyFont="1" applyFill="1" applyBorder="1" applyAlignment="1">
      <alignment horizontal="justify" vertical="top" wrapText="1"/>
    </xf>
    <xf numFmtId="0" fontId="7" fillId="14" borderId="1" xfId="0" applyFont="1" applyFill="1" applyBorder="1" applyAlignment="1">
      <alignment horizontal="center" vertical="top"/>
    </xf>
    <xf numFmtId="2" fontId="8" fillId="14" borderId="1" xfId="0" applyNumberFormat="1" applyFont="1" applyFill="1" applyBorder="1" applyAlignment="1">
      <alignment horizontal="center" vertical="top"/>
    </xf>
    <xf numFmtId="8" fontId="5" fillId="15" borderId="1" xfId="0" applyNumberFormat="1" applyFont="1" applyFill="1" applyBorder="1" applyAlignment="1">
      <alignment horizontal="right" vertical="center"/>
    </xf>
    <xf numFmtId="8" fontId="13" fillId="0" borderId="1" xfId="0" applyNumberFormat="1" applyFont="1" applyBorder="1" applyAlignment="1">
      <alignment horizontal="right" vertical="center"/>
    </xf>
    <xf numFmtId="8" fontId="13" fillId="14" borderId="1" xfId="0" applyNumberFormat="1" applyFont="1" applyFill="1" applyBorder="1" applyAlignment="1">
      <alignment horizontal="right" vertical="center"/>
    </xf>
    <xf numFmtId="0" fontId="0" fillId="16" borderId="0" xfId="0" applyFill="1"/>
    <xf numFmtId="2" fontId="0" fillId="0" borderId="0" xfId="0" applyNumberFormat="1" applyAlignment="1">
      <alignment horizontal="center" vertical="center"/>
    </xf>
    <xf numFmtId="0" fontId="4" fillId="3" borderId="8" xfId="0" applyFont="1" applyFill="1" applyBorder="1" applyAlignment="1">
      <alignment horizontal="center" vertical="center" wrapText="1"/>
    </xf>
    <xf numFmtId="0" fontId="5" fillId="3" borderId="8" xfId="0" applyFont="1" applyFill="1" applyBorder="1" applyAlignment="1">
      <alignment horizontal="justify" vertical="center" wrapText="1"/>
    </xf>
    <xf numFmtId="2" fontId="4" fillId="3" borderId="8" xfId="0" applyNumberFormat="1" applyFont="1" applyFill="1" applyBorder="1" applyAlignment="1">
      <alignment horizontal="center" vertical="center" wrapText="1"/>
    </xf>
    <xf numFmtId="0" fontId="15" fillId="3" borderId="8" xfId="0" applyFont="1" applyFill="1" applyBorder="1" applyAlignment="1">
      <alignment horizontal="center" vertical="center" wrapText="1"/>
    </xf>
    <xf numFmtId="0" fontId="4" fillId="4" borderId="8" xfId="0" applyFont="1" applyFill="1" applyBorder="1" applyAlignment="1">
      <alignment horizontal="center" vertical="center"/>
    </xf>
    <xf numFmtId="0" fontId="5" fillId="4" borderId="8" xfId="0" applyFont="1" applyFill="1" applyBorder="1" applyAlignment="1">
      <alignment horizontal="justify" vertical="center" wrapText="1"/>
    </xf>
    <xf numFmtId="0" fontId="16" fillId="4" borderId="8" xfId="0" applyFont="1" applyFill="1" applyBorder="1" applyAlignment="1">
      <alignment horizontal="center" vertical="center" wrapText="1"/>
    </xf>
    <xf numFmtId="2" fontId="16" fillId="4" borderId="8" xfId="0" applyNumberFormat="1" applyFont="1" applyFill="1" applyBorder="1" applyAlignment="1">
      <alignment horizontal="center" vertical="center" wrapText="1"/>
    </xf>
    <xf numFmtId="0" fontId="17" fillId="4" borderId="8" xfId="0" applyFont="1" applyFill="1" applyBorder="1" applyAlignment="1">
      <alignment horizontal="right" vertical="center" wrapText="1"/>
    </xf>
    <xf numFmtId="8" fontId="4" fillId="4" borderId="8" xfId="0" applyNumberFormat="1" applyFont="1" applyFill="1" applyBorder="1" applyAlignment="1">
      <alignment horizontal="right" vertical="center"/>
    </xf>
    <xf numFmtId="0" fontId="4" fillId="0" borderId="8" xfId="0" applyFont="1" applyBorder="1" applyAlignment="1">
      <alignment horizontal="center" vertical="center"/>
    </xf>
    <xf numFmtId="0" fontId="5" fillId="0" borderId="8" xfId="0" applyFont="1" applyBorder="1" applyAlignment="1">
      <alignment horizontal="justify" vertical="center" wrapText="1"/>
    </xf>
    <xf numFmtId="0" fontId="18" fillId="0" borderId="8" xfId="0" applyFont="1" applyBorder="1" applyAlignment="1">
      <alignment horizontal="center" vertical="center"/>
    </xf>
    <xf numFmtId="2" fontId="16" fillId="0" borderId="8" xfId="0" applyNumberFormat="1" applyFont="1" applyBorder="1" applyAlignment="1">
      <alignment horizontal="center" vertical="center" wrapText="1"/>
    </xf>
    <xf numFmtId="0" fontId="17" fillId="0" borderId="8" xfId="0" applyFont="1" applyBorder="1" applyAlignment="1">
      <alignment horizontal="right" vertical="center" wrapText="1"/>
    </xf>
    <xf numFmtId="0" fontId="18" fillId="0" borderId="8" xfId="0" applyFont="1" applyBorder="1" applyAlignment="1">
      <alignment vertical="center"/>
    </xf>
    <xf numFmtId="0" fontId="16" fillId="0" borderId="8" xfId="0" applyFont="1" applyBorder="1" applyAlignment="1">
      <alignment horizontal="center" vertical="center"/>
    </xf>
    <xf numFmtId="0" fontId="6" fillId="0" borderId="8" xfId="0" applyFont="1" applyBorder="1" applyAlignment="1">
      <alignment horizontal="justify" vertical="center" wrapText="1"/>
    </xf>
    <xf numFmtId="8" fontId="19" fillId="0" borderId="8" xfId="0" applyNumberFormat="1" applyFont="1" applyBorder="1" applyAlignment="1">
      <alignment vertical="center"/>
    </xf>
    <xf numFmtId="8" fontId="18" fillId="0" borderId="8" xfId="0" applyNumberFormat="1" applyFont="1" applyBorder="1" applyAlignment="1">
      <alignment vertical="center"/>
    </xf>
    <xf numFmtId="0" fontId="19" fillId="0" borderId="8" xfId="0" applyFont="1" applyBorder="1" applyAlignment="1">
      <alignment vertical="center"/>
    </xf>
    <xf numFmtId="2" fontId="16" fillId="0" borderId="9" xfId="0" applyNumberFormat="1" applyFont="1" applyBorder="1" applyAlignment="1">
      <alignment horizontal="center" vertical="center" wrapText="1"/>
    </xf>
    <xf numFmtId="0" fontId="16" fillId="16" borderId="8" xfId="0" applyFont="1" applyFill="1" applyBorder="1" applyAlignment="1">
      <alignment horizontal="center" vertical="center"/>
    </xf>
    <xf numFmtId="0" fontId="6" fillId="9" borderId="8" xfId="0" applyFont="1" applyFill="1" applyBorder="1" applyAlignment="1">
      <alignment horizontal="justify" vertical="center" wrapText="1"/>
    </xf>
    <xf numFmtId="8" fontId="20" fillId="0" borderId="8" xfId="0" applyNumberFormat="1" applyFont="1" applyBorder="1" applyAlignment="1">
      <alignment vertical="center"/>
    </xf>
    <xf numFmtId="166" fontId="0" fillId="0" borderId="0" xfId="0" applyNumberFormat="1"/>
    <xf numFmtId="166" fontId="0" fillId="17" borderId="0" xfId="0" applyNumberFormat="1" applyFill="1"/>
    <xf numFmtId="0" fontId="21" fillId="0" borderId="8" xfId="0" applyFont="1" applyBorder="1" applyAlignment="1">
      <alignment horizontal="center" vertical="center"/>
    </xf>
    <xf numFmtId="0" fontId="14" fillId="0" borderId="8" xfId="0" applyFont="1" applyBorder="1" applyAlignment="1">
      <alignment horizontal="justify" vertical="center" wrapText="1"/>
    </xf>
    <xf numFmtId="0" fontId="4" fillId="18" borderId="8" xfId="0" applyFont="1" applyFill="1" applyBorder="1" applyAlignment="1">
      <alignment horizontal="center" vertical="center"/>
    </xf>
    <xf numFmtId="0" fontId="5" fillId="18" borderId="8" xfId="0" applyFont="1" applyFill="1" applyBorder="1" applyAlignment="1">
      <alignment horizontal="justify" vertical="center" wrapText="1"/>
    </xf>
    <xf numFmtId="0" fontId="16" fillId="18" borderId="8" xfId="0" applyFont="1" applyFill="1" applyBorder="1" applyAlignment="1">
      <alignment horizontal="center" vertical="center" wrapText="1"/>
    </xf>
    <xf numFmtId="2" fontId="16" fillId="18" borderId="8" xfId="0" applyNumberFormat="1" applyFont="1" applyFill="1" applyBorder="1" applyAlignment="1">
      <alignment horizontal="center" vertical="center" wrapText="1"/>
    </xf>
    <xf numFmtId="0" fontId="17" fillId="18" borderId="8" xfId="0" applyFont="1" applyFill="1" applyBorder="1" applyAlignment="1">
      <alignment horizontal="right" vertical="center"/>
    </xf>
    <xf numFmtId="0" fontId="22" fillId="19" borderId="8" xfId="0" applyFont="1" applyFill="1" applyBorder="1" applyAlignment="1">
      <alignment horizontal="left" vertical="top"/>
    </xf>
    <xf numFmtId="0" fontId="22" fillId="20" borderId="8" xfId="0" applyFont="1" applyFill="1" applyBorder="1" applyAlignment="1">
      <alignment horizontal="left" vertical="top" wrapText="1"/>
    </xf>
    <xf numFmtId="0" fontId="22" fillId="0" borderId="8" xfId="0" applyFont="1" applyBorder="1" applyAlignment="1">
      <alignment horizontal="left" vertical="top"/>
    </xf>
    <xf numFmtId="0" fontId="17" fillId="15" borderId="8" xfId="0" applyFont="1" applyFill="1" applyBorder="1" applyAlignment="1">
      <alignment horizontal="right" vertical="center" wrapText="1"/>
    </xf>
    <xf numFmtId="8" fontId="4" fillId="15" borderId="8" xfId="0" applyNumberFormat="1" applyFont="1" applyFill="1" applyBorder="1" applyAlignment="1">
      <alignment horizontal="right" vertical="center"/>
    </xf>
    <xf numFmtId="0" fontId="17" fillId="13" borderId="8" xfId="0" applyFont="1" applyFill="1" applyBorder="1" applyAlignment="1">
      <alignment horizontal="right" vertical="center" wrapText="1"/>
    </xf>
    <xf numFmtId="8" fontId="21" fillId="13" borderId="8" xfId="0" applyNumberFormat="1" applyFont="1" applyFill="1" applyBorder="1" applyAlignment="1">
      <alignment horizontal="right" vertical="center"/>
    </xf>
    <xf numFmtId="10" fontId="17" fillId="0" borderId="8" xfId="0" applyNumberFormat="1" applyFont="1" applyBorder="1" applyAlignment="1">
      <alignment horizontal="center" vertical="center" wrapText="1"/>
    </xf>
    <xf numFmtId="8" fontId="18" fillId="0" borderId="8" xfId="0" applyNumberFormat="1" applyFont="1" applyBorder="1" applyAlignment="1">
      <alignment horizontal="right" vertical="center"/>
    </xf>
    <xf numFmtId="10" fontId="19" fillId="0" borderId="8" xfId="0" applyNumberFormat="1" applyFont="1" applyBorder="1" applyAlignment="1">
      <alignment horizontal="center" vertical="center" wrapText="1"/>
    </xf>
    <xf numFmtId="0" fontId="23" fillId="13" borderId="0" xfId="0" applyFont="1" applyFill="1" applyAlignment="1">
      <alignment horizontal="center"/>
    </xf>
    <xf numFmtId="8" fontId="0" fillId="0" borderId="0" xfId="0" applyNumberFormat="1"/>
    <xf numFmtId="8" fontId="15" fillId="15" borderId="8" xfId="0" applyNumberFormat="1" applyFont="1" applyFill="1" applyBorder="1" applyAlignment="1">
      <alignment horizontal="center" vertical="center"/>
    </xf>
    <xf numFmtId="0" fontId="10" fillId="0" borderId="0" xfId="0" applyFont="1" applyAlignment="1">
      <alignment horizontal="justify" vertical="center" wrapText="1"/>
    </xf>
    <xf numFmtId="0" fontId="0" fillId="0" borderId="0" xfId="0" applyAlignment="1">
      <alignment horizontal="center"/>
    </xf>
    <xf numFmtId="2" fontId="0" fillId="0" borderId="0" xfId="0" applyNumberFormat="1"/>
    <xf numFmtId="170" fontId="0" fillId="0" borderId="0" xfId="0" applyNumberFormat="1"/>
    <xf numFmtId="10" fontId="0" fillId="0" borderId="0" xfId="0" applyNumberFormat="1"/>
    <xf numFmtId="8" fontId="1" fillId="0" borderId="0" xfId="0" applyNumberFormat="1" applyFont="1"/>
    <xf numFmtId="0" fontId="2" fillId="0" borderId="0" xfId="0" applyFont="1"/>
    <xf numFmtId="0" fontId="0" fillId="0" borderId="0" xfId="0" applyAlignment="1">
      <alignment horizontal="center" vertical="top"/>
    </xf>
    <xf numFmtId="2" fontId="17" fillId="5" borderId="1" xfId="0" applyNumberFormat="1" applyFont="1" applyFill="1" applyBorder="1" applyAlignment="1">
      <alignment horizontal="center" vertical="top" wrapText="1"/>
    </xf>
    <xf numFmtId="4" fontId="19" fillId="0" borderId="1" xfId="0" applyNumberFormat="1" applyFont="1" applyBorder="1" applyAlignment="1">
      <alignment vertical="top"/>
    </xf>
    <xf numFmtId="0" fontId="24" fillId="5" borderId="1" xfId="0" applyFont="1" applyFill="1" applyBorder="1" applyAlignment="1">
      <alignment vertical="top" wrapText="1"/>
    </xf>
    <xf numFmtId="167" fontId="25" fillId="6" borderId="1" xfId="0" applyNumberFormat="1" applyFont="1" applyFill="1" applyBorder="1" applyAlignment="1">
      <alignment horizontal="right" vertical="top"/>
    </xf>
    <xf numFmtId="168" fontId="19" fillId="6" borderId="1" xfId="0" applyNumberFormat="1" applyFont="1" applyFill="1" applyBorder="1" applyAlignment="1">
      <alignment vertical="top"/>
    </xf>
    <xf numFmtId="4" fontId="20" fillId="0" borderId="1" xfId="0" applyNumberFormat="1" applyFont="1" applyBorder="1" applyAlignment="1">
      <alignment vertical="top"/>
    </xf>
    <xf numFmtId="168" fontId="19" fillId="5" borderId="1" xfId="0" applyNumberFormat="1" applyFont="1" applyFill="1" applyBorder="1" applyAlignment="1">
      <alignment vertical="top"/>
    </xf>
    <xf numFmtId="168" fontId="19" fillId="11" borderId="1" xfId="0" applyNumberFormat="1" applyFont="1" applyFill="1" applyBorder="1" applyAlignment="1">
      <alignment vertical="top"/>
    </xf>
    <xf numFmtId="2" fontId="25" fillId="5" borderId="1" xfId="0" applyNumberFormat="1" applyFont="1" applyFill="1" applyBorder="1" applyAlignment="1">
      <alignment horizontal="center" vertical="top"/>
    </xf>
    <xf numFmtId="2" fontId="25" fillId="11" borderId="1" xfId="0" applyNumberFormat="1" applyFont="1" applyFill="1" applyBorder="1" applyAlignment="1">
      <alignment horizontal="center" vertical="top"/>
    </xf>
    <xf numFmtId="4" fontId="17" fillId="0" borderId="1" xfId="0" applyNumberFormat="1" applyFont="1" applyBorder="1" applyAlignment="1">
      <alignment vertical="top"/>
    </xf>
    <xf numFmtId="10" fontId="17" fillId="0" borderId="1" xfId="0" applyNumberFormat="1" applyFont="1" applyBorder="1" applyAlignment="1">
      <alignment horizontal="center" vertical="center" wrapText="1"/>
    </xf>
    <xf numFmtId="10" fontId="19" fillId="0" borderId="1" xfId="0" applyNumberFormat="1" applyFont="1" applyBorder="1" applyAlignment="1">
      <alignment horizontal="center" vertical="center" wrapText="1"/>
    </xf>
    <xf numFmtId="0" fontId="15" fillId="15" borderId="1" xfId="0" applyFont="1" applyFill="1" applyBorder="1" applyAlignment="1">
      <alignment vertical="center"/>
    </xf>
    <xf numFmtId="0" fontId="19" fillId="0" borderId="0" xfId="0" applyFont="1"/>
    <xf numFmtId="168" fontId="13" fillId="6" borderId="1" xfId="0" applyNumberFormat="1" applyFont="1" applyFill="1" applyBorder="1" applyAlignment="1">
      <alignment vertical="top"/>
    </xf>
    <xf numFmtId="4" fontId="19" fillId="9" borderId="1" xfId="0" applyNumberFormat="1" applyFont="1" applyFill="1" applyBorder="1" applyAlignment="1">
      <alignment vertical="top"/>
    </xf>
    <xf numFmtId="168" fontId="13" fillId="11" borderId="1" xfId="0" applyNumberFormat="1" applyFont="1" applyFill="1" applyBorder="1" applyAlignment="1">
      <alignment vertical="top"/>
    </xf>
    <xf numFmtId="2" fontId="7" fillId="5" borderId="1" xfId="0" applyNumberFormat="1" applyFont="1" applyFill="1" applyBorder="1" applyAlignment="1">
      <alignment horizontal="center" vertical="top"/>
    </xf>
    <xf numFmtId="2" fontId="7" fillId="11" borderId="1" xfId="0" applyNumberFormat="1" applyFont="1" applyFill="1" applyBorder="1" applyAlignment="1">
      <alignment horizontal="center" vertical="top"/>
    </xf>
    <xf numFmtId="4" fontId="0" fillId="9" borderId="0" xfId="0" applyNumberFormat="1" applyFill="1" applyAlignment="1">
      <alignment vertical="top"/>
    </xf>
    <xf numFmtId="171" fontId="0" fillId="0" borderId="0" xfId="0" applyNumberFormat="1"/>
    <xf numFmtId="0" fontId="7" fillId="21" borderId="1" xfId="0" applyFont="1" applyFill="1" applyBorder="1" applyAlignment="1">
      <alignment wrapText="1"/>
    </xf>
    <xf numFmtId="0" fontId="7" fillId="0" borderId="1" xfId="0" applyFont="1" applyBorder="1" applyAlignment="1">
      <alignment wrapText="1"/>
    </xf>
    <xf numFmtId="0" fontId="7" fillId="21" borderId="10" xfId="0" applyFont="1" applyFill="1" applyBorder="1" applyAlignment="1">
      <alignment wrapText="1"/>
    </xf>
    <xf numFmtId="0" fontId="7" fillId="0" borderId="10" xfId="0" applyFont="1" applyBorder="1" applyAlignment="1">
      <alignment wrapText="1"/>
    </xf>
    <xf numFmtId="0" fontId="3" fillId="2" borderId="0" xfId="0" applyFont="1" applyFill="1" applyAlignment="1">
      <alignment horizontal="center" vertical="center" wrapText="1"/>
    </xf>
    <xf numFmtId="164" fontId="0" fillId="0" borderId="0" xfId="0" applyNumberFormat="1" applyAlignment="1">
      <alignment horizontal="center"/>
    </xf>
    <xf numFmtId="0" fontId="1" fillId="0" borderId="0" xfId="0" applyFont="1" applyAlignment="1">
      <alignment vertical="top" wrapText="1"/>
    </xf>
    <xf numFmtId="0" fontId="1" fillId="0" borderId="0" xfId="0" applyFont="1" applyAlignment="1">
      <alignment vertical="top"/>
    </xf>
    <xf numFmtId="2" fontId="1" fillId="0" borderId="0" xfId="0" applyNumberFormat="1" applyFont="1" applyAlignment="1">
      <alignment vertical="top"/>
    </xf>
    <xf numFmtId="4" fontId="1" fillId="0" borderId="0" xfId="0" applyNumberFormat="1" applyFont="1" applyAlignment="1">
      <alignment vertical="top"/>
    </xf>
    <xf numFmtId="0" fontId="1" fillId="0" borderId="0" xfId="0" applyFont="1"/>
    <xf numFmtId="4" fontId="1" fillId="0" borderId="0" xfId="0" applyNumberFormat="1" applyFont="1"/>
    <xf numFmtId="171" fontId="2" fillId="0" borderId="0" xfId="0" applyNumberFormat="1" applyFont="1"/>
    <xf numFmtId="0" fontId="8" fillId="0" borderId="0" xfId="1" applyAlignment="1">
      <alignment vertical="center"/>
    </xf>
    <xf numFmtId="0" fontId="7" fillId="0" borderId="0" xfId="1" applyFont="1"/>
    <xf numFmtId="0" fontId="24" fillId="8" borderId="0" xfId="1" applyFont="1" applyFill="1" applyAlignment="1">
      <alignment vertical="center"/>
    </xf>
    <xf numFmtId="49" fontId="24" fillId="8" borderId="0" xfId="1" applyNumberFormat="1" applyFont="1" applyFill="1" applyAlignment="1">
      <alignment vertical="center"/>
    </xf>
    <xf numFmtId="0" fontId="24" fillId="0" borderId="0" xfId="1" applyFont="1" applyAlignment="1">
      <alignment vertical="center"/>
    </xf>
    <xf numFmtId="0" fontId="25" fillId="0" borderId="0" xfId="1" applyFont="1"/>
    <xf numFmtId="0" fontId="24" fillId="0" borderId="0" xfId="1" applyFont="1" applyAlignment="1">
      <alignment horizontal="center"/>
    </xf>
    <xf numFmtId="0" fontId="28" fillId="0" borderId="0" xfId="1" applyFont="1"/>
    <xf numFmtId="0" fontId="29" fillId="0" borderId="0" xfId="1" applyFont="1"/>
    <xf numFmtId="0" fontId="24" fillId="0" borderId="0" xfId="1" applyFont="1" applyAlignment="1">
      <alignment horizontal="center" vertical="center" wrapText="1"/>
    </xf>
    <xf numFmtId="0" fontId="9" fillId="0" borderId="0" xfId="1" applyFont="1" applyAlignment="1">
      <alignment horizontal="left" vertical="center"/>
    </xf>
    <xf numFmtId="0" fontId="9" fillId="0" borderId="0" xfId="1" applyFont="1" applyAlignment="1">
      <alignment horizontal="center" vertical="center"/>
    </xf>
    <xf numFmtId="0" fontId="31" fillId="0" borderId="0" xfId="1" applyFont="1"/>
    <xf numFmtId="0" fontId="32" fillId="0" borderId="0" xfId="1" applyFont="1"/>
    <xf numFmtId="0" fontId="8" fillId="0" borderId="0" xfId="1"/>
    <xf numFmtId="0" fontId="33" fillId="0" borderId="0" xfId="1" applyFont="1"/>
    <xf numFmtId="0" fontId="34" fillId="0" borderId="0" xfId="1" applyFont="1" applyAlignment="1">
      <alignment horizontal="center"/>
    </xf>
    <xf numFmtId="0" fontId="25" fillId="0" borderId="0" xfId="1" applyFont="1" applyAlignment="1">
      <alignment horizontal="center"/>
    </xf>
    <xf numFmtId="0" fontId="7" fillId="0" borderId="0" xfId="1" applyFont="1" applyAlignment="1">
      <alignment horizontal="center"/>
    </xf>
    <xf numFmtId="0" fontId="32" fillId="0" borderId="0" xfId="1" applyFont="1" applyAlignment="1">
      <alignment vertical="center"/>
    </xf>
    <xf numFmtId="0" fontId="35" fillId="0" borderId="0" xfId="1" applyFont="1" applyAlignment="1">
      <alignment horizontal="right"/>
    </xf>
    <xf numFmtId="168" fontId="35" fillId="0" borderId="0" xfId="1" applyNumberFormat="1" applyFont="1" applyAlignment="1">
      <alignment horizontal="center"/>
    </xf>
    <xf numFmtId="0" fontId="7" fillId="0" borderId="0" xfId="1" applyFont="1" applyAlignment="1">
      <alignment horizontal="right"/>
    </xf>
    <xf numFmtId="0" fontId="33" fillId="0" borderId="0" xfId="1" applyFont="1" applyAlignment="1">
      <alignment vertical="center"/>
    </xf>
    <xf numFmtId="0" fontId="7" fillId="0" borderId="0" xfId="1" applyFont="1" applyAlignment="1">
      <alignment vertical="center"/>
    </xf>
    <xf numFmtId="0" fontId="24" fillId="0" borderId="12" xfId="1" applyFont="1" applyBorder="1" applyAlignment="1">
      <alignment horizontal="right"/>
    </xf>
    <xf numFmtId="0" fontId="24" fillId="0" borderId="27" xfId="1" applyFont="1" applyBorder="1" applyAlignment="1">
      <alignment horizontal="right"/>
    </xf>
    <xf numFmtId="0" fontId="24" fillId="0" borderId="0" xfId="1" applyFont="1" applyAlignment="1">
      <alignment horizontal="right"/>
    </xf>
    <xf numFmtId="0" fontId="7" fillId="0" borderId="0" xfId="1" applyFont="1" applyAlignment="1">
      <alignment horizontal="justify" wrapText="1"/>
    </xf>
    <xf numFmtId="0" fontId="31" fillId="0" borderId="0" xfId="1" applyFont="1" applyAlignment="1">
      <alignment horizontal="right"/>
    </xf>
    <xf numFmtId="0" fontId="35" fillId="0" borderId="7" xfId="1" applyFont="1" applyBorder="1" applyAlignment="1" applyProtection="1">
      <alignment horizontal="left"/>
      <protection locked="0"/>
    </xf>
    <xf numFmtId="0" fontId="7" fillId="0" borderId="7" xfId="1" applyFont="1" applyBorder="1" applyProtection="1">
      <protection locked="0"/>
    </xf>
    <xf numFmtId="0" fontId="7" fillId="0" borderId="7" xfId="1" applyFont="1" applyBorder="1" applyAlignment="1">
      <alignment horizontal="right"/>
    </xf>
    <xf numFmtId="0" fontId="35" fillId="0" borderId="0" xfId="1" applyFont="1" applyAlignment="1" applyProtection="1">
      <alignment horizontal="left"/>
      <protection locked="0"/>
    </xf>
    <xf numFmtId="0" fontId="7" fillId="0" borderId="0" xfId="1" applyFont="1" applyProtection="1">
      <protection locked="0"/>
    </xf>
    <xf numFmtId="0" fontId="7" fillId="0" borderId="0" xfId="1" applyFont="1" applyAlignment="1">
      <alignment horizontal="justify"/>
    </xf>
    <xf numFmtId="0" fontId="34" fillId="0" borderId="0" xfId="1" applyFont="1"/>
    <xf numFmtId="0" fontId="36" fillId="0" borderId="0" xfId="1" applyFont="1" applyAlignment="1">
      <alignment horizontal="justify" vertical="top"/>
    </xf>
    <xf numFmtId="0" fontId="37" fillId="0" borderId="0" xfId="1" applyFont="1" applyAlignment="1">
      <alignment horizontal="center"/>
    </xf>
    <xf numFmtId="0" fontId="34" fillId="0" borderId="7" xfId="1" applyFont="1" applyBorder="1"/>
    <xf numFmtId="0" fontId="37" fillId="0" borderId="0" xfId="1" applyFont="1" applyAlignment="1">
      <alignment horizontal="left"/>
    </xf>
    <xf numFmtId="0" fontId="38" fillId="0" borderId="0" xfId="1" applyFont="1" applyAlignment="1">
      <alignment horizontal="right"/>
    </xf>
    <xf numFmtId="0" fontId="37" fillId="0" borderId="0" xfId="1" applyFont="1" applyAlignment="1">
      <alignment horizontal="justify"/>
    </xf>
    <xf numFmtId="0" fontId="39" fillId="0" borderId="0" xfId="1" applyFont="1" applyAlignment="1">
      <alignment horizontal="center" vertical="center"/>
    </xf>
    <xf numFmtId="49" fontId="40" fillId="8" borderId="0" xfId="1" applyNumberFormat="1" applyFont="1" applyFill="1" applyAlignment="1">
      <alignment horizontal="center" vertical="center"/>
    </xf>
    <xf numFmtId="14" fontId="40" fillId="8" borderId="0" xfId="1" applyNumberFormat="1" applyFont="1" applyFill="1" applyAlignment="1">
      <alignment horizontal="center" vertical="center"/>
    </xf>
    <xf numFmtId="0" fontId="4" fillId="3" borderId="0" xfId="0" applyFont="1" applyFill="1" applyAlignment="1">
      <alignment horizontal="center" vertical="center" wrapText="1"/>
    </xf>
    <xf numFmtId="8" fontId="4" fillId="4" borderId="0" xfId="0" applyNumberFormat="1" applyFont="1" applyFill="1" applyAlignment="1">
      <alignment horizontal="right" vertical="center"/>
    </xf>
    <xf numFmtId="0" fontId="18" fillId="0" borderId="0" xfId="0" applyFont="1" applyAlignment="1">
      <alignment vertical="center"/>
    </xf>
    <xf numFmtId="8" fontId="18" fillId="0" borderId="0" xfId="0" applyNumberFormat="1" applyFont="1" applyAlignment="1">
      <alignment vertical="center"/>
    </xf>
    <xf numFmtId="8" fontId="4" fillId="15" borderId="0" xfId="0" applyNumberFormat="1" applyFont="1" applyFill="1" applyAlignment="1">
      <alignment horizontal="right" vertical="center"/>
    </xf>
    <xf numFmtId="8" fontId="21" fillId="13" borderId="0" xfId="0" applyNumberFormat="1" applyFont="1" applyFill="1" applyAlignment="1">
      <alignment horizontal="right" vertical="center"/>
    </xf>
    <xf numFmtId="8" fontId="18" fillId="0" borderId="0" xfId="0" applyNumberFormat="1" applyFont="1" applyAlignment="1">
      <alignment horizontal="right" vertical="center"/>
    </xf>
    <xf numFmtId="0" fontId="0" fillId="0" borderId="0" xfId="0" applyAlignment="1">
      <alignment horizontal="center" wrapText="1"/>
    </xf>
    <xf numFmtId="0" fontId="0" fillId="0" borderId="0" xfId="0" applyAlignment="1">
      <alignment horizontal="center" vertical="center" wrapText="1"/>
    </xf>
    <xf numFmtId="0" fontId="0" fillId="0" borderId="0" xfId="0" applyAlignment="1">
      <alignment vertical="center"/>
    </xf>
    <xf numFmtId="8" fontId="0" fillId="0" borderId="0" xfId="0" applyNumberFormat="1" applyAlignment="1">
      <alignment vertical="center"/>
    </xf>
    <xf numFmtId="171" fontId="0" fillId="0" borderId="0" xfId="0" applyNumberFormat="1" applyAlignment="1">
      <alignment vertical="center"/>
    </xf>
    <xf numFmtId="2" fontId="0" fillId="0" borderId="0" xfId="0" applyNumberFormat="1" applyAlignment="1">
      <alignment vertical="center"/>
    </xf>
    <xf numFmtId="0" fontId="5" fillId="0" borderId="1" xfId="0" applyFont="1" applyBorder="1" applyAlignment="1">
      <alignment vertical="center" wrapText="1"/>
    </xf>
    <xf numFmtId="0" fontId="5" fillId="15" borderId="1" xfId="0" applyFont="1" applyFill="1" applyBorder="1" applyAlignment="1">
      <alignment horizontal="left" vertical="center"/>
    </xf>
    <xf numFmtId="164" fontId="1" fillId="0" borderId="0" xfId="0" applyNumberFormat="1" applyFont="1" applyAlignment="1">
      <alignment horizontal="center"/>
    </xf>
    <xf numFmtId="8" fontId="43" fillId="0" borderId="0" xfId="0" applyNumberFormat="1" applyFont="1"/>
    <xf numFmtId="10" fontId="4" fillId="4" borderId="0" xfId="0" applyNumberFormat="1" applyFont="1" applyFill="1" applyAlignment="1">
      <alignment horizontal="right" vertical="center"/>
    </xf>
    <xf numFmtId="4" fontId="2" fillId="0" borderId="0" xfId="0" applyNumberFormat="1" applyFont="1"/>
    <xf numFmtId="4" fontId="0" fillId="0" borderId="0" xfId="0" applyNumberFormat="1" applyAlignment="1">
      <alignment horizontal="left"/>
    </xf>
    <xf numFmtId="164" fontId="2" fillId="0" borderId="0" xfId="0" applyNumberFormat="1" applyFont="1"/>
    <xf numFmtId="4" fontId="0" fillId="0" borderId="0" xfId="0" applyNumberFormat="1" applyAlignment="1">
      <alignment wrapText="1"/>
    </xf>
    <xf numFmtId="2" fontId="44" fillId="3" borderId="8" xfId="0" applyNumberFormat="1" applyFont="1" applyFill="1" applyBorder="1" applyAlignment="1">
      <alignment horizontal="center" vertical="center" wrapText="1"/>
    </xf>
    <xf numFmtId="2" fontId="45" fillId="4" borderId="8" xfId="0" applyNumberFormat="1" applyFont="1" applyFill="1" applyBorder="1" applyAlignment="1">
      <alignment horizontal="center" vertical="center" wrapText="1"/>
    </xf>
    <xf numFmtId="2" fontId="45" fillId="0" borderId="8" xfId="0" applyNumberFormat="1" applyFont="1" applyBorder="1" applyAlignment="1">
      <alignment horizontal="center" vertical="center" wrapText="1"/>
    </xf>
    <xf numFmtId="2" fontId="45" fillId="0" borderId="9" xfId="0" applyNumberFormat="1" applyFont="1" applyBorder="1" applyAlignment="1">
      <alignment horizontal="center" vertical="center" wrapText="1"/>
    </xf>
    <xf numFmtId="2" fontId="45" fillId="18" borderId="8" xfId="0" applyNumberFormat="1" applyFont="1" applyFill="1" applyBorder="1" applyAlignment="1">
      <alignment horizontal="center" vertical="center" wrapText="1"/>
    </xf>
    <xf numFmtId="2" fontId="46" fillId="0" borderId="0" xfId="0" applyNumberFormat="1" applyFont="1"/>
    <xf numFmtId="0" fontId="19" fillId="0" borderId="0" xfId="0" applyFont="1" applyAlignment="1">
      <alignment vertical="center"/>
    </xf>
    <xf numFmtId="0" fontId="5" fillId="4" borderId="1" xfId="0" applyFont="1" applyFill="1" applyBorder="1" applyAlignment="1">
      <alignment horizontal="center" vertical="center"/>
    </xf>
    <xf numFmtId="0" fontId="5" fillId="5" borderId="1" xfId="0" applyFont="1" applyFill="1" applyBorder="1" applyAlignment="1">
      <alignment horizontal="justify" vertical="center"/>
    </xf>
    <xf numFmtId="0" fontId="6" fillId="5" borderId="1" xfId="0" applyFont="1" applyFill="1" applyBorder="1" applyAlignment="1">
      <alignment horizontal="center" vertical="center" wrapText="1"/>
    </xf>
    <xf numFmtId="2" fontId="6" fillId="5" borderId="1" xfId="0" applyNumberFormat="1" applyFont="1" applyFill="1" applyBorder="1" applyAlignment="1">
      <alignment horizontal="center" vertical="center" wrapText="1"/>
    </xf>
    <xf numFmtId="2" fontId="17" fillId="5" borderId="1" xfId="0" applyNumberFormat="1" applyFont="1" applyFill="1" applyBorder="1" applyAlignment="1">
      <alignment horizontal="center" vertical="center" wrapText="1"/>
    </xf>
    <xf numFmtId="0" fontId="7" fillId="0" borderId="1" xfId="0" applyFont="1" applyBorder="1" applyAlignment="1">
      <alignment horizontal="center" vertical="center"/>
    </xf>
    <xf numFmtId="0" fontId="7" fillId="0" borderId="1" xfId="0" applyFont="1" applyBorder="1" applyAlignment="1">
      <alignment horizontal="justify" vertical="center" wrapText="1"/>
    </xf>
    <xf numFmtId="2" fontId="8" fillId="0" borderId="1" xfId="0" applyNumberFormat="1" applyFont="1" applyBorder="1" applyAlignment="1">
      <alignment horizontal="center" vertical="center"/>
    </xf>
    <xf numFmtId="4" fontId="19" fillId="0" borderId="1" xfId="0" applyNumberFormat="1" applyFont="1" applyBorder="1" applyAlignment="1">
      <alignment vertical="center"/>
    </xf>
    <xf numFmtId="0" fontId="9" fillId="6" borderId="1" xfId="0" applyFont="1" applyFill="1" applyBorder="1" applyAlignment="1">
      <alignment horizontal="center" vertical="center"/>
    </xf>
    <xf numFmtId="0" fontId="9" fillId="6" borderId="1" xfId="0" applyFont="1" applyFill="1" applyBorder="1" applyAlignment="1">
      <alignment horizontal="justify" vertical="center" wrapText="1"/>
    </xf>
    <xf numFmtId="2" fontId="8" fillId="6" borderId="1" xfId="0" applyNumberFormat="1" applyFont="1" applyFill="1" applyBorder="1" applyAlignment="1">
      <alignment horizontal="center" vertical="center"/>
    </xf>
    <xf numFmtId="3" fontId="9" fillId="5" borderId="1" xfId="0" applyNumberFormat="1" applyFont="1" applyFill="1" applyBorder="1" applyAlignment="1">
      <alignment horizontal="center" vertical="center"/>
    </xf>
    <xf numFmtId="0" fontId="9" fillId="5" borderId="1" xfId="0" applyFont="1" applyFill="1" applyBorder="1" applyAlignment="1">
      <alignment vertical="center" wrapText="1"/>
    </xf>
    <xf numFmtId="2" fontId="8" fillId="5" borderId="1" xfId="0" applyNumberFormat="1" applyFont="1" applyFill="1" applyBorder="1" applyAlignment="1">
      <alignment horizontal="center" vertical="center"/>
    </xf>
    <xf numFmtId="0" fontId="24" fillId="5" borderId="1" xfId="0" applyFont="1" applyFill="1" applyBorder="1" applyAlignment="1">
      <alignment vertical="center" wrapText="1"/>
    </xf>
    <xf numFmtId="0" fontId="7" fillId="7" borderId="1" xfId="0" applyFont="1" applyFill="1" applyBorder="1" applyAlignment="1">
      <alignment horizontal="justify" vertical="center" wrapText="1"/>
    </xf>
    <xf numFmtId="168" fontId="19" fillId="6" borderId="1" xfId="0" applyNumberFormat="1" applyFont="1" applyFill="1" applyBorder="1" applyAlignment="1">
      <alignment vertical="center"/>
    </xf>
    <xf numFmtId="3" fontId="7" fillId="8" borderId="1" xfId="0" applyNumberFormat="1" applyFont="1" applyFill="1" applyBorder="1" applyAlignment="1">
      <alignment horizontal="center" vertical="center"/>
    </xf>
    <xf numFmtId="0" fontId="7" fillId="8" borderId="1" xfId="0" applyFont="1" applyFill="1" applyBorder="1" applyAlignment="1">
      <alignment horizontal="justify" vertical="center" wrapText="1"/>
    </xf>
    <xf numFmtId="0" fontId="7" fillId="8" borderId="1" xfId="0" applyFont="1" applyFill="1" applyBorder="1" applyAlignment="1">
      <alignment horizontal="center" vertical="center"/>
    </xf>
    <xf numFmtId="0" fontId="9" fillId="6" borderId="1" xfId="0" applyFont="1" applyFill="1" applyBorder="1" applyAlignment="1">
      <alignment vertical="center" wrapText="1"/>
    </xf>
    <xf numFmtId="0" fontId="7" fillId="9" borderId="1" xfId="0" applyFont="1" applyFill="1" applyBorder="1" applyAlignment="1">
      <alignment horizontal="justify" vertical="center" wrapText="1"/>
    </xf>
    <xf numFmtId="4" fontId="20" fillId="0" borderId="1" xfId="0" applyNumberFormat="1" applyFont="1" applyBorder="1" applyAlignment="1">
      <alignment vertical="center"/>
    </xf>
    <xf numFmtId="168" fontId="19" fillId="5" borderId="1" xfId="0" applyNumberFormat="1" applyFont="1" applyFill="1" applyBorder="1" applyAlignment="1">
      <alignment vertical="center"/>
    </xf>
    <xf numFmtId="0" fontId="7" fillId="6" borderId="1" xfId="0" applyFont="1" applyFill="1" applyBorder="1" applyAlignment="1">
      <alignment horizontal="center" vertical="center"/>
    </xf>
    <xf numFmtId="0" fontId="9" fillId="10" borderId="1" xfId="0" applyFont="1" applyFill="1" applyBorder="1" applyAlignment="1">
      <alignment horizontal="center" vertical="center"/>
    </xf>
    <xf numFmtId="0" fontId="9" fillId="10" borderId="1" xfId="0" applyFont="1" applyFill="1" applyBorder="1" applyAlignment="1">
      <alignment horizontal="justify" vertical="center" wrapText="1"/>
    </xf>
    <xf numFmtId="0" fontId="7" fillId="10" borderId="1" xfId="0" applyFont="1" applyFill="1" applyBorder="1" applyAlignment="1">
      <alignment horizontal="center" vertical="center"/>
    </xf>
    <xf numFmtId="2" fontId="8" fillId="10" borderId="1" xfId="0" applyNumberFormat="1" applyFont="1" applyFill="1" applyBorder="1" applyAlignment="1">
      <alignment horizontal="center" vertical="center"/>
    </xf>
    <xf numFmtId="3" fontId="9" fillId="6" borderId="1" xfId="0" applyNumberFormat="1" applyFont="1" applyFill="1" applyBorder="1" applyAlignment="1">
      <alignment horizontal="center" vertical="center"/>
    </xf>
    <xf numFmtId="3" fontId="9" fillId="11" borderId="1" xfId="0" applyNumberFormat="1" applyFont="1" applyFill="1" applyBorder="1" applyAlignment="1">
      <alignment horizontal="center" vertical="center"/>
    </xf>
    <xf numFmtId="0" fontId="9" fillId="11" borderId="1" xfId="0" applyFont="1" applyFill="1" applyBorder="1" applyAlignment="1">
      <alignment vertical="center" wrapText="1"/>
    </xf>
    <xf numFmtId="2" fontId="8" fillId="11" borderId="1" xfId="0" applyNumberFormat="1" applyFont="1" applyFill="1" applyBorder="1" applyAlignment="1">
      <alignment horizontal="center" vertical="center"/>
    </xf>
    <xf numFmtId="168" fontId="19" fillId="11" borderId="1" xfId="0" applyNumberFormat="1" applyFont="1" applyFill="1" applyBorder="1" applyAlignment="1">
      <alignment vertical="center"/>
    </xf>
    <xf numFmtId="0" fontId="9" fillId="12" borderId="1" xfId="0" applyFont="1" applyFill="1" applyBorder="1" applyAlignment="1">
      <alignment horizontal="center" vertical="center"/>
    </xf>
    <xf numFmtId="0" fontId="9" fillId="12" borderId="1" xfId="0" applyFont="1" applyFill="1" applyBorder="1" applyAlignment="1">
      <alignment horizontal="justify" vertical="center" wrapText="1"/>
    </xf>
    <xf numFmtId="0" fontId="7" fillId="12" borderId="1" xfId="0" applyFont="1" applyFill="1" applyBorder="1" applyAlignment="1">
      <alignment horizontal="center" vertical="center"/>
    </xf>
    <xf numFmtId="2" fontId="8" fillId="12" borderId="1" xfId="0" applyNumberFormat="1" applyFont="1" applyFill="1" applyBorder="1" applyAlignment="1">
      <alignment horizontal="center" vertical="center"/>
    </xf>
    <xf numFmtId="2" fontId="25" fillId="5" borderId="1" xfId="0" applyNumberFormat="1" applyFont="1" applyFill="1" applyBorder="1" applyAlignment="1">
      <alignment horizontal="center" vertical="center"/>
    </xf>
    <xf numFmtId="0" fontId="9" fillId="13" borderId="1" xfId="0" applyFont="1" applyFill="1" applyBorder="1" applyAlignment="1">
      <alignment horizontal="center" vertical="center"/>
    </xf>
    <xf numFmtId="0" fontId="9" fillId="0" borderId="1" xfId="0" applyFont="1" applyBorder="1" applyAlignment="1">
      <alignment horizontal="center" vertical="center"/>
    </xf>
    <xf numFmtId="2" fontId="9" fillId="6" borderId="1" xfId="0" applyNumberFormat="1" applyFont="1" applyFill="1" applyBorder="1" applyAlignment="1">
      <alignment horizontal="center" vertical="center" wrapText="1"/>
    </xf>
    <xf numFmtId="0" fontId="9" fillId="6" borderId="1" xfId="0" applyFont="1" applyFill="1" applyBorder="1" applyAlignment="1">
      <alignment horizontal="left" vertical="center" wrapText="1"/>
    </xf>
    <xf numFmtId="2" fontId="7" fillId="8" borderId="1" xfId="0" applyNumberFormat="1" applyFont="1" applyFill="1" applyBorder="1" applyAlignment="1">
      <alignment horizontal="center" vertical="center"/>
    </xf>
    <xf numFmtId="0" fontId="7" fillId="8" borderId="1" xfId="0" applyFont="1" applyFill="1" applyBorder="1" applyAlignment="1">
      <alignment horizontal="left" vertical="center" wrapText="1"/>
    </xf>
    <xf numFmtId="2" fontId="12" fillId="0" borderId="1" xfId="0" applyNumberFormat="1" applyFont="1" applyBorder="1" applyAlignment="1">
      <alignment horizontal="center" vertical="center"/>
    </xf>
    <xf numFmtId="4" fontId="17" fillId="0" borderId="1" xfId="0" applyNumberFormat="1" applyFont="1" applyBorder="1" applyAlignment="1">
      <alignment vertical="center"/>
    </xf>
    <xf numFmtId="0" fontId="9" fillId="6" borderId="1" xfId="0" applyFont="1" applyFill="1" applyBorder="1" applyAlignment="1">
      <alignment horizontal="center" vertical="center" wrapText="1"/>
    </xf>
    <xf numFmtId="0" fontId="7" fillId="8" borderId="1" xfId="0" applyFont="1" applyFill="1" applyBorder="1" applyAlignment="1">
      <alignment horizontal="justify" vertical="center"/>
    </xf>
    <xf numFmtId="2" fontId="7" fillId="0" borderId="1" xfId="0" applyNumberFormat="1" applyFont="1" applyBorder="1" applyAlignment="1">
      <alignment horizontal="justify" vertical="center" wrapText="1"/>
    </xf>
    <xf numFmtId="0" fontId="9" fillId="13" borderId="1" xfId="0" applyFont="1" applyFill="1" applyBorder="1" applyAlignment="1">
      <alignment horizontal="center" vertical="center" wrapText="1"/>
    </xf>
    <xf numFmtId="0" fontId="9" fillId="13" borderId="1" xfId="0" applyFont="1" applyFill="1" applyBorder="1" applyAlignment="1">
      <alignment vertical="center" wrapText="1"/>
    </xf>
    <xf numFmtId="2" fontId="8" fillId="13" borderId="1" xfId="0" applyNumberFormat="1" applyFont="1" applyFill="1" applyBorder="1" applyAlignment="1">
      <alignment horizontal="center" vertical="center"/>
    </xf>
    <xf numFmtId="169" fontId="9" fillId="6" borderId="1" xfId="0" applyNumberFormat="1" applyFont="1" applyFill="1" applyBorder="1" applyAlignment="1">
      <alignment horizontal="center" vertical="center"/>
    </xf>
    <xf numFmtId="2" fontId="9" fillId="6" borderId="1" xfId="0" applyNumberFormat="1" applyFont="1" applyFill="1" applyBorder="1" applyAlignment="1">
      <alignment horizontal="center" vertical="center"/>
    </xf>
    <xf numFmtId="0" fontId="13" fillId="8" borderId="1" xfId="0" applyFont="1" applyFill="1" applyBorder="1" applyAlignment="1">
      <alignment horizontal="justify" vertical="center" wrapText="1"/>
    </xf>
    <xf numFmtId="0" fontId="13" fillId="8" borderId="1" xfId="0" applyFont="1" applyFill="1" applyBorder="1" applyAlignment="1">
      <alignment horizontal="center" vertical="center"/>
    </xf>
    <xf numFmtId="0" fontId="9" fillId="11" borderId="1" xfId="0" applyFont="1" applyFill="1" applyBorder="1" applyAlignment="1">
      <alignment horizontal="center" vertical="center"/>
    </xf>
    <xf numFmtId="0" fontId="9" fillId="11" borderId="1" xfId="0" applyFont="1" applyFill="1" applyBorder="1" applyAlignment="1">
      <alignment horizontal="justify" vertical="center" wrapText="1"/>
    </xf>
    <xf numFmtId="2" fontId="7" fillId="0" borderId="1" xfId="0" applyNumberFormat="1" applyFont="1" applyBorder="1" applyAlignment="1">
      <alignment horizontal="center" vertical="center"/>
    </xf>
    <xf numFmtId="0" fontId="9" fillId="14" borderId="1" xfId="0" applyFont="1" applyFill="1" applyBorder="1" applyAlignment="1">
      <alignment horizontal="center" vertical="center"/>
    </xf>
    <xf numFmtId="0" fontId="9" fillId="14" borderId="1" xfId="0" applyFont="1" applyFill="1" applyBorder="1" applyAlignment="1">
      <alignment horizontal="justify" vertical="center" wrapText="1"/>
    </xf>
    <xf numFmtId="0" fontId="7" fillId="14" borderId="1" xfId="0" applyFont="1" applyFill="1" applyBorder="1" applyAlignment="1">
      <alignment horizontal="center" vertical="center"/>
    </xf>
    <xf numFmtId="2" fontId="8" fillId="14" borderId="1" xfId="0" applyNumberFormat="1" applyFont="1" applyFill="1" applyBorder="1" applyAlignment="1">
      <alignment horizontal="center" vertical="center"/>
    </xf>
    <xf numFmtId="8" fontId="43" fillId="0" borderId="0" xfId="0" applyNumberFormat="1" applyFont="1" applyAlignment="1">
      <alignment vertical="center"/>
    </xf>
    <xf numFmtId="0" fontId="21" fillId="3" borderId="1" xfId="0" applyFont="1" applyFill="1" applyBorder="1" applyAlignment="1">
      <alignment horizontal="center" vertical="center" wrapText="1"/>
    </xf>
    <xf numFmtId="2" fontId="19" fillId="5" borderId="1" xfId="0" applyNumberFormat="1" applyFont="1" applyFill="1" applyBorder="1" applyAlignment="1">
      <alignment horizontal="center" vertical="center" wrapText="1"/>
    </xf>
    <xf numFmtId="2" fontId="47" fillId="6" borderId="1" xfId="0" applyNumberFormat="1" applyFont="1" applyFill="1" applyBorder="1" applyAlignment="1">
      <alignment horizontal="center" vertical="center"/>
    </xf>
    <xf numFmtId="0" fontId="23" fillId="5" borderId="1" xfId="0" applyFont="1" applyFill="1" applyBorder="1" applyAlignment="1">
      <alignment vertical="center" wrapText="1"/>
    </xf>
    <xf numFmtId="2" fontId="47" fillId="5" borderId="1" xfId="0" applyNumberFormat="1" applyFont="1" applyFill="1" applyBorder="1" applyAlignment="1">
      <alignment horizontal="center" vertical="center"/>
    </xf>
    <xf numFmtId="2" fontId="47" fillId="11" borderId="1" xfId="0" applyNumberFormat="1" applyFont="1" applyFill="1" applyBorder="1" applyAlignment="1">
      <alignment horizontal="center" vertical="center"/>
    </xf>
    <xf numFmtId="2" fontId="47" fillId="12" borderId="1" xfId="0" applyNumberFormat="1" applyFont="1" applyFill="1" applyBorder="1" applyAlignment="1">
      <alignment horizontal="center" vertical="center"/>
    </xf>
    <xf numFmtId="2" fontId="19" fillId="5" borderId="1" xfId="0" applyNumberFormat="1" applyFont="1" applyFill="1" applyBorder="1" applyAlignment="1">
      <alignment horizontal="center" vertical="center"/>
    </xf>
    <xf numFmtId="2" fontId="47" fillId="13" borderId="1" xfId="0" applyNumberFormat="1" applyFont="1" applyFill="1" applyBorder="1" applyAlignment="1">
      <alignment horizontal="center" vertical="center"/>
    </xf>
    <xf numFmtId="0" fontId="14" fillId="6" borderId="1" xfId="0" applyFont="1" applyFill="1" applyBorder="1" applyAlignment="1">
      <alignment vertical="center" wrapText="1"/>
    </xf>
    <xf numFmtId="0" fontId="23" fillId="15" borderId="1" xfId="0" applyFont="1" applyFill="1" applyBorder="1" applyAlignment="1">
      <alignment vertical="center"/>
    </xf>
    <xf numFmtId="4" fontId="49" fillId="0" borderId="0" xfId="0" applyNumberFormat="1" applyFont="1"/>
    <xf numFmtId="2" fontId="7" fillId="6" borderId="1" xfId="0" applyNumberFormat="1" applyFont="1" applyFill="1" applyBorder="1" applyAlignment="1">
      <alignment horizontal="center" vertical="center"/>
    </xf>
    <xf numFmtId="2" fontId="7" fillId="5" borderId="1" xfId="0" applyNumberFormat="1" applyFont="1" applyFill="1" applyBorder="1" applyAlignment="1">
      <alignment horizontal="center" vertical="center"/>
    </xf>
    <xf numFmtId="2" fontId="7" fillId="10" borderId="1" xfId="0" applyNumberFormat="1" applyFont="1" applyFill="1" applyBorder="1" applyAlignment="1">
      <alignment horizontal="center" vertical="center"/>
    </xf>
    <xf numFmtId="2" fontId="7" fillId="11" borderId="1" xfId="0" applyNumberFormat="1" applyFont="1" applyFill="1" applyBorder="1" applyAlignment="1">
      <alignment horizontal="center" vertical="center"/>
    </xf>
    <xf numFmtId="2" fontId="7" fillId="12" borderId="1" xfId="0" applyNumberFormat="1" applyFont="1" applyFill="1" applyBorder="1" applyAlignment="1">
      <alignment horizontal="center" vertical="center"/>
    </xf>
    <xf numFmtId="2" fontId="7" fillId="13" borderId="1" xfId="0" applyNumberFormat="1" applyFont="1" applyFill="1" applyBorder="1" applyAlignment="1">
      <alignment horizontal="center" vertical="center"/>
    </xf>
    <xf numFmtId="2" fontId="19" fillId="0" borderId="0" xfId="0" applyNumberFormat="1" applyFont="1" applyAlignment="1">
      <alignment horizontal="center" vertical="center"/>
    </xf>
    <xf numFmtId="174" fontId="4" fillId="3" borderId="1" xfId="0" applyNumberFormat="1" applyFont="1" applyFill="1" applyBorder="1" applyAlignment="1">
      <alignment horizontal="center" vertical="center" wrapText="1"/>
    </xf>
    <xf numFmtId="174" fontId="6" fillId="5" borderId="1" xfId="0" applyNumberFormat="1" applyFont="1" applyFill="1" applyBorder="1" applyAlignment="1">
      <alignment horizontal="center" vertical="center" wrapText="1"/>
    </xf>
    <xf numFmtId="174" fontId="7" fillId="0" borderId="1" xfId="0" applyNumberFormat="1" applyFont="1" applyBorder="1" applyAlignment="1">
      <alignment horizontal="center" vertical="center"/>
    </xf>
    <xf numFmtId="174" fontId="9" fillId="6" borderId="1" xfId="0" applyNumberFormat="1" applyFont="1" applyFill="1" applyBorder="1" applyAlignment="1">
      <alignment horizontal="center" vertical="center"/>
    </xf>
    <xf numFmtId="174" fontId="9" fillId="5" borderId="1" xfId="0" applyNumberFormat="1" applyFont="1" applyFill="1" applyBorder="1" applyAlignment="1">
      <alignment vertical="center" wrapText="1"/>
    </xf>
    <xf numFmtId="174" fontId="9" fillId="11" borderId="1" xfId="0" applyNumberFormat="1" applyFont="1" applyFill="1" applyBorder="1" applyAlignment="1">
      <alignment vertical="center" wrapText="1"/>
    </xf>
    <xf numFmtId="174" fontId="5" fillId="0" borderId="1" xfId="0" applyNumberFormat="1" applyFont="1" applyBorder="1" applyAlignment="1">
      <alignment vertical="center" wrapText="1"/>
    </xf>
    <xf numFmtId="174" fontId="5" fillId="15" borderId="1" xfId="0" applyNumberFormat="1" applyFont="1" applyFill="1" applyBorder="1" applyAlignment="1">
      <alignment horizontal="left" vertical="center"/>
    </xf>
    <xf numFmtId="174" fontId="5" fillId="0" borderId="2" xfId="0" applyNumberFormat="1" applyFont="1" applyBorder="1" applyAlignment="1">
      <alignment vertical="center" wrapText="1"/>
    </xf>
    <xf numFmtId="174" fontId="0" fillId="0" borderId="0" xfId="0" applyNumberFormat="1" applyAlignment="1">
      <alignment vertical="center"/>
    </xf>
    <xf numFmtId="174" fontId="19" fillId="0" borderId="0" xfId="0" applyNumberFormat="1" applyFont="1" applyAlignment="1">
      <alignment vertical="center"/>
    </xf>
    <xf numFmtId="174" fontId="19" fillId="0" borderId="0" xfId="0" applyNumberFormat="1" applyFont="1" applyAlignment="1">
      <alignment horizontal="center" vertical="center"/>
    </xf>
    <xf numFmtId="176" fontId="0" fillId="0" borderId="0" xfId="0" applyNumberFormat="1"/>
    <xf numFmtId="4" fontId="19" fillId="9" borderId="1" xfId="0" applyNumberFormat="1" applyFont="1" applyFill="1" applyBorder="1" applyAlignment="1">
      <alignment vertical="center"/>
    </xf>
    <xf numFmtId="177" fontId="0" fillId="0" borderId="0" xfId="0" applyNumberFormat="1"/>
    <xf numFmtId="178" fontId="0" fillId="0" borderId="0" xfId="0" applyNumberFormat="1"/>
    <xf numFmtId="179" fontId="0" fillId="0" borderId="0" xfId="0" applyNumberFormat="1"/>
    <xf numFmtId="175" fontId="0" fillId="0" borderId="0" xfId="0" applyNumberFormat="1" applyAlignment="1">
      <alignment vertical="top"/>
    </xf>
    <xf numFmtId="180" fontId="0" fillId="0" borderId="0" xfId="0" applyNumberFormat="1" applyAlignment="1">
      <alignment vertical="top"/>
    </xf>
    <xf numFmtId="181" fontId="0" fillId="0" borderId="0" xfId="0" applyNumberFormat="1" applyAlignment="1">
      <alignment vertical="top"/>
    </xf>
    <xf numFmtId="0" fontId="5" fillId="15" borderId="2" xfId="0" applyFont="1" applyFill="1" applyBorder="1" applyAlignment="1">
      <alignment vertical="center"/>
    </xf>
    <xf numFmtId="0" fontId="5" fillId="15" borderId="3" xfId="0" applyFont="1" applyFill="1" applyBorder="1" applyAlignment="1">
      <alignment vertical="center"/>
    </xf>
    <xf numFmtId="0" fontId="5" fillId="15" borderId="4" xfId="0" applyFont="1" applyFill="1" applyBorder="1" applyAlignment="1">
      <alignment vertical="center"/>
    </xf>
    <xf numFmtId="0" fontId="14" fillId="14" borderId="2" xfId="0" applyFont="1" applyFill="1" applyBorder="1" applyAlignment="1">
      <alignment vertical="center"/>
    </xf>
    <xf numFmtId="0" fontId="14" fillId="14" borderId="3" xfId="0" applyFont="1" applyFill="1" applyBorder="1" applyAlignment="1">
      <alignment vertical="center"/>
    </xf>
    <xf numFmtId="0" fontId="14" fillId="14" borderId="4" xfId="0" applyFont="1" applyFill="1" applyBorder="1" applyAlignment="1">
      <alignment vertical="center"/>
    </xf>
    <xf numFmtId="10" fontId="48" fillId="0" borderId="2" xfId="0" applyNumberFormat="1" applyFont="1" applyBorder="1" applyAlignment="1">
      <alignment vertical="center" wrapText="1"/>
    </xf>
    <xf numFmtId="10" fontId="21" fillId="0" borderId="4" xfId="0" applyNumberFormat="1" applyFont="1" applyBorder="1" applyAlignment="1">
      <alignment vertical="center" wrapText="1"/>
    </xf>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4" xfId="0" applyFont="1" applyFill="1" applyBorder="1" applyAlignment="1">
      <alignment vertical="center" wrapText="1"/>
    </xf>
    <xf numFmtId="173" fontId="42" fillId="22" borderId="33" xfId="3" applyNumberFormat="1" applyBorder="1" applyProtection="1">
      <protection hidden="1"/>
    </xf>
    <xf numFmtId="173" fontId="42" fillId="22" borderId="33" xfId="3" applyNumberFormat="1" applyBorder="1" applyAlignment="1" applyProtection="1">
      <alignment vertical="center"/>
      <protection hidden="1"/>
    </xf>
    <xf numFmtId="8" fontId="5" fillId="15" borderId="0" xfId="0" applyNumberFormat="1" applyFont="1" applyFill="1" applyAlignment="1">
      <alignment horizontal="right" vertical="center"/>
    </xf>
    <xf numFmtId="0" fontId="0" fillId="11" borderId="0" xfId="0" applyFill="1" applyAlignment="1">
      <alignment vertical="top"/>
    </xf>
    <xf numFmtId="0" fontId="0" fillId="23" borderId="0" xfId="0" applyFill="1"/>
    <xf numFmtId="0" fontId="0" fillId="24" borderId="0" xfId="0" applyFill="1" applyAlignment="1">
      <alignment vertical="center"/>
    </xf>
    <xf numFmtId="0" fontId="0" fillId="24" borderId="0" xfId="0" applyFill="1" applyAlignment="1">
      <alignment vertical="top"/>
    </xf>
    <xf numFmtId="0" fontId="14" fillId="23" borderId="3" xfId="0" applyFont="1" applyFill="1" applyBorder="1" applyAlignment="1">
      <alignment horizontal="left" vertical="center"/>
    </xf>
    <xf numFmtId="10" fontId="19" fillId="0" borderId="34" xfId="0" applyNumberFormat="1" applyFont="1" applyBorder="1" applyAlignment="1">
      <alignment horizontal="center" vertical="center" wrapText="1"/>
    </xf>
    <xf numFmtId="174" fontId="5" fillId="23" borderId="3" xfId="0" applyNumberFormat="1" applyFont="1" applyFill="1" applyBorder="1" applyAlignment="1">
      <alignment horizontal="left" vertical="center"/>
    </xf>
    <xf numFmtId="0" fontId="23" fillId="23" borderId="3" xfId="0" applyFont="1" applyFill="1" applyBorder="1" applyAlignment="1">
      <alignment vertical="center"/>
    </xf>
    <xf numFmtId="0" fontId="5" fillId="23" borderId="38" xfId="0" applyFont="1" applyFill="1" applyBorder="1" applyAlignment="1">
      <alignment horizontal="left" vertical="center"/>
    </xf>
    <xf numFmtId="0" fontId="5" fillId="23" borderId="39" xfId="0" applyFont="1" applyFill="1" applyBorder="1" applyAlignment="1">
      <alignment horizontal="left" vertical="center"/>
    </xf>
    <xf numFmtId="174" fontId="5" fillId="23" borderId="39" xfId="0" applyNumberFormat="1" applyFont="1" applyFill="1" applyBorder="1" applyAlignment="1">
      <alignment horizontal="left" vertical="center"/>
    </xf>
    <xf numFmtId="0" fontId="0" fillId="23" borderId="39" xfId="0" applyFill="1" applyBorder="1"/>
    <xf numFmtId="8" fontId="5" fillId="23" borderId="40" xfId="0" applyNumberFormat="1" applyFont="1" applyFill="1" applyBorder="1" applyAlignment="1">
      <alignment horizontal="right" vertical="center"/>
    </xf>
    <xf numFmtId="8" fontId="5" fillId="23" borderId="43" xfId="0" applyNumberFormat="1" applyFont="1" applyFill="1" applyBorder="1" applyAlignment="1">
      <alignment horizontal="right" vertical="center"/>
    </xf>
    <xf numFmtId="8" fontId="13" fillId="0" borderId="43" xfId="0" applyNumberFormat="1" applyFont="1" applyBorder="1" applyAlignment="1">
      <alignment horizontal="right" vertical="center"/>
    </xf>
    <xf numFmtId="0" fontId="14" fillId="23" borderId="41" xfId="0" applyFont="1" applyFill="1" applyBorder="1" applyAlignment="1">
      <alignment horizontal="left" vertical="center"/>
    </xf>
    <xf numFmtId="8" fontId="13" fillId="23" borderId="43" xfId="0" applyNumberFormat="1" applyFont="1" applyFill="1" applyBorder="1" applyAlignment="1">
      <alignment horizontal="right" vertical="center"/>
    </xf>
    <xf numFmtId="8" fontId="13" fillId="0" borderId="45" xfId="0" applyNumberFormat="1" applyFont="1" applyBorder="1" applyAlignment="1">
      <alignment horizontal="right" vertical="center"/>
    </xf>
    <xf numFmtId="8" fontId="5" fillId="23" borderId="48" xfId="0" applyNumberFormat="1" applyFont="1" applyFill="1" applyBorder="1" applyAlignment="1">
      <alignment horizontal="right" vertical="center"/>
    </xf>
    <xf numFmtId="0" fontId="3" fillId="2" borderId="8" xfId="0" applyFont="1" applyFill="1" applyBorder="1" applyAlignment="1">
      <alignment horizontal="center" vertical="center" wrapText="1"/>
    </xf>
    <xf numFmtId="174" fontId="4" fillId="3" borderId="8" xfId="0" applyNumberFormat="1" applyFont="1" applyFill="1" applyBorder="1" applyAlignment="1">
      <alignment horizontal="center" vertical="center" wrapText="1"/>
    </xf>
    <xf numFmtId="0" fontId="21" fillId="3" borderId="8" xfId="0" applyFont="1" applyFill="1" applyBorder="1" applyAlignment="1">
      <alignment horizontal="center" vertical="center" wrapText="1"/>
    </xf>
    <xf numFmtId="0" fontId="5" fillId="11" borderId="8" xfId="0" applyFont="1" applyFill="1" applyBorder="1" applyAlignment="1">
      <alignment horizontal="center" vertical="center"/>
    </xf>
    <xf numFmtId="0" fontId="5" fillId="11" borderId="8" xfId="0" applyFont="1" applyFill="1" applyBorder="1" applyAlignment="1">
      <alignment horizontal="justify" vertical="center"/>
    </xf>
    <xf numFmtId="0" fontId="6" fillId="11" borderId="8" xfId="0" applyFont="1" applyFill="1" applyBorder="1" applyAlignment="1">
      <alignment horizontal="center" vertical="center" wrapText="1"/>
    </xf>
    <xf numFmtId="174" fontId="6" fillId="11" borderId="8" xfId="0" applyNumberFormat="1" applyFont="1" applyFill="1" applyBorder="1" applyAlignment="1">
      <alignment horizontal="center" vertical="center" wrapText="1"/>
    </xf>
    <xf numFmtId="0" fontId="0" fillId="11" borderId="8" xfId="0" applyFill="1" applyBorder="1" applyAlignment="1">
      <alignment vertical="top"/>
    </xf>
    <xf numFmtId="0" fontId="7" fillId="0" borderId="8" xfId="0" applyFont="1" applyBorder="1" applyAlignment="1">
      <alignment horizontal="center" vertical="center"/>
    </xf>
    <xf numFmtId="0" fontId="7" fillId="0" borderId="8" xfId="0" applyFont="1" applyBorder="1" applyAlignment="1">
      <alignment horizontal="justify" vertical="center" wrapText="1"/>
    </xf>
    <xf numFmtId="174" fontId="7" fillId="0" borderId="8" xfId="0" applyNumberFormat="1" applyFont="1" applyBorder="1" applyAlignment="1">
      <alignment horizontal="center" vertical="center"/>
    </xf>
    <xf numFmtId="4" fontId="19" fillId="0" borderId="8" xfId="0" applyNumberFormat="1" applyFont="1" applyBorder="1" applyAlignment="1">
      <alignment vertical="center"/>
    </xf>
    <xf numFmtId="0" fontId="9" fillId="24" borderId="8" xfId="0" applyFont="1" applyFill="1" applyBorder="1" applyAlignment="1">
      <alignment horizontal="center" vertical="center"/>
    </xf>
    <xf numFmtId="0" fontId="9" fillId="24" borderId="8" xfId="0" applyFont="1" applyFill="1" applyBorder="1" applyAlignment="1">
      <alignment horizontal="justify" vertical="center" wrapText="1"/>
    </xf>
    <xf numFmtId="174" fontId="9" fillId="24" borderId="8" xfId="0" applyNumberFormat="1" applyFont="1" applyFill="1" applyBorder="1" applyAlignment="1">
      <alignment horizontal="center" vertical="center"/>
    </xf>
    <xf numFmtId="4" fontId="19" fillId="24" borderId="8" xfId="0" applyNumberFormat="1" applyFont="1" applyFill="1" applyBorder="1" applyAlignment="1">
      <alignment vertical="center"/>
    </xf>
    <xf numFmtId="3" fontId="9" fillId="11" borderId="8" xfId="0" applyNumberFormat="1" applyFont="1" applyFill="1" applyBorder="1" applyAlignment="1">
      <alignment horizontal="center" vertical="center"/>
    </xf>
    <xf numFmtId="0" fontId="9" fillId="11" borderId="8" xfId="0" applyFont="1" applyFill="1" applyBorder="1" applyAlignment="1">
      <alignment vertical="center" wrapText="1"/>
    </xf>
    <xf numFmtId="174" fontId="9" fillId="11" borderId="8" xfId="0" applyNumberFormat="1" applyFont="1" applyFill="1" applyBorder="1" applyAlignment="1">
      <alignment vertical="center" wrapText="1"/>
    </xf>
    <xf numFmtId="4" fontId="19" fillId="11" borderId="8" xfId="0" applyNumberFormat="1" applyFont="1" applyFill="1" applyBorder="1" applyAlignment="1">
      <alignment vertical="center"/>
    </xf>
    <xf numFmtId="0" fontId="7" fillId="7" borderId="8" xfId="0" applyFont="1" applyFill="1" applyBorder="1" applyAlignment="1">
      <alignment horizontal="justify" vertical="center" wrapText="1"/>
    </xf>
    <xf numFmtId="3" fontId="7" fillId="8" borderId="8" xfId="0" applyNumberFormat="1" applyFont="1" applyFill="1" applyBorder="1" applyAlignment="1">
      <alignment horizontal="center" vertical="center"/>
    </xf>
    <xf numFmtId="0" fontId="7" fillId="8" borderId="8" xfId="0" applyFont="1" applyFill="1" applyBorder="1" applyAlignment="1">
      <alignment horizontal="justify" vertical="center" wrapText="1"/>
    </xf>
    <xf numFmtId="0" fontId="7" fillId="8" borderId="8" xfId="0" applyFont="1" applyFill="1" applyBorder="1" applyAlignment="1">
      <alignment horizontal="center" vertical="center"/>
    </xf>
    <xf numFmtId="0" fontId="9" fillId="24" borderId="8" xfId="0" applyFont="1" applyFill="1" applyBorder="1" applyAlignment="1">
      <alignment vertical="center" wrapText="1"/>
    </xf>
    <xf numFmtId="2" fontId="47" fillId="11" borderId="8" xfId="0" applyNumberFormat="1" applyFont="1" applyFill="1" applyBorder="1" applyAlignment="1">
      <alignment horizontal="center" vertical="center"/>
    </xf>
    <xf numFmtId="0" fontId="7" fillId="24" borderId="8" xfId="0" applyFont="1" applyFill="1" applyBorder="1" applyAlignment="1">
      <alignment horizontal="center" vertical="center"/>
    </xf>
    <xf numFmtId="3" fontId="9" fillId="24" borderId="8" xfId="0" applyNumberFormat="1" applyFont="1" applyFill="1" applyBorder="1" applyAlignment="1">
      <alignment horizontal="center" vertical="center"/>
    </xf>
    <xf numFmtId="2" fontId="47" fillId="24" borderId="8" xfId="0" applyNumberFormat="1" applyFont="1" applyFill="1" applyBorder="1" applyAlignment="1">
      <alignment horizontal="center" vertical="center"/>
    </xf>
    <xf numFmtId="2" fontId="8" fillId="11" borderId="8" xfId="0" applyNumberFormat="1" applyFont="1" applyFill="1" applyBorder="1" applyAlignment="1">
      <alignment horizontal="center" vertical="center"/>
    </xf>
    <xf numFmtId="2" fontId="8" fillId="24" borderId="8" xfId="0" applyNumberFormat="1" applyFont="1" applyFill="1" applyBorder="1" applyAlignment="1">
      <alignment horizontal="center" vertical="center"/>
    </xf>
    <xf numFmtId="2" fontId="9" fillId="24" borderId="8" xfId="0" applyNumberFormat="1" applyFont="1" applyFill="1" applyBorder="1" applyAlignment="1">
      <alignment horizontal="center" vertical="center" wrapText="1"/>
    </xf>
    <xf numFmtId="0" fontId="9" fillId="24" borderId="8" xfId="0" applyFont="1" applyFill="1" applyBorder="1" applyAlignment="1">
      <alignment horizontal="left" vertical="center" wrapText="1"/>
    </xf>
    <xf numFmtId="2" fontId="7" fillId="8" borderId="8" xfId="0" applyNumberFormat="1" applyFont="1" applyFill="1" applyBorder="1" applyAlignment="1">
      <alignment horizontal="center" vertical="center"/>
    </xf>
    <xf numFmtId="0" fontId="7" fillId="8" borderId="8" xfId="0" applyFont="1" applyFill="1" applyBorder="1" applyAlignment="1">
      <alignment horizontal="left" vertical="center" wrapText="1"/>
    </xf>
    <xf numFmtId="0" fontId="9" fillId="24" borderId="8" xfId="0" applyFont="1" applyFill="1" applyBorder="1" applyAlignment="1">
      <alignment horizontal="center" vertical="center" wrapText="1"/>
    </xf>
    <xf numFmtId="0" fontId="7" fillId="8" borderId="8" xfId="0" applyFont="1" applyFill="1" applyBorder="1" applyAlignment="1">
      <alignment horizontal="justify" vertical="center"/>
    </xf>
    <xf numFmtId="2" fontId="7" fillId="0" borderId="8" xfId="0" applyNumberFormat="1" applyFont="1" applyBorder="1" applyAlignment="1">
      <alignment horizontal="justify" vertical="center" wrapText="1"/>
    </xf>
    <xf numFmtId="169" fontId="9" fillId="24" borderId="8" xfId="0" applyNumberFormat="1" applyFont="1" applyFill="1" applyBorder="1" applyAlignment="1">
      <alignment horizontal="center" vertical="center"/>
    </xf>
    <xf numFmtId="2" fontId="9" fillId="24" borderId="8" xfId="0" applyNumberFormat="1" applyFont="1" applyFill="1" applyBorder="1" applyAlignment="1">
      <alignment horizontal="center" vertical="center"/>
    </xf>
    <xf numFmtId="0" fontId="13" fillId="8" borderId="8" xfId="0" applyFont="1" applyFill="1" applyBorder="1" applyAlignment="1">
      <alignment horizontal="center" vertical="center"/>
    </xf>
    <xf numFmtId="0" fontId="13" fillId="8" borderId="8" xfId="0" applyFont="1" applyFill="1" applyBorder="1" applyAlignment="1">
      <alignment horizontal="justify" vertical="center" wrapText="1"/>
    </xf>
    <xf numFmtId="0" fontId="9" fillId="11" borderId="8" xfId="0" applyFont="1" applyFill="1" applyBorder="1" applyAlignment="1">
      <alignment horizontal="center" vertical="center"/>
    </xf>
    <xf numFmtId="0" fontId="9" fillId="11" borderId="8" xfId="0" applyFont="1" applyFill="1" applyBorder="1" applyAlignment="1">
      <alignment horizontal="justify" vertical="center" wrapText="1"/>
    </xf>
    <xf numFmtId="2" fontId="7" fillId="0" borderId="8" xfId="0" applyNumberFormat="1" applyFont="1" applyBorder="1" applyAlignment="1">
      <alignment horizontal="center" vertical="center"/>
    </xf>
    <xf numFmtId="174" fontId="0" fillId="0" borderId="0" xfId="0" applyNumberFormat="1" applyAlignment="1">
      <alignment vertical="top"/>
    </xf>
    <xf numFmtId="0" fontId="4" fillId="15" borderId="8" xfId="0" applyFont="1" applyFill="1" applyBorder="1" applyAlignment="1">
      <alignment vertical="center"/>
    </xf>
    <xf numFmtId="0" fontId="4" fillId="0" borderId="8" xfId="0" applyFont="1" applyBorder="1" applyAlignment="1">
      <alignment vertical="center" wrapText="1"/>
    </xf>
    <xf numFmtId="0" fontId="3" fillId="2" borderId="5"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5" fillId="0" borderId="1" xfId="0" applyFont="1" applyBorder="1" applyAlignment="1">
      <alignment vertical="center" wrapText="1"/>
    </xf>
    <xf numFmtId="0" fontId="5" fillId="15" borderId="1" xfId="0" applyFont="1" applyFill="1" applyBorder="1" applyAlignment="1">
      <alignment horizontal="left" vertical="center"/>
    </xf>
    <xf numFmtId="0" fontId="3" fillId="2" borderId="1" xfId="0" applyFont="1" applyFill="1" applyBorder="1" applyAlignment="1">
      <alignment horizontal="center" vertical="center" wrapText="1"/>
    </xf>
    <xf numFmtId="0" fontId="5" fillId="15" borderId="2" xfId="0" applyFont="1" applyFill="1" applyBorder="1" applyAlignment="1">
      <alignment horizontal="left" vertical="center"/>
    </xf>
    <xf numFmtId="0" fontId="5" fillId="15" borderId="3" xfId="0" applyFont="1" applyFill="1" applyBorder="1" applyAlignment="1">
      <alignment horizontal="left" vertical="center"/>
    </xf>
    <xf numFmtId="0" fontId="5" fillId="15" borderId="4" xfId="0" applyFont="1" applyFill="1" applyBorder="1" applyAlignment="1">
      <alignment horizontal="left" vertical="center"/>
    </xf>
    <xf numFmtId="0" fontId="14" fillId="14" borderId="2" xfId="0" applyFont="1" applyFill="1" applyBorder="1" applyAlignment="1">
      <alignment horizontal="left" vertical="center"/>
    </xf>
    <xf numFmtId="0" fontId="14" fillId="14" borderId="3" xfId="0" applyFont="1" applyFill="1" applyBorder="1" applyAlignment="1">
      <alignment horizontal="left" vertical="center"/>
    </xf>
    <xf numFmtId="0" fontId="14" fillId="14" borderId="4" xfId="0" applyFont="1" applyFill="1" applyBorder="1" applyAlignment="1">
      <alignment horizontal="left" vertical="center"/>
    </xf>
    <xf numFmtId="10" fontId="48" fillId="0" borderId="2" xfId="0" applyNumberFormat="1" applyFont="1" applyBorder="1" applyAlignment="1">
      <alignment horizontal="center" vertical="center" wrapText="1"/>
    </xf>
    <xf numFmtId="10" fontId="21" fillId="0" borderId="4" xfId="0" applyNumberFormat="1" applyFont="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5" fillId="0" borderId="44" xfId="0" applyFont="1" applyBorder="1" applyAlignment="1">
      <alignment horizontal="left" vertical="center" wrapText="1"/>
    </xf>
    <xf numFmtId="0" fontId="5" fillId="0" borderId="37" xfId="0" applyFont="1" applyBorder="1" applyAlignment="1">
      <alignment horizontal="left" vertical="center" wrapText="1"/>
    </xf>
    <xf numFmtId="10" fontId="48" fillId="0" borderId="35" xfId="0" applyNumberFormat="1" applyFont="1" applyBorder="1" applyAlignment="1">
      <alignment horizontal="center" vertical="center" wrapText="1"/>
    </xf>
    <xf numFmtId="10" fontId="48" fillId="0" borderId="36" xfId="0" applyNumberFormat="1" applyFont="1" applyBorder="1" applyAlignment="1">
      <alignment horizontal="center" vertical="center" wrapText="1"/>
    </xf>
    <xf numFmtId="10" fontId="48" fillId="0" borderId="37" xfId="0" applyNumberFormat="1" applyFont="1" applyBorder="1" applyAlignment="1">
      <alignment horizontal="center" vertical="center" wrapText="1"/>
    </xf>
    <xf numFmtId="0" fontId="5" fillId="0" borderId="42" xfId="0" applyFont="1" applyBorder="1" applyAlignment="1">
      <alignment vertical="center" wrapText="1"/>
    </xf>
    <xf numFmtId="0" fontId="5" fillId="23" borderId="41" xfId="0" applyFont="1" applyFill="1" applyBorder="1" applyAlignment="1">
      <alignment horizontal="left" vertical="center"/>
    </xf>
    <xf numFmtId="0" fontId="5" fillId="23" borderId="3" xfId="0" applyFont="1" applyFill="1" applyBorder="1" applyAlignment="1">
      <alignment horizontal="left" vertical="center"/>
    </xf>
    <xf numFmtId="0" fontId="3" fillId="2" borderId="8" xfId="0" applyFont="1" applyFill="1" applyBorder="1" applyAlignment="1">
      <alignment horizontal="center" vertical="center" wrapText="1"/>
    </xf>
    <xf numFmtId="0" fontId="5" fillId="23" borderId="46" xfId="0" applyFont="1" applyFill="1" applyBorder="1" applyAlignment="1">
      <alignment horizontal="left" vertical="center"/>
    </xf>
    <xf numFmtId="0" fontId="5" fillId="23" borderId="47" xfId="0" applyFont="1" applyFill="1" applyBorder="1" applyAlignment="1">
      <alignment horizontal="left" vertical="center"/>
    </xf>
    <xf numFmtId="0" fontId="24" fillId="0" borderId="11" xfId="1" applyFont="1" applyBorder="1" applyAlignment="1">
      <alignment horizontal="center"/>
    </xf>
    <xf numFmtId="0" fontId="24" fillId="0" borderId="12" xfId="1" applyFont="1" applyBorder="1" applyAlignment="1">
      <alignment horizontal="center"/>
    </xf>
    <xf numFmtId="0" fontId="24" fillId="0" borderId="13" xfId="1" applyFont="1" applyBorder="1" applyAlignment="1">
      <alignment horizontal="center"/>
    </xf>
    <xf numFmtId="0" fontId="24" fillId="0" borderId="28" xfId="1" applyFont="1" applyBorder="1" applyAlignment="1">
      <alignment horizontal="center"/>
    </xf>
    <xf numFmtId="0" fontId="24" fillId="0" borderId="29" xfId="1" applyFont="1" applyBorder="1" applyAlignment="1">
      <alignment horizontal="center"/>
    </xf>
    <xf numFmtId="0" fontId="24" fillId="0" borderId="30" xfId="1" applyFont="1" applyBorder="1" applyAlignment="1">
      <alignment horizontal="center"/>
    </xf>
    <xf numFmtId="0" fontId="24" fillId="0" borderId="5" xfId="1" applyFont="1" applyBorder="1" applyAlignment="1">
      <alignment horizontal="center"/>
    </xf>
    <xf numFmtId="0" fontId="24" fillId="0" borderId="0" xfId="1" applyFont="1" applyAlignment="1">
      <alignment horizontal="center"/>
    </xf>
    <xf numFmtId="0" fontId="24" fillId="0" borderId="31" xfId="1" applyFont="1" applyBorder="1" applyAlignment="1">
      <alignment horizontal="center"/>
    </xf>
    <xf numFmtId="0" fontId="24" fillId="0" borderId="6" xfId="1" applyFont="1" applyBorder="1" applyAlignment="1">
      <alignment horizontal="center"/>
    </xf>
    <xf numFmtId="0" fontId="24" fillId="0" borderId="7" xfId="1" applyFont="1" applyBorder="1" applyAlignment="1">
      <alignment horizontal="center"/>
    </xf>
    <xf numFmtId="0" fontId="24" fillId="0" borderId="32" xfId="1" applyFont="1" applyBorder="1" applyAlignment="1">
      <alignment horizontal="center"/>
    </xf>
    <xf numFmtId="0" fontId="9" fillId="0" borderId="0" xfId="1" applyFont="1" applyAlignment="1">
      <alignment horizontal="center"/>
    </xf>
    <xf numFmtId="0" fontId="40" fillId="8" borderId="0" xfId="1" applyFont="1" applyFill="1" applyAlignment="1">
      <alignment horizontal="center" vertical="center"/>
    </xf>
    <xf numFmtId="0" fontId="24" fillId="0" borderId="25" xfId="1" applyFont="1" applyBorder="1" applyAlignment="1">
      <alignment horizontal="right"/>
    </xf>
    <xf numFmtId="0" fontId="24" fillId="0" borderId="20" xfId="1" applyFont="1" applyBorder="1" applyAlignment="1">
      <alignment horizontal="right"/>
    </xf>
    <xf numFmtId="165" fontId="24" fillId="0" borderId="20" xfId="2" applyFont="1" applyFill="1" applyBorder="1" applyAlignment="1">
      <alignment horizontal="center"/>
    </xf>
    <xf numFmtId="165" fontId="24" fillId="0" borderId="21" xfId="2" applyFont="1" applyFill="1" applyBorder="1" applyAlignment="1">
      <alignment horizontal="center"/>
    </xf>
    <xf numFmtId="0" fontId="7" fillId="0" borderId="0" xfId="1" applyFont="1" applyAlignment="1">
      <alignment horizontal="justify" wrapText="1"/>
    </xf>
    <xf numFmtId="0" fontId="31" fillId="0" borderId="22" xfId="1" applyFont="1" applyBorder="1" applyAlignment="1">
      <alignment horizontal="right"/>
    </xf>
    <xf numFmtId="0" fontId="31" fillId="0" borderId="23" xfId="1" applyFont="1" applyBorder="1" applyAlignment="1">
      <alignment horizontal="right"/>
    </xf>
    <xf numFmtId="165" fontId="31" fillId="0" borderId="23" xfId="2" applyFont="1" applyFill="1" applyBorder="1" applyAlignment="1">
      <alignment horizontal="center"/>
    </xf>
    <xf numFmtId="165" fontId="31" fillId="0" borderId="24" xfId="2" applyFont="1" applyFill="1" applyBorder="1" applyAlignment="1">
      <alignment horizontal="center"/>
    </xf>
    <xf numFmtId="0" fontId="24" fillId="0" borderId="26" xfId="1" applyFont="1" applyBorder="1" applyAlignment="1">
      <alignment horizontal="center"/>
    </xf>
    <xf numFmtId="9" fontId="24" fillId="0" borderId="27" xfId="1" applyNumberFormat="1" applyFont="1" applyBorder="1" applyAlignment="1">
      <alignment horizontal="right"/>
    </xf>
    <xf numFmtId="0" fontId="24" fillId="0" borderId="12" xfId="1" applyFont="1" applyBorder="1" applyAlignment="1">
      <alignment horizontal="right"/>
    </xf>
    <xf numFmtId="0" fontId="24" fillId="0" borderId="26" xfId="1" applyFont="1" applyBorder="1" applyAlignment="1">
      <alignment horizontal="right"/>
    </xf>
    <xf numFmtId="0" fontId="31" fillId="0" borderId="22" xfId="1" applyFont="1" applyBorder="1" applyAlignment="1">
      <alignment horizontal="center"/>
    </xf>
    <xf numFmtId="0" fontId="31" fillId="0" borderId="23" xfId="1" applyFont="1" applyBorder="1" applyAlignment="1">
      <alignment horizontal="center"/>
    </xf>
    <xf numFmtId="0" fontId="31" fillId="0" borderId="24" xfId="1" applyFont="1" applyBorder="1" applyAlignment="1">
      <alignment horizontal="center"/>
    </xf>
    <xf numFmtId="165" fontId="31" fillId="0" borderId="23" xfId="2" applyFont="1" applyBorder="1" applyAlignment="1">
      <alignment horizontal="center"/>
    </xf>
    <xf numFmtId="10" fontId="31" fillId="0" borderId="23" xfId="1" applyNumberFormat="1" applyFont="1" applyBorder="1" applyAlignment="1">
      <alignment horizontal="center"/>
    </xf>
    <xf numFmtId="0" fontId="31" fillId="0" borderId="25" xfId="1" applyFont="1" applyBorder="1" applyAlignment="1">
      <alignment horizontal="right"/>
    </xf>
    <xf numFmtId="0" fontId="31" fillId="0" borderId="20" xfId="1" applyFont="1" applyBorder="1" applyAlignment="1">
      <alignment horizontal="right"/>
    </xf>
    <xf numFmtId="0" fontId="31" fillId="0" borderId="20" xfId="1" applyFont="1" applyBorder="1" applyAlignment="1">
      <alignment horizontal="center"/>
    </xf>
    <xf numFmtId="0" fontId="31" fillId="0" borderId="21" xfId="1" applyFont="1" applyBorder="1" applyAlignment="1">
      <alignment horizontal="center"/>
    </xf>
    <xf numFmtId="0" fontId="9" fillId="0" borderId="11" xfId="1" applyFont="1" applyBorder="1" applyAlignment="1">
      <alignment horizontal="left"/>
    </xf>
    <xf numFmtId="0" fontId="9" fillId="0" borderId="12" xfId="1" applyFont="1" applyBorder="1" applyAlignment="1">
      <alignment horizontal="left"/>
    </xf>
    <xf numFmtId="0" fontId="9" fillId="0" borderId="13" xfId="1" applyFont="1" applyBorder="1" applyAlignment="1">
      <alignment horizontal="left"/>
    </xf>
    <xf numFmtId="0" fontId="31" fillId="0" borderId="15" xfId="1" applyFont="1" applyBorder="1" applyAlignment="1">
      <alignment horizontal="center"/>
    </xf>
    <xf numFmtId="0" fontId="31" fillId="0" borderId="16" xfId="1" applyFont="1" applyBorder="1" applyAlignment="1">
      <alignment horizontal="center"/>
    </xf>
    <xf numFmtId="0" fontId="31" fillId="0" borderId="17" xfId="1" applyFont="1" applyBorder="1" applyAlignment="1">
      <alignment horizontal="center"/>
    </xf>
    <xf numFmtId="0" fontId="9" fillId="0" borderId="22" xfId="1" applyFont="1" applyBorder="1" applyAlignment="1">
      <alignment horizontal="center"/>
    </xf>
    <xf numFmtId="0" fontId="9" fillId="0" borderId="23" xfId="1" applyFont="1" applyBorder="1" applyAlignment="1">
      <alignment horizontal="center"/>
    </xf>
    <xf numFmtId="0" fontId="9" fillId="0" borderId="24" xfId="1" applyFont="1" applyBorder="1" applyAlignment="1">
      <alignment horizontal="center"/>
    </xf>
    <xf numFmtId="165" fontId="31" fillId="0" borderId="20" xfId="2" applyFont="1" applyFill="1" applyBorder="1" applyAlignment="1">
      <alignment horizontal="center"/>
    </xf>
    <xf numFmtId="165" fontId="31" fillId="0" borderId="21" xfId="2" applyFont="1" applyFill="1" applyBorder="1" applyAlignment="1">
      <alignment horizontal="center"/>
    </xf>
    <xf numFmtId="165" fontId="9" fillId="0" borderId="23" xfId="2" applyFont="1" applyFill="1" applyBorder="1" applyAlignment="1">
      <alignment horizontal="center"/>
    </xf>
    <xf numFmtId="165" fontId="9" fillId="0" borderId="24" xfId="2" applyFont="1" applyFill="1" applyBorder="1" applyAlignment="1">
      <alignment horizontal="center"/>
    </xf>
    <xf numFmtId="0" fontId="9" fillId="0" borderId="15" xfId="1" applyFont="1" applyBorder="1" applyAlignment="1">
      <alignment horizontal="center"/>
    </xf>
    <xf numFmtId="0" fontId="9" fillId="0" borderId="16" xfId="1" applyFont="1" applyBorder="1" applyAlignment="1">
      <alignment horizontal="center"/>
    </xf>
    <xf numFmtId="0" fontId="9" fillId="0" borderId="17" xfId="1" applyFont="1" applyBorder="1" applyAlignment="1">
      <alignment horizontal="center"/>
    </xf>
    <xf numFmtId="9" fontId="31" fillId="0" borderId="23" xfId="1" applyNumberFormat="1" applyFont="1" applyBorder="1" applyAlignment="1">
      <alignment horizontal="center"/>
    </xf>
    <xf numFmtId="0" fontId="25" fillId="0" borderId="18" xfId="1" applyFont="1" applyBorder="1" applyAlignment="1">
      <alignment horizontal="center"/>
    </xf>
    <xf numFmtId="0" fontId="25" fillId="0" borderId="19" xfId="1" applyFont="1" applyBorder="1" applyAlignment="1">
      <alignment horizontal="center"/>
    </xf>
    <xf numFmtId="0" fontId="24" fillId="0" borderId="20" xfId="1" applyFont="1" applyBorder="1" applyAlignment="1">
      <alignment horizontal="center" wrapText="1"/>
    </xf>
    <xf numFmtId="0" fontId="24" fillId="0" borderId="20" xfId="1" applyFont="1" applyBorder="1" applyAlignment="1">
      <alignment horizontal="center"/>
    </xf>
    <xf numFmtId="0" fontId="24" fillId="0" borderId="21" xfId="1" applyFont="1" applyBorder="1" applyAlignment="1">
      <alignment horizontal="center"/>
    </xf>
    <xf numFmtId="0" fontId="30" fillId="0" borderId="14" xfId="1" applyFont="1" applyBorder="1" applyAlignment="1">
      <alignment horizontal="left" vertical="center"/>
    </xf>
    <xf numFmtId="0" fontId="9" fillId="0" borderId="0" xfId="1" applyFont="1" applyAlignment="1">
      <alignment vertical="center"/>
    </xf>
    <xf numFmtId="0" fontId="9" fillId="0" borderId="0" xfId="1" applyFont="1" applyAlignment="1">
      <alignment horizontal="left" vertical="center"/>
    </xf>
    <xf numFmtId="0" fontId="30" fillId="0" borderId="14" xfId="1" applyFont="1" applyBorder="1" applyAlignment="1">
      <alignment horizontal="center" vertical="center"/>
    </xf>
    <xf numFmtId="0" fontId="9" fillId="0" borderId="14" xfId="1" applyFont="1" applyBorder="1" applyAlignment="1">
      <alignment horizontal="center" vertical="center"/>
    </xf>
    <xf numFmtId="0" fontId="31" fillId="0" borderId="0" xfId="1" applyFont="1" applyAlignment="1">
      <alignment horizontal="center" vertical="center"/>
    </xf>
    <xf numFmtId="0" fontId="31" fillId="0" borderId="0" xfId="1" applyFont="1" applyAlignment="1">
      <alignment vertical="center"/>
    </xf>
    <xf numFmtId="0" fontId="8" fillId="0" borderId="8" xfId="1" applyBorder="1" applyAlignment="1">
      <alignment horizontal="center" vertical="center"/>
    </xf>
    <xf numFmtId="0" fontId="26" fillId="0" borderId="8" xfId="1" applyFont="1" applyBorder="1" applyAlignment="1">
      <alignment horizontal="center" vertical="center"/>
    </xf>
    <xf numFmtId="0" fontId="27" fillId="0" borderId="8" xfId="1" applyFont="1" applyBorder="1" applyAlignment="1">
      <alignment horizontal="center" vertical="center"/>
    </xf>
    <xf numFmtId="49" fontId="27" fillId="0" borderId="8" xfId="1" applyNumberFormat="1" applyFont="1" applyBorder="1" applyAlignment="1">
      <alignment horizontal="center" vertical="center"/>
    </xf>
    <xf numFmtId="0" fontId="27" fillId="8" borderId="8" xfId="1" applyFont="1" applyFill="1" applyBorder="1" applyAlignment="1">
      <alignment horizontal="center" vertical="center"/>
    </xf>
    <xf numFmtId="172" fontId="27" fillId="0" borderId="8" xfId="1" applyNumberFormat="1" applyFont="1" applyBorder="1" applyAlignment="1">
      <alignment horizontal="center" vertical="center"/>
    </xf>
  </cellXfs>
  <cellStyles count="4">
    <cellStyle name="Currency 2" xfId="2" xr:uid="{00000000-0005-0000-0000-000000000000}"/>
    <cellStyle name="Énfasis1" xfId="3" builtinId="29"/>
    <cellStyle name="Normal" xfId="0" builtinId="0"/>
    <cellStyle name="Normal 2" xfId="1" xr:uid="{00000000-0005-0000-0000-000003000000}"/>
  </cellStyles>
  <dxfs count="6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13</xdr:col>
      <xdr:colOff>0</xdr:colOff>
      <xdr:row>3</xdr:row>
      <xdr:rowOff>168519</xdr:rowOff>
    </xdr:from>
    <xdr:ext cx="39178" cy="162224"/>
    <xdr:sp macro="" textlink="">
      <xdr:nvSpPr>
        <xdr:cNvPr id="2" name="Rectangle 5">
          <a:extLst>
            <a:ext uri="{FF2B5EF4-FFF2-40B4-BE49-F238E27FC236}">
              <a16:creationId xmlns:a16="http://schemas.microsoft.com/office/drawing/2014/main" id="{EA18DFA7-2B3B-44E0-9366-F8BC102C1D31}"/>
            </a:ext>
          </a:extLst>
        </xdr:cNvPr>
        <xdr:cNvSpPr>
          <a:spLocks noChangeArrowheads="1"/>
        </xdr:cNvSpPr>
      </xdr:nvSpPr>
      <xdr:spPr bwMode="auto">
        <a:xfrm>
          <a:off x="5783580" y="991479"/>
          <a:ext cx="39178" cy="162224"/>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000000"/>
              </a:solidFill>
              <a:latin typeface="Arial"/>
              <a:cs typeface="Arial"/>
            </a:rPr>
            <a:t> </a:t>
          </a:r>
        </a:p>
      </xdr:txBody>
    </xdr:sp>
    <xdr:clientData/>
  </xdr:oneCellAnchor>
  <xdr:oneCellAnchor>
    <xdr:from>
      <xdr:col>14</xdr:col>
      <xdr:colOff>0</xdr:colOff>
      <xdr:row>72</xdr:row>
      <xdr:rowOff>0</xdr:rowOff>
    </xdr:from>
    <xdr:ext cx="32060" cy="132665"/>
    <xdr:sp macro="" textlink="">
      <xdr:nvSpPr>
        <xdr:cNvPr id="3" name="Rectangle 6">
          <a:extLst>
            <a:ext uri="{FF2B5EF4-FFF2-40B4-BE49-F238E27FC236}">
              <a16:creationId xmlns:a16="http://schemas.microsoft.com/office/drawing/2014/main" id="{26F98F19-4737-46C1-944E-940463E297B6}"/>
            </a:ext>
          </a:extLst>
        </xdr:cNvPr>
        <xdr:cNvSpPr>
          <a:spLocks noChangeArrowheads="1"/>
        </xdr:cNvSpPr>
      </xdr:nvSpPr>
      <xdr:spPr bwMode="auto">
        <a:xfrm>
          <a:off x="6172200" y="13258800"/>
          <a:ext cx="32060" cy="132665"/>
        </a:xfrm>
        <a:prstGeom prst="rect">
          <a:avLst/>
        </a:prstGeom>
        <a:noFill/>
        <a:ln w="9525">
          <a:noFill/>
          <a:miter lim="800000"/>
          <a:headEnd/>
          <a:tailEnd/>
        </a:ln>
      </xdr:spPr>
      <xdr:txBody>
        <a:bodyPr wrap="none" lIns="0" tIns="0" rIns="0" bIns="0" anchor="t" upright="1">
          <a:spAutoFit/>
        </a:bodyPr>
        <a:lstStyle/>
        <a:p>
          <a:pPr algn="l" rtl="0">
            <a:defRPr sz="1000"/>
          </a:pPr>
          <a:r>
            <a:rPr lang="es-ES" sz="900" b="0" i="0" strike="noStrike">
              <a:solidFill>
                <a:srgbClr val="000000"/>
              </a:solidFill>
              <a:latin typeface="Arial"/>
              <a:cs typeface="Arial"/>
            </a:rPr>
            <a:t> </a:t>
          </a:r>
        </a:p>
      </xdr:txBody>
    </xdr:sp>
    <xdr:clientData/>
  </xdr:oneCellAnchor>
  <xdr:oneCellAnchor>
    <xdr:from>
      <xdr:col>10</xdr:col>
      <xdr:colOff>0</xdr:colOff>
      <xdr:row>4</xdr:row>
      <xdr:rowOff>85725</xdr:rowOff>
    </xdr:from>
    <xdr:ext cx="32060" cy="132665"/>
    <xdr:sp macro="" textlink="">
      <xdr:nvSpPr>
        <xdr:cNvPr id="4" name="Rectangle 7">
          <a:extLst>
            <a:ext uri="{FF2B5EF4-FFF2-40B4-BE49-F238E27FC236}">
              <a16:creationId xmlns:a16="http://schemas.microsoft.com/office/drawing/2014/main" id="{6BDACB11-1346-4E66-B7B5-0BFF1EBB3328}"/>
            </a:ext>
          </a:extLst>
        </xdr:cNvPr>
        <xdr:cNvSpPr>
          <a:spLocks noChangeArrowheads="1"/>
        </xdr:cNvSpPr>
      </xdr:nvSpPr>
      <xdr:spPr bwMode="auto">
        <a:xfrm>
          <a:off x="4617720" y="1076325"/>
          <a:ext cx="32060" cy="132665"/>
        </a:xfrm>
        <a:prstGeom prst="rect">
          <a:avLst/>
        </a:prstGeom>
        <a:noFill/>
        <a:ln w="9525">
          <a:noFill/>
          <a:miter lim="800000"/>
          <a:headEnd/>
          <a:tailEnd/>
        </a:ln>
      </xdr:spPr>
      <xdr:txBody>
        <a:bodyPr wrap="none" lIns="0" tIns="0" rIns="0" bIns="0" anchor="t" upright="1">
          <a:spAutoFit/>
        </a:bodyPr>
        <a:lstStyle/>
        <a:p>
          <a:pPr algn="l" rtl="0">
            <a:defRPr sz="1000"/>
          </a:pPr>
          <a:r>
            <a:rPr lang="es-ES" sz="900" b="0" i="0" strike="noStrike">
              <a:solidFill>
                <a:srgbClr val="000000"/>
              </a:solidFill>
              <a:latin typeface="Arial"/>
              <a:cs typeface="Arial"/>
            </a:rPr>
            <a:t> </a:t>
          </a:r>
        </a:p>
      </xdr:txBody>
    </xdr:sp>
    <xdr:clientData/>
  </xdr:oneCellAnchor>
  <xdr:oneCellAnchor>
    <xdr:from>
      <xdr:col>11</xdr:col>
      <xdr:colOff>0</xdr:colOff>
      <xdr:row>72</xdr:row>
      <xdr:rowOff>0</xdr:rowOff>
    </xdr:from>
    <xdr:ext cx="32060" cy="132665"/>
    <xdr:sp macro="" textlink="">
      <xdr:nvSpPr>
        <xdr:cNvPr id="5" name="Rectangle 8">
          <a:extLst>
            <a:ext uri="{FF2B5EF4-FFF2-40B4-BE49-F238E27FC236}">
              <a16:creationId xmlns:a16="http://schemas.microsoft.com/office/drawing/2014/main" id="{3F6B76FD-8C60-4335-8F19-E4D1B14D1ABA}"/>
            </a:ext>
          </a:extLst>
        </xdr:cNvPr>
        <xdr:cNvSpPr>
          <a:spLocks noChangeArrowheads="1"/>
        </xdr:cNvSpPr>
      </xdr:nvSpPr>
      <xdr:spPr bwMode="auto">
        <a:xfrm>
          <a:off x="5006340" y="13258800"/>
          <a:ext cx="32060" cy="132665"/>
        </a:xfrm>
        <a:prstGeom prst="rect">
          <a:avLst/>
        </a:prstGeom>
        <a:noFill/>
        <a:ln w="9525">
          <a:noFill/>
          <a:miter lim="800000"/>
          <a:headEnd/>
          <a:tailEnd/>
        </a:ln>
      </xdr:spPr>
      <xdr:txBody>
        <a:bodyPr wrap="none" lIns="0" tIns="0" rIns="0" bIns="0" anchor="t" upright="1">
          <a:spAutoFit/>
        </a:bodyPr>
        <a:lstStyle/>
        <a:p>
          <a:pPr algn="l" rtl="0">
            <a:defRPr sz="1000"/>
          </a:pPr>
          <a:r>
            <a:rPr lang="es-ES" sz="900" b="0" i="0" strike="noStrike">
              <a:solidFill>
                <a:srgbClr val="000000"/>
              </a:solidFill>
              <a:latin typeface="Arial"/>
              <a:cs typeface="Arial"/>
            </a:rPr>
            <a:t> </a:t>
          </a:r>
        </a:p>
      </xdr:txBody>
    </xdr:sp>
    <xdr:clientData/>
  </xdr:oneCellAnchor>
  <xdr:oneCellAnchor>
    <xdr:from>
      <xdr:col>11</xdr:col>
      <xdr:colOff>0</xdr:colOff>
      <xdr:row>72</xdr:row>
      <xdr:rowOff>0</xdr:rowOff>
    </xdr:from>
    <xdr:ext cx="32060" cy="132665"/>
    <xdr:sp macro="" textlink="">
      <xdr:nvSpPr>
        <xdr:cNvPr id="6" name="Rectangle 9">
          <a:extLst>
            <a:ext uri="{FF2B5EF4-FFF2-40B4-BE49-F238E27FC236}">
              <a16:creationId xmlns:a16="http://schemas.microsoft.com/office/drawing/2014/main" id="{9DD20922-5799-41E5-B28C-3D870DB26943}"/>
            </a:ext>
          </a:extLst>
        </xdr:cNvPr>
        <xdr:cNvSpPr>
          <a:spLocks noChangeArrowheads="1"/>
        </xdr:cNvSpPr>
      </xdr:nvSpPr>
      <xdr:spPr bwMode="auto">
        <a:xfrm>
          <a:off x="5006340" y="13258800"/>
          <a:ext cx="32060" cy="132665"/>
        </a:xfrm>
        <a:prstGeom prst="rect">
          <a:avLst/>
        </a:prstGeom>
        <a:noFill/>
        <a:ln w="9525">
          <a:noFill/>
          <a:miter lim="800000"/>
          <a:headEnd/>
          <a:tailEnd/>
        </a:ln>
      </xdr:spPr>
      <xdr:txBody>
        <a:bodyPr wrap="none" lIns="0" tIns="0" rIns="0" bIns="0" anchor="t" upright="1">
          <a:spAutoFit/>
        </a:bodyPr>
        <a:lstStyle/>
        <a:p>
          <a:pPr algn="l" rtl="0">
            <a:defRPr sz="1000"/>
          </a:pPr>
          <a:r>
            <a:rPr lang="es-ES" sz="900" b="0" i="0" strike="noStrike">
              <a:solidFill>
                <a:srgbClr val="000000"/>
              </a:solidFill>
              <a:latin typeface="Arial"/>
              <a:cs typeface="Arial"/>
            </a:rPr>
            <a:t> </a:t>
          </a:r>
        </a:p>
      </xdr:txBody>
    </xdr:sp>
    <xdr:clientData/>
  </xdr:oneCellAnchor>
  <xdr:oneCellAnchor>
    <xdr:from>
      <xdr:col>14</xdr:col>
      <xdr:colOff>0</xdr:colOff>
      <xdr:row>72</xdr:row>
      <xdr:rowOff>0</xdr:rowOff>
    </xdr:from>
    <xdr:ext cx="32060" cy="132665"/>
    <xdr:sp macro="" textlink="">
      <xdr:nvSpPr>
        <xdr:cNvPr id="7" name="Rectangle 10">
          <a:extLst>
            <a:ext uri="{FF2B5EF4-FFF2-40B4-BE49-F238E27FC236}">
              <a16:creationId xmlns:a16="http://schemas.microsoft.com/office/drawing/2014/main" id="{0206A7D9-71DA-4676-95C3-95DD51E22D0B}"/>
            </a:ext>
          </a:extLst>
        </xdr:cNvPr>
        <xdr:cNvSpPr>
          <a:spLocks noChangeArrowheads="1"/>
        </xdr:cNvSpPr>
      </xdr:nvSpPr>
      <xdr:spPr bwMode="auto">
        <a:xfrm>
          <a:off x="6172200" y="13258800"/>
          <a:ext cx="32060" cy="132665"/>
        </a:xfrm>
        <a:prstGeom prst="rect">
          <a:avLst/>
        </a:prstGeom>
        <a:noFill/>
        <a:ln w="9525">
          <a:noFill/>
          <a:miter lim="800000"/>
          <a:headEnd/>
          <a:tailEnd/>
        </a:ln>
      </xdr:spPr>
      <xdr:txBody>
        <a:bodyPr wrap="none" lIns="0" tIns="0" rIns="0" bIns="0" anchor="t" upright="1">
          <a:spAutoFit/>
        </a:bodyPr>
        <a:lstStyle/>
        <a:p>
          <a:pPr algn="l" rtl="0">
            <a:defRPr sz="1000"/>
          </a:pPr>
          <a:r>
            <a:rPr lang="es-ES" sz="900" b="0" i="0" strike="noStrike">
              <a:solidFill>
                <a:srgbClr val="000000"/>
              </a:solidFill>
              <a:latin typeface="Arial"/>
              <a:cs typeface="Arial"/>
            </a:rPr>
            <a:t> </a:t>
          </a:r>
        </a:p>
      </xdr:txBody>
    </xdr:sp>
    <xdr:clientData/>
  </xdr:oneCellAnchor>
  <xdr:twoCellAnchor>
    <xdr:from>
      <xdr:col>0</xdr:col>
      <xdr:colOff>19050</xdr:colOff>
      <xdr:row>5</xdr:row>
      <xdr:rowOff>0</xdr:rowOff>
    </xdr:from>
    <xdr:to>
      <xdr:col>0</xdr:col>
      <xdr:colOff>38100</xdr:colOff>
      <xdr:row>5</xdr:row>
      <xdr:rowOff>0</xdr:rowOff>
    </xdr:to>
    <xdr:sp macro="" textlink="">
      <xdr:nvSpPr>
        <xdr:cNvPr id="8" name="Rectangle 11">
          <a:extLst>
            <a:ext uri="{FF2B5EF4-FFF2-40B4-BE49-F238E27FC236}">
              <a16:creationId xmlns:a16="http://schemas.microsoft.com/office/drawing/2014/main" id="{175001E9-B522-44C0-AC3A-AAD08D2CEC20}"/>
            </a:ext>
          </a:extLst>
        </xdr:cNvPr>
        <xdr:cNvSpPr>
          <a:spLocks noChangeArrowheads="1"/>
        </xdr:cNvSpPr>
      </xdr:nvSpPr>
      <xdr:spPr bwMode="auto">
        <a:xfrm>
          <a:off x="19050" y="1165860"/>
          <a:ext cx="190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5</xdr:row>
      <xdr:rowOff>0</xdr:rowOff>
    </xdr:from>
    <xdr:to>
      <xdr:col>11</xdr:col>
      <xdr:colOff>0</xdr:colOff>
      <xdr:row>5</xdr:row>
      <xdr:rowOff>0</xdr:rowOff>
    </xdr:to>
    <xdr:sp macro="" textlink="">
      <xdr:nvSpPr>
        <xdr:cNvPr id="9" name="Rectangle 12">
          <a:extLst>
            <a:ext uri="{FF2B5EF4-FFF2-40B4-BE49-F238E27FC236}">
              <a16:creationId xmlns:a16="http://schemas.microsoft.com/office/drawing/2014/main" id="{AA254DAE-1702-4F1A-9125-BBC73C9A6221}"/>
            </a:ext>
          </a:extLst>
        </xdr:cNvPr>
        <xdr:cNvSpPr>
          <a:spLocks noChangeArrowheads="1"/>
        </xdr:cNvSpPr>
      </xdr:nvSpPr>
      <xdr:spPr bwMode="auto">
        <a:xfrm>
          <a:off x="5006340" y="1165860"/>
          <a:ext cx="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0</xdr:colOff>
      <xdr:row>5</xdr:row>
      <xdr:rowOff>0</xdr:rowOff>
    </xdr:from>
    <xdr:to>
      <xdr:col>14</xdr:col>
      <xdr:colOff>0</xdr:colOff>
      <xdr:row>5</xdr:row>
      <xdr:rowOff>0</xdr:rowOff>
    </xdr:to>
    <xdr:sp macro="" textlink="">
      <xdr:nvSpPr>
        <xdr:cNvPr id="10" name="Rectangle 13">
          <a:extLst>
            <a:ext uri="{FF2B5EF4-FFF2-40B4-BE49-F238E27FC236}">
              <a16:creationId xmlns:a16="http://schemas.microsoft.com/office/drawing/2014/main" id="{311766F4-81C6-47CB-ABA1-D2AF5AB6B5B0}"/>
            </a:ext>
          </a:extLst>
        </xdr:cNvPr>
        <xdr:cNvSpPr>
          <a:spLocks noChangeArrowheads="1"/>
        </xdr:cNvSpPr>
      </xdr:nvSpPr>
      <xdr:spPr bwMode="auto">
        <a:xfrm>
          <a:off x="6172200" y="1165860"/>
          <a:ext cx="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0</xdr:colOff>
      <xdr:row>5</xdr:row>
      <xdr:rowOff>0</xdr:rowOff>
    </xdr:from>
    <xdr:to>
      <xdr:col>14</xdr:col>
      <xdr:colOff>0</xdr:colOff>
      <xdr:row>5</xdr:row>
      <xdr:rowOff>0</xdr:rowOff>
    </xdr:to>
    <xdr:sp macro="" textlink="">
      <xdr:nvSpPr>
        <xdr:cNvPr id="11" name="Rectangle 14">
          <a:extLst>
            <a:ext uri="{FF2B5EF4-FFF2-40B4-BE49-F238E27FC236}">
              <a16:creationId xmlns:a16="http://schemas.microsoft.com/office/drawing/2014/main" id="{A9C0C295-5B47-4ECC-8699-C723392BF542}"/>
            </a:ext>
          </a:extLst>
        </xdr:cNvPr>
        <xdr:cNvSpPr>
          <a:spLocks noChangeArrowheads="1"/>
        </xdr:cNvSpPr>
      </xdr:nvSpPr>
      <xdr:spPr bwMode="auto">
        <a:xfrm>
          <a:off x="6172200" y="1165860"/>
          <a:ext cx="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228600</xdr:colOff>
      <xdr:row>72</xdr:row>
      <xdr:rowOff>0</xdr:rowOff>
    </xdr:from>
    <xdr:ext cx="32060" cy="132665"/>
    <xdr:sp macro="" textlink="">
      <xdr:nvSpPr>
        <xdr:cNvPr id="12" name="Rectangle 15">
          <a:extLst>
            <a:ext uri="{FF2B5EF4-FFF2-40B4-BE49-F238E27FC236}">
              <a16:creationId xmlns:a16="http://schemas.microsoft.com/office/drawing/2014/main" id="{BCD6A7ED-E0A0-4257-BC68-232C5C6303D5}"/>
            </a:ext>
          </a:extLst>
        </xdr:cNvPr>
        <xdr:cNvSpPr>
          <a:spLocks noChangeArrowheads="1"/>
        </xdr:cNvSpPr>
      </xdr:nvSpPr>
      <xdr:spPr bwMode="auto">
        <a:xfrm>
          <a:off x="228600" y="13258800"/>
          <a:ext cx="32060" cy="132665"/>
        </a:xfrm>
        <a:prstGeom prst="rect">
          <a:avLst/>
        </a:prstGeom>
        <a:noFill/>
        <a:ln w="9525">
          <a:noFill/>
          <a:miter lim="800000"/>
          <a:headEnd/>
          <a:tailEnd/>
        </a:ln>
      </xdr:spPr>
      <xdr:txBody>
        <a:bodyPr wrap="none" lIns="0" tIns="0" rIns="0" bIns="0" anchor="t" upright="1">
          <a:spAutoFit/>
        </a:bodyPr>
        <a:lstStyle/>
        <a:p>
          <a:pPr algn="l" rtl="0">
            <a:defRPr sz="1000"/>
          </a:pPr>
          <a:r>
            <a:rPr lang="es-ES" sz="900" b="0" i="0" strike="noStrike">
              <a:solidFill>
                <a:srgbClr val="000000"/>
              </a:solidFill>
              <a:latin typeface="Arial"/>
              <a:cs typeface="Arial"/>
            </a:rPr>
            <a:t> </a:t>
          </a:r>
        </a:p>
      </xdr:txBody>
    </xdr:sp>
    <xdr:clientData/>
  </xdr:oneCellAnchor>
  <xdr:twoCellAnchor>
    <xdr:from>
      <xdr:col>17</xdr:col>
      <xdr:colOff>0</xdr:colOff>
      <xdr:row>5</xdr:row>
      <xdr:rowOff>0</xdr:rowOff>
    </xdr:from>
    <xdr:to>
      <xdr:col>17</xdr:col>
      <xdr:colOff>0</xdr:colOff>
      <xdr:row>5</xdr:row>
      <xdr:rowOff>0</xdr:rowOff>
    </xdr:to>
    <xdr:sp macro="" textlink="">
      <xdr:nvSpPr>
        <xdr:cNvPr id="13" name="AutoShape 16">
          <a:extLst>
            <a:ext uri="{FF2B5EF4-FFF2-40B4-BE49-F238E27FC236}">
              <a16:creationId xmlns:a16="http://schemas.microsoft.com/office/drawing/2014/main" id="{0408FC05-BA13-4797-A29B-D7B81544EF50}"/>
            </a:ext>
          </a:extLst>
        </xdr:cNvPr>
        <xdr:cNvSpPr>
          <a:spLocks noChangeArrowheads="1"/>
        </xdr:cNvSpPr>
      </xdr:nvSpPr>
      <xdr:spPr bwMode="auto">
        <a:xfrm>
          <a:off x="7338060" y="1165860"/>
          <a:ext cx="0" cy="0"/>
        </a:xfrm>
        <a:prstGeom prst="flowChartAlternateProcess">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es-ES" sz="800" b="0" i="0" strike="noStrike">
              <a:solidFill>
                <a:srgbClr val="000000"/>
              </a:solidFill>
              <a:latin typeface="Arial"/>
              <a:cs typeface="Arial"/>
            </a:rPr>
            <a:t>Página # de ##</a:t>
          </a:r>
        </a:p>
        <a:p>
          <a:pPr algn="ctr" rtl="0">
            <a:defRPr sz="1000"/>
          </a:pPr>
          <a:endParaRPr lang="es-ES" sz="800" b="0" i="0" strike="noStrike">
            <a:solidFill>
              <a:srgbClr val="000000"/>
            </a:solidFill>
            <a:latin typeface="Arial"/>
            <a:cs typeface="Arial"/>
          </a:endParaRPr>
        </a:p>
      </xdr:txBody>
    </xdr:sp>
    <xdr:clientData/>
  </xdr:twoCellAnchor>
  <xdr:oneCellAnchor>
    <xdr:from>
      <xdr:col>0</xdr:col>
      <xdr:colOff>228600</xdr:colOff>
      <xdr:row>72</xdr:row>
      <xdr:rowOff>0</xdr:rowOff>
    </xdr:from>
    <xdr:ext cx="32060" cy="132665"/>
    <xdr:sp macro="" textlink="">
      <xdr:nvSpPr>
        <xdr:cNvPr id="14" name="Rectangle 17">
          <a:extLst>
            <a:ext uri="{FF2B5EF4-FFF2-40B4-BE49-F238E27FC236}">
              <a16:creationId xmlns:a16="http://schemas.microsoft.com/office/drawing/2014/main" id="{CE5919E2-A398-493C-B2A3-EA4EC61FCB77}"/>
            </a:ext>
          </a:extLst>
        </xdr:cNvPr>
        <xdr:cNvSpPr>
          <a:spLocks noChangeArrowheads="1"/>
        </xdr:cNvSpPr>
      </xdr:nvSpPr>
      <xdr:spPr bwMode="auto">
        <a:xfrm>
          <a:off x="228600" y="13258800"/>
          <a:ext cx="32060" cy="132665"/>
        </a:xfrm>
        <a:prstGeom prst="rect">
          <a:avLst/>
        </a:prstGeom>
        <a:noFill/>
        <a:ln w="9525">
          <a:noFill/>
          <a:miter lim="800000"/>
          <a:headEnd/>
          <a:tailEnd/>
        </a:ln>
      </xdr:spPr>
      <xdr:txBody>
        <a:bodyPr wrap="none" lIns="0" tIns="0" rIns="0" bIns="0" anchor="t" upright="1">
          <a:spAutoFit/>
        </a:bodyPr>
        <a:lstStyle/>
        <a:p>
          <a:pPr algn="l" rtl="0">
            <a:defRPr sz="1000"/>
          </a:pPr>
          <a:r>
            <a:rPr lang="es-ES" sz="900" b="0" i="0" strike="noStrike">
              <a:solidFill>
                <a:srgbClr val="000000"/>
              </a:solidFill>
              <a:latin typeface="Arial"/>
              <a:cs typeface="Arial"/>
            </a:rPr>
            <a:t> </a:t>
          </a:r>
        </a:p>
      </xdr:txBody>
    </xdr:sp>
    <xdr:clientData/>
  </xdr:oneCellAnchor>
  <xdr:twoCellAnchor editAs="oneCell">
    <xdr:from>
      <xdr:col>0</xdr:col>
      <xdr:colOff>171450</xdr:colOff>
      <xdr:row>0</xdr:row>
      <xdr:rowOff>133350</xdr:rowOff>
    </xdr:from>
    <xdr:to>
      <xdr:col>4</xdr:col>
      <xdr:colOff>200025</xdr:colOff>
      <xdr:row>2</xdr:row>
      <xdr:rowOff>66675</xdr:rowOff>
    </xdr:to>
    <xdr:pic>
      <xdr:nvPicPr>
        <xdr:cNvPr id="15" name="Imagen 15">
          <a:extLst>
            <a:ext uri="{FF2B5EF4-FFF2-40B4-BE49-F238E27FC236}">
              <a16:creationId xmlns:a16="http://schemas.microsoft.com/office/drawing/2014/main" id="{7BFACE20-1337-479D-B753-E433B8F893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33350"/>
          <a:ext cx="1697355" cy="481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proy%20g14\04_I.E.DEL%20NORTE_ILES_NARI&#209;O\04_PRESUPUESTO\G14_04_Presupuesto%20Iles%20v2.00.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fonade-my.sharepoint.com/personal/sestrada_enterritorio_gov_co/Documents/Archivos%20Compartidos%20Rafael/2.%20COSTEOS/14.%20ESAP%20-%20NEIVA%20-%20SEGUNDA%20PARTE/Fase%20II%20Neiva/PRESUPUESTO%20FINAL%20ESAP%20NEIVA%20-%20Por%20etapas%20-%20PRECIOS%20PROCESO%20Mile.xlsx?AD2E5AFE" TargetMode="External"/><Relationship Id="rId1" Type="http://schemas.openxmlformats.org/officeDocument/2006/relationships/externalLinkPath" Target="file:///\\AD2E5AFE\PRESUPUESTO%20FINAL%20ESAP%20NEIVA%20-%20Por%20etapas%20-%20PRECIOS%20PROCESO%20Mil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onade-my.sharepoint.com/personal/sestrada_enterritorio_gov_co/Documents/Archivos%20Compartidos%20Rafael/2.%20COSTEOS/1.%20ESAP%20NEIVA/OBRA/Presupuesto%20ESAP%20Neiva%202021%20+%20El&#233;ctricos%20(1)%2026-1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POR COMPONENTES"/>
      <sheetName val="POR INSUMOS"/>
      <sheetName val="ANALISIS DE AIU"/>
      <sheetName val="Cuadro Resumen"/>
      <sheetName val="Cuadro Resumen (2)"/>
      <sheetName val="DOTACIÓN"/>
      <sheetName val="Datos entrada"/>
      <sheetName val="Hoja Base (2)"/>
      <sheetName val="Hoja Base"/>
      <sheetName val="Salarios"/>
      <sheetName val="Cuadrillas"/>
      <sheetName val="Trans"/>
      <sheetName val="Equ"/>
      <sheetName val="Mat"/>
      <sheetName val="Mort 1-3"/>
      <sheetName val="Mort 1-3 Imper"/>
      <sheetName val="Mort 1-4"/>
      <sheetName val="Mort 1-4 Imper"/>
      <sheetName val="Mort 1-5"/>
      <sheetName val="Mort 1-7"/>
      <sheetName val="Concr 2,000"/>
      <sheetName val="Concr 2,500"/>
      <sheetName val="Concr 3,000"/>
      <sheetName val="Concr 3,500"/>
      <sheetName val="Concr 4,000 "/>
      <sheetName val=" Acero 60000 Refuerzo "/>
      <sheetName val=" Malla Electrosoldada "/>
      <sheetName val="P Eléctrico"/>
      <sheetName val="P Agua Fria"/>
      <sheetName val="P Sanitario"/>
      <sheetName val="Granito pulido "/>
      <sheetName val="Marcos puerta"/>
      <sheetName val="Marcos ventana"/>
      <sheetName val="1,1,1 Campamt"/>
      <sheetName val="1,1,2 Alquiler Campameto"/>
      <sheetName val="1,1,3 Limpieza"/>
      <sheetName val="1,1,4 Localización y replanteo"/>
      <sheetName val="1,1,6 Cerramiento Lona"/>
      <sheetName val="1,1,7 Locali Manual"/>
      <sheetName val="1,2,1 Provicional agua"/>
      <sheetName val="1,2,2 Provicional luz"/>
      <sheetName val="1,3,1 Desmonte cubierta"/>
      <sheetName val="1,3,2 Demoliciòn muro"/>
      <sheetName val="1,3,3  Dm enchape"/>
      <sheetName val="1,3,4 Dm cimiento"/>
      <sheetName val="1,3,5 Dm Vig-colum"/>
      <sheetName val="1,3,6 Demolicion placa"/>
      <sheetName val="1,3,7  Dm Aparatos"/>
      <sheetName val="1,4,2 Traslado postes"/>
      <sheetName val="1,4,3 Arb 5"/>
      <sheetName val="1,4,4 Arb 10"/>
      <sheetName val="1,4,5 Arb 15"/>
      <sheetName val="1,4,6 Arb 20"/>
      <sheetName val="1,4,7 Arb +20"/>
      <sheetName val="1,4,8 Traslado Arb"/>
      <sheetName val="2,1,1 Exc Mec"/>
      <sheetName val="2,1,2 Exc Man"/>
      <sheetName val="2,1,3 Exc M Sub base"/>
      <sheetName val="2,1,5 Relleno M Común"/>
      <sheetName val="2,1,6  Rellenos M Selec"/>
      <sheetName val="2,1,7  Sub base Recebo "/>
      <sheetName val="2,1,8 Geotextil NT"/>
      <sheetName val="2,1,9 Geotextil Tejido"/>
      <sheetName val="2,1,10 Relleno Recebo"/>
      <sheetName val="2,2,1 Concr pobre"/>
      <sheetName val="2,2,2 Concr Ciclopeo"/>
      <sheetName val="2,2,3 Muros de contencion"/>
      <sheetName val="2,2,4 Concreto Zapatas"/>
      <sheetName val="2,2,5 Vigas de cimentación"/>
      <sheetName val="2,2,6,1 Pilotes 0,30"/>
      <sheetName val="2,2,6,2 Pilotes 0,40"/>
      <sheetName val="2,2,6,3 Pilotes 0,60"/>
      <sheetName val="2,2,6,4 Pilotes 0,80"/>
      <sheetName val="2,2,6,5 Pilotes 0,90 "/>
      <sheetName val="2,2,7 Dados en concreto"/>
      <sheetName val="2,2,8 Placa Flotante 0,60"/>
      <sheetName val="2,2,9 Placas cont= 0,1"/>
      <sheetName val="2,2,10 Placas cont= 0,125"/>
      <sheetName val="2,2,11 Placas cont= 0,15"/>
      <sheetName val="2,3,1 Acero 37000 "/>
      <sheetName val="2,3,2 Acero 60000 Refuerzo"/>
      <sheetName val="2,3,3 Malla Electrosoldada"/>
      <sheetName val="2,4,1 Gaviones"/>
      <sheetName val="2,4,2 Cajon aislamiento vigas"/>
      <sheetName val="2,4,3 Icopor Aislante ciment. "/>
      <sheetName val="2,4,4 Pañete Taludes "/>
      <sheetName val="3,1,1 Novafort A.LL. 4&quot; 110mm "/>
      <sheetName val="3,1,2 Novafort A.LL.6&quot; 160mm  "/>
      <sheetName val="3,1,3 Novafort A.LL 8&quot;200 mm   "/>
      <sheetName val="3,1,4 Novafort 10&quot;A.LL. 255mm "/>
      <sheetName val="3,1,5 Novafort A.LL.12&quot; 315mm  "/>
      <sheetName val="3,1,6  Acc. Novafort. A.LL"/>
      <sheetName val="3,2,1 Novafort A.N. 4&quot; 110 "/>
      <sheetName val="3,2,2 Novafort A.N.6&quot; 160m "/>
      <sheetName val="3,2,3 Novafort A.N. 8&quot;200 mm"/>
      <sheetName val="3,2,4 Novafort 10&quot;A.N. 255 mm"/>
      <sheetName val="3,2,5 Novafort A.N.12&quot; 315mm"/>
      <sheetName val="3,2,6  Acc. Novafort. A.N."/>
      <sheetName val="3,3,1 Tuberia drenaje PVC 4&quot;"/>
      <sheetName val="3,3,2 Tuberia drenaje PVC 4&quot;"/>
      <sheetName val="3,3,3 Accesorio drenaje PVC 3&quot;"/>
      <sheetName val="3,3,4 Accesorio drenaje PVC 4&quot;"/>
      <sheetName val="3,3,5 Filtros Escorrentias"/>
      <sheetName val="3,4,2 Caja inspección 0,80"/>
      <sheetName val="3,4,3 Caja inspección 1,00"/>
      <sheetName val="3,4,4 Caja Distribuciòn 0,40  "/>
      <sheetName val="3,4,6 Carcamo aguas lluvias"/>
      <sheetName val="3,4,7 Trampa de grasas"/>
      <sheetName val="3,4,8 Pozo Septico"/>
      <sheetName val="3,5,1 Exc Man "/>
      <sheetName val="3,5,2 Exc en recebo comp."/>
      <sheetName val="3,5,3  Relleno M seleccionado"/>
      <sheetName val="3,5,4 Relleno M Común "/>
      <sheetName val="3,5,5 Retiro sobrantes"/>
      <sheetName val="3,3,6 POZO INFILTRACIÓN"/>
      <sheetName val="3,4,1 Caja inspección 0,60 "/>
      <sheetName val="4,1,1 Columnas"/>
      <sheetName val="4,1,2 Pantalla en concreto"/>
      <sheetName val="4,1,3 Muros"/>
      <sheetName val="4,2,1 Vigas aéreas"/>
      <sheetName val="4,2,2 Viga canal"/>
      <sheetName val="4,2,3  Vigas Prefabricadas"/>
      <sheetName val="4,3,1 Placa alig. Caseton 60"/>
      <sheetName val="4,3,2 Caseton 50 cm"/>
      <sheetName val="4,3,3 Caseton 45 cm"/>
      <sheetName val="4,3,4 Caseton 40 cm "/>
      <sheetName val="4,3,6 Placa maciza 0,20"/>
      <sheetName val="4,3,7 Placa maciza 0,125"/>
      <sheetName val="4,3,8 Placa maciza 0,10"/>
      <sheetName val="4,3,9 Placa maciza 0,15"/>
      <sheetName val="4,4,1 Escalera"/>
      <sheetName val="4,4,2 Rampas"/>
      <sheetName val="4,4,3 POZO CONCRETO 20 M3"/>
      <sheetName val="4,4,4 POZO CONCRETO"/>
      <sheetName val="4,5,1 Acero 37000  "/>
      <sheetName val="4,5,2 Acero 60000 est"/>
      <sheetName val="4,5,3 Malla Electrosoldada est"/>
      <sheetName val="4,6,2,3 Cerrchas  Metàlica"/>
      <sheetName val="4,6,2,4 Perfil "/>
      <sheetName val="4,6,2,5 Templete"/>
      <sheetName val="5,1,1 Bloq Conc Estruc 0,12"/>
      <sheetName val="5,1,2 Bloque concreto divisorio"/>
      <sheetName val="5,1,5  Calados en Concreto"/>
      <sheetName val="5,1,6 Bloq Conc Estruc 014"/>
      <sheetName val="5,1,7 Bloq Conc Estruc 019"/>
      <sheetName val="5,2,1 Ladrillo común"/>
      <sheetName val="5,2,2 Ladrillo estructural"/>
      <sheetName val="5,2,3 Ladrillo común sobrecimie"/>
      <sheetName val="5,2,4 Ladrillo Prensado portant"/>
      <sheetName val="5,2,6 Muro en bloque No 4"/>
      <sheetName val="5,3,1 Enchape ladrillo arcilla"/>
      <sheetName val="5,3,3 Alfagias ladrillo arcilla"/>
      <sheetName val="5,3,4 Remate ladrillo arcilla"/>
      <sheetName val="5,4,1 Grouting-Concreto fluido"/>
      <sheetName val="5,4,2 Remates"/>
      <sheetName val="5,5,1 Anclajes Epoxicos"/>
      <sheetName val="5,5,2 Acero 37000 mamp"/>
      <sheetName val="5,5,3 Malla Electrosoldada "/>
      <sheetName val="5,5,4 Grafiles 6 mm"/>
      <sheetName val="5,6,1 Instalaciòn carpint. Meta"/>
      <sheetName val="6,1,1 Alfajias"/>
      <sheetName val="6,1,2 Dinteles"/>
      <sheetName val="6,1,3 Remates sobre mamposteria"/>
      <sheetName val="6.1.8 Pergolas"/>
      <sheetName val="6.1.9 Gargolas"/>
      <sheetName val="6,1,10 Gradas en Concreto"/>
      <sheetName val="6,1,11 PLAQUETAS"/>
      <sheetName val="6,1,15 Bordillos ducha y aseo"/>
      <sheetName val="6,1,18 Cañuela Per"/>
      <sheetName val="6,2,1 Mesones en concreto"/>
      <sheetName val="6,2,2 Mesones lavamanos"/>
      <sheetName val="6,2,3 Mesones laboratorios"/>
      <sheetName val="6,2,5 Bancas Concreto"/>
      <sheetName val="6,2,8 Alfajias 2"/>
      <sheetName val="7,1,1,1 Acometida PVC-P 2&quot;"/>
      <sheetName val="7,1,1,2 Accesorio PVC-P 2&quot; "/>
      <sheetName val="7,1,1,5 Bajantes A.N.  PVC 3&quot;"/>
      <sheetName val="7,1,1,6 Bajantes A.N 4&quot;"/>
      <sheetName val="7,1,2,1 Tuberia H.G. 1&quot;"/>
      <sheetName val="7,1,2,2  Accesorio H.G. 1&quot; "/>
      <sheetName val="7,1,2,3 Flotador 1"/>
      <sheetName val="7,1,2,4 Tanque Plastico"/>
      <sheetName val="7,1,3,1 Tuberia H.G. 1&quot;cuarto "/>
      <sheetName val="7,1,3,2  Accesorio H.G.1&quot;cuarto"/>
      <sheetName val="7,1,3,3  Registro R. W. 1&quot;"/>
      <sheetName val="7,1,3,4  Cheque  Helber 1&quot;"/>
      <sheetName val="7,1,4,1 Tuberia H.G. 1 1.2&quot;"/>
      <sheetName val="7,1,4,2  Accesorio H.G.1 1.2&quot;"/>
      <sheetName val="7,1,4,3  Registro R. W. 1. 1.2&quot;"/>
      <sheetName val="7,1,4,4  Cheque  Helber 1 1.2&quot;"/>
      <sheetName val="7,1,5,1 Registro 1.2&quot;"/>
      <sheetName val="7,1,5,2 Registro 3 4"/>
      <sheetName val="7,1,5,3 Registro 1 "/>
      <sheetName val="7,1,5,4 Registro 114"/>
      <sheetName val="7,1,5,5 Registro 1 12"/>
      <sheetName val="7,1,5,6 Registro 2 "/>
      <sheetName val="7,1,5,8 Caja registro "/>
      <sheetName val="7,1,6,1 Acometida media"/>
      <sheetName val="7,1,6,2 Acometida 1PL"/>
      <sheetName val="7,1,6,3 Registro PD media"/>
      <sheetName val="7,1,6,4 Acometida 1 14"/>
      <sheetName val="7,1,6,5 Tuberia 1 12"/>
      <sheetName val="7,1,6,6 Acometida 2"/>
      <sheetName val="7,1,6,7 Tubo UZ 2&quot;"/>
      <sheetName val="7,1,6,8 Acometida 1 12"/>
      <sheetName val="7,1,6,9 Tuberia UZ 3&quot;"/>
      <sheetName val="7,1,6,10 Accesorio UZ  2&quot;"/>
      <sheetName val="7,1,6,11 Accesorio UZ 3&quot;"/>
      <sheetName val="7,1,7,1 Tuberia H.G. 1.2&quot;"/>
      <sheetName val="7,1,7,2  Accesorio H.G.1.2&quot;"/>
      <sheetName val="7,1,7,3 Registro Corte 1.2&quot; "/>
      <sheetName val="7,1,7,4 Registro 1.2&quot;"/>
      <sheetName val="7,1,7,5 Caja para medidor"/>
      <sheetName val="7,1,8,1 P Agua Fria Lavamanos"/>
      <sheetName val="7,1,8,2 Punto  Agua Fria 1 1.2&quot;"/>
      <sheetName val="7,1,8,3 P Agua Fria Sanitarios"/>
      <sheetName val="7,1,8,4 P Agua Fria Orinales"/>
      <sheetName val="7,1,8,5 P Agua Fria pocetas lab"/>
      <sheetName val="7,1,8,6 P Agua Fria Ducha"/>
      <sheetName val="7,1,8,7 P Agua Fria Pocetas"/>
      <sheetName val="7,1,8,8 Llave  Manguera 1.2&quot;"/>
      <sheetName val="7,1,8,10  Tapòn H.G.1.2&quot;"/>
      <sheetName val="7,1,8,11  Tapòn P.V.C.1.2&quot; "/>
      <sheetName val="7,1,8,12  Camara aire H.G.1.2&quot;"/>
      <sheetName val="7,1,8,13  Camara aire P.V.C.P "/>
      <sheetName val="7,1,9,1 P Sanitario lavamanos"/>
      <sheetName val="7,1,9,3 P Sanitario Sanit"/>
      <sheetName val="7,1,9,4 P Sanitario Orinales"/>
      <sheetName val="7,1,9,5  P Sifòn PVC-S 4&quot;"/>
      <sheetName val="7,1,9,6  P Sifòn PVC-S 2&quot; "/>
      <sheetName val="7,1,9,7 P Sanitario Pocetas"/>
      <sheetName val="7,1,9,9 P Sanitario sifon"/>
      <sheetName val="7,1,10,1 Acomet sanit"/>
      <sheetName val="7,1,10,2 Pto 3&quot;"/>
      <sheetName val="7,1,10,2 Punto Vent 3&quot;"/>
      <sheetName val="7,1,10,3  Sanit 2"/>
      <sheetName val="7,1,10,4 Sanit 3"/>
      <sheetName val="7,1,10,5 4pLG S"/>
      <sheetName val="7,1,11,1 Acomet lluvia"/>
      <sheetName val="7,1,11,2 Acomet lluvia 2"/>
      <sheetName val="7,1,11,3 3plg"/>
      <sheetName val="7,1,11,4&quot;"/>
      <sheetName val="7,1,11,5 Bajante PVC "/>
      <sheetName val="7,1,11,6 Accesorios PVC"/>
      <sheetName val="7,1,12,1 Instalaciòn Lavamanos"/>
      <sheetName val="7,1,12,2 Instalaciòn Sanitario "/>
      <sheetName val="7,1,12,8 Llave  Manguera 1.2 "/>
      <sheetName val="7,1,12,9 Acoflex lav.sant."/>
      <sheetName val="7,1,14 Lavado Tanque"/>
      <sheetName val="7,1,15 Desinfecciòn tanque"/>
      <sheetName val="7,2,1,1 Punto de gas"/>
      <sheetName val="7,2,1,2 Preinstalación gas"/>
      <sheetName val="7,2,1,3 Tuberia  tipo L 1.2&quot;"/>
      <sheetName val="7,2,1,4 Tuberia  tipo L 1&quot;"/>
      <sheetName val="7,2,1,5  Registro bola 1&quot; "/>
      <sheetName val="7,2,1,7  Rejilla vent. plastica"/>
      <sheetName val="8,1"/>
      <sheetName val="8,2"/>
      <sheetName val="8,3"/>
      <sheetName val="8,4"/>
      <sheetName val="8,5"/>
      <sheetName val="8,6"/>
      <sheetName val="8,7"/>
      <sheetName val="8,8"/>
      <sheetName val="8,9"/>
      <sheetName val="8,10"/>
      <sheetName val="8,11"/>
      <sheetName val="8,12"/>
      <sheetName val="8,13"/>
      <sheetName val="8,14"/>
      <sheetName val="8,15"/>
      <sheetName val="8,16"/>
      <sheetName val="8,17"/>
      <sheetName val="8,18"/>
      <sheetName val="8,19"/>
      <sheetName val="8,20"/>
      <sheetName val="8,21"/>
      <sheetName val="8,22"/>
      <sheetName val="8,23"/>
      <sheetName val="8,24"/>
      <sheetName val="8,25"/>
      <sheetName val="8,26"/>
      <sheetName val="8,27"/>
      <sheetName val="8,28"/>
      <sheetName val="8,29"/>
      <sheetName val="8,30"/>
      <sheetName val="8,31"/>
      <sheetName val="8,32"/>
      <sheetName val="8,33"/>
      <sheetName val="8,34"/>
      <sheetName val="8,35"/>
      <sheetName val="8,36"/>
      <sheetName val="8,37"/>
      <sheetName val="8,38"/>
      <sheetName val="8,39"/>
      <sheetName val="8,40"/>
      <sheetName val="8,41"/>
      <sheetName val="8,42"/>
      <sheetName val="8,43"/>
      <sheetName val="8,44"/>
      <sheetName val="8,45"/>
      <sheetName val="8,46"/>
      <sheetName val="8,47"/>
      <sheetName val="8,48"/>
      <sheetName val="8,49"/>
      <sheetName val="8,50"/>
      <sheetName val="8,51"/>
      <sheetName val="8,52"/>
      <sheetName val="8,53"/>
      <sheetName val="8,54"/>
      <sheetName val="8,55"/>
      <sheetName val="8,56"/>
      <sheetName val="8,57"/>
      <sheetName val="8,58"/>
      <sheetName val="8,59"/>
      <sheetName val="8,60"/>
      <sheetName val="8,61"/>
      <sheetName val="8,62"/>
      <sheetName val="8,63"/>
      <sheetName val="8,64"/>
      <sheetName val="8,65"/>
      <sheetName val="8,66"/>
      <sheetName val="8,67"/>
      <sheetName val="8,68"/>
      <sheetName val="8,69"/>
      <sheetName val="8,70"/>
      <sheetName val="8,71"/>
      <sheetName val="8,72"/>
      <sheetName val="8,73"/>
      <sheetName val="8,74"/>
      <sheetName val="8,75"/>
      <sheetName val="8,76"/>
      <sheetName val="8,77"/>
      <sheetName val="8,78"/>
      <sheetName val="8,79"/>
      <sheetName val="8,80"/>
      <sheetName val="8,81"/>
      <sheetName val="8,82"/>
      <sheetName val="8,83"/>
      <sheetName val="8,84"/>
      <sheetName val="8,85"/>
      <sheetName val="8,86"/>
      <sheetName val="8,87"/>
      <sheetName val="9,1,1 Pañete impermeabilizado"/>
      <sheetName val="9,1,2 Pañete muros interiores"/>
      <sheetName val="9,1,3 Pañete Exteriores"/>
      <sheetName val="9,2,1 Pañete bajo placa"/>
      <sheetName val="10,1,1 base mueble concreto"/>
      <sheetName val="10,1,3 Alistado pisos"/>
      <sheetName val="10,1,4 Mortero afinado"/>
      <sheetName val="10,1,6 Acabado Escobeado"/>
      <sheetName val="10,2,1,3 Ceramica 0,20 x 0,20 "/>
      <sheetName val="10,2,2,3 Piso tablòn ges 0,30 "/>
      <sheetName val="10,2,4,1 Baldosin granito"/>
      <sheetName val="10,2,4,3 gravilla m2"/>
      <sheetName val="10,3,1,1 Tablòn cuarto 26"/>
      <sheetName val="10,3,2,1 Guardaescoba"/>
      <sheetName val="10,3,2,3 Media Caña"/>
      <sheetName val="10,3,2,4 Gravilla "/>
      <sheetName val="10,3,2,6 Granito"/>
      <sheetName val="10,4,2 Escalera en Granito"/>
      <sheetName val="10,5,3 Cenefas Gravilla "/>
      <sheetName val="11,1,1 Afinado Mortero"/>
      <sheetName val="11,1,2 Media Caña"/>
      <sheetName val="11,1,3 Afinado Viga canales"/>
      <sheetName val="11,1,4 foil aluminio"/>
      <sheetName val="11,2,2,1 Caballete"/>
      <sheetName val="11,2,2,2 remate"/>
      <sheetName val="11,2,3,1 Domo acrílico"/>
      <sheetName val="11,2,3,2 Acrilico transparente"/>
      <sheetName val="11,2,3,3 Teja trapezoidal Plast"/>
      <sheetName val="11,2,4,1  teja acero"/>
      <sheetName val="11,2,4,2 Cubierta placa"/>
      <sheetName val="11,3,1 Canal Lámina"/>
      <sheetName val="11,3,2 Flashing"/>
      <sheetName val="11,3,3 Tragante 5x3"/>
      <sheetName val="11,3,4 Tragante 6x4"/>
      <sheetName val="11,3,5 Canal PVC"/>
      <sheetName val="12,1,1 Ventanas aluminio "/>
      <sheetName val="12,1,2 Ventanas aluminio reja"/>
      <sheetName val="12,1,3 Puerta aluminio sencillo"/>
      <sheetName val="12,1,4 Puert Alum dob reja"/>
      <sheetName val="12,1,5 Puerta aluminio doble"/>
      <sheetName val="12,1,6 Puert baños"/>
      <sheetName val="12,1,7 PERGOLAS ALUM"/>
      <sheetName val="12,1,8 Puertas discapacitados"/>
      <sheetName val="12,1,9 BARANDA EN ALUMINIO"/>
      <sheetName val="12,2,1,1 Marcos puerta"/>
      <sheetName val="12,2,1,2 Puerta Sencilla"/>
      <sheetName val="12,2,1,3 Ventana"/>
      <sheetName val="12,2,1,5 Puertas Emtamborada"/>
      <sheetName val="12,2,2,1 Pasamanos "/>
      <sheetName val="12,2,2,2 Pasamanos"/>
      <sheetName val="12,2,2,3 Baranda Malla"/>
      <sheetName val=" 12,2,2,4 Baranda tubo"/>
      <sheetName val="12,2,3,1 Rejas en varilla cuadr"/>
      <sheetName val="12,2,3,2 Rejas ventana"/>
      <sheetName val="12,2,3,3 Rejas Puerta baño"/>
      <sheetName val="12,2,3,4 Reja Ventilación"/>
      <sheetName val="12,2,4,1 CORTASOL"/>
      <sheetName val="12,2,4,4 Ventana Malla"/>
      <sheetName val="14,1,1 Ceramica 20 "/>
      <sheetName val="15,1,3 Lampara Fluorecente 2x32"/>
      <sheetName val="16,1,3 Sanitarios tanque"/>
      <sheetName val="16,1,4 Orinal "/>
      <sheetName val="16,1,5 Lavamanos Sobreponer"/>
      <sheetName val="16,1,7 Lavamanos de colgar"/>
      <sheetName val="16,1,8 Sanit Disc"/>
      <sheetName val="16,1,9 Duchas"/>
      <sheetName val="16,1,11 POCETA"/>
      <sheetName val="16,2,1 Pocetas Aseo"/>
      <sheetName val="16,2,5 Llave Terminal"/>
      <sheetName val="16,2,6 Incrustaciones"/>
      <sheetName val="16,2,7 Barras disc"/>
      <sheetName val="17,2,1 Puerta Vidrio"/>
      <sheetName val="17,2,2 Puerta PVC Baterias"/>
      <sheetName val="17,2,3 Divisiones 0,06"/>
      <sheetName val="17,2,4 Divisiones baños "/>
      <sheetName val="18,1,1 pintura koraza"/>
      <sheetName val="18,1,2 pintura plastica"/>
      <sheetName val="18,1,3 Vinilo con estuco"/>
      <sheetName val="18,1,4 Vinilo sin estuco "/>
      <sheetName val="18,1,5 Vinilo Cielos "/>
      <sheetName val="19,1,1 Cerraduras"/>
      <sheetName val="19,4,1 Espejo"/>
      <sheetName val="19,4,2 Vidrio Crudo"/>
      <sheetName val="20,1,2 Exc Man"/>
      <sheetName val="20,1,5 Subbase recebo"/>
      <sheetName val="20,2,1 Andenes"/>
      <sheetName val="20,2,2 Sardinel"/>
      <sheetName val="20,3,1 Solado esp= 0,05"/>
      <sheetName val="20,3,2 Concreto Ciclopeo "/>
      <sheetName val="20,3,3 Vigas de Amarre"/>
      <sheetName val="20,3,5  Cerramiento Malla Esla"/>
      <sheetName val="20,3,6  Muros de contencion "/>
      <sheetName val="20,4,2 Pradización"/>
      <sheetName val="20,4,4 Arborización"/>
      <sheetName val="20,5,1 Gaviones en piedra"/>
      <sheetName val="20,5,2 PERGOLA  METALICA"/>
      <sheetName val="20,5,3  Acero 37000  Ext."/>
      <sheetName val="20,5,4 Acero 60000 psi"/>
      <sheetName val="20,5,5 Malla Electrosoldada  "/>
      <sheetName val="21,1,1 Lavada ladrillo "/>
      <sheetName val="20,2,13 Escalinatas"/>
      <sheetName val="21,1,3 Aseo"/>
      <sheetName val="21,1,4 Retiro Escombros"/>
      <sheetName val="Pasamanos "/>
      <sheetName val="Hoja1"/>
      <sheetName val="Hoja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IU Nuevo"/>
      <sheetName val="0,0,0"/>
      <sheetName val="Formato FONADE"/>
      <sheetName val="PRESUPUESTO CONC OCRE $CONT"/>
      <sheetName val="PRESUPUESTO CONC GRIS"/>
      <sheetName val="PRESUPUESTO CONC GRIS $FONADE"/>
      <sheetName val="PRESUPUESTO ETAPA 1"/>
      <sheetName val="Cuadro Resumen"/>
      <sheetName val="Resumen m2"/>
      <sheetName val="DOTACIÓN"/>
      <sheetName val="Datos entrada"/>
      <sheetName val="Mort 1-3 Imper"/>
      <sheetName val=" Acero Refuerzo 37000"/>
      <sheetName val=" Acero Refuerzo 60000"/>
      <sheetName val=" Malla Electrosoldada "/>
      <sheetName val="P Eléctrico"/>
      <sheetName val="P Agua Fria"/>
      <sheetName val="P Sanitario"/>
      <sheetName val="Marcos puerta"/>
      <sheetName val="Marcos ventana"/>
      <sheetName val="1,1,1"/>
      <sheetName val="1,1,3"/>
      <sheetName val="1,1,7"/>
      <sheetName val="1,2,1"/>
      <sheetName val="1,2,2"/>
      <sheetName val="1,3,1"/>
      <sheetName val="1,3,2"/>
      <sheetName val="1,3,3"/>
      <sheetName val="1,3,4"/>
      <sheetName val="1,3,5"/>
      <sheetName val="1,3,6"/>
      <sheetName val="1,3,7"/>
      <sheetName val="1,3,8"/>
      <sheetName val="1,4,2"/>
      <sheetName val="1,4,3"/>
      <sheetName val="1,4,4"/>
      <sheetName val="1,4,5"/>
      <sheetName val="1,4,6"/>
      <sheetName val="1,4,8"/>
      <sheetName val="2,1,3"/>
      <sheetName val="2,1,6"/>
      <sheetName val="2,1,7"/>
      <sheetName val="2,1,8"/>
      <sheetName val="2,1,9"/>
      <sheetName val="2,1,11"/>
      <sheetName val="2,2,2"/>
      <sheetName val="2,2,3"/>
      <sheetName val="2,2,7"/>
      <sheetName val="2,2,6,1"/>
      <sheetName val="2,2,6,2"/>
      <sheetName val="2,2,6,3"/>
      <sheetName val="2,2,6,4"/>
      <sheetName val="2,2,6,5"/>
      <sheetName val="2,2,8"/>
      <sheetName val="2,2,10"/>
      <sheetName val="2,2,11"/>
      <sheetName val="2,2,12"/>
      <sheetName val="2,4,1"/>
      <sheetName val="2,4,2"/>
      <sheetName val="2,4,3"/>
      <sheetName val="2,4,4"/>
      <sheetName val="3,1,3"/>
      <sheetName val="3,1,4"/>
      <sheetName val="3,1,5"/>
      <sheetName val="3,1,6"/>
      <sheetName val="3,1,7"/>
      <sheetName val="3,1,8"/>
      <sheetName val="3,2,1"/>
      <sheetName val="3,2,2"/>
      <sheetName val="3,2,3"/>
      <sheetName val="3,2,4"/>
      <sheetName val="3,2,5"/>
      <sheetName val="3,2,6"/>
      <sheetName val="3,3,1"/>
      <sheetName val="3,3,2"/>
      <sheetName val="3,3,3"/>
      <sheetName val="3,3,4"/>
      <sheetName val="3,3,5"/>
      <sheetName val="3,3,6"/>
      <sheetName val="3,4,4"/>
      <sheetName val="3,4,6"/>
      <sheetName val="3,4,7"/>
      <sheetName val="3,4,8"/>
      <sheetName val="3,4,9"/>
      <sheetName val="3.03.01"/>
      <sheetName val="3,5,2"/>
      <sheetName val="3.03.02"/>
      <sheetName val="3,5,4"/>
      <sheetName val="3,5,5"/>
      <sheetName val="3,6,2"/>
      <sheetName val="4,1,2"/>
      <sheetName val="4,1,3"/>
      <sheetName val="4,2,2"/>
      <sheetName val="4,2,3"/>
      <sheetName val="4,3,1"/>
      <sheetName val="4,3,2"/>
      <sheetName val="4,3,3"/>
      <sheetName val="4,3,6"/>
      <sheetName val="4,3,7"/>
      <sheetName val="4,3,8"/>
      <sheetName val="4,3,9"/>
      <sheetName val="4,3,10"/>
      <sheetName val="4,4,2"/>
      <sheetName val="4,4,3"/>
      <sheetName val="4,4,4"/>
      <sheetName val="4,4,5"/>
      <sheetName val="4,6,1,1"/>
      <sheetName val="4,6,2,3"/>
      <sheetName val="5,1,1"/>
      <sheetName val="5,1,2"/>
      <sheetName val="5,1,3"/>
      <sheetName val="5,1,5"/>
      <sheetName val="5,1,6"/>
      <sheetName val="5,1,7"/>
      <sheetName val="5,2,1"/>
      <sheetName val="5,2,2"/>
      <sheetName val="5,2,3"/>
      <sheetName val="5,2,4"/>
      <sheetName val="5,3,1"/>
      <sheetName val="5,3,3"/>
      <sheetName val="5,3,4"/>
      <sheetName val="5,4,1"/>
      <sheetName val="5,4,2"/>
      <sheetName val="5,5,1"/>
      <sheetName val="5,5,3"/>
      <sheetName val="5,6,1"/>
      <sheetName val="6,1,2"/>
      <sheetName val="6,1,3"/>
      <sheetName val="6,1,8"/>
      <sheetName val="6,1,9"/>
      <sheetName val="6,1,10"/>
      <sheetName val="6,1,11"/>
      <sheetName val="6,1,14"/>
      <sheetName val="6,1,15"/>
      <sheetName val="6,1,17"/>
      <sheetName val="6,1,19"/>
      <sheetName val="6,1,24"/>
      <sheetName val="6,2,1"/>
      <sheetName val="6,2,3"/>
      <sheetName val="6,2,5"/>
      <sheetName val="6,2,8"/>
      <sheetName val="6,2,9"/>
      <sheetName val="6,2,10"/>
      <sheetName val="6,2,11"/>
      <sheetName val="6,2,12"/>
      <sheetName val="6,2,13"/>
      <sheetName val="7,1,1,1"/>
      <sheetName val="7,1,1,2"/>
      <sheetName val="7,1,1,7"/>
      <sheetName val="7,1,1,8"/>
      <sheetName val="7,1,2,1"/>
      <sheetName val="7,1,2,2"/>
      <sheetName val="7,1,2,3"/>
      <sheetName val="7,1,3,1 "/>
      <sheetName val="7,1,3,2"/>
      <sheetName val="7,1,3,3"/>
      <sheetName val="7,1,3,4"/>
      <sheetName val="7,1,3,5"/>
      <sheetName val="7,1,3,6"/>
      <sheetName val="7,1,3,7"/>
      <sheetName val="7,1,3,8"/>
      <sheetName val="7,1,4,1"/>
      <sheetName val="7,1,4,2"/>
      <sheetName val="7,1,4,3"/>
      <sheetName val="7,1,4,5"/>
      <sheetName val="7,1,4,6"/>
      <sheetName val="7,1,4,7"/>
      <sheetName val="7,1,4,8"/>
      <sheetName val="7,1,5,1"/>
      <sheetName val="7,1,5,4"/>
      <sheetName val="7,1,5,6"/>
      <sheetName val="7,1,6,4"/>
      <sheetName val="7,1,6,7"/>
      <sheetName val="7,1,6,8"/>
      <sheetName val="7,1,6,9"/>
      <sheetName val="7,1,6,10"/>
      <sheetName val="7,1,6,11"/>
      <sheetName val="7,1,7,1"/>
      <sheetName val="7,1,7,2"/>
      <sheetName val="7,1,7,3"/>
      <sheetName val="7,1,7,4"/>
      <sheetName val="7,1,7,5"/>
      <sheetName val="7,1,8,2"/>
      <sheetName val="7,1,8,3"/>
      <sheetName val="7,1,8,4"/>
      <sheetName val="7,1,8,5"/>
      <sheetName val="7,1,8,6"/>
      <sheetName val="7,1,8,7"/>
      <sheetName val="7,1,8,8"/>
      <sheetName val="7,1,8,10"/>
      <sheetName val="7,1,8,11"/>
      <sheetName val="7,1,8,12"/>
      <sheetName val="7,1,8,13"/>
      <sheetName val="7,1,9,4"/>
      <sheetName val="7,1,9,7"/>
      <sheetName val="7,1,9,9"/>
      <sheetName val="7,1,10,1"/>
      <sheetName val="7,1,10,2"/>
      <sheetName val="7,1,10,200"/>
      <sheetName val="7,1,10,3"/>
      <sheetName val="7,1,10,4"/>
      <sheetName val="7,1,10,5"/>
      <sheetName val="7,1,10,6"/>
      <sheetName val="7,1,11,3"/>
      <sheetName val="7,1,11,4"/>
      <sheetName val="7,1,11,5"/>
      <sheetName val="7,1,11,6"/>
      <sheetName val="7,1,12,1"/>
      <sheetName val="7,1,12,2"/>
      <sheetName val="7,1,12,8"/>
      <sheetName val="7,1,12,9"/>
      <sheetName val="7,1,14"/>
      <sheetName val="7,1,15"/>
      <sheetName val="7,1,16,1"/>
      <sheetName val="7,1,16,2"/>
      <sheetName val="7,2,1,1"/>
      <sheetName val="7,2,1,2"/>
      <sheetName val="7,2,1,3"/>
      <sheetName val="7,2,1,4"/>
      <sheetName val="7,2,1,5"/>
      <sheetName val="7,2,1,7"/>
      <sheetName val="7,3,1"/>
      <sheetName val="7,3,2"/>
      <sheetName val="7,3,3"/>
      <sheetName val="7,3,4"/>
      <sheetName val="8,1,2"/>
      <sheetName val="8,1,3"/>
      <sheetName val="8,1,5"/>
      <sheetName val="8,2,6"/>
      <sheetName val="8,3,1"/>
      <sheetName val="8,3,3"/>
      <sheetName val="8,3,4"/>
      <sheetName val="8,3,5"/>
      <sheetName val="8,3,6"/>
      <sheetName val="8,5,3"/>
      <sheetName val="8,5,4"/>
      <sheetName val="8,5,5"/>
      <sheetName val="8,5,6"/>
      <sheetName val="8,6,1"/>
      <sheetName val="8,6,2"/>
      <sheetName val="8,6,3"/>
      <sheetName val="8,6,4"/>
      <sheetName val="8,6,5"/>
      <sheetName val="8,6,6"/>
      <sheetName val="8,6,7"/>
      <sheetName val="8,6,8"/>
      <sheetName val="8,6,9"/>
      <sheetName val="8,6,10"/>
      <sheetName val="8,6,11"/>
      <sheetName val="8,6,12"/>
      <sheetName val="8,6,13"/>
      <sheetName val="8,6,14"/>
      <sheetName val="8,1,1,1"/>
      <sheetName val="8,1,1,2"/>
      <sheetName val="8,1,1,3"/>
      <sheetName val="8,1,1,4"/>
      <sheetName val="8,1,1,5"/>
      <sheetName val="8,1,1,6"/>
      <sheetName val="8,2,1,1"/>
      <sheetName val="8,2,1,2"/>
      <sheetName val="8,2,1,3"/>
      <sheetName val="8,2,1,4"/>
      <sheetName val="8,1,1,12"/>
      <sheetName val="8,1,1,16"/>
      <sheetName val="8,2,1,5"/>
      <sheetName val="8,2,1,6"/>
      <sheetName val="8,2,1,7"/>
      <sheetName val="8,2,1,8"/>
      <sheetName val="8,2,1,9"/>
      <sheetName val="8,3,1,1"/>
      <sheetName val="8,3,1,2"/>
      <sheetName val="8,3,1,3"/>
      <sheetName val="8,3,1,4"/>
      <sheetName val="8,3,1,5"/>
      <sheetName val="8,4,1,1"/>
      <sheetName val="8,4,1,2"/>
      <sheetName val="8,4,1,3"/>
      <sheetName val="8,4,1,4"/>
      <sheetName val="8,3,1,10"/>
      <sheetName val="8,4,1,5"/>
      <sheetName val="8,4,1,6"/>
      <sheetName val="8,5,1,1"/>
      <sheetName val="8,4,1,11"/>
      <sheetName val="8,4,1,12"/>
      <sheetName val="8,5,1,2"/>
      <sheetName val="8,5,1,3"/>
      <sheetName val="8,5,1,4"/>
      <sheetName val="8,5,1,5"/>
      <sheetName val="8,6,1,1"/>
      <sheetName val="8,6,1,2"/>
      <sheetName val="8,6,1,3"/>
      <sheetName val="8,6,1,4"/>
      <sheetName val="8,7,1,1"/>
      <sheetName val="8,7,1,2"/>
      <sheetName val="8,7,1,3"/>
      <sheetName val="8,7,1,4"/>
      <sheetName val="8,7,1,5"/>
      <sheetName val="8,7,1,6"/>
      <sheetName val="8,7,1,7"/>
      <sheetName val="8,7,1,8"/>
      <sheetName val="8,7,1,9"/>
      <sheetName val="8,7,1,10"/>
      <sheetName val="8,8,1,1"/>
      <sheetName val="8,7,1,11"/>
      <sheetName val="9,2,1"/>
      <sheetName val="10,1,3"/>
      <sheetName val="10,1,4"/>
      <sheetName val="10,1,6"/>
      <sheetName val="10,2,1,3"/>
      <sheetName val="10,2,2,3"/>
      <sheetName val="10,2,4,2"/>
      <sheetName val="10,2,4,3"/>
      <sheetName val="10,3,1,1"/>
      <sheetName val="10,2,4,4"/>
      <sheetName val="10,3,2,3"/>
      <sheetName val="10,3,2,5"/>
      <sheetName val="10,4,2"/>
      <sheetName val="10,5,3"/>
      <sheetName val="8,5,1,10"/>
      <sheetName val="8,5,1,11"/>
      <sheetName val="11,2,2,2"/>
      <sheetName val="11,2,3,1"/>
      <sheetName val="11,2,3,2"/>
      <sheetName val="11,2,3,3"/>
      <sheetName val="11,2,4,1"/>
      <sheetName val="11,2,4,2"/>
      <sheetName val="11,2,5,1"/>
      <sheetName val="11,2,5,2"/>
      <sheetName val="11,3,1"/>
      <sheetName val="11,3,3"/>
      <sheetName val="11,2,4,3"/>
      <sheetName val="11,3,5"/>
      <sheetName val="12,1,2"/>
      <sheetName val="12,1,4 "/>
      <sheetName val="12,1,5"/>
      <sheetName val="12,1,6"/>
      <sheetName val="12,1,7"/>
      <sheetName val="12,1,8"/>
      <sheetName val="12,1,9"/>
      <sheetName val="12,2,1,1"/>
      <sheetName val="12,2,1,2"/>
      <sheetName val="12,2,1,3"/>
      <sheetName val="12,2,1,10"/>
      <sheetName val="12,2,2,1"/>
      <sheetName val="12,2,1,11"/>
      <sheetName val="12,2,1,12"/>
      <sheetName val="12,2,2,2"/>
      <sheetName val="12,2,2,3"/>
      <sheetName val=" 12,2,2,4"/>
      <sheetName val=" 12,2,2,5"/>
      <sheetName val=" 12,2,2,6"/>
      <sheetName val="12,2,3,1"/>
      <sheetName val="12,2,3,2"/>
      <sheetName val="12,2,3,3"/>
      <sheetName val="12,2,3,4"/>
      <sheetName val="12,2,4,1"/>
      <sheetName val="12,2,4,3"/>
      <sheetName val="12,2,4,4"/>
      <sheetName val="12,2,4,11"/>
      <sheetName val="12,2,4,12"/>
      <sheetName val="12,2,4,13"/>
      <sheetName val="12,2,4,14"/>
      <sheetName val="12,2,4,15"/>
      <sheetName val="13,1,2"/>
      <sheetName val="13,1,5"/>
      <sheetName val="13,1,6"/>
      <sheetName val="13,3,3"/>
      <sheetName val="13,4,1"/>
      <sheetName val="12,2,4,10"/>
      <sheetName val="15,1,3"/>
      <sheetName val="16,1,7"/>
      <sheetName val="16,1,8"/>
      <sheetName val="16,2,1"/>
      <sheetName val="16,2,2"/>
      <sheetName val="16,2,3"/>
      <sheetName val="16,2,6"/>
      <sheetName val="17,1,3"/>
      <sheetName val="17,2,1"/>
      <sheetName val="17,2,2"/>
      <sheetName val="17,2,3"/>
      <sheetName val="18,1,2"/>
      <sheetName val="18,1,3"/>
      <sheetName val="18,1,5 "/>
      <sheetName val="19,1,1"/>
      <sheetName val="19,1,5"/>
      <sheetName val="19,1,6"/>
      <sheetName val="20,1,2"/>
      <sheetName val="20,1,3"/>
      <sheetName val="20,1,5"/>
      <sheetName val="20,2,3"/>
      <sheetName val="20,2,4"/>
      <sheetName val="20,2,5"/>
      <sheetName val="20,2,6"/>
      <sheetName val="20,2,7"/>
      <sheetName val="20,2,10"/>
      <sheetName val="20,2,11"/>
      <sheetName val="20,2,12"/>
      <sheetName val="20,2,13"/>
      <sheetName val="20,2,20"/>
      <sheetName val="20,2,21"/>
      <sheetName val="20,2,22"/>
      <sheetName val="20,2,23"/>
      <sheetName val="20,2,24"/>
      <sheetName val="20,3,1"/>
      <sheetName val="20,3,2"/>
      <sheetName val="20,3,3"/>
      <sheetName val="20,3,5"/>
      <sheetName val="20,3,6"/>
      <sheetName val="20,4,1"/>
      <sheetName val="20,4,2"/>
      <sheetName val="20,4,3"/>
      <sheetName val="20,4,4"/>
      <sheetName val="20,4,5"/>
      <sheetName val="20,5,100"/>
      <sheetName val="20,5,2"/>
      <sheetName val="20,5,3"/>
      <sheetName val="20,5,4"/>
      <sheetName val="20,5,5"/>
      <sheetName val="20,5,7"/>
      <sheetName val="20,5,8"/>
      <sheetName val="20,5,9"/>
      <sheetName val="21,1,1"/>
      <sheetName val="21,2,1"/>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eva 2021 TRABAJANDO"/>
      <sheetName val="Nieva 2021 RESPUESTA 2"/>
      <sheetName val="Nieva 2021 trabajando 3"/>
      <sheetName val="Nieva 2021 trabajando 4"/>
      <sheetName val="Neiva 2021 trabajando 5"/>
      <sheetName val="Nieva 2021 ENVIADO"/>
      <sheetName val="Nieva 2021 PARA RESPUESTA"/>
    </sheetNames>
    <sheetDataSet>
      <sheetData sheetId="0"/>
      <sheetData sheetId="1"/>
      <sheetData sheetId="2"/>
      <sheetData sheetId="3">
        <row r="554">
          <cell r="K554">
            <v>7421442721</v>
          </cell>
        </row>
      </sheetData>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8.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O555"/>
  <sheetViews>
    <sheetView showZeros="0" view="pageBreakPreview" topLeftCell="G240" zoomScale="87" zoomScaleNormal="90" zoomScaleSheetLayoutView="87" workbookViewId="0">
      <selection activeCell="M553" sqref="M553"/>
    </sheetView>
  </sheetViews>
  <sheetFormatPr baseColWidth="10" defaultColWidth="11.5703125" defaultRowHeight="15" x14ac:dyDescent="0.25"/>
  <cols>
    <col min="1" max="1" width="3.5703125" customWidth="1"/>
    <col min="3" max="3" width="58.140625" style="117" customWidth="1"/>
    <col min="4" max="4" width="11.5703125" style="118" customWidth="1"/>
    <col min="5" max="5" width="11.5703125" style="119" customWidth="1"/>
    <col min="6" max="6" width="17.7109375" customWidth="1"/>
    <col min="7" max="7" width="19.5703125" customWidth="1"/>
    <col min="8" max="8" width="48.85546875" style="118" customWidth="1"/>
    <col min="9" max="9" width="20.28515625" customWidth="1"/>
    <col min="10" max="10" width="11.5703125" customWidth="1"/>
    <col min="11" max="11" width="17.85546875" customWidth="1"/>
    <col min="15" max="15" width="24.5703125" customWidth="1"/>
  </cols>
  <sheetData>
    <row r="1" spans="2:15" ht="14.45" customHeight="1" x14ac:dyDescent="0.25">
      <c r="B1" s="421" t="s">
        <v>0</v>
      </c>
      <c r="C1" s="422"/>
      <c r="D1" s="422"/>
      <c r="E1" s="422"/>
      <c r="F1" s="422"/>
      <c r="G1" s="422"/>
      <c r="O1">
        <f t="shared" ref="O1:O64" si="0">M1*N1</f>
        <v>0</v>
      </c>
    </row>
    <row r="2" spans="2:15" x14ac:dyDescent="0.25">
      <c r="B2" s="423"/>
      <c r="C2" s="424"/>
      <c r="D2" s="424"/>
      <c r="E2" s="424"/>
      <c r="F2" s="424"/>
      <c r="G2" s="424"/>
      <c r="O2">
        <f t="shared" si="0"/>
        <v>0</v>
      </c>
    </row>
    <row r="3" spans="2:15" ht="16.5" x14ac:dyDescent="0.25">
      <c r="B3" s="70" t="s">
        <v>1</v>
      </c>
      <c r="C3" s="71" t="s">
        <v>2</v>
      </c>
      <c r="D3" s="70" t="s">
        <v>3</v>
      </c>
      <c r="E3" s="72" t="s">
        <v>4</v>
      </c>
      <c r="F3" s="73" t="s">
        <v>5</v>
      </c>
      <c r="G3" s="70" t="s">
        <v>6</v>
      </c>
      <c r="H3" s="118" t="s">
        <v>7</v>
      </c>
      <c r="O3">
        <f t="shared" si="0"/>
        <v>0</v>
      </c>
    </row>
    <row r="4" spans="2:15" ht="16.5" x14ac:dyDescent="0.25">
      <c r="B4" s="74">
        <v>1</v>
      </c>
      <c r="C4" s="75" t="s">
        <v>8</v>
      </c>
      <c r="D4" s="76"/>
      <c r="E4" s="77"/>
      <c r="F4" s="78"/>
      <c r="G4" s="79"/>
      <c r="O4">
        <f t="shared" si="0"/>
        <v>0</v>
      </c>
    </row>
    <row r="5" spans="2:15" ht="18" customHeight="1" x14ac:dyDescent="0.25">
      <c r="B5" s="80" t="s">
        <v>9</v>
      </c>
      <c r="C5" s="81" t="s">
        <v>10</v>
      </c>
      <c r="D5" s="82"/>
      <c r="E5" s="83"/>
      <c r="F5" s="84"/>
      <c r="G5" s="85"/>
      <c r="O5">
        <f t="shared" si="0"/>
        <v>0</v>
      </c>
    </row>
    <row r="6" spans="2:15" ht="15" customHeight="1" x14ac:dyDescent="0.25">
      <c r="B6" s="86" t="s">
        <v>11</v>
      </c>
      <c r="C6" s="87" t="s">
        <v>12</v>
      </c>
      <c r="D6" s="82" t="s">
        <v>13</v>
      </c>
      <c r="E6" s="83">
        <v>250</v>
      </c>
      <c r="F6" s="88">
        <v>25729</v>
      </c>
      <c r="G6" s="89">
        <f>ROUND(+F6*E6,2)</f>
        <v>6432250</v>
      </c>
      <c r="H6" s="118" t="str">
        <f t="array" ref="H6:K6">_xlfn.XLOOKUP(C6,'ESAP NEIVA FASE II UNIFICADO'!$C$6:$C$720,'ESAP NEIVA FASE II UNIFICADO'!$C$6:$F$720,"NO ESTA")</f>
        <v>DESCAPOTE A MAQUINA (INCLUYE RETIRO)</v>
      </c>
      <c r="I6" t="str">
        <v>M2</v>
      </c>
      <c r="J6">
        <v>295</v>
      </c>
      <c r="K6">
        <v>23484</v>
      </c>
      <c r="L6">
        <f>+IF(J6&gt;0,0,1)</f>
        <v>0</v>
      </c>
      <c r="O6">
        <f t="shared" si="0"/>
        <v>0</v>
      </c>
    </row>
    <row r="7" spans="2:15" ht="15" customHeight="1" x14ac:dyDescent="0.25">
      <c r="B7" s="86" t="s">
        <v>14</v>
      </c>
      <c r="C7" s="87" t="s">
        <v>15</v>
      </c>
      <c r="D7" s="82" t="s">
        <v>16</v>
      </c>
      <c r="E7" s="83">
        <v>8</v>
      </c>
      <c r="F7" s="88">
        <v>32444</v>
      </c>
      <c r="G7" s="89">
        <f t="shared" ref="G7:G70" si="1">ROUND(+F7*E7,2)</f>
        <v>259552</v>
      </c>
      <c r="H7" s="118" t="str">
        <f t="array" ref="H7:K7">_xlfn.XLOOKUP(C7,'ESAP NEIVA FASE II UNIFICADO'!$C$6:$C$720,'ESAP NEIVA FASE II UNIFICADO'!$C$6:$F$720,"NO ESTA")</f>
        <v>BARRERA DE PROTECCIÓN PARA ARBOLES EXISTENTES</v>
      </c>
      <c r="I7" t="str">
        <v>UND</v>
      </c>
      <c r="J7">
        <v>0</v>
      </c>
      <c r="K7">
        <v>35057</v>
      </c>
      <c r="O7">
        <f t="shared" si="0"/>
        <v>0</v>
      </c>
    </row>
    <row r="8" spans="2:15" ht="18" customHeight="1" x14ac:dyDescent="0.25">
      <c r="B8" s="80" t="s">
        <v>17</v>
      </c>
      <c r="C8" s="81" t="s">
        <v>18</v>
      </c>
      <c r="D8" s="82"/>
      <c r="E8" s="83"/>
      <c r="F8" s="90"/>
      <c r="G8" s="89">
        <f t="shared" si="1"/>
        <v>0</v>
      </c>
      <c r="O8">
        <f t="shared" si="0"/>
        <v>0</v>
      </c>
    </row>
    <row r="9" spans="2:15" ht="12" customHeight="1" x14ac:dyDescent="0.25">
      <c r="B9" s="80" t="s">
        <v>19</v>
      </c>
      <c r="C9" s="81" t="s">
        <v>20</v>
      </c>
      <c r="D9" s="82"/>
      <c r="E9" s="83"/>
      <c r="F9" s="90"/>
      <c r="G9" s="89">
        <f t="shared" si="1"/>
        <v>0</v>
      </c>
      <c r="O9">
        <f t="shared" si="0"/>
        <v>0</v>
      </c>
    </row>
    <row r="10" spans="2:15" ht="30" customHeight="1" x14ac:dyDescent="0.25">
      <c r="B10" s="86" t="s">
        <v>21</v>
      </c>
      <c r="C10" s="87" t="s">
        <v>22</v>
      </c>
      <c r="D10" s="82" t="s">
        <v>13</v>
      </c>
      <c r="E10" s="83">
        <v>0</v>
      </c>
      <c r="F10" s="88">
        <v>21893</v>
      </c>
      <c r="G10" s="89">
        <f t="shared" si="1"/>
        <v>0</v>
      </c>
      <c r="H10" s="118" t="str">
        <f t="array" ref="H10">_xlfn.XLOOKUP(C10,'ESAP NEIVA FASE II UNIFICADO'!$C$6:$C$720,'ESAP NEIVA FASE II UNIFICADO'!$C$6:$F$720,"NO ESTA")</f>
        <v>NO ESTA</v>
      </c>
      <c r="L10">
        <f t="shared" ref="L10:L73" si="2">+IF(J10&gt;0,0,1)</f>
        <v>1</v>
      </c>
      <c r="M10">
        <f t="shared" ref="M10:M73" si="3">IF(L10=1,F10,0)</f>
        <v>21893</v>
      </c>
      <c r="N10" s="119">
        <f t="shared" ref="N10:N73" si="4">E10</f>
        <v>0</v>
      </c>
      <c r="O10">
        <f t="shared" si="0"/>
        <v>0</v>
      </c>
    </row>
    <row r="11" spans="2:15" ht="30" customHeight="1" x14ac:dyDescent="0.25">
      <c r="B11" s="86" t="s">
        <v>23</v>
      </c>
      <c r="C11" s="87" t="s">
        <v>24</v>
      </c>
      <c r="D11" s="82" t="s">
        <v>13</v>
      </c>
      <c r="E11" s="83">
        <v>151</v>
      </c>
      <c r="F11" s="88">
        <v>28536</v>
      </c>
      <c r="G11" s="89">
        <f t="shared" si="1"/>
        <v>4308936</v>
      </c>
      <c r="H11" s="118" t="str">
        <f t="array" ref="H11">_xlfn.XLOOKUP(C11,'ESAP NEIVA FASE II UNIFICADO'!$C$6:$C$720,'ESAP NEIVA FASE II UNIFICADO'!$C$6:$F$720,"NO ESTA")</f>
        <v>NO ESTA</v>
      </c>
      <c r="L11">
        <f t="shared" si="2"/>
        <v>1</v>
      </c>
      <c r="M11">
        <f t="shared" si="3"/>
        <v>28536</v>
      </c>
      <c r="N11" s="119">
        <f t="shared" si="4"/>
        <v>151</v>
      </c>
      <c r="O11">
        <f t="shared" si="0"/>
        <v>4308936</v>
      </c>
    </row>
    <row r="12" spans="2:15" ht="13.5" customHeight="1" x14ac:dyDescent="0.25">
      <c r="B12" s="74">
        <v>2</v>
      </c>
      <c r="C12" s="75" t="s">
        <v>25</v>
      </c>
      <c r="D12" s="76"/>
      <c r="E12" s="77"/>
      <c r="F12" s="78"/>
      <c r="G12" s="89">
        <f t="shared" si="1"/>
        <v>0</v>
      </c>
      <c r="L12">
        <f t="shared" si="2"/>
        <v>1</v>
      </c>
      <c r="M12">
        <f t="shared" si="3"/>
        <v>0</v>
      </c>
      <c r="N12" s="119">
        <f t="shared" si="4"/>
        <v>0</v>
      </c>
      <c r="O12">
        <f t="shared" si="0"/>
        <v>0</v>
      </c>
    </row>
    <row r="13" spans="2:15" ht="18" customHeight="1" x14ac:dyDescent="0.25">
      <c r="B13" s="80" t="s">
        <v>26</v>
      </c>
      <c r="C13" s="81" t="s">
        <v>27</v>
      </c>
      <c r="D13" s="82"/>
      <c r="E13" s="83"/>
      <c r="F13" s="84"/>
      <c r="G13" s="89">
        <f t="shared" si="1"/>
        <v>0</v>
      </c>
      <c r="L13">
        <f t="shared" si="2"/>
        <v>1</v>
      </c>
      <c r="M13">
        <f t="shared" si="3"/>
        <v>0</v>
      </c>
      <c r="N13" s="119">
        <f t="shared" si="4"/>
        <v>0</v>
      </c>
      <c r="O13">
        <f t="shared" si="0"/>
        <v>0</v>
      </c>
    </row>
    <row r="14" spans="2:15" ht="19.5" customHeight="1" x14ac:dyDescent="0.25">
      <c r="B14" s="86" t="s">
        <v>28</v>
      </c>
      <c r="C14" s="87" t="s">
        <v>29</v>
      </c>
      <c r="D14" s="82" t="s">
        <v>30</v>
      </c>
      <c r="E14" s="83">
        <v>0</v>
      </c>
      <c r="F14" s="88">
        <v>29285</v>
      </c>
      <c r="G14" s="89">
        <f t="shared" si="1"/>
        <v>0</v>
      </c>
      <c r="H14" s="118" t="str">
        <f t="array" ref="H14:K14">_xlfn.XLOOKUP(C14,'ESAP NEIVA FASE II UNIFICADO'!$C$6:$C$720,'ESAP NEIVA FASE II UNIFICADO'!$C$6:$F$720,"NO ESTA")</f>
        <v>EXCAVACIÓN MECÁNICA EN MATERIAL COMÚN (incluye cargue y retiro)</v>
      </c>
      <c r="I14" t="str">
        <v>M3</v>
      </c>
      <c r="J14">
        <v>400</v>
      </c>
      <c r="K14">
        <v>31642</v>
      </c>
      <c r="L14">
        <f t="shared" si="2"/>
        <v>0</v>
      </c>
      <c r="M14">
        <f t="shared" si="3"/>
        <v>0</v>
      </c>
      <c r="N14" s="119">
        <f t="shared" si="4"/>
        <v>0</v>
      </c>
      <c r="O14">
        <f t="shared" si="0"/>
        <v>0</v>
      </c>
    </row>
    <row r="15" spans="2:15" ht="18.75" customHeight="1" x14ac:dyDescent="0.25">
      <c r="B15" s="86" t="s">
        <v>31</v>
      </c>
      <c r="C15" s="87" t="s">
        <v>32</v>
      </c>
      <c r="D15" s="82" t="s">
        <v>30</v>
      </c>
      <c r="E15" s="83">
        <v>299.45</v>
      </c>
      <c r="F15" s="88">
        <v>36993</v>
      </c>
      <c r="G15" s="89">
        <f t="shared" si="1"/>
        <v>11077553.85</v>
      </c>
      <c r="H15" s="118" t="str">
        <f t="array" ref="H15:K15">_xlfn.XLOOKUP(C15,'ESAP NEIVA FASE II UNIFICADO'!$C$6:$C$720,'ESAP NEIVA FASE II UNIFICADO'!$C$6:$F$720,"NO ESTA")</f>
        <v>EXCAVACIÓN MANUAL EN MATERIAL COMÚN (incluye cargue y retiro)</v>
      </c>
      <c r="I15" t="str">
        <v>M3</v>
      </c>
      <c r="J15">
        <v>57.945499999999981</v>
      </c>
      <c r="K15">
        <v>39971</v>
      </c>
      <c r="L15">
        <f t="shared" si="2"/>
        <v>0</v>
      </c>
      <c r="M15">
        <f t="shared" si="3"/>
        <v>0</v>
      </c>
      <c r="N15" s="119">
        <f t="shared" si="4"/>
        <v>299.45</v>
      </c>
      <c r="O15">
        <f t="shared" si="0"/>
        <v>0</v>
      </c>
    </row>
    <row r="16" spans="2:15" ht="30" customHeight="1" x14ac:dyDescent="0.25">
      <c r="B16" s="86" t="s">
        <v>33</v>
      </c>
      <c r="C16" s="147" t="s">
        <v>34</v>
      </c>
      <c r="D16" s="82" t="s">
        <v>30</v>
      </c>
      <c r="E16" s="83">
        <v>524.07000000000005</v>
      </c>
      <c r="F16" s="88">
        <v>11569</v>
      </c>
      <c r="G16" s="89">
        <f t="shared" si="1"/>
        <v>6062965.8300000001</v>
      </c>
      <c r="H16" s="118" t="str">
        <f t="array" ref="H16:K16">_xlfn.XLOOKUP(C16,'ESAP NEIVA FASE II UNIFICADO'!$C$6:$C$720,'ESAP NEIVA FASE II UNIFICADO'!$C$6:$F$720,"NO ESTA")</f>
        <v>RELLENOS EN MATERIAL COMÚN, SELECCIONADO DE OBRA (Incluye Compactación)</v>
      </c>
      <c r="I16" t="str">
        <v>M3</v>
      </c>
      <c r="J16">
        <v>56.107679999999959</v>
      </c>
      <c r="K16">
        <v>12500</v>
      </c>
      <c r="L16">
        <f t="shared" si="2"/>
        <v>0</v>
      </c>
      <c r="M16">
        <f t="shared" si="3"/>
        <v>0</v>
      </c>
      <c r="N16" s="119">
        <f t="shared" si="4"/>
        <v>524.07000000000005</v>
      </c>
      <c r="O16">
        <f t="shared" si="0"/>
        <v>0</v>
      </c>
    </row>
    <row r="17" spans="2:15" ht="17.25" customHeight="1" x14ac:dyDescent="0.25">
      <c r="B17" s="86" t="s">
        <v>35</v>
      </c>
      <c r="C17" s="87" t="s">
        <v>36</v>
      </c>
      <c r="D17" s="82" t="s">
        <v>30</v>
      </c>
      <c r="E17" s="83">
        <v>122.54</v>
      </c>
      <c r="F17" s="88">
        <v>58243</v>
      </c>
      <c r="G17" s="89">
        <f t="shared" si="1"/>
        <v>7137097.2199999997</v>
      </c>
      <c r="H17" s="118" t="str">
        <f t="array" ref="H17:K17">_xlfn.XLOOKUP(C17,'ESAP NEIVA FASE II UNIFICADO'!$C$6:$C$720,'ESAP NEIVA FASE II UNIFICADO'!$C$6:$F$720,"NO ESTA")</f>
        <v>RELLENO EN RECEBO COMÚN (Incluye Compactación)</v>
      </c>
      <c r="I17" t="str">
        <v>M3</v>
      </c>
      <c r="J17">
        <v>70.485000000000014</v>
      </c>
      <c r="K17">
        <v>62932</v>
      </c>
      <c r="L17">
        <f t="shared" si="2"/>
        <v>0</v>
      </c>
      <c r="M17">
        <f t="shared" si="3"/>
        <v>0</v>
      </c>
      <c r="N17" s="119">
        <f t="shared" si="4"/>
        <v>122.54</v>
      </c>
      <c r="O17">
        <f t="shared" si="0"/>
        <v>0</v>
      </c>
    </row>
    <row r="18" spans="2:15" ht="18.75" customHeight="1" x14ac:dyDescent="0.25">
      <c r="B18" s="80" t="s">
        <v>37</v>
      </c>
      <c r="C18" s="81" t="s">
        <v>38</v>
      </c>
      <c r="D18" s="82"/>
      <c r="E18" s="83"/>
      <c r="F18" s="90"/>
      <c r="G18" s="89">
        <f t="shared" si="1"/>
        <v>0</v>
      </c>
      <c r="H18" s="118" t="str">
        <f t="array" ref="H18:K18">_xlfn.XLOOKUP(C18,'ESAP NEIVA FASE II UNIFICADO'!$C$6:$C$720,'ESAP NEIVA FASE II UNIFICADO'!$C$6:$F$720,"NO ESTA")</f>
        <v xml:space="preserve">CONCRETOS DE CIMENTACIÓN </v>
      </c>
      <c r="I18">
        <v>0</v>
      </c>
      <c r="J18">
        <v>0</v>
      </c>
      <c r="K18">
        <v>0</v>
      </c>
      <c r="L18">
        <f t="shared" si="2"/>
        <v>1</v>
      </c>
      <c r="M18">
        <f t="shared" si="3"/>
        <v>0</v>
      </c>
      <c r="N18" s="119">
        <f t="shared" si="4"/>
        <v>0</v>
      </c>
      <c r="O18">
        <f t="shared" si="0"/>
        <v>0</v>
      </c>
    </row>
    <row r="19" spans="2:15" ht="14.25" customHeight="1" x14ac:dyDescent="0.25">
      <c r="B19" s="86" t="s">
        <v>39</v>
      </c>
      <c r="C19" s="147" t="s">
        <v>40</v>
      </c>
      <c r="D19" s="82" t="s">
        <v>13</v>
      </c>
      <c r="E19" s="83">
        <v>1111.51</v>
      </c>
      <c r="F19" s="88">
        <v>22663</v>
      </c>
      <c r="G19" s="89">
        <f t="shared" si="1"/>
        <v>25190151.129999999</v>
      </c>
      <c r="H19" s="118" t="str">
        <f t="array" ref="H19:K19">_xlfn.XLOOKUP(C19,'ESAP NEIVA FASE II UNIFICADO'!$C$6:$C$720,'ESAP NEIVA FASE II UNIFICADO'!$C$6:$F$720,"NO ESTA")</f>
        <v>CONCRETO POBRE DE LIMPIEZA  e=0.05 m</v>
      </c>
      <c r="I19" t="str">
        <v>M2</v>
      </c>
      <c r="J19">
        <v>72.123000000000047</v>
      </c>
      <c r="K19">
        <v>25442</v>
      </c>
      <c r="L19">
        <f t="shared" si="2"/>
        <v>0</v>
      </c>
      <c r="M19">
        <f t="shared" si="3"/>
        <v>0</v>
      </c>
      <c r="N19" s="119">
        <f t="shared" si="4"/>
        <v>1111.51</v>
      </c>
      <c r="O19">
        <f t="shared" si="0"/>
        <v>0</v>
      </c>
    </row>
    <row r="20" spans="2:15" ht="18.75" customHeight="1" x14ac:dyDescent="0.25">
      <c r="B20" s="86" t="s">
        <v>41</v>
      </c>
      <c r="C20" s="87" t="s">
        <v>42</v>
      </c>
      <c r="D20" s="82" t="s">
        <v>30</v>
      </c>
      <c r="E20" s="83">
        <v>46.48</v>
      </c>
      <c r="F20" s="88">
        <v>670304</v>
      </c>
      <c r="G20" s="89">
        <f t="shared" si="1"/>
        <v>31155729.920000002</v>
      </c>
      <c r="H20" s="118" t="str">
        <f t="array" ref="H20:K20">_xlfn.XLOOKUP(C20,'ESAP NEIVA FASE II UNIFICADO'!$C$6:$C$720,'ESAP NEIVA FASE II UNIFICADO'!$C$6:$F$720,"NO ESTA")</f>
        <v>CONCRETO PARA ZAPATAS DE 4000 psi</v>
      </c>
      <c r="I20" t="str">
        <v>M3</v>
      </c>
      <c r="J20">
        <v>36</v>
      </c>
      <c r="K20">
        <v>652838</v>
      </c>
      <c r="L20">
        <f t="shared" si="2"/>
        <v>0</v>
      </c>
      <c r="M20">
        <f t="shared" si="3"/>
        <v>0</v>
      </c>
      <c r="N20" s="119">
        <f t="shared" si="4"/>
        <v>46.48</v>
      </c>
      <c r="O20">
        <f t="shared" si="0"/>
        <v>0</v>
      </c>
    </row>
    <row r="21" spans="2:15" ht="15" customHeight="1" x14ac:dyDescent="0.25">
      <c r="B21" s="86" t="s">
        <v>43</v>
      </c>
      <c r="C21" s="87" t="s">
        <v>44</v>
      </c>
      <c r="D21" s="82" t="s">
        <v>30</v>
      </c>
      <c r="E21" s="91">
        <v>45.04</v>
      </c>
      <c r="F21" s="88">
        <v>670304</v>
      </c>
      <c r="G21" s="89">
        <f t="shared" si="1"/>
        <v>30190492.16</v>
      </c>
      <c r="H21" s="118" t="str">
        <f t="array" ref="H21:K21">_xlfn.XLOOKUP(C21,'ESAP NEIVA FASE II UNIFICADO'!$C$6:$C$720,'ESAP NEIVA FASE II UNIFICADO'!$C$6:$F$720,"NO ESTA")</f>
        <v>VIGAS DE CIMENTACIÓN DE 4000 psi</v>
      </c>
      <c r="I21" t="str">
        <v>M3</v>
      </c>
      <c r="J21">
        <v>36.5</v>
      </c>
      <c r="K21">
        <v>652838</v>
      </c>
      <c r="L21">
        <f t="shared" si="2"/>
        <v>0</v>
      </c>
      <c r="M21">
        <f t="shared" si="3"/>
        <v>0</v>
      </c>
      <c r="N21" s="119">
        <f t="shared" si="4"/>
        <v>45.04</v>
      </c>
      <c r="O21">
        <f t="shared" si="0"/>
        <v>0</v>
      </c>
    </row>
    <row r="22" spans="2:15" ht="18.75" customHeight="1" x14ac:dyDescent="0.25">
      <c r="B22" s="86" t="s">
        <v>45</v>
      </c>
      <c r="C22" s="87" t="s">
        <v>46</v>
      </c>
      <c r="D22" s="82" t="s">
        <v>30</v>
      </c>
      <c r="E22" s="83">
        <v>34.93</v>
      </c>
      <c r="F22" s="88">
        <v>742932</v>
      </c>
      <c r="G22" s="89">
        <f t="shared" si="1"/>
        <v>25950614.760000002</v>
      </c>
      <c r="H22" s="118" t="str">
        <f t="array" ref="H22:K22">_xlfn.XLOOKUP(C22,'ESAP NEIVA FASE II UNIFICADO'!$C$6:$C$720,'ESAP NEIVA FASE II UNIFICADO'!$C$6:$F$720,"NO ESTA")</f>
        <v>MURO DE CONTENCIÓN SOTANO EN CONCRETO DE 4000 PSI</v>
      </c>
      <c r="I22" t="str">
        <v>M3</v>
      </c>
      <c r="J22">
        <v>13</v>
      </c>
      <c r="K22">
        <v>795025</v>
      </c>
      <c r="L22">
        <f t="shared" si="2"/>
        <v>0</v>
      </c>
      <c r="M22">
        <f t="shared" si="3"/>
        <v>0</v>
      </c>
      <c r="N22" s="119">
        <f t="shared" si="4"/>
        <v>34.93</v>
      </c>
      <c r="O22">
        <f t="shared" si="0"/>
        <v>0</v>
      </c>
    </row>
    <row r="23" spans="2:15" ht="15.75" customHeight="1" x14ac:dyDescent="0.25">
      <c r="B23" s="80" t="s">
        <v>47</v>
      </c>
      <c r="C23" s="81" t="s">
        <v>48</v>
      </c>
      <c r="D23" s="82"/>
      <c r="E23" s="83"/>
      <c r="F23" s="90"/>
      <c r="G23" s="89">
        <f t="shared" si="1"/>
        <v>0</v>
      </c>
      <c r="H23" s="118" t="str">
        <f t="array" ref="H23:K23">_xlfn.XLOOKUP(C23,'ESAP NEIVA FASE II UNIFICADO'!$C$6:$C$720,'ESAP NEIVA FASE II UNIFICADO'!$C$6:$F$720,"NO ESTA")</f>
        <v xml:space="preserve">CONSTRUCCIÓN VARIOS EN CONCRETO </v>
      </c>
      <c r="I23">
        <v>0</v>
      </c>
      <c r="J23">
        <v>0</v>
      </c>
      <c r="K23">
        <v>0</v>
      </c>
      <c r="L23">
        <f t="shared" si="2"/>
        <v>1</v>
      </c>
      <c r="M23">
        <f t="shared" si="3"/>
        <v>0</v>
      </c>
      <c r="N23" s="119">
        <f t="shared" si="4"/>
        <v>0</v>
      </c>
      <c r="O23">
        <f t="shared" si="0"/>
        <v>0</v>
      </c>
    </row>
    <row r="24" spans="2:15" ht="19.5" customHeight="1" x14ac:dyDescent="0.25">
      <c r="B24" s="86" t="s">
        <v>49</v>
      </c>
      <c r="C24" s="87" t="s">
        <v>50</v>
      </c>
      <c r="D24" s="82" t="s">
        <v>30</v>
      </c>
      <c r="E24" s="83">
        <v>50.62</v>
      </c>
      <c r="F24" s="88">
        <v>742932</v>
      </c>
      <c r="G24" s="89">
        <f t="shared" si="1"/>
        <v>37607217.840000004</v>
      </c>
      <c r="H24" s="118" t="str">
        <f t="array" ref="H24:K24">_xlfn.XLOOKUP(C24,'ESAP NEIVA FASE II UNIFICADO'!$C$6:$C$720,'ESAP NEIVA FASE II UNIFICADO'!$C$6:$F$720,"NO ESTA")</f>
        <v>TANQUE DE ALMACENAMIENTO Y RESERVA EN CONCRETO DE 4000 PSI</v>
      </c>
      <c r="I24" t="str">
        <v>M3</v>
      </c>
      <c r="J24">
        <v>13.700000000000003</v>
      </c>
      <c r="K24">
        <v>821235</v>
      </c>
      <c r="L24">
        <f t="shared" si="2"/>
        <v>0</v>
      </c>
      <c r="M24">
        <f t="shared" si="3"/>
        <v>0</v>
      </c>
      <c r="N24" s="119">
        <f t="shared" si="4"/>
        <v>50.62</v>
      </c>
      <c r="O24">
        <f t="shared" si="0"/>
        <v>0</v>
      </c>
    </row>
    <row r="25" spans="2:15" ht="18" customHeight="1" x14ac:dyDescent="0.25">
      <c r="B25" s="80" t="s">
        <v>51</v>
      </c>
      <c r="C25" s="81" t="s">
        <v>52</v>
      </c>
      <c r="D25" s="82"/>
      <c r="E25" s="83"/>
      <c r="F25" s="90"/>
      <c r="G25" s="89">
        <f t="shared" si="1"/>
        <v>0</v>
      </c>
      <c r="H25" s="118" t="str">
        <f t="array" ref="H25:K25">_xlfn.XLOOKUP(C25,'ESAP NEIVA FASE II UNIFICADO'!$C$6:$C$720,'ESAP NEIVA FASE II UNIFICADO'!$C$6:$F$720,"NO ESTA")</f>
        <v>SUMINISTRO E INSTALACIÓN ACERO DE REFUERZO CIMENTACIÓN</v>
      </c>
      <c r="I25">
        <v>0</v>
      </c>
      <c r="J25">
        <v>0</v>
      </c>
      <c r="K25">
        <v>0</v>
      </c>
      <c r="L25">
        <f t="shared" si="2"/>
        <v>1</v>
      </c>
      <c r="M25">
        <f t="shared" si="3"/>
        <v>0</v>
      </c>
      <c r="N25" s="119">
        <f t="shared" si="4"/>
        <v>0</v>
      </c>
      <c r="O25">
        <f t="shared" si="0"/>
        <v>0</v>
      </c>
    </row>
    <row r="26" spans="2:15" ht="16.5" customHeight="1" x14ac:dyDescent="0.25">
      <c r="B26" s="92" t="s">
        <v>53</v>
      </c>
      <c r="C26" s="93" t="s">
        <v>54</v>
      </c>
      <c r="D26" s="92" t="s">
        <v>55</v>
      </c>
      <c r="E26" s="83">
        <v>16621.25</v>
      </c>
      <c r="F26" s="94">
        <v>5000</v>
      </c>
      <c r="G26" s="89">
        <f t="shared" si="1"/>
        <v>83106250</v>
      </c>
      <c r="H26" s="118" t="str">
        <f t="array" ref="H26:K26">_xlfn.XLOOKUP(C26,'ESAP NEIVA FASE II UNIFICADO'!$C$6:$C$720,'ESAP NEIVA FASE II UNIFICADO'!$C$6:$F$720,"NO ESTA",0,)</f>
        <v>ACERO DE REFUERZO 60000 psi Incluye ALAMBRE DE AMARRE</v>
      </c>
      <c r="I26" s="95" t="str">
        <v>KG</v>
      </c>
      <c r="J26">
        <v>8230.6999999999971</v>
      </c>
      <c r="K26">
        <v>5000</v>
      </c>
      <c r="L26">
        <f t="shared" si="2"/>
        <v>0</v>
      </c>
      <c r="M26">
        <f t="shared" si="3"/>
        <v>0</v>
      </c>
      <c r="N26" s="119">
        <f t="shared" si="4"/>
        <v>16621.25</v>
      </c>
      <c r="O26">
        <f t="shared" si="0"/>
        <v>0</v>
      </c>
    </row>
    <row r="27" spans="2:15" ht="25.9" customHeight="1" x14ac:dyDescent="0.25">
      <c r="B27" s="86" t="s">
        <v>56</v>
      </c>
      <c r="C27" s="93" t="s">
        <v>57</v>
      </c>
      <c r="D27" s="82" t="s">
        <v>13</v>
      </c>
      <c r="E27" s="83">
        <v>1871.1</v>
      </c>
      <c r="F27" s="94">
        <v>7500</v>
      </c>
      <c r="G27" s="89">
        <f t="shared" si="1"/>
        <v>14033250</v>
      </c>
      <c r="H27" s="118" t="str">
        <f t="array" ref="H27:K27">_xlfn.XLOOKUP(C27,'ESAP NEIVA FASE II UNIFICADO'!$C$6:$C$720,'ESAP NEIVA FASE II UNIFICADO'!$C$6:$F$720,"NO ESTA")</f>
        <v>MALLA ELECTROSOLDADA PLACA CONTRAPISO Q84 Ø4 mm separación 15x15 cm o similar</v>
      </c>
      <c r="I27" t="str">
        <v>M2</v>
      </c>
      <c r="J27">
        <v>242.5</v>
      </c>
      <c r="K27">
        <v>7500</v>
      </c>
      <c r="L27">
        <f t="shared" si="2"/>
        <v>0</v>
      </c>
      <c r="M27">
        <f t="shared" si="3"/>
        <v>0</v>
      </c>
      <c r="N27" s="119">
        <f t="shared" si="4"/>
        <v>1871.1</v>
      </c>
      <c r="O27">
        <f t="shared" si="0"/>
        <v>0</v>
      </c>
    </row>
    <row r="28" spans="2:15" ht="16.5" customHeight="1" x14ac:dyDescent="0.25">
      <c r="B28" s="74">
        <v>3</v>
      </c>
      <c r="C28" s="75" t="s">
        <v>58</v>
      </c>
      <c r="D28" s="76"/>
      <c r="E28" s="77"/>
      <c r="F28" s="78"/>
      <c r="G28" s="89">
        <f t="shared" si="1"/>
        <v>0</v>
      </c>
      <c r="H28" s="118" t="str">
        <f t="array" ref="H28:K28">_xlfn.XLOOKUP(C28,'ESAP NEIVA FASE II UNIFICADO'!$C$6:$C$720,'ESAP NEIVA FASE II UNIFICADO'!$C$6:$F$720,"NO ESTA")</f>
        <v>ESTRUCTURAS EN CONCRETO Y METALICAS</v>
      </c>
      <c r="I28" s="96">
        <v>0</v>
      </c>
      <c r="J28">
        <v>0</v>
      </c>
      <c r="K28">
        <v>0</v>
      </c>
      <c r="L28">
        <f t="shared" si="2"/>
        <v>1</v>
      </c>
      <c r="M28">
        <f t="shared" si="3"/>
        <v>0</v>
      </c>
      <c r="N28" s="119">
        <f t="shared" si="4"/>
        <v>0</v>
      </c>
      <c r="O28">
        <f t="shared" si="0"/>
        <v>0</v>
      </c>
    </row>
    <row r="29" spans="2:15" ht="16.5" customHeight="1" x14ac:dyDescent="0.25">
      <c r="B29" s="80" t="s">
        <v>59</v>
      </c>
      <c r="C29" s="81" t="s">
        <v>60</v>
      </c>
      <c r="D29" s="82"/>
      <c r="E29" s="83"/>
      <c r="F29" s="84"/>
      <c r="G29" s="89">
        <f t="shared" si="1"/>
        <v>0</v>
      </c>
      <c r="H29" s="118" t="str">
        <f t="array" ref="H29:K29">_xlfn.XLOOKUP(C29,'ESAP NEIVA FASE II UNIFICADO'!$C$6:$C$720,'ESAP NEIVA FASE II UNIFICADO'!$C$6:$F$720,"NO ESTA")</f>
        <v>ELEMENTOS ESTRUCTURALES</v>
      </c>
      <c r="I29" s="96">
        <v>0</v>
      </c>
      <c r="J29">
        <v>0</v>
      </c>
      <c r="K29">
        <v>0</v>
      </c>
      <c r="L29">
        <f t="shared" si="2"/>
        <v>1</v>
      </c>
      <c r="M29">
        <f t="shared" si="3"/>
        <v>0</v>
      </c>
      <c r="N29" s="119">
        <f t="shared" si="4"/>
        <v>0</v>
      </c>
      <c r="O29">
        <f t="shared" si="0"/>
        <v>0</v>
      </c>
    </row>
    <row r="30" spans="2:15" ht="20.25" customHeight="1" x14ac:dyDescent="0.25">
      <c r="B30" s="86" t="s">
        <v>61</v>
      </c>
      <c r="C30" s="87" t="s">
        <v>62</v>
      </c>
      <c r="D30" s="82" t="s">
        <v>30</v>
      </c>
      <c r="E30" s="83">
        <v>247.78</v>
      </c>
      <c r="F30" s="88">
        <v>789448</v>
      </c>
      <c r="G30" s="89">
        <f t="shared" si="1"/>
        <v>195609425.44</v>
      </c>
      <c r="H30" s="118" t="str">
        <f t="array" ref="H30:K30">_xlfn.XLOOKUP(C30,'ESAP NEIVA FASE II UNIFICADO'!$C$6:$C$720,'ESAP NEIVA FASE II UNIFICADO'!$C$6:$F$720,"NO ESTA")</f>
        <v>COLUMNAS EN CONCRETO DE 4000 psi</v>
      </c>
      <c r="I30" s="96" t="str">
        <v>M3</v>
      </c>
      <c r="J30">
        <v>24.939999999999998</v>
      </c>
      <c r="K30">
        <v>789448</v>
      </c>
      <c r="L30">
        <f t="shared" si="2"/>
        <v>0</v>
      </c>
      <c r="M30">
        <f t="shared" si="3"/>
        <v>0</v>
      </c>
      <c r="N30" s="119">
        <f t="shared" si="4"/>
        <v>247.78</v>
      </c>
      <c r="O30">
        <f t="shared" si="0"/>
        <v>0</v>
      </c>
    </row>
    <row r="31" spans="2:15" ht="30" customHeight="1" x14ac:dyDescent="0.25">
      <c r="B31" s="86" t="s">
        <v>63</v>
      </c>
      <c r="C31" s="87" t="s">
        <v>64</v>
      </c>
      <c r="D31" s="82" t="s">
        <v>30</v>
      </c>
      <c r="E31" s="83">
        <v>152.63999999999999</v>
      </c>
      <c r="F31" s="88">
        <v>789448</v>
      </c>
      <c r="G31" s="89">
        <f t="shared" si="1"/>
        <v>120501342.72</v>
      </c>
      <c r="H31" s="118" t="str">
        <f t="array" ref="H31:K31">_xlfn.XLOOKUP(C31,'ESAP NEIVA FASE II UNIFICADO'!$C$6:$C$720,'ESAP NEIVA FASE II UNIFICADO'!$C$6:$F$720,"NO ESTA")</f>
        <v>PANTALLAS ASCENSORES Y ESCALERA EJES F2 Y K2 EN CONCRETO DE 4000 PSI</v>
      </c>
      <c r="I31" t="str">
        <v>M3</v>
      </c>
      <c r="J31">
        <v>15.569999999999993</v>
      </c>
      <c r="K31">
        <v>789448</v>
      </c>
      <c r="L31">
        <f t="shared" si="2"/>
        <v>0</v>
      </c>
      <c r="M31">
        <f t="shared" si="3"/>
        <v>0</v>
      </c>
      <c r="N31" s="119">
        <f t="shared" si="4"/>
        <v>152.63999999999999</v>
      </c>
      <c r="O31">
        <f t="shared" si="0"/>
        <v>0</v>
      </c>
    </row>
    <row r="32" spans="2:15" ht="13.5" customHeight="1" x14ac:dyDescent="0.25">
      <c r="B32" s="80" t="s">
        <v>65</v>
      </c>
      <c r="C32" s="81" t="s">
        <v>66</v>
      </c>
      <c r="D32" s="82"/>
      <c r="E32" s="83"/>
      <c r="F32" s="90"/>
      <c r="G32" s="89">
        <f t="shared" si="1"/>
        <v>0</v>
      </c>
      <c r="H32" s="118" t="str">
        <f t="array" ref="H32:K32">_xlfn.XLOOKUP(C32,'ESAP NEIVA FASE II UNIFICADO'!$C$6:$C$720,'ESAP NEIVA FASE II UNIFICADO'!$C$6:$F$720,"NO ESTA")</f>
        <v>PLACAS Y LOSAS DE ENTREPISO</v>
      </c>
      <c r="I32" s="95">
        <v>0</v>
      </c>
      <c r="J32">
        <v>0</v>
      </c>
      <c r="K32">
        <v>0</v>
      </c>
      <c r="L32">
        <f t="shared" si="2"/>
        <v>1</v>
      </c>
      <c r="M32">
        <f t="shared" si="3"/>
        <v>0</v>
      </c>
      <c r="N32" s="119">
        <f t="shared" si="4"/>
        <v>0</v>
      </c>
      <c r="O32">
        <f t="shared" si="0"/>
        <v>0</v>
      </c>
    </row>
    <row r="33" spans="2:15" ht="30" customHeight="1" x14ac:dyDescent="0.25">
      <c r="B33" s="86" t="s">
        <v>67</v>
      </c>
      <c r="C33" s="87" t="s">
        <v>68</v>
      </c>
      <c r="D33" s="82" t="s">
        <v>30</v>
      </c>
      <c r="E33" s="83">
        <v>2128.8200000000002</v>
      </c>
      <c r="F33" s="88">
        <v>702783</v>
      </c>
      <c r="G33" s="89">
        <f t="shared" si="1"/>
        <v>1496098506.0599999</v>
      </c>
      <c r="H33" s="118" t="str">
        <f t="array" ref="H33">_xlfn.XLOOKUP(C33,'ESAP NEIVA FASE II UNIFICADO'!$C$6:$C$720,'ESAP NEIVA FASE II UNIFICADO'!$C$6:$F$720,"NO ESTA")</f>
        <v>NO ESTA</v>
      </c>
      <c r="L33">
        <f t="shared" si="2"/>
        <v>1</v>
      </c>
      <c r="M33">
        <f t="shared" si="3"/>
        <v>702783</v>
      </c>
      <c r="N33" s="119">
        <f t="shared" si="4"/>
        <v>2128.8200000000002</v>
      </c>
      <c r="O33">
        <f t="shared" si="0"/>
        <v>1496098506.0600002</v>
      </c>
    </row>
    <row r="34" spans="2:15" ht="16.5" customHeight="1" x14ac:dyDescent="0.25">
      <c r="B34" s="86" t="s">
        <v>69</v>
      </c>
      <c r="C34" s="148" t="s">
        <v>70</v>
      </c>
      <c r="D34" s="82" t="s">
        <v>13</v>
      </c>
      <c r="E34" s="83">
        <v>1581</v>
      </c>
      <c r="F34" s="88">
        <v>95313</v>
      </c>
      <c r="G34" s="89">
        <f t="shared" si="1"/>
        <v>150689853</v>
      </c>
      <c r="H34" s="118" t="str">
        <f t="array" ref="H34:K34">_xlfn.XLOOKUP(C34,'ESAP NEIVA FASE II UNIFICADO'!$C$6:$C$720,'ESAP NEIVA FASE II UNIFICADO'!$C$6:$F$720,"NO ESTA")</f>
        <v>PLACA MACIZA CONTRAPISO CIMENTACION E: 15 cms</v>
      </c>
      <c r="I34" t="str">
        <v>M2</v>
      </c>
      <c r="J34">
        <v>235.59999999999991</v>
      </c>
      <c r="K34">
        <v>95123</v>
      </c>
      <c r="L34">
        <f t="shared" si="2"/>
        <v>0</v>
      </c>
      <c r="M34">
        <f t="shared" si="3"/>
        <v>0</v>
      </c>
      <c r="N34" s="119">
        <f t="shared" si="4"/>
        <v>1581</v>
      </c>
      <c r="O34">
        <f t="shared" si="0"/>
        <v>0</v>
      </c>
    </row>
    <row r="35" spans="2:15" ht="19.5" customHeight="1" x14ac:dyDescent="0.25">
      <c r="B35" s="86" t="s">
        <v>71</v>
      </c>
      <c r="C35" s="87" t="s">
        <v>72</v>
      </c>
      <c r="D35" s="82" t="s">
        <v>30</v>
      </c>
      <c r="E35" s="83">
        <v>8.9</v>
      </c>
      <c r="F35" s="88">
        <v>705686</v>
      </c>
      <c r="G35" s="89">
        <f t="shared" si="1"/>
        <v>6280605.4000000004</v>
      </c>
      <c r="H35" s="118" t="str">
        <f t="array" ref="H35:K35">_xlfn.XLOOKUP(C35,'ESAP NEIVA FASE II UNIFICADO'!$C$6:$C$720,'ESAP NEIVA FASE II UNIFICADO'!$C$6:$F$720,"NO ESTA")</f>
        <v xml:space="preserve">PLACA MACIZA ZONA ASCENSOR 2DA PLANTA </v>
      </c>
      <c r="I35" t="str">
        <v>M3</v>
      </c>
      <c r="J35">
        <v>0</v>
      </c>
      <c r="K35">
        <v>789448</v>
      </c>
      <c r="L35">
        <f t="shared" si="2"/>
        <v>1</v>
      </c>
      <c r="M35">
        <f t="shared" si="3"/>
        <v>705686</v>
      </c>
      <c r="N35" s="119">
        <f t="shared" si="4"/>
        <v>8.9</v>
      </c>
      <c r="O35">
        <f t="shared" si="0"/>
        <v>6280605.4000000004</v>
      </c>
    </row>
    <row r="36" spans="2:15" ht="15" customHeight="1" x14ac:dyDescent="0.25">
      <c r="B36" s="80" t="s">
        <v>73</v>
      </c>
      <c r="C36" s="81" t="s">
        <v>74</v>
      </c>
      <c r="D36" s="82"/>
      <c r="E36" s="83"/>
      <c r="F36" s="90"/>
      <c r="G36" s="89">
        <f t="shared" si="1"/>
        <v>0</v>
      </c>
      <c r="H36" s="118" t="str">
        <f t="array" ref="H36:K36">_xlfn.XLOOKUP(C36,'ESAP NEIVA FASE II UNIFICADO'!$C$6:$C$720,'ESAP NEIVA FASE II UNIFICADO'!$C$6:$F$720,"NO ESTA")</f>
        <v>CONSTRUCCIONES VARIAS EN CONCRETO</v>
      </c>
      <c r="I36">
        <v>0</v>
      </c>
      <c r="J36">
        <v>0</v>
      </c>
      <c r="K36">
        <v>0</v>
      </c>
      <c r="L36">
        <f t="shared" si="2"/>
        <v>1</v>
      </c>
      <c r="M36">
        <f t="shared" si="3"/>
        <v>0</v>
      </c>
      <c r="N36" s="119">
        <f t="shared" si="4"/>
        <v>0</v>
      </c>
      <c r="O36">
        <f t="shared" si="0"/>
        <v>0</v>
      </c>
    </row>
    <row r="37" spans="2:15" ht="17.25" customHeight="1" x14ac:dyDescent="0.25">
      <c r="B37" s="86" t="s">
        <v>75</v>
      </c>
      <c r="C37" s="87" t="s">
        <v>76</v>
      </c>
      <c r="D37" s="82" t="s">
        <v>30</v>
      </c>
      <c r="E37" s="83">
        <v>73</v>
      </c>
      <c r="F37" s="88">
        <v>687672</v>
      </c>
      <c r="G37" s="89">
        <f t="shared" si="1"/>
        <v>50200056</v>
      </c>
      <c r="H37" s="118" t="str">
        <f t="array" ref="H37:K37">_xlfn.XLOOKUP(C37,'ESAP NEIVA FASE II UNIFICADO'!$C$6:$C$720,'ESAP NEIVA FASE II UNIFICADO'!$C$6:$F$720,"NO ESTA")</f>
        <v>MURO EN CONCRETO DE 4000 PSI DESCOLGADO VIGA 00C 30x120</v>
      </c>
      <c r="I37" t="str">
        <v>M3</v>
      </c>
      <c r="J37">
        <v>11.299999999999997</v>
      </c>
      <c r="K37">
        <v>795025</v>
      </c>
      <c r="L37">
        <f t="shared" si="2"/>
        <v>0</v>
      </c>
      <c r="M37">
        <f t="shared" si="3"/>
        <v>0</v>
      </c>
      <c r="N37" s="119">
        <f t="shared" si="4"/>
        <v>73</v>
      </c>
      <c r="O37">
        <f t="shared" si="0"/>
        <v>0</v>
      </c>
    </row>
    <row r="38" spans="2:15" ht="19.5" customHeight="1" x14ac:dyDescent="0.25">
      <c r="B38" s="86" t="s">
        <v>77</v>
      </c>
      <c r="C38" s="87" t="s">
        <v>78</v>
      </c>
      <c r="D38" s="82" t="s">
        <v>30</v>
      </c>
      <c r="E38" s="83">
        <v>109</v>
      </c>
      <c r="F38" s="88">
        <v>687672</v>
      </c>
      <c r="G38" s="89">
        <f t="shared" si="1"/>
        <v>74956248</v>
      </c>
      <c r="H38" s="118" t="str">
        <f t="array" ref="H38:K38">_xlfn.XLOOKUP(C38,'ESAP NEIVA FASE II UNIFICADO'!$C$6:$C$720,'ESAP NEIVA FASE II UNIFICADO'!$C$6:$F$720,"NO ESTA")</f>
        <v>MURO ESTRUCTURAL EN CONCRETO DE 4000 PSI FACHADA EXTERIOR</v>
      </c>
      <c r="I38" t="str">
        <v>M3</v>
      </c>
      <c r="J38">
        <v>15.900000000000006</v>
      </c>
      <c r="K38">
        <v>766762</v>
      </c>
      <c r="L38">
        <f t="shared" si="2"/>
        <v>0</v>
      </c>
      <c r="M38">
        <f t="shared" si="3"/>
        <v>0</v>
      </c>
      <c r="N38" s="119">
        <f t="shared" si="4"/>
        <v>109</v>
      </c>
      <c r="O38">
        <f t="shared" si="0"/>
        <v>0</v>
      </c>
    </row>
    <row r="39" spans="2:15" ht="17.25" customHeight="1" x14ac:dyDescent="0.25">
      <c r="B39" s="86" t="s">
        <v>79</v>
      </c>
      <c r="C39" s="87" t="s">
        <v>80</v>
      </c>
      <c r="D39" s="82" t="s">
        <v>30</v>
      </c>
      <c r="E39" s="83">
        <v>30</v>
      </c>
      <c r="F39" s="88">
        <v>705686</v>
      </c>
      <c r="G39" s="89">
        <f t="shared" si="1"/>
        <v>21170580</v>
      </c>
      <c r="H39" s="118" t="str">
        <f t="array" ref="H39:K39">_xlfn.XLOOKUP(C39,'ESAP NEIVA FASE II UNIFICADO'!$C$6:$C$720,'ESAP NEIVA FASE II UNIFICADO'!$C$6:$F$720,"NO ESTA")</f>
        <v>ESCALERAS INTERNAS</v>
      </c>
      <c r="I39" t="str">
        <v>M3</v>
      </c>
      <c r="J39">
        <v>4.7000000000000028</v>
      </c>
      <c r="K39">
        <v>910627</v>
      </c>
      <c r="L39">
        <f t="shared" si="2"/>
        <v>0</v>
      </c>
      <c r="M39">
        <f t="shared" si="3"/>
        <v>0</v>
      </c>
      <c r="N39" s="119">
        <f t="shared" si="4"/>
        <v>30</v>
      </c>
      <c r="O39">
        <f t="shared" si="0"/>
        <v>0</v>
      </c>
    </row>
    <row r="40" spans="2:15" ht="18" customHeight="1" x14ac:dyDescent="0.25">
      <c r="B40" s="86" t="s">
        <v>81</v>
      </c>
      <c r="C40" s="87" t="s">
        <v>82</v>
      </c>
      <c r="D40" s="82" t="s">
        <v>30</v>
      </c>
      <c r="E40" s="83">
        <v>17</v>
      </c>
      <c r="F40" s="88">
        <v>705686</v>
      </c>
      <c r="G40" s="89">
        <f t="shared" si="1"/>
        <v>11996662</v>
      </c>
      <c r="H40" s="118" t="str">
        <f t="array" ref="H40:K40">_xlfn.XLOOKUP(C40,'ESAP NEIVA FASE II UNIFICADO'!$C$6:$C$720,'ESAP NEIVA FASE II UNIFICADO'!$C$6:$F$720,"NO ESTA")</f>
        <v>ESCALERA ACCESO SEGUNDO (2DO) Y TERCER (3ER) PISO EJES 1 Y 4'</v>
      </c>
      <c r="I40" t="str">
        <v>M3</v>
      </c>
      <c r="J40">
        <v>2</v>
      </c>
      <c r="K40">
        <v>910627</v>
      </c>
      <c r="L40">
        <f t="shared" si="2"/>
        <v>0</v>
      </c>
      <c r="M40">
        <f t="shared" si="3"/>
        <v>0</v>
      </c>
      <c r="N40" s="119">
        <f t="shared" si="4"/>
        <v>17</v>
      </c>
      <c r="O40">
        <f t="shared" si="0"/>
        <v>0</v>
      </c>
    </row>
    <row r="41" spans="2:15" ht="15.75" customHeight="1" x14ac:dyDescent="0.25">
      <c r="B41" s="86" t="s">
        <v>83</v>
      </c>
      <c r="C41" s="87" t="s">
        <v>84</v>
      </c>
      <c r="D41" s="82" t="s">
        <v>30</v>
      </c>
      <c r="E41" s="83">
        <v>63</v>
      </c>
      <c r="F41" s="88">
        <v>723230</v>
      </c>
      <c r="G41" s="89">
        <f t="shared" si="1"/>
        <v>45563490</v>
      </c>
      <c r="H41" s="118" t="str">
        <f t="array" ref="H41:K41">_xlfn.XLOOKUP(C41,'ESAP NEIVA FASE II UNIFICADO'!$C$6:$C$720,'ESAP NEIVA FASE II UNIFICADO'!$C$6:$F$720,"NO ESTA")</f>
        <v>RAMPAS DE ACCESO Incluye ACERO DE REFUERZO</v>
      </c>
      <c r="I41" t="str">
        <v>M3</v>
      </c>
      <c r="J41">
        <v>9</v>
      </c>
      <c r="K41">
        <v>852120</v>
      </c>
      <c r="L41">
        <f t="shared" si="2"/>
        <v>0</v>
      </c>
      <c r="M41">
        <f t="shared" si="3"/>
        <v>0</v>
      </c>
      <c r="N41" s="119">
        <f t="shared" si="4"/>
        <v>63</v>
      </c>
      <c r="O41">
        <f t="shared" si="0"/>
        <v>0</v>
      </c>
    </row>
    <row r="42" spans="2:15" ht="39.75" customHeight="1" x14ac:dyDescent="0.25">
      <c r="B42" s="80" t="s">
        <v>85</v>
      </c>
      <c r="C42" s="81" t="s">
        <v>86</v>
      </c>
      <c r="D42" s="82"/>
      <c r="E42" s="83"/>
      <c r="F42" s="90"/>
      <c r="G42" s="89">
        <f t="shared" si="1"/>
        <v>0</v>
      </c>
      <c r="H42" s="118" t="str">
        <f t="array" ref="H42:K42">_xlfn.XLOOKUP(C42,'ESAP NEIVA FASE II UNIFICADO'!$C$6:$C$720,'ESAP NEIVA FASE II UNIFICADO'!$C$6:$F$720,"NO ESTA")</f>
        <v>SUMINISTRO E INSTALACIÓN ACERO DE REFUERZO ELEMENTOS ESTRUCTURALES, PLACAS MACIZAS, CONSTRUCCIONES VARIAS EN CONCRETOS</v>
      </c>
      <c r="I42">
        <v>0</v>
      </c>
      <c r="J42">
        <v>0</v>
      </c>
      <c r="K42">
        <v>0</v>
      </c>
      <c r="L42">
        <f t="shared" si="2"/>
        <v>1</v>
      </c>
      <c r="M42">
        <f t="shared" si="3"/>
        <v>0</v>
      </c>
      <c r="N42" s="119">
        <f t="shared" si="4"/>
        <v>0</v>
      </c>
      <c r="O42">
        <f t="shared" si="0"/>
        <v>0</v>
      </c>
    </row>
    <row r="43" spans="2:15" ht="18" customHeight="1" x14ac:dyDescent="0.25">
      <c r="B43" s="86" t="s">
        <v>87</v>
      </c>
      <c r="C43" s="93" t="s">
        <v>54</v>
      </c>
      <c r="D43" s="82" t="s">
        <v>55</v>
      </c>
      <c r="E43" s="83">
        <v>134615.48000000001</v>
      </c>
      <c r="F43" s="88">
        <v>5000</v>
      </c>
      <c r="G43" s="89">
        <f t="shared" si="1"/>
        <v>673077400</v>
      </c>
      <c r="H43" s="118" t="str">
        <f t="array" ref="H43:K43">_xlfn.XLOOKUP(C43,'ESAP NEIVA FASE II UNIFICADO'!$C$6:$C$720,'ESAP NEIVA FASE II UNIFICADO'!$C$6:$F$720,"NO ESTA")</f>
        <v>ACERO DE REFUERZO 60000 psi Incluye ALAMBRE DE AMARRE</v>
      </c>
      <c r="I43" t="str">
        <v>KG</v>
      </c>
      <c r="J43">
        <v>8230.6999999999971</v>
      </c>
      <c r="K43">
        <v>5000</v>
      </c>
      <c r="L43">
        <f t="shared" si="2"/>
        <v>0</v>
      </c>
      <c r="M43">
        <f t="shared" si="3"/>
        <v>0</v>
      </c>
      <c r="N43" s="119">
        <f t="shared" si="4"/>
        <v>134615.48000000001</v>
      </c>
      <c r="O43">
        <f t="shared" si="0"/>
        <v>0</v>
      </c>
    </row>
    <row r="44" spans="2:15" ht="30" customHeight="1" x14ac:dyDescent="0.25">
      <c r="B44" s="86" t="s">
        <v>88</v>
      </c>
      <c r="C44" s="93" t="s">
        <v>89</v>
      </c>
      <c r="D44" s="82" t="s">
        <v>13</v>
      </c>
      <c r="E44" s="83">
        <v>6220.01</v>
      </c>
      <c r="F44" s="88">
        <v>7500</v>
      </c>
      <c r="G44" s="89">
        <f t="shared" si="1"/>
        <v>46650075</v>
      </c>
      <c r="H44" s="118" t="str">
        <f t="array" ref="H44:K44">_xlfn.XLOOKUP(C44,'ESAP NEIVA FASE II UNIFICADO'!$C$6:$C$720,'ESAP NEIVA FASE II UNIFICADO'!$C$6:$F$720,"NO ESTA")</f>
        <v>MALLA ELECTROSOLDADA PLACA ENTREPISO Q85 Ø4 mm separación 15x15 cm o similar</v>
      </c>
      <c r="I44" t="str">
        <v>M2</v>
      </c>
      <c r="J44">
        <v>938.19999999999982</v>
      </c>
      <c r="K44">
        <v>7500</v>
      </c>
      <c r="L44">
        <f t="shared" si="2"/>
        <v>0</v>
      </c>
      <c r="M44">
        <f t="shared" si="3"/>
        <v>0</v>
      </c>
      <c r="N44" s="119">
        <f t="shared" si="4"/>
        <v>6220.01</v>
      </c>
      <c r="O44">
        <f t="shared" si="0"/>
        <v>0</v>
      </c>
    </row>
    <row r="45" spans="2:15" ht="30" customHeight="1" x14ac:dyDescent="0.25">
      <c r="B45" s="80" t="s">
        <v>90</v>
      </c>
      <c r="C45" s="81" t="s">
        <v>91</v>
      </c>
      <c r="D45" s="82"/>
      <c r="E45" s="83"/>
      <c r="F45" s="90"/>
      <c r="G45" s="89">
        <f t="shared" si="1"/>
        <v>0</v>
      </c>
      <c r="H45" s="118" t="str">
        <f t="array" ref="H45:K45">_xlfn.XLOOKUP(C45,'ESAP NEIVA FASE II UNIFICADO'!$C$6:$C$720,'ESAP NEIVA FASE II UNIFICADO'!$C$6:$F$720,"NO ESTA")</f>
        <v>SUMINISTRO E INSTALACION DE ESTRUCTURA METALICA CUBIERTA</v>
      </c>
      <c r="I45">
        <v>0</v>
      </c>
      <c r="J45">
        <v>0</v>
      </c>
      <c r="K45">
        <v>0</v>
      </c>
      <c r="L45">
        <f t="shared" si="2"/>
        <v>1</v>
      </c>
      <c r="M45">
        <f t="shared" si="3"/>
        <v>0</v>
      </c>
      <c r="N45" s="119">
        <f t="shared" si="4"/>
        <v>0</v>
      </c>
      <c r="O45">
        <f t="shared" si="0"/>
        <v>0</v>
      </c>
    </row>
    <row r="46" spans="2:15" ht="15" customHeight="1" x14ac:dyDescent="0.25">
      <c r="B46" s="86" t="s">
        <v>92</v>
      </c>
      <c r="C46" s="87" t="s">
        <v>93</v>
      </c>
      <c r="D46" s="82" t="s">
        <v>94</v>
      </c>
      <c r="E46" s="83">
        <v>194</v>
      </c>
      <c r="F46" s="88">
        <v>102216</v>
      </c>
      <c r="G46" s="89">
        <f t="shared" si="1"/>
        <v>19829904</v>
      </c>
      <c r="H46" s="118" t="str">
        <f t="array" ref="H46:K46">_xlfn.XLOOKUP(C46,'ESAP NEIVA FASE II UNIFICADO'!$C$6:$C$720,'ESAP NEIVA FASE II UNIFICADO'!$C$6:$F$720,"NO ESTA")</f>
        <v>CERCHA METALICA CUBIERTA</v>
      </c>
      <c r="I46" s="95" t="str">
        <v>ML</v>
      </c>
      <c r="J46">
        <v>14.099999999999994</v>
      </c>
      <c r="K46">
        <v>109392</v>
      </c>
      <c r="L46">
        <f t="shared" si="2"/>
        <v>0</v>
      </c>
      <c r="M46">
        <f t="shared" si="3"/>
        <v>0</v>
      </c>
      <c r="N46" s="119">
        <f t="shared" si="4"/>
        <v>194</v>
      </c>
      <c r="O46">
        <f t="shared" si="0"/>
        <v>0</v>
      </c>
    </row>
    <row r="47" spans="2:15" ht="15" customHeight="1" x14ac:dyDescent="0.25">
      <c r="B47" s="86" t="s">
        <v>95</v>
      </c>
      <c r="C47" s="87" t="s">
        <v>96</v>
      </c>
      <c r="D47" s="82" t="s">
        <v>94</v>
      </c>
      <c r="E47" s="83">
        <v>1240</v>
      </c>
      <c r="F47" s="88">
        <v>72433</v>
      </c>
      <c r="G47" s="89">
        <f t="shared" si="1"/>
        <v>89816920</v>
      </c>
      <c r="H47" s="118" t="str">
        <f t="array" ref="H47:K47">_xlfn.XLOOKUP(C47,'ESAP NEIVA FASE II UNIFICADO'!$C$6:$C$720,'ESAP NEIVA FASE II UNIFICADO'!$C$6:$F$720,"NO ESTA")</f>
        <v>CORREAS METALICAS CUBIERTA</v>
      </c>
      <c r="I47" t="str">
        <v>ML</v>
      </c>
      <c r="J47">
        <v>28.599999999999994</v>
      </c>
      <c r="K47">
        <v>78264</v>
      </c>
      <c r="L47">
        <f t="shared" si="2"/>
        <v>0</v>
      </c>
      <c r="M47">
        <f t="shared" si="3"/>
        <v>0</v>
      </c>
      <c r="N47" s="119">
        <f t="shared" si="4"/>
        <v>1240</v>
      </c>
      <c r="O47">
        <f t="shared" si="0"/>
        <v>0</v>
      </c>
    </row>
    <row r="48" spans="2:15" ht="15" customHeight="1" x14ac:dyDescent="0.25">
      <c r="B48" s="86" t="s">
        <v>97</v>
      </c>
      <c r="C48" s="87" t="s">
        <v>98</v>
      </c>
      <c r="D48" s="82" t="s">
        <v>13</v>
      </c>
      <c r="E48" s="83">
        <v>508</v>
      </c>
      <c r="F48" s="88">
        <v>95772</v>
      </c>
      <c r="G48" s="89">
        <f t="shared" si="1"/>
        <v>48652176</v>
      </c>
      <c r="H48" s="118" t="str">
        <f t="array" ref="H48:K48">_xlfn.XLOOKUP(C48,'ESAP NEIVA FASE II UNIFICADO'!$C$6:$C$720,'ESAP NEIVA FASE II UNIFICADO'!$C$6:$F$720,"NO ESTA")</f>
        <v>CUBIERTA TIPO SANDWICH</v>
      </c>
      <c r="I48" t="str">
        <v>M2</v>
      </c>
      <c r="J48">
        <v>488.5</v>
      </c>
      <c r="K48">
        <v>103483</v>
      </c>
      <c r="L48">
        <f t="shared" si="2"/>
        <v>0</v>
      </c>
      <c r="M48">
        <f t="shared" si="3"/>
        <v>0</v>
      </c>
      <c r="N48" s="119">
        <f t="shared" si="4"/>
        <v>508</v>
      </c>
      <c r="O48">
        <f t="shared" si="0"/>
        <v>0</v>
      </c>
    </row>
    <row r="49" spans="2:15" ht="14.25" customHeight="1" x14ac:dyDescent="0.25">
      <c r="B49" s="74">
        <v>4</v>
      </c>
      <c r="C49" s="75" t="s">
        <v>99</v>
      </c>
      <c r="D49" s="76"/>
      <c r="E49" s="77"/>
      <c r="F49" s="78"/>
      <c r="G49" s="89">
        <f t="shared" si="1"/>
        <v>0</v>
      </c>
      <c r="H49" s="118" t="str">
        <f t="array" ref="H49:K49">_xlfn.XLOOKUP(C49,'ESAP NEIVA FASE II UNIFICADO'!$C$6:$C$720,'ESAP NEIVA FASE II UNIFICADO'!$C$6:$F$720,"NO ESTA")</f>
        <v>CIELO RASOS</v>
      </c>
      <c r="I49">
        <v>0</v>
      </c>
      <c r="J49">
        <v>0</v>
      </c>
      <c r="K49">
        <v>0</v>
      </c>
      <c r="L49">
        <f t="shared" si="2"/>
        <v>1</v>
      </c>
      <c r="M49">
        <f t="shared" si="3"/>
        <v>0</v>
      </c>
      <c r="N49" s="119">
        <f t="shared" si="4"/>
        <v>0</v>
      </c>
      <c r="O49">
        <f t="shared" si="0"/>
        <v>0</v>
      </c>
    </row>
    <row r="50" spans="2:15" ht="17.25" customHeight="1" x14ac:dyDescent="0.25">
      <c r="B50" s="80" t="s">
        <v>100</v>
      </c>
      <c r="C50" s="81" t="s">
        <v>101</v>
      </c>
      <c r="D50" s="82"/>
      <c r="E50" s="83"/>
      <c r="F50" s="84"/>
      <c r="G50" s="89">
        <f t="shared" si="1"/>
        <v>0</v>
      </c>
      <c r="H50" s="118" t="str">
        <f t="array" ref="H50:K50">_xlfn.XLOOKUP(C50,'ESAP NEIVA FASE II UNIFICADO'!$C$6:$C$720,'ESAP NEIVA FASE II UNIFICADO'!$C$6:$F$720,"NO ESTA")</f>
        <v>SUMINISTRO E INSTALACION DE CIELOS RASOS PISO 1</v>
      </c>
      <c r="I50">
        <v>0</v>
      </c>
      <c r="J50">
        <v>0</v>
      </c>
      <c r="K50">
        <v>0</v>
      </c>
      <c r="L50">
        <f t="shared" si="2"/>
        <v>1</v>
      </c>
      <c r="M50">
        <f t="shared" si="3"/>
        <v>0</v>
      </c>
      <c r="N50" s="119">
        <f t="shared" si="4"/>
        <v>0</v>
      </c>
      <c r="O50">
        <f t="shared" si="0"/>
        <v>0</v>
      </c>
    </row>
    <row r="51" spans="2:15" ht="31.5" customHeight="1" x14ac:dyDescent="0.25">
      <c r="B51" s="86" t="s">
        <v>102</v>
      </c>
      <c r="C51" s="147" t="s">
        <v>103</v>
      </c>
      <c r="D51" s="82" t="s">
        <v>13</v>
      </c>
      <c r="E51" s="83">
        <v>59.86</v>
      </c>
      <c r="F51" s="88">
        <v>41614</v>
      </c>
      <c r="G51" s="89">
        <f t="shared" si="1"/>
        <v>2491014.04</v>
      </c>
      <c r="H51" s="118" t="str">
        <f t="array" ref="H51:K51">_xlfn.XLOOKUP(C51,'ESAP NEIVA FASE II UNIFICADO'!$C$6:$C$720,'ESAP NEIVA FASE II UNIFICADO'!$C$6:$F$720,"NO ESTA")</f>
        <v>SUMINISTRO E INSTALACION CIELO RASO EN DRYWALL LAMINA VERDE RH  PINTADO A 3 MANOS PINTURA VINILO TIPO 1 o similar  BLANCA Ref. Planos 09512</v>
      </c>
      <c r="I51" t="str">
        <v>M2</v>
      </c>
      <c r="J51">
        <v>68.989999999999995</v>
      </c>
      <c r="K51">
        <v>52673</v>
      </c>
      <c r="L51">
        <f t="shared" si="2"/>
        <v>0</v>
      </c>
      <c r="M51">
        <f t="shared" si="3"/>
        <v>0</v>
      </c>
      <c r="N51" s="119">
        <f t="shared" si="4"/>
        <v>59.86</v>
      </c>
      <c r="O51">
        <f t="shared" si="0"/>
        <v>0</v>
      </c>
    </row>
    <row r="52" spans="2:15" ht="26.25" customHeight="1" x14ac:dyDescent="0.25">
      <c r="B52" s="86" t="s">
        <v>104</v>
      </c>
      <c r="C52" s="149" t="s">
        <v>105</v>
      </c>
      <c r="D52" s="82" t="s">
        <v>13</v>
      </c>
      <c r="E52" s="83">
        <v>388.43</v>
      </c>
      <c r="F52" s="88">
        <v>41614</v>
      </c>
      <c r="G52" s="89">
        <f t="shared" si="1"/>
        <v>16164126.02</v>
      </c>
      <c r="H52" s="118" t="str">
        <f t="array" ref="H52:K52">_xlfn.XLOOKUP(C52,'ESAP NEIVA FASE II UNIFICADO'!$C$6:$C$720,'ESAP NEIVA FASE II UNIFICADO'!$C$6:$F$720,"NO ESTA")</f>
        <v>SUMINISTRO E INSTALACION CIELO RASO EN DRYWALL LAMINA BLANCA PINTADO A 3 MANOS PINTURA VINILO TIPO 1  BLANCA Ref. Planos 09511</v>
      </c>
      <c r="I52" t="str">
        <v>M2</v>
      </c>
      <c r="J52">
        <v>0</v>
      </c>
      <c r="K52">
        <v>52673</v>
      </c>
      <c r="L52">
        <f t="shared" si="2"/>
        <v>1</v>
      </c>
      <c r="M52">
        <f t="shared" si="3"/>
        <v>41614</v>
      </c>
      <c r="N52" s="119">
        <f t="shared" si="4"/>
        <v>388.43</v>
      </c>
      <c r="O52">
        <f t="shared" si="0"/>
        <v>16164126.02</v>
      </c>
    </row>
    <row r="53" spans="2:15" ht="15.75" customHeight="1" x14ac:dyDescent="0.25">
      <c r="B53" s="74">
        <v>5</v>
      </c>
      <c r="C53" s="75" t="s">
        <v>106</v>
      </c>
      <c r="D53" s="76"/>
      <c r="E53" s="77"/>
      <c r="F53" s="78"/>
      <c r="G53" s="89">
        <f t="shared" si="1"/>
        <v>0</v>
      </c>
      <c r="H53" s="118" t="str">
        <f t="array" ref="H53:K53">_xlfn.XLOOKUP(C53,'ESAP NEIVA FASE II UNIFICADO'!$C$6:$C$720,'ESAP NEIVA FASE II UNIFICADO'!$C$6:$F$720,"NO ESTA")</f>
        <v>CONSTRUCCIÓN DE MUROS ARQUITECTONICOS</v>
      </c>
      <c r="I53">
        <v>0</v>
      </c>
      <c r="J53">
        <v>0</v>
      </c>
      <c r="K53">
        <v>0</v>
      </c>
      <c r="L53">
        <f t="shared" si="2"/>
        <v>1</v>
      </c>
      <c r="M53">
        <f t="shared" si="3"/>
        <v>0</v>
      </c>
      <c r="N53" s="119">
        <f t="shared" si="4"/>
        <v>0</v>
      </c>
      <c r="O53">
        <f t="shared" si="0"/>
        <v>0</v>
      </c>
    </row>
    <row r="54" spans="2:15" ht="15" customHeight="1" x14ac:dyDescent="0.25">
      <c r="B54" s="80" t="s">
        <v>107</v>
      </c>
      <c r="C54" s="81" t="s">
        <v>108</v>
      </c>
      <c r="D54" s="82"/>
      <c r="E54" s="83"/>
      <c r="F54" s="90"/>
      <c r="G54" s="89">
        <f t="shared" si="1"/>
        <v>0</v>
      </c>
      <c r="H54" s="118" t="str">
        <f t="array" ref="H54:K54">_xlfn.XLOOKUP(C54,'ESAP NEIVA FASE II UNIFICADO'!$C$6:$C$720,'ESAP NEIVA FASE II UNIFICADO'!$C$6:$F$720,"NO ESTA")</f>
        <v>CONSTRUCCIÓN MUROS ARQUITECTONICOS SEMISOTANO</v>
      </c>
      <c r="I54">
        <v>0</v>
      </c>
      <c r="J54">
        <v>0</v>
      </c>
      <c r="K54">
        <v>0</v>
      </c>
      <c r="L54">
        <f t="shared" si="2"/>
        <v>1</v>
      </c>
      <c r="M54">
        <f t="shared" si="3"/>
        <v>0</v>
      </c>
      <c r="N54" s="119">
        <f t="shared" si="4"/>
        <v>0</v>
      </c>
      <c r="O54">
        <f t="shared" si="0"/>
        <v>0</v>
      </c>
    </row>
    <row r="55" spans="2:15" ht="15" customHeight="1" x14ac:dyDescent="0.25">
      <c r="B55" s="86" t="s">
        <v>109</v>
      </c>
      <c r="C55" s="87" t="s">
        <v>110</v>
      </c>
      <c r="D55" s="82" t="s">
        <v>30</v>
      </c>
      <c r="E55" s="83">
        <v>0.73</v>
      </c>
      <c r="F55" s="88">
        <v>687672</v>
      </c>
      <c r="G55" s="89">
        <f t="shared" si="1"/>
        <v>502000.56</v>
      </c>
      <c r="H55" s="118" t="str">
        <f t="array" ref="H55:K55">_xlfn.XLOOKUP(C55,'ESAP NEIVA FASE II UNIFICADO'!$C$6:$C$720,'ESAP NEIVA FASE II UNIFICADO'!$C$6:$F$720,"NO ESTA")</f>
        <v>MURO EN CONCRETO DE 4000 PSI e=0.12 m Ver. Planos Tipo Muro M-1</v>
      </c>
      <c r="I55" t="str">
        <v>M3</v>
      </c>
      <c r="J55">
        <v>0</v>
      </c>
      <c r="K55">
        <v>821235</v>
      </c>
      <c r="L55">
        <f t="shared" si="2"/>
        <v>1</v>
      </c>
      <c r="M55">
        <f t="shared" si="3"/>
        <v>687672</v>
      </c>
      <c r="N55" s="119">
        <f t="shared" si="4"/>
        <v>0.73</v>
      </c>
      <c r="O55">
        <f t="shared" si="0"/>
        <v>502000.56</v>
      </c>
    </row>
    <row r="56" spans="2:15" ht="15" customHeight="1" x14ac:dyDescent="0.25">
      <c r="B56" s="86" t="s">
        <v>111</v>
      </c>
      <c r="C56" s="87" t="s">
        <v>112</v>
      </c>
      <c r="D56" s="82" t="s">
        <v>30</v>
      </c>
      <c r="E56" s="83">
        <v>11.33</v>
      </c>
      <c r="F56" s="88">
        <v>687672</v>
      </c>
      <c r="G56" s="89">
        <f t="shared" si="1"/>
        <v>7791323.7599999998</v>
      </c>
      <c r="H56" s="118" t="str">
        <f t="array" ref="H56:K56">_xlfn.XLOOKUP(C56,'ESAP NEIVA FASE II UNIFICADO'!$C$6:$C$720,'ESAP NEIVA FASE II UNIFICADO'!$C$6:$F$720,"NO ESTA")</f>
        <v>MURO EN CONCRETO DE 4000 PSI e=0.15 m Ver. Planos Tipo Muro M-2</v>
      </c>
      <c r="I56" t="str">
        <v>M3</v>
      </c>
      <c r="J56">
        <v>11.33</v>
      </c>
      <c r="K56">
        <v>821235</v>
      </c>
      <c r="L56">
        <f t="shared" si="2"/>
        <v>0</v>
      </c>
      <c r="M56">
        <f t="shared" si="3"/>
        <v>0</v>
      </c>
      <c r="N56" s="119">
        <f t="shared" si="4"/>
        <v>11.33</v>
      </c>
      <c r="O56">
        <f t="shared" si="0"/>
        <v>0</v>
      </c>
    </row>
    <row r="57" spans="2:15" ht="15" customHeight="1" x14ac:dyDescent="0.25">
      <c r="B57" s="86" t="s">
        <v>113</v>
      </c>
      <c r="C57" s="87" t="s">
        <v>114</v>
      </c>
      <c r="D57" s="82" t="s">
        <v>30</v>
      </c>
      <c r="E57" s="83">
        <v>95.6</v>
      </c>
      <c r="F57" s="88">
        <v>687672</v>
      </c>
      <c r="G57" s="89">
        <f t="shared" si="1"/>
        <v>65741443.200000003</v>
      </c>
      <c r="H57" s="118" t="str">
        <f t="array" ref="H57:K57">_xlfn.XLOOKUP(C57,'ESAP NEIVA FASE II UNIFICADO'!$C$6:$C$720,'ESAP NEIVA FASE II UNIFICADO'!$C$6:$F$720,"NO ESTA")</f>
        <v>MURO EN CONCRETO DE 4000 PSI e=0.25 m Ver. Planos Tipo Muro M-3</v>
      </c>
      <c r="I57" t="str">
        <v>M3</v>
      </c>
      <c r="J57">
        <v>95.594999999999999</v>
      </c>
      <c r="K57">
        <v>821235</v>
      </c>
      <c r="L57">
        <f t="shared" si="2"/>
        <v>0</v>
      </c>
      <c r="M57">
        <f t="shared" si="3"/>
        <v>0</v>
      </c>
      <c r="N57" s="119">
        <f t="shared" si="4"/>
        <v>95.6</v>
      </c>
      <c r="O57">
        <f t="shared" si="0"/>
        <v>0</v>
      </c>
    </row>
    <row r="58" spans="2:15" ht="15" customHeight="1" x14ac:dyDescent="0.25">
      <c r="B58" s="86" t="s">
        <v>115</v>
      </c>
      <c r="C58" s="87" t="s">
        <v>116</v>
      </c>
      <c r="D58" s="82" t="s">
        <v>30</v>
      </c>
      <c r="E58" s="83">
        <v>20.12</v>
      </c>
      <c r="F58" s="88">
        <v>687672</v>
      </c>
      <c r="G58" s="89">
        <f t="shared" si="1"/>
        <v>13835960.640000001</v>
      </c>
      <c r="H58" s="118" t="str">
        <f t="array" ref="H58:K58">_xlfn.XLOOKUP(C58,'ESAP NEIVA FASE II UNIFICADO'!$C$6:$C$720,'ESAP NEIVA FASE II UNIFICADO'!$C$6:$F$720,"NO ESTA")</f>
        <v>MURO EN CONCRETO DE 4000 PSI e=0.30 m Ver. Planos Tipo Muro M-4</v>
      </c>
      <c r="I58" t="str">
        <v>M3</v>
      </c>
      <c r="J58">
        <v>20.12</v>
      </c>
      <c r="K58">
        <v>821235</v>
      </c>
      <c r="L58">
        <f t="shared" si="2"/>
        <v>0</v>
      </c>
      <c r="M58">
        <f t="shared" si="3"/>
        <v>0</v>
      </c>
      <c r="N58" s="119">
        <f t="shared" si="4"/>
        <v>20.12</v>
      </c>
      <c r="O58">
        <f t="shared" si="0"/>
        <v>0</v>
      </c>
    </row>
    <row r="59" spans="2:15" ht="15" customHeight="1" x14ac:dyDescent="0.25">
      <c r="B59" s="86" t="s">
        <v>117</v>
      </c>
      <c r="C59" s="87" t="s">
        <v>118</v>
      </c>
      <c r="D59" s="82" t="s">
        <v>30</v>
      </c>
      <c r="E59" s="83">
        <v>80.489999999999995</v>
      </c>
      <c r="F59" s="88">
        <v>687672</v>
      </c>
      <c r="G59" s="89">
        <f t="shared" si="1"/>
        <v>55350719.280000001</v>
      </c>
      <c r="H59" s="118" t="str">
        <f t="array" ref="H59:K59">_xlfn.XLOOKUP(C59,'ESAP NEIVA FASE II UNIFICADO'!$C$6:$C$720,'ESAP NEIVA FASE II UNIFICADO'!$C$6:$F$720,"NO ESTA")</f>
        <v>MURO EN CONCRETO DE 4000 PSI e=0.40 m Ver. Planos Tipo Muro M-5</v>
      </c>
      <c r="I59" t="str">
        <v>M3</v>
      </c>
      <c r="J59">
        <v>80.484999999999999</v>
      </c>
      <c r="K59">
        <v>821235</v>
      </c>
      <c r="L59">
        <f t="shared" si="2"/>
        <v>0</v>
      </c>
      <c r="M59">
        <f t="shared" si="3"/>
        <v>0</v>
      </c>
      <c r="N59" s="119">
        <f t="shared" si="4"/>
        <v>80.489999999999995</v>
      </c>
      <c r="O59">
        <f t="shared" si="0"/>
        <v>0</v>
      </c>
    </row>
    <row r="60" spans="2:15" ht="15" customHeight="1" x14ac:dyDescent="0.25">
      <c r="B60" s="86" t="s">
        <v>119</v>
      </c>
      <c r="C60" s="87" t="s">
        <v>120</v>
      </c>
      <c r="D60" s="82" t="s">
        <v>13</v>
      </c>
      <c r="E60" s="83">
        <v>79.69</v>
      </c>
      <c r="F60" s="88">
        <v>146012</v>
      </c>
      <c r="G60" s="89">
        <f t="shared" si="1"/>
        <v>11635696.279999999</v>
      </c>
      <c r="H60" s="118" t="str">
        <f t="array" ref="H60:K60">_xlfn.XLOOKUP(C60,'ESAP NEIVA FASE II UNIFICADO'!$C$6:$C$720,'ESAP NEIVA FASE II UNIFICADO'!$C$6:$F$720,"NO ESTA")</f>
        <v>MURO EN LADRILLO GRAN FORMATO e= 0.12 m Ref. Tierra Ver. Planos Tipo Muro M-6</v>
      </c>
      <c r="I60" t="str">
        <v>M2</v>
      </c>
      <c r="J60">
        <v>79.69</v>
      </c>
      <c r="K60">
        <v>141317</v>
      </c>
      <c r="L60">
        <f t="shared" si="2"/>
        <v>0</v>
      </c>
      <c r="M60">
        <f t="shared" si="3"/>
        <v>0</v>
      </c>
      <c r="N60" s="119">
        <f t="shared" si="4"/>
        <v>79.69</v>
      </c>
      <c r="O60">
        <f t="shared" si="0"/>
        <v>0</v>
      </c>
    </row>
    <row r="61" spans="2:15" ht="15" customHeight="1" x14ac:dyDescent="0.25">
      <c r="B61" s="86" t="s">
        <v>121</v>
      </c>
      <c r="C61" s="87" t="s">
        <v>122</v>
      </c>
      <c r="D61" s="82" t="s">
        <v>13</v>
      </c>
      <c r="E61" s="83">
        <v>21.32</v>
      </c>
      <c r="F61" s="88">
        <v>292026</v>
      </c>
      <c r="G61" s="89">
        <f t="shared" si="1"/>
        <v>6225994.3200000003</v>
      </c>
      <c r="H61" s="118" t="str">
        <f t="array" ref="H61:K61">_xlfn.XLOOKUP(C61,'ESAP NEIVA FASE II UNIFICADO'!$C$6:$C$720,'ESAP NEIVA FASE II UNIFICADO'!$C$6:$F$720,"NO ESTA")</f>
        <v xml:space="preserve">MURO EN LADRILLO GRAN FORMATO e= 0.25 m Ref. Tierra Ver. Planos Tipo Muro M-7 </v>
      </c>
      <c r="I61" t="str">
        <v>M2</v>
      </c>
      <c r="J61">
        <v>21.32</v>
      </c>
      <c r="K61">
        <v>186538</v>
      </c>
      <c r="L61">
        <f t="shared" si="2"/>
        <v>0</v>
      </c>
      <c r="M61">
        <f t="shared" si="3"/>
        <v>0</v>
      </c>
      <c r="N61" s="119">
        <f t="shared" si="4"/>
        <v>21.32</v>
      </c>
      <c r="O61">
        <f t="shared" si="0"/>
        <v>0</v>
      </c>
    </row>
    <row r="62" spans="2:15" ht="15" customHeight="1" x14ac:dyDescent="0.25">
      <c r="B62" s="97" t="s">
        <v>123</v>
      </c>
      <c r="C62" s="98" t="s">
        <v>124</v>
      </c>
      <c r="D62" s="82"/>
      <c r="E62" s="83"/>
      <c r="F62" s="90"/>
      <c r="G62" s="89">
        <f t="shared" si="1"/>
        <v>0</v>
      </c>
      <c r="H62" s="118" t="str">
        <f t="array" ref="H62:K62">_xlfn.XLOOKUP(C62,'ESAP NEIVA FASE II UNIFICADO'!$C$6:$C$720,'ESAP NEIVA FASE II UNIFICADO'!$C$6:$F$720,"NO ESTA")</f>
        <v>CONSTRUCCIÓN MUROS ARQUITECTONICOS EXTERIORES</v>
      </c>
      <c r="I62">
        <v>0</v>
      </c>
      <c r="J62">
        <v>0</v>
      </c>
      <c r="K62">
        <v>0</v>
      </c>
      <c r="L62">
        <f t="shared" si="2"/>
        <v>1</v>
      </c>
      <c r="M62">
        <f t="shared" si="3"/>
        <v>0</v>
      </c>
      <c r="N62" s="119">
        <f t="shared" si="4"/>
        <v>0</v>
      </c>
      <c r="O62">
        <f t="shared" si="0"/>
        <v>0</v>
      </c>
    </row>
    <row r="63" spans="2:15" ht="15" customHeight="1" x14ac:dyDescent="0.25">
      <c r="B63" s="86" t="s">
        <v>125</v>
      </c>
      <c r="C63" s="87" t="s">
        <v>112</v>
      </c>
      <c r="D63" s="82" t="s">
        <v>30</v>
      </c>
      <c r="E63" s="83">
        <v>0.17</v>
      </c>
      <c r="F63" s="88">
        <v>687672</v>
      </c>
      <c r="G63" s="89">
        <f t="shared" si="1"/>
        <v>116904.24</v>
      </c>
      <c r="H63" s="118" t="str">
        <f t="array" ref="H63:K63">_xlfn.XLOOKUP(C63,'ESAP NEIVA FASE II UNIFICADO'!$C$6:$C$720,'ESAP NEIVA FASE II UNIFICADO'!$C$6:$F$720,"NO ESTA")</f>
        <v>MURO EN CONCRETO DE 4000 PSI e=0.15 m Ver. Planos Tipo Muro M-2</v>
      </c>
      <c r="I63" t="str">
        <v>M3</v>
      </c>
      <c r="J63">
        <v>11.33</v>
      </c>
      <c r="K63">
        <v>821235</v>
      </c>
      <c r="L63">
        <f t="shared" si="2"/>
        <v>0</v>
      </c>
      <c r="M63">
        <f t="shared" si="3"/>
        <v>0</v>
      </c>
      <c r="N63" s="119">
        <f t="shared" si="4"/>
        <v>0.17</v>
      </c>
      <c r="O63">
        <f t="shared" si="0"/>
        <v>0</v>
      </c>
    </row>
    <row r="64" spans="2:15" ht="15" customHeight="1" x14ac:dyDescent="0.25">
      <c r="B64" s="86" t="s">
        <v>126</v>
      </c>
      <c r="C64" s="87" t="s">
        <v>114</v>
      </c>
      <c r="D64" s="82" t="s">
        <v>30</v>
      </c>
      <c r="E64" s="83">
        <v>56.08</v>
      </c>
      <c r="F64" s="88">
        <v>687672</v>
      </c>
      <c r="G64" s="89">
        <f t="shared" si="1"/>
        <v>38564645.759999998</v>
      </c>
      <c r="H64" s="118" t="str">
        <f t="array" ref="H64:K64">_xlfn.XLOOKUP(C64,'ESAP NEIVA FASE II UNIFICADO'!$C$6:$C$720,'ESAP NEIVA FASE II UNIFICADO'!$C$6:$F$720,"NO ESTA")</f>
        <v>MURO EN CONCRETO DE 4000 PSI e=0.25 m Ver. Planos Tipo Muro M-3</v>
      </c>
      <c r="I64" t="str">
        <v>M3</v>
      </c>
      <c r="J64">
        <v>95.594999999999999</v>
      </c>
      <c r="K64">
        <v>821235</v>
      </c>
      <c r="L64">
        <f t="shared" si="2"/>
        <v>0</v>
      </c>
      <c r="M64">
        <f t="shared" si="3"/>
        <v>0</v>
      </c>
      <c r="N64" s="119">
        <f t="shared" si="4"/>
        <v>56.08</v>
      </c>
      <c r="O64">
        <f t="shared" si="0"/>
        <v>0</v>
      </c>
    </row>
    <row r="65" spans="2:15" ht="15" customHeight="1" x14ac:dyDescent="0.25">
      <c r="B65" s="80" t="s">
        <v>127</v>
      </c>
      <c r="C65" s="81" t="s">
        <v>128</v>
      </c>
      <c r="D65" s="82"/>
      <c r="E65" s="83"/>
      <c r="F65" s="90"/>
      <c r="G65" s="89">
        <f t="shared" si="1"/>
        <v>0</v>
      </c>
      <c r="H65" s="118" t="str">
        <f t="array" ref="H65:K65">_xlfn.XLOOKUP(C65,'ESAP NEIVA FASE II UNIFICADO'!$C$6:$C$720,'ESAP NEIVA FASE II UNIFICADO'!$C$6:$F$720,"NO ESTA")</f>
        <v>CONSTRUCCIÓN MUROS ARQUITECTONICOS PISO 1</v>
      </c>
      <c r="I65">
        <v>0</v>
      </c>
      <c r="J65">
        <v>0</v>
      </c>
      <c r="K65">
        <v>0</v>
      </c>
      <c r="L65">
        <f t="shared" si="2"/>
        <v>1</v>
      </c>
      <c r="M65">
        <f t="shared" si="3"/>
        <v>0</v>
      </c>
      <c r="N65" s="119">
        <f t="shared" si="4"/>
        <v>0</v>
      </c>
      <c r="O65">
        <f t="shared" ref="O65:O128" si="5">M65*N65</f>
        <v>0</v>
      </c>
    </row>
    <row r="66" spans="2:15" ht="15" customHeight="1" x14ac:dyDescent="0.25">
      <c r="B66" s="86" t="s">
        <v>129</v>
      </c>
      <c r="C66" s="87" t="s">
        <v>130</v>
      </c>
      <c r="D66" s="82" t="s">
        <v>13</v>
      </c>
      <c r="E66" s="83">
        <v>91.92</v>
      </c>
      <c r="F66" s="88">
        <v>105344</v>
      </c>
      <c r="G66" s="89">
        <f t="shared" si="1"/>
        <v>9683220.4800000004</v>
      </c>
      <c r="H66" s="118" t="str">
        <f t="array" ref="H66:K66">_xlfn.XLOOKUP(C66,'ESAP NEIVA FASE II UNIFICADO'!$C$6:$C$720,'ESAP NEIVA FASE II UNIFICADO'!$C$6:$F$720,"NO ESTA")</f>
        <v>ENCHAPE DE MURO BAÑOS PORCELANATO GRIS 30*40CM</v>
      </c>
      <c r="I66" t="str">
        <v>M2</v>
      </c>
      <c r="J66">
        <v>91.915000000000006</v>
      </c>
      <c r="K66">
        <v>102358</v>
      </c>
      <c r="L66">
        <f t="shared" si="2"/>
        <v>0</v>
      </c>
      <c r="M66">
        <f t="shared" si="3"/>
        <v>0</v>
      </c>
      <c r="N66" s="119">
        <f t="shared" si="4"/>
        <v>91.92</v>
      </c>
      <c r="O66">
        <f t="shared" si="5"/>
        <v>0</v>
      </c>
    </row>
    <row r="67" spans="2:15" ht="15" customHeight="1" x14ac:dyDescent="0.25">
      <c r="B67" s="86" t="s">
        <v>131</v>
      </c>
      <c r="C67" s="87" t="s">
        <v>112</v>
      </c>
      <c r="D67" s="82" t="s">
        <v>30</v>
      </c>
      <c r="E67" s="83">
        <v>29.67</v>
      </c>
      <c r="F67" s="88">
        <v>687672</v>
      </c>
      <c r="G67" s="89">
        <f t="shared" si="1"/>
        <v>20403228.239999998</v>
      </c>
      <c r="H67" s="118" t="str">
        <f t="array" ref="H67:K67">_xlfn.XLOOKUP(C67,'ESAP NEIVA FASE II UNIFICADO'!$C$6:$C$720,'ESAP NEIVA FASE II UNIFICADO'!$C$6:$F$720,"NO ESTA")</f>
        <v>MURO EN CONCRETO DE 4000 PSI e=0.15 m Ver. Planos Tipo Muro M-2</v>
      </c>
      <c r="I67" t="str">
        <v>M3</v>
      </c>
      <c r="J67">
        <v>11.33</v>
      </c>
      <c r="K67">
        <v>821235</v>
      </c>
      <c r="L67">
        <f t="shared" si="2"/>
        <v>0</v>
      </c>
      <c r="M67">
        <f t="shared" si="3"/>
        <v>0</v>
      </c>
      <c r="N67" s="119">
        <f t="shared" si="4"/>
        <v>29.67</v>
      </c>
      <c r="O67">
        <f t="shared" si="5"/>
        <v>0</v>
      </c>
    </row>
    <row r="68" spans="2:15" ht="15" customHeight="1" x14ac:dyDescent="0.25">
      <c r="B68" s="86" t="s">
        <v>132</v>
      </c>
      <c r="C68" s="87" t="s">
        <v>114</v>
      </c>
      <c r="D68" s="82" t="s">
        <v>30</v>
      </c>
      <c r="E68" s="83">
        <v>8.76</v>
      </c>
      <c r="F68" s="88">
        <v>687672</v>
      </c>
      <c r="G68" s="89">
        <f t="shared" si="1"/>
        <v>6024006.7199999997</v>
      </c>
      <c r="H68" s="118" t="str">
        <f t="array" ref="H68:K68">_xlfn.XLOOKUP(C68,'ESAP NEIVA FASE II UNIFICADO'!$C$6:$C$720,'ESAP NEIVA FASE II UNIFICADO'!$C$6:$F$720,"NO ESTA")</f>
        <v>MURO EN CONCRETO DE 4000 PSI e=0.25 m Ver. Planos Tipo Muro M-3</v>
      </c>
      <c r="I68" t="str">
        <v>M3</v>
      </c>
      <c r="J68">
        <v>95.594999999999999</v>
      </c>
      <c r="K68">
        <v>821235</v>
      </c>
      <c r="L68">
        <f t="shared" si="2"/>
        <v>0</v>
      </c>
      <c r="M68">
        <f t="shared" si="3"/>
        <v>0</v>
      </c>
      <c r="N68" s="119">
        <f t="shared" si="4"/>
        <v>8.76</v>
      </c>
      <c r="O68">
        <f t="shared" si="5"/>
        <v>0</v>
      </c>
    </row>
    <row r="69" spans="2:15" ht="15" customHeight="1" x14ac:dyDescent="0.25">
      <c r="B69" s="86" t="s">
        <v>133</v>
      </c>
      <c r="C69" s="87" t="s">
        <v>118</v>
      </c>
      <c r="D69" s="82" t="s">
        <v>134</v>
      </c>
      <c r="E69" s="83">
        <v>54.4</v>
      </c>
      <c r="F69" s="88">
        <v>687672</v>
      </c>
      <c r="G69" s="89">
        <f t="shared" si="1"/>
        <v>37409356.799999997</v>
      </c>
      <c r="H69" s="118" t="str">
        <f t="array" ref="H69:K69">_xlfn.XLOOKUP(C69,'ESAP NEIVA FASE II UNIFICADO'!$C$6:$C$720,'ESAP NEIVA FASE II UNIFICADO'!$C$6:$F$720,"NO ESTA")</f>
        <v>MURO EN CONCRETO DE 4000 PSI e=0.40 m Ver. Planos Tipo Muro M-5</v>
      </c>
      <c r="I69" t="str">
        <v>M3</v>
      </c>
      <c r="J69">
        <v>80.484999999999999</v>
      </c>
      <c r="K69">
        <v>821235</v>
      </c>
      <c r="L69">
        <f t="shared" si="2"/>
        <v>0</v>
      </c>
      <c r="M69">
        <f t="shared" si="3"/>
        <v>0</v>
      </c>
      <c r="N69" s="119">
        <f t="shared" si="4"/>
        <v>54.4</v>
      </c>
      <c r="O69">
        <f t="shared" si="5"/>
        <v>0</v>
      </c>
    </row>
    <row r="70" spans="2:15" ht="23.45" customHeight="1" x14ac:dyDescent="0.25">
      <c r="B70" s="86" t="s">
        <v>135</v>
      </c>
      <c r="C70" s="87" t="s">
        <v>120</v>
      </c>
      <c r="D70" s="82" t="s">
        <v>13</v>
      </c>
      <c r="E70" s="83">
        <v>204.57</v>
      </c>
      <c r="F70" s="88">
        <v>146012</v>
      </c>
      <c r="G70" s="89">
        <f t="shared" si="1"/>
        <v>29869674.84</v>
      </c>
      <c r="H70" s="118" t="str">
        <f t="array" ref="H70:K70">_xlfn.XLOOKUP(C70,'ESAP NEIVA FASE II UNIFICADO'!$C$6:$C$720,'ESAP NEIVA FASE II UNIFICADO'!$C$6:$F$720,"NO ESTA")</f>
        <v>MURO EN LADRILLO GRAN FORMATO e= 0.12 m Ref. Tierra Ver. Planos Tipo Muro M-6</v>
      </c>
      <c r="I70" t="str">
        <v>M2</v>
      </c>
      <c r="J70">
        <v>79.69</v>
      </c>
      <c r="K70">
        <v>141317</v>
      </c>
      <c r="L70">
        <f t="shared" si="2"/>
        <v>0</v>
      </c>
      <c r="M70">
        <f t="shared" si="3"/>
        <v>0</v>
      </c>
      <c r="N70" s="119">
        <f t="shared" si="4"/>
        <v>204.57</v>
      </c>
      <c r="O70">
        <f t="shared" si="5"/>
        <v>0</v>
      </c>
    </row>
    <row r="71" spans="2:15" ht="31.15" customHeight="1" x14ac:dyDescent="0.25">
      <c r="B71" s="86" t="s">
        <v>136</v>
      </c>
      <c r="C71" s="87" t="s">
        <v>122</v>
      </c>
      <c r="D71" s="82" t="s">
        <v>13</v>
      </c>
      <c r="E71" s="83">
        <v>76.38</v>
      </c>
      <c r="F71" s="88">
        <v>292026</v>
      </c>
      <c r="G71" s="89">
        <f t="shared" ref="G71:G134" si="6">ROUND(+F71*E71,2)</f>
        <v>22304945.879999999</v>
      </c>
      <c r="H71" s="118" t="str">
        <f t="array" ref="H71:K71">_xlfn.XLOOKUP(C71,'ESAP NEIVA FASE II UNIFICADO'!$C$6:$C$720,'ESAP NEIVA FASE II UNIFICADO'!$C$6:$F$720,"NO ESTA")</f>
        <v xml:space="preserve">MURO EN LADRILLO GRAN FORMATO e= 0.25 m Ref. Tierra Ver. Planos Tipo Muro M-7 </v>
      </c>
      <c r="I71" t="str">
        <v>M2</v>
      </c>
      <c r="J71">
        <v>21.32</v>
      </c>
      <c r="K71">
        <v>186538</v>
      </c>
      <c r="L71">
        <f t="shared" si="2"/>
        <v>0</v>
      </c>
      <c r="M71">
        <f t="shared" si="3"/>
        <v>0</v>
      </c>
      <c r="N71" s="119">
        <f t="shared" si="4"/>
        <v>76.38</v>
      </c>
      <c r="O71">
        <f t="shared" si="5"/>
        <v>0</v>
      </c>
    </row>
    <row r="72" spans="2:15" ht="15" customHeight="1" x14ac:dyDescent="0.25">
      <c r="B72" s="80" t="s">
        <v>137</v>
      </c>
      <c r="C72" s="81" t="s">
        <v>138</v>
      </c>
      <c r="D72" s="82"/>
      <c r="E72" s="83"/>
      <c r="F72" s="90"/>
      <c r="G72" s="89">
        <f t="shared" si="6"/>
        <v>0</v>
      </c>
      <c r="H72" s="118" t="str">
        <f t="array" ref="H72:K72">_xlfn.XLOOKUP(C72,'ESAP NEIVA FASE II UNIFICADO'!$C$6:$C$720,'ESAP NEIVA FASE II UNIFICADO'!$C$6:$F$720,"NO ESTA")</f>
        <v>CONSTRUCCIÓN MUROS ARQUITECTONICOS PISO 2</v>
      </c>
      <c r="I72">
        <v>0</v>
      </c>
      <c r="J72">
        <v>0</v>
      </c>
      <c r="K72">
        <v>0</v>
      </c>
      <c r="L72">
        <f t="shared" si="2"/>
        <v>1</v>
      </c>
      <c r="M72">
        <f t="shared" si="3"/>
        <v>0</v>
      </c>
      <c r="N72" s="119">
        <f t="shared" si="4"/>
        <v>0</v>
      </c>
      <c r="O72">
        <f t="shared" si="5"/>
        <v>0</v>
      </c>
    </row>
    <row r="73" spans="2:15" ht="15" customHeight="1" x14ac:dyDescent="0.25">
      <c r="B73" s="86" t="s">
        <v>139</v>
      </c>
      <c r="C73" s="87" t="s">
        <v>130</v>
      </c>
      <c r="D73" s="82" t="s">
        <v>13</v>
      </c>
      <c r="E73" s="83">
        <v>89.61</v>
      </c>
      <c r="F73" s="88">
        <v>105344</v>
      </c>
      <c r="G73" s="89">
        <f t="shared" si="6"/>
        <v>9439875.8399999999</v>
      </c>
      <c r="H73" s="118" t="str">
        <f t="array" ref="H73:K73">_xlfn.XLOOKUP(C73,'ESAP NEIVA FASE II UNIFICADO'!$C$6:$C$720,'ESAP NEIVA FASE II UNIFICADO'!$C$6:$F$720,"NO ESTA")</f>
        <v>ENCHAPE DE MURO BAÑOS PORCELANATO GRIS 30*40CM</v>
      </c>
      <c r="I73" t="str">
        <v>M2</v>
      </c>
      <c r="J73">
        <v>91.915000000000006</v>
      </c>
      <c r="K73">
        <v>102358</v>
      </c>
      <c r="L73">
        <f t="shared" si="2"/>
        <v>0</v>
      </c>
      <c r="M73">
        <f t="shared" si="3"/>
        <v>0</v>
      </c>
      <c r="N73" s="119">
        <f t="shared" si="4"/>
        <v>89.61</v>
      </c>
      <c r="O73">
        <f t="shared" si="5"/>
        <v>0</v>
      </c>
    </row>
    <row r="74" spans="2:15" ht="15" customHeight="1" x14ac:dyDescent="0.25">
      <c r="B74" s="86" t="s">
        <v>140</v>
      </c>
      <c r="C74" s="87" t="s">
        <v>110</v>
      </c>
      <c r="D74" s="82" t="s">
        <v>30</v>
      </c>
      <c r="E74" s="83">
        <v>1.1299999999999999</v>
      </c>
      <c r="F74" s="88">
        <v>687672</v>
      </c>
      <c r="G74" s="89">
        <f t="shared" si="6"/>
        <v>777069.36</v>
      </c>
      <c r="H74" s="118" t="str">
        <f t="array" ref="H74:K74">_xlfn.XLOOKUP(C74,'ESAP NEIVA FASE II UNIFICADO'!$C$6:$C$720,'ESAP NEIVA FASE II UNIFICADO'!$C$6:$F$720,"NO ESTA")</f>
        <v>MURO EN CONCRETO DE 4000 PSI e=0.12 m Ver. Planos Tipo Muro M-1</v>
      </c>
      <c r="I74" t="str">
        <v>M3</v>
      </c>
      <c r="J74">
        <v>0</v>
      </c>
      <c r="K74">
        <v>821235</v>
      </c>
      <c r="L74">
        <f t="shared" ref="L74:L137" si="7">+IF(J74&gt;0,0,1)</f>
        <v>1</v>
      </c>
      <c r="M74">
        <f t="shared" ref="M74:M137" si="8">IF(L74=1,F74,0)</f>
        <v>687672</v>
      </c>
      <c r="N74" s="119">
        <f t="shared" ref="N74:N137" si="9">E74</f>
        <v>1.1299999999999999</v>
      </c>
      <c r="O74">
        <f t="shared" si="5"/>
        <v>777069.35999999987</v>
      </c>
    </row>
    <row r="75" spans="2:15" ht="15" customHeight="1" x14ac:dyDescent="0.25">
      <c r="B75" s="86" t="s">
        <v>141</v>
      </c>
      <c r="C75" s="87" t="s">
        <v>112</v>
      </c>
      <c r="D75" s="82" t="s">
        <v>30</v>
      </c>
      <c r="E75" s="83">
        <v>31.71</v>
      </c>
      <c r="F75" s="88">
        <v>687672</v>
      </c>
      <c r="G75" s="89">
        <f t="shared" si="6"/>
        <v>21806079.120000001</v>
      </c>
      <c r="H75" s="118" t="str">
        <f t="array" ref="H75:K75">_xlfn.XLOOKUP(C75,'ESAP NEIVA FASE II UNIFICADO'!$C$6:$C$720,'ESAP NEIVA FASE II UNIFICADO'!$C$6:$F$720,"NO ESTA")</f>
        <v>MURO EN CONCRETO DE 4000 PSI e=0.15 m Ver. Planos Tipo Muro M-2</v>
      </c>
      <c r="I75" t="str">
        <v>M3</v>
      </c>
      <c r="J75">
        <v>11.33</v>
      </c>
      <c r="K75">
        <v>821235</v>
      </c>
      <c r="L75">
        <f t="shared" si="7"/>
        <v>0</v>
      </c>
      <c r="M75">
        <f t="shared" si="8"/>
        <v>0</v>
      </c>
      <c r="N75" s="119">
        <f t="shared" si="9"/>
        <v>31.71</v>
      </c>
      <c r="O75">
        <f t="shared" si="5"/>
        <v>0</v>
      </c>
    </row>
    <row r="76" spans="2:15" ht="15" customHeight="1" x14ac:dyDescent="0.25">
      <c r="B76" s="86" t="s">
        <v>142</v>
      </c>
      <c r="C76" s="87" t="s">
        <v>114</v>
      </c>
      <c r="D76" s="82" t="s">
        <v>30</v>
      </c>
      <c r="E76" s="83">
        <v>77.67</v>
      </c>
      <c r="F76" s="88">
        <v>687672</v>
      </c>
      <c r="G76" s="89">
        <f t="shared" si="6"/>
        <v>53411484.240000002</v>
      </c>
      <c r="H76" s="118" t="str">
        <f t="array" ref="H76:K76">_xlfn.XLOOKUP(C76,'ESAP NEIVA FASE II UNIFICADO'!$C$6:$C$720,'ESAP NEIVA FASE II UNIFICADO'!$C$6:$F$720,"NO ESTA")</f>
        <v>MURO EN CONCRETO DE 4000 PSI e=0.25 m Ver. Planos Tipo Muro M-3</v>
      </c>
      <c r="I76" t="str">
        <v>M3</v>
      </c>
      <c r="J76">
        <v>95.594999999999999</v>
      </c>
      <c r="K76">
        <v>821235</v>
      </c>
      <c r="L76">
        <f t="shared" si="7"/>
        <v>0</v>
      </c>
      <c r="M76">
        <f t="shared" si="8"/>
        <v>0</v>
      </c>
      <c r="N76" s="119">
        <f t="shared" si="9"/>
        <v>77.67</v>
      </c>
      <c r="O76">
        <f t="shared" si="5"/>
        <v>0</v>
      </c>
    </row>
    <row r="77" spans="2:15" ht="15" customHeight="1" x14ac:dyDescent="0.25">
      <c r="B77" s="86" t="s">
        <v>143</v>
      </c>
      <c r="C77" s="87" t="s">
        <v>120</v>
      </c>
      <c r="D77" s="82" t="s">
        <v>13</v>
      </c>
      <c r="E77" s="83">
        <v>139.68</v>
      </c>
      <c r="F77" s="88">
        <v>146012</v>
      </c>
      <c r="G77" s="89">
        <f t="shared" si="6"/>
        <v>20394956.16</v>
      </c>
      <c r="H77" s="118" t="str">
        <f t="array" ref="H77:K77">_xlfn.XLOOKUP(C77,'ESAP NEIVA FASE II UNIFICADO'!$C$6:$C$720,'ESAP NEIVA FASE II UNIFICADO'!$C$6:$F$720,"NO ESTA")</f>
        <v>MURO EN LADRILLO GRAN FORMATO e= 0.12 m Ref. Tierra Ver. Planos Tipo Muro M-6</v>
      </c>
      <c r="I77" t="str">
        <v>M2</v>
      </c>
      <c r="J77">
        <v>79.69</v>
      </c>
      <c r="K77">
        <v>141317</v>
      </c>
      <c r="L77">
        <f t="shared" si="7"/>
        <v>0</v>
      </c>
      <c r="M77">
        <f t="shared" si="8"/>
        <v>0</v>
      </c>
      <c r="N77" s="119">
        <f t="shared" si="9"/>
        <v>139.68</v>
      </c>
      <c r="O77">
        <f t="shared" si="5"/>
        <v>0</v>
      </c>
    </row>
    <row r="78" spans="2:15" ht="15" customHeight="1" x14ac:dyDescent="0.25">
      <c r="B78" s="86" t="s">
        <v>144</v>
      </c>
      <c r="C78" s="87" t="s">
        <v>122</v>
      </c>
      <c r="D78" s="82" t="s">
        <v>13</v>
      </c>
      <c r="E78" s="83">
        <v>124.47</v>
      </c>
      <c r="F78" s="88">
        <v>292026</v>
      </c>
      <c r="G78" s="89">
        <f t="shared" si="6"/>
        <v>36348476.219999999</v>
      </c>
      <c r="H78" s="118" t="str">
        <f t="array" ref="H78:K78">_xlfn.XLOOKUP(C78,'ESAP NEIVA FASE II UNIFICADO'!$C$6:$C$720,'ESAP NEIVA FASE II UNIFICADO'!$C$6:$F$720,"NO ESTA")</f>
        <v xml:space="preserve">MURO EN LADRILLO GRAN FORMATO e= 0.25 m Ref. Tierra Ver. Planos Tipo Muro M-7 </v>
      </c>
      <c r="I78" t="str">
        <v>M2</v>
      </c>
      <c r="J78">
        <v>21.32</v>
      </c>
      <c r="K78">
        <v>186538</v>
      </c>
      <c r="L78">
        <f t="shared" si="7"/>
        <v>0</v>
      </c>
      <c r="M78">
        <f t="shared" si="8"/>
        <v>0</v>
      </c>
      <c r="N78" s="119">
        <f t="shared" si="9"/>
        <v>124.47</v>
      </c>
      <c r="O78">
        <f t="shared" si="5"/>
        <v>0</v>
      </c>
    </row>
    <row r="79" spans="2:15" ht="12.75" customHeight="1" x14ac:dyDescent="0.25">
      <c r="B79" s="74">
        <v>6</v>
      </c>
      <c r="C79" s="75" t="s">
        <v>145</v>
      </c>
      <c r="D79" s="76"/>
      <c r="E79" s="77"/>
      <c r="F79" s="78"/>
      <c r="G79" s="89">
        <f t="shared" si="6"/>
        <v>0</v>
      </c>
      <c r="H79" s="118" t="str">
        <f t="array" ref="H79:K79">_xlfn.XLOOKUP(C79,'ESAP NEIVA FASE II UNIFICADO'!$C$6:$C$720,'ESAP NEIVA FASE II UNIFICADO'!$C$6:$F$720,"NO ESTA")</f>
        <v>ACABADOS DE PISOS</v>
      </c>
      <c r="I79">
        <v>0</v>
      </c>
      <c r="J79">
        <v>0</v>
      </c>
      <c r="K79">
        <v>0</v>
      </c>
      <c r="L79">
        <f t="shared" si="7"/>
        <v>1</v>
      </c>
      <c r="M79">
        <f t="shared" si="8"/>
        <v>0</v>
      </c>
      <c r="N79" s="119">
        <f t="shared" si="9"/>
        <v>0</v>
      </c>
      <c r="O79">
        <f t="shared" si="5"/>
        <v>0</v>
      </c>
    </row>
    <row r="80" spans="2:15" ht="15" customHeight="1" x14ac:dyDescent="0.25">
      <c r="B80" s="80" t="s">
        <v>146</v>
      </c>
      <c r="C80" s="81" t="s">
        <v>147</v>
      </c>
      <c r="D80" s="82"/>
      <c r="E80" s="83"/>
      <c r="F80" s="90"/>
      <c r="G80" s="89">
        <f t="shared" si="6"/>
        <v>0</v>
      </c>
      <c r="H80" s="118" t="str">
        <f t="array" ref="H80:K80">_xlfn.XLOOKUP(C80,'ESAP NEIVA FASE II UNIFICADO'!$C$6:$C$720,'ESAP NEIVA FASE II UNIFICADO'!$C$6:$F$720,"NO ESTA")</f>
        <v>SUMINISTRO E INSTALACIÓN PISOS SEMISOTANO</v>
      </c>
      <c r="I80">
        <v>0</v>
      </c>
      <c r="J80">
        <v>0</v>
      </c>
      <c r="K80">
        <v>0</v>
      </c>
      <c r="L80">
        <f t="shared" si="7"/>
        <v>1</v>
      </c>
      <c r="M80">
        <f t="shared" si="8"/>
        <v>0</v>
      </c>
      <c r="N80" s="119">
        <f t="shared" si="9"/>
        <v>0</v>
      </c>
      <c r="O80">
        <f t="shared" si="5"/>
        <v>0</v>
      </c>
    </row>
    <row r="81" spans="2:15" ht="23.25" customHeight="1" x14ac:dyDescent="0.25">
      <c r="B81" s="86" t="s">
        <v>148</v>
      </c>
      <c r="C81" s="87" t="s">
        <v>149</v>
      </c>
      <c r="D81" s="82" t="s">
        <v>13</v>
      </c>
      <c r="E81" s="83">
        <v>457.19</v>
      </c>
      <c r="F81" s="88">
        <v>89579</v>
      </c>
      <c r="G81" s="89">
        <f t="shared" si="6"/>
        <v>40954623.009999998</v>
      </c>
      <c r="H81" s="118" t="str">
        <f t="array" ref="H81:K81">_xlfn.XLOOKUP(C81,'ESAP NEIVA FASE II UNIFICADO'!$C$6:$C$720,'ESAP NEIVA FASE II UNIFICADO'!$C$6:$F$720,"NO ESTA")</f>
        <v xml:space="preserve">ANDEN INTERNO EN CONCRETO DE 2500 PSI CON ACABADO CEMENTO PULIDO Ref. Planos 03318 </v>
      </c>
      <c r="I81" t="str">
        <v>M2</v>
      </c>
      <c r="J81">
        <v>0</v>
      </c>
      <c r="K81">
        <v>89287</v>
      </c>
      <c r="L81">
        <f t="shared" si="7"/>
        <v>1</v>
      </c>
      <c r="M81">
        <f t="shared" si="8"/>
        <v>89579</v>
      </c>
      <c r="N81" s="119">
        <f t="shared" si="9"/>
        <v>457.19</v>
      </c>
      <c r="O81">
        <f t="shared" si="5"/>
        <v>40954623.009999998</v>
      </c>
    </row>
    <row r="82" spans="2:15" ht="15" customHeight="1" x14ac:dyDescent="0.25">
      <c r="B82" s="86" t="s">
        <v>150</v>
      </c>
      <c r="C82" s="87" t="s">
        <v>151</v>
      </c>
      <c r="D82" s="82" t="s">
        <v>13</v>
      </c>
      <c r="E82" s="83">
        <v>1963.08</v>
      </c>
      <c r="F82" s="88">
        <v>7314</v>
      </c>
      <c r="G82" s="89">
        <f t="shared" si="6"/>
        <v>14357967.119999999</v>
      </c>
      <c r="H82" s="118" t="str">
        <f t="array" ref="H82:K82">_xlfn.XLOOKUP(C82,'ESAP NEIVA FASE II UNIFICADO'!$C$6:$C$720,'ESAP NEIVA FASE II UNIFICADO'!$C$6:$F$720,"NO ESTA")</f>
        <v>ACABADO DE PISO DE CONCRETO GRIS PULIDO   Ref. Planos 09650-1</v>
      </c>
      <c r="I82" t="str">
        <v>M2</v>
      </c>
      <c r="J82">
        <v>0</v>
      </c>
      <c r="K82">
        <v>8211</v>
      </c>
      <c r="L82">
        <f t="shared" si="7"/>
        <v>1</v>
      </c>
      <c r="M82">
        <f t="shared" si="8"/>
        <v>7314</v>
      </c>
      <c r="N82" s="119">
        <f t="shared" si="9"/>
        <v>1963.08</v>
      </c>
      <c r="O82">
        <f t="shared" si="5"/>
        <v>14357967.119999999</v>
      </c>
    </row>
    <row r="83" spans="2:15" ht="22.5" customHeight="1" x14ac:dyDescent="0.25">
      <c r="B83" s="86" t="s">
        <v>152</v>
      </c>
      <c r="C83" s="147" t="s">
        <v>153</v>
      </c>
      <c r="D83" s="82" t="s">
        <v>13</v>
      </c>
      <c r="E83" s="83">
        <v>1.4</v>
      </c>
      <c r="F83" s="88">
        <v>102488</v>
      </c>
      <c r="G83" s="89">
        <f t="shared" si="6"/>
        <v>143483.20000000001</v>
      </c>
      <c r="H83" s="118" t="str">
        <f t="array" ref="H83:K83">_xlfn.XLOOKUP(C83,'ESAP NEIVA FASE II UNIFICADO'!$C$6:$C$720,'ESAP NEIVA FASE II UNIFICADO'!$C$6:$F$720,"NO ESTA")</f>
        <v>SUMINISTRO E INSTALACION PISO TABLETA ZONAS COMUNES Incluye ALISTADO Referencia  ALFA 30 X 30 HUILA Ref. Planos 09610.1</v>
      </c>
      <c r="I83" t="str">
        <v>M2</v>
      </c>
      <c r="J83">
        <v>0</v>
      </c>
      <c r="K83">
        <v>108210</v>
      </c>
      <c r="L83">
        <f t="shared" si="7"/>
        <v>1</v>
      </c>
      <c r="M83">
        <f t="shared" si="8"/>
        <v>102488</v>
      </c>
      <c r="N83" s="119">
        <f t="shared" si="9"/>
        <v>1.4</v>
      </c>
      <c r="O83">
        <f t="shared" si="5"/>
        <v>143483.19999999998</v>
      </c>
    </row>
    <row r="84" spans="2:15" ht="15" customHeight="1" x14ac:dyDescent="0.25">
      <c r="B84" s="80" t="s">
        <v>154</v>
      </c>
      <c r="C84" s="81" t="s">
        <v>155</v>
      </c>
      <c r="D84" s="82"/>
      <c r="E84" s="83"/>
      <c r="F84" s="90"/>
      <c r="G84" s="89">
        <f t="shared" si="6"/>
        <v>0</v>
      </c>
      <c r="H84" s="118" t="str">
        <f t="array" ref="H84:K84">_xlfn.XLOOKUP(C84,'ESAP NEIVA FASE II UNIFICADO'!$C$6:$C$720,'ESAP NEIVA FASE II UNIFICADO'!$C$6:$F$720,"NO ESTA")</f>
        <v>SUMINISTRO E INSTALACIÓN DE PISOS ESPACIO PUBLICO</v>
      </c>
      <c r="I84">
        <v>0</v>
      </c>
      <c r="J84">
        <v>0</v>
      </c>
      <c r="K84">
        <v>0</v>
      </c>
      <c r="L84">
        <f t="shared" si="7"/>
        <v>1</v>
      </c>
      <c r="M84">
        <f t="shared" si="8"/>
        <v>0</v>
      </c>
      <c r="N84" s="119">
        <f t="shared" si="9"/>
        <v>0</v>
      </c>
      <c r="O84">
        <f t="shared" si="5"/>
        <v>0</v>
      </c>
    </row>
    <row r="85" spans="2:15" ht="36.75" customHeight="1" x14ac:dyDescent="0.25">
      <c r="B85" s="86" t="s">
        <v>156</v>
      </c>
      <c r="C85" s="147" t="s">
        <v>157</v>
      </c>
      <c r="D85" s="82" t="s">
        <v>13</v>
      </c>
      <c r="E85" s="83">
        <v>45.8</v>
      </c>
      <c r="F85" s="88">
        <v>84865</v>
      </c>
      <c r="G85" s="89">
        <f t="shared" si="6"/>
        <v>3886817</v>
      </c>
      <c r="H85" s="118" t="str">
        <f t="array" ref="H85:K85">_xlfn.XLOOKUP(C85,'ESAP NEIVA FASE II UNIFICADO'!$C$6:$C$720,'ESAP NEIVA FASE II UNIFICADO'!$C$6:$F$720,"NO ESTA")</f>
        <v>SUMINISTRO E INSTALACION ANDEN EN LOSETA PREFABRICADA Referencia A50  GRIS 40 X 40 incluye alistadio - (Especificación Cartilla Andenes IDU-2011)</v>
      </c>
      <c r="I85" t="str">
        <v>M2</v>
      </c>
      <c r="J85">
        <v>1832.0720000000001</v>
      </c>
      <c r="K85">
        <v>91697</v>
      </c>
      <c r="L85">
        <f t="shared" si="7"/>
        <v>0</v>
      </c>
      <c r="M85">
        <f t="shared" si="8"/>
        <v>0</v>
      </c>
      <c r="N85" s="119">
        <f t="shared" si="9"/>
        <v>45.8</v>
      </c>
      <c r="O85">
        <f t="shared" si="5"/>
        <v>0</v>
      </c>
    </row>
    <row r="86" spans="2:15" ht="21.75" customHeight="1" x14ac:dyDescent="0.25">
      <c r="B86" s="86" t="s">
        <v>158</v>
      </c>
      <c r="C86" s="87" t="s">
        <v>159</v>
      </c>
      <c r="D86" s="82" t="s">
        <v>13</v>
      </c>
      <c r="E86" s="83">
        <v>4.59</v>
      </c>
      <c r="F86" s="88">
        <v>89130</v>
      </c>
      <c r="G86" s="89">
        <f t="shared" si="6"/>
        <v>409106.7</v>
      </c>
      <c r="H86" s="118" t="str">
        <f t="array" ref="H86:K86">_xlfn.XLOOKUP(C86,'ESAP NEIVA FASE II UNIFICADO'!$C$6:$C$720,'ESAP NEIVA FASE II UNIFICADO'!$C$6:$F$720,"NO ESTA")</f>
        <v>SUMINISTRO E INSTALACION JARDIN Ref. Planos A2900 (Incluye material aislante, impermeabilizante, tierra, abonos y plantas ornamentales)</v>
      </c>
      <c r="I86" t="str">
        <v>M2</v>
      </c>
      <c r="J86">
        <v>183.66400000000002</v>
      </c>
      <c r="K86">
        <v>96306</v>
      </c>
      <c r="L86">
        <f t="shared" si="7"/>
        <v>0</v>
      </c>
      <c r="M86">
        <f t="shared" si="8"/>
        <v>0</v>
      </c>
      <c r="N86" s="119">
        <f t="shared" si="9"/>
        <v>4.59</v>
      </c>
      <c r="O86">
        <f t="shared" si="5"/>
        <v>0</v>
      </c>
    </row>
    <row r="87" spans="2:15" ht="15" customHeight="1" x14ac:dyDescent="0.25">
      <c r="B87" s="80" t="s">
        <v>160</v>
      </c>
      <c r="C87" s="81" t="s">
        <v>161</v>
      </c>
      <c r="D87" s="82"/>
      <c r="E87" s="83"/>
      <c r="F87" s="90"/>
      <c r="G87" s="89">
        <f t="shared" si="6"/>
        <v>0</v>
      </c>
      <c r="H87" s="118" t="str">
        <f t="array" ref="H87:K87">_xlfn.XLOOKUP(C87,'ESAP NEIVA FASE II UNIFICADO'!$C$6:$C$720,'ESAP NEIVA FASE II UNIFICADO'!$C$6:$F$720,"NO ESTA")</f>
        <v>SUMINISTRO E INSTALACIÓN DE PISOS PISO 1</v>
      </c>
      <c r="I87">
        <v>0</v>
      </c>
      <c r="J87">
        <v>0</v>
      </c>
      <c r="K87">
        <v>0</v>
      </c>
      <c r="L87">
        <f t="shared" si="7"/>
        <v>1</v>
      </c>
      <c r="M87">
        <f t="shared" si="8"/>
        <v>0</v>
      </c>
      <c r="N87" s="119">
        <f t="shared" si="9"/>
        <v>0</v>
      </c>
      <c r="O87">
        <f t="shared" si="5"/>
        <v>0</v>
      </c>
    </row>
    <row r="88" spans="2:15" ht="27" customHeight="1" x14ac:dyDescent="0.25">
      <c r="B88" s="86" t="s">
        <v>162</v>
      </c>
      <c r="C88" s="147" t="s">
        <v>153</v>
      </c>
      <c r="D88" s="82" t="s">
        <v>13</v>
      </c>
      <c r="E88" s="83">
        <v>718.89</v>
      </c>
      <c r="F88" s="88">
        <v>102488</v>
      </c>
      <c r="G88" s="89">
        <f t="shared" si="6"/>
        <v>73677598.319999993</v>
      </c>
      <c r="H88" s="118" t="str">
        <f t="array" ref="H88:K88">_xlfn.XLOOKUP(C88,'ESAP NEIVA FASE II UNIFICADO'!$C$6:$C$720,'ESAP NEIVA FASE II UNIFICADO'!$C$6:$F$720,"NO ESTA")</f>
        <v>SUMINISTRO E INSTALACION PISO TABLETA ZONAS COMUNES Incluye ALISTADO Referencia  ALFA 30 X 30 HUILA Ref. Planos 09610.1</v>
      </c>
      <c r="I88" t="str">
        <v>M2</v>
      </c>
      <c r="J88">
        <v>0</v>
      </c>
      <c r="K88">
        <v>108210</v>
      </c>
      <c r="L88">
        <f t="shared" si="7"/>
        <v>1</v>
      </c>
      <c r="M88">
        <f t="shared" si="8"/>
        <v>102488</v>
      </c>
      <c r="N88" s="119">
        <f t="shared" si="9"/>
        <v>718.89</v>
      </c>
      <c r="O88">
        <f t="shared" si="5"/>
        <v>73677598.319999993</v>
      </c>
    </row>
    <row r="89" spans="2:15" ht="25.5" customHeight="1" x14ac:dyDescent="0.25">
      <c r="B89" s="86" t="s">
        <v>163</v>
      </c>
      <c r="C89" s="149" t="s">
        <v>164</v>
      </c>
      <c r="D89" s="82" t="s">
        <v>13</v>
      </c>
      <c r="E89" s="83">
        <v>576.27</v>
      </c>
      <c r="F89" s="88">
        <v>67225</v>
      </c>
      <c r="G89" s="89">
        <f t="shared" si="6"/>
        <v>38739750.75</v>
      </c>
      <c r="H89" s="118" t="str">
        <f t="array" ref="H89:K89">_xlfn.XLOOKUP(C89,'ESAP NEIVA FASE II UNIFICADO'!$C$6:$C$720,'ESAP NEIVA FASE II UNIFICADO'!$C$6:$F$720,"NO ESTA")</f>
        <v>SUMINISTRO E INSTALACION PISO LOSETA PREFABRICADA GRIS Referencia A30 DE 40X60 - (Especificación Cartilla Andenes IDU-2011)  Ref. Planos 09620.8</v>
      </c>
      <c r="I89" t="str">
        <v>M2</v>
      </c>
      <c r="J89">
        <v>230.83</v>
      </c>
      <c r="K89">
        <v>70614</v>
      </c>
      <c r="L89">
        <f t="shared" si="7"/>
        <v>0</v>
      </c>
      <c r="M89">
        <f t="shared" si="8"/>
        <v>0</v>
      </c>
      <c r="N89" s="119">
        <f t="shared" si="9"/>
        <v>576.27</v>
      </c>
      <c r="O89">
        <f t="shared" si="5"/>
        <v>0</v>
      </c>
    </row>
    <row r="90" spans="2:15" ht="15" customHeight="1" x14ac:dyDescent="0.25">
      <c r="B90" s="86" t="s">
        <v>165</v>
      </c>
      <c r="C90" s="87" t="s">
        <v>166</v>
      </c>
      <c r="D90" s="82" t="s">
        <v>13</v>
      </c>
      <c r="E90" s="83">
        <v>33.11</v>
      </c>
      <c r="F90" s="88">
        <v>45103</v>
      </c>
      <c r="G90" s="89">
        <f t="shared" si="6"/>
        <v>1493360.33</v>
      </c>
      <c r="H90" s="118" t="str">
        <f t="array" ref="H90:K90">_xlfn.XLOOKUP(C90,'ESAP NEIVA FASE II UNIFICADO'!$C$6:$C$720,'ESAP NEIVA FASE II UNIFICADO'!$C$6:$F$720,"NO ESTA")</f>
        <v>SUMINISTRO E INSTALACION PISO EN VINILO GRIS TARIMA Ref. Planos 09650.1</v>
      </c>
      <c r="I90" t="str">
        <v>M2</v>
      </c>
      <c r="J90">
        <v>11.069999999999999</v>
      </c>
      <c r="K90">
        <v>47066</v>
      </c>
      <c r="L90">
        <f t="shared" si="7"/>
        <v>0</v>
      </c>
      <c r="M90">
        <f t="shared" si="8"/>
        <v>0</v>
      </c>
      <c r="N90" s="119">
        <f t="shared" si="9"/>
        <v>33.11</v>
      </c>
      <c r="O90">
        <f t="shared" si="5"/>
        <v>0</v>
      </c>
    </row>
    <row r="91" spans="2:15" ht="22.5" customHeight="1" x14ac:dyDescent="0.25">
      <c r="B91" s="86" t="s">
        <v>167</v>
      </c>
      <c r="C91" s="87" t="s">
        <v>168</v>
      </c>
      <c r="D91" s="82" t="s">
        <v>13</v>
      </c>
      <c r="E91" s="83">
        <v>297.04000000000002</v>
      </c>
      <c r="F91" s="88">
        <v>97000</v>
      </c>
      <c r="G91" s="89">
        <f t="shared" si="6"/>
        <v>28812880</v>
      </c>
      <c r="H91" s="118" t="str">
        <f t="array" ref="H91:K91">_xlfn.XLOOKUP(C91,'ESAP NEIVA FASE II UNIFICADO'!$C$6:$C$720,'ESAP NEIVA FASE II UNIFICADO'!$C$6:$F$720,"NO ESTA")</f>
        <v>SUMINISTRO E INSTALACION PISO EN ALFOMBRA Referencia TRAFICO PESADO Ref. Planos 09680.A1</v>
      </c>
      <c r="I91" t="str">
        <v>M2</v>
      </c>
      <c r="J91">
        <v>12.31</v>
      </c>
      <c r="K91">
        <v>102069</v>
      </c>
      <c r="L91">
        <f t="shared" si="7"/>
        <v>0</v>
      </c>
      <c r="M91">
        <f t="shared" si="8"/>
        <v>0</v>
      </c>
      <c r="N91" s="119">
        <f t="shared" si="9"/>
        <v>297.04000000000002</v>
      </c>
      <c r="O91">
        <f t="shared" si="5"/>
        <v>0</v>
      </c>
    </row>
    <row r="92" spans="2:15" ht="23.25" customHeight="1" x14ac:dyDescent="0.25">
      <c r="B92" s="86" t="s">
        <v>169</v>
      </c>
      <c r="C92" s="87" t="s">
        <v>159</v>
      </c>
      <c r="D92" s="82" t="s">
        <v>13</v>
      </c>
      <c r="E92" s="83">
        <v>145.79</v>
      </c>
      <c r="F92" s="88">
        <v>89130</v>
      </c>
      <c r="G92" s="89">
        <f t="shared" si="6"/>
        <v>12994262.699999999</v>
      </c>
      <c r="H92" s="118" t="str">
        <f t="array" ref="H92:K92">_xlfn.XLOOKUP(C92,'ESAP NEIVA FASE II UNIFICADO'!$C$6:$C$720,'ESAP NEIVA FASE II UNIFICADO'!$C$6:$F$720,"NO ESTA")</f>
        <v>SUMINISTRO E INSTALACION JARDIN Ref. Planos A2900 (Incluye material aislante, impermeabilizante, tierra, abonos y plantas ornamentales)</v>
      </c>
      <c r="I92" t="str">
        <v>M2</v>
      </c>
      <c r="J92">
        <v>183.66400000000002</v>
      </c>
      <c r="K92">
        <v>96306</v>
      </c>
      <c r="L92">
        <f t="shared" si="7"/>
        <v>0</v>
      </c>
      <c r="M92">
        <f t="shared" si="8"/>
        <v>0</v>
      </c>
      <c r="N92" s="119">
        <f t="shared" si="9"/>
        <v>145.79</v>
      </c>
      <c r="O92">
        <f t="shared" si="5"/>
        <v>0</v>
      </c>
    </row>
    <row r="93" spans="2:15" ht="15" customHeight="1" x14ac:dyDescent="0.25">
      <c r="B93" s="80" t="s">
        <v>170</v>
      </c>
      <c r="C93" s="81" t="s">
        <v>171</v>
      </c>
      <c r="D93" s="82"/>
      <c r="E93" s="83"/>
      <c r="F93" s="90"/>
      <c r="G93" s="89">
        <f t="shared" si="6"/>
        <v>0</v>
      </c>
      <c r="H93" s="118" t="str">
        <f t="array" ref="H93:K93">_xlfn.XLOOKUP(C93,'ESAP NEIVA FASE II UNIFICADO'!$C$6:$C$720,'ESAP NEIVA FASE II UNIFICADO'!$C$6:$F$720,"NO ESTA")</f>
        <v>SUMINISTRO E INSTALACIÓN DE PISOS PISO 2</v>
      </c>
      <c r="I93">
        <v>0</v>
      </c>
      <c r="J93">
        <v>0</v>
      </c>
      <c r="K93">
        <v>0</v>
      </c>
      <c r="L93">
        <f t="shared" si="7"/>
        <v>1</v>
      </c>
      <c r="M93">
        <f t="shared" si="8"/>
        <v>0</v>
      </c>
      <c r="N93" s="119">
        <f t="shared" si="9"/>
        <v>0</v>
      </c>
      <c r="O93">
        <f t="shared" si="5"/>
        <v>0</v>
      </c>
    </row>
    <row r="94" spans="2:15" ht="22.5" customHeight="1" x14ac:dyDescent="0.25">
      <c r="B94" s="86" t="s">
        <v>172</v>
      </c>
      <c r="C94" s="147" t="s">
        <v>153</v>
      </c>
      <c r="D94" s="82" t="s">
        <v>13</v>
      </c>
      <c r="E94" s="83">
        <v>1039</v>
      </c>
      <c r="F94" s="88">
        <v>102488</v>
      </c>
      <c r="G94" s="89">
        <f t="shared" si="6"/>
        <v>106485032</v>
      </c>
      <c r="H94" s="118" t="str">
        <f t="array" ref="H94:K94">_xlfn.XLOOKUP(C94,'ESAP NEIVA FASE II UNIFICADO'!$C$6:$C$720,'ESAP NEIVA FASE II UNIFICADO'!$C$6:$F$720,"NO ESTA")</f>
        <v>SUMINISTRO E INSTALACION PISO TABLETA ZONAS COMUNES Incluye ALISTADO Referencia  ALFA 30 X 30 HUILA Ref. Planos 09610.1</v>
      </c>
      <c r="I94" t="str">
        <v>M2</v>
      </c>
      <c r="J94">
        <v>0</v>
      </c>
      <c r="K94">
        <v>108210</v>
      </c>
      <c r="L94">
        <f t="shared" si="7"/>
        <v>1</v>
      </c>
      <c r="M94">
        <f t="shared" si="8"/>
        <v>102488</v>
      </c>
      <c r="N94" s="119">
        <f t="shared" si="9"/>
        <v>1039</v>
      </c>
      <c r="O94">
        <f t="shared" si="5"/>
        <v>106485032</v>
      </c>
    </row>
    <row r="95" spans="2:15" ht="26.25" customHeight="1" x14ac:dyDescent="0.25">
      <c r="B95" s="86" t="s">
        <v>173</v>
      </c>
      <c r="C95" s="149" t="s">
        <v>164</v>
      </c>
      <c r="D95" s="82" t="s">
        <v>13</v>
      </c>
      <c r="E95" s="83">
        <v>190.12</v>
      </c>
      <c r="F95" s="88">
        <v>67225</v>
      </c>
      <c r="G95" s="89">
        <f t="shared" si="6"/>
        <v>12780817</v>
      </c>
      <c r="H95" s="118" t="str">
        <f t="array" ref="H95:K95">_xlfn.XLOOKUP(C95,'ESAP NEIVA FASE II UNIFICADO'!$C$6:$C$720,'ESAP NEIVA FASE II UNIFICADO'!$C$6:$F$720,"NO ESTA")</f>
        <v>SUMINISTRO E INSTALACION PISO LOSETA PREFABRICADA GRIS Referencia A30 DE 40X60 - (Especificación Cartilla Andenes IDU-2011)  Ref. Planos 09620.8</v>
      </c>
      <c r="I95" t="str">
        <v>M2</v>
      </c>
      <c r="J95">
        <v>230.83</v>
      </c>
      <c r="K95">
        <v>70614</v>
      </c>
      <c r="L95">
        <f t="shared" si="7"/>
        <v>0</v>
      </c>
      <c r="M95">
        <f t="shared" si="8"/>
        <v>0</v>
      </c>
      <c r="N95" s="119">
        <f t="shared" si="9"/>
        <v>190.12</v>
      </c>
      <c r="O95">
        <f t="shared" si="5"/>
        <v>0</v>
      </c>
    </row>
    <row r="96" spans="2:15" ht="26.25" customHeight="1" x14ac:dyDescent="0.25">
      <c r="B96" s="86" t="s">
        <v>174</v>
      </c>
      <c r="C96" s="87" t="s">
        <v>159</v>
      </c>
      <c r="D96" s="82" t="s">
        <v>13</v>
      </c>
      <c r="E96" s="83">
        <v>110.24</v>
      </c>
      <c r="F96" s="88">
        <v>89130</v>
      </c>
      <c r="G96" s="89">
        <f t="shared" si="6"/>
        <v>9825691.1999999993</v>
      </c>
      <c r="H96" s="118" t="str">
        <f t="array" ref="H96:K96">_xlfn.XLOOKUP(C96,'ESAP NEIVA FASE II UNIFICADO'!$C$6:$C$720,'ESAP NEIVA FASE II UNIFICADO'!$C$6:$F$720,"NO ESTA")</f>
        <v>SUMINISTRO E INSTALACION JARDIN Ref. Planos A2900 (Incluye material aislante, impermeabilizante, tierra, abonos y plantas ornamentales)</v>
      </c>
      <c r="I96" t="str">
        <v>M2</v>
      </c>
      <c r="J96">
        <v>183.66400000000002</v>
      </c>
      <c r="K96">
        <v>96306</v>
      </c>
      <c r="L96">
        <f t="shared" si="7"/>
        <v>0</v>
      </c>
      <c r="M96">
        <f t="shared" si="8"/>
        <v>0</v>
      </c>
      <c r="N96" s="119">
        <f t="shared" si="9"/>
        <v>110.24</v>
      </c>
      <c r="O96">
        <f t="shared" si="5"/>
        <v>0</v>
      </c>
    </row>
    <row r="97" spans="2:15" ht="16.5" customHeight="1" x14ac:dyDescent="0.25">
      <c r="B97" s="74">
        <v>7</v>
      </c>
      <c r="C97" s="75" t="s">
        <v>175</v>
      </c>
      <c r="D97" s="76"/>
      <c r="E97" s="77"/>
      <c r="F97" s="78"/>
      <c r="G97" s="89">
        <f t="shared" si="6"/>
        <v>0</v>
      </c>
      <c r="H97" s="118" t="str">
        <f t="array" ref="H97:K97">_xlfn.XLOOKUP(C97,'ESAP NEIVA FASE II UNIFICADO'!$C$6:$C$720,'ESAP NEIVA FASE II UNIFICADO'!$C$6:$F$720,"NO ESTA")</f>
        <v>VENTANERIA</v>
      </c>
      <c r="I97">
        <v>0</v>
      </c>
      <c r="J97">
        <v>0</v>
      </c>
      <c r="K97">
        <v>0</v>
      </c>
      <c r="L97">
        <f t="shared" si="7"/>
        <v>1</v>
      </c>
      <c r="M97">
        <f t="shared" si="8"/>
        <v>0</v>
      </c>
      <c r="N97" s="119">
        <f t="shared" si="9"/>
        <v>0</v>
      </c>
      <c r="O97">
        <f t="shared" si="5"/>
        <v>0</v>
      </c>
    </row>
    <row r="98" spans="2:15" ht="15" customHeight="1" x14ac:dyDescent="0.25">
      <c r="B98" s="80" t="s">
        <v>176</v>
      </c>
      <c r="C98" s="81" t="s">
        <v>177</v>
      </c>
      <c r="D98" s="82"/>
      <c r="E98" s="83"/>
      <c r="F98" s="90"/>
      <c r="G98" s="89">
        <f t="shared" si="6"/>
        <v>0</v>
      </c>
      <c r="H98" s="118" t="str">
        <f t="array" ref="H98:K98">_xlfn.XLOOKUP(C98,'ESAP NEIVA FASE II UNIFICADO'!$C$6:$C$720,'ESAP NEIVA FASE II UNIFICADO'!$C$6:$F$720,"NO ESTA")</f>
        <v>SUMINISTRO E INSTALACION VENTANAS ESPACIO PUBLICO</v>
      </c>
      <c r="I98">
        <v>0</v>
      </c>
      <c r="J98">
        <v>0</v>
      </c>
      <c r="K98">
        <v>0</v>
      </c>
      <c r="L98">
        <f t="shared" si="7"/>
        <v>1</v>
      </c>
      <c r="M98">
        <f t="shared" si="8"/>
        <v>0</v>
      </c>
      <c r="N98" s="119">
        <f t="shared" si="9"/>
        <v>0</v>
      </c>
      <c r="O98">
        <f t="shared" si="5"/>
        <v>0</v>
      </c>
    </row>
    <row r="99" spans="2:15" ht="27.75" customHeight="1" x14ac:dyDescent="0.25">
      <c r="B99" s="86" t="s">
        <v>178</v>
      </c>
      <c r="C99" s="87" t="s">
        <v>179</v>
      </c>
      <c r="D99" s="82" t="s">
        <v>13</v>
      </c>
      <c r="E99" s="83">
        <v>4.8600000000000003</v>
      </c>
      <c r="F99" s="88">
        <v>247547</v>
      </c>
      <c r="G99" s="89">
        <f t="shared" si="6"/>
        <v>1203078.42</v>
      </c>
      <c r="H99" s="118" t="str">
        <f t="array" ref="H99">_xlfn.XLOOKUP(C99,'ESAP NEIVA FASE II UNIFICADO'!$C$6:$C$720,'ESAP NEIVA FASE II UNIFICADO'!$C$6:$F$720,"NO ESTA")</f>
        <v>NO ESTA</v>
      </c>
      <c r="L99">
        <f t="shared" si="7"/>
        <v>1</v>
      </c>
      <c r="M99">
        <f t="shared" si="8"/>
        <v>247547</v>
      </c>
      <c r="N99" s="119">
        <f t="shared" si="9"/>
        <v>4.8600000000000003</v>
      </c>
      <c r="O99">
        <f t="shared" si="5"/>
        <v>1203078.4200000002</v>
      </c>
    </row>
    <row r="100" spans="2:15" ht="15" customHeight="1" x14ac:dyDescent="0.25">
      <c r="B100" s="80" t="s">
        <v>180</v>
      </c>
      <c r="C100" s="81" t="s">
        <v>181</v>
      </c>
      <c r="D100" s="82"/>
      <c r="E100" s="83"/>
      <c r="F100" s="90"/>
      <c r="G100" s="89">
        <f t="shared" si="6"/>
        <v>0</v>
      </c>
      <c r="H100" s="118" t="str">
        <f t="array" ref="H100:K100">_xlfn.XLOOKUP(C100,'ESAP NEIVA FASE II UNIFICADO'!$C$6:$C$720,'ESAP NEIVA FASE II UNIFICADO'!$C$6:$F$720,"NO ESTA")</f>
        <v>SUMINISTRO E INSTALACION VENTANAS PISO 1</v>
      </c>
      <c r="I100">
        <v>0</v>
      </c>
      <c r="J100">
        <v>0</v>
      </c>
      <c r="K100">
        <v>0</v>
      </c>
      <c r="L100">
        <f t="shared" si="7"/>
        <v>1</v>
      </c>
      <c r="M100">
        <f t="shared" si="8"/>
        <v>0</v>
      </c>
      <c r="N100" s="119">
        <f t="shared" si="9"/>
        <v>0</v>
      </c>
      <c r="O100">
        <f t="shared" si="5"/>
        <v>0</v>
      </c>
    </row>
    <row r="101" spans="2:15" ht="25.5" customHeight="1" x14ac:dyDescent="0.25">
      <c r="B101" s="86" t="s">
        <v>182</v>
      </c>
      <c r="C101" s="147" t="s">
        <v>183</v>
      </c>
      <c r="D101" s="82" t="s">
        <v>13</v>
      </c>
      <c r="E101" s="83">
        <v>0.55000000000000004</v>
      </c>
      <c r="F101" s="88">
        <v>247547</v>
      </c>
      <c r="G101" s="89">
        <f t="shared" si="6"/>
        <v>136150.85</v>
      </c>
      <c r="H101" s="118" t="str">
        <f t="array" ref="H101:K101">_xlfn.XLOOKUP(C101,'ESAP NEIVA FASE II UNIFICADO'!$C$6:$C$720,'ESAP NEIVA FASE II UNIFICADO'!$C$6:$F$720,"NO ESTA")</f>
        <v>SUMINISTRO E INSTALACION VENTANA EN ALUMINIO o similar TIPO V3 Incluye VIDRIO Referencia SOLARBAN Ver NOTAS GENERALES DE PLANCHA</v>
      </c>
      <c r="I101" t="str">
        <v>M2</v>
      </c>
      <c r="J101">
        <v>0</v>
      </c>
      <c r="K101">
        <v>267475</v>
      </c>
      <c r="L101">
        <f t="shared" si="7"/>
        <v>1</v>
      </c>
      <c r="M101">
        <f t="shared" si="8"/>
        <v>247547</v>
      </c>
      <c r="N101" s="119">
        <f t="shared" si="9"/>
        <v>0.55000000000000004</v>
      </c>
      <c r="O101">
        <f t="shared" si="5"/>
        <v>136150.85</v>
      </c>
    </row>
    <row r="102" spans="2:15" ht="25.5" customHeight="1" x14ac:dyDescent="0.25">
      <c r="B102" s="86" t="s">
        <v>184</v>
      </c>
      <c r="C102" s="87" t="s">
        <v>185</v>
      </c>
      <c r="D102" s="82" t="s">
        <v>13</v>
      </c>
      <c r="E102" s="83">
        <v>0.36</v>
      </c>
      <c r="F102" s="88">
        <v>247547</v>
      </c>
      <c r="G102" s="89">
        <f t="shared" si="6"/>
        <v>89116.92</v>
      </c>
      <c r="H102" s="118" t="str">
        <f t="array" ref="H102">_xlfn.XLOOKUP(C102,'ESAP NEIVA FASE II UNIFICADO'!$C$6:$C$720,'ESAP NEIVA FASE II UNIFICADO'!$C$6:$F$720,"NO ESTA")</f>
        <v>NO ESTA</v>
      </c>
      <c r="L102">
        <f t="shared" si="7"/>
        <v>1</v>
      </c>
      <c r="M102">
        <f t="shared" si="8"/>
        <v>247547</v>
      </c>
      <c r="N102" s="119">
        <f t="shared" si="9"/>
        <v>0.36</v>
      </c>
      <c r="O102">
        <f t="shared" si="5"/>
        <v>89116.92</v>
      </c>
    </row>
    <row r="103" spans="2:15" ht="15" customHeight="1" x14ac:dyDescent="0.25">
      <c r="B103" s="80" t="s">
        <v>186</v>
      </c>
      <c r="C103" s="81" t="s">
        <v>187</v>
      </c>
      <c r="D103" s="82"/>
      <c r="E103" s="83"/>
      <c r="F103" s="90"/>
      <c r="G103" s="89">
        <f t="shared" si="6"/>
        <v>0</v>
      </c>
      <c r="H103" s="118" t="str">
        <f t="array" ref="H103:K103">_xlfn.XLOOKUP(C103,'ESAP NEIVA FASE II UNIFICADO'!$C$6:$C$720,'ESAP NEIVA FASE II UNIFICADO'!$C$6:$F$720,"NO ESTA")</f>
        <v>SUMINISTRO E INSTALACION VENTANAS PISO 2</v>
      </c>
      <c r="I103">
        <v>0</v>
      </c>
      <c r="J103">
        <v>0</v>
      </c>
      <c r="K103">
        <v>0</v>
      </c>
      <c r="L103">
        <f t="shared" si="7"/>
        <v>1</v>
      </c>
      <c r="M103">
        <f t="shared" si="8"/>
        <v>0</v>
      </c>
      <c r="N103" s="119">
        <f t="shared" si="9"/>
        <v>0</v>
      </c>
      <c r="O103">
        <f t="shared" si="5"/>
        <v>0</v>
      </c>
    </row>
    <row r="104" spans="2:15" ht="25.5" customHeight="1" x14ac:dyDescent="0.25">
      <c r="B104" s="86" t="s">
        <v>188</v>
      </c>
      <c r="C104" s="147" t="s">
        <v>189</v>
      </c>
      <c r="D104" s="82" t="s">
        <v>13</v>
      </c>
      <c r="E104" s="83">
        <v>0.05</v>
      </c>
      <c r="F104" s="88">
        <v>247547</v>
      </c>
      <c r="G104" s="89">
        <f t="shared" si="6"/>
        <v>12377.35</v>
      </c>
      <c r="H104" s="118" t="str">
        <f t="array" ref="H104:K104">_xlfn.XLOOKUP(C104,'ESAP NEIVA FASE II UNIFICADO'!$C$6:$C$720,'ESAP NEIVA FASE II UNIFICADO'!$C$6:$F$720,"NO ESTA")</f>
        <v>SUMINISTRO E INSTALACION VENTANA EN ALUMINIO o similar TIPO V1 Incluye VIDRIO Referencia SOLARBAN Ver NOTAS GENERALES DE PLANCHA</v>
      </c>
      <c r="I104" t="str">
        <v>M2</v>
      </c>
      <c r="J104">
        <v>0</v>
      </c>
      <c r="K104">
        <v>267475</v>
      </c>
      <c r="L104">
        <f t="shared" si="7"/>
        <v>1</v>
      </c>
      <c r="M104">
        <f t="shared" si="8"/>
        <v>247547</v>
      </c>
      <c r="N104" s="119">
        <f t="shared" si="9"/>
        <v>0.05</v>
      </c>
      <c r="O104">
        <f t="shared" si="5"/>
        <v>12377.35</v>
      </c>
    </row>
    <row r="105" spans="2:15" ht="25.5" customHeight="1" x14ac:dyDescent="0.25">
      <c r="B105" s="86" t="s">
        <v>190</v>
      </c>
      <c r="C105" s="149" t="s">
        <v>191</v>
      </c>
      <c r="D105" s="82" t="s">
        <v>13</v>
      </c>
      <c r="E105" s="83">
        <v>0.32</v>
      </c>
      <c r="F105" s="88">
        <v>247547</v>
      </c>
      <c r="G105" s="89">
        <f t="shared" si="6"/>
        <v>79215.039999999994</v>
      </c>
      <c r="H105" s="118" t="str">
        <f t="array" ref="H105:K105">_xlfn.XLOOKUP(C105,'ESAP NEIVA FASE II UNIFICADO'!$C$6:$C$720,'ESAP NEIVA FASE II UNIFICADO'!$C$6:$F$720,"NO ESTA")</f>
        <v>SUMINISTRO E INSTALACION VENTANA EN ALUMINIO o similar TIPO V2 Incluye VIDRIO Referencia SOLARBAN Ver NOTAS GENERALES DE PLANCHA</v>
      </c>
      <c r="I105" t="str">
        <v>M2</v>
      </c>
      <c r="J105">
        <v>0</v>
      </c>
      <c r="K105">
        <v>267475</v>
      </c>
      <c r="L105">
        <f t="shared" si="7"/>
        <v>1</v>
      </c>
      <c r="M105">
        <f t="shared" si="8"/>
        <v>247547</v>
      </c>
      <c r="N105" s="119">
        <f t="shared" si="9"/>
        <v>0.32</v>
      </c>
      <c r="O105">
        <f t="shared" si="5"/>
        <v>79215.040000000008</v>
      </c>
    </row>
    <row r="106" spans="2:15" ht="25.5" customHeight="1" x14ac:dyDescent="0.25">
      <c r="B106" s="86" t="s">
        <v>192</v>
      </c>
      <c r="C106" s="147" t="s">
        <v>183</v>
      </c>
      <c r="D106" s="82" t="s">
        <v>13</v>
      </c>
      <c r="E106" s="83">
        <v>0.48</v>
      </c>
      <c r="F106" s="88">
        <v>247547</v>
      </c>
      <c r="G106" s="89">
        <f t="shared" si="6"/>
        <v>118822.56</v>
      </c>
      <c r="H106" s="118" t="str">
        <f t="array" ref="H106:K106">_xlfn.XLOOKUP(C106,'ESAP NEIVA FASE II UNIFICADO'!$C$6:$C$720,'ESAP NEIVA FASE II UNIFICADO'!$C$6:$F$720,"NO ESTA")</f>
        <v>SUMINISTRO E INSTALACION VENTANA EN ALUMINIO o similar TIPO V3 Incluye VIDRIO Referencia SOLARBAN Ver NOTAS GENERALES DE PLANCHA</v>
      </c>
      <c r="I106" t="str">
        <v>M2</v>
      </c>
      <c r="J106">
        <v>0</v>
      </c>
      <c r="K106">
        <v>267475</v>
      </c>
      <c r="L106">
        <f t="shared" si="7"/>
        <v>1</v>
      </c>
      <c r="M106">
        <f t="shared" si="8"/>
        <v>247547</v>
      </c>
      <c r="N106" s="119">
        <f t="shared" si="9"/>
        <v>0.48</v>
      </c>
      <c r="O106">
        <f t="shared" si="5"/>
        <v>118822.56</v>
      </c>
    </row>
    <row r="107" spans="2:15" ht="25.5" customHeight="1" x14ac:dyDescent="0.25">
      <c r="B107" s="86" t="s">
        <v>193</v>
      </c>
      <c r="C107" s="87" t="s">
        <v>185</v>
      </c>
      <c r="D107" s="82" t="s">
        <v>13</v>
      </c>
      <c r="E107" s="83">
        <v>0.12</v>
      </c>
      <c r="F107" s="88">
        <v>247547</v>
      </c>
      <c r="G107" s="89">
        <f t="shared" si="6"/>
        <v>29705.64</v>
      </c>
      <c r="H107" s="118" t="str">
        <f t="array" ref="H107">_xlfn.XLOOKUP(C107,'ESAP NEIVA FASE II UNIFICADO'!$C$6:$C$720,'ESAP NEIVA FASE II UNIFICADO'!$C$6:$F$720,"NO ESTA")</f>
        <v>NO ESTA</v>
      </c>
      <c r="L107">
        <f t="shared" si="7"/>
        <v>1</v>
      </c>
      <c r="M107">
        <f t="shared" si="8"/>
        <v>247547</v>
      </c>
      <c r="N107" s="119">
        <f t="shared" si="9"/>
        <v>0.12</v>
      </c>
      <c r="O107">
        <f t="shared" si="5"/>
        <v>29705.64</v>
      </c>
    </row>
    <row r="108" spans="2:15" ht="25.5" customHeight="1" x14ac:dyDescent="0.25">
      <c r="B108" s="86" t="s">
        <v>194</v>
      </c>
      <c r="C108" s="147" t="s">
        <v>195</v>
      </c>
      <c r="D108" s="82" t="s">
        <v>13</v>
      </c>
      <c r="E108" s="83">
        <v>0.36</v>
      </c>
      <c r="F108" s="88">
        <v>247547</v>
      </c>
      <c r="G108" s="89">
        <f t="shared" si="6"/>
        <v>89116.92</v>
      </c>
      <c r="H108" s="118" t="str">
        <f t="array" ref="H108:K108">_xlfn.XLOOKUP(C108,'ESAP NEIVA FASE II UNIFICADO'!$C$6:$C$720,'ESAP NEIVA FASE II UNIFICADO'!$C$6:$F$720,"NO ESTA")</f>
        <v>SUMINISTRO E INSTALACION VENTANA EN ALUMINIO o similar TIPO V5 Incluye VIDRIO Referencia SOLARBAN Ver NOTAS GENERALES DE PLANCHA</v>
      </c>
      <c r="I108" t="str">
        <v>M2</v>
      </c>
      <c r="J108">
        <v>0</v>
      </c>
      <c r="K108">
        <v>267475</v>
      </c>
      <c r="L108">
        <f t="shared" si="7"/>
        <v>1</v>
      </c>
      <c r="M108">
        <f t="shared" si="8"/>
        <v>247547</v>
      </c>
      <c r="N108" s="119">
        <f t="shared" si="9"/>
        <v>0.36</v>
      </c>
      <c r="O108">
        <f t="shared" si="5"/>
        <v>89116.92</v>
      </c>
    </row>
    <row r="109" spans="2:15" ht="15" customHeight="1" x14ac:dyDescent="0.25">
      <c r="B109" s="99">
        <v>8</v>
      </c>
      <c r="C109" s="100" t="s">
        <v>196</v>
      </c>
      <c r="D109" s="101"/>
      <c r="E109" s="102"/>
      <c r="F109" s="103"/>
      <c r="G109" s="89">
        <f t="shared" si="6"/>
        <v>0</v>
      </c>
      <c r="H109" s="118" t="str">
        <f t="array" ref="H109:K109">_xlfn.XLOOKUP(C109,'ESAP NEIVA FASE II UNIFICADO'!$C$6:$C$720,'ESAP NEIVA FASE II UNIFICADO'!$C$6:$F$720,"NO ESTA")</f>
        <v>VENTANALES</v>
      </c>
      <c r="I109">
        <v>0</v>
      </c>
      <c r="J109">
        <v>0</v>
      </c>
      <c r="K109">
        <v>0</v>
      </c>
      <c r="L109">
        <f t="shared" si="7"/>
        <v>1</v>
      </c>
      <c r="M109">
        <f t="shared" si="8"/>
        <v>0</v>
      </c>
      <c r="N109" s="119">
        <f t="shared" si="9"/>
        <v>0</v>
      </c>
      <c r="O109">
        <f t="shared" si="5"/>
        <v>0</v>
      </c>
    </row>
    <row r="110" spans="2:15" ht="15" customHeight="1" x14ac:dyDescent="0.25">
      <c r="B110" s="80" t="s">
        <v>197</v>
      </c>
      <c r="C110" s="81" t="s">
        <v>198</v>
      </c>
      <c r="D110" s="82"/>
      <c r="E110" s="83"/>
      <c r="F110" s="90"/>
      <c r="G110" s="89">
        <f t="shared" si="6"/>
        <v>0</v>
      </c>
      <c r="H110" s="118" t="str">
        <f t="array" ref="H110:K110">_xlfn.XLOOKUP(C110,'ESAP NEIVA FASE II UNIFICADO'!$C$6:$C$720,'ESAP NEIVA FASE II UNIFICADO'!$C$6:$F$720,"NO ESTA")</f>
        <v>SUMINISTRO E INSTALACION VENTANALES PISO 1</v>
      </c>
      <c r="I110">
        <v>0</v>
      </c>
      <c r="J110">
        <v>0</v>
      </c>
      <c r="K110">
        <v>0</v>
      </c>
      <c r="L110">
        <f t="shared" si="7"/>
        <v>1</v>
      </c>
      <c r="M110">
        <f t="shared" si="8"/>
        <v>0</v>
      </c>
      <c r="N110" s="119">
        <f t="shared" si="9"/>
        <v>0</v>
      </c>
      <c r="O110">
        <f t="shared" si="5"/>
        <v>0</v>
      </c>
    </row>
    <row r="111" spans="2:15" ht="25.5" customHeight="1" x14ac:dyDescent="0.25">
      <c r="B111" s="86" t="s">
        <v>199</v>
      </c>
      <c r="C111" s="87" t="s">
        <v>200</v>
      </c>
      <c r="D111" s="82" t="s">
        <v>13</v>
      </c>
      <c r="E111" s="83">
        <v>16.32</v>
      </c>
      <c r="F111" s="88">
        <v>288650</v>
      </c>
      <c r="G111" s="89">
        <f t="shared" si="6"/>
        <v>4710768</v>
      </c>
      <c r="H111" s="118" t="str">
        <f t="array" ref="H111:K111">_xlfn.XLOOKUP(C111,'ESAP NEIVA FASE II UNIFICADO'!$C$6:$C$720,'ESAP NEIVA FASE II UNIFICADO'!$C$6:$F$720,"NO ESTA")</f>
        <v>SUMINISTRO E INSTALACION VENTANAL INTERIOR EN ALUMINIO o similar TIPO V-0 Incluye VIDRIO Referencia TRASLUCIDO TEMPLADO 10MM Ver NOTAS GENERALES DE PLANCHA</v>
      </c>
      <c r="I111" t="str">
        <v>M2</v>
      </c>
      <c r="J111">
        <v>44.879999999999995</v>
      </c>
      <c r="K111">
        <v>311887</v>
      </c>
      <c r="L111">
        <f t="shared" si="7"/>
        <v>0</v>
      </c>
      <c r="M111">
        <f t="shared" si="8"/>
        <v>0</v>
      </c>
      <c r="N111" s="119">
        <f t="shared" si="9"/>
        <v>16.32</v>
      </c>
      <c r="O111">
        <f t="shared" si="5"/>
        <v>0</v>
      </c>
    </row>
    <row r="112" spans="2:15" ht="25.5" customHeight="1" x14ac:dyDescent="0.25">
      <c r="B112" s="86" t="s">
        <v>201</v>
      </c>
      <c r="C112" s="147" t="s">
        <v>202</v>
      </c>
      <c r="D112" s="82" t="s">
        <v>13</v>
      </c>
      <c r="E112" s="83">
        <v>111.43</v>
      </c>
      <c r="F112" s="88">
        <v>327106</v>
      </c>
      <c r="G112" s="89">
        <f t="shared" si="6"/>
        <v>36449421.579999998</v>
      </c>
      <c r="H112" s="118" t="str">
        <f t="array" ref="H112:K112">_xlfn.XLOOKUP(C112,'ESAP NEIVA FASE II UNIFICADO'!$C$6:$C$720,'ESAP NEIVA FASE II UNIFICADO'!$C$6:$F$720,"NO ESTA")</f>
        <v>SUMINISTRO E INSTALACION VENTANAL PERFIL 12cm EN ALUMINIO o similar TIPO V-1 Incluye VIDRIO Referencia SOLARBAN Ver NOTAS GENERALES DE PLANCHA</v>
      </c>
      <c r="I112" t="str">
        <v>M2</v>
      </c>
      <c r="J112">
        <v>111.41999999999999</v>
      </c>
      <c r="K112">
        <v>353438</v>
      </c>
      <c r="L112">
        <f t="shared" si="7"/>
        <v>0</v>
      </c>
      <c r="M112">
        <f t="shared" si="8"/>
        <v>0</v>
      </c>
      <c r="N112" s="119">
        <f t="shared" si="9"/>
        <v>111.43</v>
      </c>
      <c r="O112">
        <f t="shared" si="5"/>
        <v>0</v>
      </c>
    </row>
    <row r="113" spans="2:15" ht="25.5" customHeight="1" x14ac:dyDescent="0.25">
      <c r="B113" s="86" t="s">
        <v>203</v>
      </c>
      <c r="C113" s="149" t="s">
        <v>204</v>
      </c>
      <c r="D113" s="82" t="s">
        <v>13</v>
      </c>
      <c r="E113" s="83">
        <v>17.010000000000002</v>
      </c>
      <c r="F113" s="88">
        <v>342227</v>
      </c>
      <c r="G113" s="89">
        <f t="shared" si="6"/>
        <v>5821281.2699999996</v>
      </c>
      <c r="H113" s="118" t="str">
        <f t="array" ref="H113:K113">_xlfn.XLOOKUP(C113,'ESAP NEIVA FASE II UNIFICADO'!$C$6:$C$720,'ESAP NEIVA FASE II UNIFICADO'!$C$6:$F$720,"NO ESTA")</f>
        <v>SUMINISTRO E INSTALACION VENTANAL DOBLE ALTURA EN ALUMINIO o similar TIPO V-4 Incluye VIDRIO Referencia SOLARBAN Ver NOTAS GENERALES DE PLANCHA</v>
      </c>
      <c r="I113" t="str">
        <v>M2</v>
      </c>
      <c r="J113">
        <v>17.010000000000002</v>
      </c>
      <c r="K113">
        <v>369778</v>
      </c>
      <c r="L113">
        <f t="shared" si="7"/>
        <v>0</v>
      </c>
      <c r="M113">
        <f t="shared" si="8"/>
        <v>0</v>
      </c>
      <c r="N113" s="119">
        <f t="shared" si="9"/>
        <v>17.010000000000002</v>
      </c>
      <c r="O113">
        <f t="shared" si="5"/>
        <v>0</v>
      </c>
    </row>
    <row r="114" spans="2:15" ht="25.5" customHeight="1" x14ac:dyDescent="0.25">
      <c r="B114" s="86" t="s">
        <v>205</v>
      </c>
      <c r="C114" s="149" t="s">
        <v>206</v>
      </c>
      <c r="D114" s="82" t="s">
        <v>13</v>
      </c>
      <c r="E114" s="83">
        <v>13.07</v>
      </c>
      <c r="F114" s="88">
        <v>342227</v>
      </c>
      <c r="G114" s="89">
        <f t="shared" si="6"/>
        <v>4472906.8899999997</v>
      </c>
      <c r="H114" s="118" t="str">
        <f t="array" ref="H114:K114">_xlfn.XLOOKUP(C114,'ESAP NEIVA FASE II UNIFICADO'!$C$6:$C$720,'ESAP NEIVA FASE II UNIFICADO'!$C$6:$F$720,"NO ESTA")</f>
        <v>SUMINISTRO E INSTALACIONVENTANAL DOBLE ALTURA LIBRE EN ALUMINIO o similar TIPO V-5 Incluye VIDRIO Referencia SOLARBAN Ver NOTAS GENERALES DE PLANCHA</v>
      </c>
      <c r="I114" t="str">
        <v>M2</v>
      </c>
      <c r="J114">
        <v>13.059999999999999</v>
      </c>
      <c r="K114">
        <v>369778</v>
      </c>
      <c r="L114">
        <f t="shared" si="7"/>
        <v>0</v>
      </c>
      <c r="M114">
        <f t="shared" si="8"/>
        <v>0</v>
      </c>
      <c r="N114" s="119">
        <f t="shared" si="9"/>
        <v>13.07</v>
      </c>
      <c r="O114">
        <f t="shared" si="5"/>
        <v>0</v>
      </c>
    </row>
    <row r="115" spans="2:15" ht="15" customHeight="1" x14ac:dyDescent="0.25">
      <c r="B115" s="80" t="s">
        <v>207</v>
      </c>
      <c r="C115" s="81" t="s">
        <v>208</v>
      </c>
      <c r="D115" s="82"/>
      <c r="E115" s="83"/>
      <c r="F115" s="90"/>
      <c r="G115" s="89">
        <f t="shared" si="6"/>
        <v>0</v>
      </c>
      <c r="H115" s="118" t="str">
        <f t="array" ref="H115:K115">_xlfn.XLOOKUP(C115,'ESAP NEIVA FASE II UNIFICADO'!$C$6:$C$720,'ESAP NEIVA FASE II UNIFICADO'!$C$6:$F$720,"NO ESTA")</f>
        <v>SUMINISTRO E INSTALACION VENTANALES PISO 2</v>
      </c>
      <c r="I115">
        <v>0</v>
      </c>
      <c r="J115">
        <v>0</v>
      </c>
      <c r="K115">
        <v>0</v>
      </c>
      <c r="L115">
        <f t="shared" si="7"/>
        <v>1</v>
      </c>
      <c r="M115">
        <f t="shared" si="8"/>
        <v>0</v>
      </c>
      <c r="N115" s="119">
        <f t="shared" si="9"/>
        <v>0</v>
      </c>
      <c r="O115">
        <f t="shared" si="5"/>
        <v>0</v>
      </c>
    </row>
    <row r="116" spans="2:15" ht="25.5" customHeight="1" x14ac:dyDescent="0.25">
      <c r="B116" s="86" t="s">
        <v>209</v>
      </c>
      <c r="C116" s="87" t="s">
        <v>210</v>
      </c>
      <c r="D116" s="82" t="s">
        <v>13</v>
      </c>
      <c r="E116" s="83">
        <v>21.89</v>
      </c>
      <c r="F116" s="88">
        <v>228879</v>
      </c>
      <c r="G116" s="89">
        <f t="shared" si="6"/>
        <v>5010161.3099999996</v>
      </c>
      <c r="H116" s="118" t="str">
        <f t="array" ref="H116:K116">_xlfn.XLOOKUP(C116,'ESAP NEIVA FASE II UNIFICADO'!$C$6:$C$720,'ESAP NEIVA FASE II UNIFICADO'!$C$6:$F$720,"NO ESTA")</f>
        <v>SUMINISTRO E INSTALACION CORTASOL Referencia 84R TIPO CS-1 Ver NOTAS GENERALES DE PLANCHA</v>
      </c>
      <c r="I116" t="str">
        <v>M2</v>
      </c>
      <c r="J116">
        <v>221.89</v>
      </c>
      <c r="K116">
        <v>247305</v>
      </c>
      <c r="L116">
        <f t="shared" si="7"/>
        <v>0</v>
      </c>
      <c r="M116">
        <f t="shared" si="8"/>
        <v>0</v>
      </c>
      <c r="N116" s="119">
        <f t="shared" si="9"/>
        <v>21.89</v>
      </c>
      <c r="O116">
        <f t="shared" si="5"/>
        <v>0</v>
      </c>
    </row>
    <row r="117" spans="2:15" ht="25.5" customHeight="1" x14ac:dyDescent="0.25">
      <c r="B117" s="86" t="s">
        <v>211</v>
      </c>
      <c r="C117" s="87" t="s">
        <v>200</v>
      </c>
      <c r="D117" s="82" t="s">
        <v>13</v>
      </c>
      <c r="E117" s="83">
        <v>13.48</v>
      </c>
      <c r="F117" s="88">
        <v>288650</v>
      </c>
      <c r="G117" s="89">
        <f t="shared" si="6"/>
        <v>3891002</v>
      </c>
      <c r="H117" s="118" t="str">
        <f t="array" ref="H117:K117">_xlfn.XLOOKUP(C117,'ESAP NEIVA FASE II UNIFICADO'!$C$6:$C$720,'ESAP NEIVA FASE II UNIFICADO'!$C$6:$F$720,"NO ESTA")</f>
        <v>SUMINISTRO E INSTALACION VENTANAL INTERIOR EN ALUMINIO o similar TIPO V-0 Incluye VIDRIO Referencia TRASLUCIDO TEMPLADO 10MM Ver NOTAS GENERALES DE PLANCHA</v>
      </c>
      <c r="I117" t="str">
        <v>M2</v>
      </c>
      <c r="J117">
        <v>44.879999999999995</v>
      </c>
      <c r="K117">
        <v>311887</v>
      </c>
      <c r="L117">
        <f t="shared" si="7"/>
        <v>0</v>
      </c>
      <c r="M117">
        <f t="shared" si="8"/>
        <v>0</v>
      </c>
      <c r="N117" s="119">
        <f t="shared" si="9"/>
        <v>13.48</v>
      </c>
      <c r="O117">
        <f t="shared" si="5"/>
        <v>0</v>
      </c>
    </row>
    <row r="118" spans="2:15" ht="25.5" customHeight="1" x14ac:dyDescent="0.25">
      <c r="B118" s="86" t="s">
        <v>212</v>
      </c>
      <c r="C118" s="147" t="s">
        <v>202</v>
      </c>
      <c r="D118" s="82" t="s">
        <v>13</v>
      </c>
      <c r="E118" s="83">
        <v>30.01</v>
      </c>
      <c r="F118" s="88">
        <v>327106</v>
      </c>
      <c r="G118" s="89">
        <f t="shared" si="6"/>
        <v>9816451.0600000005</v>
      </c>
      <c r="H118" s="118" t="str">
        <f t="array" ref="H118:K118">_xlfn.XLOOKUP(C118,'ESAP NEIVA FASE II UNIFICADO'!$C$6:$C$720,'ESAP NEIVA FASE II UNIFICADO'!$C$6:$F$720,"NO ESTA")</f>
        <v>SUMINISTRO E INSTALACION VENTANAL PERFIL 12cm EN ALUMINIO o similar TIPO V-1 Incluye VIDRIO Referencia SOLARBAN Ver NOTAS GENERALES DE PLANCHA</v>
      </c>
      <c r="I118" t="str">
        <v>M2</v>
      </c>
      <c r="J118">
        <v>111.41999999999999</v>
      </c>
      <c r="K118">
        <v>353438</v>
      </c>
      <c r="L118">
        <f t="shared" si="7"/>
        <v>0</v>
      </c>
      <c r="M118">
        <f t="shared" si="8"/>
        <v>0</v>
      </c>
      <c r="N118" s="119">
        <f t="shared" si="9"/>
        <v>30.01</v>
      </c>
      <c r="O118">
        <f t="shared" si="5"/>
        <v>0</v>
      </c>
    </row>
    <row r="119" spans="2:15" ht="25.5" customHeight="1" x14ac:dyDescent="0.25">
      <c r="B119" s="86" t="s">
        <v>213</v>
      </c>
      <c r="C119" s="149" t="s">
        <v>214</v>
      </c>
      <c r="D119" s="82" t="s">
        <v>13</v>
      </c>
      <c r="E119" s="83">
        <v>63.83</v>
      </c>
      <c r="F119" s="88">
        <v>327106</v>
      </c>
      <c r="G119" s="89">
        <f t="shared" si="6"/>
        <v>20879175.98</v>
      </c>
      <c r="H119" s="118" t="str">
        <f t="array" ref="H119:K119">_xlfn.XLOOKUP(C119,'ESAP NEIVA FASE II UNIFICADO'!$C$6:$C$720,'ESAP NEIVA FASE II UNIFICADO'!$C$6:$F$720,"NO ESTA")</f>
        <v>SUMINISTRO E INSTALACION VENTANAL PERFIL 12cm  AULAS COMPLETO EN ALUMINIO o similar TIPO V-2 Incluye VIDRIO Referencia SOLARBAN Ver NOTAS GENERALES DE PLANCHA</v>
      </c>
      <c r="I119" t="str">
        <v>M2</v>
      </c>
      <c r="J119">
        <v>78.760000000000005</v>
      </c>
      <c r="K119">
        <v>353438</v>
      </c>
      <c r="L119">
        <f t="shared" si="7"/>
        <v>0</v>
      </c>
      <c r="M119">
        <f t="shared" si="8"/>
        <v>0</v>
      </c>
      <c r="N119" s="119">
        <f t="shared" si="9"/>
        <v>63.83</v>
      </c>
      <c r="O119">
        <f t="shared" si="5"/>
        <v>0</v>
      </c>
    </row>
    <row r="120" spans="2:15" ht="25.5" customHeight="1" x14ac:dyDescent="0.25">
      <c r="B120" s="86" t="s">
        <v>215</v>
      </c>
      <c r="C120" s="149" t="s">
        <v>216</v>
      </c>
      <c r="D120" s="82" t="s">
        <v>13</v>
      </c>
      <c r="E120" s="83">
        <v>7.99</v>
      </c>
      <c r="F120" s="88">
        <v>339589</v>
      </c>
      <c r="G120" s="89">
        <f t="shared" si="6"/>
        <v>2713316.11</v>
      </c>
      <c r="H120" s="118" t="str">
        <f t="array" ref="H120:K120">_xlfn.XLOOKUP(C120,'ESAP NEIVA FASE II UNIFICADO'!$C$6:$C$720,'ESAP NEIVA FASE II UNIFICADO'!$C$6:$F$720,"NO ESTA")</f>
        <v>SUMINISTRO E INSTALACION VENTANAL PERFIL 15cm EN ALUMINIO o similar TIPO V-3 Incluye VIDRIO Referencia SOLARBAN Ver NOTAS GENERALES DE PLANCHA</v>
      </c>
      <c r="I120" t="str">
        <v>M2</v>
      </c>
      <c r="J120">
        <v>78.989999999999995</v>
      </c>
      <c r="K120">
        <v>366927</v>
      </c>
      <c r="L120">
        <f t="shared" si="7"/>
        <v>0</v>
      </c>
      <c r="M120">
        <f t="shared" si="8"/>
        <v>0</v>
      </c>
      <c r="N120" s="119">
        <f t="shared" si="9"/>
        <v>7.99</v>
      </c>
      <c r="O120">
        <f t="shared" si="5"/>
        <v>0</v>
      </c>
    </row>
    <row r="121" spans="2:15" ht="25.5" customHeight="1" x14ac:dyDescent="0.25">
      <c r="B121" s="86" t="s">
        <v>217</v>
      </c>
      <c r="C121" s="149" t="s">
        <v>218</v>
      </c>
      <c r="D121" s="82" t="s">
        <v>13</v>
      </c>
      <c r="E121" s="83">
        <v>11.76</v>
      </c>
      <c r="F121" s="88">
        <v>342227</v>
      </c>
      <c r="G121" s="89">
        <f t="shared" si="6"/>
        <v>4024589.52</v>
      </c>
      <c r="H121" s="118" t="str">
        <f t="array" ref="H121:K121">_xlfn.XLOOKUP(C121,'ESAP NEIVA FASE II UNIFICADO'!$C$6:$C$720,'ESAP NEIVA FASE II UNIFICADO'!$C$6:$F$720,"NO ESTA")</f>
        <v>SUMINISTRO E INSTALACION VENTANAL DOBLE ALTURA LIBRE EN ALUMINIO o similar TIPO V-5 Incluye VIDRIO Referencia SOLARBAN Ver NOTAS GENERALES DE PLANCHA</v>
      </c>
      <c r="I121" t="str">
        <v>M2</v>
      </c>
      <c r="J121">
        <v>11.76</v>
      </c>
      <c r="K121">
        <v>369778</v>
      </c>
      <c r="L121">
        <f t="shared" si="7"/>
        <v>0</v>
      </c>
      <c r="M121">
        <f t="shared" si="8"/>
        <v>0</v>
      </c>
      <c r="N121" s="119">
        <f t="shared" si="9"/>
        <v>11.76</v>
      </c>
      <c r="O121">
        <f t="shared" si="5"/>
        <v>0</v>
      </c>
    </row>
    <row r="122" spans="2:15" ht="25.5" customHeight="1" x14ac:dyDescent="0.25">
      <c r="B122" s="86" t="s">
        <v>219</v>
      </c>
      <c r="C122" s="150" t="s">
        <v>220</v>
      </c>
      <c r="D122" s="82" t="s">
        <v>13</v>
      </c>
      <c r="E122" s="83">
        <v>10.72</v>
      </c>
      <c r="F122" s="88">
        <v>381287</v>
      </c>
      <c r="G122" s="89">
        <f t="shared" si="6"/>
        <v>4087396.64</v>
      </c>
      <c r="H122" s="118" t="str">
        <f t="array" ref="H122:K122">_xlfn.XLOOKUP(C122,'ESAP NEIVA FASE II UNIFICADO'!$C$6:$C$720,'ESAP NEIVA FASE II UNIFICADO'!$C$6:$F$720,"NO ESTA")</f>
        <v>SUMINISTRO E INSTALACION VENTANAL INTERIOR PERFIL 15cm SALONES EN ALUMINIO o similar TIPO V-6Incluye VIDRIO Referencia TRASLUCIDO TEMPLADO 10MM Ver NOTAS GENERALES DE PLANCHA</v>
      </c>
      <c r="I122" t="str">
        <v>M2</v>
      </c>
      <c r="J122">
        <v>15.659999999999998</v>
      </c>
      <c r="K122">
        <v>411981</v>
      </c>
      <c r="L122">
        <f t="shared" si="7"/>
        <v>0</v>
      </c>
      <c r="M122">
        <f t="shared" si="8"/>
        <v>0</v>
      </c>
      <c r="N122" s="119">
        <f t="shared" si="9"/>
        <v>10.72</v>
      </c>
      <c r="O122">
        <f t="shared" si="5"/>
        <v>0</v>
      </c>
    </row>
    <row r="123" spans="2:15" ht="17.25" customHeight="1" x14ac:dyDescent="0.25">
      <c r="B123" s="74">
        <v>9</v>
      </c>
      <c r="C123" s="75" t="s">
        <v>221</v>
      </c>
      <c r="D123" s="76"/>
      <c r="E123" s="77"/>
      <c r="F123" s="78"/>
      <c r="G123" s="89">
        <f t="shared" si="6"/>
        <v>0</v>
      </c>
      <c r="H123" s="118" t="str">
        <f t="array" ref="H123:K123">_xlfn.XLOOKUP(C123,'ESAP NEIVA FASE II UNIFICADO'!$C$6:$C$720,'ESAP NEIVA FASE II UNIFICADO'!$C$6:$F$720,"NO ESTA")</f>
        <v>PUERTAS</v>
      </c>
      <c r="I123">
        <v>0</v>
      </c>
      <c r="J123">
        <v>0</v>
      </c>
      <c r="K123">
        <v>0</v>
      </c>
      <c r="L123">
        <f t="shared" si="7"/>
        <v>1</v>
      </c>
      <c r="M123">
        <f t="shared" si="8"/>
        <v>0</v>
      </c>
      <c r="N123" s="119">
        <f t="shared" si="9"/>
        <v>0</v>
      </c>
      <c r="O123">
        <f t="shared" si="5"/>
        <v>0</v>
      </c>
    </row>
    <row r="124" spans="2:15" ht="15" customHeight="1" x14ac:dyDescent="0.25">
      <c r="B124" s="80" t="s">
        <v>222</v>
      </c>
      <c r="C124" s="81" t="s">
        <v>223</v>
      </c>
      <c r="D124" s="82"/>
      <c r="E124" s="83"/>
      <c r="F124" s="90"/>
      <c r="G124" s="89">
        <f t="shared" si="6"/>
        <v>0</v>
      </c>
      <c r="H124" s="118" t="str">
        <f t="array" ref="H124:K124">_xlfn.XLOOKUP(C124,'ESAP NEIVA FASE II UNIFICADO'!$C$6:$C$720,'ESAP NEIVA FASE II UNIFICADO'!$C$6:$F$720,"NO ESTA")</f>
        <v>SUMINISTRO E INSTALACIÓN PUERTAS SEMISOTANO</v>
      </c>
      <c r="I124">
        <v>0</v>
      </c>
      <c r="J124">
        <v>0</v>
      </c>
      <c r="K124">
        <v>0</v>
      </c>
      <c r="L124">
        <f t="shared" si="7"/>
        <v>1</v>
      </c>
      <c r="M124">
        <f t="shared" si="8"/>
        <v>0</v>
      </c>
      <c r="N124" s="119">
        <f t="shared" si="9"/>
        <v>0</v>
      </c>
      <c r="O124">
        <f t="shared" si="5"/>
        <v>0</v>
      </c>
    </row>
    <row r="125" spans="2:15" ht="25.5" customHeight="1" x14ac:dyDescent="0.25">
      <c r="B125" s="86" t="s">
        <v>224</v>
      </c>
      <c r="C125" s="87" t="s">
        <v>225</v>
      </c>
      <c r="D125" s="82" t="s">
        <v>13</v>
      </c>
      <c r="E125" s="83">
        <v>4.4000000000000004</v>
      </c>
      <c r="F125" s="88">
        <v>1279025</v>
      </c>
      <c r="G125" s="89">
        <f t="shared" si="6"/>
        <v>5627710</v>
      </c>
      <c r="H125" s="118" t="str">
        <f t="array" ref="H125:K125">_xlfn.XLOOKUP(C125,'ESAP NEIVA FASE II UNIFICADO'!$C$6:$C$720,'ESAP NEIVA FASE II UNIFICADO'!$C$6:$F$720,"NO ESTA")</f>
        <v>SUMINISTRO E INSTALACION PUERTA DE EVACUACIÓN TIPO P-1 Ver NOTAS GENERALES DE PLANCHA</v>
      </c>
      <c r="I125" t="str">
        <v>M2</v>
      </c>
      <c r="J125">
        <v>0</v>
      </c>
      <c r="K125">
        <v>1381990</v>
      </c>
      <c r="L125">
        <f t="shared" si="7"/>
        <v>1</v>
      </c>
      <c r="M125">
        <f t="shared" si="8"/>
        <v>1279025</v>
      </c>
      <c r="N125" s="119">
        <f t="shared" si="9"/>
        <v>4.4000000000000004</v>
      </c>
      <c r="O125">
        <f t="shared" si="5"/>
        <v>5627710</v>
      </c>
    </row>
    <row r="126" spans="2:15" ht="25.5" customHeight="1" x14ac:dyDescent="0.25">
      <c r="B126" s="86" t="s">
        <v>226</v>
      </c>
      <c r="C126" s="87" t="s">
        <v>227</v>
      </c>
      <c r="D126" s="82" t="s">
        <v>13</v>
      </c>
      <c r="E126" s="83">
        <v>15.12</v>
      </c>
      <c r="F126" s="88">
        <v>121747</v>
      </c>
      <c r="G126" s="89">
        <f t="shared" si="6"/>
        <v>1840814.64</v>
      </c>
      <c r="H126" s="118" t="str">
        <f t="array" ref="H126:K126">_xlfn.XLOOKUP(C126,'ESAP NEIVA FASE II UNIFICADO'!$C$6:$C$720,'ESAP NEIVA FASE II UNIFICADO'!$C$6:$F$720,"NO ESTA")</f>
        <v>SUMINISTRO E INSTALACION PUERTA METALICA DEPOSITOS TIPO P-2 Ver NOTAS GENERALES DE PLANCHA</v>
      </c>
      <c r="I126" t="str">
        <v>M2</v>
      </c>
      <c r="J126">
        <v>0</v>
      </c>
      <c r="K126">
        <v>131548</v>
      </c>
      <c r="L126">
        <f t="shared" si="7"/>
        <v>1</v>
      </c>
      <c r="M126">
        <f t="shared" si="8"/>
        <v>121747</v>
      </c>
      <c r="N126" s="119">
        <f t="shared" si="9"/>
        <v>15.12</v>
      </c>
      <c r="O126">
        <f t="shared" si="5"/>
        <v>1840814.64</v>
      </c>
    </row>
    <row r="127" spans="2:15" ht="25.5" customHeight="1" x14ac:dyDescent="0.25">
      <c r="B127" s="86" t="s">
        <v>228</v>
      </c>
      <c r="C127" s="87" t="s">
        <v>229</v>
      </c>
      <c r="D127" s="82" t="s">
        <v>13</v>
      </c>
      <c r="E127" s="83">
        <v>33.6</v>
      </c>
      <c r="F127" s="88">
        <v>143171</v>
      </c>
      <c r="G127" s="89">
        <f t="shared" si="6"/>
        <v>4810545.5999999996</v>
      </c>
      <c r="H127" s="118" t="str">
        <f t="array" ref="H127:K127">_xlfn.XLOOKUP(C127,'ESAP NEIVA FASE II UNIFICADO'!$C$6:$C$720,'ESAP NEIVA FASE II UNIFICADO'!$C$6:$F$720,"NO ESTA")</f>
        <v>SUMINISTRO E INSTALACION PUERTA METALICA DOBLE HOJA TIPO P-7 Ver NOTAS GENERALES DE PLANCHA</v>
      </c>
      <c r="I127" t="str">
        <v>M2</v>
      </c>
      <c r="J127">
        <v>0</v>
      </c>
      <c r="K127">
        <v>154697</v>
      </c>
      <c r="L127">
        <f t="shared" si="7"/>
        <v>1</v>
      </c>
      <c r="M127">
        <f t="shared" si="8"/>
        <v>143171</v>
      </c>
      <c r="N127" s="119">
        <f t="shared" si="9"/>
        <v>33.6</v>
      </c>
      <c r="O127">
        <f t="shared" si="5"/>
        <v>4810545.6000000006</v>
      </c>
    </row>
    <row r="128" spans="2:15" ht="25.5" customHeight="1" x14ac:dyDescent="0.25">
      <c r="B128" s="86" t="s">
        <v>230</v>
      </c>
      <c r="C128" s="87" t="s">
        <v>231</v>
      </c>
      <c r="D128" s="82" t="s">
        <v>13</v>
      </c>
      <c r="E128" s="83">
        <v>15.84</v>
      </c>
      <c r="F128" s="88">
        <v>233422</v>
      </c>
      <c r="G128" s="89">
        <f t="shared" si="6"/>
        <v>3697404.48</v>
      </c>
      <c r="H128" s="118" t="str">
        <f t="array" ref="H128">_xlfn.XLOOKUP(C128,'ESAP NEIVA FASE II UNIFICADO'!$C$6:$C$720,'ESAP NEIVA FASE II UNIFICADO'!$C$6:$F$720,"NO ESTA")</f>
        <v>NO ESTA</v>
      </c>
      <c r="L128">
        <f t="shared" si="7"/>
        <v>1</v>
      </c>
      <c r="M128">
        <f t="shared" si="8"/>
        <v>233422</v>
      </c>
      <c r="N128" s="119">
        <f t="shared" si="9"/>
        <v>15.84</v>
      </c>
      <c r="O128">
        <f t="shared" si="5"/>
        <v>3697404.48</v>
      </c>
    </row>
    <row r="129" spans="2:15" ht="15" customHeight="1" x14ac:dyDescent="0.25">
      <c r="B129" s="80" t="s">
        <v>232</v>
      </c>
      <c r="C129" s="81" t="s">
        <v>233</v>
      </c>
      <c r="D129" s="82"/>
      <c r="E129" s="83"/>
      <c r="F129" s="90"/>
      <c r="G129" s="89">
        <f t="shared" si="6"/>
        <v>0</v>
      </c>
      <c r="H129" s="118" t="str">
        <f t="array" ref="H129:K129">_xlfn.XLOOKUP(C129,'ESAP NEIVA FASE II UNIFICADO'!$C$6:$C$720,'ESAP NEIVA FASE II UNIFICADO'!$C$6:$F$720,"NO ESTA")</f>
        <v>SUMINISTRO E INSTALACIÓN PUERTAS PISO 1</v>
      </c>
      <c r="I129">
        <v>0</v>
      </c>
      <c r="J129">
        <v>0</v>
      </c>
      <c r="K129">
        <v>0</v>
      </c>
      <c r="L129">
        <f t="shared" si="7"/>
        <v>1</v>
      </c>
      <c r="M129">
        <f t="shared" si="8"/>
        <v>0</v>
      </c>
      <c r="N129" s="119">
        <f t="shared" si="9"/>
        <v>0</v>
      </c>
      <c r="O129">
        <f t="shared" ref="O129:O192" si="10">M129*N129</f>
        <v>0</v>
      </c>
    </row>
    <row r="130" spans="2:15" ht="25.5" customHeight="1" x14ac:dyDescent="0.25">
      <c r="B130" s="86" t="s">
        <v>234</v>
      </c>
      <c r="C130" s="87" t="s">
        <v>225</v>
      </c>
      <c r="D130" s="82" t="s">
        <v>13</v>
      </c>
      <c r="E130" s="83">
        <v>4.4000000000000004</v>
      </c>
      <c r="F130" s="88">
        <v>1279025</v>
      </c>
      <c r="G130" s="89">
        <f t="shared" si="6"/>
        <v>5627710</v>
      </c>
      <c r="H130" s="118" t="str">
        <f t="array" ref="H130:K130">_xlfn.XLOOKUP(C130,'ESAP NEIVA FASE II UNIFICADO'!$C$6:$C$720,'ESAP NEIVA FASE II UNIFICADO'!$C$6:$F$720,"NO ESTA")</f>
        <v>SUMINISTRO E INSTALACION PUERTA DE EVACUACIÓN TIPO P-1 Ver NOTAS GENERALES DE PLANCHA</v>
      </c>
      <c r="I130" t="str">
        <v>M2</v>
      </c>
      <c r="J130">
        <v>0</v>
      </c>
      <c r="K130">
        <v>1381990</v>
      </c>
      <c r="L130">
        <f t="shared" si="7"/>
        <v>1</v>
      </c>
      <c r="M130">
        <f t="shared" si="8"/>
        <v>1279025</v>
      </c>
      <c r="N130" s="119">
        <f t="shared" si="9"/>
        <v>4.4000000000000004</v>
      </c>
      <c r="O130">
        <f t="shared" si="10"/>
        <v>5627710</v>
      </c>
    </row>
    <row r="131" spans="2:15" ht="25.5" customHeight="1" x14ac:dyDescent="0.25">
      <c r="B131" s="86" t="s">
        <v>235</v>
      </c>
      <c r="C131" s="87" t="s">
        <v>227</v>
      </c>
      <c r="D131" s="82" t="s">
        <v>13</v>
      </c>
      <c r="E131" s="83">
        <v>12.96</v>
      </c>
      <c r="F131" s="88">
        <v>121747</v>
      </c>
      <c r="G131" s="89">
        <f t="shared" si="6"/>
        <v>1577841.12</v>
      </c>
      <c r="H131" s="118" t="str">
        <f t="array" ref="H131:K131">_xlfn.XLOOKUP(C131,'ESAP NEIVA FASE II UNIFICADO'!$C$6:$C$720,'ESAP NEIVA FASE II UNIFICADO'!$C$6:$F$720,"NO ESTA")</f>
        <v>SUMINISTRO E INSTALACION PUERTA METALICA DEPOSITOS TIPO P-2 Ver NOTAS GENERALES DE PLANCHA</v>
      </c>
      <c r="I131" t="str">
        <v>M2</v>
      </c>
      <c r="J131">
        <v>0</v>
      </c>
      <c r="K131">
        <v>131548</v>
      </c>
      <c r="L131">
        <f t="shared" si="7"/>
        <v>1</v>
      </c>
      <c r="M131">
        <f t="shared" si="8"/>
        <v>121747</v>
      </c>
      <c r="N131" s="119">
        <f t="shared" si="9"/>
        <v>12.96</v>
      </c>
      <c r="O131">
        <f t="shared" si="10"/>
        <v>1577841.12</v>
      </c>
    </row>
    <row r="132" spans="2:15" ht="25.5" customHeight="1" x14ac:dyDescent="0.25">
      <c r="B132" s="86" t="s">
        <v>236</v>
      </c>
      <c r="C132" s="87" t="s">
        <v>237</v>
      </c>
      <c r="D132" s="82" t="s">
        <v>13</v>
      </c>
      <c r="E132" s="83">
        <v>2.4</v>
      </c>
      <c r="F132" s="88">
        <v>677048</v>
      </c>
      <c r="G132" s="89">
        <f t="shared" si="6"/>
        <v>1624915.2</v>
      </c>
      <c r="H132" s="118" t="str">
        <f t="array" ref="H132:K132">_xlfn.XLOOKUP(C132,'ESAP NEIVA FASE II UNIFICADO'!$C$6:$C$720,'ESAP NEIVA FASE II UNIFICADO'!$C$6:$F$720,"NO ESTA")</f>
        <v>SUMINISTRO E INSTALACION PUERTA DIVISORIA DE MADERA TIPO P-3 Ver NOTAS GENERALES DE PLANCHA</v>
      </c>
      <c r="I132" t="str">
        <v>M2</v>
      </c>
      <c r="J132">
        <v>0</v>
      </c>
      <c r="K132">
        <v>731553</v>
      </c>
      <c r="L132">
        <f t="shared" si="7"/>
        <v>1</v>
      </c>
      <c r="M132">
        <f t="shared" si="8"/>
        <v>677048</v>
      </c>
      <c r="N132" s="119">
        <f t="shared" si="9"/>
        <v>2.4</v>
      </c>
      <c r="O132">
        <f t="shared" si="10"/>
        <v>1624915.2</v>
      </c>
    </row>
    <row r="133" spans="2:15" ht="25.5" customHeight="1" x14ac:dyDescent="0.25">
      <c r="B133" s="86" t="s">
        <v>238</v>
      </c>
      <c r="C133" s="87" t="s">
        <v>239</v>
      </c>
      <c r="D133" s="82" t="s">
        <v>13</v>
      </c>
      <c r="E133" s="83">
        <v>12.96</v>
      </c>
      <c r="F133" s="88">
        <v>677048</v>
      </c>
      <c r="G133" s="89">
        <f t="shared" si="6"/>
        <v>8774542.0800000001</v>
      </c>
      <c r="H133" s="118" t="str">
        <f t="array" ref="H133:K133">_xlfn.XLOOKUP(C133,'ESAP NEIVA FASE II UNIFICADO'!$C$6:$C$720,'ESAP NEIVA FASE II UNIFICADO'!$C$6:$F$720,"NO ESTA")</f>
        <v>SUMINISTRO E INSTALACION PUERTA DIVISORIA DE MADERA TIPO P-4 Ver NOTAS GENERALES DE PLANCHA</v>
      </c>
      <c r="I133" t="str">
        <v>M2</v>
      </c>
      <c r="J133">
        <v>0</v>
      </c>
      <c r="K133">
        <v>731553</v>
      </c>
      <c r="L133">
        <f t="shared" si="7"/>
        <v>1</v>
      </c>
      <c r="M133">
        <f t="shared" si="8"/>
        <v>677048</v>
      </c>
      <c r="N133" s="119">
        <f t="shared" si="9"/>
        <v>12.96</v>
      </c>
      <c r="O133">
        <f t="shared" si="10"/>
        <v>8774542.0800000001</v>
      </c>
    </row>
    <row r="134" spans="2:15" ht="25.5" customHeight="1" x14ac:dyDescent="0.25">
      <c r="B134" s="86" t="s">
        <v>240</v>
      </c>
      <c r="C134" s="87" t="s">
        <v>241</v>
      </c>
      <c r="D134" s="82" t="s">
        <v>13</v>
      </c>
      <c r="E134" s="83">
        <v>5.76</v>
      </c>
      <c r="F134" s="88">
        <v>677048</v>
      </c>
      <c r="G134" s="89">
        <f t="shared" si="6"/>
        <v>3899796.48</v>
      </c>
      <c r="H134" s="118" t="str">
        <f t="array" ref="H134:K134">_xlfn.XLOOKUP(C134,'ESAP NEIVA FASE II UNIFICADO'!$C$6:$C$720,'ESAP NEIVA FASE II UNIFICADO'!$C$6:$F$720,"NO ESTA")</f>
        <v>SUMINISTRO E INSTALACION PUERTA DIVISORIA DE MADERA TIPO P-5 Ver NOTAS GENERALES DE PLANCHA</v>
      </c>
      <c r="I134" t="str">
        <v>M2</v>
      </c>
      <c r="J134">
        <v>0</v>
      </c>
      <c r="K134">
        <v>731553</v>
      </c>
      <c r="L134">
        <f t="shared" si="7"/>
        <v>1</v>
      </c>
      <c r="M134">
        <f t="shared" si="8"/>
        <v>677048</v>
      </c>
      <c r="N134" s="119">
        <f t="shared" si="9"/>
        <v>5.76</v>
      </c>
      <c r="O134">
        <f t="shared" si="10"/>
        <v>3899796.48</v>
      </c>
    </row>
    <row r="135" spans="2:15" ht="25.5" customHeight="1" x14ac:dyDescent="0.25">
      <c r="B135" s="86" t="s">
        <v>242</v>
      </c>
      <c r="C135" s="87" t="s">
        <v>229</v>
      </c>
      <c r="D135" s="82" t="s">
        <v>13</v>
      </c>
      <c r="E135" s="83">
        <v>4.8</v>
      </c>
      <c r="F135" s="88">
        <v>143171</v>
      </c>
      <c r="G135" s="89">
        <f t="shared" ref="G135:G198" si="11">ROUND(+F135*E135,2)</f>
        <v>687220.8</v>
      </c>
      <c r="H135" s="118" t="str">
        <f t="array" ref="H135:K135">_xlfn.XLOOKUP(C135,'ESAP NEIVA FASE II UNIFICADO'!$C$6:$C$720,'ESAP NEIVA FASE II UNIFICADO'!$C$6:$F$720,"NO ESTA")</f>
        <v>SUMINISTRO E INSTALACION PUERTA METALICA DOBLE HOJA TIPO P-7 Ver NOTAS GENERALES DE PLANCHA</v>
      </c>
      <c r="I135" t="str">
        <v>M2</v>
      </c>
      <c r="J135">
        <v>0</v>
      </c>
      <c r="K135">
        <v>154697</v>
      </c>
      <c r="L135">
        <f t="shared" si="7"/>
        <v>1</v>
      </c>
      <c r="M135">
        <f t="shared" si="8"/>
        <v>143171</v>
      </c>
      <c r="N135" s="119">
        <f t="shared" si="9"/>
        <v>4.8</v>
      </c>
      <c r="O135">
        <f t="shared" si="10"/>
        <v>687220.79999999993</v>
      </c>
    </row>
    <row r="136" spans="2:15" ht="25.5" customHeight="1" x14ac:dyDescent="0.25">
      <c r="B136" s="86" t="s">
        <v>243</v>
      </c>
      <c r="C136" s="87" t="s">
        <v>244</v>
      </c>
      <c r="D136" s="82" t="s">
        <v>13</v>
      </c>
      <c r="E136" s="83">
        <v>24.8</v>
      </c>
      <c r="F136" s="88">
        <v>536623</v>
      </c>
      <c r="G136" s="89">
        <f t="shared" si="11"/>
        <v>13308250.4</v>
      </c>
      <c r="H136" s="118" t="str">
        <f t="array" ref="H136:K136">_xlfn.XLOOKUP(C136,'ESAP NEIVA FASE II UNIFICADO'!$C$6:$C$720,'ESAP NEIVA FASE II UNIFICADO'!$C$6:$F$720,"NO ESTA")</f>
        <v>SUMINISTRO E INSTALACION PUERTA DIVISORIA EN VIDRIO TIPO PV1 Ver NOTAS GENERALES DE PLANCHA</v>
      </c>
      <c r="I136" t="str">
        <v>M2</v>
      </c>
      <c r="J136">
        <v>0</v>
      </c>
      <c r="K136">
        <v>579822</v>
      </c>
      <c r="L136">
        <f t="shared" si="7"/>
        <v>1</v>
      </c>
      <c r="M136">
        <f t="shared" si="8"/>
        <v>536623</v>
      </c>
      <c r="N136" s="119">
        <f t="shared" si="9"/>
        <v>24.8</v>
      </c>
      <c r="O136">
        <f t="shared" si="10"/>
        <v>13308250.4</v>
      </c>
    </row>
    <row r="137" spans="2:15" ht="15" customHeight="1" x14ac:dyDescent="0.25">
      <c r="B137" s="80" t="s">
        <v>245</v>
      </c>
      <c r="C137" s="81" t="s">
        <v>246</v>
      </c>
      <c r="D137" s="82"/>
      <c r="E137" s="83"/>
      <c r="F137" s="90"/>
      <c r="G137" s="89">
        <f t="shared" si="11"/>
        <v>0</v>
      </c>
      <c r="H137" s="118" t="str">
        <f t="array" ref="H137:K137">_xlfn.XLOOKUP(C137,'ESAP NEIVA FASE II UNIFICADO'!$C$6:$C$720,'ESAP NEIVA FASE II UNIFICADO'!$C$6:$F$720,"NO ESTA")</f>
        <v>SUMINISTRO E INSTALACIÓN PUERTAS PISO 2</v>
      </c>
      <c r="I137">
        <v>0</v>
      </c>
      <c r="J137">
        <v>0</v>
      </c>
      <c r="K137">
        <v>0</v>
      </c>
      <c r="L137">
        <f t="shared" si="7"/>
        <v>1</v>
      </c>
      <c r="M137">
        <f t="shared" si="8"/>
        <v>0</v>
      </c>
      <c r="N137" s="119">
        <f t="shared" si="9"/>
        <v>0</v>
      </c>
      <c r="O137">
        <f t="shared" si="10"/>
        <v>0</v>
      </c>
    </row>
    <row r="138" spans="2:15" ht="25.5" customHeight="1" x14ac:dyDescent="0.25">
      <c r="B138" s="86" t="s">
        <v>247</v>
      </c>
      <c r="C138" s="87" t="s">
        <v>225</v>
      </c>
      <c r="D138" s="82" t="s">
        <v>13</v>
      </c>
      <c r="E138" s="83">
        <v>2.2000000000000002</v>
      </c>
      <c r="F138" s="88">
        <v>1279025</v>
      </c>
      <c r="G138" s="89">
        <f t="shared" si="11"/>
        <v>2813855</v>
      </c>
      <c r="H138" s="118" t="str">
        <f t="array" ref="H138:K138">_xlfn.XLOOKUP(C138,'ESAP NEIVA FASE II UNIFICADO'!$C$6:$C$720,'ESAP NEIVA FASE II UNIFICADO'!$C$6:$F$720,"NO ESTA")</f>
        <v>SUMINISTRO E INSTALACION PUERTA DE EVACUACIÓN TIPO P-1 Ver NOTAS GENERALES DE PLANCHA</v>
      </c>
      <c r="I138" t="str">
        <v>M2</v>
      </c>
      <c r="J138">
        <v>0</v>
      </c>
      <c r="K138">
        <v>1381990</v>
      </c>
      <c r="L138">
        <f t="shared" ref="L138:L201" si="12">+IF(J138&gt;0,0,1)</f>
        <v>1</v>
      </c>
      <c r="M138">
        <f t="shared" ref="M138:M201" si="13">IF(L138=1,F138,0)</f>
        <v>1279025</v>
      </c>
      <c r="N138" s="119">
        <f t="shared" ref="N138:N201" si="14">E138</f>
        <v>2.2000000000000002</v>
      </c>
      <c r="O138">
        <f t="shared" si="10"/>
        <v>2813855</v>
      </c>
    </row>
    <row r="139" spans="2:15" ht="25.5" customHeight="1" x14ac:dyDescent="0.25">
      <c r="B139" s="86" t="s">
        <v>248</v>
      </c>
      <c r="C139" s="87" t="s">
        <v>227</v>
      </c>
      <c r="D139" s="82" t="s">
        <v>13</v>
      </c>
      <c r="E139" s="83">
        <v>2.16</v>
      </c>
      <c r="F139" s="88">
        <v>121747</v>
      </c>
      <c r="G139" s="89">
        <f t="shared" si="11"/>
        <v>262973.52</v>
      </c>
      <c r="H139" s="118" t="str">
        <f t="array" ref="H139:K139">_xlfn.XLOOKUP(C139,'ESAP NEIVA FASE II UNIFICADO'!$C$6:$C$720,'ESAP NEIVA FASE II UNIFICADO'!$C$6:$F$720,"NO ESTA")</f>
        <v>SUMINISTRO E INSTALACION PUERTA METALICA DEPOSITOS TIPO P-2 Ver NOTAS GENERALES DE PLANCHA</v>
      </c>
      <c r="I139" t="str">
        <v>M2</v>
      </c>
      <c r="J139">
        <v>0</v>
      </c>
      <c r="K139">
        <v>131548</v>
      </c>
      <c r="L139">
        <f t="shared" si="12"/>
        <v>1</v>
      </c>
      <c r="M139">
        <f t="shared" si="13"/>
        <v>121747</v>
      </c>
      <c r="N139" s="119">
        <f t="shared" si="14"/>
        <v>2.16</v>
      </c>
      <c r="O139">
        <f t="shared" si="10"/>
        <v>262973.52</v>
      </c>
    </row>
    <row r="140" spans="2:15" ht="25.5" customHeight="1" x14ac:dyDescent="0.25">
      <c r="B140" s="86" t="s">
        <v>249</v>
      </c>
      <c r="C140" s="87" t="s">
        <v>237</v>
      </c>
      <c r="D140" s="82" t="s">
        <v>13</v>
      </c>
      <c r="E140" s="83">
        <v>4.8</v>
      </c>
      <c r="F140" s="88">
        <v>677048</v>
      </c>
      <c r="G140" s="89">
        <f t="shared" si="11"/>
        <v>3249830.4</v>
      </c>
      <c r="H140" s="118" t="str">
        <f t="array" ref="H140:K140">_xlfn.XLOOKUP(C140,'ESAP NEIVA FASE II UNIFICADO'!$C$6:$C$720,'ESAP NEIVA FASE II UNIFICADO'!$C$6:$F$720,"NO ESTA")</f>
        <v>SUMINISTRO E INSTALACION PUERTA DIVISORIA DE MADERA TIPO P-3 Ver NOTAS GENERALES DE PLANCHA</v>
      </c>
      <c r="I140" t="str">
        <v>M2</v>
      </c>
      <c r="J140">
        <v>0</v>
      </c>
      <c r="K140">
        <v>731553</v>
      </c>
      <c r="L140">
        <f t="shared" si="12"/>
        <v>1</v>
      </c>
      <c r="M140">
        <f t="shared" si="13"/>
        <v>677048</v>
      </c>
      <c r="N140" s="119">
        <f t="shared" si="14"/>
        <v>4.8</v>
      </c>
      <c r="O140">
        <f t="shared" si="10"/>
        <v>3249830.4</v>
      </c>
    </row>
    <row r="141" spans="2:15" ht="25.5" customHeight="1" x14ac:dyDescent="0.25">
      <c r="B141" s="86" t="s">
        <v>250</v>
      </c>
      <c r="C141" s="87" t="s">
        <v>239</v>
      </c>
      <c r="D141" s="82" t="s">
        <v>13</v>
      </c>
      <c r="E141" s="83">
        <v>2.16</v>
      </c>
      <c r="F141" s="88">
        <v>677048</v>
      </c>
      <c r="G141" s="89">
        <f t="shared" si="11"/>
        <v>1462423.68</v>
      </c>
      <c r="H141" s="118" t="str">
        <f t="array" ref="H141:K141">_xlfn.XLOOKUP(C141,'ESAP NEIVA FASE II UNIFICADO'!$C$6:$C$720,'ESAP NEIVA FASE II UNIFICADO'!$C$6:$F$720,"NO ESTA")</f>
        <v>SUMINISTRO E INSTALACION PUERTA DIVISORIA DE MADERA TIPO P-4 Ver NOTAS GENERALES DE PLANCHA</v>
      </c>
      <c r="I141" t="str">
        <v>M2</v>
      </c>
      <c r="J141">
        <v>0</v>
      </c>
      <c r="K141">
        <v>731553</v>
      </c>
      <c r="L141">
        <f t="shared" si="12"/>
        <v>1</v>
      </c>
      <c r="M141">
        <f t="shared" si="13"/>
        <v>677048</v>
      </c>
      <c r="N141" s="119">
        <f t="shared" si="14"/>
        <v>2.16</v>
      </c>
      <c r="O141">
        <f t="shared" si="10"/>
        <v>1462423.6800000002</v>
      </c>
    </row>
    <row r="142" spans="2:15" ht="25.5" customHeight="1" x14ac:dyDescent="0.25">
      <c r="B142" s="86" t="s">
        <v>251</v>
      </c>
      <c r="C142" s="87" t="s">
        <v>241</v>
      </c>
      <c r="D142" s="82" t="s">
        <v>13</v>
      </c>
      <c r="E142" s="83">
        <v>2.88</v>
      </c>
      <c r="F142" s="88">
        <v>677048</v>
      </c>
      <c r="G142" s="89">
        <f t="shared" si="11"/>
        <v>1949898.24</v>
      </c>
      <c r="H142" s="118" t="str">
        <f t="array" ref="H142:K142">_xlfn.XLOOKUP(C142,'ESAP NEIVA FASE II UNIFICADO'!$C$6:$C$720,'ESAP NEIVA FASE II UNIFICADO'!$C$6:$F$720,"NO ESTA")</f>
        <v>SUMINISTRO E INSTALACION PUERTA DIVISORIA DE MADERA TIPO P-5 Ver NOTAS GENERALES DE PLANCHA</v>
      </c>
      <c r="I142" t="str">
        <v>M2</v>
      </c>
      <c r="J142">
        <v>0</v>
      </c>
      <c r="K142">
        <v>731553</v>
      </c>
      <c r="L142">
        <f t="shared" si="12"/>
        <v>1</v>
      </c>
      <c r="M142">
        <f t="shared" si="13"/>
        <v>677048</v>
      </c>
      <c r="N142" s="119">
        <f t="shared" si="14"/>
        <v>2.88</v>
      </c>
      <c r="O142">
        <f t="shared" si="10"/>
        <v>1949898.24</v>
      </c>
    </row>
    <row r="143" spans="2:15" ht="25.5" customHeight="1" x14ac:dyDescent="0.25">
      <c r="B143" s="86" t="s">
        <v>252</v>
      </c>
      <c r="C143" s="87" t="s">
        <v>244</v>
      </c>
      <c r="D143" s="82" t="s">
        <v>13</v>
      </c>
      <c r="E143" s="83">
        <v>14.21</v>
      </c>
      <c r="F143" s="88">
        <v>536623</v>
      </c>
      <c r="G143" s="89">
        <f t="shared" si="11"/>
        <v>7625412.8300000001</v>
      </c>
      <c r="H143" s="118" t="str">
        <f t="array" ref="H143:K143">_xlfn.XLOOKUP(C143,'ESAP NEIVA FASE II UNIFICADO'!$C$6:$C$720,'ESAP NEIVA FASE II UNIFICADO'!$C$6:$F$720,"NO ESTA")</f>
        <v>SUMINISTRO E INSTALACION PUERTA DIVISORIA EN VIDRIO TIPO PV1 Ver NOTAS GENERALES DE PLANCHA</v>
      </c>
      <c r="I143" t="str">
        <v>M2</v>
      </c>
      <c r="J143">
        <v>0</v>
      </c>
      <c r="K143">
        <v>579822</v>
      </c>
      <c r="L143">
        <f t="shared" si="12"/>
        <v>1</v>
      </c>
      <c r="M143">
        <f t="shared" si="13"/>
        <v>536623</v>
      </c>
      <c r="N143" s="119">
        <f t="shared" si="14"/>
        <v>14.21</v>
      </c>
      <c r="O143">
        <f t="shared" si="10"/>
        <v>7625412.8300000001</v>
      </c>
    </row>
    <row r="144" spans="2:15" ht="16.5" customHeight="1" x14ac:dyDescent="0.25">
      <c r="B144" s="74">
        <v>10</v>
      </c>
      <c r="C144" s="75" t="s">
        <v>253</v>
      </c>
      <c r="D144" s="76"/>
      <c r="E144" s="77"/>
      <c r="F144" s="78"/>
      <c r="G144" s="89">
        <f t="shared" si="11"/>
        <v>0</v>
      </c>
      <c r="H144" s="118" t="str">
        <f t="array" ref="H144:K144">_xlfn.XLOOKUP(C144,'ESAP NEIVA FASE II UNIFICADO'!$C$6:$C$720,'ESAP NEIVA FASE II UNIFICADO'!$C$6:$F$720,"NO ESTA")</f>
        <v>OTROS ARQUITECTONICOS</v>
      </c>
      <c r="I144">
        <v>0</v>
      </c>
      <c r="J144">
        <v>0</v>
      </c>
      <c r="K144">
        <v>0</v>
      </c>
      <c r="L144">
        <f t="shared" si="12"/>
        <v>1</v>
      </c>
      <c r="M144">
        <f t="shared" si="13"/>
        <v>0</v>
      </c>
      <c r="N144" s="119">
        <f t="shared" si="14"/>
        <v>0</v>
      </c>
      <c r="O144">
        <f t="shared" si="10"/>
        <v>0</v>
      </c>
    </row>
    <row r="145" spans="2:15" ht="15" customHeight="1" x14ac:dyDescent="0.25">
      <c r="B145" s="80" t="s">
        <v>254</v>
      </c>
      <c r="C145" s="81" t="s">
        <v>255</v>
      </c>
      <c r="D145" s="82"/>
      <c r="E145" s="83"/>
      <c r="F145" s="90"/>
      <c r="G145" s="89">
        <f t="shared" si="11"/>
        <v>0</v>
      </c>
      <c r="H145" s="118" t="str">
        <f t="array" ref="H145:K145">_xlfn.XLOOKUP(C145,'ESAP NEIVA FASE II UNIFICADO'!$C$6:$C$720,'ESAP NEIVA FASE II UNIFICADO'!$C$6:$F$720,"NO ESTA")</f>
        <v>SUMINISTRO E INSTALACIÓN DE BARANDAS</v>
      </c>
      <c r="I145">
        <v>0</v>
      </c>
      <c r="J145">
        <v>0</v>
      </c>
      <c r="K145">
        <v>0</v>
      </c>
      <c r="L145">
        <f t="shared" si="12"/>
        <v>1</v>
      </c>
      <c r="M145">
        <f t="shared" si="13"/>
        <v>0</v>
      </c>
      <c r="N145" s="119">
        <f t="shared" si="14"/>
        <v>0</v>
      </c>
      <c r="O145">
        <f t="shared" si="10"/>
        <v>0</v>
      </c>
    </row>
    <row r="146" spans="2:15" ht="25.5" customHeight="1" x14ac:dyDescent="0.25">
      <c r="B146" s="86" t="s">
        <v>256</v>
      </c>
      <c r="C146" s="87" t="s">
        <v>257</v>
      </c>
      <c r="D146" s="82" t="s">
        <v>94</v>
      </c>
      <c r="E146" s="83">
        <v>106</v>
      </c>
      <c r="F146" s="88">
        <v>616205</v>
      </c>
      <c r="G146" s="89">
        <f t="shared" si="11"/>
        <v>65317730</v>
      </c>
      <c r="H146" s="118" t="str">
        <f t="array" ref="H146:K146">_xlfn.XLOOKUP(C146,'ESAP NEIVA FASE II UNIFICADO'!$C$6:$C$720,'ESAP NEIVA FASE II UNIFICADO'!$C$6:$F$720,"NO ESTA")</f>
        <v>SUMINISTRO E INSTALACION BARANDA TIPO B1 EN ACERO INOXIDABLE (Incluye todos los accesorios para su instalación)</v>
      </c>
      <c r="I146" t="str">
        <v>ML</v>
      </c>
      <c r="J146">
        <v>288.39999999999998</v>
      </c>
      <c r="K146">
        <v>592889</v>
      </c>
      <c r="L146">
        <f t="shared" si="12"/>
        <v>0</v>
      </c>
      <c r="M146">
        <f t="shared" si="13"/>
        <v>0</v>
      </c>
      <c r="N146" s="119">
        <f t="shared" si="14"/>
        <v>106</v>
      </c>
      <c r="O146">
        <f t="shared" si="10"/>
        <v>0</v>
      </c>
    </row>
    <row r="147" spans="2:15" ht="25.5" customHeight="1" x14ac:dyDescent="0.25">
      <c r="B147" s="86" t="s">
        <v>258</v>
      </c>
      <c r="C147" s="87" t="s">
        <v>259</v>
      </c>
      <c r="D147" s="82" t="s">
        <v>94</v>
      </c>
      <c r="E147" s="83">
        <v>16</v>
      </c>
      <c r="F147" s="88">
        <v>234945</v>
      </c>
      <c r="G147" s="89">
        <f t="shared" si="11"/>
        <v>3759120</v>
      </c>
      <c r="H147" s="118" t="str">
        <f t="array" ref="H147:K147">_xlfn.XLOOKUP(C147,'ESAP NEIVA FASE II UNIFICADO'!$C$6:$C$720,'ESAP NEIVA FASE II UNIFICADO'!$C$6:$F$720,"NO ESTA")</f>
        <v>SUMINISTRO E INSTALACION PASAMANOS PUNTO FIJO No. 1 (Incluye todos los accesorios para su instalación)</v>
      </c>
      <c r="I147" t="str">
        <v>ML</v>
      </c>
      <c r="J147">
        <v>44.13</v>
      </c>
      <c r="K147">
        <v>253859</v>
      </c>
      <c r="L147">
        <f t="shared" si="12"/>
        <v>0</v>
      </c>
      <c r="M147">
        <f t="shared" si="13"/>
        <v>0</v>
      </c>
      <c r="N147" s="119">
        <f t="shared" si="14"/>
        <v>16</v>
      </c>
      <c r="O147">
        <f t="shared" si="10"/>
        <v>0</v>
      </c>
    </row>
    <row r="148" spans="2:15" ht="15" customHeight="1" x14ac:dyDescent="0.25">
      <c r="B148" s="80" t="s">
        <v>260</v>
      </c>
      <c r="C148" s="81" t="s">
        <v>261</v>
      </c>
      <c r="D148" s="82"/>
      <c r="E148" s="83"/>
      <c r="F148" s="90"/>
      <c r="G148" s="89">
        <f t="shared" si="11"/>
        <v>0</v>
      </c>
      <c r="H148" s="118" t="str">
        <f t="array" ref="H148:K148">_xlfn.XLOOKUP(C148,'ESAP NEIVA FASE II UNIFICADO'!$C$6:$C$720,'ESAP NEIVA FASE II UNIFICADO'!$C$6:$F$720,"NO ESTA")</f>
        <v>SUMINISTRO E INSTALACIÓN DE DIVISIONES DE BAÑOS</v>
      </c>
      <c r="I148">
        <v>0</v>
      </c>
      <c r="J148">
        <v>0</v>
      </c>
      <c r="K148">
        <v>0</v>
      </c>
      <c r="L148">
        <f t="shared" si="12"/>
        <v>1</v>
      </c>
      <c r="M148">
        <f t="shared" si="13"/>
        <v>0</v>
      </c>
      <c r="N148" s="119">
        <f t="shared" si="14"/>
        <v>0</v>
      </c>
      <c r="O148">
        <f t="shared" si="10"/>
        <v>0</v>
      </c>
    </row>
    <row r="149" spans="2:15" ht="25.5" customHeight="1" x14ac:dyDescent="0.25">
      <c r="B149" s="86" t="s">
        <v>262</v>
      </c>
      <c r="C149" s="87" t="s">
        <v>263</v>
      </c>
      <c r="D149" s="82" t="s">
        <v>13</v>
      </c>
      <c r="E149" s="83">
        <v>83.5</v>
      </c>
      <c r="F149" s="88">
        <v>563546</v>
      </c>
      <c r="G149" s="89">
        <f t="shared" si="11"/>
        <v>47056091</v>
      </c>
      <c r="H149" s="118" t="str">
        <f t="array" ref="H149:K149">_xlfn.XLOOKUP(C149,'ESAP NEIVA FASE II UNIFICADO'!$C$6:$C$720,'ESAP NEIVA FASE II UNIFICADO'!$C$6:$F$720,"NO ESTA")</f>
        <v>SUMINISTRO E INSTALACION DIVISION EN ACERO INOXIDABLE BAÑOS (Incluye todos los accesorios para su instalación)</v>
      </c>
      <c r="I149" t="str">
        <v>M2</v>
      </c>
      <c r="J149">
        <v>83.5</v>
      </c>
      <c r="K149">
        <v>608913</v>
      </c>
      <c r="L149">
        <f t="shared" si="12"/>
        <v>0</v>
      </c>
      <c r="M149">
        <f t="shared" si="13"/>
        <v>0</v>
      </c>
      <c r="N149" s="119">
        <f t="shared" si="14"/>
        <v>83.5</v>
      </c>
      <c r="O149">
        <f t="shared" si="10"/>
        <v>0</v>
      </c>
    </row>
    <row r="150" spans="2:15" ht="14.25" customHeight="1" x14ac:dyDescent="0.25">
      <c r="B150" s="74">
        <v>12</v>
      </c>
      <c r="C150" s="75" t="s">
        <v>264</v>
      </c>
      <c r="D150" s="76"/>
      <c r="E150" s="77"/>
      <c r="F150" s="78"/>
      <c r="G150" s="89">
        <f t="shared" si="11"/>
        <v>0</v>
      </c>
      <c r="H150" s="118" t="str">
        <f t="array" ref="H150:K150">_xlfn.XLOOKUP(C150,'ESAP NEIVA FASE II UNIFICADO'!$C$6:$C$720,'ESAP NEIVA FASE II UNIFICADO'!$C$6:$F$720,"NO ESTA")</f>
        <v xml:space="preserve">RED HIDRÁULICO Y SANITARIO </v>
      </c>
      <c r="I150">
        <v>0</v>
      </c>
      <c r="J150">
        <v>0</v>
      </c>
      <c r="K150">
        <v>0</v>
      </c>
      <c r="L150">
        <f t="shared" si="12"/>
        <v>1</v>
      </c>
      <c r="M150">
        <f t="shared" si="13"/>
        <v>0</v>
      </c>
      <c r="N150" s="119">
        <f t="shared" si="14"/>
        <v>0</v>
      </c>
      <c r="O150">
        <f t="shared" si="10"/>
        <v>0</v>
      </c>
    </row>
    <row r="151" spans="2:15" ht="15" customHeight="1" x14ac:dyDescent="0.25">
      <c r="B151" s="80" t="s">
        <v>265</v>
      </c>
      <c r="C151" s="81" t="s">
        <v>266</v>
      </c>
      <c r="D151" s="82"/>
      <c r="E151" s="83"/>
      <c r="F151" s="90"/>
      <c r="G151" s="89">
        <f t="shared" si="11"/>
        <v>0</v>
      </c>
      <c r="H151" s="118" t="str">
        <f t="array" ref="H151:K151">_xlfn.XLOOKUP(C151,'ESAP NEIVA FASE II UNIFICADO'!$C$6:$C$720,'ESAP NEIVA FASE II UNIFICADO'!$C$6:$F$720,"NO ESTA")</f>
        <v>SUMINISTRO E INSTALACIÓN RED AGUA POTABLE</v>
      </c>
      <c r="I151">
        <v>0</v>
      </c>
      <c r="J151">
        <v>0</v>
      </c>
      <c r="K151">
        <v>0</v>
      </c>
      <c r="L151">
        <f t="shared" si="12"/>
        <v>1</v>
      </c>
      <c r="M151">
        <f t="shared" si="13"/>
        <v>0</v>
      </c>
      <c r="N151" s="119">
        <f t="shared" si="14"/>
        <v>0</v>
      </c>
      <c r="O151">
        <f t="shared" si="10"/>
        <v>0</v>
      </c>
    </row>
    <row r="152" spans="2:15" ht="15" customHeight="1" x14ac:dyDescent="0.25">
      <c r="B152" s="86" t="s">
        <v>267</v>
      </c>
      <c r="C152" s="87" t="s">
        <v>268</v>
      </c>
      <c r="D152" s="82" t="s">
        <v>269</v>
      </c>
      <c r="E152" s="83">
        <v>45</v>
      </c>
      <c r="F152" s="88">
        <v>11732</v>
      </c>
      <c r="G152" s="89">
        <f t="shared" si="11"/>
        <v>527940</v>
      </c>
      <c r="H152" s="118" t="str">
        <f t="array" ref="H152:K152">_xlfn.XLOOKUP(C152,'ESAP NEIVA FASE II UNIFICADO'!$C$6:$C$720,'ESAP NEIVA FASE II UNIFICADO'!$C$6:$F$720,"NO ESTA")</f>
        <v>SUMINISTRO E INSTALACIÓN TUBERIA PVC-P DIAMETRO 1/2" RDE 9</v>
      </c>
      <c r="I152" t="str">
        <v xml:space="preserve">ML   </v>
      </c>
      <c r="J152">
        <v>121</v>
      </c>
      <c r="K152">
        <v>12676</v>
      </c>
      <c r="L152">
        <f t="shared" si="12"/>
        <v>0</v>
      </c>
      <c r="M152">
        <f t="shared" si="13"/>
        <v>0</v>
      </c>
      <c r="N152" s="119">
        <f t="shared" si="14"/>
        <v>45</v>
      </c>
      <c r="O152">
        <f t="shared" si="10"/>
        <v>0</v>
      </c>
    </row>
    <row r="153" spans="2:15" ht="15" customHeight="1" x14ac:dyDescent="0.25">
      <c r="B153" s="86" t="s">
        <v>270</v>
      </c>
      <c r="C153" s="87" t="s">
        <v>271</v>
      </c>
      <c r="D153" s="82" t="s">
        <v>269</v>
      </c>
      <c r="E153" s="83">
        <v>18</v>
      </c>
      <c r="F153" s="88">
        <v>17455</v>
      </c>
      <c r="G153" s="89">
        <f t="shared" si="11"/>
        <v>314190</v>
      </c>
      <c r="H153" s="118" t="str">
        <f t="array" ref="H153:K153">_xlfn.XLOOKUP(C153,'ESAP NEIVA FASE II UNIFICADO'!$C$6:$C$720,'ESAP NEIVA FASE II UNIFICADO'!$C$6:$F$720,"NO ESTA")</f>
        <v>SUMINISTRO E INSTALACIÓN TUBERIA PCV-P DIAMETRO 3/4" RDE 11</v>
      </c>
      <c r="I153" t="str">
        <v xml:space="preserve">ML   </v>
      </c>
      <c r="J153">
        <v>49</v>
      </c>
      <c r="K153">
        <v>18861</v>
      </c>
      <c r="L153">
        <f t="shared" si="12"/>
        <v>0</v>
      </c>
      <c r="M153">
        <f t="shared" si="13"/>
        <v>0</v>
      </c>
      <c r="N153" s="119">
        <f t="shared" si="14"/>
        <v>18</v>
      </c>
      <c r="O153">
        <f t="shared" si="10"/>
        <v>0</v>
      </c>
    </row>
    <row r="154" spans="2:15" ht="15" customHeight="1" x14ac:dyDescent="0.25">
      <c r="B154" s="86" t="s">
        <v>272</v>
      </c>
      <c r="C154" s="87" t="s">
        <v>273</v>
      </c>
      <c r="D154" s="82" t="s">
        <v>269</v>
      </c>
      <c r="E154" s="83">
        <v>15</v>
      </c>
      <c r="F154" s="88">
        <v>18509</v>
      </c>
      <c r="G154" s="89">
        <f t="shared" si="11"/>
        <v>277635</v>
      </c>
      <c r="H154" s="118" t="str">
        <f t="array" ref="H154:K154">_xlfn.XLOOKUP(C154,'ESAP NEIVA FASE II UNIFICADO'!$C$6:$C$720,'ESAP NEIVA FASE II UNIFICADO'!$C$6:$F$720,"NO ESTA")</f>
        <v>SUMINISTRO E INSTALACIÓN TUBERIA PCV-P DIAMETRO 1" RDE 13,5</v>
      </c>
      <c r="I154" t="str">
        <v xml:space="preserve">ML   </v>
      </c>
      <c r="J154">
        <v>40</v>
      </c>
      <c r="K154">
        <v>19999</v>
      </c>
      <c r="L154">
        <f t="shared" si="12"/>
        <v>0</v>
      </c>
      <c r="M154">
        <f t="shared" si="13"/>
        <v>0</v>
      </c>
      <c r="N154" s="119">
        <f t="shared" si="14"/>
        <v>15</v>
      </c>
      <c r="O154">
        <f t="shared" si="10"/>
        <v>0</v>
      </c>
    </row>
    <row r="155" spans="2:15" ht="15" customHeight="1" x14ac:dyDescent="0.25">
      <c r="B155" s="86" t="s">
        <v>274</v>
      </c>
      <c r="C155" s="87" t="s">
        <v>275</v>
      </c>
      <c r="D155" s="82" t="s">
        <v>269</v>
      </c>
      <c r="E155" s="83">
        <v>23</v>
      </c>
      <c r="F155" s="88">
        <v>19662</v>
      </c>
      <c r="G155" s="89">
        <f t="shared" si="11"/>
        <v>452226</v>
      </c>
      <c r="H155" s="118" t="str">
        <f t="array" ref="H155:K155">_xlfn.XLOOKUP(C155,'ESAP NEIVA FASE II UNIFICADO'!$C$6:$C$720,'ESAP NEIVA FASE II UNIFICADO'!$C$6:$F$720,"NO ESTA")</f>
        <v>SUMINISTRO E INSTALACIÓN TUBERIA PCV-P DIAMETRO 1 1/4" RDE 21</v>
      </c>
      <c r="I155" t="str">
        <v xml:space="preserve">ML   </v>
      </c>
      <c r="J155">
        <v>64</v>
      </c>
      <c r="K155">
        <v>21245</v>
      </c>
      <c r="L155">
        <f t="shared" si="12"/>
        <v>0</v>
      </c>
      <c r="M155">
        <f t="shared" si="13"/>
        <v>0</v>
      </c>
      <c r="N155" s="119">
        <f t="shared" si="14"/>
        <v>23</v>
      </c>
      <c r="O155">
        <f t="shared" si="10"/>
        <v>0</v>
      </c>
    </row>
    <row r="156" spans="2:15" ht="15" customHeight="1" x14ac:dyDescent="0.25">
      <c r="B156" s="86" t="s">
        <v>276</v>
      </c>
      <c r="C156" s="87" t="s">
        <v>277</v>
      </c>
      <c r="D156" s="82" t="s">
        <v>269</v>
      </c>
      <c r="E156" s="83">
        <v>21</v>
      </c>
      <c r="F156" s="88">
        <v>25274</v>
      </c>
      <c r="G156" s="89">
        <f t="shared" si="11"/>
        <v>530754</v>
      </c>
      <c r="H156" s="118" t="str">
        <f t="array" ref="H156:K156">_xlfn.XLOOKUP(C156,'ESAP NEIVA FASE II UNIFICADO'!$C$6:$C$720,'ESAP NEIVA FASE II UNIFICADO'!$C$6:$F$720,"NO ESTA")</f>
        <v>SUMINISTRO E INSTALACIÓN TUBERIA PCV-P DIAMETRO 1 1/2" RDE 21</v>
      </c>
      <c r="I156" t="str">
        <v xml:space="preserve">ML   </v>
      </c>
      <c r="J156">
        <v>57</v>
      </c>
      <c r="K156">
        <v>27309</v>
      </c>
      <c r="L156">
        <f t="shared" si="12"/>
        <v>0</v>
      </c>
      <c r="M156">
        <f t="shared" si="13"/>
        <v>0</v>
      </c>
      <c r="N156" s="119">
        <f t="shared" si="14"/>
        <v>21</v>
      </c>
      <c r="O156">
        <f t="shared" si="10"/>
        <v>0</v>
      </c>
    </row>
    <row r="157" spans="2:15" ht="15" customHeight="1" x14ac:dyDescent="0.25">
      <c r="B157" s="86" t="s">
        <v>278</v>
      </c>
      <c r="C157" s="87" t="s">
        <v>279</v>
      </c>
      <c r="D157" s="82" t="s">
        <v>269</v>
      </c>
      <c r="E157" s="83">
        <v>33</v>
      </c>
      <c r="F157" s="88">
        <v>36185</v>
      </c>
      <c r="G157" s="89">
        <f t="shared" si="11"/>
        <v>1194105</v>
      </c>
      <c r="H157" s="118" t="str">
        <f t="array" ref="H157:K157">_xlfn.XLOOKUP(C157,'ESAP NEIVA FASE II UNIFICADO'!$C$6:$C$720,'ESAP NEIVA FASE II UNIFICADO'!$C$6:$F$720,"NO ESTA")</f>
        <v>SUMINISTRO E INSTALACIÓN TUBERIA PCV-P DIAMETRO 2" RDE 21</v>
      </c>
      <c r="I157" t="str">
        <v xml:space="preserve">ML   </v>
      </c>
      <c r="J157">
        <v>90</v>
      </c>
      <c r="K157">
        <v>39097</v>
      </c>
      <c r="L157">
        <f t="shared" si="12"/>
        <v>0</v>
      </c>
      <c r="M157">
        <f t="shared" si="13"/>
        <v>0</v>
      </c>
      <c r="N157" s="119">
        <f t="shared" si="14"/>
        <v>33</v>
      </c>
      <c r="O157">
        <f t="shared" si="10"/>
        <v>0</v>
      </c>
    </row>
    <row r="158" spans="2:15" ht="15" customHeight="1" x14ac:dyDescent="0.25">
      <c r="B158" s="86" t="s">
        <v>280</v>
      </c>
      <c r="C158" s="87" t="s">
        <v>281</v>
      </c>
      <c r="D158" s="82" t="s">
        <v>269</v>
      </c>
      <c r="E158" s="83">
        <v>7</v>
      </c>
      <c r="F158" s="88">
        <v>48841</v>
      </c>
      <c r="G158" s="89">
        <f t="shared" si="11"/>
        <v>341887</v>
      </c>
      <c r="H158" s="118" t="str">
        <f t="array" ref="H158:K158">_xlfn.XLOOKUP(C158,'ESAP NEIVA FASE II UNIFICADO'!$C$6:$C$720,'ESAP NEIVA FASE II UNIFICADO'!$C$6:$F$720,"NO ESTA")</f>
        <v>SUMINISTRO E INSTALACIÓN TUBERIA PCV-P DIAMETRO 2 1/2" RDE 21</v>
      </c>
      <c r="I158" t="str">
        <v xml:space="preserve">ML   </v>
      </c>
      <c r="J158">
        <v>18</v>
      </c>
      <c r="K158">
        <v>52773</v>
      </c>
      <c r="L158">
        <f t="shared" si="12"/>
        <v>0</v>
      </c>
      <c r="M158">
        <f t="shared" si="13"/>
        <v>0</v>
      </c>
      <c r="N158" s="119">
        <f t="shared" si="14"/>
        <v>7</v>
      </c>
      <c r="O158">
        <f t="shared" si="10"/>
        <v>0</v>
      </c>
    </row>
    <row r="159" spans="2:15" ht="15" customHeight="1" x14ac:dyDescent="0.25">
      <c r="B159" s="86" t="s">
        <v>282</v>
      </c>
      <c r="C159" s="87" t="s">
        <v>283</v>
      </c>
      <c r="D159" s="82" t="s">
        <v>284</v>
      </c>
      <c r="E159" s="83">
        <v>39</v>
      </c>
      <c r="F159" s="88">
        <v>3037</v>
      </c>
      <c r="G159" s="89">
        <f t="shared" si="11"/>
        <v>118443</v>
      </c>
      <c r="H159" s="118" t="str">
        <f t="array" ref="H159:K159">_xlfn.XLOOKUP(C159,'ESAP NEIVA FASE II UNIFICADO'!$C$6:$C$720,'ESAP NEIVA FASE II UNIFICADO'!$C$6:$F$720,"NO ESTA")</f>
        <v>SUMINISTRO E INSTALACIÓN ACCESORIOS PVC-P 1/2" SCH 40</v>
      </c>
      <c r="I159" t="str">
        <v xml:space="preserve">UN   </v>
      </c>
      <c r="J159">
        <v>105</v>
      </c>
      <c r="K159">
        <v>3281</v>
      </c>
      <c r="L159">
        <f t="shared" si="12"/>
        <v>0</v>
      </c>
      <c r="M159">
        <f t="shared" si="13"/>
        <v>0</v>
      </c>
      <c r="N159" s="119">
        <f t="shared" si="14"/>
        <v>39</v>
      </c>
      <c r="O159">
        <f t="shared" si="10"/>
        <v>0</v>
      </c>
    </row>
    <row r="160" spans="2:15" ht="15" customHeight="1" x14ac:dyDescent="0.25">
      <c r="B160" s="86" t="s">
        <v>285</v>
      </c>
      <c r="C160" s="87" t="s">
        <v>286</v>
      </c>
      <c r="D160" s="82" t="s">
        <v>284</v>
      </c>
      <c r="E160" s="83">
        <v>14</v>
      </c>
      <c r="F160" s="88">
        <v>3606</v>
      </c>
      <c r="G160" s="89">
        <f t="shared" si="11"/>
        <v>50484</v>
      </c>
      <c r="H160" s="118" t="str">
        <f t="array" ref="H160:K160">_xlfn.XLOOKUP(C160,'ESAP NEIVA FASE II UNIFICADO'!$C$6:$C$720,'ESAP NEIVA FASE II UNIFICADO'!$C$6:$F$720,"NO ESTA")</f>
        <v>SUMINISTRO E INSTALACIÓN ACCESORIOS PVC-P 3/4" SCH 40</v>
      </c>
      <c r="I160" t="str">
        <v xml:space="preserve">UN   </v>
      </c>
      <c r="J160">
        <v>38</v>
      </c>
      <c r="K160">
        <v>3896</v>
      </c>
      <c r="L160">
        <f t="shared" si="12"/>
        <v>0</v>
      </c>
      <c r="M160">
        <f t="shared" si="13"/>
        <v>0</v>
      </c>
      <c r="N160" s="119">
        <f t="shared" si="14"/>
        <v>14</v>
      </c>
      <c r="O160">
        <f t="shared" si="10"/>
        <v>0</v>
      </c>
    </row>
    <row r="161" spans="2:15" ht="15" customHeight="1" x14ac:dyDescent="0.25">
      <c r="B161" s="86" t="s">
        <v>287</v>
      </c>
      <c r="C161" s="87" t="s">
        <v>288</v>
      </c>
      <c r="D161" s="82" t="s">
        <v>284</v>
      </c>
      <c r="E161" s="83">
        <v>11</v>
      </c>
      <c r="F161" s="88">
        <v>4260</v>
      </c>
      <c r="G161" s="89">
        <f t="shared" si="11"/>
        <v>46860</v>
      </c>
      <c r="H161" s="118" t="str">
        <f t="array" ref="H161:K161">_xlfn.XLOOKUP(C161,'ESAP NEIVA FASE II UNIFICADO'!$C$6:$C$720,'ESAP NEIVA FASE II UNIFICADO'!$C$6:$F$720,"NO ESTA")</f>
        <v>SUMINISTRO E INSTALACIÓN ACCESORIOS PVC-P 1" SCH 40</v>
      </c>
      <c r="I161" t="str">
        <v xml:space="preserve">UN   </v>
      </c>
      <c r="J161">
        <v>30</v>
      </c>
      <c r="K161">
        <v>4602</v>
      </c>
      <c r="L161">
        <f t="shared" si="12"/>
        <v>0</v>
      </c>
      <c r="M161">
        <f t="shared" si="13"/>
        <v>0</v>
      </c>
      <c r="N161" s="119">
        <f t="shared" si="14"/>
        <v>11</v>
      </c>
      <c r="O161">
        <f t="shared" si="10"/>
        <v>0</v>
      </c>
    </row>
    <row r="162" spans="2:15" ht="15" customHeight="1" x14ac:dyDescent="0.25">
      <c r="B162" s="86" t="s">
        <v>289</v>
      </c>
      <c r="C162" s="87" t="s">
        <v>290</v>
      </c>
      <c r="D162" s="82" t="s">
        <v>284</v>
      </c>
      <c r="E162" s="83">
        <v>35</v>
      </c>
      <c r="F162" s="88">
        <v>6724</v>
      </c>
      <c r="G162" s="89">
        <f t="shared" si="11"/>
        <v>235340</v>
      </c>
      <c r="H162" s="118" t="str">
        <f t="array" ref="H162:K162">_xlfn.XLOOKUP(C162,'ESAP NEIVA FASE II UNIFICADO'!$C$6:$C$720,'ESAP NEIVA FASE II UNIFICADO'!$C$6:$F$720,"NO ESTA")</f>
        <v>SUMINISTRO E INSTALACIÓN ACCESORIOS PVC-P 1 1/4" SCH 40</v>
      </c>
      <c r="I162" t="str">
        <v xml:space="preserve">UN   </v>
      </c>
      <c r="J162">
        <v>96</v>
      </c>
      <c r="K162">
        <v>7266</v>
      </c>
      <c r="L162">
        <f t="shared" si="12"/>
        <v>0</v>
      </c>
      <c r="M162">
        <f t="shared" si="13"/>
        <v>0</v>
      </c>
      <c r="N162" s="119">
        <f t="shared" si="14"/>
        <v>35</v>
      </c>
      <c r="O162">
        <f t="shared" si="10"/>
        <v>0</v>
      </c>
    </row>
    <row r="163" spans="2:15" ht="15" customHeight="1" x14ac:dyDescent="0.25">
      <c r="B163" s="86" t="s">
        <v>291</v>
      </c>
      <c r="C163" s="87" t="s">
        <v>292</v>
      </c>
      <c r="D163" s="82" t="s">
        <v>284</v>
      </c>
      <c r="E163" s="83">
        <v>30</v>
      </c>
      <c r="F163" s="88">
        <v>8290</v>
      </c>
      <c r="G163" s="89">
        <f t="shared" si="11"/>
        <v>248700</v>
      </c>
      <c r="H163" s="118" t="str">
        <f t="array" ref="H163:K163">_xlfn.XLOOKUP(C163,'ESAP NEIVA FASE II UNIFICADO'!$C$6:$C$720,'ESAP NEIVA FASE II UNIFICADO'!$C$6:$F$720,"NO ESTA")</f>
        <v xml:space="preserve">SUMINISTRO E INSTALACIÓN ACCESORIOS PVC-P 1 1/2" SCH 40                                                </v>
      </c>
      <c r="I163" t="str">
        <v xml:space="preserve">UN   </v>
      </c>
      <c r="J163">
        <v>82</v>
      </c>
      <c r="K163">
        <v>8958</v>
      </c>
      <c r="L163">
        <f t="shared" si="12"/>
        <v>0</v>
      </c>
      <c r="M163">
        <f t="shared" si="13"/>
        <v>0</v>
      </c>
      <c r="N163" s="119">
        <f t="shared" si="14"/>
        <v>30</v>
      </c>
      <c r="O163">
        <f t="shared" si="10"/>
        <v>0</v>
      </c>
    </row>
    <row r="164" spans="2:15" ht="15" customHeight="1" x14ac:dyDescent="0.25">
      <c r="B164" s="86" t="s">
        <v>293</v>
      </c>
      <c r="C164" s="87" t="s">
        <v>294</v>
      </c>
      <c r="D164" s="82" t="s">
        <v>284</v>
      </c>
      <c r="E164" s="83">
        <v>21</v>
      </c>
      <c r="F164" s="88">
        <v>11299</v>
      </c>
      <c r="G164" s="89">
        <f t="shared" si="11"/>
        <v>237279</v>
      </c>
      <c r="H164" s="118" t="str">
        <f t="array" ref="H164:K164">_xlfn.XLOOKUP(C164,'ESAP NEIVA FASE II UNIFICADO'!$C$6:$C$720,'ESAP NEIVA FASE II UNIFICADO'!$C$6:$F$720,"NO ESTA")</f>
        <v>SUMINISTRO E INSTALACIÓN ACCESORIOS PVC-P 2" SCH 40</v>
      </c>
      <c r="I164" t="str">
        <v xml:space="preserve">UN   </v>
      </c>
      <c r="J164">
        <v>55</v>
      </c>
      <c r="K164">
        <v>12209</v>
      </c>
      <c r="L164">
        <f t="shared" si="12"/>
        <v>0</v>
      </c>
      <c r="M164">
        <f t="shared" si="13"/>
        <v>0</v>
      </c>
      <c r="N164" s="119">
        <f t="shared" si="14"/>
        <v>21</v>
      </c>
      <c r="O164">
        <f t="shared" si="10"/>
        <v>0</v>
      </c>
    </row>
    <row r="165" spans="2:15" ht="15" customHeight="1" x14ac:dyDescent="0.25">
      <c r="B165" s="86" t="s">
        <v>295</v>
      </c>
      <c r="C165" s="87" t="s">
        <v>296</v>
      </c>
      <c r="D165" s="82" t="s">
        <v>284</v>
      </c>
      <c r="E165" s="83">
        <v>4</v>
      </c>
      <c r="F165" s="88">
        <v>27497</v>
      </c>
      <c r="G165" s="89">
        <f t="shared" si="11"/>
        <v>109988</v>
      </c>
      <c r="H165" s="118" t="str">
        <f t="array" ref="H165:K165">_xlfn.XLOOKUP(C165,'ESAP NEIVA FASE II UNIFICADO'!$C$6:$C$720,'ESAP NEIVA FASE II UNIFICADO'!$C$6:$F$720,"NO ESTA")</f>
        <v xml:space="preserve">SUMINISTRO E INSTALACIÓN ACCESORIOS PVC-P 2 1/2" SCH 40                                           </v>
      </c>
      <c r="I165" t="str">
        <v xml:space="preserve">UN   </v>
      </c>
      <c r="J165">
        <v>12</v>
      </c>
      <c r="K165">
        <v>29710</v>
      </c>
      <c r="L165">
        <f t="shared" si="12"/>
        <v>0</v>
      </c>
      <c r="M165">
        <f t="shared" si="13"/>
        <v>0</v>
      </c>
      <c r="N165" s="119">
        <f t="shared" si="14"/>
        <v>4</v>
      </c>
      <c r="O165">
        <f t="shared" si="10"/>
        <v>0</v>
      </c>
    </row>
    <row r="166" spans="2:15" ht="15" customHeight="1" x14ac:dyDescent="0.25">
      <c r="B166" s="86" t="s">
        <v>297</v>
      </c>
      <c r="C166" s="87" t="s">
        <v>298</v>
      </c>
      <c r="D166" s="82" t="s">
        <v>284</v>
      </c>
      <c r="E166" s="83">
        <v>18</v>
      </c>
      <c r="F166" s="88">
        <v>1578</v>
      </c>
      <c r="G166" s="89">
        <f t="shared" si="11"/>
        <v>28404</v>
      </c>
      <c r="H166" s="118" t="str">
        <f t="array" ref="H166:K166">_xlfn.XLOOKUP(C166,'ESAP NEIVA FASE II UNIFICADO'!$C$6:$C$720,'ESAP NEIVA FASE II UNIFICADO'!$C$6:$F$720,"NO ESTA")</f>
        <v xml:space="preserve">SUMINISTRO E INSTALACIÓN SOPORTE DE 1/2"                                                                 </v>
      </c>
      <c r="I166" t="str">
        <v xml:space="preserve">UN   </v>
      </c>
      <c r="J166">
        <v>49</v>
      </c>
      <c r="K166">
        <v>1705</v>
      </c>
      <c r="L166">
        <f t="shared" si="12"/>
        <v>0</v>
      </c>
      <c r="M166">
        <f t="shared" si="13"/>
        <v>0</v>
      </c>
      <c r="N166" s="119">
        <f t="shared" si="14"/>
        <v>18</v>
      </c>
      <c r="O166">
        <f t="shared" si="10"/>
        <v>0</v>
      </c>
    </row>
    <row r="167" spans="2:15" ht="15" customHeight="1" x14ac:dyDescent="0.25">
      <c r="B167" s="86" t="s">
        <v>299</v>
      </c>
      <c r="C167" s="87" t="s">
        <v>300</v>
      </c>
      <c r="D167" s="82" t="s">
        <v>284</v>
      </c>
      <c r="E167" s="83">
        <v>6</v>
      </c>
      <c r="F167" s="88">
        <v>2120</v>
      </c>
      <c r="G167" s="89">
        <f t="shared" si="11"/>
        <v>12720</v>
      </c>
      <c r="H167" s="118" t="str">
        <f t="array" ref="H167:K167">_xlfn.XLOOKUP(C167,'ESAP NEIVA FASE II UNIFICADO'!$C$6:$C$720,'ESAP NEIVA FASE II UNIFICADO'!$C$6:$F$720,"NO ESTA")</f>
        <v xml:space="preserve">SUMINISTRO E INSTALACIÓN SOPORTE DE 3/4"                                                                 </v>
      </c>
      <c r="I167" t="str">
        <v xml:space="preserve">UN   </v>
      </c>
      <c r="J167">
        <v>18</v>
      </c>
      <c r="K167">
        <v>2289</v>
      </c>
      <c r="L167">
        <f t="shared" si="12"/>
        <v>0</v>
      </c>
      <c r="M167">
        <f t="shared" si="13"/>
        <v>0</v>
      </c>
      <c r="N167" s="119">
        <f t="shared" si="14"/>
        <v>6</v>
      </c>
      <c r="O167">
        <f t="shared" si="10"/>
        <v>0</v>
      </c>
    </row>
    <row r="168" spans="2:15" ht="15" customHeight="1" x14ac:dyDescent="0.25">
      <c r="B168" s="86" t="s">
        <v>301</v>
      </c>
      <c r="C168" s="87" t="s">
        <v>302</v>
      </c>
      <c r="D168" s="82" t="s">
        <v>284</v>
      </c>
      <c r="E168" s="83">
        <v>6</v>
      </c>
      <c r="F168" s="88">
        <v>2555</v>
      </c>
      <c r="G168" s="89">
        <f t="shared" si="11"/>
        <v>15330</v>
      </c>
      <c r="H168" s="118" t="str">
        <f t="array" ref="H168:K168">_xlfn.XLOOKUP(C168,'ESAP NEIVA FASE II UNIFICADO'!$C$6:$C$720,'ESAP NEIVA FASE II UNIFICADO'!$C$6:$F$720,"NO ESTA")</f>
        <v xml:space="preserve">SUMINISTRO E INSTALACIÓN SOPORTE DE 1"                                                                   </v>
      </c>
      <c r="I168" t="str">
        <v xml:space="preserve">UN   </v>
      </c>
      <c r="J168">
        <v>18</v>
      </c>
      <c r="K168">
        <v>2761</v>
      </c>
      <c r="L168">
        <f t="shared" si="12"/>
        <v>0</v>
      </c>
      <c r="M168">
        <f t="shared" si="13"/>
        <v>0</v>
      </c>
      <c r="N168" s="119">
        <f t="shared" si="14"/>
        <v>6</v>
      </c>
      <c r="O168">
        <f t="shared" si="10"/>
        <v>0</v>
      </c>
    </row>
    <row r="169" spans="2:15" ht="15" customHeight="1" x14ac:dyDescent="0.25">
      <c r="B169" s="86" t="s">
        <v>303</v>
      </c>
      <c r="C169" s="87" t="s">
        <v>304</v>
      </c>
      <c r="D169" s="82" t="s">
        <v>284</v>
      </c>
      <c r="E169" s="83">
        <v>10</v>
      </c>
      <c r="F169" s="88">
        <v>2898</v>
      </c>
      <c r="G169" s="89">
        <f t="shared" si="11"/>
        <v>28980</v>
      </c>
      <c r="H169" s="118" t="str">
        <f t="array" ref="H169:K169">_xlfn.XLOOKUP(C169,'ESAP NEIVA FASE II UNIFICADO'!$C$6:$C$720,'ESAP NEIVA FASE II UNIFICADO'!$C$6:$F$720,"NO ESTA")</f>
        <v xml:space="preserve">SUMINISTRO E INSTALACIÓN SOPORTE DE 1 1/4"                                                               </v>
      </c>
      <c r="I169" t="str">
        <v xml:space="preserve">UN   </v>
      </c>
      <c r="J169">
        <v>26</v>
      </c>
      <c r="K169">
        <v>3131</v>
      </c>
      <c r="L169">
        <f t="shared" si="12"/>
        <v>0</v>
      </c>
      <c r="M169">
        <f t="shared" si="13"/>
        <v>0</v>
      </c>
      <c r="N169" s="119">
        <f t="shared" si="14"/>
        <v>10</v>
      </c>
      <c r="O169">
        <f t="shared" si="10"/>
        <v>0</v>
      </c>
    </row>
    <row r="170" spans="2:15" ht="15" customHeight="1" x14ac:dyDescent="0.25">
      <c r="B170" s="86" t="s">
        <v>305</v>
      </c>
      <c r="C170" s="87" t="s">
        <v>306</v>
      </c>
      <c r="D170" s="82" t="s">
        <v>284</v>
      </c>
      <c r="E170" s="83">
        <v>9</v>
      </c>
      <c r="F170" s="88">
        <v>3509</v>
      </c>
      <c r="G170" s="89">
        <f t="shared" si="11"/>
        <v>31581</v>
      </c>
      <c r="H170" s="118" t="str">
        <f t="array" ref="H170:K170">_xlfn.XLOOKUP(C170,'ESAP NEIVA FASE II UNIFICADO'!$C$6:$C$720,'ESAP NEIVA FASE II UNIFICADO'!$C$6:$F$720,"NO ESTA")</f>
        <v xml:space="preserve">SUMINISTRO E INSTALACIÓN SOPORTE DE 1 1/2"                                                               </v>
      </c>
      <c r="I170" t="str">
        <v xml:space="preserve">UN   </v>
      </c>
      <c r="J170">
        <v>24</v>
      </c>
      <c r="K170">
        <v>3791</v>
      </c>
      <c r="L170">
        <f t="shared" si="12"/>
        <v>0</v>
      </c>
      <c r="M170">
        <f t="shared" si="13"/>
        <v>0</v>
      </c>
      <c r="N170" s="119">
        <f t="shared" si="14"/>
        <v>9</v>
      </c>
      <c r="O170">
        <f t="shared" si="10"/>
        <v>0</v>
      </c>
    </row>
    <row r="171" spans="2:15" ht="15" customHeight="1" x14ac:dyDescent="0.25">
      <c r="B171" s="86" t="s">
        <v>307</v>
      </c>
      <c r="C171" s="87" t="s">
        <v>308</v>
      </c>
      <c r="D171" s="82" t="s">
        <v>284</v>
      </c>
      <c r="E171" s="83">
        <v>11</v>
      </c>
      <c r="F171" s="88">
        <v>4520</v>
      </c>
      <c r="G171" s="89">
        <f t="shared" si="11"/>
        <v>49720</v>
      </c>
      <c r="H171" s="118" t="str">
        <f t="array" ref="H171:K171">_xlfn.XLOOKUP(C171,'ESAP NEIVA FASE II UNIFICADO'!$C$6:$C$720,'ESAP NEIVA FASE II UNIFICADO'!$C$6:$F$720,"NO ESTA")</f>
        <v xml:space="preserve">SUMINISTRO E INSTALACIÓN SOPORTE DE 2"                                                                   </v>
      </c>
      <c r="I171" t="str">
        <v xml:space="preserve">UN   </v>
      </c>
      <c r="J171">
        <v>31</v>
      </c>
      <c r="K171">
        <v>4884</v>
      </c>
      <c r="L171">
        <f t="shared" si="12"/>
        <v>0</v>
      </c>
      <c r="M171">
        <f t="shared" si="13"/>
        <v>0</v>
      </c>
      <c r="N171" s="119">
        <f t="shared" si="14"/>
        <v>11</v>
      </c>
      <c r="O171">
        <f t="shared" si="10"/>
        <v>0</v>
      </c>
    </row>
    <row r="172" spans="2:15" ht="15" customHeight="1" x14ac:dyDescent="0.25">
      <c r="B172" s="86" t="s">
        <v>309</v>
      </c>
      <c r="C172" s="87" t="s">
        <v>310</v>
      </c>
      <c r="D172" s="82" t="s">
        <v>284</v>
      </c>
      <c r="E172" s="83">
        <v>3</v>
      </c>
      <c r="F172" s="88">
        <v>5223</v>
      </c>
      <c r="G172" s="89">
        <f t="shared" si="11"/>
        <v>15669</v>
      </c>
      <c r="H172" s="118" t="str">
        <f t="array" ref="H172:K172">_xlfn.XLOOKUP(C172,'ESAP NEIVA FASE II UNIFICADO'!$C$6:$C$720,'ESAP NEIVA FASE II UNIFICADO'!$C$6:$F$720,"NO ESTA")</f>
        <v xml:space="preserve">SUMINISTRO E INSTALACIÓN SOPORTE DE 2 1/2"                                                               </v>
      </c>
      <c r="I172" t="str">
        <v xml:space="preserve">UN   </v>
      </c>
      <c r="J172">
        <v>7</v>
      </c>
      <c r="K172">
        <v>5644</v>
      </c>
      <c r="L172">
        <f t="shared" si="12"/>
        <v>0</v>
      </c>
      <c r="M172">
        <f t="shared" si="13"/>
        <v>0</v>
      </c>
      <c r="N172" s="119">
        <f t="shared" si="14"/>
        <v>3</v>
      </c>
      <c r="O172">
        <f t="shared" si="10"/>
        <v>0</v>
      </c>
    </row>
    <row r="173" spans="2:15" ht="15" customHeight="1" x14ac:dyDescent="0.25">
      <c r="B173" s="86" t="s">
        <v>311</v>
      </c>
      <c r="C173" s="87" t="s">
        <v>312</v>
      </c>
      <c r="D173" s="82" t="s">
        <v>284</v>
      </c>
      <c r="E173" s="83">
        <v>15</v>
      </c>
      <c r="F173" s="88">
        <v>59442</v>
      </c>
      <c r="G173" s="89">
        <f t="shared" si="11"/>
        <v>891630</v>
      </c>
      <c r="H173" s="118" t="str">
        <f t="array" ref="H173:K173">_xlfn.XLOOKUP(C173,'ESAP NEIVA FASE II UNIFICADO'!$C$6:$C$720,'ESAP NEIVA FASE II UNIFICADO'!$C$6:$F$720,"NO ESTA")</f>
        <v xml:space="preserve">SUMINISTRO E INSTALACIÓN PUNTO HIDRÁULICO PVC-P 1/2"                                                      </v>
      </c>
      <c r="I173" t="str">
        <v xml:space="preserve">UN   </v>
      </c>
      <c r="J173">
        <v>41</v>
      </c>
      <c r="K173">
        <v>64227</v>
      </c>
      <c r="L173">
        <f t="shared" si="12"/>
        <v>0</v>
      </c>
      <c r="M173">
        <f t="shared" si="13"/>
        <v>0</v>
      </c>
      <c r="N173" s="119">
        <f t="shared" si="14"/>
        <v>15</v>
      </c>
      <c r="O173">
        <f t="shared" si="10"/>
        <v>0</v>
      </c>
    </row>
    <row r="174" spans="2:15" ht="15" customHeight="1" x14ac:dyDescent="0.25">
      <c r="B174" s="86" t="s">
        <v>313</v>
      </c>
      <c r="C174" s="87" t="s">
        <v>314</v>
      </c>
      <c r="D174" s="82" t="s">
        <v>284</v>
      </c>
      <c r="E174" s="83">
        <v>5</v>
      </c>
      <c r="F174" s="88">
        <v>63334</v>
      </c>
      <c r="G174" s="89">
        <f t="shared" si="11"/>
        <v>316670</v>
      </c>
      <c r="H174" s="118" t="str">
        <f t="array" ref="H174:K174">_xlfn.XLOOKUP(C174,'ESAP NEIVA FASE II UNIFICADO'!$C$6:$C$720,'ESAP NEIVA FASE II UNIFICADO'!$C$6:$F$720,"NO ESTA")</f>
        <v xml:space="preserve">SUMINISTRO E INSTALACIÓN PUNTO HIDRÁULICO PVC-P 3/4"                                                      </v>
      </c>
      <c r="I174" t="str">
        <v xml:space="preserve">UN   </v>
      </c>
      <c r="J174">
        <v>14</v>
      </c>
      <c r="K174">
        <v>68433</v>
      </c>
      <c r="L174">
        <f t="shared" si="12"/>
        <v>0</v>
      </c>
      <c r="M174">
        <f t="shared" si="13"/>
        <v>0</v>
      </c>
      <c r="N174" s="119">
        <f t="shared" si="14"/>
        <v>5</v>
      </c>
      <c r="O174">
        <f t="shared" si="10"/>
        <v>0</v>
      </c>
    </row>
    <row r="175" spans="2:15" ht="15" customHeight="1" x14ac:dyDescent="0.25">
      <c r="B175" s="86" t="s">
        <v>315</v>
      </c>
      <c r="C175" s="87" t="s">
        <v>316</v>
      </c>
      <c r="D175" s="82" t="s">
        <v>284</v>
      </c>
      <c r="E175" s="83">
        <v>15</v>
      </c>
      <c r="F175" s="88">
        <v>90180</v>
      </c>
      <c r="G175" s="89">
        <f t="shared" si="11"/>
        <v>1352700</v>
      </c>
      <c r="H175" s="118" t="str">
        <f t="array" ref="H175:K175">_xlfn.XLOOKUP(C175,'ESAP NEIVA FASE II UNIFICADO'!$C$6:$C$720,'ESAP NEIVA FASE II UNIFICADO'!$C$6:$F$720,"NO ESTA")</f>
        <v xml:space="preserve">SUMINISTRO E INSTALACIÓN PUNTO HIDRÁULICO PVC-P 1 1/4"                                                    </v>
      </c>
      <c r="I175" t="str">
        <v xml:space="preserve">UN   </v>
      </c>
      <c r="J175">
        <v>39</v>
      </c>
      <c r="K175">
        <v>97439</v>
      </c>
      <c r="L175">
        <f t="shared" si="12"/>
        <v>0</v>
      </c>
      <c r="M175">
        <f t="shared" si="13"/>
        <v>0</v>
      </c>
      <c r="N175" s="119">
        <f t="shared" si="14"/>
        <v>15</v>
      </c>
      <c r="O175">
        <f t="shared" si="10"/>
        <v>0</v>
      </c>
    </row>
    <row r="176" spans="2:15" ht="15" customHeight="1" x14ac:dyDescent="0.25">
      <c r="B176" s="86" t="s">
        <v>317</v>
      </c>
      <c r="C176" s="87" t="s">
        <v>318</v>
      </c>
      <c r="D176" s="82" t="s">
        <v>284</v>
      </c>
      <c r="E176" s="83">
        <v>5</v>
      </c>
      <c r="F176" s="88">
        <v>58595</v>
      </c>
      <c r="G176" s="89">
        <f t="shared" si="11"/>
        <v>292975</v>
      </c>
      <c r="H176" s="118" t="str">
        <f t="array" ref="H176:K176">_xlfn.XLOOKUP(C176,'ESAP NEIVA FASE II UNIFICADO'!$C$6:$C$720,'ESAP NEIVA FASE II UNIFICADO'!$C$6:$F$720,"NO ESTA")</f>
        <v xml:space="preserve">SUMINISTRO E INSTALACIÓN REGISTRO CORTINA ROSCAR 1/2"                                                   </v>
      </c>
      <c r="I176" t="str">
        <v xml:space="preserve">UN   </v>
      </c>
      <c r="J176">
        <v>12</v>
      </c>
      <c r="K176">
        <v>63313</v>
      </c>
      <c r="L176">
        <f t="shared" si="12"/>
        <v>0</v>
      </c>
      <c r="M176">
        <f t="shared" si="13"/>
        <v>0</v>
      </c>
      <c r="N176" s="119">
        <f t="shared" si="14"/>
        <v>5</v>
      </c>
      <c r="O176">
        <f t="shared" si="10"/>
        <v>0</v>
      </c>
    </row>
    <row r="177" spans="2:15" ht="15" customHeight="1" x14ac:dyDescent="0.25">
      <c r="B177" s="86" t="s">
        <v>319</v>
      </c>
      <c r="C177" s="87" t="s">
        <v>320</v>
      </c>
      <c r="D177" s="82" t="s">
        <v>284</v>
      </c>
      <c r="E177" s="83">
        <v>2</v>
      </c>
      <c r="F177" s="88">
        <v>151859</v>
      </c>
      <c r="G177" s="89">
        <f t="shared" si="11"/>
        <v>303718</v>
      </c>
      <c r="H177" s="118" t="str">
        <f t="array" ref="H177:K177">_xlfn.XLOOKUP(C177,'ESAP NEIVA FASE II UNIFICADO'!$C$6:$C$720,'ESAP NEIVA FASE II UNIFICADO'!$C$6:$F$720,"NO ESTA")</f>
        <v xml:space="preserve">SUMINISTRO E INSTALACIÓN REGISTRO CORTINA P/D ROSCAR 1 1/4"                                                 </v>
      </c>
      <c r="I177" t="str">
        <v xml:space="preserve">UN   </v>
      </c>
      <c r="J177">
        <v>6</v>
      </c>
      <c r="K177">
        <v>164084</v>
      </c>
      <c r="L177">
        <f t="shared" si="12"/>
        <v>0</v>
      </c>
      <c r="M177">
        <f t="shared" si="13"/>
        <v>0</v>
      </c>
      <c r="N177" s="119">
        <f t="shared" si="14"/>
        <v>2</v>
      </c>
      <c r="O177">
        <f t="shared" si="10"/>
        <v>0</v>
      </c>
    </row>
    <row r="178" spans="2:15" ht="15" customHeight="1" x14ac:dyDescent="0.25">
      <c r="B178" s="86" t="s">
        <v>321</v>
      </c>
      <c r="C178" s="87" t="s">
        <v>322</v>
      </c>
      <c r="D178" s="82" t="s">
        <v>284</v>
      </c>
      <c r="E178" s="83">
        <v>2</v>
      </c>
      <c r="F178" s="88">
        <v>206156</v>
      </c>
      <c r="G178" s="89">
        <f t="shared" si="11"/>
        <v>412312</v>
      </c>
      <c r="H178" s="118" t="str">
        <f t="array" ref="H178:K178">_xlfn.XLOOKUP(C178,'ESAP NEIVA FASE II UNIFICADO'!$C$6:$C$720,'ESAP NEIVA FASE II UNIFICADO'!$C$6:$F$720,"NO ESTA")</f>
        <v xml:space="preserve">SUMINISTRO E INSTALACIÓN REGISTRO CORTINA P/D ROSCAR 1 1/2"                                                 </v>
      </c>
      <c r="I178" t="str">
        <v xml:space="preserve">UN   </v>
      </c>
      <c r="J178">
        <v>6</v>
      </c>
      <c r="K178">
        <v>222753</v>
      </c>
      <c r="L178">
        <f t="shared" si="12"/>
        <v>0</v>
      </c>
      <c r="M178">
        <f t="shared" si="13"/>
        <v>0</v>
      </c>
      <c r="N178" s="119">
        <f t="shared" si="14"/>
        <v>2</v>
      </c>
      <c r="O178">
        <f t="shared" si="10"/>
        <v>0</v>
      </c>
    </row>
    <row r="179" spans="2:15" ht="15" customHeight="1" x14ac:dyDescent="0.25">
      <c r="B179" s="86" t="s">
        <v>323</v>
      </c>
      <c r="C179" s="87" t="s">
        <v>324</v>
      </c>
      <c r="D179" s="82" t="s">
        <v>284</v>
      </c>
      <c r="E179" s="83">
        <v>2</v>
      </c>
      <c r="F179" s="88">
        <v>100357</v>
      </c>
      <c r="G179" s="89">
        <f t="shared" si="11"/>
        <v>200714</v>
      </c>
      <c r="H179" s="118" t="str">
        <f t="array" ref="H179:K179">_xlfn.XLOOKUP(C179,'ESAP NEIVA FASE II UNIFICADO'!$C$6:$C$720,'ESAP NEIVA FASE II UNIFICADO'!$C$6:$F$720,"NO ESTA")</f>
        <v xml:space="preserve">SUMINISTRO E INSTALACIÓN VÁLVULA FLOTADOR 1"                                                           </v>
      </c>
      <c r="I179" t="str">
        <v xml:space="preserve">UN   </v>
      </c>
      <c r="J179">
        <v>0</v>
      </c>
      <c r="K179">
        <v>108436</v>
      </c>
      <c r="L179">
        <f t="shared" si="12"/>
        <v>1</v>
      </c>
      <c r="M179">
        <f t="shared" si="13"/>
        <v>100357</v>
      </c>
      <c r="N179" s="119">
        <f t="shared" si="14"/>
        <v>2</v>
      </c>
      <c r="O179">
        <f t="shared" si="10"/>
        <v>200714</v>
      </c>
    </row>
    <row r="180" spans="2:15" ht="15" customHeight="1" x14ac:dyDescent="0.25">
      <c r="B180" s="86" t="s">
        <v>325</v>
      </c>
      <c r="C180" s="87" t="s">
        <v>326</v>
      </c>
      <c r="D180" s="82" t="s">
        <v>284</v>
      </c>
      <c r="E180" s="83">
        <v>1</v>
      </c>
      <c r="F180" s="88">
        <v>156932</v>
      </c>
      <c r="G180" s="89">
        <f t="shared" si="11"/>
        <v>156932</v>
      </c>
      <c r="H180" s="118" t="str">
        <f t="array" ref="H180:K180">_xlfn.XLOOKUP(C180,'ESAP NEIVA FASE II UNIFICADO'!$C$6:$C$720,'ESAP NEIVA FASE II UNIFICADO'!$C$6:$F$720,"NO ESTA")</f>
        <v xml:space="preserve">SUMINISTRO E INSTALACIÓN MEDIDOR VELOCIMETRICO  3/4"                                                   </v>
      </c>
      <c r="I180" t="str">
        <v xml:space="preserve">UN   </v>
      </c>
      <c r="J180">
        <v>0</v>
      </c>
      <c r="K180">
        <v>169565</v>
      </c>
      <c r="L180">
        <f t="shared" si="12"/>
        <v>1</v>
      </c>
      <c r="M180">
        <f t="shared" si="13"/>
        <v>156932</v>
      </c>
      <c r="N180" s="119">
        <f t="shared" si="14"/>
        <v>1</v>
      </c>
      <c r="O180">
        <f t="shared" si="10"/>
        <v>156932</v>
      </c>
    </row>
    <row r="181" spans="2:15" ht="15" customHeight="1" x14ac:dyDescent="0.25">
      <c r="B181" s="80" t="s">
        <v>327</v>
      </c>
      <c r="C181" s="81" t="s">
        <v>328</v>
      </c>
      <c r="D181" s="82"/>
      <c r="E181" s="83"/>
      <c r="F181" s="90"/>
      <c r="G181" s="89">
        <f t="shared" si="11"/>
        <v>0</v>
      </c>
      <c r="H181" s="118" t="str">
        <f t="array" ref="H181:K181">_xlfn.XLOOKUP(C181,'ESAP NEIVA FASE II UNIFICADO'!$C$6:$C$720,'ESAP NEIVA FASE II UNIFICADO'!$C$6:$F$720,"NO ESTA")</f>
        <v xml:space="preserve">SUMINISTRO E INSTALACION RED DESAGÜES AGUAS RESIDUALES                                                                              </v>
      </c>
      <c r="I181">
        <v>0</v>
      </c>
      <c r="J181">
        <v>0</v>
      </c>
      <c r="K181">
        <v>0</v>
      </c>
      <c r="L181">
        <f t="shared" si="12"/>
        <v>1</v>
      </c>
      <c r="M181">
        <f t="shared" si="13"/>
        <v>0</v>
      </c>
      <c r="N181" s="119">
        <f t="shared" si="14"/>
        <v>0</v>
      </c>
      <c r="O181">
        <f t="shared" si="10"/>
        <v>0</v>
      </c>
    </row>
    <row r="182" spans="2:15" ht="15" customHeight="1" x14ac:dyDescent="0.25">
      <c r="B182" s="86" t="s">
        <v>329</v>
      </c>
      <c r="C182" s="87" t="s">
        <v>330</v>
      </c>
      <c r="D182" s="82" t="s">
        <v>269</v>
      </c>
      <c r="E182" s="83">
        <v>12</v>
      </c>
      <c r="F182" s="88">
        <v>22725</v>
      </c>
      <c r="G182" s="89">
        <f t="shared" si="11"/>
        <v>272700</v>
      </c>
      <c r="H182" s="118" t="str">
        <f t="array" ref="H182:K182">_xlfn.XLOOKUP(C182,'ESAP NEIVA FASE II UNIFICADO'!$C$6:$C$720,'ESAP NEIVA FASE II UNIFICADO'!$C$6:$F$720,"NO ESTA")</f>
        <v xml:space="preserve">SUMINISTRO E INSTALACIÓN TUBERIA PVC-S DIAMETRO 2"                                                                        </v>
      </c>
      <c r="I182" t="str">
        <v xml:space="preserve">ML   </v>
      </c>
      <c r="J182">
        <v>34</v>
      </c>
      <c r="K182">
        <v>24554</v>
      </c>
      <c r="L182">
        <f t="shared" si="12"/>
        <v>0</v>
      </c>
      <c r="M182">
        <f t="shared" si="13"/>
        <v>0</v>
      </c>
      <c r="N182" s="119">
        <f t="shared" si="14"/>
        <v>12</v>
      </c>
      <c r="O182">
        <f t="shared" si="10"/>
        <v>0</v>
      </c>
    </row>
    <row r="183" spans="2:15" ht="15" customHeight="1" x14ac:dyDescent="0.25">
      <c r="B183" s="86" t="s">
        <v>331</v>
      </c>
      <c r="C183" s="87" t="s">
        <v>332</v>
      </c>
      <c r="D183" s="82" t="s">
        <v>269</v>
      </c>
      <c r="E183" s="83">
        <v>58</v>
      </c>
      <c r="F183" s="88">
        <v>33443</v>
      </c>
      <c r="G183" s="89">
        <f t="shared" si="11"/>
        <v>1939694</v>
      </c>
      <c r="H183" s="118" t="str">
        <f t="array" ref="H183:K183">_xlfn.XLOOKUP(C183,'ESAP NEIVA FASE II UNIFICADO'!$C$6:$C$720,'ESAP NEIVA FASE II UNIFICADO'!$C$6:$F$720,"NO ESTA")</f>
        <v xml:space="preserve">SUMINISTRO E INSTALACIÓN TUBERIA PVC-S DIAMETRO 3"                                                                        </v>
      </c>
      <c r="I183" t="str">
        <v xml:space="preserve">ML   </v>
      </c>
      <c r="J183">
        <v>157</v>
      </c>
      <c r="K183">
        <v>36135</v>
      </c>
      <c r="L183">
        <f t="shared" si="12"/>
        <v>0</v>
      </c>
      <c r="M183">
        <f t="shared" si="13"/>
        <v>0</v>
      </c>
      <c r="N183" s="119">
        <f t="shared" si="14"/>
        <v>58</v>
      </c>
      <c r="O183">
        <f t="shared" si="10"/>
        <v>0</v>
      </c>
    </row>
    <row r="184" spans="2:15" ht="15" customHeight="1" x14ac:dyDescent="0.25">
      <c r="B184" s="86" t="s">
        <v>333</v>
      </c>
      <c r="C184" s="87" t="s">
        <v>334</v>
      </c>
      <c r="D184" s="82" t="s">
        <v>269</v>
      </c>
      <c r="E184" s="83">
        <v>101</v>
      </c>
      <c r="F184" s="88">
        <v>47709</v>
      </c>
      <c r="G184" s="89">
        <f t="shared" si="11"/>
        <v>4818609</v>
      </c>
      <c r="H184" s="118" t="str">
        <f t="array" ref="H184:K184">_xlfn.XLOOKUP(C184,'ESAP NEIVA FASE II UNIFICADO'!$C$6:$C$720,'ESAP NEIVA FASE II UNIFICADO'!$C$6:$F$720,"NO ESTA")</f>
        <v xml:space="preserve">SUMINISTRO E INSTALACIÓN TUBERÍA PVC-S DIAMETRO 4"                                                                        </v>
      </c>
      <c r="I184" t="str">
        <v xml:space="preserve">ML   </v>
      </c>
      <c r="J184">
        <v>272</v>
      </c>
      <c r="K184">
        <v>51550</v>
      </c>
      <c r="L184">
        <f t="shared" si="12"/>
        <v>0</v>
      </c>
      <c r="M184">
        <f t="shared" si="13"/>
        <v>0</v>
      </c>
      <c r="N184" s="119">
        <f t="shared" si="14"/>
        <v>101</v>
      </c>
      <c r="O184">
        <f t="shared" si="10"/>
        <v>0</v>
      </c>
    </row>
    <row r="185" spans="2:15" ht="15" customHeight="1" x14ac:dyDescent="0.25">
      <c r="B185" s="86" t="s">
        <v>335</v>
      </c>
      <c r="C185" s="87" t="s">
        <v>336</v>
      </c>
      <c r="D185" s="82" t="s">
        <v>269</v>
      </c>
      <c r="E185" s="83">
        <v>26</v>
      </c>
      <c r="F185" s="88">
        <v>19775</v>
      </c>
      <c r="G185" s="89">
        <f t="shared" si="11"/>
        <v>514150</v>
      </c>
      <c r="H185" s="118" t="str">
        <f t="array" ref="H185:K185">_xlfn.XLOOKUP(C185,'ESAP NEIVA FASE II UNIFICADO'!$C$6:$C$720,'ESAP NEIVA FASE II UNIFICADO'!$C$6:$F$720,"NO ESTA")</f>
        <v xml:space="preserve">SUMINISTRO E INSTALACIÓN TUBERIA PVC-VENT DIAMETRO 2"                                                                     </v>
      </c>
      <c r="I185" t="str">
        <v xml:space="preserve">ML   </v>
      </c>
      <c r="J185">
        <v>72</v>
      </c>
      <c r="K185">
        <v>21367</v>
      </c>
      <c r="L185">
        <f t="shared" si="12"/>
        <v>0</v>
      </c>
      <c r="M185">
        <f t="shared" si="13"/>
        <v>0</v>
      </c>
      <c r="N185" s="119">
        <f t="shared" si="14"/>
        <v>26</v>
      </c>
      <c r="O185">
        <f t="shared" si="10"/>
        <v>0</v>
      </c>
    </row>
    <row r="186" spans="2:15" ht="15" customHeight="1" x14ac:dyDescent="0.25">
      <c r="B186" s="86" t="s">
        <v>337</v>
      </c>
      <c r="C186" s="87" t="s">
        <v>338</v>
      </c>
      <c r="D186" s="82" t="s">
        <v>269</v>
      </c>
      <c r="E186" s="83">
        <v>36</v>
      </c>
      <c r="F186" s="88">
        <v>29401</v>
      </c>
      <c r="G186" s="89">
        <f t="shared" si="11"/>
        <v>1058436</v>
      </c>
      <c r="H186" s="118" t="str">
        <f t="array" ref="H186:K186">_xlfn.XLOOKUP(C186,'ESAP NEIVA FASE II UNIFICADO'!$C$6:$C$720,'ESAP NEIVA FASE II UNIFICADO'!$C$6:$F$720,"NO ESTA")</f>
        <v xml:space="preserve">SUMINISTRO E INSTALACIÓN TUBERIA PVC-VENT DIAMETRO 3"                                                                     </v>
      </c>
      <c r="I186" t="str">
        <v xml:space="preserve">ML   </v>
      </c>
      <c r="J186">
        <v>97</v>
      </c>
      <c r="K186">
        <v>31767</v>
      </c>
      <c r="L186">
        <f t="shared" si="12"/>
        <v>0</v>
      </c>
      <c r="M186">
        <f t="shared" si="13"/>
        <v>0</v>
      </c>
      <c r="N186" s="119">
        <f t="shared" si="14"/>
        <v>36</v>
      </c>
      <c r="O186">
        <f t="shared" si="10"/>
        <v>0</v>
      </c>
    </row>
    <row r="187" spans="2:15" ht="15" customHeight="1" x14ac:dyDescent="0.25">
      <c r="B187" s="86" t="s">
        <v>339</v>
      </c>
      <c r="C187" s="87" t="s">
        <v>340</v>
      </c>
      <c r="D187" s="82" t="s">
        <v>284</v>
      </c>
      <c r="E187" s="83">
        <v>45</v>
      </c>
      <c r="F187" s="88">
        <v>6952</v>
      </c>
      <c r="G187" s="89">
        <f t="shared" si="11"/>
        <v>312840</v>
      </c>
      <c r="H187" s="118" t="str">
        <f t="array" ref="H187:K187">_xlfn.XLOOKUP(C187,'ESAP NEIVA FASE II UNIFICADO'!$C$6:$C$720,'ESAP NEIVA FASE II UNIFICADO'!$C$6:$F$720,"NO ESTA")</f>
        <v xml:space="preserve">SUMINISTRO E INSTALACIÓN ACCESORIOS PVC-S DIAMETRO  2"                                                             </v>
      </c>
      <c r="I187" t="str">
        <v xml:space="preserve">UN   </v>
      </c>
      <c r="J187">
        <v>122</v>
      </c>
      <c r="K187">
        <v>7512</v>
      </c>
      <c r="L187">
        <f t="shared" si="12"/>
        <v>0</v>
      </c>
      <c r="M187">
        <f t="shared" si="13"/>
        <v>0</v>
      </c>
      <c r="N187" s="119">
        <f t="shared" si="14"/>
        <v>45</v>
      </c>
      <c r="O187">
        <f t="shared" si="10"/>
        <v>0</v>
      </c>
    </row>
    <row r="188" spans="2:15" ht="15" customHeight="1" x14ac:dyDescent="0.25">
      <c r="B188" s="86" t="s">
        <v>341</v>
      </c>
      <c r="C188" s="87" t="s">
        <v>342</v>
      </c>
      <c r="D188" s="82" t="s">
        <v>284</v>
      </c>
      <c r="E188" s="83">
        <v>60</v>
      </c>
      <c r="F188" s="88">
        <v>9904</v>
      </c>
      <c r="G188" s="89">
        <f t="shared" si="11"/>
        <v>594240</v>
      </c>
      <c r="H188" s="118" t="str">
        <f t="array" ref="H188:K188">_xlfn.XLOOKUP(C188,'ESAP NEIVA FASE II UNIFICADO'!$C$6:$C$720,'ESAP NEIVA FASE II UNIFICADO'!$C$6:$F$720,"NO ESTA")</f>
        <v xml:space="preserve">SUMINISTRO E INSTALACIÓN ACCESORIOS PVC-S DIAMETRO  3"                                                             </v>
      </c>
      <c r="I188" t="str">
        <v xml:space="preserve">UN   </v>
      </c>
      <c r="J188">
        <v>161</v>
      </c>
      <c r="K188">
        <v>10700</v>
      </c>
      <c r="L188">
        <f t="shared" si="12"/>
        <v>0</v>
      </c>
      <c r="M188">
        <f t="shared" si="13"/>
        <v>0</v>
      </c>
      <c r="N188" s="119">
        <f t="shared" si="14"/>
        <v>60</v>
      </c>
      <c r="O188">
        <f t="shared" si="10"/>
        <v>0</v>
      </c>
    </row>
    <row r="189" spans="2:15" ht="15" customHeight="1" x14ac:dyDescent="0.25">
      <c r="B189" s="86" t="s">
        <v>343</v>
      </c>
      <c r="C189" s="87" t="s">
        <v>344</v>
      </c>
      <c r="D189" s="82" t="s">
        <v>284</v>
      </c>
      <c r="E189" s="83">
        <v>106</v>
      </c>
      <c r="F189" s="88">
        <v>14553</v>
      </c>
      <c r="G189" s="89">
        <f t="shared" si="11"/>
        <v>1542618</v>
      </c>
      <c r="H189" s="118" t="str">
        <f t="array" ref="H189:K189">_xlfn.XLOOKUP(C189,'ESAP NEIVA FASE II UNIFICADO'!$C$6:$C$720,'ESAP NEIVA FASE II UNIFICADO'!$C$6:$F$720,"NO ESTA")</f>
        <v xml:space="preserve">SUMINISTRO E INSTALACIÓN ACCESORIOS PVC-S DIAMETRO  4"                                                             </v>
      </c>
      <c r="I189" t="str">
        <v xml:space="preserve">UN   </v>
      </c>
      <c r="J189">
        <v>288</v>
      </c>
      <c r="K189">
        <v>15725</v>
      </c>
      <c r="L189">
        <f t="shared" si="12"/>
        <v>0</v>
      </c>
      <c r="M189">
        <f t="shared" si="13"/>
        <v>0</v>
      </c>
      <c r="N189" s="119">
        <f t="shared" si="14"/>
        <v>106</v>
      </c>
      <c r="O189">
        <f t="shared" si="10"/>
        <v>0</v>
      </c>
    </row>
    <row r="190" spans="2:15" ht="15" customHeight="1" x14ac:dyDescent="0.25">
      <c r="B190" s="86" t="s">
        <v>345</v>
      </c>
      <c r="C190" s="87" t="s">
        <v>346</v>
      </c>
      <c r="D190" s="82" t="s">
        <v>284</v>
      </c>
      <c r="E190" s="83">
        <v>5</v>
      </c>
      <c r="F190" s="88">
        <v>4520</v>
      </c>
      <c r="G190" s="89">
        <f t="shared" si="11"/>
        <v>22600</v>
      </c>
      <c r="H190" s="118" t="str">
        <f t="array" ref="H190:K190">_xlfn.XLOOKUP(C190,'ESAP NEIVA FASE II UNIFICADO'!$C$6:$C$720,'ESAP NEIVA FASE II UNIFICADO'!$C$6:$F$720,"NO ESTA")</f>
        <v xml:space="preserve">SUMINISTRO E INSTALACIÓN SOPORTE 2"                                                                   </v>
      </c>
      <c r="I190" t="str">
        <v xml:space="preserve">UN   </v>
      </c>
      <c r="J190">
        <v>14</v>
      </c>
      <c r="K190">
        <v>4884</v>
      </c>
      <c r="L190">
        <f t="shared" si="12"/>
        <v>0</v>
      </c>
      <c r="M190">
        <f t="shared" si="13"/>
        <v>0</v>
      </c>
      <c r="N190" s="119">
        <f t="shared" si="14"/>
        <v>5</v>
      </c>
      <c r="O190">
        <f t="shared" si="10"/>
        <v>0</v>
      </c>
    </row>
    <row r="191" spans="2:15" ht="15" customHeight="1" x14ac:dyDescent="0.25">
      <c r="B191" s="86" t="s">
        <v>347</v>
      </c>
      <c r="C191" s="87" t="s">
        <v>348</v>
      </c>
      <c r="D191" s="82" t="s">
        <v>284</v>
      </c>
      <c r="E191" s="83">
        <v>23</v>
      </c>
      <c r="F191" s="88">
        <v>5749</v>
      </c>
      <c r="G191" s="89">
        <f t="shared" si="11"/>
        <v>132227</v>
      </c>
      <c r="H191" s="118" t="str">
        <f t="array" ref="H191:K191">_xlfn.XLOOKUP(C191,'ESAP NEIVA FASE II UNIFICADO'!$C$6:$C$720,'ESAP NEIVA FASE II UNIFICADO'!$C$6:$F$720,"NO ESTA")</f>
        <v xml:space="preserve">SUMINISTRO E INSTALACIÓN SOPORTE 3"                                                                   </v>
      </c>
      <c r="I191" t="str">
        <v xml:space="preserve">UN   </v>
      </c>
      <c r="J191">
        <v>64</v>
      </c>
      <c r="K191">
        <v>6212</v>
      </c>
      <c r="L191">
        <f t="shared" si="12"/>
        <v>0</v>
      </c>
      <c r="M191">
        <f t="shared" si="13"/>
        <v>0</v>
      </c>
      <c r="N191" s="119">
        <f t="shared" si="14"/>
        <v>23</v>
      </c>
      <c r="O191">
        <f t="shared" si="10"/>
        <v>0</v>
      </c>
    </row>
    <row r="192" spans="2:15" ht="15" customHeight="1" x14ac:dyDescent="0.25">
      <c r="B192" s="86" t="s">
        <v>349</v>
      </c>
      <c r="C192" s="87" t="s">
        <v>350</v>
      </c>
      <c r="D192" s="82" t="s">
        <v>284</v>
      </c>
      <c r="E192" s="83">
        <v>38</v>
      </c>
      <c r="F192" s="88">
        <v>11411</v>
      </c>
      <c r="G192" s="89">
        <f t="shared" si="11"/>
        <v>433618</v>
      </c>
      <c r="H192" s="118" t="str">
        <f t="array" ref="H192:K192">_xlfn.XLOOKUP(C192,'ESAP NEIVA FASE II UNIFICADO'!$C$6:$C$720,'ESAP NEIVA FASE II UNIFICADO'!$C$6:$F$720,"NO ESTA")</f>
        <v xml:space="preserve">SUMINISTRO E INSTALACIÓN SOPORTE 4"                                                                   </v>
      </c>
      <c r="I192" t="str">
        <v xml:space="preserve">UN   </v>
      </c>
      <c r="J192">
        <v>101</v>
      </c>
      <c r="K192">
        <v>12329</v>
      </c>
      <c r="L192">
        <f t="shared" si="12"/>
        <v>0</v>
      </c>
      <c r="M192">
        <f t="shared" si="13"/>
        <v>0</v>
      </c>
      <c r="N192" s="119">
        <f t="shared" si="14"/>
        <v>38</v>
      </c>
      <c r="O192">
        <f t="shared" si="10"/>
        <v>0</v>
      </c>
    </row>
    <row r="193" spans="2:15" ht="15" customHeight="1" x14ac:dyDescent="0.25">
      <c r="B193" s="86" t="s">
        <v>351</v>
      </c>
      <c r="C193" s="87" t="s">
        <v>352</v>
      </c>
      <c r="D193" s="82" t="s">
        <v>284</v>
      </c>
      <c r="E193" s="83">
        <v>14</v>
      </c>
      <c r="F193" s="88">
        <v>38301</v>
      </c>
      <c r="G193" s="89">
        <f t="shared" si="11"/>
        <v>536214</v>
      </c>
      <c r="H193" s="118" t="str">
        <f t="array" ref="H193:K193">_xlfn.XLOOKUP(C193,'ESAP NEIVA FASE II UNIFICADO'!$C$6:$C$720,'ESAP NEIVA FASE II UNIFICADO'!$C$6:$F$720,"NO ESTA")</f>
        <v xml:space="preserve">SUMINISTRO E INSTALACIÓN SALIDA SANITARIA 2"                                    </v>
      </c>
      <c r="I193" t="str">
        <v xml:space="preserve">UN   </v>
      </c>
      <c r="J193">
        <v>36</v>
      </c>
      <c r="K193">
        <v>41384</v>
      </c>
      <c r="L193">
        <f t="shared" si="12"/>
        <v>0</v>
      </c>
      <c r="M193">
        <f t="shared" si="13"/>
        <v>0</v>
      </c>
      <c r="N193" s="119">
        <f t="shared" si="14"/>
        <v>14</v>
      </c>
      <c r="O193">
        <f t="shared" ref="O193:O256" si="15">M193*N193</f>
        <v>0</v>
      </c>
    </row>
    <row r="194" spans="2:15" ht="15" customHeight="1" x14ac:dyDescent="0.25">
      <c r="B194" s="86" t="s">
        <v>353</v>
      </c>
      <c r="C194" s="87" t="s">
        <v>354</v>
      </c>
      <c r="D194" s="82" t="s">
        <v>284</v>
      </c>
      <c r="E194" s="83">
        <v>9</v>
      </c>
      <c r="F194" s="88">
        <v>46295</v>
      </c>
      <c r="G194" s="89">
        <f t="shared" si="11"/>
        <v>416655</v>
      </c>
      <c r="H194" s="118" t="str">
        <f t="array" ref="H194:K194">_xlfn.XLOOKUP(C194,'ESAP NEIVA FASE II UNIFICADO'!$C$6:$C$720,'ESAP NEIVA FASE II UNIFICADO'!$C$6:$F$720,"NO ESTA")</f>
        <v xml:space="preserve">SUMINISTRO E INSTALACIÓN SALIDA SANITARIA 3"                                    </v>
      </c>
      <c r="I194" t="str">
        <v xml:space="preserve">UN   </v>
      </c>
      <c r="J194">
        <v>23</v>
      </c>
      <c r="K194">
        <v>50021</v>
      </c>
      <c r="L194">
        <f t="shared" si="12"/>
        <v>0</v>
      </c>
      <c r="M194">
        <f t="shared" si="13"/>
        <v>0</v>
      </c>
      <c r="N194" s="119">
        <f t="shared" si="14"/>
        <v>9</v>
      </c>
      <c r="O194">
        <f t="shared" si="15"/>
        <v>0</v>
      </c>
    </row>
    <row r="195" spans="2:15" ht="15" customHeight="1" x14ac:dyDescent="0.25">
      <c r="B195" s="86" t="s">
        <v>355</v>
      </c>
      <c r="C195" s="87" t="s">
        <v>356</v>
      </c>
      <c r="D195" s="82" t="s">
        <v>284</v>
      </c>
      <c r="E195" s="83">
        <v>16</v>
      </c>
      <c r="F195" s="88">
        <v>56892</v>
      </c>
      <c r="G195" s="89">
        <f t="shared" si="11"/>
        <v>910272</v>
      </c>
      <c r="H195" s="118" t="str">
        <f t="array" ref="H195:K195">_xlfn.XLOOKUP(C195,'ESAP NEIVA FASE II UNIFICADO'!$C$6:$C$720,'ESAP NEIVA FASE II UNIFICADO'!$C$6:$F$720,"NO ESTA")</f>
        <v xml:space="preserve">SUMINISTRO E INSTALACIÓN SALIDA SANITARIA 4"                                    </v>
      </c>
      <c r="I195" t="str">
        <v xml:space="preserve">UN   </v>
      </c>
      <c r="J195">
        <v>42</v>
      </c>
      <c r="K195">
        <v>61472</v>
      </c>
      <c r="L195">
        <f t="shared" si="12"/>
        <v>0</v>
      </c>
      <c r="M195">
        <f t="shared" si="13"/>
        <v>0</v>
      </c>
      <c r="N195" s="119">
        <f t="shared" si="14"/>
        <v>16</v>
      </c>
      <c r="O195">
        <f t="shared" si="15"/>
        <v>0</v>
      </c>
    </row>
    <row r="196" spans="2:15" ht="15" customHeight="1" x14ac:dyDescent="0.25">
      <c r="B196" s="86" t="s">
        <v>357</v>
      </c>
      <c r="C196" s="87" t="s">
        <v>358</v>
      </c>
      <c r="D196" s="82" t="s">
        <v>284</v>
      </c>
      <c r="E196" s="83">
        <v>1</v>
      </c>
      <c r="F196" s="88">
        <v>501903</v>
      </c>
      <c r="G196" s="89">
        <f t="shared" si="11"/>
        <v>501903</v>
      </c>
      <c r="H196" s="118" t="str">
        <f t="array" ref="H196:K196">_xlfn.XLOOKUP(C196,'ESAP NEIVA FASE II UNIFICADO'!$C$6:$C$720,'ESAP NEIVA FASE II UNIFICADO'!$C$6:$F$720,"NO ESTA")</f>
        <v xml:space="preserve">SUMINISTRO Y CONSTRUCCIÓN CAJA DE INSPECCIÓN 0.80mX0.80m H mäx:1.0m                                                                    </v>
      </c>
      <c r="I196" t="str">
        <v xml:space="preserve">UN   </v>
      </c>
      <c r="J196">
        <v>1</v>
      </c>
      <c r="K196">
        <v>542308</v>
      </c>
      <c r="L196">
        <f t="shared" si="12"/>
        <v>0</v>
      </c>
      <c r="M196">
        <f t="shared" si="13"/>
        <v>0</v>
      </c>
      <c r="N196" s="119">
        <f t="shared" si="14"/>
        <v>1</v>
      </c>
      <c r="O196">
        <f t="shared" si="15"/>
        <v>0</v>
      </c>
    </row>
    <row r="197" spans="2:15" ht="15" customHeight="1" x14ac:dyDescent="0.25">
      <c r="B197" s="86" t="s">
        <v>359</v>
      </c>
      <c r="C197" s="87" t="s">
        <v>360</v>
      </c>
      <c r="D197" s="82" t="s">
        <v>269</v>
      </c>
      <c r="E197" s="83">
        <v>11</v>
      </c>
      <c r="F197" s="88">
        <v>42386</v>
      </c>
      <c r="G197" s="89">
        <f t="shared" si="11"/>
        <v>466246</v>
      </c>
      <c r="H197" s="118" t="str">
        <f t="array" ref="H197:K197">_xlfn.XLOOKUP(C197,'ESAP NEIVA FASE II UNIFICADO'!$C$6:$C$720,'ESAP NEIVA FASE II UNIFICADO'!$C$6:$F$720,"NO ESTA")</f>
        <v xml:space="preserve">SUMINISTRO E INSTALACIÓN TUBERIA PVC-ALC DIAMETRO 160mm                                                                   </v>
      </c>
      <c r="I197" t="str">
        <v xml:space="preserve">ML   </v>
      </c>
      <c r="J197">
        <v>29</v>
      </c>
      <c r="K197">
        <v>45798</v>
      </c>
      <c r="L197">
        <f t="shared" si="12"/>
        <v>0</v>
      </c>
      <c r="M197">
        <f t="shared" si="13"/>
        <v>0</v>
      </c>
      <c r="N197" s="119">
        <f t="shared" si="14"/>
        <v>11</v>
      </c>
      <c r="O197">
        <f t="shared" si="15"/>
        <v>0</v>
      </c>
    </row>
    <row r="198" spans="2:15" ht="15" customHeight="1" x14ac:dyDescent="0.25">
      <c r="B198" s="86" t="s">
        <v>361</v>
      </c>
      <c r="C198" s="87" t="s">
        <v>362</v>
      </c>
      <c r="D198" s="82" t="s">
        <v>269</v>
      </c>
      <c r="E198" s="83">
        <v>3</v>
      </c>
      <c r="F198" s="88">
        <v>59190</v>
      </c>
      <c r="G198" s="89">
        <f t="shared" si="11"/>
        <v>177570</v>
      </c>
      <c r="H198" s="118" t="str">
        <f t="array" ref="H198:K198">_xlfn.XLOOKUP(C198,'ESAP NEIVA FASE II UNIFICADO'!$C$6:$C$720,'ESAP NEIVA FASE II UNIFICADO'!$C$6:$F$720,"NO ESTA")</f>
        <v xml:space="preserve">SUMINISTRO E INSTALACIÓN TUBERIA PVC-ALC DIAMETRO 200mm                                                                   </v>
      </c>
      <c r="I198" t="str">
        <v xml:space="preserve">ML   </v>
      </c>
      <c r="J198">
        <v>7</v>
      </c>
      <c r="K198">
        <v>63955</v>
      </c>
      <c r="L198">
        <f t="shared" si="12"/>
        <v>0</v>
      </c>
      <c r="M198">
        <f t="shared" si="13"/>
        <v>0</v>
      </c>
      <c r="N198" s="119">
        <f t="shared" si="14"/>
        <v>3</v>
      </c>
      <c r="O198">
        <f t="shared" si="15"/>
        <v>0</v>
      </c>
    </row>
    <row r="199" spans="2:15" ht="15" customHeight="1" x14ac:dyDescent="0.25">
      <c r="B199" s="86" t="s">
        <v>363</v>
      </c>
      <c r="C199" s="87" t="s">
        <v>364</v>
      </c>
      <c r="D199" s="82" t="s">
        <v>269</v>
      </c>
      <c r="E199" s="83">
        <v>11</v>
      </c>
      <c r="F199" s="88">
        <v>89928</v>
      </c>
      <c r="G199" s="89">
        <f t="shared" ref="G199:G262" si="16">ROUND(+F199*E199,2)</f>
        <v>989208</v>
      </c>
      <c r="H199" s="118" t="str">
        <f t="array" ref="H199:K199">_xlfn.XLOOKUP(C199,'ESAP NEIVA FASE II UNIFICADO'!$C$6:$C$720,'ESAP NEIVA FASE II UNIFICADO'!$C$6:$F$720,"NO ESTA")</f>
        <v xml:space="preserve">SUMINISTRO E INSTALACIÓN TUBERÍA PVC-P DIAMETRO 4"                                                        </v>
      </c>
      <c r="I199" t="str">
        <v xml:space="preserve">ML   </v>
      </c>
      <c r="J199">
        <v>29</v>
      </c>
      <c r="K199">
        <v>97168</v>
      </c>
      <c r="L199">
        <f t="shared" si="12"/>
        <v>0</v>
      </c>
      <c r="M199">
        <f t="shared" si="13"/>
        <v>0</v>
      </c>
      <c r="N199" s="119">
        <f t="shared" si="14"/>
        <v>11</v>
      </c>
      <c r="O199">
        <f t="shared" si="15"/>
        <v>0</v>
      </c>
    </row>
    <row r="200" spans="2:15" ht="15" customHeight="1" x14ac:dyDescent="0.25">
      <c r="B200" s="86" t="s">
        <v>365</v>
      </c>
      <c r="C200" s="87" t="s">
        <v>366</v>
      </c>
      <c r="D200" s="82" t="s">
        <v>284</v>
      </c>
      <c r="E200" s="83">
        <v>5</v>
      </c>
      <c r="F200" s="88">
        <v>72421</v>
      </c>
      <c r="G200" s="89">
        <f t="shared" si="16"/>
        <v>362105</v>
      </c>
      <c r="H200" s="118" t="str">
        <f t="array" ref="H200:K200">_xlfn.XLOOKUP(C200,'ESAP NEIVA FASE II UNIFICADO'!$C$6:$C$720,'ESAP NEIVA FASE II UNIFICADO'!$C$6:$F$720,"NO ESTA")</f>
        <v xml:space="preserve">SUMINISTRO E INSTALACIÓN ACCESORIOS PVC-P DIAMETRO 4"                                                             </v>
      </c>
      <c r="I200" t="str">
        <v xml:space="preserve">UN   </v>
      </c>
      <c r="J200">
        <v>15</v>
      </c>
      <c r="K200">
        <v>78251</v>
      </c>
      <c r="L200">
        <f t="shared" si="12"/>
        <v>0</v>
      </c>
      <c r="M200">
        <f t="shared" si="13"/>
        <v>0</v>
      </c>
      <c r="N200" s="119">
        <f t="shared" si="14"/>
        <v>5</v>
      </c>
      <c r="O200">
        <f t="shared" si="15"/>
        <v>0</v>
      </c>
    </row>
    <row r="201" spans="2:15" ht="15" customHeight="1" x14ac:dyDescent="0.25">
      <c r="B201" s="80" t="s">
        <v>367</v>
      </c>
      <c r="C201" s="81" t="s">
        <v>368</v>
      </c>
      <c r="D201" s="82" t="s">
        <v>369</v>
      </c>
      <c r="E201" s="83"/>
      <c r="F201" s="90"/>
      <c r="G201" s="89">
        <f t="shared" si="16"/>
        <v>0</v>
      </c>
      <c r="H201" s="118" t="str">
        <f t="array" ref="H201:K201">_xlfn.XLOOKUP(C201,'ESAP NEIVA FASE II UNIFICADO'!$C$6:$C$720,'ESAP NEIVA FASE II UNIFICADO'!$C$6:$F$720,"NO ESTA")</f>
        <v>SUMINISTRO E INSTALACIÓN DE APARATOS SANITARIOS</v>
      </c>
      <c r="I201" t="str">
        <v xml:space="preserve">     </v>
      </c>
      <c r="J201">
        <v>0</v>
      </c>
      <c r="K201">
        <v>0</v>
      </c>
      <c r="L201">
        <f t="shared" si="12"/>
        <v>1</v>
      </c>
      <c r="M201">
        <f t="shared" si="13"/>
        <v>0</v>
      </c>
      <c r="N201" s="119">
        <f t="shared" si="14"/>
        <v>0</v>
      </c>
      <c r="O201">
        <f t="shared" si="15"/>
        <v>0</v>
      </c>
    </row>
    <row r="202" spans="2:15" ht="15" customHeight="1" x14ac:dyDescent="0.25">
      <c r="B202" s="86" t="s">
        <v>370</v>
      </c>
      <c r="C202" s="87" t="s">
        <v>371</v>
      </c>
      <c r="D202" s="82" t="s">
        <v>284</v>
      </c>
      <c r="E202" s="83">
        <v>28</v>
      </c>
      <c r="F202" s="88">
        <v>1023434</v>
      </c>
      <c r="G202" s="89">
        <f t="shared" si="16"/>
        <v>28656152</v>
      </c>
      <c r="H202" s="118" t="str">
        <f t="array" ref="H202:K202">_xlfn.XLOOKUP(C202,'ESAP NEIVA FASE II UNIFICADO'!$C$6:$C$720,'ESAP NEIVA FASE II UNIFICADO'!$C$6:$F$720,"NO ESTA")</f>
        <v>SUMINISTRO E INSTALACIÓN SANITARIO INSTITUCIONAL incluye FLUXOMETRO</v>
      </c>
      <c r="I202" t="str">
        <v xml:space="preserve">UN   </v>
      </c>
      <c r="J202">
        <v>24</v>
      </c>
      <c r="K202">
        <v>1105824</v>
      </c>
      <c r="L202">
        <f t="shared" ref="L202:L265" si="17">+IF(J202&gt;0,0,1)</f>
        <v>0</v>
      </c>
      <c r="M202">
        <f t="shared" ref="M202:M265" si="18">IF(L202=1,F202,0)</f>
        <v>0</v>
      </c>
      <c r="N202" s="119">
        <f t="shared" ref="N202:N265" si="19">E202</f>
        <v>28</v>
      </c>
      <c r="O202">
        <f t="shared" si="15"/>
        <v>0</v>
      </c>
    </row>
    <row r="203" spans="2:15" ht="15" customHeight="1" x14ac:dyDescent="0.25">
      <c r="B203" s="86" t="s">
        <v>372</v>
      </c>
      <c r="C203" s="87" t="s">
        <v>373</v>
      </c>
      <c r="D203" s="82" t="s">
        <v>374</v>
      </c>
      <c r="E203" s="83">
        <v>4</v>
      </c>
      <c r="F203" s="88">
        <v>620120</v>
      </c>
      <c r="G203" s="89">
        <f t="shared" si="16"/>
        <v>2480480</v>
      </c>
      <c r="H203" s="118" t="str">
        <f t="array" ref="H203:K203">_xlfn.XLOOKUP(C203,'ESAP NEIVA FASE II UNIFICADO'!$C$6:$C$720,'ESAP NEIVA FASE II UNIFICADO'!$C$6:$F$720,"NO ESTA")</f>
        <v xml:space="preserve">SUMINISTRO E INSTALACIÓN SANITARIO DE BAJO CONSUMO </v>
      </c>
      <c r="I203" t="str">
        <v>UN</v>
      </c>
      <c r="J203">
        <v>4</v>
      </c>
      <c r="K203">
        <v>670042</v>
      </c>
      <c r="L203">
        <f t="shared" si="17"/>
        <v>0</v>
      </c>
      <c r="M203">
        <f t="shared" si="18"/>
        <v>0</v>
      </c>
      <c r="N203" s="119">
        <f t="shared" si="19"/>
        <v>4</v>
      </c>
      <c r="O203">
        <f t="shared" si="15"/>
        <v>0</v>
      </c>
    </row>
    <row r="204" spans="2:15" ht="15" customHeight="1" x14ac:dyDescent="0.25">
      <c r="B204" s="86" t="s">
        <v>375</v>
      </c>
      <c r="C204" s="87" t="s">
        <v>376</v>
      </c>
      <c r="D204" s="82" t="s">
        <v>284</v>
      </c>
      <c r="E204" s="83">
        <v>12</v>
      </c>
      <c r="F204" s="88">
        <v>701257</v>
      </c>
      <c r="G204" s="89">
        <f t="shared" si="16"/>
        <v>8415084</v>
      </c>
      <c r="H204" s="118" t="str">
        <f t="array" ref="H204:K204">_xlfn.XLOOKUP(C204,'ESAP NEIVA FASE II UNIFICADO'!$C$6:$C$720,'ESAP NEIVA FASE II UNIFICADO'!$C$6:$F$720,"NO ESTA")</f>
        <v>SUMINISTRO E INSTALACIÓN ORINAL</v>
      </c>
      <c r="I204" t="str">
        <v xml:space="preserve">UN   </v>
      </c>
      <c r="J204">
        <v>9</v>
      </c>
      <c r="K204">
        <v>757710</v>
      </c>
      <c r="L204">
        <f t="shared" si="17"/>
        <v>0</v>
      </c>
      <c r="M204">
        <f t="shared" si="18"/>
        <v>0</v>
      </c>
      <c r="N204" s="119">
        <f t="shared" si="19"/>
        <v>12</v>
      </c>
      <c r="O204">
        <f t="shared" si="15"/>
        <v>0</v>
      </c>
    </row>
    <row r="205" spans="2:15" ht="24.75" customHeight="1" x14ac:dyDescent="0.25">
      <c r="B205" s="86" t="s">
        <v>377</v>
      </c>
      <c r="C205" s="87" t="s">
        <v>378</v>
      </c>
      <c r="D205" s="82" t="s">
        <v>94</v>
      </c>
      <c r="E205" s="83">
        <v>14</v>
      </c>
      <c r="F205" s="88">
        <v>201866</v>
      </c>
      <c r="G205" s="89">
        <f t="shared" si="16"/>
        <v>2826124</v>
      </c>
      <c r="H205" s="118" t="str">
        <f t="array" ref="H205:K205">_xlfn.XLOOKUP(C205,'ESAP NEIVA FASE II UNIFICADO'!$C$6:$C$720,'ESAP NEIVA FASE II UNIFICADO'!$C$6:$F$720,"NO ESTA")</f>
        <v>SUMINISTRO E INSTALACIÓN MESÓN EN GRANITO NEGRO ABSOLUTO o similar, ANCHO 0.60m</v>
      </c>
      <c r="I205" t="str">
        <v>ML</v>
      </c>
      <c r="J205">
        <v>13</v>
      </c>
      <c r="K205">
        <v>218116</v>
      </c>
      <c r="L205">
        <f t="shared" si="17"/>
        <v>0</v>
      </c>
      <c r="M205">
        <f t="shared" si="18"/>
        <v>0</v>
      </c>
      <c r="N205" s="119">
        <f t="shared" si="19"/>
        <v>14</v>
      </c>
      <c r="O205">
        <f t="shared" si="15"/>
        <v>0</v>
      </c>
    </row>
    <row r="206" spans="2:15" ht="15" customHeight="1" x14ac:dyDescent="0.25">
      <c r="B206" s="86" t="s">
        <v>379</v>
      </c>
      <c r="C206" s="87" t="s">
        <v>380</v>
      </c>
      <c r="D206" s="82" t="s">
        <v>284</v>
      </c>
      <c r="E206" s="83">
        <v>20</v>
      </c>
      <c r="F206" s="88">
        <v>544981</v>
      </c>
      <c r="G206" s="89">
        <f t="shared" si="16"/>
        <v>10899620</v>
      </c>
      <c r="H206" s="118" t="str">
        <f t="array" ref="H206:K206">_xlfn.XLOOKUP(C206,'ESAP NEIVA FASE II UNIFICADO'!$C$6:$C$720,'ESAP NEIVA FASE II UNIFICADO'!$C$6:$F$720,"NO ESTA")</f>
        <v xml:space="preserve">SUMINISTRO E INSTALACIÓN LAVAMANOS SOBREPONER </v>
      </c>
      <c r="I206" t="str">
        <v xml:space="preserve">UN   </v>
      </c>
      <c r="J206">
        <v>18</v>
      </c>
      <c r="K206">
        <v>588854</v>
      </c>
      <c r="L206">
        <f t="shared" si="17"/>
        <v>0</v>
      </c>
      <c r="M206">
        <f t="shared" si="18"/>
        <v>0</v>
      </c>
      <c r="N206" s="119">
        <f t="shared" si="19"/>
        <v>20</v>
      </c>
      <c r="O206">
        <f t="shared" si="15"/>
        <v>0</v>
      </c>
    </row>
    <row r="207" spans="2:15" ht="15" customHeight="1" x14ac:dyDescent="0.25">
      <c r="B207" s="86" t="s">
        <v>381</v>
      </c>
      <c r="C207" s="87" t="s">
        <v>382</v>
      </c>
      <c r="D207" s="82" t="s">
        <v>284</v>
      </c>
      <c r="E207" s="83">
        <v>3</v>
      </c>
      <c r="F207" s="88">
        <v>515435</v>
      </c>
      <c r="G207" s="89">
        <f t="shared" si="16"/>
        <v>1546305</v>
      </c>
      <c r="H207" s="118" t="str">
        <f t="array" ref="H207:K207">_xlfn.XLOOKUP(C207,'ESAP NEIVA FASE II UNIFICADO'!$C$6:$C$720,'ESAP NEIVA FASE II UNIFICADO'!$C$6:$F$720,"NO ESTA")</f>
        <v>SUMINISTRO E INSTALACIÓN LAVAMANOS PEDESTAL</v>
      </c>
      <c r="I207" t="str">
        <v xml:space="preserve">UN   </v>
      </c>
      <c r="J207">
        <v>3</v>
      </c>
      <c r="K207">
        <v>556929</v>
      </c>
      <c r="L207">
        <f t="shared" si="17"/>
        <v>0</v>
      </c>
      <c r="M207">
        <f t="shared" si="18"/>
        <v>0</v>
      </c>
      <c r="N207" s="119">
        <f t="shared" si="19"/>
        <v>3</v>
      </c>
      <c r="O207">
        <f t="shared" si="15"/>
        <v>0</v>
      </c>
    </row>
    <row r="208" spans="2:15" ht="24.75" customHeight="1" x14ac:dyDescent="0.25">
      <c r="B208" s="86" t="s">
        <v>383</v>
      </c>
      <c r="C208" s="87" t="s">
        <v>384</v>
      </c>
      <c r="D208" s="82" t="s">
        <v>13</v>
      </c>
      <c r="E208" s="83">
        <v>12</v>
      </c>
      <c r="F208" s="88">
        <v>84082</v>
      </c>
      <c r="G208" s="89">
        <f t="shared" si="16"/>
        <v>1008984</v>
      </c>
      <c r="H208" s="118" t="str">
        <f t="array" ref="H208:K208">_xlfn.XLOOKUP(C208,'ESAP NEIVA FASE II UNIFICADO'!$C$6:$C$720,'ESAP NEIVA FASE II UNIFICADO'!$C$6:$F$720,"NO ESTA")</f>
        <v>SUMINISTRO E INSTALACIÓN ESPEJO e=4MM PEGADO SOBRE BASTIDOR EN ALUMINIO DE 2X1</v>
      </c>
      <c r="I208" t="str">
        <v>M2</v>
      </c>
      <c r="J208">
        <v>11</v>
      </c>
      <c r="K208">
        <v>90851</v>
      </c>
      <c r="L208">
        <f t="shared" si="17"/>
        <v>0</v>
      </c>
      <c r="M208">
        <f t="shared" si="18"/>
        <v>0</v>
      </c>
      <c r="N208" s="119">
        <f t="shared" si="19"/>
        <v>12</v>
      </c>
      <c r="O208">
        <f t="shared" si="15"/>
        <v>0</v>
      </c>
    </row>
    <row r="209" spans="2:15" ht="15" customHeight="1" x14ac:dyDescent="0.25">
      <c r="B209" s="86" t="s">
        <v>385</v>
      </c>
      <c r="C209" s="87" t="s">
        <v>386</v>
      </c>
      <c r="D209" s="82" t="s">
        <v>284</v>
      </c>
      <c r="E209" s="83">
        <v>2</v>
      </c>
      <c r="F209" s="88">
        <v>40840</v>
      </c>
      <c r="G209" s="89">
        <f t="shared" si="16"/>
        <v>81680</v>
      </c>
      <c r="H209" s="118" t="str">
        <f t="array" ref="H209:K209">_xlfn.XLOOKUP(C209,'ESAP NEIVA FASE II UNIFICADO'!$C$6:$C$720,'ESAP NEIVA FASE II UNIFICADO'!$C$6:$F$720,"NO ESTA")</f>
        <v>SUMINISTRO E INSTALACIÓN LLAVES MANGUERA</v>
      </c>
      <c r="I209" t="str">
        <v xml:space="preserve">UN   </v>
      </c>
      <c r="J209">
        <v>1</v>
      </c>
      <c r="K209">
        <v>44128</v>
      </c>
      <c r="L209">
        <f t="shared" si="17"/>
        <v>0</v>
      </c>
      <c r="M209">
        <f t="shared" si="18"/>
        <v>0</v>
      </c>
      <c r="N209" s="119">
        <f t="shared" si="19"/>
        <v>2</v>
      </c>
      <c r="O209">
        <f t="shared" si="15"/>
        <v>0</v>
      </c>
    </row>
    <row r="210" spans="2:15" ht="15" customHeight="1" x14ac:dyDescent="0.25">
      <c r="B210" s="80" t="s">
        <v>387</v>
      </c>
      <c r="C210" s="81" t="s">
        <v>388</v>
      </c>
      <c r="D210" s="82"/>
      <c r="E210" s="83"/>
      <c r="F210" s="90"/>
      <c r="G210" s="89">
        <f t="shared" si="16"/>
        <v>0</v>
      </c>
      <c r="H210" s="118" t="str">
        <f t="array" ref="H210:K210">_xlfn.XLOOKUP(C210,'ESAP NEIVA FASE II UNIFICADO'!$C$6:$C$720,'ESAP NEIVA FASE II UNIFICADO'!$C$6:$F$720,"NO ESTA")</f>
        <v xml:space="preserve">SUMINISTRO E INSTALACION RED DESAGÜES AGUAS LLUVIAS                                                                                 </v>
      </c>
      <c r="I210">
        <v>0</v>
      </c>
      <c r="J210">
        <v>0</v>
      </c>
      <c r="K210">
        <v>0</v>
      </c>
      <c r="L210">
        <f t="shared" si="17"/>
        <v>1</v>
      </c>
      <c r="M210">
        <f t="shared" si="18"/>
        <v>0</v>
      </c>
      <c r="N210" s="119">
        <f t="shared" si="19"/>
        <v>0</v>
      </c>
      <c r="O210">
        <f t="shared" si="15"/>
        <v>0</v>
      </c>
    </row>
    <row r="211" spans="2:15" ht="15" customHeight="1" x14ac:dyDescent="0.25">
      <c r="B211" s="86" t="s">
        <v>389</v>
      </c>
      <c r="C211" s="87" t="s">
        <v>390</v>
      </c>
      <c r="D211" s="82" t="s">
        <v>269</v>
      </c>
      <c r="E211" s="83">
        <v>92</v>
      </c>
      <c r="F211" s="88">
        <v>33443</v>
      </c>
      <c r="G211" s="89">
        <f t="shared" si="16"/>
        <v>3076756</v>
      </c>
      <c r="H211" s="118" t="str">
        <f t="array" ref="H211:K211">_xlfn.XLOOKUP(C211,'ESAP NEIVA FASE II UNIFICADO'!$C$6:$C$720,'ESAP NEIVA FASE II UNIFICADO'!$C$6:$F$720,"NO ESTA")</f>
        <v xml:space="preserve">SUMINISTRO E INSTALACIÓN TUBERIA PVC-S DIAMETRO  3 PUL                                                                 </v>
      </c>
      <c r="I211" t="str">
        <v xml:space="preserve">ML   </v>
      </c>
      <c r="J211">
        <v>248</v>
      </c>
      <c r="K211">
        <v>36135</v>
      </c>
      <c r="L211">
        <f t="shared" si="17"/>
        <v>0</v>
      </c>
      <c r="M211">
        <f t="shared" si="18"/>
        <v>0</v>
      </c>
      <c r="N211" s="119">
        <f t="shared" si="19"/>
        <v>92</v>
      </c>
      <c r="O211">
        <f t="shared" si="15"/>
        <v>0</v>
      </c>
    </row>
    <row r="212" spans="2:15" ht="15" customHeight="1" x14ac:dyDescent="0.25">
      <c r="B212" s="86" t="s">
        <v>391</v>
      </c>
      <c r="C212" s="87" t="s">
        <v>392</v>
      </c>
      <c r="D212" s="82" t="s">
        <v>269</v>
      </c>
      <c r="E212" s="83">
        <v>45</v>
      </c>
      <c r="F212" s="88">
        <v>47709</v>
      </c>
      <c r="G212" s="89">
        <f t="shared" si="16"/>
        <v>2146905</v>
      </c>
      <c r="H212" s="118" t="str">
        <f t="array" ref="H212:K212">_xlfn.XLOOKUP(C212,'ESAP NEIVA FASE II UNIFICADO'!$C$6:$C$720,'ESAP NEIVA FASE II UNIFICADO'!$C$6:$F$720,"NO ESTA")</f>
        <v xml:space="preserve">SUMINISTRO E INSTALACIÓN TUBERIA PVC-S DIAMETRO 4 PUL                                                                 </v>
      </c>
      <c r="I212" t="str">
        <v xml:space="preserve">ML   </v>
      </c>
      <c r="J212">
        <v>122</v>
      </c>
      <c r="K212">
        <v>51550</v>
      </c>
      <c r="L212">
        <f t="shared" si="17"/>
        <v>0</v>
      </c>
      <c r="M212">
        <f t="shared" si="18"/>
        <v>0</v>
      </c>
      <c r="N212" s="119">
        <f t="shared" si="19"/>
        <v>45</v>
      </c>
      <c r="O212">
        <f t="shared" si="15"/>
        <v>0</v>
      </c>
    </row>
    <row r="213" spans="2:15" ht="15" customHeight="1" x14ac:dyDescent="0.25">
      <c r="B213" s="86" t="s">
        <v>393</v>
      </c>
      <c r="C213" s="87" t="s">
        <v>394</v>
      </c>
      <c r="D213" s="82" t="s">
        <v>269</v>
      </c>
      <c r="E213" s="83">
        <v>60</v>
      </c>
      <c r="F213" s="88">
        <v>86220</v>
      </c>
      <c r="G213" s="89">
        <f t="shared" si="16"/>
        <v>5173200</v>
      </c>
      <c r="H213" s="118" t="str">
        <f t="array" ref="H213:K213">_xlfn.XLOOKUP(C213,'ESAP NEIVA FASE II UNIFICADO'!$C$6:$C$720,'ESAP NEIVA FASE II UNIFICADO'!$C$6:$F$720,"NO ESTA")</f>
        <v xml:space="preserve">SUMINISTRO E INSTALACIÓN TUBERIA PVC-S DIAMETRO 6 PUL                                                                 </v>
      </c>
      <c r="I213" t="str">
        <v xml:space="preserve">ML   </v>
      </c>
      <c r="J213">
        <v>161</v>
      </c>
      <c r="K213">
        <v>93160</v>
      </c>
      <c r="L213">
        <f t="shared" si="17"/>
        <v>0</v>
      </c>
      <c r="M213">
        <f t="shared" si="18"/>
        <v>0</v>
      </c>
      <c r="N213" s="119">
        <f t="shared" si="19"/>
        <v>60</v>
      </c>
      <c r="O213">
        <f t="shared" si="15"/>
        <v>0</v>
      </c>
    </row>
    <row r="214" spans="2:15" ht="15" customHeight="1" x14ac:dyDescent="0.25">
      <c r="B214" s="86" t="s">
        <v>395</v>
      </c>
      <c r="C214" s="87" t="s">
        <v>396</v>
      </c>
      <c r="D214" s="82" t="s">
        <v>374</v>
      </c>
      <c r="E214" s="83">
        <v>38</v>
      </c>
      <c r="F214" s="88">
        <v>9904</v>
      </c>
      <c r="G214" s="89">
        <f t="shared" si="16"/>
        <v>376352</v>
      </c>
      <c r="H214" s="118" t="str">
        <f t="array" ref="H214:K214">_xlfn.XLOOKUP(C214,'ESAP NEIVA FASE II UNIFICADO'!$C$6:$C$720,'ESAP NEIVA FASE II UNIFICADO'!$C$6:$F$720,"NO ESTA")</f>
        <v xml:space="preserve">SUMINISTRO E INSTALACIÓN ACCESORIOS PVC-S DIAMETRO 3"                                                             </v>
      </c>
      <c r="I214" t="str">
        <v>UN</v>
      </c>
      <c r="J214">
        <v>101</v>
      </c>
      <c r="K214">
        <v>10700</v>
      </c>
      <c r="L214">
        <f t="shared" si="17"/>
        <v>0</v>
      </c>
      <c r="M214">
        <f t="shared" si="18"/>
        <v>0</v>
      </c>
      <c r="N214" s="119">
        <f t="shared" si="19"/>
        <v>38</v>
      </c>
      <c r="O214">
        <f t="shared" si="15"/>
        <v>0</v>
      </c>
    </row>
    <row r="215" spans="2:15" ht="15" customHeight="1" x14ac:dyDescent="0.25">
      <c r="B215" s="86" t="s">
        <v>397</v>
      </c>
      <c r="C215" s="87" t="s">
        <v>398</v>
      </c>
      <c r="D215" s="82" t="s">
        <v>374</v>
      </c>
      <c r="E215" s="83">
        <v>21</v>
      </c>
      <c r="F215" s="88">
        <v>14553</v>
      </c>
      <c r="G215" s="89">
        <f t="shared" si="16"/>
        <v>305613</v>
      </c>
      <c r="H215" s="118" t="str">
        <f t="array" ref="H215:K215">_xlfn.XLOOKUP(C215,'ESAP NEIVA FASE II UNIFICADO'!$C$6:$C$720,'ESAP NEIVA FASE II UNIFICADO'!$C$6:$F$720,"NO ESTA")</f>
        <v xml:space="preserve">SUMINISTRO E INSTALACIÓN ACCESORIOS PVC-S DIAMETRO 4"                                                             </v>
      </c>
      <c r="I215" t="str">
        <v>UN</v>
      </c>
      <c r="J215">
        <v>58</v>
      </c>
      <c r="K215">
        <v>15725</v>
      </c>
      <c r="L215">
        <f t="shared" si="17"/>
        <v>0</v>
      </c>
      <c r="M215">
        <f t="shared" si="18"/>
        <v>0</v>
      </c>
      <c r="N215" s="119">
        <f t="shared" si="19"/>
        <v>21</v>
      </c>
      <c r="O215">
        <f t="shared" si="15"/>
        <v>0</v>
      </c>
    </row>
    <row r="216" spans="2:15" ht="15" customHeight="1" x14ac:dyDescent="0.25">
      <c r="B216" s="86" t="s">
        <v>399</v>
      </c>
      <c r="C216" s="87" t="s">
        <v>400</v>
      </c>
      <c r="D216" s="82" t="s">
        <v>374</v>
      </c>
      <c r="E216" s="83">
        <v>25</v>
      </c>
      <c r="F216" s="88">
        <v>69355</v>
      </c>
      <c r="G216" s="89">
        <f t="shared" si="16"/>
        <v>1733875</v>
      </c>
      <c r="H216" s="118" t="str">
        <f t="array" ref="H216:K216">_xlfn.XLOOKUP(C216,'ESAP NEIVA FASE II UNIFICADO'!$C$6:$C$720,'ESAP NEIVA FASE II UNIFICADO'!$C$6:$F$720,"NO ESTA")</f>
        <v xml:space="preserve">SUMINISTRO E INSTALACIÓN ACCESORIOS PVC-S DIAMETRO 6"                                                             </v>
      </c>
      <c r="I216" t="str">
        <v>UN</v>
      </c>
      <c r="J216">
        <v>68</v>
      </c>
      <c r="K216">
        <v>74938</v>
      </c>
      <c r="L216">
        <f t="shared" si="17"/>
        <v>0</v>
      </c>
      <c r="M216">
        <f t="shared" si="18"/>
        <v>0</v>
      </c>
      <c r="N216" s="119">
        <f t="shared" si="19"/>
        <v>25</v>
      </c>
      <c r="O216">
        <f t="shared" si="15"/>
        <v>0</v>
      </c>
    </row>
    <row r="217" spans="2:15" ht="15" customHeight="1" x14ac:dyDescent="0.25">
      <c r="B217" s="86" t="s">
        <v>401</v>
      </c>
      <c r="C217" s="87" t="s">
        <v>402</v>
      </c>
      <c r="D217" s="82" t="s">
        <v>269</v>
      </c>
      <c r="E217" s="83">
        <v>12</v>
      </c>
      <c r="F217" s="88">
        <v>46295</v>
      </c>
      <c r="G217" s="89">
        <f t="shared" si="16"/>
        <v>555540</v>
      </c>
      <c r="H217" s="118" t="str">
        <f t="array" ref="H217:K217">_xlfn.XLOOKUP(C217,'ESAP NEIVA FASE II UNIFICADO'!$C$6:$C$720,'ESAP NEIVA FASE II UNIFICADO'!$C$6:$F$720,"NO ESTA")</f>
        <v xml:space="preserve">SUMINISTRO E INSTALACIÓN SALIDA SANITARIA DIAMETRO 3 PULG                                                               </v>
      </c>
      <c r="I217" t="str">
        <v xml:space="preserve">ML   </v>
      </c>
      <c r="J217">
        <v>31</v>
      </c>
      <c r="K217">
        <v>50021</v>
      </c>
      <c r="L217">
        <f t="shared" si="17"/>
        <v>0</v>
      </c>
      <c r="M217">
        <f t="shared" si="18"/>
        <v>0</v>
      </c>
      <c r="N217" s="119">
        <f t="shared" si="19"/>
        <v>12</v>
      </c>
      <c r="O217">
        <f t="shared" si="15"/>
        <v>0</v>
      </c>
    </row>
    <row r="218" spans="2:15" ht="15" customHeight="1" x14ac:dyDescent="0.25">
      <c r="B218" s="86" t="s">
        <v>403</v>
      </c>
      <c r="C218" s="87" t="s">
        <v>404</v>
      </c>
      <c r="D218" s="82" t="s">
        <v>269</v>
      </c>
      <c r="E218" s="83">
        <v>8</v>
      </c>
      <c r="F218" s="88">
        <v>56892</v>
      </c>
      <c r="G218" s="89">
        <f t="shared" si="16"/>
        <v>455136</v>
      </c>
      <c r="H218" s="118" t="str">
        <f t="array" ref="H218:K218">_xlfn.XLOOKUP(C218,'ESAP NEIVA FASE II UNIFICADO'!$C$6:$C$720,'ESAP NEIVA FASE II UNIFICADO'!$C$6:$F$720,"NO ESTA")</f>
        <v xml:space="preserve">SUMINISTRO E INSTALACIÓN SALIDA SANITARIA DIAMETRO 4 PULG                                                               </v>
      </c>
      <c r="I218" t="str">
        <v xml:space="preserve">ML   </v>
      </c>
      <c r="J218">
        <v>23</v>
      </c>
      <c r="K218">
        <v>61472</v>
      </c>
      <c r="L218">
        <f t="shared" si="17"/>
        <v>0</v>
      </c>
      <c r="M218">
        <f t="shared" si="18"/>
        <v>0</v>
      </c>
      <c r="N218" s="119">
        <f t="shared" si="19"/>
        <v>8</v>
      </c>
      <c r="O218">
        <f t="shared" si="15"/>
        <v>0</v>
      </c>
    </row>
    <row r="219" spans="2:15" ht="15" customHeight="1" x14ac:dyDescent="0.25">
      <c r="B219" s="86" t="s">
        <v>405</v>
      </c>
      <c r="C219" s="87" t="s">
        <v>406</v>
      </c>
      <c r="D219" s="82" t="s">
        <v>269</v>
      </c>
      <c r="E219" s="83">
        <v>50</v>
      </c>
      <c r="F219" s="88">
        <v>49552</v>
      </c>
      <c r="G219" s="89">
        <f t="shared" si="16"/>
        <v>2477600</v>
      </c>
      <c r="H219" s="118" t="str">
        <f t="array" ref="H219:K219">_xlfn.XLOOKUP(C219,'ESAP NEIVA FASE II UNIFICADO'!$C$6:$C$720,'ESAP NEIVA FASE II UNIFICADO'!$C$6:$F$720,"NO ESTA")</f>
        <v xml:space="preserve">SUMINISTRO E INSTALACIÓN POLIETILENO PEAD PARA FILTRO 90 mm                                                                  </v>
      </c>
      <c r="I219" t="str">
        <v xml:space="preserve">ML   </v>
      </c>
      <c r="J219">
        <v>0</v>
      </c>
      <c r="K219">
        <v>53541</v>
      </c>
      <c r="L219">
        <f t="shared" si="17"/>
        <v>1</v>
      </c>
      <c r="M219">
        <f t="shared" si="18"/>
        <v>49552</v>
      </c>
      <c r="N219" s="119">
        <f t="shared" si="19"/>
        <v>50</v>
      </c>
      <c r="O219">
        <f t="shared" si="15"/>
        <v>2477600</v>
      </c>
    </row>
    <row r="220" spans="2:15" ht="15" customHeight="1" x14ac:dyDescent="0.25">
      <c r="B220" s="86" t="s">
        <v>407</v>
      </c>
      <c r="C220" s="87" t="s">
        <v>408</v>
      </c>
      <c r="D220" s="82" t="s">
        <v>269</v>
      </c>
      <c r="E220" s="83">
        <v>30</v>
      </c>
      <c r="F220" s="88">
        <v>25833</v>
      </c>
      <c r="G220" s="89">
        <f t="shared" si="16"/>
        <v>774990</v>
      </c>
      <c r="H220" s="118" t="str">
        <f t="array" ref="H220:K220">_xlfn.XLOOKUP(C220,'ESAP NEIVA FASE II UNIFICADO'!$C$6:$C$720,'ESAP NEIVA FASE II UNIFICADO'!$C$6:$F$720,"NO ESTA")</f>
        <v xml:space="preserve">SUMINISTRO E INSTALACIÓN TUBERIA PVC-ALC 90 mm                                                                  </v>
      </c>
      <c r="I220" t="str">
        <v xml:space="preserve">ML   </v>
      </c>
      <c r="J220">
        <v>0</v>
      </c>
      <c r="K220">
        <v>27913</v>
      </c>
      <c r="L220">
        <f t="shared" si="17"/>
        <v>1</v>
      </c>
      <c r="M220">
        <f t="shared" si="18"/>
        <v>25833</v>
      </c>
      <c r="N220" s="119">
        <f t="shared" si="19"/>
        <v>30</v>
      </c>
      <c r="O220">
        <f t="shared" si="15"/>
        <v>774990</v>
      </c>
    </row>
    <row r="221" spans="2:15" ht="15" customHeight="1" x14ac:dyDescent="0.25">
      <c r="B221" s="86" t="s">
        <v>409</v>
      </c>
      <c r="C221" s="87" t="s">
        <v>410</v>
      </c>
      <c r="D221" s="82" t="s">
        <v>269</v>
      </c>
      <c r="E221" s="83">
        <v>15</v>
      </c>
      <c r="F221" s="88">
        <v>31747</v>
      </c>
      <c r="G221" s="89">
        <f t="shared" si="16"/>
        <v>476205</v>
      </c>
      <c r="H221" s="118" t="str">
        <f t="array" ref="H221:K221">_xlfn.XLOOKUP(C221,'ESAP NEIVA FASE II UNIFICADO'!$C$6:$C$720,'ESAP NEIVA FASE II UNIFICADO'!$C$6:$F$720,"NO ESTA")</f>
        <v xml:space="preserve">SUMINISTRO E INSTALACIÓN TUBERIA PVC-ALC 110 mm                                                                 </v>
      </c>
      <c r="I221" t="str">
        <v xml:space="preserve">ML   </v>
      </c>
      <c r="J221">
        <v>0</v>
      </c>
      <c r="K221">
        <v>34303</v>
      </c>
      <c r="L221">
        <f t="shared" si="17"/>
        <v>1</v>
      </c>
      <c r="M221">
        <f t="shared" si="18"/>
        <v>31747</v>
      </c>
      <c r="N221" s="119">
        <f t="shared" si="19"/>
        <v>15</v>
      </c>
      <c r="O221">
        <f t="shared" si="15"/>
        <v>476205</v>
      </c>
    </row>
    <row r="222" spans="2:15" ht="15" customHeight="1" x14ac:dyDescent="0.25">
      <c r="B222" s="86" t="s">
        <v>411</v>
      </c>
      <c r="C222" s="87" t="s">
        <v>412</v>
      </c>
      <c r="D222" s="82" t="s">
        <v>269</v>
      </c>
      <c r="E222" s="83">
        <v>70</v>
      </c>
      <c r="F222" s="88">
        <v>42386</v>
      </c>
      <c r="G222" s="89">
        <f t="shared" si="16"/>
        <v>2967020</v>
      </c>
      <c r="H222" s="118" t="str">
        <f t="array" ref="H222:K222">_xlfn.XLOOKUP(C222,'ESAP NEIVA FASE II UNIFICADO'!$C$6:$C$720,'ESAP NEIVA FASE II UNIFICADO'!$C$6:$F$720,"NO ESTA")</f>
        <v xml:space="preserve">SUMINISTRO E INSTALACIÓN TUBERIA PVC-ALC 160 mm                                                                 </v>
      </c>
      <c r="I222" t="str">
        <v xml:space="preserve">ML   </v>
      </c>
      <c r="J222">
        <v>0</v>
      </c>
      <c r="K222">
        <v>45798</v>
      </c>
      <c r="L222">
        <f t="shared" si="17"/>
        <v>1</v>
      </c>
      <c r="M222">
        <f t="shared" si="18"/>
        <v>42386</v>
      </c>
      <c r="N222" s="119">
        <f t="shared" si="19"/>
        <v>70</v>
      </c>
      <c r="O222">
        <f t="shared" si="15"/>
        <v>2967020</v>
      </c>
    </row>
    <row r="223" spans="2:15" ht="15" customHeight="1" x14ac:dyDescent="0.25">
      <c r="B223" s="86" t="s">
        <v>413</v>
      </c>
      <c r="C223" s="87" t="s">
        <v>414</v>
      </c>
      <c r="D223" s="82" t="s">
        <v>269</v>
      </c>
      <c r="E223" s="83">
        <v>20</v>
      </c>
      <c r="F223" s="88">
        <v>73947</v>
      </c>
      <c r="G223" s="89">
        <f t="shared" si="16"/>
        <v>1478940</v>
      </c>
      <c r="H223" s="118" t="str">
        <f t="array" ref="H223:K223">_xlfn.XLOOKUP(C223,'ESAP NEIVA FASE II UNIFICADO'!$C$6:$C$720,'ESAP NEIVA FASE II UNIFICADO'!$C$6:$F$720,"NO ESTA")</f>
        <v xml:space="preserve">SUMINISTRO E INSTALACIÓN TUBERIA PVC-ALC 250mm                                                                   </v>
      </c>
      <c r="I223" t="str">
        <v xml:space="preserve">ML   </v>
      </c>
      <c r="J223">
        <v>0</v>
      </c>
      <c r="K223">
        <v>79901</v>
      </c>
      <c r="L223">
        <f t="shared" si="17"/>
        <v>1</v>
      </c>
      <c r="M223">
        <f t="shared" si="18"/>
        <v>73947</v>
      </c>
      <c r="N223" s="119">
        <f t="shared" si="19"/>
        <v>20</v>
      </c>
      <c r="O223">
        <f t="shared" si="15"/>
        <v>1478940</v>
      </c>
    </row>
    <row r="224" spans="2:15" ht="15" customHeight="1" x14ac:dyDescent="0.25">
      <c r="B224" s="86" t="s">
        <v>415</v>
      </c>
      <c r="C224" s="87" t="s">
        <v>358</v>
      </c>
      <c r="D224" s="82" t="s">
        <v>284</v>
      </c>
      <c r="E224" s="83">
        <v>4</v>
      </c>
      <c r="F224" s="88">
        <v>501903</v>
      </c>
      <c r="G224" s="89">
        <f t="shared" si="16"/>
        <v>2007612</v>
      </c>
      <c r="H224" s="118" t="str">
        <f t="array" ref="H224:K224">_xlfn.XLOOKUP(C224,'ESAP NEIVA FASE II UNIFICADO'!$C$6:$C$720,'ESAP NEIVA FASE II UNIFICADO'!$C$6:$F$720,"NO ESTA")</f>
        <v xml:space="preserve">SUMINISTRO Y CONSTRUCCIÓN CAJA DE INSPECCIÓN 0.80mX0.80m H mäx:1.0m                                                                    </v>
      </c>
      <c r="I224" t="str">
        <v xml:space="preserve">UN   </v>
      </c>
      <c r="J224">
        <v>1</v>
      </c>
      <c r="K224">
        <v>542308</v>
      </c>
      <c r="L224">
        <f t="shared" si="17"/>
        <v>0</v>
      </c>
      <c r="M224">
        <f t="shared" si="18"/>
        <v>0</v>
      </c>
      <c r="N224" s="119">
        <f t="shared" si="19"/>
        <v>4</v>
      </c>
      <c r="O224">
        <f t="shared" si="15"/>
        <v>0</v>
      </c>
    </row>
    <row r="225" spans="2:15" ht="15" customHeight="1" x14ac:dyDescent="0.25">
      <c r="B225" s="80" t="s">
        <v>416</v>
      </c>
      <c r="C225" s="81" t="s">
        <v>417</v>
      </c>
      <c r="D225" s="82"/>
      <c r="E225" s="83"/>
      <c r="F225" s="90"/>
      <c r="G225" s="89">
        <f t="shared" si="16"/>
        <v>0</v>
      </c>
      <c r="H225" s="118" t="str">
        <f t="array" ref="H225:K225">_xlfn.XLOOKUP(C225,'ESAP NEIVA FASE II UNIFICADO'!$C$6:$C$720,'ESAP NEIVA FASE II UNIFICADO'!$C$6:$F$720,"NO ESTA")</f>
        <v xml:space="preserve">EXCAVACIONES Y RELLENOS                                                                                       </v>
      </c>
      <c r="I225" t="str">
        <v xml:space="preserve">     </v>
      </c>
      <c r="J225">
        <v>0</v>
      </c>
      <c r="K225">
        <v>0</v>
      </c>
      <c r="L225">
        <f t="shared" si="17"/>
        <v>1</v>
      </c>
      <c r="M225">
        <f t="shared" si="18"/>
        <v>0</v>
      </c>
      <c r="N225" s="119">
        <f t="shared" si="19"/>
        <v>0</v>
      </c>
      <c r="O225">
        <f t="shared" si="15"/>
        <v>0</v>
      </c>
    </row>
    <row r="226" spans="2:15" ht="15" customHeight="1" x14ac:dyDescent="0.25">
      <c r="B226" s="86" t="s">
        <v>418</v>
      </c>
      <c r="C226" s="87" t="s">
        <v>419</v>
      </c>
      <c r="D226" s="82" t="s">
        <v>420</v>
      </c>
      <c r="E226" s="83">
        <v>94</v>
      </c>
      <c r="F226" s="88">
        <v>36993</v>
      </c>
      <c r="G226" s="89">
        <f t="shared" si="16"/>
        <v>3477342</v>
      </c>
      <c r="H226" s="118" t="str">
        <f t="array" ref="H226:K226">_xlfn.XLOOKUP(C226,'ESAP NEIVA FASE II UNIFICADO'!$C$6:$C$720,'ESAP NEIVA FASE II UNIFICADO'!$C$6:$F$720,"NO ESTA")</f>
        <v>EXCAVACIÓN MANUAL EN MATERIAL COMÚN (incluye cargue y retiro)</v>
      </c>
      <c r="I226" t="str">
        <v>M3</v>
      </c>
      <c r="J226">
        <v>57.945499999999981</v>
      </c>
      <c r="K226">
        <v>39971</v>
      </c>
      <c r="L226">
        <f t="shared" si="17"/>
        <v>0</v>
      </c>
      <c r="M226">
        <f t="shared" si="18"/>
        <v>0</v>
      </c>
      <c r="N226" s="119">
        <f t="shared" si="19"/>
        <v>94</v>
      </c>
      <c r="O226">
        <f t="shared" si="15"/>
        <v>0</v>
      </c>
    </row>
    <row r="227" spans="2:15" ht="15" customHeight="1" x14ac:dyDescent="0.25">
      <c r="B227" s="86" t="s">
        <v>421</v>
      </c>
      <c r="C227" s="87" t="s">
        <v>422</v>
      </c>
      <c r="D227" s="82" t="s">
        <v>420</v>
      </c>
      <c r="E227" s="83">
        <v>28</v>
      </c>
      <c r="F227" s="88">
        <v>69956</v>
      </c>
      <c r="G227" s="89">
        <f t="shared" si="16"/>
        <v>1958768</v>
      </c>
      <c r="H227" s="118" t="str">
        <f t="array" ref="H227:K227">_xlfn.XLOOKUP(C227,'ESAP NEIVA FASE II UNIFICADO'!$C$6:$C$720,'ESAP NEIVA FASE II UNIFICADO'!$C$6:$F$720,"NO ESTA")</f>
        <v xml:space="preserve">RELLENO EN ARENA INCLUYE TRANSPORTE Y COLOCACIÓN       </v>
      </c>
      <c r="I227" t="str">
        <v>M3</v>
      </c>
      <c r="J227">
        <v>64.790000000000006</v>
      </c>
      <c r="K227">
        <v>75587</v>
      </c>
      <c r="L227">
        <f t="shared" si="17"/>
        <v>0</v>
      </c>
      <c r="M227">
        <f t="shared" si="18"/>
        <v>0</v>
      </c>
      <c r="N227" s="119">
        <f t="shared" si="19"/>
        <v>28</v>
      </c>
      <c r="O227">
        <f t="shared" si="15"/>
        <v>0</v>
      </c>
    </row>
    <row r="228" spans="2:15" ht="15" customHeight="1" x14ac:dyDescent="0.25">
      <c r="B228" s="86" t="s">
        <v>423</v>
      </c>
      <c r="C228" s="87" t="s">
        <v>36</v>
      </c>
      <c r="D228" s="82" t="s">
        <v>420</v>
      </c>
      <c r="E228" s="83">
        <v>28</v>
      </c>
      <c r="F228" s="88">
        <v>58243</v>
      </c>
      <c r="G228" s="89">
        <f t="shared" si="16"/>
        <v>1630804</v>
      </c>
      <c r="H228" s="118" t="str">
        <f t="array" ref="H228:K228">_xlfn.XLOOKUP(C228,'ESAP NEIVA FASE II UNIFICADO'!$C$6:$C$720,'ESAP NEIVA FASE II UNIFICADO'!$C$6:$F$720,"NO ESTA")</f>
        <v>RELLENO EN RECEBO COMÚN (Incluye Compactación)</v>
      </c>
      <c r="I228" t="str">
        <v>M3</v>
      </c>
      <c r="J228">
        <v>70.485000000000014</v>
      </c>
      <c r="K228">
        <v>62932</v>
      </c>
      <c r="L228">
        <f t="shared" si="17"/>
        <v>0</v>
      </c>
      <c r="M228">
        <f t="shared" si="18"/>
        <v>0</v>
      </c>
      <c r="N228" s="119">
        <f t="shared" si="19"/>
        <v>28</v>
      </c>
      <c r="O228">
        <f t="shared" si="15"/>
        <v>0</v>
      </c>
    </row>
    <row r="229" spans="2:15" ht="15" customHeight="1" x14ac:dyDescent="0.25">
      <c r="B229" s="86" t="s">
        <v>424</v>
      </c>
      <c r="C229" s="87" t="s">
        <v>425</v>
      </c>
      <c r="D229" s="82" t="s">
        <v>420</v>
      </c>
      <c r="E229" s="83">
        <v>37</v>
      </c>
      <c r="F229" s="88">
        <v>11569</v>
      </c>
      <c r="G229" s="89">
        <f t="shared" si="16"/>
        <v>428053</v>
      </c>
      <c r="H229" s="118" t="str">
        <f t="array" ref="H229:K229">_xlfn.XLOOKUP(C229,'ESAP NEIVA FASE II UNIFICADO'!$C$6:$C$720,'ESAP NEIVA FASE II UNIFICADO'!$C$6:$F$720,"NO ESTA")</f>
        <v>RELLENO EN MATERIAL COMÚN SELECCIONADO DE OBRA (Incluye Compactación)</v>
      </c>
      <c r="I229" t="str">
        <v xml:space="preserve">M3   </v>
      </c>
      <c r="J229">
        <v>0</v>
      </c>
      <c r="K229">
        <v>12500</v>
      </c>
      <c r="L229">
        <f t="shared" si="17"/>
        <v>1</v>
      </c>
      <c r="M229">
        <f t="shared" si="18"/>
        <v>11569</v>
      </c>
      <c r="N229" s="119">
        <f t="shared" si="19"/>
        <v>37</v>
      </c>
      <c r="O229">
        <f t="shared" si="15"/>
        <v>428053</v>
      </c>
    </row>
    <row r="230" spans="2:15" ht="15" customHeight="1" x14ac:dyDescent="0.25">
      <c r="B230" s="80" t="s">
        <v>426</v>
      </c>
      <c r="C230" s="81" t="s">
        <v>427</v>
      </c>
      <c r="D230" s="82"/>
      <c r="E230" s="83"/>
      <c r="F230" s="90"/>
      <c r="G230" s="89">
        <f t="shared" si="16"/>
        <v>0</v>
      </c>
      <c r="H230" s="118" t="str">
        <f t="array" ref="H230:K230">_xlfn.XLOOKUP(C230,'ESAP NEIVA FASE II UNIFICADO'!$C$6:$C$720,'ESAP NEIVA FASE II UNIFICADO'!$C$6:$F$720,"NO ESTA")</f>
        <v xml:space="preserve">SUMINISTRO E INSTALACION DE EQUIPOS DE BOMBEO                                                                                             </v>
      </c>
      <c r="I230" t="str">
        <v xml:space="preserve">     </v>
      </c>
      <c r="J230">
        <v>0</v>
      </c>
      <c r="K230">
        <v>0</v>
      </c>
      <c r="L230">
        <f t="shared" si="17"/>
        <v>1</v>
      </c>
      <c r="M230">
        <f t="shared" si="18"/>
        <v>0</v>
      </c>
      <c r="N230" s="119">
        <f t="shared" si="19"/>
        <v>0</v>
      </c>
      <c r="O230">
        <f t="shared" si="15"/>
        <v>0</v>
      </c>
    </row>
    <row r="231" spans="2:15" ht="25.5" customHeight="1" x14ac:dyDescent="0.25">
      <c r="B231" s="86" t="s">
        <v>428</v>
      </c>
      <c r="C231" s="87" t="s">
        <v>429</v>
      </c>
      <c r="D231" s="82" t="s">
        <v>374</v>
      </c>
      <c r="E231" s="83">
        <v>1</v>
      </c>
      <c r="F231" s="88">
        <v>32362930</v>
      </c>
      <c r="G231" s="89">
        <f t="shared" si="16"/>
        <v>32362930</v>
      </c>
      <c r="H231" s="118" t="str">
        <f t="array" ref="H231">_xlfn.XLOOKUP(C231,'ESAP NEIVA FASE II UNIFICADO'!$C$6:$C$720,'ESAP NEIVA FASE II UNIFICADO'!$C$6:$F$720,"NO ESTA")</f>
        <v>NO ESTA</v>
      </c>
      <c r="L231">
        <f t="shared" si="17"/>
        <v>1</v>
      </c>
      <c r="M231">
        <f t="shared" si="18"/>
        <v>32362930</v>
      </c>
      <c r="N231" s="119">
        <f t="shared" si="19"/>
        <v>1</v>
      </c>
      <c r="O231">
        <f t="shared" si="15"/>
        <v>32362930</v>
      </c>
    </row>
    <row r="232" spans="2:15" ht="25.5" customHeight="1" x14ac:dyDescent="0.25">
      <c r="B232" s="86" t="s">
        <v>430</v>
      </c>
      <c r="C232" s="87" t="s">
        <v>431</v>
      </c>
      <c r="D232" s="82" t="s">
        <v>374</v>
      </c>
      <c r="E232" s="83">
        <v>1</v>
      </c>
      <c r="F232" s="88">
        <v>88637031</v>
      </c>
      <c r="G232" s="89">
        <f t="shared" si="16"/>
        <v>88637031</v>
      </c>
      <c r="H232" s="118" t="str">
        <f t="array" ref="H232">_xlfn.XLOOKUP(C232,'ESAP NEIVA FASE II UNIFICADO'!$C$6:$C$720,'ESAP NEIVA FASE II UNIFICADO'!$C$6:$F$720,"NO ESTA")</f>
        <v>NO ESTA</v>
      </c>
      <c r="L232">
        <f t="shared" si="17"/>
        <v>1</v>
      </c>
      <c r="M232">
        <f t="shared" si="18"/>
        <v>88637031</v>
      </c>
      <c r="N232" s="119">
        <f t="shared" si="19"/>
        <v>1</v>
      </c>
      <c r="O232">
        <f t="shared" si="15"/>
        <v>88637031</v>
      </c>
    </row>
    <row r="233" spans="2:15" ht="15" customHeight="1" x14ac:dyDescent="0.25">
      <c r="B233" s="86" t="s">
        <v>432</v>
      </c>
      <c r="C233" s="87" t="s">
        <v>433</v>
      </c>
      <c r="D233" s="82" t="s">
        <v>374</v>
      </c>
      <c r="E233" s="83">
        <v>1</v>
      </c>
      <c r="F233" s="88">
        <v>13045522</v>
      </c>
      <c r="G233" s="89">
        <f t="shared" si="16"/>
        <v>13045522</v>
      </c>
      <c r="H233" s="118" t="str">
        <f t="array" ref="H233:K233">_xlfn.XLOOKUP(C233,'ESAP NEIVA FASE II UNIFICADO'!$C$6:$C$720,'ESAP NEIVA FASE II UNIFICADO'!$C$6:$F$720,"NO ESTA")</f>
        <v xml:space="preserve">SUMINISTRO E INSTALACIÓN DE EQUIPO EYECTOR 2 BOMBAS 3HP C/U </v>
      </c>
      <c r="I233" t="str">
        <v>UN</v>
      </c>
      <c r="J233">
        <v>0</v>
      </c>
      <c r="K233">
        <v>14095722</v>
      </c>
      <c r="L233">
        <f t="shared" si="17"/>
        <v>1</v>
      </c>
      <c r="M233">
        <f t="shared" si="18"/>
        <v>13045522</v>
      </c>
      <c r="N233" s="119">
        <f t="shared" si="19"/>
        <v>1</v>
      </c>
      <c r="O233">
        <f t="shared" si="15"/>
        <v>13045522</v>
      </c>
    </row>
    <row r="234" spans="2:15" ht="18" customHeight="1" x14ac:dyDescent="0.25">
      <c r="B234" s="74">
        <v>13</v>
      </c>
      <c r="C234" s="75" t="s">
        <v>434</v>
      </c>
      <c r="D234" s="76"/>
      <c r="E234" s="77"/>
      <c r="F234" s="78"/>
      <c r="G234" s="89">
        <f t="shared" si="16"/>
        <v>0</v>
      </c>
      <c r="H234" s="118" t="str">
        <f t="array" ref="H234:K234">_xlfn.XLOOKUP(C234,'ESAP NEIVA FASE II UNIFICADO'!$C$6:$C$720,'ESAP NEIVA FASE II UNIFICADO'!$C$6:$F$720,"NO ESTA")</f>
        <v xml:space="preserve">RED DE PROTECCION CONTRA INCENDIO </v>
      </c>
      <c r="I234">
        <v>0</v>
      </c>
      <c r="J234">
        <v>0</v>
      </c>
      <c r="K234">
        <v>0</v>
      </c>
      <c r="L234">
        <f t="shared" si="17"/>
        <v>1</v>
      </c>
      <c r="M234">
        <f t="shared" si="18"/>
        <v>0</v>
      </c>
      <c r="N234" s="119">
        <f t="shared" si="19"/>
        <v>0</v>
      </c>
      <c r="O234">
        <f t="shared" si="15"/>
        <v>0</v>
      </c>
    </row>
    <row r="235" spans="2:15" ht="15" customHeight="1" x14ac:dyDescent="0.25">
      <c r="B235" s="80" t="s">
        <v>435</v>
      </c>
      <c r="C235" s="81" t="s">
        <v>436</v>
      </c>
      <c r="D235" s="82"/>
      <c r="E235" s="83"/>
      <c r="F235" s="90"/>
      <c r="G235" s="89">
        <f t="shared" si="16"/>
        <v>0</v>
      </c>
      <c r="H235" s="118" t="str">
        <f t="array" ref="H235:K235">_xlfn.XLOOKUP(C235,'ESAP NEIVA FASE II UNIFICADO'!$C$6:$C$720,'ESAP NEIVA FASE II UNIFICADO'!$C$6:$F$720,"NO ESTA")</f>
        <v>SUMINISTRO E INSTALACIÓN RED DE ACERO NEGRO SCH 40</v>
      </c>
      <c r="I235">
        <v>0</v>
      </c>
      <c r="J235">
        <v>0</v>
      </c>
      <c r="K235">
        <v>0</v>
      </c>
      <c r="L235">
        <f t="shared" si="17"/>
        <v>1</v>
      </c>
      <c r="M235">
        <f t="shared" si="18"/>
        <v>0</v>
      </c>
      <c r="N235" s="119">
        <f t="shared" si="19"/>
        <v>0</v>
      </c>
      <c r="O235">
        <f t="shared" si="15"/>
        <v>0</v>
      </c>
    </row>
    <row r="236" spans="2:15" ht="26.25" customHeight="1" x14ac:dyDescent="0.25">
      <c r="B236" s="86" t="s">
        <v>437</v>
      </c>
      <c r="C236" s="87" t="s">
        <v>438</v>
      </c>
      <c r="D236" s="82" t="s">
        <v>269</v>
      </c>
      <c r="E236" s="83">
        <v>257</v>
      </c>
      <c r="F236" s="88">
        <v>22518</v>
      </c>
      <c r="G236" s="89">
        <f t="shared" si="16"/>
        <v>5787126</v>
      </c>
      <c r="H236" s="118" t="str">
        <f t="array" ref="H236:K236">_xlfn.XLOOKUP(C236,'ESAP NEIVA FASE II UNIFICADO'!$C$6:$C$720,'ESAP NEIVA FASE II UNIFICADO'!$C$6:$F$720,"NO ESTA")</f>
        <v xml:space="preserve">SUMINISTRO E INSTALACIÓN TUBERIA ACERO 1" SCH 40 INCLUYE. SOPORTES Y ADITAMENTOS                                 </v>
      </c>
      <c r="I236" t="str">
        <v xml:space="preserve">ML   </v>
      </c>
      <c r="J236">
        <v>694</v>
      </c>
      <c r="K236">
        <v>24331</v>
      </c>
      <c r="L236">
        <f t="shared" si="17"/>
        <v>0</v>
      </c>
      <c r="M236">
        <f t="shared" si="18"/>
        <v>0</v>
      </c>
      <c r="N236" s="119">
        <f t="shared" si="19"/>
        <v>257</v>
      </c>
      <c r="O236">
        <f t="shared" si="15"/>
        <v>0</v>
      </c>
    </row>
    <row r="237" spans="2:15" ht="26.25" customHeight="1" x14ac:dyDescent="0.25">
      <c r="B237" s="86" t="s">
        <v>439</v>
      </c>
      <c r="C237" s="87" t="s">
        <v>440</v>
      </c>
      <c r="D237" s="82" t="s">
        <v>269</v>
      </c>
      <c r="E237" s="83">
        <v>129</v>
      </c>
      <c r="F237" s="88">
        <v>48230</v>
      </c>
      <c r="G237" s="89">
        <f t="shared" si="16"/>
        <v>6221670</v>
      </c>
      <c r="H237" s="118" t="str">
        <f t="array" ref="H237:K237">_xlfn.XLOOKUP(C237,'ESAP NEIVA FASE II UNIFICADO'!$C$6:$C$720,'ESAP NEIVA FASE II UNIFICADO'!$C$6:$F$720,"NO ESTA")</f>
        <v xml:space="preserve">SUMINISTRO E INSTALACIÓN TUBERIA ACERO 2" SCH 40 INCLUYE. SOPORTES Y ADITAMENTOS                                 </v>
      </c>
      <c r="I237" t="str">
        <v xml:space="preserve">ML   </v>
      </c>
      <c r="J237">
        <v>350</v>
      </c>
      <c r="K237">
        <v>52113</v>
      </c>
      <c r="L237">
        <f t="shared" si="17"/>
        <v>0</v>
      </c>
      <c r="M237">
        <f t="shared" si="18"/>
        <v>0</v>
      </c>
      <c r="N237" s="119">
        <f t="shared" si="19"/>
        <v>129</v>
      </c>
      <c r="O237">
        <f t="shared" si="15"/>
        <v>0</v>
      </c>
    </row>
    <row r="238" spans="2:15" ht="26.25" customHeight="1" x14ac:dyDescent="0.25">
      <c r="B238" s="86" t="s">
        <v>441</v>
      </c>
      <c r="C238" s="87" t="s">
        <v>442</v>
      </c>
      <c r="D238" s="82" t="s">
        <v>269</v>
      </c>
      <c r="E238" s="83">
        <v>112</v>
      </c>
      <c r="F238" s="88">
        <v>89862</v>
      </c>
      <c r="G238" s="89">
        <f t="shared" si="16"/>
        <v>10064544</v>
      </c>
      <c r="H238" s="118" t="str">
        <f t="array" ref="H238:K238">_xlfn.XLOOKUP(C238,'ESAP NEIVA FASE II UNIFICADO'!$C$6:$C$720,'ESAP NEIVA FASE II UNIFICADO'!$C$6:$F$720,"NO ESTA")</f>
        <v xml:space="preserve">SUMINISTRO E INSTALACIÓN TUBERIA ACERO 3" SCH 40 INCLUYE. SOPORTES Y ADITAMENTOS                                 </v>
      </c>
      <c r="I238" t="str">
        <v xml:space="preserve">ML   </v>
      </c>
      <c r="J238">
        <v>301</v>
      </c>
      <c r="K238">
        <v>97096</v>
      </c>
      <c r="L238">
        <f t="shared" si="17"/>
        <v>0</v>
      </c>
      <c r="M238">
        <f t="shared" si="18"/>
        <v>0</v>
      </c>
      <c r="N238" s="119">
        <f t="shared" si="19"/>
        <v>112</v>
      </c>
      <c r="O238">
        <f t="shared" si="15"/>
        <v>0</v>
      </c>
    </row>
    <row r="239" spans="2:15" ht="26.25" customHeight="1" x14ac:dyDescent="0.25">
      <c r="B239" s="86" t="s">
        <v>443</v>
      </c>
      <c r="C239" s="87" t="s">
        <v>444</v>
      </c>
      <c r="D239" s="82" t="s">
        <v>269</v>
      </c>
      <c r="E239" s="83">
        <v>16</v>
      </c>
      <c r="F239" s="88">
        <v>126806</v>
      </c>
      <c r="G239" s="89">
        <f t="shared" si="16"/>
        <v>2028896</v>
      </c>
      <c r="H239" s="118" t="str">
        <f t="array" ref="H239:K239">_xlfn.XLOOKUP(C239,'ESAP NEIVA FASE II UNIFICADO'!$C$6:$C$720,'ESAP NEIVA FASE II UNIFICADO'!$C$6:$F$720,"NO ESTA")</f>
        <v xml:space="preserve">SUMINISTRO E INSTALACIÓN TUBERIA ACERO 4" SCH 40 INCLUYE. SOPORTES Y ADITAMENTOS                                 </v>
      </c>
      <c r="I239" t="str">
        <v xml:space="preserve">ML   </v>
      </c>
      <c r="J239">
        <v>44</v>
      </c>
      <c r="K239">
        <v>137013</v>
      </c>
      <c r="L239">
        <f t="shared" si="17"/>
        <v>0</v>
      </c>
      <c r="M239">
        <f t="shared" si="18"/>
        <v>0</v>
      </c>
      <c r="N239" s="119">
        <f t="shared" si="19"/>
        <v>16</v>
      </c>
      <c r="O239">
        <f t="shared" si="15"/>
        <v>0</v>
      </c>
    </row>
    <row r="240" spans="2:15" ht="15" customHeight="1" x14ac:dyDescent="0.25">
      <c r="B240" s="86" t="s">
        <v>445</v>
      </c>
      <c r="C240" s="87" t="s">
        <v>446</v>
      </c>
      <c r="D240" s="82" t="s">
        <v>284</v>
      </c>
      <c r="E240" s="83">
        <v>95</v>
      </c>
      <c r="F240" s="88">
        <v>7586</v>
      </c>
      <c r="G240" s="89">
        <f t="shared" si="16"/>
        <v>720670</v>
      </c>
      <c r="H240" s="118" t="str">
        <f t="array" ref="H240:K240">_xlfn.XLOOKUP(C240,'ESAP NEIVA FASE II UNIFICADO'!$C$6:$C$720,'ESAP NEIVA FASE II UNIFICADO'!$C$6:$F$720,"NO ESTA")</f>
        <v xml:space="preserve">SUMINISTRO E INSTALACIÓN ACCESORIOS ACERO NEGRO 1"                                                       </v>
      </c>
      <c r="I240" t="str">
        <v xml:space="preserve">UN   </v>
      </c>
      <c r="J240">
        <v>256</v>
      </c>
      <c r="K240">
        <v>8196</v>
      </c>
      <c r="L240">
        <f t="shared" si="17"/>
        <v>0</v>
      </c>
      <c r="M240">
        <f t="shared" si="18"/>
        <v>0</v>
      </c>
      <c r="N240" s="119">
        <f t="shared" si="19"/>
        <v>95</v>
      </c>
      <c r="O240">
        <f t="shared" si="15"/>
        <v>0</v>
      </c>
    </row>
    <row r="241" spans="2:15" ht="15" customHeight="1" x14ac:dyDescent="0.25">
      <c r="B241" s="86" t="s">
        <v>447</v>
      </c>
      <c r="C241" s="87" t="s">
        <v>448</v>
      </c>
      <c r="D241" s="82" t="s">
        <v>284</v>
      </c>
      <c r="E241" s="83">
        <v>35</v>
      </c>
      <c r="F241" s="88">
        <v>16504</v>
      </c>
      <c r="G241" s="89">
        <f t="shared" si="16"/>
        <v>577640</v>
      </c>
      <c r="H241" s="118" t="str">
        <f t="array" ref="H241:K241">_xlfn.XLOOKUP(C241,'ESAP NEIVA FASE II UNIFICADO'!$C$6:$C$720,'ESAP NEIVA FASE II UNIFICADO'!$C$6:$F$720,"NO ESTA")</f>
        <v xml:space="preserve">SUMINISTRO E INSTALACIÓN ACCESORIOS ACERO NEGRO 2"                                                       </v>
      </c>
      <c r="I241" t="str">
        <v xml:space="preserve">UN   </v>
      </c>
      <c r="J241">
        <v>95</v>
      </c>
      <c r="K241">
        <v>17833</v>
      </c>
      <c r="L241">
        <f t="shared" si="17"/>
        <v>0</v>
      </c>
      <c r="M241">
        <f t="shared" si="18"/>
        <v>0</v>
      </c>
      <c r="N241" s="119">
        <f t="shared" si="19"/>
        <v>35</v>
      </c>
      <c r="O241">
        <f t="shared" si="15"/>
        <v>0</v>
      </c>
    </row>
    <row r="242" spans="2:15" ht="15" customHeight="1" x14ac:dyDescent="0.25">
      <c r="B242" s="86" t="s">
        <v>449</v>
      </c>
      <c r="C242" s="87" t="s">
        <v>450</v>
      </c>
      <c r="D242" s="82" t="s">
        <v>284</v>
      </c>
      <c r="E242" s="83">
        <v>48</v>
      </c>
      <c r="F242" s="88">
        <v>25555</v>
      </c>
      <c r="G242" s="89">
        <f t="shared" si="16"/>
        <v>1226640</v>
      </c>
      <c r="H242" s="118" t="str">
        <f t="array" ref="H242:K242">_xlfn.XLOOKUP(C242,'ESAP NEIVA FASE II UNIFICADO'!$C$6:$C$720,'ESAP NEIVA FASE II UNIFICADO'!$C$6:$F$720,"NO ESTA")</f>
        <v xml:space="preserve">SUMINISTRO E INSTALACIÓN ACCESORIOS ACERO NEGRO 3"                                                       </v>
      </c>
      <c r="I242" t="str">
        <v xml:space="preserve">UN   </v>
      </c>
      <c r="J242">
        <v>128</v>
      </c>
      <c r="K242">
        <v>27612</v>
      </c>
      <c r="L242">
        <f t="shared" si="17"/>
        <v>0</v>
      </c>
      <c r="M242">
        <f t="shared" si="18"/>
        <v>0</v>
      </c>
      <c r="N242" s="119">
        <f t="shared" si="19"/>
        <v>48</v>
      </c>
      <c r="O242">
        <f t="shared" si="15"/>
        <v>0</v>
      </c>
    </row>
    <row r="243" spans="2:15" ht="15" customHeight="1" x14ac:dyDescent="0.25">
      <c r="B243" s="86" t="s">
        <v>451</v>
      </c>
      <c r="C243" s="87" t="s">
        <v>452</v>
      </c>
      <c r="D243" s="82" t="s">
        <v>284</v>
      </c>
      <c r="E243" s="83">
        <v>7</v>
      </c>
      <c r="F243" s="88">
        <v>39933</v>
      </c>
      <c r="G243" s="89">
        <f t="shared" si="16"/>
        <v>279531</v>
      </c>
      <c r="H243" s="118" t="str">
        <f t="array" ref="H243:K243">_xlfn.XLOOKUP(C243,'ESAP NEIVA FASE II UNIFICADO'!$C$6:$C$720,'ESAP NEIVA FASE II UNIFICADO'!$C$6:$F$720,"NO ESTA")</f>
        <v xml:space="preserve">SUMINISTRO E INSTALACIÓN ACCESORIOS ACERO NEGRO 4"                                                       </v>
      </c>
      <c r="I243" t="str">
        <v xml:space="preserve">UN   </v>
      </c>
      <c r="J243">
        <v>19</v>
      </c>
      <c r="K243">
        <v>43148</v>
      </c>
      <c r="L243">
        <f t="shared" si="17"/>
        <v>0</v>
      </c>
      <c r="M243">
        <f t="shared" si="18"/>
        <v>0</v>
      </c>
      <c r="N243" s="119">
        <f t="shared" si="19"/>
        <v>7</v>
      </c>
      <c r="O243">
        <f t="shared" si="15"/>
        <v>0</v>
      </c>
    </row>
    <row r="244" spans="2:15" ht="15" customHeight="1" x14ac:dyDescent="0.25">
      <c r="B244" s="86" t="s">
        <v>453</v>
      </c>
      <c r="C244" s="87" t="s">
        <v>454</v>
      </c>
      <c r="D244" s="82" t="s">
        <v>284</v>
      </c>
      <c r="E244" s="83">
        <v>21</v>
      </c>
      <c r="F244" s="88">
        <v>7700</v>
      </c>
      <c r="G244" s="89">
        <f t="shared" si="16"/>
        <v>161700</v>
      </c>
      <c r="H244" s="118" t="str">
        <f t="array" ref="H244:K244">_xlfn.XLOOKUP(C244,'ESAP NEIVA FASE II UNIFICADO'!$C$6:$C$720,'ESAP NEIVA FASE II UNIFICADO'!$C$6:$F$720,"NO ESTA")</f>
        <v xml:space="preserve">SUMINISTRO E INSTALACIÓN ACOPLES HIERRO FUNDIDO DIAMETRO 2"                                                      </v>
      </c>
      <c r="I244" t="str">
        <v xml:space="preserve">UN   </v>
      </c>
      <c r="J244">
        <v>55</v>
      </c>
      <c r="K244">
        <v>8320</v>
      </c>
      <c r="L244">
        <f t="shared" si="17"/>
        <v>0</v>
      </c>
      <c r="M244">
        <f t="shared" si="18"/>
        <v>0</v>
      </c>
      <c r="N244" s="119">
        <f t="shared" si="19"/>
        <v>21</v>
      </c>
      <c r="O244">
        <f t="shared" si="15"/>
        <v>0</v>
      </c>
    </row>
    <row r="245" spans="2:15" ht="15" customHeight="1" x14ac:dyDescent="0.25">
      <c r="B245" s="86" t="s">
        <v>455</v>
      </c>
      <c r="C245" s="87" t="s">
        <v>456</v>
      </c>
      <c r="D245" s="82" t="s">
        <v>284</v>
      </c>
      <c r="E245" s="83">
        <v>22</v>
      </c>
      <c r="F245" s="88">
        <v>10220</v>
      </c>
      <c r="G245" s="89">
        <f t="shared" si="16"/>
        <v>224840</v>
      </c>
      <c r="H245" s="118" t="str">
        <f t="array" ref="H245:K245">_xlfn.XLOOKUP(C245,'ESAP NEIVA FASE II UNIFICADO'!$C$6:$C$720,'ESAP NEIVA FASE II UNIFICADO'!$C$6:$F$720,"NO ESTA")</f>
        <v xml:space="preserve">SUMINISTRO E INSTALACIÓN ACOPLES HIERRO FUNDIDO DIAMETRO 3"                                                       </v>
      </c>
      <c r="I245" t="str">
        <v xml:space="preserve">UN   </v>
      </c>
      <c r="J245">
        <v>58</v>
      </c>
      <c r="K245">
        <v>11043</v>
      </c>
      <c r="L245">
        <f t="shared" si="17"/>
        <v>0</v>
      </c>
      <c r="M245">
        <f t="shared" si="18"/>
        <v>0</v>
      </c>
      <c r="N245" s="119">
        <f t="shared" si="19"/>
        <v>22</v>
      </c>
      <c r="O245">
        <f t="shared" si="15"/>
        <v>0</v>
      </c>
    </row>
    <row r="246" spans="2:15" ht="15" customHeight="1" x14ac:dyDescent="0.25">
      <c r="B246" s="86" t="s">
        <v>457</v>
      </c>
      <c r="C246" s="87" t="s">
        <v>458</v>
      </c>
      <c r="D246" s="82" t="s">
        <v>284</v>
      </c>
      <c r="E246" s="83">
        <v>3</v>
      </c>
      <c r="F246" s="88">
        <v>12644</v>
      </c>
      <c r="G246" s="89">
        <f t="shared" si="16"/>
        <v>37932</v>
      </c>
      <c r="H246" s="118" t="str">
        <f t="array" ref="H246:K246">_xlfn.XLOOKUP(C246,'ESAP NEIVA FASE II UNIFICADO'!$C$6:$C$720,'ESAP NEIVA FASE II UNIFICADO'!$C$6:$F$720,"NO ESTA")</f>
        <v xml:space="preserve">SUMINISTRO E INSTALACIÓN ACOPLES HIERRO FUNDIDO DIAMETRO 4"                                                       </v>
      </c>
      <c r="I246" t="str">
        <v xml:space="preserve">UN   </v>
      </c>
      <c r="J246">
        <v>9</v>
      </c>
      <c r="K246">
        <v>13663</v>
      </c>
      <c r="L246">
        <f t="shared" si="17"/>
        <v>0</v>
      </c>
      <c r="M246">
        <f t="shared" si="18"/>
        <v>0</v>
      </c>
      <c r="N246" s="119">
        <f t="shared" si="19"/>
        <v>3</v>
      </c>
      <c r="O246">
        <f t="shared" si="15"/>
        <v>0</v>
      </c>
    </row>
    <row r="247" spans="2:15" ht="15" customHeight="1" x14ac:dyDescent="0.25">
      <c r="B247" s="86" t="s">
        <v>459</v>
      </c>
      <c r="C247" s="87" t="s">
        <v>460</v>
      </c>
      <c r="D247" s="82" t="s">
        <v>269</v>
      </c>
      <c r="E247" s="83">
        <v>222</v>
      </c>
      <c r="F247" s="88">
        <v>5448</v>
      </c>
      <c r="G247" s="89">
        <f t="shared" si="16"/>
        <v>1209456</v>
      </c>
      <c r="H247" s="118" t="str">
        <f t="array" ref="H247:K247">_xlfn.XLOOKUP(C247,'ESAP NEIVA FASE II UNIFICADO'!$C$6:$C$720,'ESAP NEIVA FASE II UNIFICADO'!$C$6:$F$720,"NO ESTA")</f>
        <v xml:space="preserve">SUMINISTRO Y APLICACIÓN PINTURA RED DE INCENDIO DIAMETRO DE 1" A 2"                                                              </v>
      </c>
      <c r="I247" t="str">
        <v xml:space="preserve">ML   </v>
      </c>
      <c r="J247">
        <v>602</v>
      </c>
      <c r="K247">
        <v>5888</v>
      </c>
      <c r="L247">
        <f t="shared" si="17"/>
        <v>0</v>
      </c>
      <c r="M247">
        <f t="shared" si="18"/>
        <v>0</v>
      </c>
      <c r="N247" s="119">
        <f t="shared" si="19"/>
        <v>222</v>
      </c>
      <c r="O247">
        <f t="shared" si="15"/>
        <v>0</v>
      </c>
    </row>
    <row r="248" spans="2:15" ht="15" customHeight="1" x14ac:dyDescent="0.25">
      <c r="B248" s="86" t="s">
        <v>461</v>
      </c>
      <c r="C248" s="87" t="s">
        <v>462</v>
      </c>
      <c r="D248" s="82" t="s">
        <v>269</v>
      </c>
      <c r="E248" s="83">
        <v>40</v>
      </c>
      <c r="F248" s="88">
        <v>9269</v>
      </c>
      <c r="G248" s="89">
        <f t="shared" si="16"/>
        <v>370760</v>
      </c>
      <c r="H248" s="118" t="str">
        <f t="array" ref="H248:K248">_xlfn.XLOOKUP(C248,'ESAP NEIVA FASE II UNIFICADO'!$C$6:$C$720,'ESAP NEIVA FASE II UNIFICADO'!$C$6:$F$720,"NO ESTA")</f>
        <v xml:space="preserve">SUMINISTRO Y APLICACIÓN PINTURA RED DE INCENDIO DIAMETRO DE  2 1/2" A 4"                                                          </v>
      </c>
      <c r="I248" t="str">
        <v xml:space="preserve">ML   </v>
      </c>
      <c r="J248">
        <v>107</v>
      </c>
      <c r="K248">
        <v>10014</v>
      </c>
      <c r="L248">
        <f t="shared" si="17"/>
        <v>0</v>
      </c>
      <c r="M248">
        <f t="shared" si="18"/>
        <v>0</v>
      </c>
      <c r="N248" s="119">
        <f t="shared" si="19"/>
        <v>40</v>
      </c>
      <c r="O248">
        <f t="shared" si="15"/>
        <v>0</v>
      </c>
    </row>
    <row r="249" spans="2:15" ht="15" customHeight="1" x14ac:dyDescent="0.25">
      <c r="B249" s="80" t="s">
        <v>463</v>
      </c>
      <c r="C249" s="81" t="s">
        <v>464</v>
      </c>
      <c r="D249" s="82"/>
      <c r="E249" s="83"/>
      <c r="F249" s="90"/>
      <c r="G249" s="89">
        <f t="shared" si="16"/>
        <v>0</v>
      </c>
      <c r="H249" s="118" t="str">
        <f t="array" ref="H249:K249">_xlfn.XLOOKUP(C249,'ESAP NEIVA FASE II UNIFICADO'!$C$6:$C$720,'ESAP NEIVA FASE II UNIFICADO'!$C$6:$F$720,"NO ESTA")</f>
        <v>SUMINISTRO E INSTALACION ELEMENTOS RED CONTRA INCENDIO</v>
      </c>
      <c r="I249">
        <v>0</v>
      </c>
      <c r="J249">
        <v>0</v>
      </c>
      <c r="K249">
        <v>0</v>
      </c>
      <c r="L249">
        <f t="shared" si="17"/>
        <v>1</v>
      </c>
      <c r="M249">
        <f t="shared" si="18"/>
        <v>0</v>
      </c>
      <c r="N249" s="119">
        <f t="shared" si="19"/>
        <v>0</v>
      </c>
      <c r="O249">
        <f t="shared" si="15"/>
        <v>0</v>
      </c>
    </row>
    <row r="250" spans="2:15" ht="15" customHeight="1" x14ac:dyDescent="0.25">
      <c r="B250" s="86" t="s">
        <v>465</v>
      </c>
      <c r="C250" s="87" t="s">
        <v>466</v>
      </c>
      <c r="D250" s="82" t="s">
        <v>284</v>
      </c>
      <c r="E250" s="83">
        <v>102</v>
      </c>
      <c r="F250" s="88">
        <v>54943</v>
      </c>
      <c r="G250" s="89">
        <f t="shared" si="16"/>
        <v>5604186</v>
      </c>
      <c r="H250" s="118" t="str">
        <f t="array" ref="H250:K250">_xlfn.XLOOKUP(C250,'ESAP NEIVA FASE II UNIFICADO'!$C$6:$C$720,'ESAP NEIVA FASE II UNIFICADO'!$C$6:$F$720,"NO ESTA")</f>
        <v xml:space="preserve">SUMINISTRO E INSTALACIÓN ROCIADOR PENDENT K:5.6                                                          </v>
      </c>
      <c r="I250" t="str">
        <v xml:space="preserve">UN   </v>
      </c>
      <c r="J250">
        <v>276</v>
      </c>
      <c r="K250">
        <v>59366</v>
      </c>
      <c r="L250">
        <f t="shared" si="17"/>
        <v>0</v>
      </c>
      <c r="M250">
        <f t="shared" si="18"/>
        <v>0</v>
      </c>
      <c r="N250" s="119">
        <f t="shared" si="19"/>
        <v>102</v>
      </c>
      <c r="O250">
        <f t="shared" si="15"/>
        <v>0</v>
      </c>
    </row>
    <row r="251" spans="2:15" ht="15" customHeight="1" x14ac:dyDescent="0.25">
      <c r="B251" s="86" t="s">
        <v>467</v>
      </c>
      <c r="C251" s="87" t="s">
        <v>468</v>
      </c>
      <c r="D251" s="82" t="s">
        <v>284</v>
      </c>
      <c r="E251" s="83">
        <v>14</v>
      </c>
      <c r="F251" s="88">
        <v>36002</v>
      </c>
      <c r="G251" s="89">
        <f t="shared" si="16"/>
        <v>504028</v>
      </c>
      <c r="H251" s="118" t="str">
        <f t="array" ref="H251:K251">_xlfn.XLOOKUP(C251,'ESAP NEIVA FASE II UNIFICADO'!$C$6:$C$720,'ESAP NEIVA FASE II UNIFICADO'!$C$6:$F$720,"NO ESTA")</f>
        <v xml:space="preserve">SUMINISTRO E INSTALACIÓN ROCIADOR MONTANTE K:5.6                                                          </v>
      </c>
      <c r="I251" t="str">
        <v xml:space="preserve">UN   </v>
      </c>
      <c r="J251">
        <v>38</v>
      </c>
      <c r="K251">
        <v>38899</v>
      </c>
      <c r="L251">
        <f t="shared" si="17"/>
        <v>0</v>
      </c>
      <c r="M251">
        <f t="shared" si="18"/>
        <v>0</v>
      </c>
      <c r="N251" s="119">
        <f t="shared" si="19"/>
        <v>14</v>
      </c>
      <c r="O251">
        <f t="shared" si="15"/>
        <v>0</v>
      </c>
    </row>
    <row r="252" spans="2:15" ht="15" customHeight="1" x14ac:dyDescent="0.25">
      <c r="B252" s="86" t="s">
        <v>469</v>
      </c>
      <c r="C252" s="87" t="s">
        <v>470</v>
      </c>
      <c r="D252" s="82" t="s">
        <v>284</v>
      </c>
      <c r="E252" s="83">
        <v>10</v>
      </c>
      <c r="F252" s="88">
        <v>118801</v>
      </c>
      <c r="G252" s="89">
        <f t="shared" si="16"/>
        <v>1188010</v>
      </c>
      <c r="H252" s="118" t="str">
        <f t="array" ref="H252:K252">_xlfn.XLOOKUP(C252,'ESAP NEIVA FASE II UNIFICADO'!$C$6:$C$720,'ESAP NEIVA FASE II UNIFICADO'!$C$6:$F$720,"NO ESTA")</f>
        <v xml:space="preserve">SUMINISTRO E INSTALACIÓN ROCIADOR PENDENT K:11.2                                                          </v>
      </c>
      <c r="I252" t="str">
        <v xml:space="preserve">UN   </v>
      </c>
      <c r="J252">
        <v>27</v>
      </c>
      <c r="K252">
        <v>128366</v>
      </c>
      <c r="L252">
        <f t="shared" si="17"/>
        <v>0</v>
      </c>
      <c r="M252">
        <f t="shared" si="18"/>
        <v>0</v>
      </c>
      <c r="N252" s="119">
        <f t="shared" si="19"/>
        <v>10</v>
      </c>
      <c r="O252">
        <f t="shared" si="15"/>
        <v>0</v>
      </c>
    </row>
    <row r="253" spans="2:15" ht="15" customHeight="1" x14ac:dyDescent="0.25">
      <c r="B253" s="86" t="s">
        <v>471</v>
      </c>
      <c r="C253" s="87" t="s">
        <v>472</v>
      </c>
      <c r="D253" s="82" t="s">
        <v>284</v>
      </c>
      <c r="E253" s="83">
        <v>126</v>
      </c>
      <c r="F253" s="88">
        <v>43364</v>
      </c>
      <c r="G253" s="89">
        <f t="shared" si="16"/>
        <v>5463864</v>
      </c>
      <c r="H253" s="118" t="str">
        <f t="array" ref="H253:K253">_xlfn.XLOOKUP(C253,'ESAP NEIVA FASE II UNIFICADO'!$C$6:$C$720,'ESAP NEIVA FASE II UNIFICADO'!$C$6:$F$720,"NO ESTA")</f>
        <v xml:space="preserve">SUMINISTRO E INSTALACIÓN PUNTO HIDRÁULICO PARA ROCIADOR                                                  </v>
      </c>
      <c r="I253" t="str">
        <v xml:space="preserve">UN   </v>
      </c>
      <c r="J253">
        <v>341</v>
      </c>
      <c r="K253">
        <v>46856</v>
      </c>
      <c r="L253">
        <f t="shared" si="17"/>
        <v>0</v>
      </c>
      <c r="M253">
        <f t="shared" si="18"/>
        <v>0</v>
      </c>
      <c r="N253" s="119">
        <f t="shared" si="19"/>
        <v>126</v>
      </c>
      <c r="O253">
        <f t="shared" si="15"/>
        <v>0</v>
      </c>
    </row>
    <row r="254" spans="2:15" ht="15" customHeight="1" x14ac:dyDescent="0.25">
      <c r="B254" s="86" t="s">
        <v>473</v>
      </c>
      <c r="C254" s="87" t="s">
        <v>474</v>
      </c>
      <c r="D254" s="82" t="s">
        <v>284</v>
      </c>
      <c r="E254" s="83">
        <v>3</v>
      </c>
      <c r="F254" s="88">
        <v>3872781</v>
      </c>
      <c r="G254" s="89">
        <f t="shared" si="16"/>
        <v>11618343</v>
      </c>
      <c r="H254" s="118" t="str">
        <f t="array" ref="H254:K254">_xlfn.XLOOKUP(C254,'ESAP NEIVA FASE II UNIFICADO'!$C$6:$C$720,'ESAP NEIVA FASE II UNIFICADO'!$C$6:$F$720,"NO ESTA")</f>
        <v xml:space="preserve">SUMINISTRO E INSTALACIÓN ESTACIÓN DE CONTROL, PRUEBA Y DRENAJE 3"                                        </v>
      </c>
      <c r="I254" t="str">
        <v xml:space="preserve">UN   </v>
      </c>
      <c r="J254">
        <v>2</v>
      </c>
      <c r="K254">
        <v>4184551</v>
      </c>
      <c r="L254">
        <f t="shared" si="17"/>
        <v>0</v>
      </c>
      <c r="M254">
        <f t="shared" si="18"/>
        <v>0</v>
      </c>
      <c r="N254" s="119">
        <f t="shared" si="19"/>
        <v>3</v>
      </c>
      <c r="O254">
        <f t="shared" si="15"/>
        <v>0</v>
      </c>
    </row>
    <row r="255" spans="2:15" ht="15" customHeight="1" x14ac:dyDescent="0.25">
      <c r="B255" s="86" t="s">
        <v>475</v>
      </c>
      <c r="C255" s="87" t="s">
        <v>476</v>
      </c>
      <c r="D255" s="82" t="s">
        <v>284</v>
      </c>
      <c r="E255" s="83">
        <v>3</v>
      </c>
      <c r="F255" s="88">
        <v>74140</v>
      </c>
      <c r="G255" s="89">
        <f t="shared" si="16"/>
        <v>222420</v>
      </c>
      <c r="H255" s="118" t="str">
        <f t="array" ref="H255:K255">_xlfn.XLOOKUP(C255,'ESAP NEIVA FASE II UNIFICADO'!$C$6:$C$720,'ESAP NEIVA FASE II UNIFICADO'!$C$6:$F$720,"NO ESTA")</f>
        <v xml:space="preserve">SUMINISTRO E INSTALACIÓN VÁLVULA TOMA Y DESC. AIRE 1" INCENDIO                                           </v>
      </c>
      <c r="I255" t="str">
        <v xml:space="preserve">UN   </v>
      </c>
      <c r="J255">
        <v>7</v>
      </c>
      <c r="K255">
        <v>80107</v>
      </c>
      <c r="L255">
        <f t="shared" si="17"/>
        <v>0</v>
      </c>
      <c r="M255">
        <f t="shared" si="18"/>
        <v>0</v>
      </c>
      <c r="N255" s="119">
        <f t="shared" si="19"/>
        <v>3</v>
      </c>
      <c r="O255">
        <f t="shared" si="15"/>
        <v>0</v>
      </c>
    </row>
    <row r="256" spans="2:15" ht="15" customHeight="1" x14ac:dyDescent="0.25">
      <c r="B256" s="86" t="s">
        <v>477</v>
      </c>
      <c r="C256" s="87" t="s">
        <v>478</v>
      </c>
      <c r="D256" s="82" t="s">
        <v>284</v>
      </c>
      <c r="E256" s="83">
        <v>1</v>
      </c>
      <c r="F256" s="88">
        <v>1375643</v>
      </c>
      <c r="G256" s="89">
        <f t="shared" si="16"/>
        <v>1375643</v>
      </c>
      <c r="H256" s="118" t="str">
        <f t="array" ref="H256:K256">_xlfn.XLOOKUP(C256,'ESAP NEIVA FASE II UNIFICADO'!$C$6:$C$720,'ESAP NEIVA FASE II UNIFICADO'!$C$6:$F$720,"NO ESTA")</f>
        <v xml:space="preserve">SUMINISTRO E INSTALACIÓN SIAMESA DE INYECCIÓN                                                            </v>
      </c>
      <c r="I256" t="str">
        <v xml:space="preserve">UN   </v>
      </c>
      <c r="J256">
        <v>1</v>
      </c>
      <c r="K256">
        <v>1486386</v>
      </c>
      <c r="L256">
        <f t="shared" si="17"/>
        <v>0</v>
      </c>
      <c r="M256">
        <f t="shared" si="18"/>
        <v>0</v>
      </c>
      <c r="N256" s="119">
        <f t="shared" si="19"/>
        <v>1</v>
      </c>
      <c r="O256">
        <f t="shared" si="15"/>
        <v>0</v>
      </c>
    </row>
    <row r="257" spans="2:15" ht="15" customHeight="1" x14ac:dyDescent="0.25">
      <c r="B257" s="86" t="s">
        <v>479</v>
      </c>
      <c r="C257" s="87" t="s">
        <v>480</v>
      </c>
      <c r="D257" s="82" t="s">
        <v>284</v>
      </c>
      <c r="E257" s="83">
        <v>1</v>
      </c>
      <c r="F257" s="88">
        <v>4975125</v>
      </c>
      <c r="G257" s="89">
        <f t="shared" si="16"/>
        <v>4975125</v>
      </c>
      <c r="H257" s="118" t="str">
        <f t="array" ref="H257:K257">_xlfn.XLOOKUP(C257,'ESAP NEIVA FASE II UNIFICADO'!$C$6:$C$720,'ESAP NEIVA FASE II UNIFICADO'!$C$6:$F$720,"NO ESTA")</f>
        <v xml:space="preserve">SUMINISTRO E INSTALACIÓN CABEZAL DE PRUEBAS                                                         </v>
      </c>
      <c r="I257" t="str">
        <v xml:space="preserve">UN   </v>
      </c>
      <c r="J257">
        <v>0</v>
      </c>
      <c r="K257">
        <v>5375637</v>
      </c>
      <c r="L257">
        <f t="shared" si="17"/>
        <v>1</v>
      </c>
      <c r="M257">
        <f t="shared" si="18"/>
        <v>4975125</v>
      </c>
      <c r="N257" s="119">
        <f t="shared" si="19"/>
        <v>1</v>
      </c>
      <c r="O257">
        <f t="shared" ref="O257:O320" si="20">M257*N257</f>
        <v>4975125</v>
      </c>
    </row>
    <row r="258" spans="2:15" ht="15" customHeight="1" x14ac:dyDescent="0.25">
      <c r="B258" s="86" t="s">
        <v>481</v>
      </c>
      <c r="C258" s="87" t="s">
        <v>482</v>
      </c>
      <c r="D258" s="82" t="s">
        <v>284</v>
      </c>
      <c r="E258" s="83">
        <v>1</v>
      </c>
      <c r="F258" s="88">
        <v>397462</v>
      </c>
      <c r="G258" s="89">
        <f t="shared" si="16"/>
        <v>397462</v>
      </c>
      <c r="H258" s="118" t="str">
        <f t="array" ref="H258:K258">_xlfn.XLOOKUP(C258,'ESAP NEIVA FASE II UNIFICADO'!$C$6:$C$720,'ESAP NEIVA FASE II UNIFICADO'!$C$6:$F$720,"NO ESTA")</f>
        <v xml:space="preserve">SUMINISTRO E INSTALACIÓN CHEQUE RANURADO 4"                                                              </v>
      </c>
      <c r="I258" t="str">
        <v xml:space="preserve">UN   </v>
      </c>
      <c r="J258">
        <v>0</v>
      </c>
      <c r="K258">
        <v>429459</v>
      </c>
      <c r="L258">
        <f t="shared" si="17"/>
        <v>1</v>
      </c>
      <c r="M258">
        <f t="shared" si="18"/>
        <v>397462</v>
      </c>
      <c r="N258" s="119">
        <f t="shared" si="19"/>
        <v>1</v>
      </c>
      <c r="O258">
        <f t="shared" si="20"/>
        <v>397462</v>
      </c>
    </row>
    <row r="259" spans="2:15" ht="15" customHeight="1" x14ac:dyDescent="0.25">
      <c r="B259" s="86" t="s">
        <v>483</v>
      </c>
      <c r="C259" s="87" t="s">
        <v>484</v>
      </c>
      <c r="D259" s="82" t="s">
        <v>284</v>
      </c>
      <c r="E259" s="83">
        <v>1</v>
      </c>
      <c r="F259" s="88">
        <v>1429860</v>
      </c>
      <c r="G259" s="89">
        <f t="shared" si="16"/>
        <v>1429860</v>
      </c>
      <c r="H259" s="118" t="str">
        <f t="array" ref="H259:K259">_xlfn.XLOOKUP(C259,'ESAP NEIVA FASE II UNIFICADO'!$C$6:$C$720,'ESAP NEIVA FASE II UNIFICADO'!$C$6:$F$720,"NO ESTA")</f>
        <v xml:space="preserve">SUMINISTRO E INSTALACIÓN VÁLVULA OS&amp;Y 4"                                                                 </v>
      </c>
      <c r="I259" t="str">
        <v xml:space="preserve">UN   </v>
      </c>
      <c r="J259">
        <v>0</v>
      </c>
      <c r="K259">
        <v>1544969</v>
      </c>
      <c r="L259">
        <f t="shared" si="17"/>
        <v>1</v>
      </c>
      <c r="M259">
        <f t="shared" si="18"/>
        <v>1429860</v>
      </c>
      <c r="N259" s="119">
        <f t="shared" si="19"/>
        <v>1</v>
      </c>
      <c r="O259">
        <f t="shared" si="20"/>
        <v>1429860</v>
      </c>
    </row>
    <row r="260" spans="2:15" ht="15" customHeight="1" x14ac:dyDescent="0.25">
      <c r="B260" s="86" t="s">
        <v>485</v>
      </c>
      <c r="C260" s="87" t="s">
        <v>486</v>
      </c>
      <c r="D260" s="82" t="s">
        <v>284</v>
      </c>
      <c r="E260" s="83">
        <v>5</v>
      </c>
      <c r="F260" s="88">
        <v>129341</v>
      </c>
      <c r="G260" s="89">
        <f t="shared" si="16"/>
        <v>646705</v>
      </c>
      <c r="H260" s="118" t="str">
        <f t="array" ref="H260:K260">_xlfn.XLOOKUP(C260,'ESAP NEIVA FASE II UNIFICADO'!$C$6:$C$720,'ESAP NEIVA FASE II UNIFICADO'!$C$6:$F$720,"NO ESTA")</f>
        <v xml:space="preserve">SUMINISTRO E INSTALACIÓN SOPORTE LONGITUDINAL 4 VÍAS 3"                                                               </v>
      </c>
      <c r="I260" t="str">
        <v xml:space="preserve">UN   </v>
      </c>
      <c r="J260">
        <v>15</v>
      </c>
      <c r="K260">
        <v>139754</v>
      </c>
      <c r="L260">
        <f t="shared" si="17"/>
        <v>0</v>
      </c>
      <c r="M260">
        <f t="shared" si="18"/>
        <v>0</v>
      </c>
      <c r="N260" s="119">
        <f t="shared" si="19"/>
        <v>5</v>
      </c>
      <c r="O260">
        <f t="shared" si="20"/>
        <v>0</v>
      </c>
    </row>
    <row r="261" spans="2:15" ht="15" customHeight="1" x14ac:dyDescent="0.25">
      <c r="B261" s="86" t="s">
        <v>487</v>
      </c>
      <c r="C261" s="87" t="s">
        <v>488</v>
      </c>
      <c r="D261" s="82" t="s">
        <v>284</v>
      </c>
      <c r="E261" s="83">
        <v>1</v>
      </c>
      <c r="F261" s="88">
        <v>260130</v>
      </c>
      <c r="G261" s="89">
        <f t="shared" si="16"/>
        <v>260130</v>
      </c>
      <c r="H261" s="118" t="str">
        <f t="array" ref="H261:K261">_xlfn.XLOOKUP(C261,'ESAP NEIVA FASE II UNIFICADO'!$C$6:$C$720,'ESAP NEIVA FASE II UNIFICADO'!$C$6:$F$720,"NO ESTA")</f>
        <v xml:space="preserve">SUMINISTRO E INSTALACIÓN SOPORTE LONGITUDINAL 4 VÍAS 4"                                                               </v>
      </c>
      <c r="I261" t="str">
        <v xml:space="preserve">UN   </v>
      </c>
      <c r="J261">
        <v>2</v>
      </c>
      <c r="K261">
        <v>281071</v>
      </c>
      <c r="L261">
        <f t="shared" si="17"/>
        <v>0</v>
      </c>
      <c r="M261">
        <f t="shared" si="18"/>
        <v>0</v>
      </c>
      <c r="N261" s="119">
        <f t="shared" si="19"/>
        <v>1</v>
      </c>
      <c r="O261">
        <f t="shared" si="20"/>
        <v>0</v>
      </c>
    </row>
    <row r="262" spans="2:15" ht="15" customHeight="1" x14ac:dyDescent="0.25">
      <c r="B262" s="86" t="s">
        <v>489</v>
      </c>
      <c r="C262" s="87" t="s">
        <v>490</v>
      </c>
      <c r="D262" s="82" t="s">
        <v>284</v>
      </c>
      <c r="E262" s="83">
        <v>12</v>
      </c>
      <c r="F262" s="88">
        <v>111240</v>
      </c>
      <c r="G262" s="89">
        <f t="shared" si="16"/>
        <v>1334880</v>
      </c>
      <c r="H262" s="118" t="str">
        <f t="array" ref="H262:K262">_xlfn.XLOOKUP(C262,'ESAP NEIVA FASE II UNIFICADO'!$C$6:$C$720,'ESAP NEIVA FASE II UNIFICADO'!$C$6:$F$720,"NO ESTA")</f>
        <v xml:space="preserve">SUMINISTRO E INSTALACIÓN SOPORTE LATERAL 2 VÍAS 2"                                                       </v>
      </c>
      <c r="I262" t="str">
        <v xml:space="preserve">UN   </v>
      </c>
      <c r="J262">
        <v>32</v>
      </c>
      <c r="K262">
        <v>120195</v>
      </c>
      <c r="L262">
        <f t="shared" si="17"/>
        <v>0</v>
      </c>
      <c r="M262">
        <f t="shared" si="18"/>
        <v>0</v>
      </c>
      <c r="N262" s="119">
        <f t="shared" si="19"/>
        <v>12</v>
      </c>
      <c r="O262">
        <f t="shared" si="20"/>
        <v>0</v>
      </c>
    </row>
    <row r="263" spans="2:15" ht="15" customHeight="1" x14ac:dyDescent="0.25">
      <c r="B263" s="86" t="s">
        <v>491</v>
      </c>
      <c r="C263" s="87" t="s">
        <v>492</v>
      </c>
      <c r="D263" s="82" t="s">
        <v>284</v>
      </c>
      <c r="E263" s="83">
        <v>10</v>
      </c>
      <c r="F263" s="88">
        <v>117185</v>
      </c>
      <c r="G263" s="89">
        <f t="shared" ref="G263:G326" si="21">ROUND(+F263*E263,2)</f>
        <v>1171850</v>
      </c>
      <c r="H263" s="118" t="str">
        <f t="array" ref="H263:K263">_xlfn.XLOOKUP(C263,'ESAP NEIVA FASE II UNIFICADO'!$C$6:$C$720,'ESAP NEIVA FASE II UNIFICADO'!$C$6:$F$720,"NO ESTA")</f>
        <v xml:space="preserve">SUMINISTRO E INSTALACIÓN SOPORTE LATERAL 2 VÍAS 3"                                                       </v>
      </c>
      <c r="I263" t="str">
        <v xml:space="preserve">UN   </v>
      </c>
      <c r="J263">
        <v>27</v>
      </c>
      <c r="K263">
        <v>126619</v>
      </c>
      <c r="L263">
        <f t="shared" si="17"/>
        <v>0</v>
      </c>
      <c r="M263">
        <f t="shared" si="18"/>
        <v>0</v>
      </c>
      <c r="N263" s="119">
        <f t="shared" si="19"/>
        <v>10</v>
      </c>
      <c r="O263">
        <f t="shared" si="20"/>
        <v>0</v>
      </c>
    </row>
    <row r="264" spans="2:15" ht="15" customHeight="1" x14ac:dyDescent="0.25">
      <c r="B264" s="86" t="s">
        <v>493</v>
      </c>
      <c r="C264" s="87" t="s">
        <v>494</v>
      </c>
      <c r="D264" s="82" t="s">
        <v>284</v>
      </c>
      <c r="E264" s="83">
        <v>2</v>
      </c>
      <c r="F264" s="88">
        <v>1486307</v>
      </c>
      <c r="G264" s="89">
        <f t="shared" si="21"/>
        <v>2972614</v>
      </c>
      <c r="H264" s="118" t="str">
        <f t="array" ref="H264:K264">_xlfn.XLOOKUP(C264,'ESAP NEIVA FASE II UNIFICADO'!$C$6:$C$720,'ESAP NEIVA FASE II UNIFICADO'!$C$6:$F$720,"NO ESTA")</f>
        <v xml:space="preserve">SUMINISTRO E INSTALACIÓN GABINETE TIPO II </v>
      </c>
      <c r="I264" t="str">
        <v xml:space="preserve">UN   </v>
      </c>
      <c r="J264">
        <v>6</v>
      </c>
      <c r="K264">
        <v>1605959</v>
      </c>
      <c r="L264">
        <f t="shared" si="17"/>
        <v>0</v>
      </c>
      <c r="M264">
        <f t="shared" si="18"/>
        <v>0</v>
      </c>
      <c r="N264" s="119">
        <f t="shared" si="19"/>
        <v>2</v>
      </c>
      <c r="O264">
        <f t="shared" si="20"/>
        <v>0</v>
      </c>
    </row>
    <row r="265" spans="2:15" ht="15.75" customHeight="1" x14ac:dyDescent="0.25">
      <c r="B265" s="74">
        <v>14</v>
      </c>
      <c r="C265" s="75" t="s">
        <v>495</v>
      </c>
      <c r="D265" s="76"/>
      <c r="E265" s="77"/>
      <c r="F265" s="78"/>
      <c r="G265" s="89">
        <f t="shared" si="21"/>
        <v>0</v>
      </c>
      <c r="H265" s="118" t="str">
        <f t="array" ref="H265:K265">_xlfn.XLOOKUP(C265,'ESAP NEIVA FASE II UNIFICADO'!$C$6:$C$720,'ESAP NEIVA FASE II UNIFICADO'!$C$6:$F$720,"NO ESTA")</f>
        <v>SALIDAS DE ALUMBRADO Y TOMACORRIENTES ELÉCTRICOS</v>
      </c>
      <c r="I265">
        <v>0</v>
      </c>
      <c r="J265">
        <v>0</v>
      </c>
      <c r="K265">
        <v>0</v>
      </c>
      <c r="L265">
        <f t="shared" si="17"/>
        <v>1</v>
      </c>
      <c r="M265">
        <f t="shared" si="18"/>
        <v>0</v>
      </c>
      <c r="N265" s="119">
        <f t="shared" si="19"/>
        <v>0</v>
      </c>
      <c r="O265">
        <f t="shared" si="20"/>
        <v>0</v>
      </c>
    </row>
    <row r="266" spans="2:15" ht="26.25" customHeight="1" x14ac:dyDescent="0.25">
      <c r="B266" s="80" t="s">
        <v>496</v>
      </c>
      <c r="C266" s="81" t="s">
        <v>497</v>
      </c>
      <c r="D266" s="82"/>
      <c r="E266" s="83"/>
      <c r="F266" s="90"/>
      <c r="G266" s="89">
        <f t="shared" si="21"/>
        <v>0</v>
      </c>
      <c r="H266" s="118" t="str">
        <f t="array" ref="H266:K266">_xlfn.XLOOKUP(C266,'ESAP NEIVA FASE II UNIFICADO'!$C$6:$C$720,'ESAP NEIVA FASE II UNIFICADO'!$C$6:$F$720,"NO ESTA")</f>
        <v>SUMINISTRO E INSTALACIÓN SALIDAS DE ALUMBRADO EN TUBERIA PVC INCRUSTRADA (NO SE INCLUYE LAS LUMINARIAS)</v>
      </c>
      <c r="I266">
        <v>0</v>
      </c>
      <c r="J266">
        <v>0</v>
      </c>
      <c r="K266">
        <v>0</v>
      </c>
      <c r="L266">
        <f t="shared" ref="L266:L329" si="22">+IF(J266&gt;0,0,1)</f>
        <v>1</v>
      </c>
      <c r="M266">
        <f t="shared" ref="M266:M329" si="23">IF(L266=1,F266,0)</f>
        <v>0</v>
      </c>
      <c r="N266" s="119">
        <f t="shared" ref="N266:N329" si="24">E266</f>
        <v>0</v>
      </c>
      <c r="O266">
        <f t="shared" si="20"/>
        <v>0</v>
      </c>
    </row>
    <row r="267" spans="2:15" ht="15" customHeight="1" x14ac:dyDescent="0.25">
      <c r="B267" s="86" t="s">
        <v>498</v>
      </c>
      <c r="C267" s="87" t="s">
        <v>499</v>
      </c>
      <c r="D267" s="82" t="s">
        <v>374</v>
      </c>
      <c r="E267" s="83">
        <v>57</v>
      </c>
      <c r="F267" s="88">
        <v>76889</v>
      </c>
      <c r="G267" s="89">
        <f t="shared" si="21"/>
        <v>4382673</v>
      </c>
      <c r="H267" s="118" t="str">
        <f t="array" ref="H267:K267">_xlfn.XLOOKUP(C267,'ESAP NEIVA FASE II UNIFICADO'!$C$6:$C$720,'ESAP NEIVA FASE II UNIFICADO'!$C$6:$F$720,"NO ESTA")</f>
        <v>SUMINISTRO E INSTALACIÓN SALIDA PARA LAMPARA LED DE 1x28 W</v>
      </c>
      <c r="I267" t="str">
        <v>UN</v>
      </c>
      <c r="J267">
        <v>153</v>
      </c>
      <c r="K267">
        <v>83078</v>
      </c>
      <c r="L267">
        <f t="shared" si="22"/>
        <v>0</v>
      </c>
      <c r="M267">
        <f t="shared" si="23"/>
        <v>0</v>
      </c>
      <c r="N267" s="119">
        <f t="shared" si="24"/>
        <v>57</v>
      </c>
      <c r="O267">
        <f t="shared" si="20"/>
        <v>0</v>
      </c>
    </row>
    <row r="268" spans="2:15" ht="15" customHeight="1" x14ac:dyDescent="0.25">
      <c r="B268" s="86" t="s">
        <v>500</v>
      </c>
      <c r="C268" s="87" t="s">
        <v>501</v>
      </c>
      <c r="D268" s="82" t="s">
        <v>374</v>
      </c>
      <c r="E268" s="83">
        <v>30</v>
      </c>
      <c r="F268" s="88">
        <v>69557</v>
      </c>
      <c r="G268" s="89">
        <f t="shared" si="21"/>
        <v>2086710</v>
      </c>
      <c r="H268" s="118" t="str">
        <f t="array" ref="H268:K268">_xlfn.XLOOKUP(C268,'ESAP NEIVA FASE II UNIFICADO'!$C$6:$C$720,'ESAP NEIVA FASE II UNIFICADO'!$C$6:$F$720,"NO ESTA")</f>
        <v>SUMINISTRO E INSTALACIÓN SALIDA PARA LAMPARA LED DE 2x54 W</v>
      </c>
      <c r="I268" t="str">
        <v>UN</v>
      </c>
      <c r="J268">
        <v>82</v>
      </c>
      <c r="K268">
        <v>75156</v>
      </c>
      <c r="L268">
        <f t="shared" si="22"/>
        <v>0</v>
      </c>
      <c r="M268">
        <f t="shared" si="23"/>
        <v>0</v>
      </c>
      <c r="N268" s="119">
        <f t="shared" si="24"/>
        <v>30</v>
      </c>
      <c r="O268">
        <f t="shared" si="20"/>
        <v>0</v>
      </c>
    </row>
    <row r="269" spans="2:15" ht="15" customHeight="1" x14ac:dyDescent="0.25">
      <c r="B269" s="86" t="s">
        <v>502</v>
      </c>
      <c r="C269" s="87" t="s">
        <v>503</v>
      </c>
      <c r="D269" s="82" t="s">
        <v>374</v>
      </c>
      <c r="E269" s="83">
        <v>45</v>
      </c>
      <c r="F269" s="88">
        <v>65217</v>
      </c>
      <c r="G269" s="89">
        <f t="shared" si="21"/>
        <v>2934765</v>
      </c>
      <c r="H269" s="118" t="str">
        <f t="array" ref="H269:K269">_xlfn.XLOOKUP(C269,'ESAP NEIVA FASE II UNIFICADO'!$C$6:$C$720,'ESAP NEIVA FASE II UNIFICADO'!$C$6:$F$720,"NO ESTA")</f>
        <v>SUMINISTRO E INSTALACIÓN SALIDA PARA BALA DE LED 35W 120V</v>
      </c>
      <c r="I269" t="str">
        <v>UN</v>
      </c>
      <c r="J269">
        <v>121</v>
      </c>
      <c r="K269">
        <v>70467</v>
      </c>
      <c r="L269">
        <f t="shared" si="22"/>
        <v>0</v>
      </c>
      <c r="M269">
        <f t="shared" si="23"/>
        <v>0</v>
      </c>
      <c r="N269" s="119">
        <f t="shared" si="24"/>
        <v>45</v>
      </c>
      <c r="O269">
        <f t="shared" si="20"/>
        <v>0</v>
      </c>
    </row>
    <row r="270" spans="2:15" ht="15" customHeight="1" x14ac:dyDescent="0.25">
      <c r="B270" s="86" t="s">
        <v>504</v>
      </c>
      <c r="C270" s="87" t="s">
        <v>505</v>
      </c>
      <c r="D270" s="82" t="s">
        <v>374</v>
      </c>
      <c r="E270" s="83">
        <v>19</v>
      </c>
      <c r="F270" s="88">
        <v>65217</v>
      </c>
      <c r="G270" s="89">
        <f t="shared" si="21"/>
        <v>1239123</v>
      </c>
      <c r="H270" s="118" t="str">
        <f t="array" ref="H270:K270">_xlfn.XLOOKUP(C270,'ESAP NEIVA FASE II UNIFICADO'!$C$6:$C$720,'ESAP NEIVA FASE II UNIFICADO'!$C$6:$F$720,"NO ESTA")</f>
        <v>SUMINISTRO E INSTALACIÓN SALIDA PARA BALA RECESADA LED 10W 120V</v>
      </c>
      <c r="I270" t="str">
        <v>UN</v>
      </c>
      <c r="J270">
        <v>50</v>
      </c>
      <c r="K270">
        <v>70467</v>
      </c>
      <c r="L270">
        <f t="shared" si="22"/>
        <v>0</v>
      </c>
      <c r="M270">
        <f t="shared" si="23"/>
        <v>0</v>
      </c>
      <c r="N270" s="119">
        <f t="shared" si="24"/>
        <v>19</v>
      </c>
      <c r="O270">
        <f t="shared" si="20"/>
        <v>0</v>
      </c>
    </row>
    <row r="271" spans="2:15" ht="15" customHeight="1" x14ac:dyDescent="0.25">
      <c r="B271" s="86" t="s">
        <v>506</v>
      </c>
      <c r="C271" s="87" t="s">
        <v>507</v>
      </c>
      <c r="D271" s="82" t="s">
        <v>374</v>
      </c>
      <c r="E271" s="83">
        <v>68</v>
      </c>
      <c r="F271" s="88">
        <v>65217</v>
      </c>
      <c r="G271" s="89">
        <f t="shared" si="21"/>
        <v>4434756</v>
      </c>
      <c r="H271" s="118" t="str">
        <f t="array" ref="H271:K271">_xlfn.XLOOKUP(C271,'ESAP NEIVA FASE II UNIFICADO'!$C$6:$C$720,'ESAP NEIVA FASE II UNIFICADO'!$C$6:$F$720,"NO ESTA")</f>
        <v>SUMINISTRO E INSTALACIÓN SALIDA PARA LUMINARIA LED 2x26W 120V</v>
      </c>
      <c r="I271" t="str">
        <v>UN</v>
      </c>
      <c r="J271">
        <v>184</v>
      </c>
      <c r="K271">
        <v>70467</v>
      </c>
      <c r="L271">
        <f t="shared" si="22"/>
        <v>0</v>
      </c>
      <c r="M271">
        <f t="shared" si="23"/>
        <v>0</v>
      </c>
      <c r="N271" s="119">
        <f t="shared" si="24"/>
        <v>68</v>
      </c>
      <c r="O271">
        <f t="shared" si="20"/>
        <v>0</v>
      </c>
    </row>
    <row r="272" spans="2:15" ht="15" customHeight="1" x14ac:dyDescent="0.25">
      <c r="B272" s="86" t="s">
        <v>508</v>
      </c>
      <c r="C272" s="87" t="s">
        <v>509</v>
      </c>
      <c r="D272" s="82" t="s">
        <v>374</v>
      </c>
      <c r="E272" s="83">
        <v>2</v>
      </c>
      <c r="F272" s="88">
        <v>63160</v>
      </c>
      <c r="G272" s="89">
        <f t="shared" si="21"/>
        <v>126320</v>
      </c>
      <c r="H272" s="118" t="str">
        <f t="array" ref="H272:K272">_xlfn.XLOOKUP(C272,'ESAP NEIVA FASE II UNIFICADO'!$C$6:$C$720,'ESAP NEIVA FASE II UNIFICADO'!$C$6:$F$720,"NO ESTA")</f>
        <v>SUMINISTRO E INSTALACIÓN SALIDA PARA REFLECTOR DE LUZ DIRECTA</v>
      </c>
      <c r="I272" t="str">
        <v>UN</v>
      </c>
      <c r="J272">
        <v>6</v>
      </c>
      <c r="K272">
        <v>68243</v>
      </c>
      <c r="L272">
        <f t="shared" si="22"/>
        <v>0</v>
      </c>
      <c r="M272">
        <f t="shared" si="23"/>
        <v>0</v>
      </c>
      <c r="N272" s="119">
        <f t="shared" si="24"/>
        <v>2</v>
      </c>
      <c r="O272">
        <f t="shared" si="20"/>
        <v>0</v>
      </c>
    </row>
    <row r="273" spans="2:15" ht="15" customHeight="1" x14ac:dyDescent="0.25">
      <c r="B273" s="86" t="s">
        <v>510</v>
      </c>
      <c r="C273" s="87" t="s">
        <v>511</v>
      </c>
      <c r="D273" s="82" t="s">
        <v>374</v>
      </c>
      <c r="E273" s="83">
        <v>2</v>
      </c>
      <c r="F273" s="88">
        <v>69240</v>
      </c>
      <c r="G273" s="89">
        <f t="shared" si="21"/>
        <v>138480</v>
      </c>
      <c r="H273" s="118" t="str">
        <f t="array" ref="H273:K273">_xlfn.XLOOKUP(C273,'ESAP NEIVA FASE II UNIFICADO'!$C$6:$C$720,'ESAP NEIVA FASE II UNIFICADO'!$C$6:$F$720,"NO ESTA")</f>
        <v>SUMINISTRO E INSTALACIÓN SALIDA PARA APLIQUE DE ESCALERA 1000W 120V</v>
      </c>
      <c r="I273" t="str">
        <v>UN</v>
      </c>
      <c r="J273">
        <v>6</v>
      </c>
      <c r="K273">
        <v>74815</v>
      </c>
      <c r="L273">
        <f t="shared" si="22"/>
        <v>0</v>
      </c>
      <c r="M273">
        <f t="shared" si="23"/>
        <v>0</v>
      </c>
      <c r="N273" s="119">
        <f t="shared" si="24"/>
        <v>2</v>
      </c>
      <c r="O273">
        <f t="shared" si="20"/>
        <v>0</v>
      </c>
    </row>
    <row r="274" spans="2:15" ht="15" customHeight="1" x14ac:dyDescent="0.25">
      <c r="B274" s="86" t="s">
        <v>512</v>
      </c>
      <c r="C274" s="87" t="s">
        <v>513</v>
      </c>
      <c r="D274" s="82" t="s">
        <v>374</v>
      </c>
      <c r="E274" s="83">
        <v>25</v>
      </c>
      <c r="F274" s="88">
        <v>69240</v>
      </c>
      <c r="G274" s="89">
        <f t="shared" si="21"/>
        <v>1731000</v>
      </c>
      <c r="H274" s="118" t="str">
        <f t="array" ref="H274:K274">_xlfn.XLOOKUP(C274,'ESAP NEIVA FASE II UNIFICADO'!$C$6:$C$720,'ESAP NEIVA FASE II UNIFICADO'!$C$6:$F$720,"NO ESTA")</f>
        <v>SUMINISTRO E INSTALACIÓN SALIDA PARA BALAS LED DE PISO 3W 120V</v>
      </c>
      <c r="I274" t="str">
        <v>UN</v>
      </c>
      <c r="J274">
        <v>67</v>
      </c>
      <c r="K274">
        <v>74815</v>
      </c>
      <c r="L274">
        <f t="shared" si="22"/>
        <v>0</v>
      </c>
      <c r="M274">
        <f t="shared" si="23"/>
        <v>0</v>
      </c>
      <c r="N274" s="119">
        <f t="shared" si="24"/>
        <v>25</v>
      </c>
      <c r="O274">
        <f t="shared" si="20"/>
        <v>0</v>
      </c>
    </row>
    <row r="275" spans="2:15" ht="15" customHeight="1" x14ac:dyDescent="0.25">
      <c r="B275" s="86" t="s">
        <v>514</v>
      </c>
      <c r="C275" s="87" t="s">
        <v>515</v>
      </c>
      <c r="D275" s="82" t="s">
        <v>374</v>
      </c>
      <c r="E275" s="83">
        <v>4</v>
      </c>
      <c r="F275" s="88">
        <v>69240</v>
      </c>
      <c r="G275" s="89">
        <f t="shared" si="21"/>
        <v>276960</v>
      </c>
      <c r="H275" s="118" t="str">
        <f t="array" ref="H275:K275">_xlfn.XLOOKUP(C275,'ESAP NEIVA FASE II UNIFICADO'!$C$6:$C$720,'ESAP NEIVA FASE II UNIFICADO'!$C$6:$F$720,"NO ESTA")</f>
        <v>SUMINISTRO E INSTALACIÓN SALIDA PARA BALAS DE PISO 50W 120V</v>
      </c>
      <c r="I275" t="str">
        <v>UN</v>
      </c>
      <c r="J275">
        <v>10</v>
      </c>
      <c r="K275">
        <v>74815</v>
      </c>
      <c r="L275">
        <f t="shared" si="22"/>
        <v>0</v>
      </c>
      <c r="M275">
        <f t="shared" si="23"/>
        <v>0</v>
      </c>
      <c r="N275" s="119">
        <f t="shared" si="24"/>
        <v>4</v>
      </c>
      <c r="O275">
        <f t="shared" si="20"/>
        <v>0</v>
      </c>
    </row>
    <row r="276" spans="2:15" ht="15" customHeight="1" x14ac:dyDescent="0.25">
      <c r="B276" s="86" t="s">
        <v>516</v>
      </c>
      <c r="C276" s="87" t="s">
        <v>517</v>
      </c>
      <c r="D276" s="82" t="s">
        <v>374</v>
      </c>
      <c r="E276" s="83">
        <v>16</v>
      </c>
      <c r="F276" s="88">
        <v>74050</v>
      </c>
      <c r="G276" s="89">
        <f t="shared" si="21"/>
        <v>1184800</v>
      </c>
      <c r="H276" s="118" t="str">
        <f t="array" ref="H276:K276">_xlfn.XLOOKUP(C276,'ESAP NEIVA FASE II UNIFICADO'!$C$6:$C$720,'ESAP NEIVA FASE II UNIFICADO'!$C$6:$F$720,"NO ESTA")</f>
        <v>SUMINISTRO E INSTALACIÓN SALIDA PARA INTERRUPTOR SENCILLO COLOR BLANCO</v>
      </c>
      <c r="I276" t="str">
        <v>UN</v>
      </c>
      <c r="J276">
        <v>42</v>
      </c>
      <c r="K276">
        <v>80011</v>
      </c>
      <c r="L276">
        <f t="shared" si="22"/>
        <v>0</v>
      </c>
      <c r="M276">
        <f t="shared" si="23"/>
        <v>0</v>
      </c>
      <c r="N276" s="119">
        <f t="shared" si="24"/>
        <v>16</v>
      </c>
      <c r="O276">
        <f t="shared" si="20"/>
        <v>0</v>
      </c>
    </row>
    <row r="277" spans="2:15" ht="15" customHeight="1" x14ac:dyDescent="0.25">
      <c r="B277" s="86" t="s">
        <v>518</v>
      </c>
      <c r="C277" s="87" t="s">
        <v>519</v>
      </c>
      <c r="D277" s="82" t="s">
        <v>374</v>
      </c>
      <c r="E277" s="83">
        <v>6</v>
      </c>
      <c r="F277" s="88">
        <v>80291</v>
      </c>
      <c r="G277" s="89">
        <f t="shared" si="21"/>
        <v>481746</v>
      </c>
      <c r="H277" s="118" t="str">
        <f t="array" ref="H277:K277">_xlfn.XLOOKUP(C277,'ESAP NEIVA FASE II UNIFICADO'!$C$6:$C$720,'ESAP NEIVA FASE II UNIFICADO'!$C$6:$F$720,"NO ESTA")</f>
        <v>SUMINISTRO E INSTALACIÓN SALIDA PARA INTERRUPTOR DOBLE COLOR BLANCO</v>
      </c>
      <c r="I277" t="str">
        <v>UN</v>
      </c>
      <c r="J277">
        <v>18</v>
      </c>
      <c r="K277">
        <v>86756</v>
      </c>
      <c r="L277">
        <f t="shared" si="22"/>
        <v>0</v>
      </c>
      <c r="M277">
        <f t="shared" si="23"/>
        <v>0</v>
      </c>
      <c r="N277" s="119">
        <f t="shared" si="24"/>
        <v>6</v>
      </c>
      <c r="O277">
        <f t="shared" si="20"/>
        <v>0</v>
      </c>
    </row>
    <row r="278" spans="2:15" ht="27" customHeight="1" x14ac:dyDescent="0.25">
      <c r="B278" s="86" t="s">
        <v>520</v>
      </c>
      <c r="C278" s="87" t="s">
        <v>521</v>
      </c>
      <c r="D278" s="82" t="s">
        <v>374</v>
      </c>
      <c r="E278" s="83">
        <v>2</v>
      </c>
      <c r="F278" s="88">
        <v>81973</v>
      </c>
      <c r="G278" s="89">
        <f t="shared" si="21"/>
        <v>163946</v>
      </c>
      <c r="H278" s="118" t="str">
        <f t="array" ref="H278:K278">_xlfn.XLOOKUP(C278,'ESAP NEIVA FASE II UNIFICADO'!$C$6:$C$720,'ESAP NEIVA FASE II UNIFICADO'!$C$6:$F$720,"NO ESTA")</f>
        <v>SUMINISTRO E INSTALACIÓN SALIDA PARA INTERRUPTOR SENCILLO CONMUTABLE COLOR BLANCO</v>
      </c>
      <c r="I278" t="str">
        <v>UN</v>
      </c>
      <c r="J278">
        <v>6</v>
      </c>
      <c r="K278">
        <v>88571</v>
      </c>
      <c r="L278">
        <f t="shared" si="22"/>
        <v>0</v>
      </c>
      <c r="M278">
        <f t="shared" si="23"/>
        <v>0</v>
      </c>
      <c r="N278" s="119">
        <f t="shared" si="24"/>
        <v>2</v>
      </c>
      <c r="O278">
        <f t="shared" si="20"/>
        <v>0</v>
      </c>
    </row>
    <row r="279" spans="2:15" ht="27" customHeight="1" x14ac:dyDescent="0.25">
      <c r="B279" s="86" t="s">
        <v>522</v>
      </c>
      <c r="C279" s="87" t="s">
        <v>523</v>
      </c>
      <c r="D279" s="82" t="s">
        <v>374</v>
      </c>
      <c r="E279" s="83">
        <v>2</v>
      </c>
      <c r="F279" s="88">
        <v>89569</v>
      </c>
      <c r="G279" s="89">
        <f t="shared" si="21"/>
        <v>179138</v>
      </c>
      <c r="H279" s="118" t="str">
        <f t="array" ref="H279:K279">_xlfn.XLOOKUP(C279,'ESAP NEIVA FASE II UNIFICADO'!$C$6:$C$720,'ESAP NEIVA FASE II UNIFICADO'!$C$6:$F$720,"NO ESTA")</f>
        <v>SUMINISTRO E INSTALACIÓN SALIDA PARA INTERRUPTOR DOBLE CONMUTABLE COLOR BLANCO</v>
      </c>
      <c r="I279" t="str">
        <v>UN</v>
      </c>
      <c r="J279">
        <v>4</v>
      </c>
      <c r="K279">
        <v>96779</v>
      </c>
      <c r="L279">
        <f t="shared" si="22"/>
        <v>0</v>
      </c>
      <c r="M279">
        <f t="shared" si="23"/>
        <v>0</v>
      </c>
      <c r="N279" s="119">
        <f t="shared" si="24"/>
        <v>2</v>
      </c>
      <c r="O279">
        <f t="shared" si="20"/>
        <v>0</v>
      </c>
    </row>
    <row r="280" spans="2:15" ht="15" customHeight="1" x14ac:dyDescent="0.25">
      <c r="B280" s="86" t="s">
        <v>524</v>
      </c>
      <c r="C280" s="87" t="s">
        <v>525</v>
      </c>
      <c r="D280" s="82" t="s">
        <v>374</v>
      </c>
      <c r="E280" s="83">
        <v>5</v>
      </c>
      <c r="F280" s="88">
        <v>84061</v>
      </c>
      <c r="G280" s="89">
        <f t="shared" si="21"/>
        <v>420305</v>
      </c>
      <c r="H280" s="118" t="str">
        <f t="array" ref="H280:K280">_xlfn.XLOOKUP(C280,'ESAP NEIVA FASE II UNIFICADO'!$C$6:$C$720,'ESAP NEIVA FASE II UNIFICADO'!$C$6:$F$720,"NO ESTA")</f>
        <v>SUMINISTRO E INSTALACIÓN SALIDA PARA INTERRUPTOR DE SENSOR DE PRESENCIA</v>
      </c>
      <c r="I280" t="str">
        <v>UN</v>
      </c>
      <c r="J280">
        <v>12</v>
      </c>
      <c r="K280">
        <v>90828</v>
      </c>
      <c r="L280">
        <f t="shared" si="22"/>
        <v>0</v>
      </c>
      <c r="M280">
        <f t="shared" si="23"/>
        <v>0</v>
      </c>
      <c r="N280" s="119">
        <f t="shared" si="24"/>
        <v>5</v>
      </c>
      <c r="O280">
        <f t="shared" si="20"/>
        <v>0</v>
      </c>
    </row>
    <row r="281" spans="2:15" ht="15" customHeight="1" x14ac:dyDescent="0.25">
      <c r="B281" s="86" t="s">
        <v>526</v>
      </c>
      <c r="C281" s="87" t="s">
        <v>527</v>
      </c>
      <c r="D281" s="82" t="s">
        <v>374</v>
      </c>
      <c r="E281" s="83">
        <v>1</v>
      </c>
      <c r="F281" s="88">
        <v>94783</v>
      </c>
      <c r="G281" s="89">
        <f t="shared" si="21"/>
        <v>94783</v>
      </c>
      <c r="H281" s="118" t="str">
        <f t="array" ref="H281:K281">_xlfn.XLOOKUP(C281,'ESAP NEIVA FASE II UNIFICADO'!$C$6:$C$720,'ESAP NEIVA FASE II UNIFICADO'!$C$6:$F$720,"NO ESTA")</f>
        <v>SUMINISTRO E INSTALACIÓN SALIDA PARA SENSOR DE MOVIEMIENTO DE TECHO</v>
      </c>
      <c r="I281" t="str">
        <v>UN</v>
      </c>
      <c r="J281">
        <v>4</v>
      </c>
      <c r="K281">
        <v>102414</v>
      </c>
      <c r="L281">
        <f t="shared" si="22"/>
        <v>0</v>
      </c>
      <c r="M281">
        <f t="shared" si="23"/>
        <v>0</v>
      </c>
      <c r="N281" s="119">
        <f t="shared" si="24"/>
        <v>1</v>
      </c>
      <c r="O281">
        <f t="shared" si="20"/>
        <v>0</v>
      </c>
    </row>
    <row r="282" spans="2:15" ht="55.5" customHeight="1" x14ac:dyDescent="0.25">
      <c r="B282" s="86" t="s">
        <v>528</v>
      </c>
      <c r="C282" s="87" t="s">
        <v>529</v>
      </c>
      <c r="D282" s="82" t="s">
        <v>269</v>
      </c>
      <c r="E282" s="83">
        <v>176</v>
      </c>
      <c r="F282" s="88">
        <v>1578</v>
      </c>
      <c r="G282" s="89">
        <f t="shared" si="21"/>
        <v>277728</v>
      </c>
      <c r="H282" s="118" t="str">
        <f t="array" ref="H282:K282">_xlfn.XLOOKUP(C282,'ESAP NEIVA FASE II UNIFICADO'!$C$6:$C$720,'ESAP NEIVA FASE II UNIFICADO'!$C$6:$F$720,"NO ESTA")</f>
        <v xml:space="preserve">SUMINISTRO E INSTALACIÓN SALIDAS PARCIALES DE CIRCUITO PARA SALIDAS DE ALUMBRADO Y TOMACORIRIENTE DE USO NORMAL EN CABLE #12 AWG THHN/THWN, DESDE EL TABLERO DE AUTOMATICOS POR EL DUCTO PORTACABLES HASTA LOS PRIMEROS PUNTOS DE DERIVACIÓN. </v>
      </c>
      <c r="I282" t="str">
        <v xml:space="preserve">ML   </v>
      </c>
      <c r="J282">
        <v>474</v>
      </c>
      <c r="K282">
        <v>1705</v>
      </c>
      <c r="L282">
        <f t="shared" si="22"/>
        <v>0</v>
      </c>
      <c r="M282">
        <f t="shared" si="23"/>
        <v>0</v>
      </c>
      <c r="N282" s="119">
        <f t="shared" si="24"/>
        <v>176</v>
      </c>
      <c r="O282">
        <f t="shared" si="20"/>
        <v>0</v>
      </c>
    </row>
    <row r="283" spans="2:15" ht="26.25" customHeight="1" x14ac:dyDescent="0.25">
      <c r="B283" s="80" t="s">
        <v>530</v>
      </c>
      <c r="C283" s="81" t="s">
        <v>531</v>
      </c>
      <c r="D283" s="82"/>
      <c r="E283" s="83"/>
      <c r="F283" s="104"/>
      <c r="G283" s="89">
        <f t="shared" si="21"/>
        <v>0</v>
      </c>
      <c r="H283" s="118" t="str">
        <f t="array" ref="H283:K283">_xlfn.XLOOKUP(C283,'ESAP NEIVA FASE II UNIFICADO'!$C$6:$C$720,'ESAP NEIVA FASE II UNIFICADO'!$C$6:$F$720,"NO ESTA")</f>
        <v xml:space="preserve">SUMINISTRO E INSTALACIÓN SALIDAS PARA TOMACORRIENTES USO NORMAL EN TUBERIA PVC INCRUSTRADA </v>
      </c>
      <c r="I283">
        <v>0</v>
      </c>
      <c r="J283">
        <v>0</v>
      </c>
      <c r="K283">
        <v>0</v>
      </c>
      <c r="L283">
        <f t="shared" si="22"/>
        <v>1</v>
      </c>
      <c r="M283">
        <f t="shared" si="23"/>
        <v>0</v>
      </c>
      <c r="N283" s="119">
        <f t="shared" si="24"/>
        <v>0</v>
      </c>
      <c r="O283">
        <f t="shared" si="20"/>
        <v>0</v>
      </c>
    </row>
    <row r="284" spans="2:15" ht="26.25" customHeight="1" x14ac:dyDescent="0.25">
      <c r="B284" s="86" t="s">
        <v>532</v>
      </c>
      <c r="C284" s="87" t="s">
        <v>533</v>
      </c>
      <c r="D284" s="82" t="s">
        <v>284</v>
      </c>
      <c r="E284" s="83">
        <v>97</v>
      </c>
      <c r="F284" s="88">
        <v>76379</v>
      </c>
      <c r="G284" s="89">
        <f t="shared" si="21"/>
        <v>7408763</v>
      </c>
      <c r="H284" s="118" t="str">
        <f t="array" ref="H284:K284">_xlfn.XLOOKUP(C284,'ESAP NEIVA FASE II UNIFICADO'!$C$6:$C$720,'ESAP NEIVA FASE II UNIFICADO'!$C$6:$F$720,"NO ESTA")</f>
        <v>SUMINISTRO E INSTALACIÓN SALIDA PARA TOMACORRIENTE DOBLE MONOFÁSICO CON POLO A TIERRA</v>
      </c>
      <c r="I284" t="str">
        <v xml:space="preserve">UN   </v>
      </c>
      <c r="J284">
        <v>264</v>
      </c>
      <c r="K284">
        <v>82527</v>
      </c>
      <c r="L284">
        <f t="shared" si="22"/>
        <v>0</v>
      </c>
      <c r="M284">
        <f t="shared" si="23"/>
        <v>0</v>
      </c>
      <c r="N284" s="119">
        <f t="shared" si="24"/>
        <v>97</v>
      </c>
      <c r="O284">
        <f t="shared" si="20"/>
        <v>0</v>
      </c>
    </row>
    <row r="285" spans="2:15" ht="26.25" customHeight="1" x14ac:dyDescent="0.25">
      <c r="B285" s="86" t="s">
        <v>534</v>
      </c>
      <c r="C285" s="87" t="s">
        <v>535</v>
      </c>
      <c r="D285" s="82" t="s">
        <v>284</v>
      </c>
      <c r="E285" s="83">
        <v>2</v>
      </c>
      <c r="F285" s="88">
        <v>103251</v>
      </c>
      <c r="G285" s="89">
        <f t="shared" si="21"/>
        <v>206502</v>
      </c>
      <c r="H285" s="118" t="str">
        <f t="array" ref="H285:K285">_xlfn.XLOOKUP(C285,'ESAP NEIVA FASE II UNIFICADO'!$C$6:$C$720,'ESAP NEIVA FASE II UNIFICADO'!$C$6:$F$720,"NO ESTA")</f>
        <v>SUMINISTRO E INSTALACIÓN SALIDA PARA TOMACORRIENTE DOBLE TIPO GFCI COLOR BLANCO MONOFÁSICODE MURO CON POLO A TIERRA</v>
      </c>
      <c r="I285" t="str">
        <v xml:space="preserve">UN   </v>
      </c>
      <c r="J285">
        <v>5</v>
      </c>
      <c r="K285">
        <v>111563</v>
      </c>
      <c r="L285">
        <f t="shared" si="22"/>
        <v>0</v>
      </c>
      <c r="M285">
        <f t="shared" si="23"/>
        <v>0</v>
      </c>
      <c r="N285" s="119">
        <f t="shared" si="24"/>
        <v>2</v>
      </c>
      <c r="O285">
        <f t="shared" si="20"/>
        <v>0</v>
      </c>
    </row>
    <row r="286" spans="2:15" ht="26.25" customHeight="1" x14ac:dyDescent="0.25">
      <c r="B286" s="86" t="s">
        <v>536</v>
      </c>
      <c r="C286" s="87" t="s">
        <v>537</v>
      </c>
      <c r="D286" s="82" t="s">
        <v>284</v>
      </c>
      <c r="E286" s="83">
        <v>7</v>
      </c>
      <c r="F286" s="88">
        <v>77293</v>
      </c>
      <c r="G286" s="89">
        <f t="shared" si="21"/>
        <v>541051</v>
      </c>
      <c r="H286" s="118" t="str">
        <f t="array" ref="H286:K286">_xlfn.XLOOKUP(C286,'ESAP NEIVA FASE II UNIFICADO'!$C$6:$C$720,'ESAP NEIVA FASE II UNIFICADO'!$C$6:$F$720,"NO ESTA")</f>
        <v>SUMINISTRO E INSTALACIÓN SALIDA PARA SECADOR 20A-120V a 1.2 METROS DE ALTURA</v>
      </c>
      <c r="I286" t="str">
        <v xml:space="preserve">UN   </v>
      </c>
      <c r="J286">
        <v>18</v>
      </c>
      <c r="K286">
        <v>83516</v>
      </c>
      <c r="L286">
        <f t="shared" si="22"/>
        <v>0</v>
      </c>
      <c r="M286">
        <f t="shared" si="23"/>
        <v>0</v>
      </c>
      <c r="N286" s="119">
        <f t="shared" si="24"/>
        <v>7</v>
      </c>
      <c r="O286">
        <f t="shared" si="20"/>
        <v>0</v>
      </c>
    </row>
    <row r="287" spans="2:15" ht="26.25" customHeight="1" x14ac:dyDescent="0.25">
      <c r="B287" s="86" t="s">
        <v>538</v>
      </c>
      <c r="C287" s="87" t="s">
        <v>539</v>
      </c>
      <c r="D287" s="82" t="s">
        <v>284</v>
      </c>
      <c r="E287" s="83">
        <v>1</v>
      </c>
      <c r="F287" s="88">
        <v>93657</v>
      </c>
      <c r="G287" s="89">
        <f t="shared" si="21"/>
        <v>93657</v>
      </c>
      <c r="H287" s="118" t="str">
        <f t="array" ref="H287:K287">_xlfn.XLOOKUP(C287,'ESAP NEIVA FASE II UNIFICADO'!$C$6:$C$720,'ESAP NEIVA FASE II UNIFICADO'!$C$6:$F$720,"NO ESTA")</f>
        <v>SUMINISTRO E INSTALACIÓN SALIDA PARA TOMA TRIFÁSICA 208v 3FASES EN CAFETERIA</v>
      </c>
      <c r="I287" t="str">
        <v xml:space="preserve">UN   </v>
      </c>
      <c r="J287">
        <v>3</v>
      </c>
      <c r="K287">
        <v>101196</v>
      </c>
      <c r="L287">
        <f t="shared" si="22"/>
        <v>0</v>
      </c>
      <c r="M287">
        <f t="shared" si="23"/>
        <v>0</v>
      </c>
      <c r="N287" s="119">
        <f t="shared" si="24"/>
        <v>1</v>
      </c>
      <c r="O287">
        <f t="shared" si="20"/>
        <v>0</v>
      </c>
    </row>
    <row r="288" spans="2:15" ht="51" customHeight="1" x14ac:dyDescent="0.25">
      <c r="B288" s="86" t="s">
        <v>540</v>
      </c>
      <c r="C288" s="87" t="s">
        <v>541</v>
      </c>
      <c r="D288" s="82" t="s">
        <v>269</v>
      </c>
      <c r="E288" s="83">
        <v>365</v>
      </c>
      <c r="F288" s="88">
        <v>1578</v>
      </c>
      <c r="G288" s="89">
        <f t="shared" si="21"/>
        <v>575970</v>
      </c>
      <c r="H288" s="118" t="str">
        <f t="array" ref="H288:K288">_xlfn.XLOOKUP(C288,'ESAP NEIVA FASE II UNIFICADO'!$C$6:$C$720,'ESAP NEIVA FASE II UNIFICADO'!$C$6:$F$720,"NO ESTA")</f>
        <v xml:space="preserve">SUMINISTRO E INSTALACIÓN SALIDAS PARCIALES DE CIRCUITO PARA TOMACORIRIENTE DE USO NORMAL EN CABLE #12 AWG THHN/THWN, DESDE EL TABLERO DE AUTOMATICOS POR EL DUCTO PORTACABLES HASTA LOS PRIMEROS PUNTOS DE DERIVACIÓN. </v>
      </c>
      <c r="I288" t="str">
        <v xml:space="preserve">ML   </v>
      </c>
      <c r="J288">
        <v>985</v>
      </c>
      <c r="K288">
        <v>1705</v>
      </c>
      <c r="L288">
        <f t="shared" si="22"/>
        <v>0</v>
      </c>
      <c r="M288">
        <f t="shared" si="23"/>
        <v>0</v>
      </c>
      <c r="N288" s="119">
        <f t="shared" si="24"/>
        <v>365</v>
      </c>
      <c r="O288">
        <f t="shared" si="20"/>
        <v>0</v>
      </c>
    </row>
    <row r="289" spans="2:15" ht="26.25" customHeight="1" x14ac:dyDescent="0.25">
      <c r="B289" s="80" t="s">
        <v>542</v>
      </c>
      <c r="C289" s="81" t="s">
        <v>543</v>
      </c>
      <c r="D289" s="82"/>
      <c r="E289" s="83"/>
      <c r="F289" s="104"/>
      <c r="G289" s="89">
        <f t="shared" si="21"/>
        <v>0</v>
      </c>
      <c r="H289" s="118" t="str">
        <f t="array" ref="H289:K289">_xlfn.XLOOKUP(C289,'ESAP NEIVA FASE II UNIFICADO'!$C$6:$C$720,'ESAP NEIVA FASE II UNIFICADO'!$C$6:$F$720,"NO ESTA")</f>
        <v xml:space="preserve">SUMINISTRO E INSTALACIÓN SALIDAS PARA TOMACORRIENTES USO REGULADO EN TUBERIA PVC INCRUSTRADA </v>
      </c>
      <c r="I289">
        <v>0</v>
      </c>
      <c r="J289">
        <v>0</v>
      </c>
      <c r="K289">
        <v>0</v>
      </c>
      <c r="L289">
        <f t="shared" si="22"/>
        <v>1</v>
      </c>
      <c r="M289">
        <f t="shared" si="23"/>
        <v>0</v>
      </c>
      <c r="N289" s="119">
        <f t="shared" si="24"/>
        <v>0</v>
      </c>
      <c r="O289">
        <f t="shared" si="20"/>
        <v>0</v>
      </c>
    </row>
    <row r="290" spans="2:15" ht="26.25" customHeight="1" x14ac:dyDescent="0.25">
      <c r="B290" s="86" t="s">
        <v>544</v>
      </c>
      <c r="C290" s="87" t="s">
        <v>545</v>
      </c>
      <c r="D290" s="82" t="s">
        <v>374</v>
      </c>
      <c r="E290" s="83">
        <v>15</v>
      </c>
      <c r="F290" s="88">
        <v>112981</v>
      </c>
      <c r="G290" s="89">
        <f t="shared" si="21"/>
        <v>1694715</v>
      </c>
      <c r="H290" s="118" t="str">
        <f t="array" ref="H290:K290">_xlfn.XLOOKUP(C290,'ESAP NEIVA FASE II UNIFICADO'!$C$6:$C$720,'ESAP NEIVA FASE II UNIFICADO'!$C$6:$F$720,"NO ESTA")</f>
        <v>SUMINISTRO E INSTALACIÓN SALIDA PARA TOMACORRIENTE DOBLE DE COLOR NARAJA, PARA INSTALAR EN MURO</v>
      </c>
      <c r="I290" t="str">
        <v>UN</v>
      </c>
      <c r="J290">
        <v>39</v>
      </c>
      <c r="K290">
        <v>122076</v>
      </c>
      <c r="L290">
        <f t="shared" si="22"/>
        <v>0</v>
      </c>
      <c r="M290">
        <f t="shared" si="23"/>
        <v>0</v>
      </c>
      <c r="N290" s="119">
        <f t="shared" si="24"/>
        <v>15</v>
      </c>
      <c r="O290">
        <f t="shared" si="20"/>
        <v>0</v>
      </c>
    </row>
    <row r="291" spans="2:15" ht="26.25" customHeight="1" x14ac:dyDescent="0.25">
      <c r="B291" s="86" t="s">
        <v>546</v>
      </c>
      <c r="C291" s="87" t="s">
        <v>547</v>
      </c>
      <c r="D291" s="82" t="s">
        <v>374</v>
      </c>
      <c r="E291" s="83">
        <v>29</v>
      </c>
      <c r="F291" s="88">
        <v>104140</v>
      </c>
      <c r="G291" s="89">
        <f t="shared" si="21"/>
        <v>3020060</v>
      </c>
      <c r="H291" s="118" t="str">
        <f t="array" ref="H291:K291">_xlfn.XLOOKUP(C291,'ESAP NEIVA FASE II UNIFICADO'!$C$6:$C$720,'ESAP NEIVA FASE II UNIFICADO'!$C$6:$F$720,"NO ESTA")</f>
        <v xml:space="preserve">SUMINISTRO E INSTALACIÓN SALIDA PARA TOMACORRIENTE DOBLE DE COLOR NARAJA, PARA INSTALAR EN CANALETA PERIMETRAL </v>
      </c>
      <c r="I291" t="str">
        <v>UN</v>
      </c>
      <c r="J291">
        <v>80</v>
      </c>
      <c r="K291">
        <v>112524</v>
      </c>
      <c r="L291">
        <f t="shared" si="22"/>
        <v>0</v>
      </c>
      <c r="M291">
        <f t="shared" si="23"/>
        <v>0</v>
      </c>
      <c r="N291" s="119">
        <f t="shared" si="24"/>
        <v>29</v>
      </c>
      <c r="O291">
        <f t="shared" si="20"/>
        <v>0</v>
      </c>
    </row>
    <row r="292" spans="2:15" ht="26.25" customHeight="1" x14ac:dyDescent="0.25">
      <c r="B292" s="86" t="s">
        <v>548</v>
      </c>
      <c r="C292" s="87" t="s">
        <v>549</v>
      </c>
      <c r="D292" s="82" t="s">
        <v>269</v>
      </c>
      <c r="E292" s="83">
        <v>14</v>
      </c>
      <c r="F292" s="88">
        <v>10579</v>
      </c>
      <c r="G292" s="89">
        <f t="shared" si="21"/>
        <v>148106</v>
      </c>
      <c r="H292" s="118" t="str">
        <f t="array" ref="H292:K292">_xlfn.XLOOKUP(C292,'ESAP NEIVA FASE II UNIFICADO'!$C$6:$C$720,'ESAP NEIVA FASE II UNIFICADO'!$C$6:$F$720,"NO ESTA")</f>
        <v>SUMINISTRO E INSTALACIÓN INTERCONEXIÓN ENTRE EL DUCTO PORTACABLES Y LA CANALETA PERIMETRAL EN ø 1 1/2" CON 4#12 AWG THHN/THWN</v>
      </c>
      <c r="I292" t="str">
        <v xml:space="preserve">ML   </v>
      </c>
      <c r="J292">
        <v>36</v>
      </c>
      <c r="K292">
        <v>11430</v>
      </c>
      <c r="L292">
        <f t="shared" si="22"/>
        <v>0</v>
      </c>
      <c r="M292">
        <f t="shared" si="23"/>
        <v>0</v>
      </c>
      <c r="N292" s="119">
        <f t="shared" si="24"/>
        <v>14</v>
      </c>
      <c r="O292">
        <f t="shared" si="20"/>
        <v>0</v>
      </c>
    </row>
    <row r="293" spans="2:15" ht="49.5" customHeight="1" x14ac:dyDescent="0.25">
      <c r="B293" s="86" t="s">
        <v>550</v>
      </c>
      <c r="C293" s="87" t="s">
        <v>551</v>
      </c>
      <c r="D293" s="82" t="s">
        <v>269</v>
      </c>
      <c r="E293" s="83">
        <v>554</v>
      </c>
      <c r="F293" s="88">
        <v>1578</v>
      </c>
      <c r="G293" s="89">
        <f t="shared" si="21"/>
        <v>874212</v>
      </c>
      <c r="H293" s="118" t="str">
        <f t="array" ref="H293:K293">_xlfn.XLOOKUP(C293,'ESAP NEIVA FASE II UNIFICADO'!$C$6:$C$720,'ESAP NEIVA FASE II UNIFICADO'!$C$6:$F$720,"NO ESTA")</f>
        <v xml:space="preserve">SUMINISTRO E INSTALACIÓN SALIDAS PARCIALES DE CIRCUITO PARA TOMACORIRIENTE DE USO REGULADO EN CABLE #12 AWG THHN/THWN, DESDE EL TABLERO DE AUTOMATICOS POR EL DUCTO PORTACABLES HASTA LOS PRIMEROS PUNTOS DE DERIVACIÓN. </v>
      </c>
      <c r="I293" t="str">
        <v xml:space="preserve">ML   </v>
      </c>
      <c r="J293">
        <v>1496</v>
      </c>
      <c r="K293">
        <v>1705</v>
      </c>
      <c r="L293">
        <f t="shared" si="22"/>
        <v>0</v>
      </c>
      <c r="M293">
        <f t="shared" si="23"/>
        <v>0</v>
      </c>
      <c r="N293" s="119">
        <f t="shared" si="24"/>
        <v>554</v>
      </c>
      <c r="O293">
        <f t="shared" si="20"/>
        <v>0</v>
      </c>
    </row>
    <row r="294" spans="2:15" ht="21" customHeight="1" x14ac:dyDescent="0.25">
      <c r="B294" s="74">
        <v>15</v>
      </c>
      <c r="C294" s="75" t="s">
        <v>552</v>
      </c>
      <c r="D294" s="76"/>
      <c r="E294" s="77"/>
      <c r="F294" s="105"/>
      <c r="G294" s="89">
        <f t="shared" si="21"/>
        <v>0</v>
      </c>
      <c r="H294" s="118" t="str">
        <f t="array" ref="H294:K294">_xlfn.XLOOKUP(C294,'ESAP NEIVA FASE II UNIFICADO'!$C$6:$C$720,'ESAP NEIVA FASE II UNIFICADO'!$C$6:$F$720,"NO ESTA")</f>
        <v>DUCTOS, ACOMETIDAS, TABLEROS, PUESTA A TIERRA, PARARRAYOS Y PLANTA ELÉCTRICA</v>
      </c>
      <c r="I294">
        <v>0</v>
      </c>
      <c r="J294">
        <v>0</v>
      </c>
      <c r="K294">
        <v>0</v>
      </c>
      <c r="L294">
        <f t="shared" si="22"/>
        <v>1</v>
      </c>
      <c r="M294">
        <f t="shared" si="23"/>
        <v>0</v>
      </c>
      <c r="N294" s="119">
        <f t="shared" si="24"/>
        <v>0</v>
      </c>
      <c r="O294">
        <f t="shared" si="20"/>
        <v>0</v>
      </c>
    </row>
    <row r="295" spans="2:15" ht="15" customHeight="1" x14ac:dyDescent="0.25">
      <c r="B295" s="80" t="s">
        <v>553</v>
      </c>
      <c r="C295" s="81" t="s">
        <v>554</v>
      </c>
      <c r="D295" s="82"/>
      <c r="E295" s="83"/>
      <c r="F295" s="90"/>
      <c r="G295" s="89">
        <f t="shared" si="21"/>
        <v>0</v>
      </c>
      <c r="H295" s="118" t="str">
        <f t="array" ref="H295:K295">_xlfn.XLOOKUP(C295,'ESAP NEIVA FASE II UNIFICADO'!$C$6:$C$720,'ESAP NEIVA FASE II UNIFICADO'!$C$6:$F$720,"NO ESTA")</f>
        <v>SUMINISTRO E INSTALACIÓN DE DUCTOS PORTACABLES</v>
      </c>
      <c r="I295">
        <v>0</v>
      </c>
      <c r="J295">
        <v>0</v>
      </c>
      <c r="K295">
        <v>0</v>
      </c>
      <c r="L295">
        <f t="shared" si="22"/>
        <v>1</v>
      </c>
      <c r="M295">
        <f t="shared" si="23"/>
        <v>0</v>
      </c>
      <c r="N295" s="119">
        <f t="shared" si="24"/>
        <v>0</v>
      </c>
      <c r="O295">
        <f t="shared" si="20"/>
        <v>0</v>
      </c>
    </row>
    <row r="296" spans="2:15" ht="24" customHeight="1" x14ac:dyDescent="0.25">
      <c r="B296" s="86" t="s">
        <v>555</v>
      </c>
      <c r="C296" s="87" t="s">
        <v>556</v>
      </c>
      <c r="D296" s="82" t="s">
        <v>269</v>
      </c>
      <c r="E296" s="83">
        <v>72</v>
      </c>
      <c r="F296" s="88">
        <v>97449</v>
      </c>
      <c r="G296" s="89">
        <f t="shared" si="21"/>
        <v>7016328</v>
      </c>
      <c r="H296" s="118" t="str">
        <f t="array" ref="H296">_xlfn.XLOOKUP(C296,'ESAP NEIVA FASE II UNIFICADO'!$C$6:$C$720,'ESAP NEIVA FASE II UNIFICADO'!$C$6:$F$720,"NO ESTA")</f>
        <v>NO ESTA</v>
      </c>
      <c r="L296">
        <f t="shared" si="22"/>
        <v>1</v>
      </c>
      <c r="M296">
        <f t="shared" si="23"/>
        <v>97449</v>
      </c>
      <c r="N296" s="119">
        <f t="shared" si="24"/>
        <v>72</v>
      </c>
      <c r="O296">
        <f t="shared" si="20"/>
        <v>7016328</v>
      </c>
    </row>
    <row r="297" spans="2:15" ht="24" customHeight="1" x14ac:dyDescent="0.25">
      <c r="B297" s="86" t="s">
        <v>557</v>
      </c>
      <c r="C297" s="87" t="s">
        <v>558</v>
      </c>
      <c r="D297" s="82" t="s">
        <v>284</v>
      </c>
      <c r="E297" s="83">
        <v>3</v>
      </c>
      <c r="F297" s="88">
        <v>125132</v>
      </c>
      <c r="G297" s="89">
        <f t="shared" si="21"/>
        <v>375396</v>
      </c>
      <c r="H297" s="118" t="str">
        <f t="array" ref="H297:K297">_xlfn.XLOOKUP(C297,'ESAP NEIVA FASE II UNIFICADO'!$C$6:$C$720,'ESAP NEIVA FASE II UNIFICADO'!$C$6:$F$720,"NO ESTA")</f>
        <v>SUMINISTRO E INSTALACIÓN TÉE PARA DUCTO PORTACABLES TROQUELADO DE 30x10 cm</v>
      </c>
      <c r="I297" t="str">
        <v xml:space="preserve">UN   </v>
      </c>
      <c r="J297">
        <v>8</v>
      </c>
      <c r="K297">
        <v>135206</v>
      </c>
      <c r="L297">
        <f t="shared" si="22"/>
        <v>0</v>
      </c>
      <c r="M297">
        <f t="shared" si="23"/>
        <v>0</v>
      </c>
      <c r="N297" s="119">
        <f t="shared" si="24"/>
        <v>3</v>
      </c>
      <c r="O297">
        <f t="shared" si="20"/>
        <v>0</v>
      </c>
    </row>
    <row r="298" spans="2:15" ht="24" customHeight="1" x14ac:dyDescent="0.25">
      <c r="B298" s="86" t="s">
        <v>559</v>
      </c>
      <c r="C298" s="87" t="s">
        <v>560</v>
      </c>
      <c r="D298" s="82" t="s">
        <v>284</v>
      </c>
      <c r="E298" s="83">
        <v>34</v>
      </c>
      <c r="F298" s="88">
        <v>27753</v>
      </c>
      <c r="G298" s="89">
        <f t="shared" si="21"/>
        <v>943602</v>
      </c>
      <c r="H298" s="118" t="str">
        <f t="array" ref="H298:K298">_xlfn.XLOOKUP(C298,'ESAP NEIVA FASE II UNIFICADO'!$C$6:$C$720,'ESAP NEIVA FASE II UNIFICADO'!$C$6:$F$720,"NO ESTA")</f>
        <v>SUMINISTRO E INSTALACIÓN SOPORTES DE FIJACIÓN TIPO PELDAÑO DESCOLGADO PARA DUCTOS PORTACABLES TROQUELADO</v>
      </c>
      <c r="I298" t="str">
        <v xml:space="preserve">UN   </v>
      </c>
      <c r="J298">
        <v>91</v>
      </c>
      <c r="K298">
        <v>29987</v>
      </c>
      <c r="L298">
        <f t="shared" si="22"/>
        <v>0</v>
      </c>
      <c r="M298">
        <f t="shared" si="23"/>
        <v>0</v>
      </c>
      <c r="N298" s="119">
        <f t="shared" si="24"/>
        <v>34</v>
      </c>
      <c r="O298">
        <f t="shared" si="20"/>
        <v>0</v>
      </c>
    </row>
    <row r="299" spans="2:15" ht="24" customHeight="1" x14ac:dyDescent="0.25">
      <c r="B299" s="86" t="s">
        <v>561</v>
      </c>
      <c r="C299" s="87" t="s">
        <v>562</v>
      </c>
      <c r="D299" s="82" t="s">
        <v>269</v>
      </c>
      <c r="E299" s="83">
        <v>25</v>
      </c>
      <c r="F299" s="88">
        <v>181403</v>
      </c>
      <c r="G299" s="89">
        <f t="shared" si="21"/>
        <v>4535075</v>
      </c>
      <c r="H299" s="118" t="str">
        <f t="array" ref="H299">_xlfn.XLOOKUP(C299,'ESAP NEIVA FASE II UNIFICADO'!$C$6:$C$720,'ESAP NEIVA FASE II UNIFICADO'!$C$6:$F$720,"NO ESTA")</f>
        <v>NO ESTA</v>
      </c>
      <c r="L299">
        <f t="shared" si="22"/>
        <v>1</v>
      </c>
      <c r="M299">
        <f t="shared" si="23"/>
        <v>181403</v>
      </c>
      <c r="N299" s="119">
        <f t="shared" si="24"/>
        <v>25</v>
      </c>
      <c r="O299">
        <f t="shared" si="20"/>
        <v>4535075</v>
      </c>
    </row>
    <row r="300" spans="2:15" ht="24" customHeight="1" x14ac:dyDescent="0.25">
      <c r="B300" s="86" t="s">
        <v>563</v>
      </c>
      <c r="C300" s="87" t="s">
        <v>564</v>
      </c>
      <c r="D300" s="82" t="s">
        <v>284</v>
      </c>
      <c r="E300" s="83">
        <v>1</v>
      </c>
      <c r="F300" s="88">
        <v>150157</v>
      </c>
      <c r="G300" s="89">
        <f t="shared" si="21"/>
        <v>150157</v>
      </c>
      <c r="H300" s="118" t="str">
        <f t="array" ref="H300:K300">_xlfn.XLOOKUP(C300,'ESAP NEIVA FASE II UNIFICADO'!$C$6:$C$720,'ESAP NEIVA FASE II UNIFICADO'!$C$6:$F$720,"NO ESTA")</f>
        <v>SUMINISTRO E INSTALACIÓN TÉE PARA DUCTO PORTACABLES TROQUELADO DE 100x30 cm</v>
      </c>
      <c r="I300" t="str">
        <v xml:space="preserve">UN   </v>
      </c>
      <c r="J300">
        <v>2</v>
      </c>
      <c r="K300">
        <v>162245</v>
      </c>
      <c r="L300">
        <f t="shared" si="22"/>
        <v>0</v>
      </c>
      <c r="M300">
        <f t="shared" si="23"/>
        <v>0</v>
      </c>
      <c r="N300" s="119">
        <f t="shared" si="24"/>
        <v>1</v>
      </c>
      <c r="O300">
        <f t="shared" si="20"/>
        <v>0</v>
      </c>
    </row>
    <row r="301" spans="2:15" ht="24" customHeight="1" x14ac:dyDescent="0.25">
      <c r="B301" s="86" t="s">
        <v>565</v>
      </c>
      <c r="C301" s="87" t="s">
        <v>566</v>
      </c>
      <c r="D301" s="82" t="s">
        <v>284</v>
      </c>
      <c r="E301" s="83">
        <v>12</v>
      </c>
      <c r="F301" s="88">
        <v>27753</v>
      </c>
      <c r="G301" s="89">
        <f t="shared" si="21"/>
        <v>333036</v>
      </c>
      <c r="H301" s="118" t="str">
        <f t="array" ref="H301:K301">_xlfn.XLOOKUP(C301,'ESAP NEIVA FASE II UNIFICADO'!$C$6:$C$720,'ESAP NEIVA FASE II UNIFICADO'!$C$6:$F$720,"NO ESTA")</f>
        <v>SUMINISTRO E INSTALACIÓN SOPORTES DE FIJACIÓN TIPO PELDAÑO DESCOLGADO PARA DUCTO PORTACABLES TROQUELADO</v>
      </c>
      <c r="I301" t="str">
        <v xml:space="preserve">UN   </v>
      </c>
      <c r="J301">
        <v>34</v>
      </c>
      <c r="K301">
        <v>29987</v>
      </c>
      <c r="L301">
        <f t="shared" si="22"/>
        <v>0</v>
      </c>
      <c r="M301">
        <f t="shared" si="23"/>
        <v>0</v>
      </c>
      <c r="N301" s="119">
        <f t="shared" si="24"/>
        <v>12</v>
      </c>
      <c r="O301">
        <f t="shared" si="20"/>
        <v>0</v>
      </c>
    </row>
    <row r="302" spans="2:15" ht="15" customHeight="1" x14ac:dyDescent="0.25">
      <c r="B302" s="80" t="s">
        <v>567</v>
      </c>
      <c r="C302" s="81" t="s">
        <v>568</v>
      </c>
      <c r="D302" s="82"/>
      <c r="E302" s="83"/>
      <c r="F302" s="104"/>
      <c r="G302" s="89">
        <f t="shared" si="21"/>
        <v>0</v>
      </c>
      <c r="H302" s="118" t="str">
        <f t="array" ref="H302:K302">_xlfn.XLOOKUP(C302,'ESAP NEIVA FASE II UNIFICADO'!$C$6:$C$720,'ESAP NEIVA FASE II UNIFICADO'!$C$6:$F$720,"NO ESTA")</f>
        <v>CANALETA PERIMETRAL MULTITOMA</v>
      </c>
      <c r="I302">
        <v>0</v>
      </c>
      <c r="J302">
        <v>0</v>
      </c>
      <c r="K302">
        <v>0</v>
      </c>
      <c r="L302">
        <f t="shared" si="22"/>
        <v>1</v>
      </c>
      <c r="M302">
        <f t="shared" si="23"/>
        <v>0</v>
      </c>
      <c r="N302" s="119">
        <f t="shared" si="24"/>
        <v>0</v>
      </c>
      <c r="O302">
        <f t="shared" si="20"/>
        <v>0</v>
      </c>
    </row>
    <row r="303" spans="2:15" ht="22.5" customHeight="1" x14ac:dyDescent="0.25">
      <c r="B303" s="86" t="s">
        <v>569</v>
      </c>
      <c r="C303" s="87" t="s">
        <v>570</v>
      </c>
      <c r="D303" s="82" t="s">
        <v>269</v>
      </c>
      <c r="E303" s="83">
        <v>68</v>
      </c>
      <c r="F303" s="88">
        <v>27618</v>
      </c>
      <c r="G303" s="89">
        <f t="shared" si="21"/>
        <v>1878024</v>
      </c>
      <c r="H303" s="118" t="str">
        <f t="array" ref="H303:K303">_xlfn.XLOOKUP(C303,'ESAP NEIVA FASE II UNIFICADO'!$C$6:$C$720,'ESAP NEIVA FASE II UNIFICADO'!$C$6:$F$720,"NO ESTA")</f>
        <v>SUMINISTRO E INSTALACIÓN CANALETA MULTITOMA DE DOS COMPARTIMIENTOS EN LÁMINA COLD ROLLED CAL. 18 DE SECCIÓN 10x4 cm CON TAPA CLIP Y ACABADO ELECTROESTÁTICO GRIS NOPAL TEXTURIZADO</v>
      </c>
      <c r="I303" t="str">
        <v xml:space="preserve">ML   </v>
      </c>
      <c r="J303">
        <v>182</v>
      </c>
      <c r="K303">
        <v>29842</v>
      </c>
      <c r="L303">
        <f t="shared" si="22"/>
        <v>0</v>
      </c>
      <c r="M303">
        <f t="shared" si="23"/>
        <v>0</v>
      </c>
      <c r="N303" s="119">
        <f t="shared" si="24"/>
        <v>68</v>
      </c>
      <c r="O303">
        <f t="shared" si="20"/>
        <v>0</v>
      </c>
    </row>
    <row r="304" spans="2:15" ht="42" customHeight="1" x14ac:dyDescent="0.25">
      <c r="B304" s="86" t="s">
        <v>571</v>
      </c>
      <c r="C304" s="87" t="s">
        <v>572</v>
      </c>
      <c r="D304" s="82" t="s">
        <v>374</v>
      </c>
      <c r="E304" s="83">
        <v>29</v>
      </c>
      <c r="F304" s="88">
        <v>21548</v>
      </c>
      <c r="G304" s="89">
        <f t="shared" si="21"/>
        <v>624892</v>
      </c>
      <c r="H304" s="118" t="str">
        <f t="array" ref="H304:K304">_xlfn.XLOOKUP(C304,'ESAP NEIVA FASE II UNIFICADO'!$C$6:$C$720,'ESAP NEIVA FASE II UNIFICADO'!$C$6:$F$720,"NO ESTA")</f>
        <v>SUMINISTRO E INSTALACIÓN PLACA TOMA TROQUELADA PARA CANALETA 10x4 cm, CON PERFORACIONES PARA UNA (1) TOMA DOBLE COLOR BLANCO, UNA (1) TOMA DOBLE COLOR NARANJA Y UNA (1) TOMA RJ-45</v>
      </c>
      <c r="I304" t="str">
        <v>UN</v>
      </c>
      <c r="J304">
        <v>80</v>
      </c>
      <c r="K304">
        <v>23284</v>
      </c>
      <c r="L304">
        <f t="shared" si="22"/>
        <v>0</v>
      </c>
      <c r="M304">
        <f t="shared" si="23"/>
        <v>0</v>
      </c>
      <c r="N304" s="119">
        <f t="shared" si="24"/>
        <v>29</v>
      </c>
      <c r="O304">
        <f t="shared" si="20"/>
        <v>0</v>
      </c>
    </row>
    <row r="305" spans="2:15" ht="22.5" customHeight="1" x14ac:dyDescent="0.25">
      <c r="B305" s="80" t="s">
        <v>573</v>
      </c>
      <c r="C305" s="81" t="s">
        <v>574</v>
      </c>
      <c r="D305" s="82"/>
      <c r="E305" s="83"/>
      <c r="F305" s="104"/>
      <c r="G305" s="89">
        <f t="shared" si="21"/>
        <v>0</v>
      </c>
      <c r="H305" s="118" t="str">
        <f t="array" ref="H305:K305">_xlfn.XLOOKUP(C305,'ESAP NEIVA FASE II UNIFICADO'!$C$6:$C$720,'ESAP NEIVA FASE II UNIFICADO'!$C$6:$F$720,"NO ESTA")</f>
        <v>SUMINISTRO E INSTALACIÓN COMETIDA RED MEDIA TENSIÓN (SEGÚN NORMAS CODENSA SA ESP)</v>
      </c>
      <c r="I305">
        <v>0</v>
      </c>
      <c r="J305">
        <v>0</v>
      </c>
      <c r="K305">
        <v>0</v>
      </c>
      <c r="L305">
        <f t="shared" si="22"/>
        <v>1</v>
      </c>
      <c r="M305">
        <f t="shared" si="23"/>
        <v>0</v>
      </c>
      <c r="N305" s="119">
        <f t="shared" si="24"/>
        <v>0</v>
      </c>
      <c r="O305">
        <f t="shared" si="20"/>
        <v>0</v>
      </c>
    </row>
    <row r="306" spans="2:15" ht="48" customHeight="1" x14ac:dyDescent="0.25">
      <c r="B306" s="86" t="s">
        <v>575</v>
      </c>
      <c r="C306" s="87" t="s">
        <v>576</v>
      </c>
      <c r="D306" s="82" t="s">
        <v>374</v>
      </c>
      <c r="E306" s="83">
        <v>1</v>
      </c>
      <c r="F306" s="88">
        <v>66355986</v>
      </c>
      <c r="G306" s="89">
        <f t="shared" si="21"/>
        <v>66355986</v>
      </c>
      <c r="H306" s="118" t="str">
        <f t="array" ref="H306:K306">_xlfn.XLOOKUP(C306,'ESAP NEIVA FASE II UNIFICADO'!$C$6:$C$720,'ESAP NEIVA FASE II UNIFICADO'!$C$6:$F$720,"NO ESTA")</f>
        <v>SUMINISTRO E INSTALACIÓN TRANSFORMADOR DE DISTRIBUCIÓN DE 500 Kva, NIVEL DE TENSIÓN PRIMARIO 13.200 VOLTIOS, NIVEL DE TENSIÓN SECUNDARIO 208/120 VOLTIOS. INCLUYE: RIEL DE SOPORTE PARA TRANSFORMADOR (PATIN), RUEDAS PARA RIEL CON FRENO MECANICO</v>
      </c>
      <c r="I306" t="str">
        <v>UN</v>
      </c>
      <c r="J306">
        <v>0</v>
      </c>
      <c r="K306">
        <v>71697829</v>
      </c>
      <c r="L306">
        <f t="shared" si="22"/>
        <v>1</v>
      </c>
      <c r="M306">
        <f t="shared" si="23"/>
        <v>66355986</v>
      </c>
      <c r="N306" s="119">
        <f t="shared" si="24"/>
        <v>1</v>
      </c>
      <c r="O306">
        <f t="shared" si="20"/>
        <v>66355986</v>
      </c>
    </row>
    <row r="307" spans="2:15" ht="22.5" customHeight="1" x14ac:dyDescent="0.25">
      <c r="B307" s="86" t="s">
        <v>577</v>
      </c>
      <c r="C307" s="87" t="s">
        <v>578</v>
      </c>
      <c r="D307" s="82" t="s">
        <v>374</v>
      </c>
      <c r="E307" s="83">
        <v>1</v>
      </c>
      <c r="F307" s="88">
        <v>4913006</v>
      </c>
      <c r="G307" s="89">
        <f t="shared" si="21"/>
        <v>4913006</v>
      </c>
      <c r="H307" s="118" t="str">
        <f t="array" ref="H307:K307">_xlfn.XLOOKUP(C307,'ESAP NEIVA FASE II UNIFICADO'!$C$6:$C$720,'ESAP NEIVA FASE II UNIFICADO'!$C$6:$F$720,"NO ESTA")</f>
        <v>SUMINISTRO E INSTALACIÓN PUERTA CORTAFUEGO PINTURA ELECTROESTÁTICA Y SEÑALES DE RIESGO ELÉCTRICO. INCLUYE ACCESORIOS PARA ENCLAVAMIENTO</v>
      </c>
      <c r="I307" t="str">
        <v>UN</v>
      </c>
      <c r="J307">
        <v>0</v>
      </c>
      <c r="K307">
        <v>5308517</v>
      </c>
      <c r="L307">
        <f t="shared" si="22"/>
        <v>1</v>
      </c>
      <c r="M307">
        <f t="shared" si="23"/>
        <v>4913006</v>
      </c>
      <c r="N307" s="119">
        <f t="shared" si="24"/>
        <v>1</v>
      </c>
      <c r="O307">
        <f t="shared" si="20"/>
        <v>4913006</v>
      </c>
    </row>
    <row r="308" spans="2:15" ht="37.5" customHeight="1" x14ac:dyDescent="0.25">
      <c r="B308" s="86" t="s">
        <v>579</v>
      </c>
      <c r="C308" s="87" t="s">
        <v>580</v>
      </c>
      <c r="D308" s="82" t="s">
        <v>374</v>
      </c>
      <c r="E308" s="83">
        <v>1</v>
      </c>
      <c r="F308" s="88">
        <v>182846</v>
      </c>
      <c r="G308" s="89">
        <f t="shared" si="21"/>
        <v>182846</v>
      </c>
      <c r="H308" s="118" t="str">
        <f t="array" ref="H308:K308">_xlfn.XLOOKUP(C308,'ESAP NEIVA FASE II UNIFICADO'!$C$6:$C$720,'ESAP NEIVA FASE II UNIFICADO'!$C$6:$F$720,"NO ESTA")</f>
        <v>SUMINISTRO E INSTALACIÓN BARRERA DE PROTECCIÓN PARA EVITAR CONTACTO DIRECTO CON TRANSFORMADOR. INCLUYE INDUMENTARIA PARA ASEGURAR LA BARRERA A LA DISTANCIA ADECUADA DEL TRANSFORMADOR</v>
      </c>
      <c r="I308" t="str">
        <v>UN</v>
      </c>
      <c r="J308">
        <v>0</v>
      </c>
      <c r="K308">
        <v>197566</v>
      </c>
      <c r="L308">
        <f t="shared" si="22"/>
        <v>1</v>
      </c>
      <c r="M308">
        <f t="shared" si="23"/>
        <v>182846</v>
      </c>
      <c r="N308" s="119">
        <f t="shared" si="24"/>
        <v>1</v>
      </c>
      <c r="O308">
        <f t="shared" si="20"/>
        <v>182846</v>
      </c>
    </row>
    <row r="309" spans="2:15" ht="22.5" customHeight="1" x14ac:dyDescent="0.25">
      <c r="B309" s="86" t="s">
        <v>581</v>
      </c>
      <c r="C309" s="87" t="s">
        <v>582</v>
      </c>
      <c r="D309" s="82" t="s">
        <v>374</v>
      </c>
      <c r="E309" s="83">
        <v>1</v>
      </c>
      <c r="F309" s="88">
        <v>149015</v>
      </c>
      <c r="G309" s="89">
        <f t="shared" si="21"/>
        <v>149015</v>
      </c>
      <c r="H309" s="118" t="str">
        <f t="array" ref="H309">_xlfn.XLOOKUP(C309,'ESAP NEIVA FASE II UNIFICADO'!$C$6:$C$720,'ESAP NEIVA FASE II UNIFICADO'!$C$6:$F$720,"NO ESTA")</f>
        <v>NO ESTA</v>
      </c>
      <c r="L309">
        <f t="shared" si="22"/>
        <v>1</v>
      </c>
      <c r="M309">
        <f t="shared" si="23"/>
        <v>149015</v>
      </c>
      <c r="N309" s="119">
        <f t="shared" si="24"/>
        <v>1</v>
      </c>
      <c r="O309">
        <f t="shared" si="20"/>
        <v>149015</v>
      </c>
    </row>
    <row r="310" spans="2:15" ht="22.5" customHeight="1" x14ac:dyDescent="0.25">
      <c r="B310" s="86" t="s">
        <v>583</v>
      </c>
      <c r="C310" s="87" t="s">
        <v>584</v>
      </c>
      <c r="D310" s="82" t="s">
        <v>374</v>
      </c>
      <c r="E310" s="83">
        <v>1</v>
      </c>
      <c r="F310" s="88">
        <v>300362</v>
      </c>
      <c r="G310" s="89">
        <f t="shared" si="21"/>
        <v>300362</v>
      </c>
      <c r="H310" s="118" t="str">
        <f t="array" ref="H310:K310">_xlfn.XLOOKUP(C310,'ESAP NEIVA FASE II UNIFICADO'!$C$6:$C$720,'ESAP NEIVA FASE II UNIFICADO'!$C$6:$F$720,"NO ESTA")</f>
        <v>SUMINISTRO E INSTALACIÓN PASAMUROS DE MEDIA TENSIÓN, PASA MUROS EN PVC INCLUYE OBRAS NECESARIAS PARA LA INSTALACIÓN DE LAS MISMAS (JUEGO)</v>
      </c>
      <c r="I310" t="str">
        <v>UN</v>
      </c>
      <c r="J310">
        <v>0</v>
      </c>
      <c r="K310">
        <v>324542</v>
      </c>
      <c r="L310">
        <f t="shared" si="22"/>
        <v>1</v>
      </c>
      <c r="M310">
        <f t="shared" si="23"/>
        <v>300362</v>
      </c>
      <c r="N310" s="119">
        <f t="shared" si="24"/>
        <v>1</v>
      </c>
      <c r="O310">
        <f t="shared" si="20"/>
        <v>300362</v>
      </c>
    </row>
    <row r="311" spans="2:15" ht="22.5" customHeight="1" x14ac:dyDescent="0.25">
      <c r="B311" s="86" t="s">
        <v>585</v>
      </c>
      <c r="C311" s="87" t="s">
        <v>586</v>
      </c>
      <c r="D311" s="82" t="s">
        <v>374</v>
      </c>
      <c r="E311" s="83">
        <v>1</v>
      </c>
      <c r="F311" s="88">
        <v>366182</v>
      </c>
      <c r="G311" s="89">
        <f t="shared" si="21"/>
        <v>366182</v>
      </c>
      <c r="H311" s="118" t="str">
        <f t="array" ref="H311:K311">_xlfn.XLOOKUP(C311,'ESAP NEIVA FASE II UNIFICADO'!$C$6:$C$720,'ESAP NEIVA FASE II UNIFICADO'!$C$6:$F$720,"NO ESTA")</f>
        <v>SUMINISTRO E INSTALACIÓN DUCTO DE VENTILACIÓN CON DÁMPER FIRE, INCLUYE REJILLA DAMPER PARA EMERGENCIA</v>
      </c>
      <c r="I311" t="str">
        <v>UN</v>
      </c>
      <c r="J311">
        <v>0</v>
      </c>
      <c r="K311">
        <v>395661</v>
      </c>
      <c r="L311">
        <f t="shared" si="22"/>
        <v>1</v>
      </c>
      <c r="M311">
        <f t="shared" si="23"/>
        <v>366182</v>
      </c>
      <c r="N311" s="119">
        <f t="shared" si="24"/>
        <v>1</v>
      </c>
      <c r="O311">
        <f t="shared" si="20"/>
        <v>366182</v>
      </c>
    </row>
    <row r="312" spans="2:15" ht="35.25" customHeight="1" x14ac:dyDescent="0.25">
      <c r="B312" s="86" t="s">
        <v>587</v>
      </c>
      <c r="C312" s="87" t="s">
        <v>588</v>
      </c>
      <c r="D312" s="82" t="s">
        <v>374</v>
      </c>
      <c r="E312" s="83">
        <v>1</v>
      </c>
      <c r="F312" s="88">
        <v>268074</v>
      </c>
      <c r="G312" s="89">
        <f t="shared" si="21"/>
        <v>268074</v>
      </c>
      <c r="H312" s="118" t="str">
        <f t="array" ref="H312">_xlfn.XLOOKUP(C312,'ESAP NEIVA FASE II UNIFICADO'!$C$6:$C$720,'ESAP NEIVA FASE II UNIFICADO'!$C$6:$F$720,"NO ESTA")</f>
        <v>NO ESTA</v>
      </c>
      <c r="L312">
        <f t="shared" si="22"/>
        <v>1</v>
      </c>
      <c r="M312">
        <f t="shared" si="23"/>
        <v>268074</v>
      </c>
      <c r="N312" s="119">
        <f t="shared" si="24"/>
        <v>1</v>
      </c>
      <c r="O312">
        <f t="shared" si="20"/>
        <v>268074</v>
      </c>
    </row>
    <row r="313" spans="2:15" ht="22.5" customHeight="1" x14ac:dyDescent="0.25">
      <c r="B313" s="86" t="s">
        <v>589</v>
      </c>
      <c r="C313" s="87" t="s">
        <v>590</v>
      </c>
      <c r="D313" s="82" t="s">
        <v>374</v>
      </c>
      <c r="E313" s="83">
        <v>1</v>
      </c>
      <c r="F313" s="88">
        <v>540606</v>
      </c>
      <c r="G313" s="89">
        <f t="shared" si="21"/>
        <v>540606</v>
      </c>
      <c r="H313" s="118" t="str">
        <f t="array" ref="H313:K313">_xlfn.XLOOKUP(C313,'ESAP NEIVA FASE II UNIFICADO'!$C$6:$C$720,'ESAP NEIVA FASE II UNIFICADO'!$C$6:$F$720,"NO ESTA")</f>
        <v>SUMINISTRO E INSTALACIÓN DE DPS (DISPOSITIVO DE PROTECCIÓN CONTRA SOBRETENSIONES)</v>
      </c>
      <c r="I313" t="str">
        <v>UN</v>
      </c>
      <c r="J313">
        <v>1</v>
      </c>
      <c r="K313">
        <v>584126</v>
      </c>
      <c r="L313">
        <f t="shared" si="22"/>
        <v>0</v>
      </c>
      <c r="M313">
        <f t="shared" si="23"/>
        <v>0</v>
      </c>
      <c r="N313" s="119">
        <f t="shared" si="24"/>
        <v>1</v>
      </c>
      <c r="O313">
        <f t="shared" si="20"/>
        <v>0</v>
      </c>
    </row>
    <row r="314" spans="2:15" ht="37.5" customHeight="1" x14ac:dyDescent="0.25">
      <c r="B314" s="86" t="s">
        <v>591</v>
      </c>
      <c r="C314" s="87" t="s">
        <v>592</v>
      </c>
      <c r="D314" s="82" t="s">
        <v>374</v>
      </c>
      <c r="E314" s="83">
        <v>1</v>
      </c>
      <c r="F314" s="88">
        <v>17350616</v>
      </c>
      <c r="G314" s="89">
        <f t="shared" si="21"/>
        <v>17350616</v>
      </c>
      <c r="H314" s="118" t="str">
        <f t="array" ref="H314">_xlfn.XLOOKUP(C314,'ESAP NEIVA FASE II UNIFICADO'!$C$6:$C$720,'ESAP NEIVA FASE II UNIFICADO'!$C$6:$F$720,"NO ESTA")</f>
        <v>NO ESTA</v>
      </c>
      <c r="L314">
        <f t="shared" si="22"/>
        <v>1</v>
      </c>
      <c r="M314">
        <f t="shared" si="23"/>
        <v>17350616</v>
      </c>
      <c r="N314" s="119">
        <f t="shared" si="24"/>
        <v>1</v>
      </c>
      <c r="O314">
        <f t="shared" si="20"/>
        <v>17350616</v>
      </c>
    </row>
    <row r="315" spans="2:15" ht="40.5" customHeight="1" x14ac:dyDescent="0.25">
      <c r="B315" s="86" t="s">
        <v>593</v>
      </c>
      <c r="C315" s="87" t="s">
        <v>594</v>
      </c>
      <c r="D315" s="82" t="s">
        <v>374</v>
      </c>
      <c r="E315" s="83">
        <v>1</v>
      </c>
      <c r="F315" s="88">
        <v>1379019</v>
      </c>
      <c r="G315" s="89">
        <f t="shared" si="21"/>
        <v>1379019</v>
      </c>
      <c r="H315" s="118" t="str">
        <f t="array" ref="H315:K315">_xlfn.XLOOKUP(C315,'ESAP NEIVA FASE II UNIFICADO'!$C$6:$C$720,'ESAP NEIVA FASE II UNIFICADO'!$C$6:$F$720,"NO ESTA")</f>
        <v xml:space="preserve">SUMINISTRO E INSTALACIÓN CAJA DE INSPECCIÓN SENCILLA CON TAPA EN CONCRETO SEGÚN NORMA CS-276 CODENSA S.A. ESP PARA RED DE MEDIA Y BAJA TENSIÓN. </v>
      </c>
      <c r="I315" t="str">
        <v>UN</v>
      </c>
      <c r="J315">
        <v>2</v>
      </c>
      <c r="K315">
        <v>1490034</v>
      </c>
      <c r="L315">
        <f t="shared" si="22"/>
        <v>0</v>
      </c>
      <c r="M315">
        <f t="shared" si="23"/>
        <v>0</v>
      </c>
      <c r="N315" s="119">
        <f t="shared" si="24"/>
        <v>1</v>
      </c>
      <c r="O315">
        <f t="shared" si="20"/>
        <v>0</v>
      </c>
    </row>
    <row r="316" spans="2:15" ht="15" customHeight="1" x14ac:dyDescent="0.25">
      <c r="B316" s="80" t="s">
        <v>595</v>
      </c>
      <c r="C316" s="81" t="s">
        <v>596</v>
      </c>
      <c r="D316" s="82"/>
      <c r="E316" s="83"/>
      <c r="F316" s="104"/>
      <c r="G316" s="89">
        <f t="shared" si="21"/>
        <v>0</v>
      </c>
      <c r="H316" s="118" t="str">
        <f t="array" ref="H316:K316">_xlfn.XLOOKUP(C316,'ESAP NEIVA FASE II UNIFICADO'!$C$6:$C$720,'ESAP NEIVA FASE II UNIFICADO'!$C$6:$F$720,"NO ESTA")</f>
        <v>SUMINISTRO E INSTALACIÓN ALIMENTADORES ELÉCTRICOS PRINCIPALES</v>
      </c>
      <c r="I316">
        <v>0</v>
      </c>
      <c r="J316">
        <v>0</v>
      </c>
      <c r="K316">
        <v>0</v>
      </c>
      <c r="L316">
        <f t="shared" si="22"/>
        <v>1</v>
      </c>
      <c r="M316">
        <f t="shared" si="23"/>
        <v>0</v>
      </c>
      <c r="N316" s="119">
        <f t="shared" si="24"/>
        <v>0</v>
      </c>
      <c r="O316">
        <f t="shared" si="20"/>
        <v>0</v>
      </c>
    </row>
    <row r="317" spans="2:15" ht="25.5" customHeight="1" x14ac:dyDescent="0.25">
      <c r="B317" s="86" t="s">
        <v>597</v>
      </c>
      <c r="C317" s="87" t="s">
        <v>598</v>
      </c>
      <c r="D317" s="82" t="s">
        <v>269</v>
      </c>
      <c r="E317" s="83">
        <v>20</v>
      </c>
      <c r="F317" s="88">
        <v>291397</v>
      </c>
      <c r="G317" s="89">
        <f t="shared" si="21"/>
        <v>5827940</v>
      </c>
      <c r="H317" s="118" t="str">
        <f t="array" ref="H317:K317">_xlfn.XLOOKUP(C317,'ESAP NEIVA FASE II UNIFICADO'!$C$6:$C$720,'ESAP NEIVA FASE II UNIFICADO'!$C$6:$F$720,"NO ESTA")</f>
        <v>SUMINISTRO E INSTALACIÓN INTERCONEXIÓN ENTRE CAJA CS-276 Y CELDA DE MEDIDA CABLE XLPE 15KV T AWG EN TUBERÍA PVC 6".</v>
      </c>
      <c r="I317" t="str">
        <v xml:space="preserve">ML   </v>
      </c>
      <c r="J317">
        <v>0</v>
      </c>
      <c r="K317">
        <v>314854</v>
      </c>
      <c r="L317">
        <f t="shared" si="22"/>
        <v>1</v>
      </c>
      <c r="M317">
        <f t="shared" si="23"/>
        <v>291397</v>
      </c>
      <c r="N317" s="119">
        <f t="shared" si="24"/>
        <v>20</v>
      </c>
      <c r="O317">
        <f t="shared" si="20"/>
        <v>5827940</v>
      </c>
    </row>
    <row r="318" spans="2:15" ht="39.75" customHeight="1" x14ac:dyDescent="0.25">
      <c r="B318" s="86" t="s">
        <v>599</v>
      </c>
      <c r="C318" s="87" t="s">
        <v>600</v>
      </c>
      <c r="D318" s="82" t="s">
        <v>269</v>
      </c>
      <c r="E318" s="83">
        <v>6</v>
      </c>
      <c r="F318" s="88">
        <v>1075492</v>
      </c>
      <c r="G318" s="89">
        <f t="shared" si="21"/>
        <v>6452952</v>
      </c>
      <c r="H318" s="118" t="str">
        <f t="array" ref="H318">_xlfn.XLOOKUP(C318,'ESAP NEIVA FASE II UNIFICADO'!$C$6:$C$720,'ESAP NEIVA FASE II UNIFICADO'!$C$6:$F$720,"NO ESTA")</f>
        <v>NO ESTA</v>
      </c>
      <c r="L318">
        <f t="shared" si="22"/>
        <v>1</v>
      </c>
      <c r="M318">
        <f t="shared" si="23"/>
        <v>1075492</v>
      </c>
      <c r="N318" s="119">
        <f t="shared" si="24"/>
        <v>6</v>
      </c>
      <c r="O318">
        <f t="shared" si="20"/>
        <v>6452952</v>
      </c>
    </row>
    <row r="319" spans="2:15" ht="40.5" customHeight="1" x14ac:dyDescent="0.25">
      <c r="B319" s="86" t="s">
        <v>601</v>
      </c>
      <c r="C319" s="87" t="s">
        <v>602</v>
      </c>
      <c r="D319" s="82" t="s">
        <v>269</v>
      </c>
      <c r="E319" s="83">
        <v>5</v>
      </c>
      <c r="F319" s="88">
        <v>1131472</v>
      </c>
      <c r="G319" s="89">
        <f t="shared" si="21"/>
        <v>5657360</v>
      </c>
      <c r="H319" s="118" t="str">
        <f t="array" ref="H319">_xlfn.XLOOKUP(C319,'ESAP NEIVA FASE II UNIFICADO'!$C$6:$C$720,'ESAP NEIVA FASE II UNIFICADO'!$C$6:$F$720,"NO ESTA")</f>
        <v>NO ESTA</v>
      </c>
      <c r="L319">
        <f t="shared" si="22"/>
        <v>1</v>
      </c>
      <c r="M319">
        <f t="shared" si="23"/>
        <v>1131472</v>
      </c>
      <c r="N319" s="119">
        <f t="shared" si="24"/>
        <v>5</v>
      </c>
      <c r="O319">
        <f t="shared" si="20"/>
        <v>5657360</v>
      </c>
    </row>
    <row r="320" spans="2:15" ht="15" customHeight="1" x14ac:dyDescent="0.25">
      <c r="B320" s="80" t="s">
        <v>603</v>
      </c>
      <c r="C320" s="81" t="s">
        <v>596</v>
      </c>
      <c r="D320" s="82"/>
      <c r="E320" s="83"/>
      <c r="F320" s="104"/>
      <c r="G320" s="89">
        <f t="shared" si="21"/>
        <v>0</v>
      </c>
      <c r="H320" s="118" t="str">
        <f t="array" ref="H320:K320">_xlfn.XLOOKUP(C320,'ESAP NEIVA FASE II UNIFICADO'!$C$6:$C$720,'ESAP NEIVA FASE II UNIFICADO'!$C$6:$F$720,"NO ESTA")</f>
        <v>SUMINISTRO E INSTALACIÓN ALIMENTADORES ELÉCTRICOS PRINCIPALES</v>
      </c>
      <c r="I320">
        <v>0</v>
      </c>
      <c r="J320">
        <v>0</v>
      </c>
      <c r="K320">
        <v>0</v>
      </c>
      <c r="L320">
        <f t="shared" si="22"/>
        <v>1</v>
      </c>
      <c r="M320">
        <f t="shared" si="23"/>
        <v>0</v>
      </c>
      <c r="N320" s="119">
        <f t="shared" si="24"/>
        <v>0</v>
      </c>
      <c r="O320">
        <f t="shared" si="20"/>
        <v>0</v>
      </c>
    </row>
    <row r="321" spans="2:15" ht="24.75" customHeight="1" x14ac:dyDescent="0.25">
      <c r="B321" s="86" t="s">
        <v>604</v>
      </c>
      <c r="C321" s="87" t="s">
        <v>605</v>
      </c>
      <c r="D321" s="82" t="s">
        <v>269</v>
      </c>
      <c r="E321" s="83">
        <v>8</v>
      </c>
      <c r="F321" s="88">
        <v>176671</v>
      </c>
      <c r="G321" s="89">
        <f t="shared" si="21"/>
        <v>1413368</v>
      </c>
      <c r="H321" s="118" t="str">
        <f t="array" ref="H321:K321">_xlfn.XLOOKUP(C321,'ESAP NEIVA FASE II UNIFICADO'!$C$6:$C$720,'ESAP NEIVA FASE II UNIFICADO'!$C$6:$F$720,"NO ESTA")</f>
        <v>SUMINISTRO E INSTALACIÓN ALIMENTADOR DESDE TRANSFERENCIA HASTA TABLERO GENERAL DE MAQUINAS EN 3#4/0+1#4/0N+1#2T AWG EN BANDEJA PORTA CABLES</v>
      </c>
      <c r="I321" t="str">
        <v xml:space="preserve">ML   </v>
      </c>
      <c r="J321">
        <v>0</v>
      </c>
      <c r="K321">
        <v>190892</v>
      </c>
      <c r="L321">
        <f t="shared" si="22"/>
        <v>1</v>
      </c>
      <c r="M321">
        <f t="shared" si="23"/>
        <v>176671</v>
      </c>
      <c r="N321" s="119">
        <f t="shared" si="24"/>
        <v>8</v>
      </c>
      <c r="O321">
        <f t="shared" ref="O321:O384" si="25">M321*N321</f>
        <v>1413368</v>
      </c>
    </row>
    <row r="322" spans="2:15" ht="42" customHeight="1" x14ac:dyDescent="0.25">
      <c r="B322" s="86" t="s">
        <v>606</v>
      </c>
      <c r="C322" s="87" t="s">
        <v>607</v>
      </c>
      <c r="D322" s="82" t="s">
        <v>269</v>
      </c>
      <c r="E322" s="83">
        <v>52</v>
      </c>
      <c r="F322" s="88">
        <v>56745</v>
      </c>
      <c r="G322" s="89">
        <f t="shared" si="21"/>
        <v>2950740</v>
      </c>
      <c r="H322" s="118" t="str">
        <f t="array" ref="H322:K322">_xlfn.XLOOKUP(C322,'ESAP NEIVA FASE II UNIFICADO'!$C$6:$C$720,'ESAP NEIVA FASE II UNIFICADO'!$C$6:$F$720,"NO ESTA")</f>
        <v>SUMINISTRO E INSTALACIÓN ALIMENTADOR DESDE EL TABLERO GENERAL MAQUINAS HASTA EL TABLERO DE ASCENSOR EN 3#6+1#6N+1#8T AWG EN TUBERIA PVC ø 1 1/2" INCLUYENDO DE TERMINALES DE CONEXIÓN</v>
      </c>
      <c r="I322" t="str">
        <v xml:space="preserve">ML   </v>
      </c>
      <c r="J322">
        <v>0</v>
      </c>
      <c r="K322">
        <v>61314</v>
      </c>
      <c r="L322">
        <f t="shared" si="22"/>
        <v>1</v>
      </c>
      <c r="M322">
        <f t="shared" si="23"/>
        <v>56745</v>
      </c>
      <c r="N322" s="119">
        <f t="shared" si="24"/>
        <v>52</v>
      </c>
      <c r="O322">
        <f t="shared" si="25"/>
        <v>2950740</v>
      </c>
    </row>
    <row r="323" spans="2:15" ht="42" customHeight="1" x14ac:dyDescent="0.25">
      <c r="B323" s="86" t="s">
        <v>608</v>
      </c>
      <c r="C323" s="87" t="s">
        <v>609</v>
      </c>
      <c r="D323" s="82" t="s">
        <v>269</v>
      </c>
      <c r="E323" s="83">
        <v>106</v>
      </c>
      <c r="F323" s="88">
        <v>56745</v>
      </c>
      <c r="G323" s="89">
        <f t="shared" si="21"/>
        <v>6014970</v>
      </c>
      <c r="H323" s="118" t="str">
        <f t="array" ref="H323:K323">_xlfn.XLOOKUP(C323,'ESAP NEIVA FASE II UNIFICADO'!$C$6:$C$720,'ESAP NEIVA FASE II UNIFICADO'!$C$6:$F$720,"NO ESTA")</f>
        <v>SUMINISTRO E INSTALACIÓN ALIMENTADOR DESDE EL TABLERO GENERAL MAQUINAS HASTA EL TABLERO NORMAL BOMBAS EN 3#6+1#6N+1#8T AWG EN TUBERIA PVC 1 ø 1 1/2" INCLUYENDO DE TERMINALES DE CONEXIÓN</v>
      </c>
      <c r="I323" t="str">
        <v xml:space="preserve">ML   </v>
      </c>
      <c r="J323">
        <v>0</v>
      </c>
      <c r="K323">
        <v>61314</v>
      </c>
      <c r="L323">
        <f t="shared" si="22"/>
        <v>1</v>
      </c>
      <c r="M323">
        <f t="shared" si="23"/>
        <v>56745</v>
      </c>
      <c r="N323" s="119">
        <f t="shared" si="24"/>
        <v>106</v>
      </c>
      <c r="O323">
        <f t="shared" si="25"/>
        <v>6014970</v>
      </c>
    </row>
    <row r="324" spans="2:15" ht="42" customHeight="1" x14ac:dyDescent="0.25">
      <c r="B324" s="86" t="s">
        <v>610</v>
      </c>
      <c r="C324" s="87" t="s">
        <v>611</v>
      </c>
      <c r="D324" s="82" t="s">
        <v>269</v>
      </c>
      <c r="E324" s="83">
        <v>5</v>
      </c>
      <c r="F324" s="88">
        <v>331752</v>
      </c>
      <c r="G324" s="89">
        <f t="shared" si="21"/>
        <v>1658760</v>
      </c>
      <c r="H324" s="118" t="str">
        <f t="array" ref="H324:K324">_xlfn.XLOOKUP(C324,'ESAP NEIVA FASE II UNIFICADO'!$C$6:$C$720,'ESAP NEIVA FASE II UNIFICADO'!$C$6:$F$720,"NO ESTA")</f>
        <v>SUMINISTRO E INSTALACIÓN ALIMENTADOR DESDE TRANSFERENCIA HASTA EL TABLERO GENERAL DE DISTRIBUCIÓN EN 6#4/0+2#4/0N+1#4T EN BANDEJA PORTACABLES</v>
      </c>
      <c r="I324" t="str">
        <v xml:space="preserve">ML   </v>
      </c>
      <c r="J324">
        <v>0</v>
      </c>
      <c r="K324">
        <v>358460</v>
      </c>
      <c r="L324">
        <f t="shared" si="22"/>
        <v>1</v>
      </c>
      <c r="M324">
        <f t="shared" si="23"/>
        <v>331752</v>
      </c>
      <c r="N324" s="119">
        <f t="shared" si="24"/>
        <v>5</v>
      </c>
      <c r="O324">
        <f t="shared" si="25"/>
        <v>1658760</v>
      </c>
    </row>
    <row r="325" spans="2:15" ht="42" customHeight="1" x14ac:dyDescent="0.25">
      <c r="B325" s="86" t="s">
        <v>612</v>
      </c>
      <c r="C325" s="87" t="s">
        <v>613</v>
      </c>
      <c r="D325" s="82" t="s">
        <v>269</v>
      </c>
      <c r="E325" s="83">
        <v>6</v>
      </c>
      <c r="F325" s="88">
        <v>56745</v>
      </c>
      <c r="G325" s="89">
        <f t="shared" si="21"/>
        <v>340470</v>
      </c>
      <c r="H325" s="118" t="str">
        <f t="array" ref="H325:K325">_xlfn.XLOOKUP(C325,'ESAP NEIVA FASE II UNIFICADO'!$C$6:$C$720,'ESAP NEIVA FASE II UNIFICADO'!$C$6:$F$720,"NO ESTA")</f>
        <v>SUMINISTRO E INSTALACIÓN ALIMENTADOR DESDE EL TABLERO GENERAL DE DISTRIBUCIÓN HASTA EL TNS SOTANO POR CARCAMO CON 3#6+1#6N+1#8T AWG INCLUYE TERMINALES DE CONEXIÓN</v>
      </c>
      <c r="I325" t="str">
        <v xml:space="preserve">ML   </v>
      </c>
      <c r="J325">
        <v>0</v>
      </c>
      <c r="K325">
        <v>61314</v>
      </c>
      <c r="L325">
        <f t="shared" si="22"/>
        <v>1</v>
      </c>
      <c r="M325">
        <f t="shared" si="23"/>
        <v>56745</v>
      </c>
      <c r="N325" s="119">
        <f t="shared" si="24"/>
        <v>6</v>
      </c>
      <c r="O325">
        <f t="shared" si="25"/>
        <v>340470</v>
      </c>
    </row>
    <row r="326" spans="2:15" ht="42" customHeight="1" x14ac:dyDescent="0.25">
      <c r="B326" s="86" t="s">
        <v>614</v>
      </c>
      <c r="C326" s="87" t="s">
        <v>615</v>
      </c>
      <c r="D326" s="82" t="s">
        <v>269</v>
      </c>
      <c r="E326" s="83">
        <v>60</v>
      </c>
      <c r="F326" s="88">
        <v>119175</v>
      </c>
      <c r="G326" s="89">
        <f t="shared" si="21"/>
        <v>7150500</v>
      </c>
      <c r="H326" s="118" t="str">
        <f t="array" ref="H326:K326">_xlfn.XLOOKUP(C326,'ESAP NEIVA FASE II UNIFICADO'!$C$6:$C$720,'ESAP NEIVA FASE II UNIFICADO'!$C$6:$F$720,"NO ESTA")</f>
        <v>SUMINISTRO E INSTALACIÓN ALIMENTADOR DESDE EL TABLERO GENERAL DE DISTRIBUCIÓN HASTA EL TNP1 PISO 1 EN 1 ø 2" CON 3#2/0+1#2/0N+1#4T AWG INCLUYE TERMINALES DE CONEXIÓN</v>
      </c>
      <c r="I326" t="str">
        <v xml:space="preserve">ML   </v>
      </c>
      <c r="J326">
        <v>0</v>
      </c>
      <c r="K326">
        <v>128769</v>
      </c>
      <c r="L326">
        <f t="shared" si="22"/>
        <v>1</v>
      </c>
      <c r="M326">
        <f t="shared" si="23"/>
        <v>119175</v>
      </c>
      <c r="N326" s="119">
        <f t="shared" si="24"/>
        <v>60</v>
      </c>
      <c r="O326">
        <f t="shared" si="25"/>
        <v>7150500</v>
      </c>
    </row>
    <row r="327" spans="2:15" ht="42" customHeight="1" x14ac:dyDescent="0.25">
      <c r="B327" s="86" t="s">
        <v>616</v>
      </c>
      <c r="C327" s="87" t="s">
        <v>617</v>
      </c>
      <c r="D327" s="82" t="s">
        <v>269</v>
      </c>
      <c r="E327" s="83">
        <v>64</v>
      </c>
      <c r="F327" s="88">
        <v>176378</v>
      </c>
      <c r="G327" s="89">
        <f t="shared" ref="G327:G390" si="26">ROUND(+F327*E327,2)</f>
        <v>11288192</v>
      </c>
      <c r="H327" s="118" t="str">
        <f t="array" ref="H327:K327">_xlfn.XLOOKUP(C327,'ESAP NEIVA FASE II UNIFICADO'!$C$6:$C$720,'ESAP NEIVA FASE II UNIFICADO'!$C$6:$F$720,"NO ESTA")</f>
        <v>SUMINISTRO E INSTALACIÓN ALIMENTADOR DESDE EL TABLERO GENERAL DE DISTRIBUCIÓN HASTA EL TNP2 PISO 2 EN 1 ø 3" CON 3#4/0+1#2/0N+1#4T AWG INCLUYE TERMINALES DE CONEXIÓN</v>
      </c>
      <c r="I327" t="str">
        <v xml:space="preserve">ML   </v>
      </c>
      <c r="J327">
        <v>0</v>
      </c>
      <c r="K327">
        <v>190576</v>
      </c>
      <c r="L327">
        <f t="shared" si="22"/>
        <v>1</v>
      </c>
      <c r="M327">
        <f t="shared" si="23"/>
        <v>176378</v>
      </c>
      <c r="N327" s="119">
        <f t="shared" si="24"/>
        <v>64</v>
      </c>
      <c r="O327">
        <f t="shared" si="25"/>
        <v>11288192</v>
      </c>
    </row>
    <row r="328" spans="2:15" ht="42" customHeight="1" x14ac:dyDescent="0.25">
      <c r="B328" s="86" t="s">
        <v>618</v>
      </c>
      <c r="C328" s="87" t="s">
        <v>619</v>
      </c>
      <c r="D328" s="82" t="s">
        <v>269</v>
      </c>
      <c r="E328" s="83">
        <v>68</v>
      </c>
      <c r="F328" s="88">
        <v>176378</v>
      </c>
      <c r="G328" s="89">
        <f t="shared" si="26"/>
        <v>11993704</v>
      </c>
      <c r="H328" s="118" t="str">
        <f t="array" ref="H328:K328">_xlfn.XLOOKUP(C328,'ESAP NEIVA FASE II UNIFICADO'!$C$6:$C$720,'ESAP NEIVA FASE II UNIFICADO'!$C$6:$F$720,"NO ESTA")</f>
        <v>SUMINISTRO E INSTALACIÓN ALIMENTADOR DESDE EL TABLERO GENERAL DE DISTRIBUCIÓN HASTA EL TNP3 PISO 3 EN 1 ø 3" CON 3#4/0+1#2/0N+1#4T AWG INCLUYE TERMINALES DE CONEXIÓN</v>
      </c>
      <c r="I328" t="str">
        <v xml:space="preserve">ML   </v>
      </c>
      <c r="J328">
        <v>0</v>
      </c>
      <c r="K328">
        <v>190576</v>
      </c>
      <c r="L328">
        <f t="shared" si="22"/>
        <v>1</v>
      </c>
      <c r="M328">
        <f t="shared" si="23"/>
        <v>176378</v>
      </c>
      <c r="N328" s="119">
        <f t="shared" si="24"/>
        <v>68</v>
      </c>
      <c r="O328">
        <f t="shared" si="25"/>
        <v>11993704</v>
      </c>
    </row>
    <row r="329" spans="2:15" ht="42" customHeight="1" x14ac:dyDescent="0.25">
      <c r="B329" s="86" t="s">
        <v>620</v>
      </c>
      <c r="C329" s="87" t="s">
        <v>621</v>
      </c>
      <c r="D329" s="82" t="s">
        <v>269</v>
      </c>
      <c r="E329" s="83">
        <v>72</v>
      </c>
      <c r="F329" s="88">
        <v>176378</v>
      </c>
      <c r="G329" s="89">
        <f t="shared" si="26"/>
        <v>12699216</v>
      </c>
      <c r="H329" s="118" t="str">
        <f t="array" ref="H329:K329">_xlfn.XLOOKUP(C329,'ESAP NEIVA FASE II UNIFICADO'!$C$6:$C$720,'ESAP NEIVA FASE II UNIFICADO'!$C$6:$F$720,"NO ESTA")</f>
        <v>SUMINISTRO E INSTALACIÓN ALIMENTADOR DESDE EL TABLERO GENERAL DE DISTRIBUCIÓN HASTA EL TNP3 PISO 4 EN 1 Ø 3" CON 3#4/0+1#2/0N+1#4T AWG INCLUYE TERMINALES DE CONEXIÓN</v>
      </c>
      <c r="I329" t="str">
        <v xml:space="preserve">ML   </v>
      </c>
      <c r="J329">
        <v>0</v>
      </c>
      <c r="K329">
        <v>190576</v>
      </c>
      <c r="L329">
        <f t="shared" si="22"/>
        <v>1</v>
      </c>
      <c r="M329">
        <f t="shared" si="23"/>
        <v>176378</v>
      </c>
      <c r="N329" s="119">
        <f t="shared" si="24"/>
        <v>72</v>
      </c>
      <c r="O329">
        <f t="shared" si="25"/>
        <v>12699216</v>
      </c>
    </row>
    <row r="330" spans="2:15" ht="42" customHeight="1" x14ac:dyDescent="0.25">
      <c r="B330" s="86" t="s">
        <v>622</v>
      </c>
      <c r="C330" s="87" t="s">
        <v>623</v>
      </c>
      <c r="D330" s="82" t="s">
        <v>269</v>
      </c>
      <c r="E330" s="83">
        <v>60</v>
      </c>
      <c r="F330" s="88">
        <v>158175</v>
      </c>
      <c r="G330" s="89">
        <f t="shared" si="26"/>
        <v>9490500</v>
      </c>
      <c r="H330" s="118" t="str">
        <f t="array" ref="H330:K330">_xlfn.XLOOKUP(C330,'ESAP NEIVA FASE II UNIFICADO'!$C$6:$C$720,'ESAP NEIVA FASE II UNIFICADO'!$C$6:$F$720,"NO ESTA")</f>
        <v xml:space="preserve">SUMINISTRO E INSTALACIÓNALIMENTADOR DESDE EL TABLERO GENERAL DE DISTRIBUCIÓN HASTA LA UPS1 PISO 1 EN 1 Ø 2" con 3#3/0+1#2/0N+1#2/OT AWG INCLUYENDO TERMINALES DE CONEXIÓN </v>
      </c>
      <c r="I330" t="str">
        <v xml:space="preserve">ML   </v>
      </c>
      <c r="J330">
        <v>0</v>
      </c>
      <c r="K330">
        <v>170907</v>
      </c>
      <c r="L330">
        <f t="shared" ref="L330:L393" si="27">+IF(J330&gt;0,0,1)</f>
        <v>1</v>
      </c>
      <c r="M330">
        <f t="shared" ref="M330:M393" si="28">IF(L330=1,F330,0)</f>
        <v>158175</v>
      </c>
      <c r="N330" s="119">
        <f t="shared" ref="N330:N393" si="29">E330</f>
        <v>60</v>
      </c>
      <c r="O330">
        <f t="shared" si="25"/>
        <v>9490500</v>
      </c>
    </row>
    <row r="331" spans="2:15" ht="42" customHeight="1" x14ac:dyDescent="0.25">
      <c r="B331" s="86" t="s">
        <v>624</v>
      </c>
      <c r="C331" s="87" t="s">
        <v>625</v>
      </c>
      <c r="D331" s="82" t="s">
        <v>269</v>
      </c>
      <c r="E331" s="83">
        <v>7</v>
      </c>
      <c r="F331" s="88">
        <v>92292</v>
      </c>
      <c r="G331" s="89">
        <f t="shared" si="26"/>
        <v>646044</v>
      </c>
      <c r="H331" s="118" t="str">
        <f t="array" ref="H331:K331">_xlfn.XLOOKUP(C331,'ESAP NEIVA FASE II UNIFICADO'!$C$6:$C$720,'ESAP NEIVA FASE II UNIFICADO'!$C$6:$F$720,"NO ESTA")</f>
        <v xml:space="preserve">SUMINISTRO E INSTALACIÓN ALIMENTADOR DESDE UPS1 HASTA EL TABLERO REGULADO 1 PISO 1 EN 1 Ø 2" con 3#2+1#2N+1#8T AWG INCLUYENDO TERMINALES DE CONEXIÓN </v>
      </c>
      <c r="I331" t="str">
        <v xml:space="preserve">ML   </v>
      </c>
      <c r="J331">
        <v>0</v>
      </c>
      <c r="K331">
        <v>99722</v>
      </c>
      <c r="L331">
        <f t="shared" si="27"/>
        <v>1</v>
      </c>
      <c r="M331">
        <f t="shared" si="28"/>
        <v>92292</v>
      </c>
      <c r="N331" s="119">
        <f t="shared" si="29"/>
        <v>7</v>
      </c>
      <c r="O331">
        <f t="shared" si="25"/>
        <v>646044</v>
      </c>
    </row>
    <row r="332" spans="2:15" ht="42" customHeight="1" x14ac:dyDescent="0.25">
      <c r="B332" s="86" t="s">
        <v>626</v>
      </c>
      <c r="C332" s="87" t="s">
        <v>627</v>
      </c>
      <c r="D332" s="82" t="s">
        <v>269</v>
      </c>
      <c r="E332" s="83">
        <v>102</v>
      </c>
      <c r="F332" s="88">
        <v>150332</v>
      </c>
      <c r="G332" s="89">
        <f t="shared" si="26"/>
        <v>15333864</v>
      </c>
      <c r="H332" s="118" t="str">
        <f t="array" ref="H332">_xlfn.XLOOKUP(C332,'ESAP NEIVA FASE II UNIFICADO'!$C$6:$C$720,'ESAP NEIVA FASE II UNIFICADO'!$C$6:$F$720,"NO ESTA")</f>
        <v>NO ESTA</v>
      </c>
      <c r="L332">
        <f t="shared" si="27"/>
        <v>1</v>
      </c>
      <c r="M332">
        <f t="shared" si="28"/>
        <v>150332</v>
      </c>
      <c r="N332" s="119">
        <f t="shared" si="29"/>
        <v>102</v>
      </c>
      <c r="O332">
        <f t="shared" si="25"/>
        <v>15333864</v>
      </c>
    </row>
    <row r="333" spans="2:15" ht="15" customHeight="1" x14ac:dyDescent="0.25">
      <c r="B333" s="80" t="s">
        <v>628</v>
      </c>
      <c r="C333" s="81" t="s">
        <v>629</v>
      </c>
      <c r="D333" s="82"/>
      <c r="E333" s="83"/>
      <c r="F333" s="104"/>
      <c r="G333" s="89">
        <f t="shared" si="26"/>
        <v>0</v>
      </c>
      <c r="H333" s="118" t="str">
        <f t="array" ref="H333:K333">_xlfn.XLOOKUP(C333,'ESAP NEIVA FASE II UNIFICADO'!$C$6:$C$720,'ESAP NEIVA FASE II UNIFICADO'!$C$6:$F$720,"NO ESTA")</f>
        <v xml:space="preserve">SUMINISTRO E INSTALACIÓN DE CANALIZACIONES </v>
      </c>
      <c r="I333">
        <v>0</v>
      </c>
      <c r="J333">
        <v>0</v>
      </c>
      <c r="K333">
        <v>0</v>
      </c>
      <c r="L333">
        <f t="shared" si="27"/>
        <v>1</v>
      </c>
      <c r="M333">
        <f t="shared" si="28"/>
        <v>0</v>
      </c>
      <c r="N333" s="119">
        <f t="shared" si="29"/>
        <v>0</v>
      </c>
      <c r="O333">
        <f t="shared" si="25"/>
        <v>0</v>
      </c>
    </row>
    <row r="334" spans="2:15" ht="15" customHeight="1" x14ac:dyDescent="0.25">
      <c r="B334" s="86" t="s">
        <v>630</v>
      </c>
      <c r="C334" s="87" t="s">
        <v>631</v>
      </c>
      <c r="D334" s="82" t="s">
        <v>269</v>
      </c>
      <c r="E334" s="83">
        <v>50</v>
      </c>
      <c r="F334" s="88">
        <v>33644</v>
      </c>
      <c r="G334" s="89">
        <f t="shared" si="26"/>
        <v>1682200</v>
      </c>
      <c r="H334" s="118" t="str">
        <f t="array" ref="H334:K334">_xlfn.XLOOKUP(C334,'ESAP NEIVA FASE II UNIFICADO'!$C$6:$C$720,'ESAP NEIVA FASE II UNIFICADO'!$C$6:$F$720,"NO ESTA")</f>
        <v>SUMINISTRO E INSTALACIÓN TUBERÍA PVC Ø 4" (Incluye todos los materiales para su instalación)</v>
      </c>
      <c r="I334" t="str">
        <v xml:space="preserve">ML   </v>
      </c>
      <c r="J334">
        <v>0</v>
      </c>
      <c r="K334">
        <v>36352</v>
      </c>
      <c r="L334">
        <f t="shared" si="27"/>
        <v>1</v>
      </c>
      <c r="M334">
        <f t="shared" si="28"/>
        <v>33644</v>
      </c>
      <c r="N334" s="119">
        <f t="shared" si="29"/>
        <v>50</v>
      </c>
      <c r="O334">
        <f t="shared" si="25"/>
        <v>1682200</v>
      </c>
    </row>
    <row r="335" spans="2:15" ht="15" customHeight="1" x14ac:dyDescent="0.25">
      <c r="B335" s="86" t="s">
        <v>632</v>
      </c>
      <c r="C335" s="87" t="s">
        <v>633</v>
      </c>
      <c r="D335" s="82" t="s">
        <v>269</v>
      </c>
      <c r="E335" s="83">
        <v>100</v>
      </c>
      <c r="F335" s="88">
        <v>60930</v>
      </c>
      <c r="G335" s="89">
        <f t="shared" si="26"/>
        <v>6093000</v>
      </c>
      <c r="H335" s="118" t="str">
        <f t="array" ref="H335">_xlfn.XLOOKUP(C335,'ESAP NEIVA FASE II UNIFICADO'!$C$6:$C$720,'ESAP NEIVA FASE II UNIFICADO'!$C$6:$F$720,"NO ESTA")</f>
        <v>NO ESTA</v>
      </c>
      <c r="L335">
        <f t="shared" si="27"/>
        <v>1</v>
      </c>
      <c r="M335">
        <f t="shared" si="28"/>
        <v>60930</v>
      </c>
      <c r="N335" s="119">
        <f t="shared" si="29"/>
        <v>100</v>
      </c>
      <c r="O335">
        <f t="shared" si="25"/>
        <v>6093000</v>
      </c>
    </row>
    <row r="336" spans="2:15" ht="15" customHeight="1" x14ac:dyDescent="0.25">
      <c r="B336" s="80" t="s">
        <v>634</v>
      </c>
      <c r="C336" s="81" t="s">
        <v>635</v>
      </c>
      <c r="D336" s="82"/>
      <c r="E336" s="83"/>
      <c r="F336" s="88">
        <v>0</v>
      </c>
      <c r="G336" s="89">
        <f t="shared" si="26"/>
        <v>0</v>
      </c>
      <c r="H336" s="118" t="str">
        <f t="array" ref="H336:K336">_xlfn.XLOOKUP(C336,'ESAP NEIVA FASE II UNIFICADO'!$C$6:$C$720,'ESAP NEIVA FASE II UNIFICADO'!$C$6:$F$720,"NO ESTA")</f>
        <v>SUMINISTRO E INSTALACIÓN DE TABLEROS E INTERRUPTORES</v>
      </c>
      <c r="I336">
        <v>0</v>
      </c>
      <c r="J336">
        <v>0</v>
      </c>
      <c r="K336">
        <v>0</v>
      </c>
      <c r="L336">
        <f t="shared" si="27"/>
        <v>1</v>
      </c>
      <c r="M336">
        <f t="shared" si="28"/>
        <v>0</v>
      </c>
      <c r="N336" s="119">
        <f t="shared" si="29"/>
        <v>0</v>
      </c>
      <c r="O336">
        <f t="shared" si="25"/>
        <v>0</v>
      </c>
    </row>
    <row r="337" spans="2:15" ht="42" customHeight="1" x14ac:dyDescent="0.25">
      <c r="B337" s="86" t="s">
        <v>636</v>
      </c>
      <c r="C337" s="87" t="s">
        <v>637</v>
      </c>
      <c r="D337" s="82" t="s">
        <v>374</v>
      </c>
      <c r="E337" s="83">
        <v>1</v>
      </c>
      <c r="F337" s="88">
        <v>786853</v>
      </c>
      <c r="G337" s="89">
        <f t="shared" si="26"/>
        <v>786853</v>
      </c>
      <c r="H337" s="118" t="str">
        <f t="array" ref="H337:K337">_xlfn.XLOOKUP(C337,'ESAP NEIVA FASE II UNIFICADO'!$C$6:$C$720,'ESAP NEIVA FASE II UNIFICADO'!$C$6:$F$720,"NO ESTA")</f>
        <v>SUMINISTRO E INSTALACIÓN TABLERO AUTOMATICO DE 38 CIRCUITOS TIPO PESADO CON PUERTA Y CERRRADURA DE CIERRE, CERRADURA Y ESPACIO TOTALIZADOR INDUSTRIAL (TNP4)</v>
      </c>
      <c r="I337" t="str">
        <v>UN</v>
      </c>
      <c r="J337">
        <v>0</v>
      </c>
      <c r="K337">
        <v>850198</v>
      </c>
      <c r="L337">
        <f t="shared" si="27"/>
        <v>1</v>
      </c>
      <c r="M337">
        <f t="shared" si="28"/>
        <v>786853</v>
      </c>
      <c r="N337" s="119">
        <f t="shared" si="29"/>
        <v>1</v>
      </c>
      <c r="O337">
        <f t="shared" si="25"/>
        <v>786853</v>
      </c>
    </row>
    <row r="338" spans="2:15" ht="42" customHeight="1" x14ac:dyDescent="0.25">
      <c r="B338" s="86" t="s">
        <v>638</v>
      </c>
      <c r="C338" s="87" t="s">
        <v>639</v>
      </c>
      <c r="D338" s="82" t="s">
        <v>374</v>
      </c>
      <c r="E338" s="83">
        <v>1</v>
      </c>
      <c r="F338" s="88">
        <v>632039</v>
      </c>
      <c r="G338" s="89">
        <f t="shared" si="26"/>
        <v>632039</v>
      </c>
      <c r="H338" s="118" t="str">
        <f t="array" ref="H338:K338">_xlfn.XLOOKUP(C338,'ESAP NEIVA FASE II UNIFICADO'!$C$6:$C$720,'ESAP NEIVA FASE II UNIFICADO'!$C$6:$F$720,"NO ESTA")</f>
        <v xml:space="preserve">SUMINISTRO E INSTALACIÓN TABLERO AUTOMATICO DE 18 CIRCUITOS TIPO PESADO CON PUERTA Y CERRRADURA DE CIERRE, CERRADURA Y ESPACIO TOTALIZADOR INDUSTRIAL CON BARRAJE DE TIERRA AISLADA. </v>
      </c>
      <c r="I338" t="str">
        <v>UN</v>
      </c>
      <c r="J338">
        <v>0</v>
      </c>
      <c r="K338">
        <v>682920</v>
      </c>
      <c r="L338">
        <f t="shared" si="27"/>
        <v>1</v>
      </c>
      <c r="M338">
        <f t="shared" si="28"/>
        <v>632039</v>
      </c>
      <c r="N338" s="119">
        <f t="shared" si="29"/>
        <v>1</v>
      </c>
      <c r="O338">
        <f t="shared" si="25"/>
        <v>632039</v>
      </c>
    </row>
    <row r="339" spans="2:15" ht="42" customHeight="1" x14ac:dyDescent="0.25">
      <c r="B339" s="86" t="s">
        <v>640</v>
      </c>
      <c r="C339" s="87" t="s">
        <v>641</v>
      </c>
      <c r="D339" s="82" t="s">
        <v>374</v>
      </c>
      <c r="E339" s="83">
        <v>3</v>
      </c>
      <c r="F339" s="88">
        <v>635109</v>
      </c>
      <c r="G339" s="89">
        <f t="shared" si="26"/>
        <v>1905327</v>
      </c>
      <c r="H339" s="118" t="str">
        <f t="array" ref="H339:K339">_xlfn.XLOOKUP(C339,'ESAP NEIVA FASE II UNIFICADO'!$C$6:$C$720,'ESAP NEIVA FASE II UNIFICADO'!$C$6:$F$720,"NO ESTA")</f>
        <v>SUMINISTRO E INSTALACIÓN TABLERO AUTOMATICO DE 24 CIRCUITOS TIPO PESADO CON PUERTA Y CERRRADURA DE CIERRE, CERRADURA Y ESPACIO TOTALIZADOR INDUSTRIAL CON BARRAJE DE TIERRA AISLADA (TNS, TR1, TR2)</v>
      </c>
      <c r="I339" t="str">
        <v>UN</v>
      </c>
      <c r="J339">
        <v>0</v>
      </c>
      <c r="K339">
        <v>686237</v>
      </c>
      <c r="L339">
        <f t="shared" si="27"/>
        <v>1</v>
      </c>
      <c r="M339">
        <f t="shared" si="28"/>
        <v>635109</v>
      </c>
      <c r="N339" s="119">
        <f t="shared" si="29"/>
        <v>3</v>
      </c>
      <c r="O339">
        <f t="shared" si="25"/>
        <v>1905327</v>
      </c>
    </row>
    <row r="340" spans="2:15" ht="42" customHeight="1" x14ac:dyDescent="0.25">
      <c r="B340" s="86" t="s">
        <v>642</v>
      </c>
      <c r="C340" s="87" t="s">
        <v>643</v>
      </c>
      <c r="D340" s="82" t="s">
        <v>374</v>
      </c>
      <c r="E340" s="83">
        <v>3</v>
      </c>
      <c r="F340" s="88">
        <v>891523</v>
      </c>
      <c r="G340" s="89">
        <f t="shared" si="26"/>
        <v>2674569</v>
      </c>
      <c r="H340" s="118" t="str">
        <f t="array" ref="H340:K340">_xlfn.XLOOKUP(C340,'ESAP NEIVA FASE II UNIFICADO'!$C$6:$C$720,'ESAP NEIVA FASE II UNIFICADO'!$C$6:$F$720,"NO ESTA")</f>
        <v>SUMINISTRO E INSTALACIÓN TABLERO AUTOMATICO DE 42 CIRCUITOS TIPO PESADO CON PUERTA Y CERRRADURA DE CIERRE, CERRADURA Y ESPACIO TOTALIZADOR INDUSTRIAL (TNP1, TNP2, TNP3)</v>
      </c>
      <c r="I340" t="str">
        <v>UN</v>
      </c>
      <c r="J340">
        <v>0</v>
      </c>
      <c r="K340">
        <v>963294</v>
      </c>
      <c r="L340">
        <f t="shared" si="27"/>
        <v>1</v>
      </c>
      <c r="M340">
        <f t="shared" si="28"/>
        <v>891523</v>
      </c>
      <c r="N340" s="119">
        <f t="shared" si="29"/>
        <v>3</v>
      </c>
      <c r="O340">
        <f t="shared" si="25"/>
        <v>2674569</v>
      </c>
    </row>
    <row r="341" spans="2:15" ht="27" customHeight="1" x14ac:dyDescent="0.25">
      <c r="B341" s="86" t="s">
        <v>644</v>
      </c>
      <c r="C341" s="87" t="s">
        <v>645</v>
      </c>
      <c r="D341" s="82" t="s">
        <v>374</v>
      </c>
      <c r="E341" s="83">
        <v>19</v>
      </c>
      <c r="F341" s="88">
        <v>19024</v>
      </c>
      <c r="G341" s="89">
        <f t="shared" si="26"/>
        <v>361456</v>
      </c>
      <c r="H341" s="118" t="str">
        <f t="array" ref="H341:K341">_xlfn.XLOOKUP(C341,'ESAP NEIVA FASE II UNIFICADO'!$C$6:$C$720,'ESAP NEIVA FASE II UNIFICADO'!$C$6:$F$720,"NO ESTA")</f>
        <v>SUMINISTRO E INSTALACIÓN INTERRUPTORES AUTOMÁTICOS ENCHUFABLES 240 V. 10kA 1x20 AMPS. TIPO ENCHUFABLE 10 Ka 240V.</v>
      </c>
      <c r="I341" t="str">
        <v>UN</v>
      </c>
      <c r="J341">
        <v>51</v>
      </c>
      <c r="K341">
        <v>20555</v>
      </c>
      <c r="L341">
        <f t="shared" si="27"/>
        <v>0</v>
      </c>
      <c r="M341">
        <f t="shared" si="28"/>
        <v>0</v>
      </c>
      <c r="N341" s="119">
        <f t="shared" si="29"/>
        <v>19</v>
      </c>
      <c r="O341">
        <f t="shared" si="25"/>
        <v>0</v>
      </c>
    </row>
    <row r="342" spans="2:15" ht="27.75" customHeight="1" x14ac:dyDescent="0.25">
      <c r="B342" s="86" t="s">
        <v>646</v>
      </c>
      <c r="C342" s="87" t="s">
        <v>647</v>
      </c>
      <c r="D342" s="82" t="s">
        <v>374</v>
      </c>
      <c r="E342" s="83">
        <v>14</v>
      </c>
      <c r="F342" s="88">
        <v>19024</v>
      </c>
      <c r="G342" s="89">
        <f t="shared" si="26"/>
        <v>266336</v>
      </c>
      <c r="H342" s="118" t="str">
        <f t="array" ref="H342:K342">_xlfn.XLOOKUP(C342,'ESAP NEIVA FASE II UNIFICADO'!$C$6:$C$720,'ESAP NEIVA FASE II UNIFICADO'!$C$6:$F$720,"NO ESTA")</f>
        <v>SUMINISTRO E INSTALACIÓN INTERRUPTORES AUTOMÁTICOS ENCHUFABLES 240 V. 10kA 1x30 AMPS. TIPO ENCHUFABLE 10 Ka 240V.</v>
      </c>
      <c r="I342" t="str">
        <v>UN</v>
      </c>
      <c r="J342">
        <v>36</v>
      </c>
      <c r="K342">
        <v>20555</v>
      </c>
      <c r="L342">
        <f t="shared" si="27"/>
        <v>0</v>
      </c>
      <c r="M342">
        <f t="shared" si="28"/>
        <v>0</v>
      </c>
      <c r="N342" s="119">
        <f t="shared" si="29"/>
        <v>14</v>
      </c>
      <c r="O342">
        <f t="shared" si="25"/>
        <v>0</v>
      </c>
    </row>
    <row r="343" spans="2:15" ht="30.75" customHeight="1" x14ac:dyDescent="0.25">
      <c r="B343" s="86" t="s">
        <v>648</v>
      </c>
      <c r="C343" s="87" t="s">
        <v>649</v>
      </c>
      <c r="D343" s="82" t="s">
        <v>374</v>
      </c>
      <c r="E343" s="83">
        <v>2</v>
      </c>
      <c r="F343" s="88">
        <v>53716</v>
      </c>
      <c r="G343" s="89">
        <f t="shared" si="26"/>
        <v>107432</v>
      </c>
      <c r="H343" s="118" t="str">
        <f t="array" ref="H343:K343">_xlfn.XLOOKUP(C343,'ESAP NEIVA FASE II UNIFICADO'!$C$6:$C$720,'ESAP NEIVA FASE II UNIFICADO'!$C$6:$F$720,"NO ESTA")</f>
        <v>SUMINISTRO E INSTALACIÓN INTERRUPTORES AUTOMÁTICOS ENCHUFABLES 240 V. 10kA 3x30 AMPS. TIPO ENCHUFABLE 10 Ka 240V.</v>
      </c>
      <c r="I343" t="str">
        <v>UN</v>
      </c>
      <c r="J343">
        <v>4</v>
      </c>
      <c r="K343">
        <v>58041</v>
      </c>
      <c r="L343">
        <f t="shared" si="27"/>
        <v>0</v>
      </c>
      <c r="M343">
        <f t="shared" si="28"/>
        <v>0</v>
      </c>
      <c r="N343" s="119">
        <f t="shared" si="29"/>
        <v>2</v>
      </c>
      <c r="O343">
        <f t="shared" si="25"/>
        <v>0</v>
      </c>
    </row>
    <row r="344" spans="2:15" ht="27.75" customHeight="1" x14ac:dyDescent="0.25">
      <c r="B344" s="80" t="s">
        <v>650</v>
      </c>
      <c r="C344" s="81" t="s">
        <v>651</v>
      </c>
      <c r="D344" s="82"/>
      <c r="E344" s="83"/>
      <c r="F344" s="104"/>
      <c r="G344" s="89">
        <f t="shared" si="26"/>
        <v>0</v>
      </c>
      <c r="H344" s="118" t="str">
        <f t="array" ref="H344">_xlfn.XLOOKUP(C344,'ESAP NEIVA FASE II UNIFICADO'!$C$6:$C$720,'ESAP NEIVA FASE II UNIFICADO'!$C$6:$F$720,"NO ESTA")</f>
        <v>NO ESTA</v>
      </c>
      <c r="L344">
        <f t="shared" si="27"/>
        <v>1</v>
      </c>
      <c r="M344">
        <f t="shared" si="28"/>
        <v>0</v>
      </c>
      <c r="N344" s="119">
        <f t="shared" si="29"/>
        <v>0</v>
      </c>
      <c r="O344">
        <f t="shared" si="25"/>
        <v>0</v>
      </c>
    </row>
    <row r="345" spans="2:15" ht="66" customHeight="1" x14ac:dyDescent="0.25">
      <c r="B345" s="86" t="s">
        <v>652</v>
      </c>
      <c r="C345" s="87" t="s">
        <v>653</v>
      </c>
      <c r="D345" s="82" t="s">
        <v>374</v>
      </c>
      <c r="E345" s="83">
        <v>1</v>
      </c>
      <c r="F345" s="88">
        <v>538829</v>
      </c>
      <c r="G345" s="89">
        <f t="shared" si="26"/>
        <v>538829</v>
      </c>
      <c r="H345" s="118" t="str">
        <f t="array" ref="H345">_xlfn.XLOOKUP(C345,'ESAP NEIVA FASE II UNIFICADO'!$C$6:$C$720,'ESAP NEIVA FASE II UNIFICADO'!$C$6:$F$720,"NO ESTA")</f>
        <v>NO ESTA</v>
      </c>
      <c r="L345">
        <f t="shared" si="27"/>
        <v>1</v>
      </c>
      <c r="M345">
        <f t="shared" si="28"/>
        <v>538829</v>
      </c>
      <c r="N345" s="119">
        <f t="shared" si="29"/>
        <v>1</v>
      </c>
      <c r="O345">
        <f t="shared" si="25"/>
        <v>538829</v>
      </c>
    </row>
    <row r="346" spans="2:15" ht="15" customHeight="1" x14ac:dyDescent="0.25">
      <c r="B346" s="80" t="s">
        <v>654</v>
      </c>
      <c r="C346" s="81" t="s">
        <v>655</v>
      </c>
      <c r="D346" s="82"/>
      <c r="E346" s="83"/>
      <c r="F346" s="104"/>
      <c r="G346" s="89">
        <f t="shared" si="26"/>
        <v>0</v>
      </c>
      <c r="H346" s="118" t="str">
        <f t="array" ref="H346:K346">_xlfn.XLOOKUP(C346,'ESAP NEIVA FASE II UNIFICADO'!$C$6:$C$720,'ESAP NEIVA FASE II UNIFICADO'!$C$6:$F$720,"NO ESTA")</f>
        <v>SUMINISTRO E INSTALACIÓN TABLEROS DE DISTRIBUCIÓN GENERAL</v>
      </c>
      <c r="I346">
        <v>0</v>
      </c>
      <c r="J346">
        <v>0</v>
      </c>
      <c r="K346">
        <v>0</v>
      </c>
      <c r="L346">
        <f t="shared" si="27"/>
        <v>1</v>
      </c>
      <c r="M346">
        <f t="shared" si="28"/>
        <v>0</v>
      </c>
      <c r="N346" s="119">
        <f t="shared" si="29"/>
        <v>0</v>
      </c>
      <c r="O346">
        <f t="shared" si="25"/>
        <v>0</v>
      </c>
    </row>
    <row r="347" spans="2:15" ht="81" customHeight="1" x14ac:dyDescent="0.25">
      <c r="B347" s="86" t="s">
        <v>656</v>
      </c>
      <c r="C347" s="87" t="s">
        <v>657</v>
      </c>
      <c r="D347" s="82" t="s">
        <v>374</v>
      </c>
      <c r="E347" s="83">
        <v>1</v>
      </c>
      <c r="F347" s="88">
        <v>14602321</v>
      </c>
      <c r="G347" s="89">
        <f t="shared" si="26"/>
        <v>14602321</v>
      </c>
      <c r="H347" s="118" t="str">
        <f t="array" ref="H347">_xlfn.XLOOKUP(C347,'ESAP NEIVA FASE II UNIFICADO'!$C$6:$C$720,'ESAP NEIVA FASE II UNIFICADO'!$C$6:$F$720,"NO ESTA")</f>
        <v>NO ESTA</v>
      </c>
      <c r="L347">
        <f t="shared" si="27"/>
        <v>1</v>
      </c>
      <c r="M347">
        <f t="shared" si="28"/>
        <v>14602321</v>
      </c>
      <c r="N347" s="119">
        <f t="shared" si="29"/>
        <v>1</v>
      </c>
      <c r="O347">
        <f t="shared" si="25"/>
        <v>14602321</v>
      </c>
    </row>
    <row r="348" spans="2:15" ht="72" customHeight="1" x14ac:dyDescent="0.25">
      <c r="B348" s="86" t="s">
        <v>658</v>
      </c>
      <c r="C348" s="87" t="s">
        <v>659</v>
      </c>
      <c r="D348" s="82" t="s">
        <v>374</v>
      </c>
      <c r="E348" s="83">
        <v>1</v>
      </c>
      <c r="F348" s="88">
        <v>11035372</v>
      </c>
      <c r="G348" s="89">
        <f t="shared" si="26"/>
        <v>11035372</v>
      </c>
      <c r="H348" s="118" t="str">
        <f t="array" ref="H348">_xlfn.XLOOKUP(C348,'ESAP NEIVA FASE II UNIFICADO'!$C$6:$C$720,'ESAP NEIVA FASE II UNIFICADO'!$C$6:$F$720,"NO ESTA")</f>
        <v>NO ESTA</v>
      </c>
      <c r="L348">
        <f t="shared" si="27"/>
        <v>1</v>
      </c>
      <c r="M348">
        <f t="shared" si="28"/>
        <v>11035372</v>
      </c>
      <c r="N348" s="119">
        <f t="shared" si="29"/>
        <v>1</v>
      </c>
      <c r="O348">
        <f t="shared" si="25"/>
        <v>11035372</v>
      </c>
    </row>
    <row r="349" spans="2:15" ht="69" customHeight="1" x14ac:dyDescent="0.25">
      <c r="B349" s="86" t="s">
        <v>660</v>
      </c>
      <c r="C349" s="87" t="s">
        <v>661</v>
      </c>
      <c r="D349" s="82" t="s">
        <v>374</v>
      </c>
      <c r="E349" s="83">
        <v>1</v>
      </c>
      <c r="F349" s="88">
        <v>12818847</v>
      </c>
      <c r="G349" s="89">
        <f t="shared" si="26"/>
        <v>12818847</v>
      </c>
      <c r="H349" s="118" t="str">
        <f t="array" ref="H349">_xlfn.XLOOKUP(C349,'ESAP NEIVA FASE II UNIFICADO'!$C$6:$C$720,'ESAP NEIVA FASE II UNIFICADO'!$C$6:$F$720,"NO ESTA")</f>
        <v>NO ESTA</v>
      </c>
      <c r="L349">
        <f t="shared" si="27"/>
        <v>1</v>
      </c>
      <c r="M349">
        <f t="shared" si="28"/>
        <v>12818847</v>
      </c>
      <c r="N349" s="119">
        <f t="shared" si="29"/>
        <v>1</v>
      </c>
      <c r="O349">
        <f t="shared" si="25"/>
        <v>12818847</v>
      </c>
    </row>
    <row r="350" spans="2:15" ht="39" customHeight="1" x14ac:dyDescent="0.25">
      <c r="B350" s="80" t="s">
        <v>662</v>
      </c>
      <c r="C350" s="81" t="s">
        <v>663</v>
      </c>
      <c r="D350" s="82"/>
      <c r="E350" s="83"/>
      <c r="F350" s="104"/>
      <c r="G350" s="89">
        <f t="shared" si="26"/>
        <v>0</v>
      </c>
      <c r="H350" s="118" t="str">
        <f t="array" ref="H350:K350">_xlfn.XLOOKUP(C350,'ESAP NEIVA FASE II UNIFICADO'!$C$6:$C$720,'ESAP NEIVA FASE II UNIFICADO'!$C$6:$F$720,"NO ESTA")</f>
        <v xml:space="preserve">SUMINISTRO E INSTALACIÓN PUESTA A TIERRA TRANSFORMADOR Y SUBESTACIÓN (Incluye preparación de tierra con la solución Sanick Gel para obtener una elevada conductividad eléctrica (ver especificaciones técnicas de diseño anexas) </v>
      </c>
      <c r="I350">
        <v>0</v>
      </c>
      <c r="J350">
        <v>0</v>
      </c>
      <c r="K350">
        <v>0</v>
      </c>
      <c r="L350">
        <f t="shared" si="27"/>
        <v>1</v>
      </c>
      <c r="M350">
        <f t="shared" si="28"/>
        <v>0</v>
      </c>
      <c r="N350" s="119">
        <f t="shared" si="29"/>
        <v>0</v>
      </c>
      <c r="O350">
        <f t="shared" si="25"/>
        <v>0</v>
      </c>
    </row>
    <row r="351" spans="2:15" ht="15" customHeight="1" x14ac:dyDescent="0.25">
      <c r="B351" s="86" t="s">
        <v>664</v>
      </c>
      <c r="C351" s="87" t="s">
        <v>665</v>
      </c>
      <c r="D351" s="82" t="s">
        <v>269</v>
      </c>
      <c r="E351" s="83">
        <v>35</v>
      </c>
      <c r="F351" s="88">
        <v>22591</v>
      </c>
      <c r="G351" s="89">
        <f t="shared" si="26"/>
        <v>790685</v>
      </c>
      <c r="H351" s="118" t="str">
        <f t="array" ref="H351:K351">_xlfn.XLOOKUP(C351,'ESAP NEIVA FASE II UNIFICADO'!$C$6:$C$720,'ESAP NEIVA FASE II UNIFICADO'!$C$6:$F$720,"NO ESTA")</f>
        <v>SUMINISTRO E INSTALACIÓN CONDUCTOR 2/0 Cu. TEMPLE DURO</v>
      </c>
      <c r="I351" t="str">
        <v xml:space="preserve">ML   </v>
      </c>
      <c r="J351">
        <v>0</v>
      </c>
      <c r="K351">
        <v>24409</v>
      </c>
      <c r="L351">
        <f t="shared" si="27"/>
        <v>1</v>
      </c>
      <c r="M351">
        <f t="shared" si="28"/>
        <v>22591</v>
      </c>
      <c r="N351" s="119">
        <f t="shared" si="29"/>
        <v>35</v>
      </c>
      <c r="O351">
        <f t="shared" si="25"/>
        <v>790685</v>
      </c>
    </row>
    <row r="352" spans="2:15" ht="28.5" customHeight="1" x14ac:dyDescent="0.25">
      <c r="B352" s="86" t="s">
        <v>666</v>
      </c>
      <c r="C352" s="87" t="s">
        <v>667</v>
      </c>
      <c r="D352" s="82" t="s">
        <v>374</v>
      </c>
      <c r="E352" s="83">
        <v>6</v>
      </c>
      <c r="F352" s="88">
        <v>118125</v>
      </c>
      <c r="G352" s="89">
        <f t="shared" si="26"/>
        <v>708750</v>
      </c>
      <c r="H352" s="118" t="str">
        <f t="array" ref="H352">_xlfn.XLOOKUP(C352,'ESAP NEIVA FASE II UNIFICADO'!$C$6:$C$720,'ESAP NEIVA FASE II UNIFICADO'!$C$6:$F$720,"NO ESTA")</f>
        <v>NO ESTA</v>
      </c>
      <c r="L352">
        <f t="shared" si="27"/>
        <v>1</v>
      </c>
      <c r="M352">
        <f t="shared" si="28"/>
        <v>118125</v>
      </c>
      <c r="N352" s="119">
        <f t="shared" si="29"/>
        <v>6</v>
      </c>
      <c r="O352">
        <f t="shared" si="25"/>
        <v>708750</v>
      </c>
    </row>
    <row r="353" spans="2:15" ht="38.25" customHeight="1" x14ac:dyDescent="0.25">
      <c r="B353" s="86" t="s">
        <v>668</v>
      </c>
      <c r="C353" s="87" t="s">
        <v>669</v>
      </c>
      <c r="D353" s="82" t="s">
        <v>374</v>
      </c>
      <c r="E353" s="83">
        <v>6</v>
      </c>
      <c r="F353" s="88">
        <v>122282</v>
      </c>
      <c r="G353" s="89">
        <f t="shared" si="26"/>
        <v>733692</v>
      </c>
      <c r="H353" s="118" t="str">
        <f t="array" ref="H353">_xlfn.XLOOKUP(C353,'ESAP NEIVA FASE II UNIFICADO'!$C$6:$C$720,'ESAP NEIVA FASE II UNIFICADO'!$C$6:$F$720,"NO ESTA")</f>
        <v>NO ESTA</v>
      </c>
      <c r="L353">
        <f t="shared" si="27"/>
        <v>1</v>
      </c>
      <c r="M353">
        <f t="shared" si="28"/>
        <v>122282</v>
      </c>
      <c r="N353" s="119">
        <f t="shared" si="29"/>
        <v>6</v>
      </c>
      <c r="O353">
        <f t="shared" si="25"/>
        <v>733692</v>
      </c>
    </row>
    <row r="354" spans="2:15" ht="42.75" customHeight="1" x14ac:dyDescent="0.25">
      <c r="B354" s="86" t="s">
        <v>670</v>
      </c>
      <c r="C354" s="87" t="s">
        <v>671</v>
      </c>
      <c r="D354" s="82" t="s">
        <v>374</v>
      </c>
      <c r="E354" s="83">
        <v>2</v>
      </c>
      <c r="F354" s="88">
        <v>122282</v>
      </c>
      <c r="G354" s="89">
        <f t="shared" si="26"/>
        <v>244564</v>
      </c>
      <c r="H354" s="118" t="str">
        <f t="array" ref="H354">_xlfn.XLOOKUP(C354,'ESAP NEIVA FASE II UNIFICADO'!$C$6:$C$720,'ESAP NEIVA FASE II UNIFICADO'!$C$6:$F$720,"NO ESTA")</f>
        <v>NO ESTA</v>
      </c>
      <c r="L354">
        <f t="shared" si="27"/>
        <v>1</v>
      </c>
      <c r="M354">
        <f t="shared" si="28"/>
        <v>122282</v>
      </c>
      <c r="N354" s="119">
        <f t="shared" si="29"/>
        <v>2</v>
      </c>
      <c r="O354">
        <f t="shared" si="25"/>
        <v>244564</v>
      </c>
    </row>
    <row r="355" spans="2:15" ht="79.5" customHeight="1" x14ac:dyDescent="0.25">
      <c r="B355" s="86" t="s">
        <v>672</v>
      </c>
      <c r="C355" s="87" t="s">
        <v>673</v>
      </c>
      <c r="D355" s="82" t="s">
        <v>16</v>
      </c>
      <c r="E355" s="83">
        <v>6</v>
      </c>
      <c r="F355" s="88">
        <v>154444</v>
      </c>
      <c r="G355" s="89">
        <f t="shared" si="26"/>
        <v>926664</v>
      </c>
      <c r="H355" s="118" t="str">
        <f t="array" ref="H355">_xlfn.XLOOKUP(C355,'ESAP NEIVA FASE II UNIFICADO'!$C$6:$C$720,'ESAP NEIVA FASE II UNIFICADO'!$C$6:$F$720,"NO ESTA")</f>
        <v>NO ESTA</v>
      </c>
      <c r="L355">
        <f t="shared" si="27"/>
        <v>1</v>
      </c>
      <c r="M355">
        <f t="shared" si="28"/>
        <v>154444</v>
      </c>
      <c r="N355" s="119">
        <f t="shared" si="29"/>
        <v>6</v>
      </c>
      <c r="O355">
        <f t="shared" si="25"/>
        <v>926664</v>
      </c>
    </row>
    <row r="356" spans="2:15" ht="41.25" customHeight="1" x14ac:dyDescent="0.25">
      <c r="B356" s="80" t="s">
        <v>674</v>
      </c>
      <c r="C356" s="81" t="s">
        <v>675</v>
      </c>
      <c r="D356" s="82"/>
      <c r="E356" s="83"/>
      <c r="F356" s="104"/>
      <c r="G356" s="89">
        <f t="shared" si="26"/>
        <v>0</v>
      </c>
      <c r="H356" s="118" t="str">
        <f t="array" ref="H356:K356">_xlfn.XLOOKUP(C356,'ESAP NEIVA FASE II UNIFICADO'!$C$6:$C$720,'ESAP NEIVA FASE II UNIFICADO'!$C$6:$F$720,"NO ESTA")</f>
        <v xml:space="preserve">SUMINISTRO E INSTALACIÓN PUESTA A TIERRA TABLERO DE DISTRIBUCIÓN Y GENERAL (Incluye preparación de tierra con la solución Sanick Gel para obtener una elevada conductividad eléctrica (ver especificaciones técnicas de diseño anexas) </v>
      </c>
      <c r="I356">
        <v>0</v>
      </c>
      <c r="J356">
        <v>0</v>
      </c>
      <c r="K356">
        <v>0</v>
      </c>
      <c r="L356">
        <f t="shared" si="27"/>
        <v>1</v>
      </c>
      <c r="M356">
        <f t="shared" si="28"/>
        <v>0</v>
      </c>
      <c r="N356" s="119">
        <f t="shared" si="29"/>
        <v>0</v>
      </c>
      <c r="O356">
        <f t="shared" si="25"/>
        <v>0</v>
      </c>
    </row>
    <row r="357" spans="2:15" ht="15" customHeight="1" x14ac:dyDescent="0.25">
      <c r="B357" s="86" t="s">
        <v>676</v>
      </c>
      <c r="C357" s="87" t="s">
        <v>677</v>
      </c>
      <c r="D357" s="82" t="s">
        <v>269</v>
      </c>
      <c r="E357" s="83">
        <v>10</v>
      </c>
      <c r="F357" s="88">
        <v>6659</v>
      </c>
      <c r="G357" s="89">
        <f t="shared" si="26"/>
        <v>66590</v>
      </c>
      <c r="H357" s="118" t="str">
        <f t="array" ref="H357:K357">_xlfn.XLOOKUP(C357,'ESAP NEIVA FASE II UNIFICADO'!$C$6:$C$720,'ESAP NEIVA FASE II UNIFICADO'!$C$6:$F$720,"NO ESTA")</f>
        <v>SUMINISTRO E INSTALACIÓN CONDUCTOR 6 Cu TEMPLE DURO</v>
      </c>
      <c r="I357" t="str">
        <v xml:space="preserve">ML   </v>
      </c>
      <c r="J357">
        <v>0</v>
      </c>
      <c r="K357">
        <v>7194</v>
      </c>
      <c r="L357">
        <f t="shared" si="27"/>
        <v>1</v>
      </c>
      <c r="M357">
        <f t="shared" si="28"/>
        <v>6659</v>
      </c>
      <c r="N357" s="119">
        <f t="shared" si="29"/>
        <v>10</v>
      </c>
      <c r="O357">
        <f t="shared" si="25"/>
        <v>66590</v>
      </c>
    </row>
    <row r="358" spans="2:15" ht="25.5" customHeight="1" x14ac:dyDescent="0.25">
      <c r="B358" s="86" t="s">
        <v>678</v>
      </c>
      <c r="C358" s="87" t="s">
        <v>679</v>
      </c>
      <c r="D358" s="82" t="s">
        <v>374</v>
      </c>
      <c r="E358" s="83">
        <v>1</v>
      </c>
      <c r="F358" s="88">
        <v>118125</v>
      </c>
      <c r="G358" s="89">
        <f t="shared" si="26"/>
        <v>118125</v>
      </c>
      <c r="H358" s="118" t="str">
        <f t="array" ref="H358:K358">_xlfn.XLOOKUP(C358,'ESAP NEIVA FASE II UNIFICADO'!$C$6:$C$720,'ESAP NEIVA FASE II UNIFICADO'!$C$6:$F$720,"NO ESTA")</f>
        <v>SUMINISTRO E INSTALACIÓN ELECTRODO DE PUESTA A TIERRA EN VARILLA DE COBRE DE 5/8" X 2.40 M</v>
      </c>
      <c r="I358" t="str">
        <v>UN</v>
      </c>
      <c r="J358">
        <v>0</v>
      </c>
      <c r="K358">
        <v>127634</v>
      </c>
      <c r="L358">
        <f t="shared" si="27"/>
        <v>1</v>
      </c>
      <c r="M358">
        <f t="shared" si="28"/>
        <v>118125</v>
      </c>
      <c r="N358" s="119">
        <f t="shared" si="29"/>
        <v>1</v>
      </c>
      <c r="O358">
        <f t="shared" si="25"/>
        <v>118125</v>
      </c>
    </row>
    <row r="359" spans="2:15" ht="40.5" customHeight="1" x14ac:dyDescent="0.25">
      <c r="B359" s="86" t="s">
        <v>680</v>
      </c>
      <c r="C359" s="87" t="s">
        <v>681</v>
      </c>
      <c r="D359" s="82" t="s">
        <v>374</v>
      </c>
      <c r="E359" s="83">
        <v>1</v>
      </c>
      <c r="F359" s="88">
        <v>122282</v>
      </c>
      <c r="G359" s="89">
        <f t="shared" si="26"/>
        <v>122282</v>
      </c>
      <c r="H359" s="118" t="str">
        <f t="array" ref="H359:K359">_xlfn.XLOOKUP(C359,'ESAP NEIVA FASE II UNIFICADO'!$C$6:$C$720,'ESAP NEIVA FASE II UNIFICADO'!$C$6:$F$720,"NO ESTA")</f>
        <v>SUMINISTRO E INSTALACIÓN CONEXIÓN TERMOSOLDADA DE VARILLA A CABLE DE COBRE DESNUDO # 6 AWG, INCLUYE SUMINISTRO DE MOLDE, FÚNDENTE Y DEMÁS ACCESORIOS.</v>
      </c>
      <c r="I359" t="str">
        <v>UN</v>
      </c>
      <c r="J359">
        <v>0</v>
      </c>
      <c r="K359">
        <v>132126</v>
      </c>
      <c r="L359">
        <f t="shared" si="27"/>
        <v>1</v>
      </c>
      <c r="M359">
        <f t="shared" si="28"/>
        <v>122282</v>
      </c>
      <c r="N359" s="119">
        <f t="shared" si="29"/>
        <v>1</v>
      </c>
      <c r="O359">
        <f t="shared" si="25"/>
        <v>122282</v>
      </c>
    </row>
    <row r="360" spans="2:15" ht="43.5" customHeight="1" x14ac:dyDescent="0.25">
      <c r="B360" s="86" t="s">
        <v>682</v>
      </c>
      <c r="C360" s="87" t="s">
        <v>683</v>
      </c>
      <c r="D360" s="82" t="s">
        <v>374</v>
      </c>
      <c r="E360" s="83">
        <v>2</v>
      </c>
      <c r="F360" s="88">
        <v>122282</v>
      </c>
      <c r="G360" s="89">
        <f t="shared" si="26"/>
        <v>244564</v>
      </c>
      <c r="H360" s="118" t="str">
        <f t="array" ref="H360">_xlfn.XLOOKUP(C360,'ESAP NEIVA FASE II UNIFICADO'!$C$6:$C$720,'ESAP NEIVA FASE II UNIFICADO'!$C$6:$F$720,"NO ESTA")</f>
        <v>NO ESTA</v>
      </c>
      <c r="L360">
        <f t="shared" si="27"/>
        <v>1</v>
      </c>
      <c r="M360">
        <f t="shared" si="28"/>
        <v>122282</v>
      </c>
      <c r="N360" s="119">
        <f t="shared" si="29"/>
        <v>2</v>
      </c>
      <c r="O360">
        <f t="shared" si="25"/>
        <v>244564</v>
      </c>
    </row>
    <row r="361" spans="2:15" ht="79.5" customHeight="1" x14ac:dyDescent="0.25">
      <c r="B361" s="86" t="s">
        <v>684</v>
      </c>
      <c r="C361" s="87" t="s">
        <v>673</v>
      </c>
      <c r="D361" s="82" t="s">
        <v>374</v>
      </c>
      <c r="E361" s="83">
        <v>1</v>
      </c>
      <c r="F361" s="88">
        <v>154444</v>
      </c>
      <c r="G361" s="89">
        <f t="shared" si="26"/>
        <v>154444</v>
      </c>
      <c r="H361" s="118" t="str">
        <f t="array" ref="H361">_xlfn.XLOOKUP(C361,'ESAP NEIVA FASE II UNIFICADO'!$C$6:$C$720,'ESAP NEIVA FASE II UNIFICADO'!$C$6:$F$720,"NO ESTA")</f>
        <v>NO ESTA</v>
      </c>
      <c r="L361">
        <f t="shared" si="27"/>
        <v>1</v>
      </c>
      <c r="M361">
        <f t="shared" si="28"/>
        <v>154444</v>
      </c>
      <c r="N361" s="119">
        <f t="shared" si="29"/>
        <v>1</v>
      </c>
      <c r="O361">
        <f t="shared" si="25"/>
        <v>154444</v>
      </c>
    </row>
    <row r="362" spans="2:15" ht="40.5" customHeight="1" x14ac:dyDescent="0.25">
      <c r="B362" s="80" t="s">
        <v>685</v>
      </c>
      <c r="C362" s="81" t="s">
        <v>686</v>
      </c>
      <c r="D362" s="82"/>
      <c r="E362" s="83"/>
      <c r="F362" s="104"/>
      <c r="G362" s="89">
        <f t="shared" si="26"/>
        <v>0</v>
      </c>
      <c r="H362" s="118" t="str">
        <f t="array" ref="H362:K362">_xlfn.XLOOKUP(C362,'ESAP NEIVA FASE II UNIFICADO'!$C$6:$C$720,'ESAP NEIVA FASE II UNIFICADO'!$C$6:$F$720,"NO ESTA")</f>
        <v xml:space="preserve">SUMINISTRO E INSTALACIÓN PUESTA A TIERRA PLANTA GENERADORA (Incluye preparación de tierra con la solución Sanick Gel para obtener una elevada conductividad eléctrica (ver especificaciones técnicas de diseño anexas) </v>
      </c>
      <c r="I362">
        <v>0</v>
      </c>
      <c r="J362">
        <v>0</v>
      </c>
      <c r="K362">
        <v>0</v>
      </c>
      <c r="L362">
        <f t="shared" si="27"/>
        <v>1</v>
      </c>
      <c r="M362">
        <f t="shared" si="28"/>
        <v>0</v>
      </c>
      <c r="N362" s="119">
        <f t="shared" si="29"/>
        <v>0</v>
      </c>
      <c r="O362">
        <f t="shared" si="25"/>
        <v>0</v>
      </c>
    </row>
    <row r="363" spans="2:15" ht="15" customHeight="1" x14ac:dyDescent="0.25">
      <c r="B363" s="86" t="s">
        <v>687</v>
      </c>
      <c r="C363" s="87" t="s">
        <v>665</v>
      </c>
      <c r="D363" s="82" t="s">
        <v>269</v>
      </c>
      <c r="E363" s="83">
        <v>8</v>
      </c>
      <c r="F363" s="88">
        <v>22591</v>
      </c>
      <c r="G363" s="89">
        <f t="shared" si="26"/>
        <v>180728</v>
      </c>
      <c r="H363" s="118" t="str">
        <f t="array" ref="H363:K363">_xlfn.XLOOKUP(C363,'ESAP NEIVA FASE II UNIFICADO'!$C$6:$C$720,'ESAP NEIVA FASE II UNIFICADO'!$C$6:$F$720,"NO ESTA")</f>
        <v>SUMINISTRO E INSTALACIÓN CONDUCTOR 2/0 Cu. TEMPLE DURO</v>
      </c>
      <c r="I363" t="str">
        <v xml:space="preserve">ML   </v>
      </c>
      <c r="J363">
        <v>0</v>
      </c>
      <c r="K363">
        <v>24409</v>
      </c>
      <c r="L363">
        <f t="shared" si="27"/>
        <v>1</v>
      </c>
      <c r="M363">
        <f t="shared" si="28"/>
        <v>22591</v>
      </c>
      <c r="N363" s="119">
        <f t="shared" si="29"/>
        <v>8</v>
      </c>
      <c r="O363">
        <f t="shared" si="25"/>
        <v>180728</v>
      </c>
    </row>
    <row r="364" spans="2:15" ht="68.25" customHeight="1" x14ac:dyDescent="0.25">
      <c r="B364" s="86" t="s">
        <v>688</v>
      </c>
      <c r="C364" s="87" t="s">
        <v>689</v>
      </c>
      <c r="D364" s="82" t="s">
        <v>374</v>
      </c>
      <c r="E364" s="83">
        <v>1</v>
      </c>
      <c r="F364" s="88">
        <v>655073</v>
      </c>
      <c r="G364" s="89">
        <f t="shared" si="26"/>
        <v>655073</v>
      </c>
      <c r="H364" s="118" t="str">
        <f t="array" ref="H364">_xlfn.XLOOKUP(C364,'ESAP NEIVA FASE II UNIFICADO'!$C$6:$C$720,'ESAP NEIVA FASE II UNIFICADO'!$C$6:$F$720,"NO ESTA")</f>
        <v>NO ESTA</v>
      </c>
      <c r="L364">
        <f t="shared" si="27"/>
        <v>1</v>
      </c>
      <c r="M364">
        <f t="shared" si="28"/>
        <v>655073</v>
      </c>
      <c r="N364" s="119">
        <f t="shared" si="29"/>
        <v>1</v>
      </c>
      <c r="O364">
        <f t="shared" si="25"/>
        <v>655073</v>
      </c>
    </row>
    <row r="365" spans="2:15" ht="34.5" customHeight="1" x14ac:dyDescent="0.25">
      <c r="B365" s="80" t="s">
        <v>690</v>
      </c>
      <c r="C365" s="81" t="s">
        <v>691</v>
      </c>
      <c r="D365" s="82"/>
      <c r="E365" s="83"/>
      <c r="F365" s="104"/>
      <c r="G365" s="89">
        <f t="shared" si="26"/>
        <v>0</v>
      </c>
      <c r="H365" s="118" t="str">
        <f t="array" ref="H365:K365">_xlfn.XLOOKUP(C365,'ESAP NEIVA FASE II UNIFICADO'!$C$6:$C$720,'ESAP NEIVA FASE II UNIFICADO'!$C$6:$F$720,"NO ESTA")</f>
        <v>SISTEMA DE PROTECCIÓN EXTERNA CONTRA DESCARGAS ATMOSFÉRICAS BAJANTES DE PARARRAYOS DESDE CUBIERTA A TERRENO</v>
      </c>
      <c r="I365">
        <v>0</v>
      </c>
      <c r="J365">
        <v>0</v>
      </c>
      <c r="K365">
        <v>0</v>
      </c>
      <c r="L365">
        <f t="shared" si="27"/>
        <v>1</v>
      </c>
      <c r="M365">
        <f t="shared" si="28"/>
        <v>0</v>
      </c>
      <c r="N365" s="119">
        <f t="shared" si="29"/>
        <v>0</v>
      </c>
      <c r="O365">
        <f t="shared" si="25"/>
        <v>0</v>
      </c>
    </row>
    <row r="366" spans="2:15" ht="30" customHeight="1" x14ac:dyDescent="0.25">
      <c r="B366" s="86" t="s">
        <v>692</v>
      </c>
      <c r="C366" s="87" t="s">
        <v>693</v>
      </c>
      <c r="D366" s="82" t="s">
        <v>269</v>
      </c>
      <c r="E366" s="83">
        <v>65</v>
      </c>
      <c r="F366" s="88">
        <v>4400</v>
      </c>
      <c r="G366" s="89">
        <f t="shared" si="26"/>
        <v>286000</v>
      </c>
      <c r="H366" s="118" t="str">
        <f t="array" ref="H366:K366">_xlfn.XLOOKUP(C366,'ESAP NEIVA FASE II UNIFICADO'!$C$6:$C$720,'ESAP NEIVA FASE II UNIFICADO'!$C$6:$F$720,"NO ESTA")</f>
        <v>SUMINISTRO E INSTALACIÓN TENDIDO DE TUBERÍA Ø 3/4” PVC EMBEBIDO EN LAS COLUMNAS DE CONCRETO, DESDE LA CUBIERTA HASTA EL TERRENO.</v>
      </c>
      <c r="I366" t="str">
        <v xml:space="preserve">ML   </v>
      </c>
      <c r="J366">
        <v>0</v>
      </c>
      <c r="K366">
        <v>4755</v>
      </c>
      <c r="L366">
        <f t="shared" si="27"/>
        <v>1</v>
      </c>
      <c r="M366">
        <f t="shared" si="28"/>
        <v>4400</v>
      </c>
      <c r="N366" s="119">
        <f t="shared" si="29"/>
        <v>65</v>
      </c>
      <c r="O366">
        <f t="shared" si="25"/>
        <v>286000</v>
      </c>
    </row>
    <row r="367" spans="2:15" ht="30" customHeight="1" x14ac:dyDescent="0.25">
      <c r="B367" s="86" t="s">
        <v>694</v>
      </c>
      <c r="C367" s="87" t="s">
        <v>695</v>
      </c>
      <c r="D367" s="82" t="s">
        <v>269</v>
      </c>
      <c r="E367" s="83">
        <v>69</v>
      </c>
      <c r="F367" s="88">
        <v>13673</v>
      </c>
      <c r="G367" s="89">
        <f t="shared" si="26"/>
        <v>943437</v>
      </c>
      <c r="H367" s="118" t="str">
        <f t="array" ref="H367:K367">_xlfn.XLOOKUP(C367,'ESAP NEIVA FASE II UNIFICADO'!$C$6:$C$720,'ESAP NEIVA FASE II UNIFICADO'!$C$6:$F$720,"NO ESTA")</f>
        <v>SUMINISTRO E INSTALACIÓN TENDIDO DE CONDUCTOR DE COBRE DESNUDO # 2 AWG, DESDE LA CUBIERTA HASTA EL TERRENO POR LAS BAJANTES.</v>
      </c>
      <c r="I367" t="str">
        <v xml:space="preserve">ML   </v>
      </c>
      <c r="J367">
        <v>0</v>
      </c>
      <c r="K367">
        <v>14774</v>
      </c>
      <c r="L367">
        <f t="shared" si="27"/>
        <v>1</v>
      </c>
      <c r="M367">
        <f t="shared" si="28"/>
        <v>13673</v>
      </c>
      <c r="N367" s="119">
        <f t="shared" si="29"/>
        <v>69</v>
      </c>
      <c r="O367">
        <f t="shared" si="25"/>
        <v>943437</v>
      </c>
    </row>
    <row r="368" spans="2:15" ht="45" customHeight="1" x14ac:dyDescent="0.25">
      <c r="B368" s="86" t="s">
        <v>696</v>
      </c>
      <c r="C368" s="87" t="s">
        <v>697</v>
      </c>
      <c r="D368" s="82" t="s">
        <v>269</v>
      </c>
      <c r="E368" s="83">
        <v>244</v>
      </c>
      <c r="F368" s="88">
        <v>4994</v>
      </c>
      <c r="G368" s="89">
        <f t="shared" si="26"/>
        <v>1218536</v>
      </c>
      <c r="H368" s="118" t="str">
        <f t="array" ref="H368:K368">_xlfn.XLOOKUP(C368,'ESAP NEIVA FASE II UNIFICADO'!$C$6:$C$720,'ESAP NEIVA FASE II UNIFICADO'!$C$6:$F$720,"NO ESTA")</f>
        <v>SUMINISTRO E INSTALACIÓN TENDIDO DE ALAMBRON 8MM SOBREPUESTO EN LOS BORDES DE LA CUBIERTA PARA INTERCONEXIÓN DE PUNTAS CAPTADORAS Y BAJANTES A MALLA A TIERRA.</v>
      </c>
      <c r="I368" t="str">
        <v xml:space="preserve">ML   </v>
      </c>
      <c r="J368">
        <v>0</v>
      </c>
      <c r="K368">
        <v>5396</v>
      </c>
      <c r="L368">
        <f t="shared" si="27"/>
        <v>1</v>
      </c>
      <c r="M368">
        <f t="shared" si="28"/>
        <v>4994</v>
      </c>
      <c r="N368" s="119">
        <f t="shared" si="29"/>
        <v>244</v>
      </c>
      <c r="O368">
        <f t="shared" si="25"/>
        <v>1218536</v>
      </c>
    </row>
    <row r="369" spans="2:15" ht="45" customHeight="1" x14ac:dyDescent="0.25">
      <c r="B369" s="86" t="s">
        <v>698</v>
      </c>
      <c r="C369" s="87" t="s">
        <v>699</v>
      </c>
      <c r="D369" s="82" t="s">
        <v>269</v>
      </c>
      <c r="E369" s="83">
        <v>190</v>
      </c>
      <c r="F369" s="88">
        <v>13673</v>
      </c>
      <c r="G369" s="89">
        <f t="shared" si="26"/>
        <v>2597870</v>
      </c>
      <c r="H369" s="118" t="str">
        <f t="array" ref="H369">_xlfn.XLOOKUP(C369,'ESAP NEIVA FASE II UNIFICADO'!$C$6:$C$720,'ESAP NEIVA FASE II UNIFICADO'!$C$6:$F$720,"NO ESTA")</f>
        <v>NO ESTA</v>
      </c>
      <c r="L369">
        <f t="shared" si="27"/>
        <v>1</v>
      </c>
      <c r="M369">
        <f t="shared" si="28"/>
        <v>13673</v>
      </c>
      <c r="N369" s="119">
        <f t="shared" si="29"/>
        <v>190</v>
      </c>
      <c r="O369">
        <f t="shared" si="25"/>
        <v>2597870</v>
      </c>
    </row>
    <row r="370" spans="2:15" ht="68.25" customHeight="1" x14ac:dyDescent="0.25">
      <c r="B370" s="86" t="s">
        <v>700</v>
      </c>
      <c r="C370" s="87" t="s">
        <v>701</v>
      </c>
      <c r="D370" s="82" t="s">
        <v>374</v>
      </c>
      <c r="E370" s="83">
        <v>14</v>
      </c>
      <c r="F370" s="88">
        <v>197963</v>
      </c>
      <c r="G370" s="89">
        <f t="shared" si="26"/>
        <v>2771482</v>
      </c>
      <c r="H370" s="118" t="str">
        <f t="array" ref="H370">_xlfn.XLOOKUP(C370,'ESAP NEIVA FASE II UNIFICADO'!$C$6:$C$720,'ESAP NEIVA FASE II UNIFICADO'!$C$6:$F$720,"NO ESTA")</f>
        <v>NO ESTA</v>
      </c>
      <c r="L370">
        <f t="shared" si="27"/>
        <v>1</v>
      </c>
      <c r="M370">
        <f t="shared" si="28"/>
        <v>197963</v>
      </c>
      <c r="N370" s="119">
        <f t="shared" si="29"/>
        <v>14</v>
      </c>
      <c r="O370">
        <f t="shared" si="25"/>
        <v>2771482</v>
      </c>
    </row>
    <row r="371" spans="2:15" ht="35.25" customHeight="1" x14ac:dyDescent="0.25">
      <c r="B371" s="86" t="s">
        <v>702</v>
      </c>
      <c r="C371" s="87" t="s">
        <v>703</v>
      </c>
      <c r="D371" s="82" t="s">
        <v>374</v>
      </c>
      <c r="E371" s="83">
        <v>86</v>
      </c>
      <c r="F371" s="88">
        <v>19538</v>
      </c>
      <c r="G371" s="89">
        <f t="shared" si="26"/>
        <v>1680268</v>
      </c>
      <c r="H371" s="118" t="str">
        <f t="array" ref="H371:K371">_xlfn.XLOOKUP(C371,'ESAP NEIVA FASE II UNIFICADO'!$C$6:$C$720,'ESAP NEIVA FASE II UNIFICADO'!$C$6:$F$720,"NO ESTA")</f>
        <v>SUMINISTRO E INSTALACIÓN ABRAZADERAS DE BRONCE PARA SOPORTAR EL CABLE AL MURO DE CONCRETO APROBADAS PARA INTEMPERIE.</v>
      </c>
      <c r="I371" t="str">
        <v>UN</v>
      </c>
      <c r="J371">
        <v>0</v>
      </c>
      <c r="K371">
        <v>21111</v>
      </c>
      <c r="L371">
        <f t="shared" si="27"/>
        <v>1</v>
      </c>
      <c r="M371">
        <f t="shared" si="28"/>
        <v>19538</v>
      </c>
      <c r="N371" s="119">
        <f t="shared" si="29"/>
        <v>86</v>
      </c>
      <c r="O371">
        <f t="shared" si="25"/>
        <v>1680268</v>
      </c>
    </row>
    <row r="372" spans="2:15" ht="35.25" customHeight="1" x14ac:dyDescent="0.25">
      <c r="B372" s="86" t="s">
        <v>704</v>
      </c>
      <c r="C372" s="87" t="s">
        <v>705</v>
      </c>
      <c r="D372" s="82" t="s">
        <v>374</v>
      </c>
      <c r="E372" s="83">
        <v>4</v>
      </c>
      <c r="F372" s="88">
        <v>24245</v>
      </c>
      <c r="G372" s="89">
        <f t="shared" si="26"/>
        <v>96980</v>
      </c>
      <c r="H372" s="118" t="str">
        <f t="array" ref="H372:K372">_xlfn.XLOOKUP(C372,'ESAP NEIVA FASE II UNIFICADO'!$C$6:$C$720,'ESAP NEIVA FASE II UNIFICADO'!$C$6:$F$720,"NO ESTA")</f>
        <v>SUMINISTRO E INSTALACIÓN GRAPA DERIVACIÓN EN T DE BRONCE PARA SOPORTAR EL CABLE AL MURO DE CONCRETO APROBADAS PARA INTEMPERIE.</v>
      </c>
      <c r="I372" t="str">
        <v>UN</v>
      </c>
      <c r="J372">
        <v>0</v>
      </c>
      <c r="K372">
        <v>26196</v>
      </c>
      <c r="L372">
        <f t="shared" si="27"/>
        <v>1</v>
      </c>
      <c r="M372">
        <f t="shared" si="28"/>
        <v>24245</v>
      </c>
      <c r="N372" s="119">
        <f t="shared" si="29"/>
        <v>4</v>
      </c>
      <c r="O372">
        <f t="shared" si="25"/>
        <v>96980</v>
      </c>
    </row>
    <row r="373" spans="2:15" ht="35.25" customHeight="1" x14ac:dyDescent="0.25">
      <c r="B373" s="86" t="s">
        <v>706</v>
      </c>
      <c r="C373" s="87" t="s">
        <v>707</v>
      </c>
      <c r="D373" s="82" t="s">
        <v>374</v>
      </c>
      <c r="E373" s="83">
        <v>4</v>
      </c>
      <c r="F373" s="88">
        <v>198960</v>
      </c>
      <c r="G373" s="89">
        <f t="shared" si="26"/>
        <v>795840</v>
      </c>
      <c r="H373" s="118" t="str">
        <f t="array" ref="H373:K373">_xlfn.XLOOKUP(C373,'ESAP NEIVA FASE II UNIFICADO'!$C$6:$C$720,'ESAP NEIVA FASE II UNIFICADO'!$C$6:$F$720,"NO ESTA")</f>
        <v>SUMINISTRO E INSTALACIÓN ELECTRODO DE PUESTA A TIERRA EN CU DE 5/8"X 8' + CONECTOR</v>
      </c>
      <c r="I373" t="str">
        <v>UN</v>
      </c>
      <c r="J373">
        <v>0</v>
      </c>
      <c r="K373">
        <v>214977</v>
      </c>
      <c r="L373">
        <f t="shared" si="27"/>
        <v>1</v>
      </c>
      <c r="M373">
        <f t="shared" si="28"/>
        <v>198960</v>
      </c>
      <c r="N373" s="119">
        <f t="shared" si="29"/>
        <v>4</v>
      </c>
      <c r="O373">
        <f t="shared" si="25"/>
        <v>795840</v>
      </c>
    </row>
    <row r="374" spans="2:15" ht="35.25" customHeight="1" x14ac:dyDescent="0.25">
      <c r="B374" s="86" t="s">
        <v>708</v>
      </c>
      <c r="C374" s="87" t="s">
        <v>709</v>
      </c>
      <c r="D374" s="82" t="s">
        <v>374</v>
      </c>
      <c r="E374" s="83">
        <v>4</v>
      </c>
      <c r="F374" s="88">
        <v>122282</v>
      </c>
      <c r="G374" s="89">
        <f t="shared" si="26"/>
        <v>489128</v>
      </c>
      <c r="H374" s="118" t="str">
        <f t="array" ref="H374:K374">_xlfn.XLOOKUP(C374,'ESAP NEIVA FASE II UNIFICADO'!$C$6:$C$720,'ESAP NEIVA FASE II UNIFICADO'!$C$6:$F$720,"NO ESTA")</f>
        <v>SUMINISTRO E INSTALACIÓN CONEXIÓN EXOTÉRMICA VARILLA-CABLE CALIBRE #2 AWG. INCLUYE SUMINISTRO DE MOLDE FÚNDENTE Y DEMÁS ACCESORIOS.</v>
      </c>
      <c r="I374" t="str">
        <v>UN</v>
      </c>
      <c r="J374">
        <v>0</v>
      </c>
      <c r="K374">
        <v>132126</v>
      </c>
      <c r="L374">
        <f t="shared" si="27"/>
        <v>1</v>
      </c>
      <c r="M374">
        <f t="shared" si="28"/>
        <v>122282</v>
      </c>
      <c r="N374" s="119">
        <f t="shared" si="29"/>
        <v>4</v>
      </c>
      <c r="O374">
        <f t="shared" si="25"/>
        <v>489128</v>
      </c>
    </row>
    <row r="375" spans="2:15" ht="44.25" customHeight="1" x14ac:dyDescent="0.25">
      <c r="B375" s="86" t="s">
        <v>710</v>
      </c>
      <c r="C375" s="87" t="s">
        <v>711</v>
      </c>
      <c r="D375" s="82" t="s">
        <v>374</v>
      </c>
      <c r="E375" s="83">
        <v>4</v>
      </c>
      <c r="F375" s="88">
        <v>243160</v>
      </c>
      <c r="G375" s="89">
        <f t="shared" si="26"/>
        <v>972640</v>
      </c>
      <c r="H375" s="118" t="str">
        <f t="array" ref="H375">_xlfn.XLOOKUP(C375,'ESAP NEIVA FASE II UNIFICADO'!$C$6:$C$720,'ESAP NEIVA FASE II UNIFICADO'!$C$6:$F$720,"NO ESTA")</f>
        <v>NO ESTA</v>
      </c>
      <c r="L375">
        <f t="shared" si="27"/>
        <v>1</v>
      </c>
      <c r="M375">
        <f t="shared" si="28"/>
        <v>243160</v>
      </c>
      <c r="N375" s="119">
        <f t="shared" si="29"/>
        <v>4</v>
      </c>
      <c r="O375">
        <f t="shared" si="25"/>
        <v>972640</v>
      </c>
    </row>
    <row r="376" spans="2:15" ht="15" customHeight="1" x14ac:dyDescent="0.25">
      <c r="B376" s="74">
        <v>16</v>
      </c>
      <c r="C376" s="75" t="s">
        <v>712</v>
      </c>
      <c r="D376" s="76"/>
      <c r="E376" s="77"/>
      <c r="F376" s="78"/>
      <c r="G376" s="89">
        <f t="shared" si="26"/>
        <v>0</v>
      </c>
      <c r="H376" s="118" t="str">
        <f t="array" ref="H376:K376">_xlfn.XLOOKUP(C376,'ESAP NEIVA FASE II UNIFICADO'!$C$6:$C$720,'ESAP NEIVA FASE II UNIFICADO'!$C$6:$F$720,"NO ESTA")</f>
        <v>LUMINARIAS Y LAMPARAS</v>
      </c>
      <c r="I376">
        <v>0</v>
      </c>
      <c r="J376">
        <v>0</v>
      </c>
      <c r="K376">
        <v>0</v>
      </c>
      <c r="L376">
        <f t="shared" si="27"/>
        <v>1</v>
      </c>
      <c r="M376">
        <f t="shared" si="28"/>
        <v>0</v>
      </c>
      <c r="N376" s="119">
        <f t="shared" si="29"/>
        <v>0</v>
      </c>
      <c r="O376">
        <f t="shared" si="25"/>
        <v>0</v>
      </c>
    </row>
    <row r="377" spans="2:15" ht="15" customHeight="1" x14ac:dyDescent="0.25">
      <c r="B377" s="80" t="s">
        <v>713</v>
      </c>
      <c r="C377" s="81" t="s">
        <v>714</v>
      </c>
      <c r="D377" s="82"/>
      <c r="E377" s="83"/>
      <c r="F377" s="90"/>
      <c r="G377" s="89">
        <f t="shared" si="26"/>
        <v>0</v>
      </c>
      <c r="H377" s="118" t="str">
        <f t="array" ref="H377:K377">_xlfn.XLOOKUP(C377,'ESAP NEIVA FASE II UNIFICADO'!$C$6:$C$720,'ESAP NEIVA FASE II UNIFICADO'!$C$6:$F$720,"NO ESTA")</f>
        <v xml:space="preserve">SUMINISTRO E INSTALACIÓN DE LÁMPARAS FLUORESCENTES </v>
      </c>
      <c r="I377">
        <v>0</v>
      </c>
      <c r="J377">
        <v>0</v>
      </c>
      <c r="K377">
        <v>0</v>
      </c>
      <c r="L377">
        <f t="shared" si="27"/>
        <v>1</v>
      </c>
      <c r="M377">
        <f t="shared" si="28"/>
        <v>0</v>
      </c>
      <c r="N377" s="119">
        <f t="shared" si="29"/>
        <v>0</v>
      </c>
      <c r="O377">
        <f t="shared" si="25"/>
        <v>0</v>
      </c>
    </row>
    <row r="378" spans="2:15" ht="15" customHeight="1" x14ac:dyDescent="0.25">
      <c r="B378" s="86" t="s">
        <v>715</v>
      </c>
      <c r="C378" s="87" t="s">
        <v>716</v>
      </c>
      <c r="D378" s="82" t="s">
        <v>374</v>
      </c>
      <c r="E378" s="83">
        <v>57</v>
      </c>
      <c r="F378" s="88">
        <v>125754</v>
      </c>
      <c r="G378" s="89">
        <f t="shared" si="26"/>
        <v>7167978</v>
      </c>
      <c r="H378" s="118" t="str">
        <f t="array" ref="H378:K378">_xlfn.XLOOKUP(C378,'ESAP NEIVA FASE II UNIFICADO'!$C$6:$C$720,'ESAP NEIVA FASE II UNIFICADO'!$C$6:$F$720,"NO ESTA")</f>
        <v>SUMINISTRO E INSTALACIÓN LÁMPARA LED 1x28 W</v>
      </c>
      <c r="I378" t="str">
        <v>UN</v>
      </c>
      <c r="J378">
        <v>153</v>
      </c>
      <c r="K378">
        <v>97894</v>
      </c>
      <c r="L378">
        <f t="shared" si="27"/>
        <v>0</v>
      </c>
      <c r="M378">
        <f t="shared" si="28"/>
        <v>0</v>
      </c>
      <c r="N378" s="119">
        <f t="shared" si="29"/>
        <v>57</v>
      </c>
      <c r="O378">
        <f t="shared" si="25"/>
        <v>0</v>
      </c>
    </row>
    <row r="379" spans="2:15" ht="15" customHeight="1" x14ac:dyDescent="0.25">
      <c r="B379" s="86" t="s">
        <v>717</v>
      </c>
      <c r="C379" s="87" t="s">
        <v>718</v>
      </c>
      <c r="D379" s="82" t="s">
        <v>374</v>
      </c>
      <c r="E379" s="83">
        <v>30</v>
      </c>
      <c r="F379" s="88">
        <v>203359</v>
      </c>
      <c r="G379" s="89">
        <f t="shared" si="26"/>
        <v>6100770</v>
      </c>
      <c r="H379" s="118" t="str">
        <f t="array" ref="H379:K379">_xlfn.XLOOKUP(C379,'ESAP NEIVA FASE II UNIFICADO'!$C$6:$C$720,'ESAP NEIVA FASE II UNIFICADO'!$C$6:$F$720,"NO ESTA")</f>
        <v>SUMINISTRO E INSTALACIÓN LÁMPARA LED 2x54 W</v>
      </c>
      <c r="I379" t="str">
        <v>UN</v>
      </c>
      <c r="J379">
        <v>82</v>
      </c>
      <c r="K379">
        <v>178068</v>
      </c>
      <c r="L379">
        <f t="shared" si="27"/>
        <v>0</v>
      </c>
      <c r="M379">
        <f t="shared" si="28"/>
        <v>0</v>
      </c>
      <c r="N379" s="119">
        <f t="shared" si="29"/>
        <v>30</v>
      </c>
      <c r="O379">
        <f t="shared" si="25"/>
        <v>0</v>
      </c>
    </row>
    <row r="380" spans="2:15" ht="15" customHeight="1" x14ac:dyDescent="0.25">
      <c r="B380" s="86" t="s">
        <v>719</v>
      </c>
      <c r="C380" s="87" t="s">
        <v>720</v>
      </c>
      <c r="D380" s="82" t="s">
        <v>374</v>
      </c>
      <c r="E380" s="83">
        <v>45</v>
      </c>
      <c r="F380" s="88">
        <v>176718</v>
      </c>
      <c r="G380" s="89">
        <f t="shared" si="26"/>
        <v>7952310</v>
      </c>
      <c r="H380" s="118" t="str">
        <f t="array" ref="H380:K380">_xlfn.XLOOKUP(C380,'ESAP NEIVA FASE II UNIFICADO'!$C$6:$C$720,'ESAP NEIVA FASE II UNIFICADO'!$C$6:$F$720,"NO ESTA")</f>
        <v>SUMINISTRO E INSTALACIÓN BALA LED 35W 120 V</v>
      </c>
      <c r="I380" t="str">
        <v>UN</v>
      </c>
      <c r="J380">
        <v>121</v>
      </c>
      <c r="K380">
        <v>190945</v>
      </c>
      <c r="L380">
        <f t="shared" si="27"/>
        <v>0</v>
      </c>
      <c r="M380">
        <f t="shared" si="28"/>
        <v>0</v>
      </c>
      <c r="N380" s="119">
        <f t="shared" si="29"/>
        <v>45</v>
      </c>
      <c r="O380">
        <f t="shared" si="25"/>
        <v>0</v>
      </c>
    </row>
    <row r="381" spans="2:15" ht="15" customHeight="1" x14ac:dyDescent="0.25">
      <c r="B381" s="86" t="s">
        <v>721</v>
      </c>
      <c r="C381" s="87" t="s">
        <v>722</v>
      </c>
      <c r="D381" s="82" t="s">
        <v>374</v>
      </c>
      <c r="E381" s="83">
        <v>19</v>
      </c>
      <c r="F381" s="88">
        <v>130349</v>
      </c>
      <c r="G381" s="89">
        <f t="shared" si="26"/>
        <v>2476631</v>
      </c>
      <c r="H381" s="118" t="str">
        <f t="array" ref="H381:K381">_xlfn.XLOOKUP(C381,'ESAP NEIVA FASE II UNIFICADO'!$C$6:$C$720,'ESAP NEIVA FASE II UNIFICADO'!$C$6:$F$720,"NO ESTA")</f>
        <v>SUMINISTRO E INSTALACIÓN BALA RECESADA LED 10W 120 V</v>
      </c>
      <c r="I381" t="str">
        <v>UN</v>
      </c>
      <c r="J381">
        <v>50</v>
      </c>
      <c r="K381">
        <v>140842</v>
      </c>
      <c r="L381">
        <f t="shared" si="27"/>
        <v>0</v>
      </c>
      <c r="M381">
        <f t="shared" si="28"/>
        <v>0</v>
      </c>
      <c r="N381" s="119">
        <f t="shared" si="29"/>
        <v>19</v>
      </c>
      <c r="O381">
        <f t="shared" si="25"/>
        <v>0</v>
      </c>
    </row>
    <row r="382" spans="2:15" ht="15" customHeight="1" x14ac:dyDescent="0.25">
      <c r="B382" s="86" t="s">
        <v>723</v>
      </c>
      <c r="C382" s="87" t="s">
        <v>724</v>
      </c>
      <c r="D382" s="82" t="s">
        <v>374</v>
      </c>
      <c r="E382" s="83">
        <v>68</v>
      </c>
      <c r="F382" s="88">
        <v>210010</v>
      </c>
      <c r="G382" s="89">
        <f t="shared" si="26"/>
        <v>14280680</v>
      </c>
      <c r="H382" s="118" t="str">
        <f t="array" ref="H382:K382">_xlfn.XLOOKUP(C382,'ESAP NEIVA FASE II UNIFICADO'!$C$6:$C$720,'ESAP NEIVA FASE II UNIFICADO'!$C$6:$F$720,"NO ESTA")</f>
        <v>SUMINISTRO E INSTALACIÓN LUMINARIA LED 2x26W 120V</v>
      </c>
      <c r="I382" t="str">
        <v>UN</v>
      </c>
      <c r="J382">
        <v>184</v>
      </c>
      <c r="K382">
        <v>226917</v>
      </c>
      <c r="L382">
        <f t="shared" si="27"/>
        <v>0</v>
      </c>
      <c r="M382">
        <f t="shared" si="28"/>
        <v>0</v>
      </c>
      <c r="N382" s="119">
        <f t="shared" si="29"/>
        <v>68</v>
      </c>
      <c r="O382">
        <f t="shared" si="25"/>
        <v>0</v>
      </c>
    </row>
    <row r="383" spans="2:15" ht="15" customHeight="1" x14ac:dyDescent="0.25">
      <c r="B383" s="86" t="s">
        <v>725</v>
      </c>
      <c r="C383" s="87" t="s">
        <v>726</v>
      </c>
      <c r="D383" s="82" t="s">
        <v>374</v>
      </c>
      <c r="E383" s="83">
        <v>2</v>
      </c>
      <c r="F383" s="88">
        <v>250408</v>
      </c>
      <c r="G383" s="89">
        <f t="shared" si="26"/>
        <v>500816</v>
      </c>
      <c r="H383" s="118" t="str">
        <f t="array" ref="H383:K383">_xlfn.XLOOKUP(C383,'ESAP NEIVA FASE II UNIFICADO'!$C$6:$C$720,'ESAP NEIVA FASE II UNIFICADO'!$C$6:$F$720,"NO ESTA")</f>
        <v>SUMINISTRO E INSTALACIÓN REFLECTOR DE LUZ INDIRECTA</v>
      </c>
      <c r="I383" t="str">
        <v>UN</v>
      </c>
      <c r="J383">
        <v>6</v>
      </c>
      <c r="K383">
        <v>270567</v>
      </c>
      <c r="L383">
        <f t="shared" si="27"/>
        <v>0</v>
      </c>
      <c r="M383">
        <f t="shared" si="28"/>
        <v>0</v>
      </c>
      <c r="N383" s="119">
        <f t="shared" si="29"/>
        <v>2</v>
      </c>
      <c r="O383">
        <f t="shared" si="25"/>
        <v>0</v>
      </c>
    </row>
    <row r="384" spans="2:15" ht="15" customHeight="1" x14ac:dyDescent="0.25">
      <c r="B384" s="86" t="s">
        <v>727</v>
      </c>
      <c r="C384" s="87" t="s">
        <v>728</v>
      </c>
      <c r="D384" s="82" t="s">
        <v>374</v>
      </c>
      <c r="E384" s="83">
        <v>2</v>
      </c>
      <c r="F384" s="88">
        <v>185014</v>
      </c>
      <c r="G384" s="89">
        <f t="shared" si="26"/>
        <v>370028</v>
      </c>
      <c r="H384" s="118" t="str">
        <f t="array" ref="H384:K384">_xlfn.XLOOKUP(C384,'ESAP NEIVA FASE II UNIFICADO'!$C$6:$C$720,'ESAP NEIVA FASE II UNIFICADO'!$C$6:$F$720,"NO ESTA")</f>
        <v>SUMINISTRO E INSTALACIÓN APLIQUE DE ESCALERA 1000W 120V</v>
      </c>
      <c r="I384" t="str">
        <v>UN</v>
      </c>
      <c r="J384">
        <v>6</v>
      </c>
      <c r="K384">
        <v>199908</v>
      </c>
      <c r="L384">
        <f t="shared" si="27"/>
        <v>0</v>
      </c>
      <c r="M384">
        <f t="shared" si="28"/>
        <v>0</v>
      </c>
      <c r="N384" s="119">
        <f t="shared" si="29"/>
        <v>2</v>
      </c>
      <c r="O384">
        <f t="shared" si="25"/>
        <v>0</v>
      </c>
    </row>
    <row r="385" spans="2:15" ht="15" customHeight="1" x14ac:dyDescent="0.25">
      <c r="B385" s="86" t="s">
        <v>729</v>
      </c>
      <c r="C385" s="87" t="s">
        <v>730</v>
      </c>
      <c r="D385" s="82" t="s">
        <v>374</v>
      </c>
      <c r="E385" s="83">
        <v>25</v>
      </c>
      <c r="F385" s="88">
        <v>89895</v>
      </c>
      <c r="G385" s="89">
        <f t="shared" si="26"/>
        <v>2247375</v>
      </c>
      <c r="H385" s="118" t="str">
        <f t="array" ref="H385:K385">_xlfn.XLOOKUP(C385,'ESAP NEIVA FASE II UNIFICADO'!$C$6:$C$720,'ESAP NEIVA FASE II UNIFICADO'!$C$6:$F$720,"NO ESTA")</f>
        <v>SUMINISTRO E INSTALACIÓN BALAS LED DE PISO 3W 120V</v>
      </c>
      <c r="I385" t="str">
        <v>UN</v>
      </c>
      <c r="J385">
        <v>67</v>
      </c>
      <c r="K385">
        <v>97132</v>
      </c>
      <c r="L385">
        <f t="shared" si="27"/>
        <v>0</v>
      </c>
      <c r="M385">
        <f t="shared" si="28"/>
        <v>0</v>
      </c>
      <c r="N385" s="119">
        <f t="shared" si="29"/>
        <v>25</v>
      </c>
      <c r="O385">
        <f t="shared" ref="O385:O448" si="30">M385*N385</f>
        <v>0</v>
      </c>
    </row>
    <row r="386" spans="2:15" ht="15" customHeight="1" x14ac:dyDescent="0.25">
      <c r="B386" s="86" t="s">
        <v>731</v>
      </c>
      <c r="C386" s="87" t="s">
        <v>732</v>
      </c>
      <c r="D386" s="82" t="s">
        <v>374</v>
      </c>
      <c r="E386" s="83">
        <v>4</v>
      </c>
      <c r="F386" s="88">
        <v>72061</v>
      </c>
      <c r="G386" s="89">
        <f t="shared" si="26"/>
        <v>288244</v>
      </c>
      <c r="H386" s="118" t="str">
        <f t="array" ref="H386:K386">_xlfn.XLOOKUP(C386,'ESAP NEIVA FASE II UNIFICADO'!$C$6:$C$720,'ESAP NEIVA FASE II UNIFICADO'!$C$6:$F$720,"NO ESTA")</f>
        <v>SUMINISTRO E INSTALACIÓN BALAS DE PISO 50W 120 V</v>
      </c>
      <c r="I386" t="str">
        <v>UN</v>
      </c>
      <c r="J386">
        <v>10</v>
      </c>
      <c r="K386">
        <v>77862</v>
      </c>
      <c r="L386">
        <f t="shared" si="27"/>
        <v>0</v>
      </c>
      <c r="M386">
        <f t="shared" si="28"/>
        <v>0</v>
      </c>
      <c r="N386" s="119">
        <f t="shared" si="29"/>
        <v>4</v>
      </c>
      <c r="O386">
        <f t="shared" si="30"/>
        <v>0</v>
      </c>
    </row>
    <row r="387" spans="2:15" ht="15" customHeight="1" x14ac:dyDescent="0.25">
      <c r="B387" s="74">
        <v>17</v>
      </c>
      <c r="C387" s="75" t="s">
        <v>733</v>
      </c>
      <c r="D387" s="76"/>
      <c r="E387" s="77"/>
      <c r="F387" s="78"/>
      <c r="G387" s="89">
        <f t="shared" si="26"/>
        <v>0</v>
      </c>
      <c r="H387" s="118" t="str">
        <f t="array" ref="H387:K387">_xlfn.XLOOKUP(C387,'ESAP NEIVA FASE II UNIFICADO'!$C$6:$C$720,'ESAP NEIVA FASE II UNIFICADO'!$C$6:$F$720,"NO ESTA")</f>
        <v>AIRE ACONDICIONADO</v>
      </c>
      <c r="I387">
        <v>0</v>
      </c>
      <c r="J387">
        <v>0</v>
      </c>
      <c r="K387">
        <v>0</v>
      </c>
      <c r="L387">
        <f t="shared" si="27"/>
        <v>1</v>
      </c>
      <c r="M387">
        <f t="shared" si="28"/>
        <v>0</v>
      </c>
      <c r="N387" s="119">
        <f t="shared" si="29"/>
        <v>0</v>
      </c>
      <c r="O387">
        <f t="shared" si="30"/>
        <v>0</v>
      </c>
    </row>
    <row r="388" spans="2:15" ht="15" customHeight="1" x14ac:dyDescent="0.25">
      <c r="B388" s="80" t="s">
        <v>734</v>
      </c>
      <c r="C388" s="81" t="s">
        <v>735</v>
      </c>
      <c r="D388" s="82"/>
      <c r="E388" s="83"/>
      <c r="F388" s="90"/>
      <c r="G388" s="89">
        <f t="shared" si="26"/>
        <v>0</v>
      </c>
      <c r="H388" s="118" t="str">
        <f t="array" ref="H388:K388">_xlfn.XLOOKUP(C388,'ESAP NEIVA FASE II UNIFICADO'!$C$6:$C$720,'ESAP NEIVA FASE II UNIFICADO'!$C$6:$F$720,"NO ESTA")</f>
        <v>SUMINISTRO E INSTALACION DE TUBERIA AGUA FRIA PVC</v>
      </c>
      <c r="I388">
        <v>0</v>
      </c>
      <c r="J388">
        <v>0</v>
      </c>
      <c r="K388">
        <v>0</v>
      </c>
      <c r="L388">
        <f t="shared" si="27"/>
        <v>1</v>
      </c>
      <c r="M388">
        <f t="shared" si="28"/>
        <v>0</v>
      </c>
      <c r="N388" s="119">
        <f t="shared" si="29"/>
        <v>0</v>
      </c>
      <c r="O388">
        <f t="shared" si="30"/>
        <v>0</v>
      </c>
    </row>
    <row r="389" spans="2:15" ht="15" customHeight="1" x14ac:dyDescent="0.25">
      <c r="B389" s="86" t="s">
        <v>736</v>
      </c>
      <c r="C389" s="87" t="s">
        <v>737</v>
      </c>
      <c r="D389" s="82" t="s">
        <v>94</v>
      </c>
      <c r="E389" s="83">
        <v>17</v>
      </c>
      <c r="F389" s="88">
        <v>66339</v>
      </c>
      <c r="G389" s="89">
        <f t="shared" si="26"/>
        <v>1127763</v>
      </c>
      <c r="H389" s="118" t="str">
        <f t="array" ref="H389:K389">_xlfn.XLOOKUP(C389,'ESAP NEIVA FASE II UNIFICADO'!$C$6:$C$720,'ESAP NEIVA FASE II UNIFICADO'!$C$6:$F$720,"NO ESTA")</f>
        <v>SUMINISTRO E INSTALACION TUBERIA Y ACCESORIOS RDE 21 Ø DIAMETRO  4"</v>
      </c>
      <c r="I389" t="str">
        <v>ML</v>
      </c>
      <c r="J389">
        <v>45</v>
      </c>
      <c r="K389">
        <v>71680</v>
      </c>
      <c r="L389">
        <f t="shared" si="27"/>
        <v>0</v>
      </c>
      <c r="M389">
        <f t="shared" si="28"/>
        <v>0</v>
      </c>
      <c r="N389" s="119">
        <f t="shared" si="29"/>
        <v>17</v>
      </c>
      <c r="O389">
        <f t="shared" si="30"/>
        <v>0</v>
      </c>
    </row>
    <row r="390" spans="2:15" ht="15" customHeight="1" x14ac:dyDescent="0.25">
      <c r="B390" s="86" t="s">
        <v>738</v>
      </c>
      <c r="C390" s="87" t="s">
        <v>739</v>
      </c>
      <c r="D390" s="82" t="s">
        <v>94</v>
      </c>
      <c r="E390" s="83">
        <v>9</v>
      </c>
      <c r="F390" s="88">
        <v>43135</v>
      </c>
      <c r="G390" s="89">
        <f t="shared" si="26"/>
        <v>388215</v>
      </c>
      <c r="H390" s="118" t="str">
        <f t="array" ref="H390:K390">_xlfn.XLOOKUP(C390,'ESAP NEIVA FASE II UNIFICADO'!$C$6:$C$720,'ESAP NEIVA FASE II UNIFICADO'!$C$6:$F$720,"NO ESTA")</f>
        <v>SUMINISTRO E INSTALACION TUBERIA Y ACCESORIOS RDE 21 Ø DIAMETRO  3"</v>
      </c>
      <c r="I390" t="str">
        <v>ML</v>
      </c>
      <c r="J390">
        <v>24</v>
      </c>
      <c r="K390">
        <v>46609</v>
      </c>
      <c r="L390">
        <f t="shared" si="27"/>
        <v>0</v>
      </c>
      <c r="M390">
        <f t="shared" si="28"/>
        <v>0</v>
      </c>
      <c r="N390" s="119">
        <f t="shared" si="29"/>
        <v>9</v>
      </c>
      <c r="O390">
        <f t="shared" si="30"/>
        <v>0</v>
      </c>
    </row>
    <row r="391" spans="2:15" ht="15" customHeight="1" x14ac:dyDescent="0.25">
      <c r="B391" s="86" t="s">
        <v>740</v>
      </c>
      <c r="C391" s="87" t="s">
        <v>741</v>
      </c>
      <c r="D391" s="82" t="s">
        <v>94</v>
      </c>
      <c r="E391" s="83">
        <v>24</v>
      </c>
      <c r="F391" s="88">
        <v>32147</v>
      </c>
      <c r="G391" s="89">
        <f t="shared" ref="G391:G454" si="31">ROUND(+F391*E391,2)</f>
        <v>771528</v>
      </c>
      <c r="H391" s="118" t="str">
        <f t="array" ref="H391:K391">_xlfn.XLOOKUP(C391,'ESAP NEIVA FASE II UNIFICADO'!$C$6:$C$720,'ESAP NEIVA FASE II UNIFICADO'!$C$6:$F$720,"NO ESTA")</f>
        <v>SUMINISTRO E INSTALACION TUBERIA Y ACCESORIOS RDE 21 Ø DIAMETRO  2 1/2"</v>
      </c>
      <c r="I391" t="str">
        <v>ML</v>
      </c>
      <c r="J391">
        <v>64</v>
      </c>
      <c r="K391">
        <v>34736</v>
      </c>
      <c r="L391">
        <f t="shared" si="27"/>
        <v>0</v>
      </c>
      <c r="M391">
        <f t="shared" si="28"/>
        <v>0</v>
      </c>
      <c r="N391" s="119">
        <f t="shared" si="29"/>
        <v>24</v>
      </c>
      <c r="O391">
        <f t="shared" si="30"/>
        <v>0</v>
      </c>
    </row>
    <row r="392" spans="2:15" ht="15" customHeight="1" x14ac:dyDescent="0.25">
      <c r="B392" s="86" t="s">
        <v>742</v>
      </c>
      <c r="C392" s="87" t="s">
        <v>743</v>
      </c>
      <c r="D392" s="82" t="s">
        <v>94</v>
      </c>
      <c r="E392" s="83">
        <v>68</v>
      </c>
      <c r="F392" s="88">
        <v>21886</v>
      </c>
      <c r="G392" s="89">
        <f t="shared" si="31"/>
        <v>1488248</v>
      </c>
      <c r="H392" s="118" t="str">
        <f t="array" ref="H392:K392">_xlfn.XLOOKUP(C392,'ESAP NEIVA FASE II UNIFICADO'!$C$6:$C$720,'ESAP NEIVA FASE II UNIFICADO'!$C$6:$F$720,"NO ESTA")</f>
        <v>SUMINISTRO E INSTALACION TUBERIA Y ACCESORIOS RDE 21 Ø DIAMETRO  2"</v>
      </c>
      <c r="I392" t="str">
        <v>ML</v>
      </c>
      <c r="J392">
        <v>185.4</v>
      </c>
      <c r="K392">
        <v>23647</v>
      </c>
      <c r="L392">
        <f t="shared" si="27"/>
        <v>0</v>
      </c>
      <c r="M392">
        <f t="shared" si="28"/>
        <v>0</v>
      </c>
      <c r="N392" s="119">
        <f t="shared" si="29"/>
        <v>68</v>
      </c>
      <c r="O392">
        <f t="shared" si="30"/>
        <v>0</v>
      </c>
    </row>
    <row r="393" spans="2:15" ht="15" customHeight="1" x14ac:dyDescent="0.25">
      <c r="B393" s="86" t="s">
        <v>744</v>
      </c>
      <c r="C393" s="87" t="s">
        <v>745</v>
      </c>
      <c r="D393" s="82" t="s">
        <v>94</v>
      </c>
      <c r="E393" s="83">
        <v>40</v>
      </c>
      <c r="F393" s="88">
        <v>15947</v>
      </c>
      <c r="G393" s="89">
        <f t="shared" si="31"/>
        <v>637880</v>
      </c>
      <c r="H393" s="118" t="str">
        <f t="array" ref="H393:K393">_xlfn.XLOOKUP(C393,'ESAP NEIVA FASE II UNIFICADO'!$C$6:$C$720,'ESAP NEIVA FASE II UNIFICADO'!$C$6:$F$720,"NO ESTA")</f>
        <v>SUMINISTRO E INSTALACION TUBERIA Y ACCESORIOS RDE 21 Ø DIAMETRO  1 1/2"</v>
      </c>
      <c r="I393" t="str">
        <v>ML</v>
      </c>
      <c r="J393">
        <v>106.80000000000001</v>
      </c>
      <c r="K393">
        <v>17230</v>
      </c>
      <c r="L393">
        <f t="shared" si="27"/>
        <v>0</v>
      </c>
      <c r="M393">
        <f t="shared" si="28"/>
        <v>0</v>
      </c>
      <c r="N393" s="119">
        <f t="shared" si="29"/>
        <v>40</v>
      </c>
      <c r="O393">
        <f t="shared" si="30"/>
        <v>0</v>
      </c>
    </row>
    <row r="394" spans="2:15" ht="15" customHeight="1" x14ac:dyDescent="0.25">
      <c r="B394" s="86" t="s">
        <v>746</v>
      </c>
      <c r="C394" s="87" t="s">
        <v>747</v>
      </c>
      <c r="D394" s="82" t="s">
        <v>94</v>
      </c>
      <c r="E394" s="83">
        <v>61</v>
      </c>
      <c r="F394" s="88">
        <v>13566</v>
      </c>
      <c r="G394" s="89">
        <f t="shared" si="31"/>
        <v>827526</v>
      </c>
      <c r="H394" s="118" t="str">
        <f t="array" ref="H394:K394">_xlfn.XLOOKUP(C394,'ESAP NEIVA FASE II UNIFICADO'!$C$6:$C$720,'ESAP NEIVA FASE II UNIFICADO'!$C$6:$F$720,"NO ESTA")</f>
        <v>SUMINISTRO E INSTALACION TUBERIA Y ACCESORIOS RDE 21 Ø DIAMETRO  1 1/4"</v>
      </c>
      <c r="I394" t="str">
        <v>ML</v>
      </c>
      <c r="J394">
        <v>165.6</v>
      </c>
      <c r="K394">
        <v>14658</v>
      </c>
      <c r="L394">
        <f t="shared" ref="L394:L457" si="32">+IF(J394&gt;0,0,1)</f>
        <v>0</v>
      </c>
      <c r="M394">
        <f t="shared" ref="M394:M457" si="33">IF(L394=1,F394,0)</f>
        <v>0</v>
      </c>
      <c r="N394" s="119">
        <f t="shared" ref="N394:N457" si="34">E394</f>
        <v>61</v>
      </c>
      <c r="O394">
        <f t="shared" si="30"/>
        <v>0</v>
      </c>
    </row>
    <row r="395" spans="2:15" ht="15" customHeight="1" x14ac:dyDescent="0.25">
      <c r="B395" s="86" t="s">
        <v>748</v>
      </c>
      <c r="C395" s="87" t="s">
        <v>749</v>
      </c>
      <c r="D395" s="82" t="s">
        <v>94</v>
      </c>
      <c r="E395" s="83">
        <v>10</v>
      </c>
      <c r="F395" s="88">
        <v>9925</v>
      </c>
      <c r="G395" s="89">
        <f t="shared" si="31"/>
        <v>99250</v>
      </c>
      <c r="H395" s="118" t="str">
        <f t="array" ref="H395:K395">_xlfn.XLOOKUP(C395,'ESAP NEIVA FASE II UNIFICADO'!$C$6:$C$720,'ESAP NEIVA FASE II UNIFICADO'!$C$6:$F$720,"NO ESTA")</f>
        <v>SUMINISTRO E INSTALACION TUBERIA Y ACCESORIOS RDE 21 Ø DIAMETRO  1"</v>
      </c>
      <c r="I395" t="str">
        <v>ML</v>
      </c>
      <c r="J395">
        <v>28.799999999999997</v>
      </c>
      <c r="K395">
        <v>10725</v>
      </c>
      <c r="L395">
        <f t="shared" si="32"/>
        <v>0</v>
      </c>
      <c r="M395">
        <f t="shared" si="33"/>
        <v>0</v>
      </c>
      <c r="N395" s="119">
        <f t="shared" si="34"/>
        <v>10</v>
      </c>
      <c r="O395">
        <f t="shared" si="30"/>
        <v>0</v>
      </c>
    </row>
    <row r="396" spans="2:15" ht="15" customHeight="1" x14ac:dyDescent="0.25">
      <c r="B396" s="86" t="s">
        <v>750</v>
      </c>
      <c r="C396" s="87" t="s">
        <v>751</v>
      </c>
      <c r="D396" s="82" t="s">
        <v>94</v>
      </c>
      <c r="E396" s="83">
        <v>12</v>
      </c>
      <c r="F396" s="88">
        <v>8719</v>
      </c>
      <c r="G396" s="89">
        <f t="shared" si="31"/>
        <v>104628</v>
      </c>
      <c r="H396" s="118" t="str">
        <f t="array" ref="H396:K396">_xlfn.XLOOKUP(C396,'ESAP NEIVA FASE II UNIFICADO'!$C$6:$C$720,'ESAP NEIVA FASE II UNIFICADO'!$C$6:$F$720,"NO ESTA")</f>
        <v>SUMINISTRO E INSTALACION TUBERIA Y ACCESORIOS RDE 21 Ø DIAMETRO  3/4"</v>
      </c>
      <c r="I396" t="str">
        <v>ML</v>
      </c>
      <c r="J396">
        <v>32</v>
      </c>
      <c r="K396">
        <v>9421</v>
      </c>
      <c r="L396">
        <f t="shared" si="32"/>
        <v>0</v>
      </c>
      <c r="M396">
        <f t="shared" si="33"/>
        <v>0</v>
      </c>
      <c r="N396" s="119">
        <f t="shared" si="34"/>
        <v>12</v>
      </c>
      <c r="O396">
        <f t="shared" si="30"/>
        <v>0</v>
      </c>
    </row>
    <row r="397" spans="2:15" ht="26.25" customHeight="1" x14ac:dyDescent="0.25">
      <c r="B397" s="80" t="s">
        <v>752</v>
      </c>
      <c r="C397" s="81" t="s">
        <v>753</v>
      </c>
      <c r="D397" s="82"/>
      <c r="E397" s="83"/>
      <c r="F397" s="90"/>
      <c r="G397" s="89">
        <f t="shared" si="31"/>
        <v>0</v>
      </c>
      <c r="H397" s="118" t="str">
        <f t="array" ref="H397">_xlfn.XLOOKUP(C397,'ESAP NEIVA FASE II UNIFICADO'!$C$6:$C$720,'ESAP NEIVA FASE II UNIFICADO'!$C$6:$F$720,"NO ESTA")</f>
        <v>NO ESTA</v>
      </c>
      <c r="L397">
        <f t="shared" si="32"/>
        <v>1</v>
      </c>
      <c r="M397">
        <f t="shared" si="33"/>
        <v>0</v>
      </c>
      <c r="N397" s="119">
        <f t="shared" si="34"/>
        <v>0</v>
      </c>
      <c r="O397">
        <f t="shared" si="30"/>
        <v>0</v>
      </c>
    </row>
    <row r="398" spans="2:15" ht="26.25" customHeight="1" x14ac:dyDescent="0.25">
      <c r="B398" s="86" t="s">
        <v>754</v>
      </c>
      <c r="C398" s="87" t="s">
        <v>755</v>
      </c>
      <c r="D398" s="82" t="s">
        <v>94</v>
      </c>
      <c r="E398" s="83">
        <v>17</v>
      </c>
      <c r="F398" s="88">
        <v>38301</v>
      </c>
      <c r="G398" s="89">
        <f t="shared" si="31"/>
        <v>651117</v>
      </c>
      <c r="H398" s="118" t="str">
        <f t="array" ref="H398:K398">_xlfn.XLOOKUP(C398,'ESAP NEIVA FASE II UNIFICADO'!$C$6:$C$720,'ESAP NEIVA FASE II UNIFICADO'!$C$6:$F$720,"NO ESTA")</f>
        <v>SUMINISTRO E INSTALACION DE AISLAMIENTO TERMICO TUBERIA Y ACCESORIOS RDE 21 Ø DIAMETRO  4"</v>
      </c>
      <c r="I398" t="str">
        <v>ML</v>
      </c>
      <c r="J398">
        <v>45</v>
      </c>
      <c r="K398">
        <v>41384</v>
      </c>
      <c r="L398">
        <f t="shared" si="32"/>
        <v>0</v>
      </c>
      <c r="M398">
        <f t="shared" si="33"/>
        <v>0</v>
      </c>
      <c r="N398" s="119">
        <f t="shared" si="34"/>
        <v>17</v>
      </c>
      <c r="O398">
        <f t="shared" si="30"/>
        <v>0</v>
      </c>
    </row>
    <row r="399" spans="2:15" ht="26.25" customHeight="1" x14ac:dyDescent="0.25">
      <c r="B399" s="86" t="s">
        <v>756</v>
      </c>
      <c r="C399" s="87" t="s">
        <v>757</v>
      </c>
      <c r="D399" s="82" t="s">
        <v>94</v>
      </c>
      <c r="E399" s="83">
        <v>9</v>
      </c>
      <c r="F399" s="88">
        <v>34406</v>
      </c>
      <c r="G399" s="89">
        <f t="shared" si="31"/>
        <v>309654</v>
      </c>
      <c r="H399" s="118" t="str">
        <f t="array" ref="H399:K399">_xlfn.XLOOKUP(C399,'ESAP NEIVA FASE II UNIFICADO'!$C$6:$C$720,'ESAP NEIVA FASE II UNIFICADO'!$C$6:$F$720,"NO ESTA")</f>
        <v>SUMINISTRO E INSTALACION DE AISLAMIENTO TERMICO TUBERIA Y ACCESORIOS RDE 21 Ø DIAMETRO  3"</v>
      </c>
      <c r="I399" t="str">
        <v>ML</v>
      </c>
      <c r="J399">
        <v>24</v>
      </c>
      <c r="K399">
        <v>37175</v>
      </c>
      <c r="L399">
        <f t="shared" si="32"/>
        <v>0</v>
      </c>
      <c r="M399">
        <f t="shared" si="33"/>
        <v>0</v>
      </c>
      <c r="N399" s="119">
        <f t="shared" si="34"/>
        <v>9</v>
      </c>
      <c r="O399">
        <f t="shared" si="30"/>
        <v>0</v>
      </c>
    </row>
    <row r="400" spans="2:15" ht="26.25" customHeight="1" x14ac:dyDescent="0.25">
      <c r="B400" s="86" t="s">
        <v>758</v>
      </c>
      <c r="C400" s="87" t="s">
        <v>759</v>
      </c>
      <c r="D400" s="82" t="s">
        <v>94</v>
      </c>
      <c r="E400" s="83">
        <v>24</v>
      </c>
      <c r="F400" s="88">
        <v>26381</v>
      </c>
      <c r="G400" s="89">
        <f t="shared" si="31"/>
        <v>633144</v>
      </c>
      <c r="H400" s="118" t="str">
        <f t="array" ref="H400:K400">_xlfn.XLOOKUP(C400,'ESAP NEIVA FASE II UNIFICADO'!$C$6:$C$720,'ESAP NEIVA FASE II UNIFICADO'!$C$6:$F$720,"NO ESTA")</f>
        <v>SUMINISTRO E INSTALACION DE AISLAMIENTO TERMICO TUBERIA Y ACCESORIOS RDE 21 Ø DIAMETRO  2 1/2"</v>
      </c>
      <c r="I400" t="str">
        <v>ML</v>
      </c>
      <c r="J400">
        <v>64</v>
      </c>
      <c r="K400">
        <v>28505</v>
      </c>
      <c r="L400">
        <f t="shared" si="32"/>
        <v>0</v>
      </c>
      <c r="M400">
        <f t="shared" si="33"/>
        <v>0</v>
      </c>
      <c r="N400" s="119">
        <f t="shared" si="34"/>
        <v>24</v>
      </c>
      <c r="O400">
        <f t="shared" si="30"/>
        <v>0</v>
      </c>
    </row>
    <row r="401" spans="2:15" ht="26.25" customHeight="1" x14ac:dyDescent="0.25">
      <c r="B401" s="86" t="s">
        <v>760</v>
      </c>
      <c r="C401" s="87" t="s">
        <v>761</v>
      </c>
      <c r="D401" s="82" t="s">
        <v>94</v>
      </c>
      <c r="E401" s="83">
        <v>68</v>
      </c>
      <c r="F401" s="88">
        <v>20809</v>
      </c>
      <c r="G401" s="89">
        <f t="shared" si="31"/>
        <v>1415012</v>
      </c>
      <c r="H401" s="118" t="str">
        <f t="array" ref="H401:K401">_xlfn.XLOOKUP(C401,'ESAP NEIVA FASE II UNIFICADO'!$C$6:$C$720,'ESAP NEIVA FASE II UNIFICADO'!$C$6:$F$720,"NO ESTA")</f>
        <v>SUMINISTRO E INSTALACION DE AISLAMIENTO TERMICO TUBERIA Y ACCESORIOS RDE 21 Ø DIAMETRO  2"</v>
      </c>
      <c r="I401" t="str">
        <v>ML</v>
      </c>
      <c r="J401">
        <v>185.4</v>
      </c>
      <c r="K401">
        <v>22485</v>
      </c>
      <c r="L401">
        <f t="shared" si="32"/>
        <v>0</v>
      </c>
      <c r="M401">
        <f t="shared" si="33"/>
        <v>0</v>
      </c>
      <c r="N401" s="119">
        <f t="shared" si="34"/>
        <v>68</v>
      </c>
      <c r="O401">
        <f t="shared" si="30"/>
        <v>0</v>
      </c>
    </row>
    <row r="402" spans="2:15" ht="26.25" customHeight="1" x14ac:dyDescent="0.25">
      <c r="B402" s="86" t="s">
        <v>762</v>
      </c>
      <c r="C402" s="87" t="s">
        <v>763</v>
      </c>
      <c r="D402" s="82" t="s">
        <v>94</v>
      </c>
      <c r="E402" s="83">
        <v>40</v>
      </c>
      <c r="F402" s="88">
        <v>15695</v>
      </c>
      <c r="G402" s="89">
        <f t="shared" si="31"/>
        <v>627800</v>
      </c>
      <c r="H402" s="118" t="str">
        <f t="array" ref="H402:K402">_xlfn.XLOOKUP(C402,'ESAP NEIVA FASE II UNIFICADO'!$C$6:$C$720,'ESAP NEIVA FASE II UNIFICADO'!$C$6:$F$720,"NO ESTA")</f>
        <v>SUMINISTRO E INSTALACION DE AISLAMIENTO TERMICO TUBERIA Y ACCESORIOS RDE 21 Ø DIAMETRO  1 1/2"</v>
      </c>
      <c r="I402" t="str">
        <v>ML</v>
      </c>
      <c r="J402">
        <v>106.80000000000001</v>
      </c>
      <c r="K402">
        <v>16958</v>
      </c>
      <c r="L402">
        <f t="shared" si="32"/>
        <v>0</v>
      </c>
      <c r="M402">
        <f t="shared" si="33"/>
        <v>0</v>
      </c>
      <c r="N402" s="119">
        <f t="shared" si="34"/>
        <v>40</v>
      </c>
      <c r="O402">
        <f t="shared" si="30"/>
        <v>0</v>
      </c>
    </row>
    <row r="403" spans="2:15" ht="26.25" customHeight="1" x14ac:dyDescent="0.25">
      <c r="B403" s="86" t="s">
        <v>764</v>
      </c>
      <c r="C403" s="87" t="s">
        <v>765</v>
      </c>
      <c r="D403" s="82" t="s">
        <v>94</v>
      </c>
      <c r="E403" s="83">
        <v>61</v>
      </c>
      <c r="F403" s="88">
        <v>13460</v>
      </c>
      <c r="G403" s="89">
        <f t="shared" si="31"/>
        <v>821060</v>
      </c>
      <c r="H403" s="118" t="str">
        <f t="array" ref="H403:K403">_xlfn.XLOOKUP(C403,'ESAP NEIVA FASE II UNIFICADO'!$C$6:$C$720,'ESAP NEIVA FASE II UNIFICADO'!$C$6:$F$720,"NO ESTA")</f>
        <v>SUMINISTRO E INSTALACION DE AISLAMIENTO TERMICO TUBERIA Y ACCESORIOS RDE 21 Ø DIAMETRO  1 1/4"</v>
      </c>
      <c r="I403" t="str">
        <v>ML</v>
      </c>
      <c r="J403">
        <v>165.6</v>
      </c>
      <c r="K403">
        <v>14543</v>
      </c>
      <c r="L403">
        <f t="shared" si="32"/>
        <v>0</v>
      </c>
      <c r="M403">
        <f t="shared" si="33"/>
        <v>0</v>
      </c>
      <c r="N403" s="119">
        <f t="shared" si="34"/>
        <v>61</v>
      </c>
      <c r="O403">
        <f t="shared" si="30"/>
        <v>0</v>
      </c>
    </row>
    <row r="404" spans="2:15" ht="26.25" customHeight="1" x14ac:dyDescent="0.25">
      <c r="B404" s="86" t="s">
        <v>766</v>
      </c>
      <c r="C404" s="87" t="s">
        <v>767</v>
      </c>
      <c r="D404" s="82" t="s">
        <v>94</v>
      </c>
      <c r="E404" s="83">
        <v>10</v>
      </c>
      <c r="F404" s="88">
        <v>9809</v>
      </c>
      <c r="G404" s="89">
        <f t="shared" si="31"/>
        <v>98090</v>
      </c>
      <c r="H404" s="118" t="str">
        <f t="array" ref="H404:K404">_xlfn.XLOOKUP(C404,'ESAP NEIVA FASE II UNIFICADO'!$C$6:$C$720,'ESAP NEIVA FASE II UNIFICADO'!$C$6:$F$720,"NO ESTA")</f>
        <v>SUMINISTRO E INSTALACION DE AISLAMIENTO TERMICO TUBERIA Y ACCESORIOS RDE 21 Ø DIAMETRO  1"</v>
      </c>
      <c r="I404" t="str">
        <v>ML</v>
      </c>
      <c r="J404">
        <v>28.799999999999997</v>
      </c>
      <c r="K404">
        <v>10599</v>
      </c>
      <c r="L404">
        <f t="shared" si="32"/>
        <v>0</v>
      </c>
      <c r="M404">
        <f t="shared" si="33"/>
        <v>0</v>
      </c>
      <c r="N404" s="119">
        <f t="shared" si="34"/>
        <v>10</v>
      </c>
      <c r="O404">
        <f t="shared" si="30"/>
        <v>0</v>
      </c>
    </row>
    <row r="405" spans="2:15" ht="26.25" customHeight="1" x14ac:dyDescent="0.25">
      <c r="B405" s="86" t="s">
        <v>768</v>
      </c>
      <c r="C405" s="87" t="s">
        <v>769</v>
      </c>
      <c r="D405" s="82" t="s">
        <v>94</v>
      </c>
      <c r="E405" s="83">
        <v>12</v>
      </c>
      <c r="F405" s="88">
        <v>8561</v>
      </c>
      <c r="G405" s="89">
        <f t="shared" si="31"/>
        <v>102732</v>
      </c>
      <c r="H405" s="118" t="str">
        <f t="array" ref="H405:K405">_xlfn.XLOOKUP(C405,'ESAP NEIVA FASE II UNIFICADO'!$C$6:$C$720,'ESAP NEIVA FASE II UNIFICADO'!$C$6:$F$720,"NO ESTA")</f>
        <v>SUMINISTRO E INSTALACION DE AISLAMIENTO TERMICO TUBERIA Y ACCESORIOS RDE 21 Ø DIAMETRO  3/4"</v>
      </c>
      <c r="I405" t="str">
        <v>ML</v>
      </c>
      <c r="J405">
        <v>32</v>
      </c>
      <c r="K405">
        <v>9250</v>
      </c>
      <c r="L405">
        <f t="shared" si="32"/>
        <v>0</v>
      </c>
      <c r="M405">
        <f t="shared" si="33"/>
        <v>0</v>
      </c>
      <c r="N405" s="119">
        <f t="shared" si="34"/>
        <v>12</v>
      </c>
      <c r="O405">
        <f t="shared" si="30"/>
        <v>0</v>
      </c>
    </row>
    <row r="406" spans="2:15" ht="15" customHeight="1" x14ac:dyDescent="0.25">
      <c r="B406" s="80" t="s">
        <v>770</v>
      </c>
      <c r="C406" s="81" t="s">
        <v>771</v>
      </c>
      <c r="D406" s="82"/>
      <c r="E406" s="83"/>
      <c r="F406" s="90"/>
      <c r="G406" s="89">
        <f t="shared" si="31"/>
        <v>0</v>
      </c>
      <c r="H406" s="118" t="str">
        <f t="array" ref="H406">_xlfn.XLOOKUP(C406,'ESAP NEIVA FASE II UNIFICADO'!$C$6:$C$720,'ESAP NEIVA FASE II UNIFICADO'!$C$6:$F$720,"NO ESTA")</f>
        <v>NO ESTA</v>
      </c>
      <c r="L406">
        <f t="shared" si="32"/>
        <v>1</v>
      </c>
      <c r="M406">
        <f t="shared" si="33"/>
        <v>0</v>
      </c>
      <c r="N406" s="119">
        <f t="shared" si="34"/>
        <v>0</v>
      </c>
      <c r="O406">
        <f t="shared" si="30"/>
        <v>0</v>
      </c>
    </row>
    <row r="407" spans="2:15" ht="27" customHeight="1" x14ac:dyDescent="0.25">
      <c r="B407" s="86" t="s">
        <v>772</v>
      </c>
      <c r="C407" s="87" t="s">
        <v>773</v>
      </c>
      <c r="D407" s="82" t="s">
        <v>16</v>
      </c>
      <c r="E407" s="83">
        <v>1</v>
      </c>
      <c r="F407" s="88">
        <v>267035</v>
      </c>
      <c r="G407" s="89">
        <f t="shared" si="31"/>
        <v>267035</v>
      </c>
      <c r="H407" s="118" t="str">
        <f t="array" ref="H407:K407">_xlfn.XLOOKUP(C407,'ESAP NEIVA FASE II UNIFICADO'!$C$6:$C$720,'ESAP NEIVA FASE II UNIFICADO'!$C$6:$F$720,"NO ESTA")</f>
        <v>SUMINISTRO E INSTALACION MANOMETROS 4", INCLUYE GRIFOS DE PRUEBA Y ACCESORIOS</v>
      </c>
      <c r="I407" t="str">
        <v>UND</v>
      </c>
      <c r="J407">
        <v>3</v>
      </c>
      <c r="K407">
        <v>288532</v>
      </c>
      <c r="L407">
        <f t="shared" si="32"/>
        <v>0</v>
      </c>
      <c r="M407">
        <f t="shared" si="33"/>
        <v>0</v>
      </c>
      <c r="N407" s="119">
        <f t="shared" si="34"/>
        <v>1</v>
      </c>
      <c r="O407">
        <f t="shared" si="30"/>
        <v>0</v>
      </c>
    </row>
    <row r="408" spans="2:15" ht="15" customHeight="1" x14ac:dyDescent="0.25">
      <c r="B408" s="86" t="s">
        <v>774</v>
      </c>
      <c r="C408" s="87" t="s">
        <v>775</v>
      </c>
      <c r="D408" s="82" t="s">
        <v>16</v>
      </c>
      <c r="E408" s="83">
        <v>1</v>
      </c>
      <c r="F408" s="88">
        <v>513828</v>
      </c>
      <c r="G408" s="89">
        <f t="shared" si="31"/>
        <v>513828</v>
      </c>
      <c r="H408" s="118" t="str">
        <f t="array" ref="H408:K408">_xlfn.XLOOKUP(C408,'ESAP NEIVA FASE II UNIFICADO'!$C$6:$C$720,'ESAP NEIVA FASE II UNIFICADO'!$C$6:$F$720,"NO ESTA")</f>
        <v>SUMINISTRO E INSTALACION TERMOMETROS 0-100F DE COLUMNA 7"</v>
      </c>
      <c r="I408" t="str">
        <v>UND</v>
      </c>
      <c r="J408">
        <v>3</v>
      </c>
      <c r="K408">
        <v>555192</v>
      </c>
      <c r="L408">
        <f t="shared" si="32"/>
        <v>0</v>
      </c>
      <c r="M408">
        <f t="shared" si="33"/>
        <v>0</v>
      </c>
      <c r="N408" s="119">
        <f t="shared" si="34"/>
        <v>1</v>
      </c>
      <c r="O408">
        <f t="shared" si="30"/>
        <v>0</v>
      </c>
    </row>
    <row r="409" spans="2:15" ht="15" customHeight="1" x14ac:dyDescent="0.25">
      <c r="B409" s="86" t="s">
        <v>776</v>
      </c>
      <c r="C409" s="87" t="s">
        <v>777</v>
      </c>
      <c r="D409" s="82" t="s">
        <v>16</v>
      </c>
      <c r="E409" s="83">
        <v>1</v>
      </c>
      <c r="F409" s="88">
        <v>180913</v>
      </c>
      <c r="G409" s="89">
        <f t="shared" si="31"/>
        <v>180913</v>
      </c>
      <c r="H409" s="118" t="str">
        <f t="array" ref="H409:K409">_xlfn.XLOOKUP(C409,'ESAP NEIVA FASE II UNIFICADO'!$C$6:$C$720,'ESAP NEIVA FASE II UNIFICADO'!$C$6:$F$720,"NO ESTA")</f>
        <v>SUMINISTRO E INSTALACION ELIMINADORES DE AIRE</v>
      </c>
      <c r="I409" t="str">
        <v>UND</v>
      </c>
      <c r="J409">
        <v>3</v>
      </c>
      <c r="K409">
        <v>195476</v>
      </c>
      <c r="L409">
        <f t="shared" si="32"/>
        <v>0</v>
      </c>
      <c r="M409">
        <f t="shared" si="33"/>
        <v>0</v>
      </c>
      <c r="N409" s="119">
        <f t="shared" si="34"/>
        <v>1</v>
      </c>
      <c r="O409">
        <f t="shared" si="30"/>
        <v>0</v>
      </c>
    </row>
    <row r="410" spans="2:15" ht="15" customHeight="1" x14ac:dyDescent="0.25">
      <c r="B410" s="86" t="s">
        <v>778</v>
      </c>
      <c r="C410" s="87" t="s">
        <v>779</v>
      </c>
      <c r="D410" s="82" t="s">
        <v>16</v>
      </c>
      <c r="E410" s="83">
        <v>1</v>
      </c>
      <c r="F410" s="88">
        <v>418710</v>
      </c>
      <c r="G410" s="89">
        <f t="shared" si="31"/>
        <v>418710</v>
      </c>
      <c r="H410" s="118" t="str">
        <f t="array" ref="H410:K410">_xlfn.XLOOKUP(C410,'ESAP NEIVA FASE II UNIFICADO'!$C$6:$C$720,'ESAP NEIVA FASE II UNIFICADO'!$C$6:$F$720,"NO ESTA")</f>
        <v xml:space="preserve">SUMINISTRO E INSTALACION TANQUE DE EXPANSIÓN PVC CON VALVULA DE NIVEL </v>
      </c>
      <c r="I410" t="str">
        <v>UND</v>
      </c>
      <c r="J410">
        <v>1</v>
      </c>
      <c r="K410">
        <v>452416</v>
      </c>
      <c r="L410">
        <f t="shared" si="32"/>
        <v>0</v>
      </c>
      <c r="M410">
        <f t="shared" si="33"/>
        <v>0</v>
      </c>
      <c r="N410" s="119">
        <f t="shared" si="34"/>
        <v>1</v>
      </c>
      <c r="O410">
        <f t="shared" si="30"/>
        <v>0</v>
      </c>
    </row>
    <row r="411" spans="2:15" ht="15" customHeight="1" x14ac:dyDescent="0.25">
      <c r="B411" s="86" t="s">
        <v>780</v>
      </c>
      <c r="C411" s="87" t="s">
        <v>781</v>
      </c>
      <c r="D411" s="82" t="s">
        <v>16</v>
      </c>
      <c r="E411" s="83">
        <v>1</v>
      </c>
      <c r="F411" s="88">
        <v>2160446</v>
      </c>
      <c r="G411" s="89">
        <f t="shared" si="31"/>
        <v>2160446</v>
      </c>
      <c r="H411" s="118" t="str">
        <f t="array" ref="H411:K411">_xlfn.XLOOKUP(C411,'ESAP NEIVA FASE II UNIFICADO'!$C$6:$C$720,'ESAP NEIVA FASE II UNIFICADO'!$C$6:$F$720,"NO ESTA")</f>
        <v>SUMINISTRO E INSTALACION VALVULAS MARIPOSA DE 4" SUCCIÓN DE BOMBA</v>
      </c>
      <c r="I411" t="str">
        <v>UND</v>
      </c>
      <c r="J411">
        <v>3</v>
      </c>
      <c r="K411">
        <v>2334368</v>
      </c>
      <c r="L411">
        <f t="shared" si="32"/>
        <v>0</v>
      </c>
      <c r="M411">
        <f t="shared" si="33"/>
        <v>0</v>
      </c>
      <c r="N411" s="119">
        <f t="shared" si="34"/>
        <v>1</v>
      </c>
      <c r="O411">
        <f t="shared" si="30"/>
        <v>0</v>
      </c>
    </row>
    <row r="412" spans="2:15" ht="15" customHeight="1" x14ac:dyDescent="0.25">
      <c r="B412" s="86" t="s">
        <v>782</v>
      </c>
      <c r="C412" s="87" t="s">
        <v>783</v>
      </c>
      <c r="D412" s="82" t="s">
        <v>16</v>
      </c>
      <c r="E412" s="83">
        <v>1</v>
      </c>
      <c r="F412" s="88">
        <v>2160446</v>
      </c>
      <c r="G412" s="89">
        <f t="shared" si="31"/>
        <v>2160446</v>
      </c>
      <c r="H412" s="118" t="str">
        <f t="array" ref="H412:K412">_xlfn.XLOOKUP(C412,'ESAP NEIVA FASE II UNIFICADO'!$C$6:$C$720,'ESAP NEIVA FASE II UNIFICADO'!$C$6:$F$720,"NO ESTA")</f>
        <v>SUMINISTRO E INSTALACION VALVULAS MARIPOSA DE 4" DESCARGA DE BOMBA</v>
      </c>
      <c r="I412" t="str">
        <v>UND</v>
      </c>
      <c r="J412">
        <v>3</v>
      </c>
      <c r="K412">
        <v>2334368</v>
      </c>
      <c r="L412">
        <f t="shared" si="32"/>
        <v>0</v>
      </c>
      <c r="M412">
        <f t="shared" si="33"/>
        <v>0</v>
      </c>
      <c r="N412" s="119">
        <f t="shared" si="34"/>
        <v>1</v>
      </c>
      <c r="O412">
        <f t="shared" si="30"/>
        <v>0</v>
      </c>
    </row>
    <row r="413" spans="2:15" ht="15" customHeight="1" x14ac:dyDescent="0.25">
      <c r="B413" s="86" t="s">
        <v>784</v>
      </c>
      <c r="C413" s="87" t="s">
        <v>785</v>
      </c>
      <c r="D413" s="82" t="s">
        <v>16</v>
      </c>
      <c r="E413" s="83">
        <v>1</v>
      </c>
      <c r="F413" s="88">
        <v>1141492</v>
      </c>
      <c r="G413" s="89">
        <f t="shared" si="31"/>
        <v>1141492</v>
      </c>
      <c r="H413" s="118" t="str">
        <f t="array" ref="H413:K413">_xlfn.XLOOKUP(C413,'ESAP NEIVA FASE II UNIFICADO'!$C$6:$C$720,'ESAP NEIVA FASE II UNIFICADO'!$C$6:$F$720,"NO ESTA")</f>
        <v>SUMINISTRO E INSTALACION VALVULA TRIPLE - FLOTREX</v>
      </c>
      <c r="I413" t="str">
        <v>UND</v>
      </c>
      <c r="J413">
        <v>1</v>
      </c>
      <c r="K413">
        <v>1233385</v>
      </c>
      <c r="L413">
        <f t="shared" si="32"/>
        <v>0</v>
      </c>
      <c r="M413">
        <f t="shared" si="33"/>
        <v>0</v>
      </c>
      <c r="N413" s="119">
        <f t="shared" si="34"/>
        <v>1</v>
      </c>
      <c r="O413">
        <f t="shared" si="30"/>
        <v>0</v>
      </c>
    </row>
    <row r="414" spans="2:15" ht="15" customHeight="1" x14ac:dyDescent="0.25">
      <c r="B414" s="86" t="s">
        <v>786</v>
      </c>
      <c r="C414" s="87" t="s">
        <v>787</v>
      </c>
      <c r="D414" s="82" t="s">
        <v>16</v>
      </c>
      <c r="E414" s="83">
        <v>1</v>
      </c>
      <c r="F414" s="88">
        <v>336113</v>
      </c>
      <c r="G414" s="89">
        <f t="shared" si="31"/>
        <v>336113</v>
      </c>
      <c r="H414" s="118" t="str">
        <f t="array" ref="H414:K414">_xlfn.XLOOKUP(C414,'ESAP NEIVA FASE II UNIFICADO'!$C$6:$C$720,'ESAP NEIVA FASE II UNIFICADO'!$C$6:$F$720,"NO ESTA")</f>
        <v>SUMINISTRO E INSTALACION VALVULA CORTINA 3" 125PSI - PISO 3</v>
      </c>
      <c r="I414" t="str">
        <v>UND</v>
      </c>
      <c r="J414">
        <v>0</v>
      </c>
      <c r="K414">
        <v>363171</v>
      </c>
      <c r="L414">
        <f t="shared" si="32"/>
        <v>1</v>
      </c>
      <c r="M414">
        <f t="shared" si="33"/>
        <v>336113</v>
      </c>
      <c r="N414" s="119">
        <f t="shared" si="34"/>
        <v>1</v>
      </c>
      <c r="O414">
        <f t="shared" si="30"/>
        <v>336113</v>
      </c>
    </row>
    <row r="415" spans="2:15" ht="15" customHeight="1" x14ac:dyDescent="0.25">
      <c r="B415" s="86" t="s">
        <v>788</v>
      </c>
      <c r="C415" s="87" t="s">
        <v>789</v>
      </c>
      <c r="D415" s="82" t="s">
        <v>16</v>
      </c>
      <c r="E415" s="83">
        <v>1</v>
      </c>
      <c r="F415" s="88">
        <v>469873</v>
      </c>
      <c r="G415" s="89">
        <f t="shared" si="31"/>
        <v>469873</v>
      </c>
      <c r="H415" s="118" t="str">
        <f t="array" ref="H415:K415">_xlfn.XLOOKUP(C415,'ESAP NEIVA FASE II UNIFICADO'!$C$6:$C$720,'ESAP NEIVA FASE II UNIFICADO'!$C$6:$F$720,"NO ESTA")</f>
        <v>SUMINISTRO E INSTALACION VALVULA GLOBO 3" 125PSI - PISO 3</v>
      </c>
      <c r="I415" t="str">
        <v>UND</v>
      </c>
      <c r="J415">
        <v>0</v>
      </c>
      <c r="K415">
        <v>507699</v>
      </c>
      <c r="L415">
        <f t="shared" si="32"/>
        <v>1</v>
      </c>
      <c r="M415">
        <f t="shared" si="33"/>
        <v>469873</v>
      </c>
      <c r="N415" s="119">
        <f t="shared" si="34"/>
        <v>1</v>
      </c>
      <c r="O415">
        <f t="shared" si="30"/>
        <v>469873</v>
      </c>
    </row>
    <row r="416" spans="2:15" ht="15" customHeight="1" x14ac:dyDescent="0.25">
      <c r="B416" s="86" t="s">
        <v>790</v>
      </c>
      <c r="C416" s="87" t="s">
        <v>791</v>
      </c>
      <c r="D416" s="82" t="s">
        <v>16</v>
      </c>
      <c r="E416" s="83">
        <v>2</v>
      </c>
      <c r="F416" s="88">
        <v>298659</v>
      </c>
      <c r="G416" s="89">
        <f t="shared" si="31"/>
        <v>597318</v>
      </c>
      <c r="H416" s="118" t="str">
        <f t="array" ref="H416:K416">_xlfn.XLOOKUP(C416,'ESAP NEIVA FASE II UNIFICADO'!$C$6:$C$720,'ESAP NEIVA FASE II UNIFICADO'!$C$6:$F$720,"NO ESTA")</f>
        <v>SUMINISTRO E INSTALACION VALVULAS CORTINA 2 1/2" 125PSI - PISOS 2,3,4</v>
      </c>
      <c r="I416" t="str">
        <v>UND</v>
      </c>
      <c r="J416">
        <v>5</v>
      </c>
      <c r="K416">
        <v>322703</v>
      </c>
      <c r="L416">
        <f t="shared" si="32"/>
        <v>0</v>
      </c>
      <c r="M416">
        <f t="shared" si="33"/>
        <v>0</v>
      </c>
      <c r="N416" s="119">
        <f t="shared" si="34"/>
        <v>2</v>
      </c>
      <c r="O416">
        <f t="shared" si="30"/>
        <v>0</v>
      </c>
    </row>
    <row r="417" spans="2:15" ht="15" customHeight="1" x14ac:dyDescent="0.25">
      <c r="B417" s="86" t="s">
        <v>792</v>
      </c>
      <c r="C417" s="87" t="s">
        <v>793</v>
      </c>
      <c r="D417" s="82" t="s">
        <v>16</v>
      </c>
      <c r="E417" s="83">
        <v>2</v>
      </c>
      <c r="F417" s="88">
        <v>421363</v>
      </c>
      <c r="G417" s="89">
        <f t="shared" si="31"/>
        <v>842726</v>
      </c>
      <c r="H417" s="118" t="str">
        <f t="array" ref="H417:K417">_xlfn.XLOOKUP(C417,'ESAP NEIVA FASE II UNIFICADO'!$C$6:$C$720,'ESAP NEIVA FASE II UNIFICADO'!$C$6:$F$720,"NO ESTA")</f>
        <v>SUMINISTRO E INSTALACION VALVULAS GLOBO 2 1/2" 125PSI - PISOS 2,3,4</v>
      </c>
      <c r="I417" t="str">
        <v>UND</v>
      </c>
      <c r="J417">
        <v>5</v>
      </c>
      <c r="K417">
        <v>455284</v>
      </c>
      <c r="L417">
        <f t="shared" si="32"/>
        <v>0</v>
      </c>
      <c r="M417">
        <f t="shared" si="33"/>
        <v>0</v>
      </c>
      <c r="N417" s="119">
        <f t="shared" si="34"/>
        <v>2</v>
      </c>
      <c r="O417">
        <f t="shared" si="30"/>
        <v>0</v>
      </c>
    </row>
    <row r="418" spans="2:15" ht="15" customHeight="1" x14ac:dyDescent="0.25">
      <c r="B418" s="86" t="s">
        <v>794</v>
      </c>
      <c r="C418" s="87" t="s">
        <v>795</v>
      </c>
      <c r="D418" s="82" t="s">
        <v>16</v>
      </c>
      <c r="E418" s="83">
        <v>1</v>
      </c>
      <c r="F418" s="88">
        <v>220900</v>
      </c>
      <c r="G418" s="89">
        <f t="shared" si="31"/>
        <v>220900</v>
      </c>
      <c r="H418" s="118" t="str">
        <f t="array" ref="H418:K418">_xlfn.XLOOKUP(C418,'ESAP NEIVA FASE II UNIFICADO'!$C$6:$C$720,'ESAP NEIVA FASE II UNIFICADO'!$C$6:$F$720,"NO ESTA")</f>
        <v>SUMINISTRO E INSTALACION VALVULAS CORTINA 2" 125PSI - PISO 1,4</v>
      </c>
      <c r="I418" t="str">
        <v>UND</v>
      </c>
      <c r="J418">
        <v>1</v>
      </c>
      <c r="K418">
        <v>238683</v>
      </c>
      <c r="L418">
        <f t="shared" si="32"/>
        <v>0</v>
      </c>
      <c r="M418">
        <f t="shared" si="33"/>
        <v>0</v>
      </c>
      <c r="N418" s="119">
        <f t="shared" si="34"/>
        <v>1</v>
      </c>
      <c r="O418">
        <f t="shared" si="30"/>
        <v>0</v>
      </c>
    </row>
    <row r="419" spans="2:15" ht="15" customHeight="1" x14ac:dyDescent="0.25">
      <c r="B419" s="86" t="s">
        <v>796</v>
      </c>
      <c r="C419" s="87" t="s">
        <v>797</v>
      </c>
      <c r="D419" s="82" t="s">
        <v>16</v>
      </c>
      <c r="E419" s="83">
        <v>1</v>
      </c>
      <c r="F419" s="88">
        <v>240769</v>
      </c>
      <c r="G419" s="89">
        <f t="shared" si="31"/>
        <v>240769</v>
      </c>
      <c r="H419" s="118" t="str">
        <f t="array" ref="H419:K419">_xlfn.XLOOKUP(C419,'ESAP NEIVA FASE II UNIFICADO'!$C$6:$C$720,'ESAP NEIVA FASE II UNIFICADO'!$C$6:$F$720,"NO ESTA")</f>
        <v>SUMINISTRO E INSTALACION VALVULAS GLOBO 2" 125PSI - PISO 1,4</v>
      </c>
      <c r="I419" t="str">
        <v>UND</v>
      </c>
      <c r="J419">
        <v>1</v>
      </c>
      <c r="K419">
        <v>260152</v>
      </c>
      <c r="L419">
        <f t="shared" si="32"/>
        <v>0</v>
      </c>
      <c r="M419">
        <f t="shared" si="33"/>
        <v>0</v>
      </c>
      <c r="N419" s="119">
        <f t="shared" si="34"/>
        <v>1</v>
      </c>
      <c r="O419">
        <f t="shared" si="30"/>
        <v>0</v>
      </c>
    </row>
    <row r="420" spans="2:15" ht="15" customHeight="1" x14ac:dyDescent="0.25">
      <c r="B420" s="86" t="s">
        <v>798</v>
      </c>
      <c r="C420" s="87" t="s">
        <v>799</v>
      </c>
      <c r="D420" s="82" t="s">
        <v>16</v>
      </c>
      <c r="E420" s="83">
        <v>1</v>
      </c>
      <c r="F420" s="88">
        <v>541212</v>
      </c>
      <c r="G420" s="89">
        <f t="shared" si="31"/>
        <v>541212</v>
      </c>
      <c r="H420" s="118" t="str">
        <f t="array" ref="H420:K420">_xlfn.XLOOKUP(C420,'ESAP NEIVA FASE II UNIFICADO'!$C$6:$C$720,'ESAP NEIVA FASE II UNIFICADO'!$C$6:$F$720,"NO ESTA")</f>
        <v>SUMINISTRO E INSTALACION FILTRO / STRAINER incluye SOPORTERIA</v>
      </c>
      <c r="I420" t="str">
        <v>UND</v>
      </c>
      <c r="J420">
        <v>1</v>
      </c>
      <c r="K420">
        <v>584781</v>
      </c>
      <c r="L420">
        <f t="shared" si="32"/>
        <v>0</v>
      </c>
      <c r="M420">
        <f t="shared" si="33"/>
        <v>0</v>
      </c>
      <c r="N420" s="119">
        <f t="shared" si="34"/>
        <v>1</v>
      </c>
      <c r="O420">
        <f t="shared" si="30"/>
        <v>0</v>
      </c>
    </row>
    <row r="421" spans="2:15" ht="24" customHeight="1" x14ac:dyDescent="0.25">
      <c r="B421" s="86" t="s">
        <v>800</v>
      </c>
      <c r="C421" s="87" t="s">
        <v>801</v>
      </c>
      <c r="D421" s="82" t="s">
        <v>16</v>
      </c>
      <c r="E421" s="83">
        <v>1</v>
      </c>
      <c r="F421" s="88">
        <v>2973816</v>
      </c>
      <c r="G421" s="89">
        <f t="shared" si="31"/>
        <v>2973816</v>
      </c>
      <c r="H421" s="118" t="str">
        <f t="array" ref="H421:K421">_xlfn.XLOOKUP(C421,'ESAP NEIVA FASE II UNIFICADO'!$C$6:$C$720,'ESAP NEIVA FASE II UNIFICADO'!$C$6:$F$720,"NO ESTA")</f>
        <v>SUMINISTRO E INSTALACION FLANCHES, CABEZALES Y ACCESORIOS VARIOS ASOCIADOS</v>
      </c>
      <c r="I421" t="str">
        <v>UND</v>
      </c>
      <c r="J421">
        <v>1</v>
      </c>
      <c r="K421">
        <v>3213217</v>
      </c>
      <c r="L421">
        <f t="shared" si="32"/>
        <v>0</v>
      </c>
      <c r="M421">
        <f t="shared" si="33"/>
        <v>0</v>
      </c>
      <c r="N421" s="119">
        <f t="shared" si="34"/>
        <v>1</v>
      </c>
      <c r="O421">
        <f t="shared" si="30"/>
        <v>0</v>
      </c>
    </row>
    <row r="422" spans="2:15" ht="15" customHeight="1" x14ac:dyDescent="0.25">
      <c r="B422" s="86" t="s">
        <v>802</v>
      </c>
      <c r="C422" s="87" t="s">
        <v>803</v>
      </c>
      <c r="D422" s="82" t="s">
        <v>16</v>
      </c>
      <c r="E422" s="83">
        <v>2</v>
      </c>
      <c r="F422" s="88">
        <v>931109</v>
      </c>
      <c r="G422" s="89">
        <f t="shared" si="31"/>
        <v>1862218</v>
      </c>
      <c r="H422" s="118" t="str">
        <f t="array" ref="H422:K422">_xlfn.XLOOKUP(C422,'ESAP NEIVA FASE II UNIFICADO'!$C$6:$C$720,'ESAP NEIVA FASE II UNIFICADO'!$C$6:$F$720,"NO ESTA")</f>
        <v>SUMINISTRO E INSTALACION JUNTAS FLEXIBLES CHILLER 4"</v>
      </c>
      <c r="I422" t="str">
        <v>UND</v>
      </c>
      <c r="J422">
        <v>2</v>
      </c>
      <c r="K422">
        <v>1006067</v>
      </c>
      <c r="L422">
        <f t="shared" si="32"/>
        <v>0</v>
      </c>
      <c r="M422">
        <f t="shared" si="33"/>
        <v>0</v>
      </c>
      <c r="N422" s="119">
        <f t="shared" si="34"/>
        <v>2</v>
      </c>
      <c r="O422">
        <f t="shared" si="30"/>
        <v>0</v>
      </c>
    </row>
    <row r="423" spans="2:15" ht="15" customHeight="1" x14ac:dyDescent="0.25">
      <c r="B423" s="86" t="s">
        <v>804</v>
      </c>
      <c r="C423" s="87" t="s">
        <v>805</v>
      </c>
      <c r="D423" s="82" t="s">
        <v>16</v>
      </c>
      <c r="E423" s="83">
        <v>2</v>
      </c>
      <c r="F423" s="88">
        <v>889340</v>
      </c>
      <c r="G423" s="89">
        <f t="shared" si="31"/>
        <v>1778680</v>
      </c>
      <c r="H423" s="118" t="str">
        <f t="array" ref="H423:K423">_xlfn.XLOOKUP(C423,'ESAP NEIVA FASE II UNIFICADO'!$C$6:$C$720,'ESAP NEIVA FASE II UNIFICADO'!$C$6:$F$720,"NO ESTA")</f>
        <v>SUMINISTRO E INSTALACION JUNTAS FLEXIBLES BOMBA VERTICAL 3"</v>
      </c>
      <c r="I423" t="str">
        <v>UND</v>
      </c>
      <c r="J423">
        <v>2</v>
      </c>
      <c r="K423">
        <v>960934</v>
      </c>
      <c r="L423">
        <f t="shared" si="32"/>
        <v>0</v>
      </c>
      <c r="M423">
        <f t="shared" si="33"/>
        <v>0</v>
      </c>
      <c r="N423" s="119">
        <f t="shared" si="34"/>
        <v>2</v>
      </c>
      <c r="O423">
        <f t="shared" si="30"/>
        <v>0</v>
      </c>
    </row>
    <row r="424" spans="2:15" ht="15" customHeight="1" x14ac:dyDescent="0.25">
      <c r="B424" s="86" t="s">
        <v>806</v>
      </c>
      <c r="C424" s="87" t="s">
        <v>807</v>
      </c>
      <c r="D424" s="82" t="s">
        <v>16</v>
      </c>
      <c r="E424" s="83">
        <v>1</v>
      </c>
      <c r="F424" s="88">
        <v>235182</v>
      </c>
      <c r="G424" s="89">
        <f t="shared" si="31"/>
        <v>235182</v>
      </c>
      <c r="H424" s="118" t="str">
        <f t="array" ref="H424:K424">_xlfn.XLOOKUP(C424,'ESAP NEIVA FASE II UNIFICADO'!$C$6:$C$720,'ESAP NEIVA FASE II UNIFICADO'!$C$6:$F$720,"NO ESTA")</f>
        <v>SUMINISTRO E INSTALACION VALVULA DE CORTINA 2" FC 150 PSI</v>
      </c>
      <c r="I424" t="str">
        <v>UND</v>
      </c>
      <c r="J424">
        <v>0</v>
      </c>
      <c r="K424">
        <v>254114</v>
      </c>
      <c r="L424">
        <f t="shared" si="32"/>
        <v>1</v>
      </c>
      <c r="M424">
        <f t="shared" si="33"/>
        <v>235182</v>
      </c>
      <c r="N424" s="119">
        <f t="shared" si="34"/>
        <v>1</v>
      </c>
      <c r="O424">
        <f t="shared" si="30"/>
        <v>235182</v>
      </c>
    </row>
    <row r="425" spans="2:15" ht="15" customHeight="1" x14ac:dyDescent="0.25">
      <c r="B425" s="86" t="s">
        <v>808</v>
      </c>
      <c r="C425" s="87" t="s">
        <v>809</v>
      </c>
      <c r="D425" s="82" t="s">
        <v>16</v>
      </c>
      <c r="E425" s="83">
        <v>1</v>
      </c>
      <c r="F425" s="88">
        <v>261755</v>
      </c>
      <c r="G425" s="89">
        <f t="shared" si="31"/>
        <v>261755</v>
      </c>
      <c r="H425" s="118" t="str">
        <f t="array" ref="H425:K425">_xlfn.XLOOKUP(C425,'ESAP NEIVA FASE II UNIFICADO'!$C$6:$C$720,'ESAP NEIVA FASE II UNIFICADO'!$C$6:$F$720,"NO ESTA")</f>
        <v>SUMINISTRO E INSTALACION VALVULA DE GLOBO 2" FC 150 PSI</v>
      </c>
      <c r="I425" t="str">
        <v>UND</v>
      </c>
      <c r="J425">
        <v>0</v>
      </c>
      <c r="K425">
        <v>282827</v>
      </c>
      <c r="L425">
        <f t="shared" si="32"/>
        <v>1</v>
      </c>
      <c r="M425">
        <f t="shared" si="33"/>
        <v>261755</v>
      </c>
      <c r="N425" s="119">
        <f t="shared" si="34"/>
        <v>1</v>
      </c>
      <c r="O425">
        <f t="shared" si="30"/>
        <v>261755</v>
      </c>
    </row>
    <row r="426" spans="2:15" ht="15" customHeight="1" x14ac:dyDescent="0.25">
      <c r="B426" s="86" t="s">
        <v>810</v>
      </c>
      <c r="C426" s="87" t="s">
        <v>811</v>
      </c>
      <c r="D426" s="82" t="s">
        <v>16</v>
      </c>
      <c r="E426" s="83">
        <v>6</v>
      </c>
      <c r="F426" s="88">
        <v>198747</v>
      </c>
      <c r="G426" s="89">
        <f t="shared" si="31"/>
        <v>1192482</v>
      </c>
      <c r="H426" s="118" t="str">
        <f t="array" ref="H426:K426">_xlfn.XLOOKUP(C426,'ESAP NEIVA FASE II UNIFICADO'!$C$6:$C$720,'ESAP NEIVA FASE II UNIFICADO'!$C$6:$F$720,"NO ESTA")</f>
        <v>SUMINISTRO E INSTALACION VALVULAS DE CORTINA 1 1/4" FC 125 PSI</v>
      </c>
      <c r="I426" t="str">
        <v>UND</v>
      </c>
      <c r="J426">
        <v>17</v>
      </c>
      <c r="K426">
        <v>214747</v>
      </c>
      <c r="L426">
        <f t="shared" si="32"/>
        <v>0</v>
      </c>
      <c r="M426">
        <f t="shared" si="33"/>
        <v>0</v>
      </c>
      <c r="N426" s="119">
        <f t="shared" si="34"/>
        <v>6</v>
      </c>
      <c r="O426">
        <f t="shared" si="30"/>
        <v>0</v>
      </c>
    </row>
    <row r="427" spans="2:15" ht="15" customHeight="1" x14ac:dyDescent="0.25">
      <c r="B427" s="86" t="s">
        <v>812</v>
      </c>
      <c r="C427" s="87" t="s">
        <v>813</v>
      </c>
      <c r="D427" s="82" t="s">
        <v>16</v>
      </c>
      <c r="E427" s="83">
        <v>6</v>
      </c>
      <c r="F427" s="88">
        <v>300049</v>
      </c>
      <c r="G427" s="89">
        <f t="shared" si="31"/>
        <v>1800294</v>
      </c>
      <c r="H427" s="118" t="str">
        <f t="array" ref="H427:K427">_xlfn.XLOOKUP(C427,'ESAP NEIVA FASE II UNIFICADO'!$C$6:$C$720,'ESAP NEIVA FASE II UNIFICADO'!$C$6:$F$720,"NO ESTA")</f>
        <v>SUMINISTRO E INSTALACION VALVULAS DE GLOBO 1 1/4" FC 125 PSI</v>
      </c>
      <c r="I427" t="str">
        <v>UND</v>
      </c>
      <c r="J427">
        <v>17</v>
      </c>
      <c r="K427">
        <v>324203</v>
      </c>
      <c r="L427">
        <f t="shared" si="32"/>
        <v>0</v>
      </c>
      <c r="M427">
        <f t="shared" si="33"/>
        <v>0</v>
      </c>
      <c r="N427" s="119">
        <f t="shared" si="34"/>
        <v>6</v>
      </c>
      <c r="O427">
        <f t="shared" si="30"/>
        <v>0</v>
      </c>
    </row>
    <row r="428" spans="2:15" ht="15" customHeight="1" x14ac:dyDescent="0.25">
      <c r="B428" s="86" t="s">
        <v>814</v>
      </c>
      <c r="C428" s="87" t="s">
        <v>815</v>
      </c>
      <c r="D428" s="82" t="s">
        <v>16</v>
      </c>
      <c r="E428" s="83">
        <v>1</v>
      </c>
      <c r="F428" s="88">
        <v>216582</v>
      </c>
      <c r="G428" s="89">
        <f t="shared" si="31"/>
        <v>216582</v>
      </c>
      <c r="H428" s="118" t="str">
        <f t="array" ref="H428:K428">_xlfn.XLOOKUP(C428,'ESAP NEIVA FASE II UNIFICADO'!$C$6:$C$720,'ESAP NEIVA FASE II UNIFICADO'!$C$6:$F$720,"NO ESTA")</f>
        <v>SUMINISTRO E INSTALACION VALVULAS DE CORTINA 1 1/2" FC 125-150 PSI</v>
      </c>
      <c r="I428" t="str">
        <v>UND</v>
      </c>
      <c r="J428">
        <v>1</v>
      </c>
      <c r="K428">
        <v>234017</v>
      </c>
      <c r="L428">
        <f t="shared" si="32"/>
        <v>0</v>
      </c>
      <c r="M428">
        <f t="shared" si="33"/>
        <v>0</v>
      </c>
      <c r="N428" s="119">
        <f t="shared" si="34"/>
        <v>1</v>
      </c>
      <c r="O428">
        <f t="shared" si="30"/>
        <v>0</v>
      </c>
    </row>
    <row r="429" spans="2:15" ht="15" customHeight="1" x14ac:dyDescent="0.25">
      <c r="B429" s="86" t="s">
        <v>816</v>
      </c>
      <c r="C429" s="87" t="s">
        <v>817</v>
      </c>
      <c r="D429" s="82" t="s">
        <v>16</v>
      </c>
      <c r="E429" s="83">
        <v>1</v>
      </c>
      <c r="F429" s="88">
        <v>311701</v>
      </c>
      <c r="G429" s="89">
        <f t="shared" si="31"/>
        <v>311701</v>
      </c>
      <c r="H429" s="118" t="str">
        <f t="array" ref="H429:K429">_xlfn.XLOOKUP(C429,'ESAP NEIVA FASE II UNIFICADO'!$C$6:$C$720,'ESAP NEIVA FASE II UNIFICADO'!$C$6:$F$720,"NO ESTA")</f>
        <v>SUMINISTRO E INSTALACIONVALVULAS DE GLOBO 1   1/2" FC 125-150 PSI</v>
      </c>
      <c r="I429" t="str">
        <v>UND</v>
      </c>
      <c r="J429">
        <v>1</v>
      </c>
      <c r="K429">
        <v>336793</v>
      </c>
      <c r="L429">
        <f t="shared" si="32"/>
        <v>0</v>
      </c>
      <c r="M429">
        <f t="shared" si="33"/>
        <v>0</v>
      </c>
      <c r="N429" s="119">
        <f t="shared" si="34"/>
        <v>1</v>
      </c>
      <c r="O429">
        <f t="shared" si="30"/>
        <v>0</v>
      </c>
    </row>
    <row r="430" spans="2:15" ht="15" customHeight="1" x14ac:dyDescent="0.25">
      <c r="B430" s="86" t="s">
        <v>818</v>
      </c>
      <c r="C430" s="87" t="s">
        <v>819</v>
      </c>
      <c r="D430" s="82" t="s">
        <v>16</v>
      </c>
      <c r="E430" s="83">
        <v>2</v>
      </c>
      <c r="F430" s="88">
        <v>145243</v>
      </c>
      <c r="G430" s="89">
        <f t="shared" si="31"/>
        <v>290486</v>
      </c>
      <c r="H430" s="118" t="str">
        <f t="array" ref="H430:K430">_xlfn.XLOOKUP(C430,'ESAP NEIVA FASE II UNIFICADO'!$C$6:$C$720,'ESAP NEIVA FASE II UNIFICADO'!$C$6:$F$720,"NO ESTA")</f>
        <v>SUMINISTRO E INSTALACION VALVULAS DE CORTINA 1" FC 125 PSI</v>
      </c>
      <c r="I430" t="str">
        <v>UND</v>
      </c>
      <c r="J430">
        <v>2</v>
      </c>
      <c r="K430">
        <v>156935</v>
      </c>
      <c r="L430">
        <f t="shared" si="32"/>
        <v>0</v>
      </c>
      <c r="M430">
        <f t="shared" si="33"/>
        <v>0</v>
      </c>
      <c r="N430" s="119">
        <f t="shared" si="34"/>
        <v>2</v>
      </c>
      <c r="O430">
        <f t="shared" si="30"/>
        <v>0</v>
      </c>
    </row>
    <row r="431" spans="2:15" ht="15" customHeight="1" x14ac:dyDescent="0.25">
      <c r="B431" s="86" t="s">
        <v>820</v>
      </c>
      <c r="C431" s="87" t="s">
        <v>821</v>
      </c>
      <c r="D431" s="82" t="s">
        <v>16</v>
      </c>
      <c r="E431" s="83">
        <v>2</v>
      </c>
      <c r="F431" s="88">
        <v>180913</v>
      </c>
      <c r="G431" s="89">
        <f t="shared" si="31"/>
        <v>361826</v>
      </c>
      <c r="H431" s="118" t="str">
        <f t="array" ref="H431:K431">_xlfn.XLOOKUP(C431,'ESAP NEIVA FASE II UNIFICADO'!$C$6:$C$720,'ESAP NEIVA FASE II UNIFICADO'!$C$6:$F$720,"NO ESTA")</f>
        <v>SUMINISTRO E INSTALACION VALVULAS DE GLOBO 1" FC 125 PSI</v>
      </c>
      <c r="I431" t="str">
        <v>UND</v>
      </c>
      <c r="J431">
        <v>2</v>
      </c>
      <c r="K431">
        <v>195476</v>
      </c>
      <c r="L431">
        <f t="shared" si="32"/>
        <v>0</v>
      </c>
      <c r="M431">
        <f t="shared" si="33"/>
        <v>0</v>
      </c>
      <c r="N431" s="119">
        <f t="shared" si="34"/>
        <v>2</v>
      </c>
      <c r="O431">
        <f t="shared" si="30"/>
        <v>0</v>
      </c>
    </row>
    <row r="432" spans="2:15" ht="15" customHeight="1" x14ac:dyDescent="0.25">
      <c r="B432" s="86" t="s">
        <v>822</v>
      </c>
      <c r="C432" s="87" t="s">
        <v>823</v>
      </c>
      <c r="D432" s="82" t="s">
        <v>16</v>
      </c>
      <c r="E432" s="83">
        <v>4</v>
      </c>
      <c r="F432" s="88">
        <v>116150</v>
      </c>
      <c r="G432" s="89">
        <f t="shared" si="31"/>
        <v>464600</v>
      </c>
      <c r="H432" s="118" t="str">
        <f t="array" ref="H432:K432">_xlfn.XLOOKUP(C432,'ESAP NEIVA FASE II UNIFICADO'!$C$6:$C$720,'ESAP NEIVA FASE II UNIFICADO'!$C$6:$F$720,"NO ESTA")</f>
        <v>SUMINISTRO E INSTALACION VALVULAS DE CORTINA 3/4" FC 125 PSI</v>
      </c>
      <c r="I432" t="str">
        <v>UND</v>
      </c>
      <c r="J432">
        <v>4</v>
      </c>
      <c r="K432">
        <v>125501</v>
      </c>
      <c r="L432">
        <f t="shared" si="32"/>
        <v>0</v>
      </c>
      <c r="M432">
        <f t="shared" si="33"/>
        <v>0</v>
      </c>
      <c r="N432" s="119">
        <f t="shared" si="34"/>
        <v>4</v>
      </c>
      <c r="O432">
        <f t="shared" si="30"/>
        <v>0</v>
      </c>
    </row>
    <row r="433" spans="2:15" ht="15" customHeight="1" x14ac:dyDescent="0.25">
      <c r="B433" s="86" t="s">
        <v>824</v>
      </c>
      <c r="C433" s="87" t="s">
        <v>825</v>
      </c>
      <c r="D433" s="82" t="s">
        <v>16</v>
      </c>
      <c r="E433" s="83">
        <v>4</v>
      </c>
      <c r="F433" s="88">
        <v>148848</v>
      </c>
      <c r="G433" s="89">
        <f t="shared" si="31"/>
        <v>595392</v>
      </c>
      <c r="H433" s="118" t="str">
        <f t="array" ref="H433:K433">_xlfn.XLOOKUP(C433,'ESAP NEIVA FASE II UNIFICADO'!$C$6:$C$720,'ESAP NEIVA FASE II UNIFICADO'!$C$6:$F$720,"NO ESTA")</f>
        <v>SUMINISTRO E INSTALACION VALVULAS DE GLOBO 3/4" FC 125 PSI</v>
      </c>
      <c r="I433" t="str">
        <v>UND</v>
      </c>
      <c r="J433">
        <v>4</v>
      </c>
      <c r="K433">
        <v>160830</v>
      </c>
      <c r="L433">
        <f t="shared" si="32"/>
        <v>0</v>
      </c>
      <c r="M433">
        <f t="shared" si="33"/>
        <v>0</v>
      </c>
      <c r="N433" s="119">
        <f t="shared" si="34"/>
        <v>4</v>
      </c>
      <c r="O433">
        <f t="shared" si="30"/>
        <v>0</v>
      </c>
    </row>
    <row r="434" spans="2:15" ht="15" customHeight="1" x14ac:dyDescent="0.25">
      <c r="B434" s="86" t="s">
        <v>826</v>
      </c>
      <c r="C434" s="87" t="s">
        <v>827</v>
      </c>
      <c r="D434" s="82" t="s">
        <v>16</v>
      </c>
      <c r="E434" s="83">
        <v>2</v>
      </c>
      <c r="F434" s="88">
        <v>180913</v>
      </c>
      <c r="G434" s="89">
        <f t="shared" si="31"/>
        <v>361826</v>
      </c>
      <c r="H434" s="118" t="str">
        <f t="array" ref="H434:K434">_xlfn.XLOOKUP(C434,'ESAP NEIVA FASE II UNIFICADO'!$C$6:$C$720,'ESAP NEIVA FASE II UNIFICADO'!$C$6:$F$720,"NO ESTA")</f>
        <v>SUMINISTRO E INSTALACION TERMOTATOS DIGITALES NO PROGRAMABLES FC</v>
      </c>
      <c r="I434" t="str">
        <v>UND</v>
      </c>
      <c r="J434">
        <v>6</v>
      </c>
      <c r="K434">
        <v>195476</v>
      </c>
      <c r="L434">
        <f t="shared" si="32"/>
        <v>0</v>
      </c>
      <c r="M434">
        <f t="shared" si="33"/>
        <v>0</v>
      </c>
      <c r="N434" s="119">
        <f t="shared" si="34"/>
        <v>2</v>
      </c>
      <c r="O434">
        <f t="shared" si="30"/>
        <v>0</v>
      </c>
    </row>
    <row r="435" spans="2:15" ht="15" customHeight="1" x14ac:dyDescent="0.25">
      <c r="B435" s="86" t="s">
        <v>828</v>
      </c>
      <c r="C435" s="87" t="s">
        <v>829</v>
      </c>
      <c r="D435" s="82" t="s">
        <v>16</v>
      </c>
      <c r="E435" s="83">
        <v>8</v>
      </c>
      <c r="F435" s="88">
        <v>299811</v>
      </c>
      <c r="G435" s="89">
        <f t="shared" si="31"/>
        <v>2398488</v>
      </c>
      <c r="H435" s="118" t="str">
        <f t="array" ref="H435:K435">_xlfn.XLOOKUP(C435,'ESAP NEIVA FASE II UNIFICADO'!$C$6:$C$720,'ESAP NEIVA FASE II UNIFICADO'!$C$6:$F$720,"NO ESTA")</f>
        <v xml:space="preserve">SUMINISTRO E INSTALACION TERMOSTATOS PROPORCIONALES DIGITALES </v>
      </c>
      <c r="I435" t="str">
        <v>UND</v>
      </c>
      <c r="J435">
        <v>22</v>
      </c>
      <c r="K435">
        <v>323946</v>
      </c>
      <c r="L435">
        <f t="shared" si="32"/>
        <v>0</v>
      </c>
      <c r="M435">
        <f t="shared" si="33"/>
        <v>0</v>
      </c>
      <c r="N435" s="119">
        <f t="shared" si="34"/>
        <v>8</v>
      </c>
      <c r="O435">
        <f t="shared" si="30"/>
        <v>0</v>
      </c>
    </row>
    <row r="436" spans="2:15" ht="15" customHeight="1" x14ac:dyDescent="0.25">
      <c r="B436" s="86" t="s">
        <v>830</v>
      </c>
      <c r="C436" s="87" t="s">
        <v>831</v>
      </c>
      <c r="D436" s="82" t="s">
        <v>16</v>
      </c>
      <c r="E436" s="83">
        <v>2</v>
      </c>
      <c r="F436" s="88">
        <v>228472</v>
      </c>
      <c r="G436" s="89">
        <f t="shared" si="31"/>
        <v>456944</v>
      </c>
      <c r="H436" s="118" t="str">
        <f t="array" ref="H436:K436">_xlfn.XLOOKUP(C436,'ESAP NEIVA FASE II UNIFICADO'!$C$6:$C$720,'ESAP NEIVA FASE II UNIFICADO'!$C$6:$F$720,"NO ESTA")</f>
        <v>SUMINISTRO E INSTALACION ELECTROVALVULAS ON-OFF  110V</v>
      </c>
      <c r="I436" t="str">
        <v>UND</v>
      </c>
      <c r="J436">
        <v>6</v>
      </c>
      <c r="K436">
        <v>246864</v>
      </c>
      <c r="L436">
        <f t="shared" si="32"/>
        <v>0</v>
      </c>
      <c r="M436">
        <f t="shared" si="33"/>
        <v>0</v>
      </c>
      <c r="N436" s="119">
        <f t="shared" si="34"/>
        <v>2</v>
      </c>
      <c r="O436">
        <f t="shared" si="30"/>
        <v>0</v>
      </c>
    </row>
    <row r="437" spans="2:15" ht="15" customHeight="1" x14ac:dyDescent="0.25">
      <c r="B437" s="86" t="s">
        <v>832</v>
      </c>
      <c r="C437" s="87" t="s">
        <v>833</v>
      </c>
      <c r="D437" s="82" t="s">
        <v>16</v>
      </c>
      <c r="E437" s="83">
        <v>1</v>
      </c>
      <c r="F437" s="88">
        <v>757569</v>
      </c>
      <c r="G437" s="89">
        <f t="shared" si="31"/>
        <v>757569</v>
      </c>
      <c r="H437" s="118" t="str">
        <f t="array" ref="H437:K437">_xlfn.XLOOKUP(C437,'ESAP NEIVA FASE II UNIFICADO'!$C$6:$C$720,'ESAP NEIVA FASE II UNIFICADO'!$C$6:$F$720,"NO ESTA")</f>
        <v>SUMINISTRO E INSTALACION ELECTROVALVULAS PROPORCIONALES 2 " - 2 VIAS - 24V</v>
      </c>
      <c r="I437" t="str">
        <v>UND</v>
      </c>
      <c r="J437">
        <v>0</v>
      </c>
      <c r="K437">
        <v>818556</v>
      </c>
      <c r="L437">
        <f t="shared" si="32"/>
        <v>1</v>
      </c>
      <c r="M437">
        <f t="shared" si="33"/>
        <v>757569</v>
      </c>
      <c r="N437" s="119">
        <f t="shared" si="34"/>
        <v>1</v>
      </c>
      <c r="O437">
        <f t="shared" si="30"/>
        <v>757569</v>
      </c>
    </row>
    <row r="438" spans="2:15" ht="27.75" customHeight="1" x14ac:dyDescent="0.25">
      <c r="B438" s="86" t="s">
        <v>834</v>
      </c>
      <c r="C438" s="87" t="s">
        <v>835</v>
      </c>
      <c r="D438" s="82" t="s">
        <v>16</v>
      </c>
      <c r="E438" s="83">
        <v>1</v>
      </c>
      <c r="F438" s="88">
        <v>757569</v>
      </c>
      <c r="G438" s="89">
        <f t="shared" si="31"/>
        <v>757569</v>
      </c>
      <c r="H438" s="118" t="str">
        <f t="array" ref="H438:K438">_xlfn.XLOOKUP(C438,'ESAP NEIVA FASE II UNIFICADO'!$C$6:$C$720,'ESAP NEIVA FASE II UNIFICADO'!$C$6:$F$720,"NO ESTA")</f>
        <v>SUMINISTRO E INSTALACION ELECTROVALVULAS PROPORCIONALES  1 1/2 " - 2 VIAS - 24V</v>
      </c>
      <c r="I438" t="str">
        <v>UND</v>
      </c>
      <c r="J438">
        <v>2</v>
      </c>
      <c r="K438">
        <v>818556</v>
      </c>
      <c r="L438">
        <f t="shared" si="32"/>
        <v>0</v>
      </c>
      <c r="M438">
        <f t="shared" si="33"/>
        <v>0</v>
      </c>
      <c r="N438" s="119">
        <f t="shared" si="34"/>
        <v>1</v>
      </c>
      <c r="O438">
        <f t="shared" si="30"/>
        <v>0</v>
      </c>
    </row>
    <row r="439" spans="2:15" ht="27.75" customHeight="1" x14ac:dyDescent="0.25">
      <c r="B439" s="86" t="s">
        <v>836</v>
      </c>
      <c r="C439" s="87" t="s">
        <v>837</v>
      </c>
      <c r="D439" s="82" t="s">
        <v>16</v>
      </c>
      <c r="E439" s="83">
        <v>1</v>
      </c>
      <c r="F439" s="88">
        <v>757569</v>
      </c>
      <c r="G439" s="89">
        <f t="shared" si="31"/>
        <v>757569</v>
      </c>
      <c r="H439" s="118" t="str">
        <f t="array" ref="H439:K439">_xlfn.XLOOKUP(C439,'ESAP NEIVA FASE II UNIFICADO'!$C$6:$C$720,'ESAP NEIVA FASE II UNIFICADO'!$C$6:$F$720,"NO ESTA")</f>
        <v>SUMINISTRO E INSTALACION ELECTROVALVULAS PROPORCIONALES  1 1/2 " - 3 VIAS - 24V</v>
      </c>
      <c r="I439" t="str">
        <v>UND</v>
      </c>
      <c r="J439">
        <v>0</v>
      </c>
      <c r="K439">
        <v>818556</v>
      </c>
      <c r="L439">
        <f t="shared" si="32"/>
        <v>1</v>
      </c>
      <c r="M439">
        <f t="shared" si="33"/>
        <v>757569</v>
      </c>
      <c r="N439" s="119">
        <f t="shared" si="34"/>
        <v>1</v>
      </c>
      <c r="O439">
        <f t="shared" si="30"/>
        <v>757569</v>
      </c>
    </row>
    <row r="440" spans="2:15" ht="15" customHeight="1" x14ac:dyDescent="0.25">
      <c r="B440" s="86" t="s">
        <v>838</v>
      </c>
      <c r="C440" s="87" t="s">
        <v>839</v>
      </c>
      <c r="D440" s="82" t="s">
        <v>16</v>
      </c>
      <c r="E440" s="83">
        <v>5</v>
      </c>
      <c r="F440" s="88">
        <v>668396</v>
      </c>
      <c r="G440" s="89">
        <f t="shared" si="31"/>
        <v>3341980</v>
      </c>
      <c r="H440" s="118" t="str">
        <f t="array" ref="H440:K440">_xlfn.XLOOKUP(C440,'ESAP NEIVA FASE II UNIFICADO'!$C$6:$C$720,'ESAP NEIVA FASE II UNIFICADO'!$C$6:$F$720,"NO ESTA")</f>
        <v>SUMINISTRO E INSTALACION ELECTROVALVULAS PROPORCIONALES 1 1/4 " - 24V</v>
      </c>
      <c r="I440" t="str">
        <v>UND</v>
      </c>
      <c r="J440">
        <v>15</v>
      </c>
      <c r="K440">
        <v>722203</v>
      </c>
      <c r="L440">
        <f t="shared" si="32"/>
        <v>0</v>
      </c>
      <c r="M440">
        <f t="shared" si="33"/>
        <v>0</v>
      </c>
      <c r="N440" s="119">
        <f t="shared" si="34"/>
        <v>5</v>
      </c>
      <c r="O440">
        <f t="shared" si="30"/>
        <v>0</v>
      </c>
    </row>
    <row r="441" spans="2:15" ht="15" customHeight="1" x14ac:dyDescent="0.25">
      <c r="B441" s="86" t="s">
        <v>840</v>
      </c>
      <c r="C441" s="87" t="s">
        <v>841</v>
      </c>
      <c r="D441" s="82" t="s">
        <v>16</v>
      </c>
      <c r="E441" s="83">
        <v>1</v>
      </c>
      <c r="F441" s="88">
        <v>539034</v>
      </c>
      <c r="G441" s="89">
        <f t="shared" si="31"/>
        <v>539034</v>
      </c>
      <c r="H441" s="118" t="str">
        <f t="array" ref="H441:K441">_xlfn.XLOOKUP(C441,'ESAP NEIVA FASE II UNIFICADO'!$C$6:$C$720,'ESAP NEIVA FASE II UNIFICADO'!$C$6:$F$720,"NO ESTA")</f>
        <v>SUMINISTRO E INSTALACION ELECTROVALVULAS PROPORCIONALES 1 " - 24V</v>
      </c>
      <c r="I441" t="str">
        <v>UND</v>
      </c>
      <c r="J441">
        <v>0</v>
      </c>
      <c r="K441">
        <v>582428</v>
      </c>
      <c r="L441">
        <f t="shared" si="32"/>
        <v>1</v>
      </c>
      <c r="M441">
        <f t="shared" si="33"/>
        <v>539034</v>
      </c>
      <c r="N441" s="119">
        <f t="shared" si="34"/>
        <v>1</v>
      </c>
      <c r="O441">
        <f t="shared" si="30"/>
        <v>539034</v>
      </c>
    </row>
    <row r="442" spans="2:15" ht="15" customHeight="1" x14ac:dyDescent="0.25">
      <c r="B442" s="80" t="s">
        <v>842</v>
      </c>
      <c r="C442" s="81" t="s">
        <v>843</v>
      </c>
      <c r="D442" s="82"/>
      <c r="E442" s="83"/>
      <c r="F442" s="90"/>
      <c r="G442" s="89">
        <f t="shared" si="31"/>
        <v>0</v>
      </c>
      <c r="H442" s="118" t="str">
        <f t="array" ref="H442:K442">_xlfn.XLOOKUP(C442,'ESAP NEIVA FASE II UNIFICADO'!$C$6:$C$720,'ESAP NEIVA FASE II UNIFICADO'!$C$6:$F$720,"NO ESTA")</f>
        <v>SUMINISTRO, MONTAJE E INSTALACIÓN DE DUCTOS DE AIRE ACONDICIONADO</v>
      </c>
      <c r="I442">
        <v>0</v>
      </c>
      <c r="J442">
        <v>0</v>
      </c>
      <c r="K442">
        <v>0</v>
      </c>
      <c r="L442">
        <f t="shared" si="32"/>
        <v>1</v>
      </c>
      <c r="M442">
        <f t="shared" si="33"/>
        <v>0</v>
      </c>
      <c r="N442" s="119">
        <f t="shared" si="34"/>
        <v>0</v>
      </c>
      <c r="O442">
        <f t="shared" si="30"/>
        <v>0</v>
      </c>
    </row>
    <row r="443" spans="2:15" ht="15" customHeight="1" x14ac:dyDescent="0.25">
      <c r="B443" s="86" t="s">
        <v>844</v>
      </c>
      <c r="C443" s="87" t="s">
        <v>845</v>
      </c>
      <c r="D443" s="82" t="s">
        <v>13</v>
      </c>
      <c r="E443" s="83">
        <v>28</v>
      </c>
      <c r="F443" s="88">
        <v>59051</v>
      </c>
      <c r="G443" s="89">
        <f t="shared" si="31"/>
        <v>1653428</v>
      </c>
      <c r="H443" s="118" t="str">
        <f t="array" ref="H443:K443">_xlfn.XLOOKUP(C443,'ESAP NEIVA FASE II UNIFICADO'!$C$6:$C$720,'ESAP NEIVA FASE II UNIFICADO'!$C$6:$F$720,"NO ESTA")</f>
        <v>SUMINISTRO E INSTALACION DUCTOS EN LAMINA GALVANIZADA CAL. 24 Wrap FC</v>
      </c>
      <c r="I443" t="str">
        <v>M2</v>
      </c>
      <c r="J443">
        <v>77</v>
      </c>
      <c r="K443">
        <v>63805</v>
      </c>
      <c r="L443">
        <f t="shared" si="32"/>
        <v>0</v>
      </c>
      <c r="M443">
        <f t="shared" si="33"/>
        <v>0</v>
      </c>
      <c r="N443" s="119">
        <f t="shared" si="34"/>
        <v>28</v>
      </c>
      <c r="O443">
        <f t="shared" si="30"/>
        <v>0</v>
      </c>
    </row>
    <row r="444" spans="2:15" ht="15" customHeight="1" x14ac:dyDescent="0.25">
      <c r="B444" s="86" t="s">
        <v>846</v>
      </c>
      <c r="C444" s="87" t="s">
        <v>847</v>
      </c>
      <c r="D444" s="82" t="s">
        <v>13</v>
      </c>
      <c r="E444" s="83">
        <v>200</v>
      </c>
      <c r="F444" s="88">
        <v>64950</v>
      </c>
      <c r="G444" s="89">
        <f t="shared" si="31"/>
        <v>12990000</v>
      </c>
      <c r="H444" s="118" t="str">
        <f t="array" ref="H444:K444">_xlfn.XLOOKUP(C444,'ESAP NEIVA FASE II UNIFICADO'!$C$6:$C$720,'ESAP NEIVA FASE II UNIFICADO'!$C$6:$F$720,"NO ESTA")</f>
        <v>SUMINISTRO E INSTALACION DUCTOS EN LAMINA GALVANIZADA CAL. 22 Wrap FC</v>
      </c>
      <c r="I444" t="str">
        <v>M2</v>
      </c>
      <c r="J444">
        <v>540</v>
      </c>
      <c r="K444">
        <v>70179</v>
      </c>
      <c r="L444">
        <f t="shared" si="32"/>
        <v>0</v>
      </c>
      <c r="M444">
        <f t="shared" si="33"/>
        <v>0</v>
      </c>
      <c r="N444" s="119">
        <f t="shared" si="34"/>
        <v>200</v>
      </c>
      <c r="O444">
        <f t="shared" si="30"/>
        <v>0</v>
      </c>
    </row>
    <row r="445" spans="2:15" ht="15" customHeight="1" x14ac:dyDescent="0.25">
      <c r="B445" s="86" t="s">
        <v>848</v>
      </c>
      <c r="C445" s="87" t="s">
        <v>849</v>
      </c>
      <c r="D445" s="82" t="s">
        <v>13</v>
      </c>
      <c r="E445" s="83">
        <v>228</v>
      </c>
      <c r="F445" s="88">
        <v>18007</v>
      </c>
      <c r="G445" s="89">
        <f t="shared" si="31"/>
        <v>4105596</v>
      </c>
      <c r="H445" s="118" t="str">
        <f t="array" ref="H445:K445">_xlfn.XLOOKUP(C445,'ESAP NEIVA FASE II UNIFICADO'!$C$6:$C$720,'ESAP NEIVA FASE II UNIFICADO'!$C$6:$F$720,"NO ESTA")</f>
        <v>SUMINISTRO E INSTALACION AISLAMIENTO DUCTOS EN JUMBOLON FC</v>
      </c>
      <c r="I445" t="str">
        <v>M2</v>
      </c>
      <c r="J445">
        <v>617</v>
      </c>
      <c r="K445">
        <v>19457</v>
      </c>
      <c r="L445">
        <f t="shared" si="32"/>
        <v>0</v>
      </c>
      <c r="M445">
        <f t="shared" si="33"/>
        <v>0</v>
      </c>
      <c r="N445" s="119">
        <f t="shared" si="34"/>
        <v>228</v>
      </c>
      <c r="O445">
        <f t="shared" si="30"/>
        <v>0</v>
      </c>
    </row>
    <row r="446" spans="2:15" ht="15" customHeight="1" x14ac:dyDescent="0.25">
      <c r="B446" s="86" t="s">
        <v>850</v>
      </c>
      <c r="C446" s="87" t="s">
        <v>851</v>
      </c>
      <c r="D446" s="82" t="s">
        <v>13</v>
      </c>
      <c r="E446" s="83">
        <v>55</v>
      </c>
      <c r="F446" s="88">
        <v>70895</v>
      </c>
      <c r="G446" s="89">
        <f t="shared" si="31"/>
        <v>3899225</v>
      </c>
      <c r="H446" s="118" t="str">
        <f t="array" ref="H446:K446">_xlfn.XLOOKUP(C446,'ESAP NEIVA FASE II UNIFICADO'!$C$6:$C$720,'ESAP NEIVA FASE II UNIFICADO'!$C$6:$F$720,"NO ESTA")</f>
        <v>SUMINISTRO E INSTALACION DUCTOS EN LAMINA GALVANIZADA CAL. 20 Wrap UMAS</v>
      </c>
      <c r="I446" t="str">
        <v>M2</v>
      </c>
      <c r="J446">
        <v>150</v>
      </c>
      <c r="K446">
        <v>76603</v>
      </c>
      <c r="L446">
        <f t="shared" si="32"/>
        <v>0</v>
      </c>
      <c r="M446">
        <f t="shared" si="33"/>
        <v>0</v>
      </c>
      <c r="N446" s="119">
        <f t="shared" si="34"/>
        <v>55</v>
      </c>
      <c r="O446">
        <f t="shared" si="30"/>
        <v>0</v>
      </c>
    </row>
    <row r="447" spans="2:15" ht="15" customHeight="1" x14ac:dyDescent="0.25">
      <c r="B447" s="86" t="s">
        <v>852</v>
      </c>
      <c r="C447" s="87" t="s">
        <v>853</v>
      </c>
      <c r="D447" s="82" t="s">
        <v>13</v>
      </c>
      <c r="E447" s="83">
        <v>55</v>
      </c>
      <c r="F447" s="88">
        <v>18007</v>
      </c>
      <c r="G447" s="89">
        <f t="shared" si="31"/>
        <v>990385</v>
      </c>
      <c r="H447" s="118" t="str">
        <f t="array" ref="H447:K447">_xlfn.XLOOKUP(C447,'ESAP NEIVA FASE II UNIFICADO'!$C$6:$C$720,'ESAP NEIVA FASE II UNIFICADO'!$C$6:$F$720,"NO ESTA")</f>
        <v>SUMINISTRO E INSTALACION AISLAMIENTO DUCTOS EN DUCT WRAP UMAS</v>
      </c>
      <c r="I447" t="str">
        <v>M2</v>
      </c>
      <c r="J447">
        <v>150</v>
      </c>
      <c r="K447">
        <v>19457</v>
      </c>
      <c r="L447">
        <f t="shared" si="32"/>
        <v>0</v>
      </c>
      <c r="M447">
        <f t="shared" si="33"/>
        <v>0</v>
      </c>
      <c r="N447" s="119">
        <f t="shared" si="34"/>
        <v>55</v>
      </c>
      <c r="O447">
        <f t="shared" si="30"/>
        <v>0</v>
      </c>
    </row>
    <row r="448" spans="2:15" ht="15" customHeight="1" x14ac:dyDescent="0.25">
      <c r="B448" s="86" t="s">
        <v>854</v>
      </c>
      <c r="C448" s="87" t="s">
        <v>855</v>
      </c>
      <c r="D448" s="82" t="s">
        <v>16</v>
      </c>
      <c r="E448" s="83">
        <v>9</v>
      </c>
      <c r="F448" s="88">
        <v>30906</v>
      </c>
      <c r="G448" s="89">
        <f t="shared" si="31"/>
        <v>278154</v>
      </c>
      <c r="H448" s="118" t="str">
        <f t="array" ref="H448:K448">_xlfn.XLOOKUP(C448,'ESAP NEIVA FASE II UNIFICADO'!$C$6:$C$720,'ESAP NEIVA FASE II UNIFICADO'!$C$6:$F$720,"NO ESTA")</f>
        <v>SUMINISTRO E INSTALACION ACOPLE FLEXIBLE DUCTOS - EQUIPOS</v>
      </c>
      <c r="I448" t="str">
        <v>UND</v>
      </c>
      <c r="J448">
        <v>24</v>
      </c>
      <c r="K448">
        <v>33394</v>
      </c>
      <c r="L448">
        <f t="shared" si="32"/>
        <v>0</v>
      </c>
      <c r="M448">
        <f t="shared" si="33"/>
        <v>0</v>
      </c>
      <c r="N448" s="119">
        <f t="shared" si="34"/>
        <v>9</v>
      </c>
      <c r="O448">
        <f t="shared" si="30"/>
        <v>0</v>
      </c>
    </row>
    <row r="449" spans="2:15" ht="15" customHeight="1" x14ac:dyDescent="0.25">
      <c r="B449" s="80" t="s">
        <v>856</v>
      </c>
      <c r="C449" s="81" t="s">
        <v>857</v>
      </c>
      <c r="D449" s="82"/>
      <c r="E449" s="83"/>
      <c r="F449" s="90"/>
      <c r="G449" s="89">
        <f t="shared" si="31"/>
        <v>0</v>
      </c>
      <c r="H449" s="118" t="str">
        <f t="array" ref="H449:K449">_xlfn.XLOOKUP(C449,'ESAP NEIVA FASE II UNIFICADO'!$C$6:$C$720,'ESAP NEIVA FASE II UNIFICADO'!$C$6:$F$720,"NO ESTA")</f>
        <v>SUMINISTRO E INSTALACIÓN DIFUSORES Y REJILLAS</v>
      </c>
      <c r="I449">
        <v>0</v>
      </c>
      <c r="J449">
        <v>0</v>
      </c>
      <c r="K449">
        <v>0</v>
      </c>
      <c r="L449">
        <f t="shared" si="32"/>
        <v>1</v>
      </c>
      <c r="M449">
        <f t="shared" si="33"/>
        <v>0</v>
      </c>
      <c r="N449" s="119">
        <f t="shared" si="34"/>
        <v>0</v>
      </c>
      <c r="O449">
        <f t="shared" ref="O449:O512" si="35">M449*N449</f>
        <v>0</v>
      </c>
    </row>
    <row r="450" spans="2:15" ht="26.25" customHeight="1" x14ac:dyDescent="0.25">
      <c r="B450" s="86" t="s">
        <v>858</v>
      </c>
      <c r="C450" s="87" t="s">
        <v>859</v>
      </c>
      <c r="D450" s="82" t="s">
        <v>16</v>
      </c>
      <c r="E450" s="83">
        <v>30</v>
      </c>
      <c r="F450" s="88">
        <v>145568</v>
      </c>
      <c r="G450" s="89">
        <f t="shared" si="31"/>
        <v>4367040</v>
      </c>
      <c r="H450" s="118" t="str">
        <f t="array" ref="H450:K450">_xlfn.XLOOKUP(C450,'ESAP NEIVA FASE II UNIFICADO'!$C$6:$C$720,'ESAP NEIVA FASE II UNIFICADO'!$C$6:$F$720,"NO ESTA")</f>
        <v>SUMINISTRO E INSTALACION DIFUSORES SUMINISTRO DE 12" x 12" 4V (Tipo Descolgado) con Damper OB</v>
      </c>
      <c r="I450" t="str">
        <v>UND</v>
      </c>
      <c r="J450">
        <v>82</v>
      </c>
      <c r="K450">
        <v>157287</v>
      </c>
      <c r="L450">
        <f t="shared" si="32"/>
        <v>0</v>
      </c>
      <c r="M450">
        <f t="shared" si="33"/>
        <v>0</v>
      </c>
      <c r="N450" s="119">
        <f t="shared" si="34"/>
        <v>30</v>
      </c>
      <c r="O450">
        <f t="shared" si="35"/>
        <v>0</v>
      </c>
    </row>
    <row r="451" spans="2:15" ht="26.25" customHeight="1" x14ac:dyDescent="0.25">
      <c r="B451" s="86" t="s">
        <v>860</v>
      </c>
      <c r="C451" s="87" t="s">
        <v>861</v>
      </c>
      <c r="D451" s="82" t="s">
        <v>16</v>
      </c>
      <c r="E451" s="83">
        <v>2</v>
      </c>
      <c r="F451" s="88">
        <v>101576</v>
      </c>
      <c r="G451" s="89">
        <f t="shared" si="31"/>
        <v>203152</v>
      </c>
      <c r="H451" s="118" t="str">
        <f t="array" ref="H451:K451">_xlfn.XLOOKUP(C451,'ESAP NEIVA FASE II UNIFICADO'!$C$6:$C$720,'ESAP NEIVA FASE II UNIFICADO'!$C$6:$F$720,"NO ESTA")</f>
        <v>SUMINISTRO E INSTALACION DIFUSORES SUMINISTRO DE 9" x 9" 4V (Tipo Descolgado) con Damper OB</v>
      </c>
      <c r="I451" t="str">
        <v>UND</v>
      </c>
      <c r="J451">
        <v>4</v>
      </c>
      <c r="K451">
        <v>109753</v>
      </c>
      <c r="L451">
        <f t="shared" si="32"/>
        <v>0</v>
      </c>
      <c r="M451">
        <f t="shared" si="33"/>
        <v>0</v>
      </c>
      <c r="N451" s="119">
        <f t="shared" si="34"/>
        <v>2</v>
      </c>
      <c r="O451">
        <f t="shared" si="35"/>
        <v>0</v>
      </c>
    </row>
    <row r="452" spans="2:15" ht="26.25" customHeight="1" x14ac:dyDescent="0.25">
      <c r="B452" s="86" t="s">
        <v>862</v>
      </c>
      <c r="C452" s="87" t="s">
        <v>863</v>
      </c>
      <c r="D452" s="82" t="s">
        <v>16</v>
      </c>
      <c r="E452" s="83">
        <v>1</v>
      </c>
      <c r="F452" s="88">
        <v>214529</v>
      </c>
      <c r="G452" s="89">
        <f t="shared" si="31"/>
        <v>214529</v>
      </c>
      <c r="H452" s="118" t="str">
        <f t="array" ref="H452:K452">_xlfn.XLOOKUP(C452,'ESAP NEIVA FASE II UNIFICADO'!$C$6:$C$720,'ESAP NEIVA FASE II UNIFICADO'!$C$6:$F$720,"NO ESTA")</f>
        <v>SUMINISTRO E INSTALACION REJILLAS SUMINISTRO DE 48" X 12" (TIPO DOBLE ALETA) con Damper incluye EXTRACTORES DE AIRE</v>
      </c>
      <c r="I452" t="str">
        <v>UND</v>
      </c>
      <c r="J452">
        <v>4</v>
      </c>
      <c r="K452">
        <v>231800</v>
      </c>
      <c r="L452">
        <f t="shared" si="32"/>
        <v>0</v>
      </c>
      <c r="M452">
        <f t="shared" si="33"/>
        <v>0</v>
      </c>
      <c r="N452" s="119">
        <f t="shared" si="34"/>
        <v>1</v>
      </c>
      <c r="O452">
        <f t="shared" si="35"/>
        <v>0</v>
      </c>
    </row>
    <row r="453" spans="2:15" ht="26.25" customHeight="1" x14ac:dyDescent="0.25">
      <c r="B453" s="86" t="s">
        <v>864</v>
      </c>
      <c r="C453" s="87" t="s">
        <v>865</v>
      </c>
      <c r="D453" s="82" t="s">
        <v>16</v>
      </c>
      <c r="E453" s="83">
        <v>1</v>
      </c>
      <c r="F453" s="88">
        <v>54017</v>
      </c>
      <c r="G453" s="89">
        <f t="shared" si="31"/>
        <v>54017</v>
      </c>
      <c r="H453" s="118" t="str">
        <f t="array" ref="H453:K453">_xlfn.XLOOKUP(C453,'ESAP NEIVA FASE II UNIFICADO'!$C$6:$C$720,'ESAP NEIVA FASE II UNIFICADO'!$C$6:$F$720,"NO ESTA")</f>
        <v>SUMINISTRO E INSTALACION REJILLAS DE ACCESO/ RETORNO A FC DE 18" x 8" 160 CFM</v>
      </c>
      <c r="I453" t="str">
        <v>UND</v>
      </c>
      <c r="J453">
        <v>2</v>
      </c>
      <c r="K453">
        <v>58365</v>
      </c>
      <c r="L453">
        <f t="shared" si="32"/>
        <v>0</v>
      </c>
      <c r="M453">
        <f t="shared" si="33"/>
        <v>0</v>
      </c>
      <c r="N453" s="119">
        <f t="shared" si="34"/>
        <v>1</v>
      </c>
      <c r="O453">
        <f t="shared" si="35"/>
        <v>0</v>
      </c>
    </row>
    <row r="454" spans="2:15" ht="26.25" customHeight="1" x14ac:dyDescent="0.25">
      <c r="B454" s="86" t="s">
        <v>866</v>
      </c>
      <c r="C454" s="87" t="s">
        <v>867</v>
      </c>
      <c r="D454" s="82" t="s">
        <v>16</v>
      </c>
      <c r="E454" s="83">
        <v>4</v>
      </c>
      <c r="F454" s="88">
        <v>202640</v>
      </c>
      <c r="G454" s="89">
        <f t="shared" si="31"/>
        <v>810560</v>
      </c>
      <c r="H454" s="118" t="str">
        <f t="array" ref="H454:K454">_xlfn.XLOOKUP(C454,'ESAP NEIVA FASE II UNIFICADO'!$C$6:$C$720,'ESAP NEIVA FASE II UNIFICADO'!$C$6:$F$720,"NO ESTA")</f>
        <v>SUMINISTRO E INSTALACION REJILLAS DE ACCESO/ RETORNO A FC DE 40" x 8"   320 CFM</v>
      </c>
      <c r="I454" t="str">
        <v>UND</v>
      </c>
      <c r="J454">
        <v>12</v>
      </c>
      <c r="K454">
        <v>218953</v>
      </c>
      <c r="L454">
        <f t="shared" si="32"/>
        <v>0</v>
      </c>
      <c r="M454">
        <f t="shared" si="33"/>
        <v>0</v>
      </c>
      <c r="N454" s="119">
        <f t="shared" si="34"/>
        <v>4</v>
      </c>
      <c r="O454">
        <f t="shared" si="35"/>
        <v>0</v>
      </c>
    </row>
    <row r="455" spans="2:15" ht="26.25" customHeight="1" x14ac:dyDescent="0.25">
      <c r="B455" s="86" t="s">
        <v>868</v>
      </c>
      <c r="C455" s="87" t="s">
        <v>869</v>
      </c>
      <c r="D455" s="82" t="s">
        <v>16</v>
      </c>
      <c r="E455" s="83">
        <v>3</v>
      </c>
      <c r="F455" s="88">
        <v>214529</v>
      </c>
      <c r="G455" s="89">
        <f t="shared" ref="G455:G518" si="36">ROUND(+F455*E455,2)</f>
        <v>643587</v>
      </c>
      <c r="H455" s="118" t="str">
        <f t="array" ref="H455:K455">_xlfn.XLOOKUP(C455,'ESAP NEIVA FASE II UNIFICADO'!$C$6:$C$720,'ESAP NEIVA FASE II UNIFICADO'!$C$6:$F$720,"NO ESTA")</f>
        <v>SUMINISTRO E INSTALACION REJILLAS DE ACCESO/ RETORNO A FC DE 48" x 12" 400 CFM</v>
      </c>
      <c r="I455" t="str">
        <v>UND</v>
      </c>
      <c r="J455">
        <v>8</v>
      </c>
      <c r="K455">
        <v>231800</v>
      </c>
      <c r="L455">
        <f t="shared" si="32"/>
        <v>0</v>
      </c>
      <c r="M455">
        <f t="shared" si="33"/>
        <v>0</v>
      </c>
      <c r="N455" s="119">
        <f t="shared" si="34"/>
        <v>3</v>
      </c>
      <c r="O455">
        <f t="shared" si="35"/>
        <v>0</v>
      </c>
    </row>
    <row r="456" spans="2:15" ht="26.25" customHeight="1" x14ac:dyDescent="0.25">
      <c r="B456" s="86" t="s">
        <v>870</v>
      </c>
      <c r="C456" s="87" t="s">
        <v>871</v>
      </c>
      <c r="D456" s="82" t="s">
        <v>16</v>
      </c>
      <c r="E456" s="83">
        <v>1</v>
      </c>
      <c r="F456" s="88">
        <v>461838</v>
      </c>
      <c r="G456" s="89">
        <f t="shared" si="36"/>
        <v>461838</v>
      </c>
      <c r="H456" s="118" t="str">
        <f t="array" ref="H456:K456">_xlfn.XLOOKUP(C456,'ESAP NEIVA FASE II UNIFICADO'!$C$6:$C$720,'ESAP NEIVA FASE II UNIFICADO'!$C$6:$F$720,"NO ESTA")</f>
        <v>SUMINISTRO E INSTALACION REJILLAS DE ACCESO/ RETORNO A FC DE 48" x 20" 2400 CFM</v>
      </c>
      <c r="I456" t="str">
        <v>UND</v>
      </c>
      <c r="J456">
        <v>1</v>
      </c>
      <c r="K456">
        <v>499017</v>
      </c>
      <c r="L456">
        <f t="shared" si="32"/>
        <v>0</v>
      </c>
      <c r="M456">
        <f t="shared" si="33"/>
        <v>0</v>
      </c>
      <c r="N456" s="119">
        <f t="shared" si="34"/>
        <v>1</v>
      </c>
      <c r="O456">
        <f t="shared" si="35"/>
        <v>0</v>
      </c>
    </row>
    <row r="457" spans="2:15" ht="26.25" customHeight="1" x14ac:dyDescent="0.25">
      <c r="B457" s="86" t="s">
        <v>872</v>
      </c>
      <c r="C457" s="87" t="s">
        <v>873</v>
      </c>
      <c r="D457" s="82" t="s">
        <v>16</v>
      </c>
      <c r="E457" s="83">
        <v>1</v>
      </c>
      <c r="F457" s="88">
        <v>410712</v>
      </c>
      <c r="G457" s="89">
        <f t="shared" si="36"/>
        <v>410712</v>
      </c>
      <c r="H457" s="118" t="str">
        <f t="array" ref="H457:K457">_xlfn.XLOOKUP(C457,'ESAP NEIVA FASE II UNIFICADO'!$C$6:$C$720,'ESAP NEIVA FASE II UNIFICADO'!$C$6:$F$720,"NO ESTA")</f>
        <v>SUMINISTRO E INSTALACION REJILLAS DE ACCESO/ RETORNO A FC DE 48" x 24" 3600 CFM</v>
      </c>
      <c r="I457" t="str">
        <v>UND</v>
      </c>
      <c r="J457">
        <v>3</v>
      </c>
      <c r="K457">
        <v>443775</v>
      </c>
      <c r="L457">
        <f t="shared" si="32"/>
        <v>0</v>
      </c>
      <c r="M457">
        <f t="shared" si="33"/>
        <v>0</v>
      </c>
      <c r="N457" s="119">
        <f t="shared" si="34"/>
        <v>1</v>
      </c>
      <c r="O457">
        <f t="shared" si="35"/>
        <v>0</v>
      </c>
    </row>
    <row r="458" spans="2:15" ht="15" customHeight="1" x14ac:dyDescent="0.25">
      <c r="B458" s="86" t="s">
        <v>874</v>
      </c>
      <c r="C458" s="87" t="s">
        <v>875</v>
      </c>
      <c r="D458" s="82" t="s">
        <v>16</v>
      </c>
      <c r="E458" s="83">
        <v>1</v>
      </c>
      <c r="F458" s="88">
        <v>21914</v>
      </c>
      <c r="G458" s="89">
        <f t="shared" si="36"/>
        <v>21914</v>
      </c>
      <c r="H458" s="118" t="str">
        <f t="array" ref="H458:K458">_xlfn.XLOOKUP(C458,'ESAP NEIVA FASE II UNIFICADO'!$C$6:$C$720,'ESAP NEIVA FASE II UNIFICADO'!$C$6:$F$720,"NO ESTA")</f>
        <v>SUMINISTRO E INSTALACION REJILLAS DE TOMA AIRE EXTERNO TAE 6" x 6"</v>
      </c>
      <c r="I458" t="str">
        <v>UND</v>
      </c>
      <c r="J458">
        <v>0</v>
      </c>
      <c r="K458">
        <v>23678</v>
      </c>
      <c r="L458">
        <f t="shared" ref="L458:L521" si="37">+IF(J458&gt;0,0,1)</f>
        <v>1</v>
      </c>
      <c r="M458">
        <f t="shared" ref="M458:M521" si="38">IF(L458=1,F458,0)</f>
        <v>21914</v>
      </c>
      <c r="N458" s="119">
        <f t="shared" ref="N458:N521" si="39">E458</f>
        <v>1</v>
      </c>
      <c r="O458">
        <f t="shared" si="35"/>
        <v>21914</v>
      </c>
    </row>
    <row r="459" spans="2:15" ht="15" customHeight="1" x14ac:dyDescent="0.25">
      <c r="B459" s="86" t="s">
        <v>876</v>
      </c>
      <c r="C459" s="87" t="s">
        <v>877</v>
      </c>
      <c r="D459" s="82" t="s">
        <v>16</v>
      </c>
      <c r="E459" s="83">
        <v>1</v>
      </c>
      <c r="F459" s="88">
        <v>30236</v>
      </c>
      <c r="G459" s="89">
        <f t="shared" si="36"/>
        <v>30236</v>
      </c>
      <c r="H459" s="118" t="str">
        <f t="array" ref="H459:K459">_xlfn.XLOOKUP(C459,'ESAP NEIVA FASE II UNIFICADO'!$C$6:$C$720,'ESAP NEIVA FASE II UNIFICADO'!$C$6:$F$720,"NO ESTA")</f>
        <v>SUMINISTRO E INSTALACION REJILLAS DE TOMA AIRE EXTERNO TAE 10" x 8"</v>
      </c>
      <c r="I459" t="str">
        <v>UND</v>
      </c>
      <c r="J459">
        <v>0</v>
      </c>
      <c r="K459">
        <v>32671</v>
      </c>
      <c r="L459">
        <f t="shared" si="37"/>
        <v>1</v>
      </c>
      <c r="M459">
        <f t="shared" si="38"/>
        <v>30236</v>
      </c>
      <c r="N459" s="119">
        <f t="shared" si="39"/>
        <v>1</v>
      </c>
      <c r="O459">
        <f t="shared" si="35"/>
        <v>30236</v>
      </c>
    </row>
    <row r="460" spans="2:15" ht="15" customHeight="1" x14ac:dyDescent="0.25">
      <c r="B460" s="86" t="s">
        <v>878</v>
      </c>
      <c r="C460" s="87" t="s">
        <v>879</v>
      </c>
      <c r="D460" s="82" t="s">
        <v>16</v>
      </c>
      <c r="E460" s="83">
        <v>6</v>
      </c>
      <c r="F460" s="88">
        <v>42127</v>
      </c>
      <c r="G460" s="89">
        <f t="shared" si="36"/>
        <v>252762</v>
      </c>
      <c r="H460" s="118" t="str">
        <f t="array" ref="H460:K460">_xlfn.XLOOKUP(C460,'ESAP NEIVA FASE II UNIFICADO'!$C$6:$C$720,'ESAP NEIVA FASE II UNIFICADO'!$C$6:$F$720,"NO ESTA")</f>
        <v>SUMINISTRO E INSTALACION REJILLAS DE TOMA AIRE EXTERNO TAE 12" x 8"</v>
      </c>
      <c r="I460" t="str">
        <v>UND</v>
      </c>
      <c r="J460">
        <v>16</v>
      </c>
      <c r="K460">
        <v>45518</v>
      </c>
      <c r="L460">
        <f t="shared" si="37"/>
        <v>0</v>
      </c>
      <c r="M460">
        <f t="shared" si="38"/>
        <v>0</v>
      </c>
      <c r="N460" s="119">
        <f t="shared" si="39"/>
        <v>6</v>
      </c>
      <c r="O460">
        <f t="shared" si="35"/>
        <v>0</v>
      </c>
    </row>
    <row r="461" spans="2:15" ht="15" customHeight="1" x14ac:dyDescent="0.25">
      <c r="B461" s="86" t="s">
        <v>880</v>
      </c>
      <c r="C461" s="87" t="s">
        <v>881</v>
      </c>
      <c r="D461" s="82" t="s">
        <v>16</v>
      </c>
      <c r="E461" s="83">
        <v>1</v>
      </c>
      <c r="F461" s="88">
        <v>54017</v>
      </c>
      <c r="G461" s="89">
        <f t="shared" si="36"/>
        <v>54017</v>
      </c>
      <c r="H461" s="118" t="str">
        <f t="array" ref="H461:K461">_xlfn.XLOOKUP(C461,'ESAP NEIVA FASE II UNIFICADO'!$C$6:$C$720,'ESAP NEIVA FASE II UNIFICADO'!$C$6:$F$720,"NO ESTA")</f>
        <v>SUMINISTRO E INSTALACION REJILLAS DE TOMA AIRE EXTERNO TAE 18" x 8"</v>
      </c>
      <c r="I461" t="str">
        <v>UND</v>
      </c>
      <c r="J461">
        <v>2</v>
      </c>
      <c r="K461">
        <v>58365</v>
      </c>
      <c r="L461">
        <f t="shared" si="37"/>
        <v>0</v>
      </c>
      <c r="M461">
        <f t="shared" si="38"/>
        <v>0</v>
      </c>
      <c r="N461" s="119">
        <f t="shared" si="39"/>
        <v>1</v>
      </c>
      <c r="O461">
        <f t="shared" si="35"/>
        <v>0</v>
      </c>
    </row>
    <row r="462" spans="2:15" ht="25.5" customHeight="1" x14ac:dyDescent="0.25">
      <c r="B462" s="86" t="s">
        <v>882</v>
      </c>
      <c r="C462" s="87" t="s">
        <v>883</v>
      </c>
      <c r="D462" s="82" t="s">
        <v>16</v>
      </c>
      <c r="E462" s="83">
        <v>1</v>
      </c>
      <c r="F462" s="88">
        <v>535555</v>
      </c>
      <c r="G462" s="89">
        <f t="shared" si="36"/>
        <v>535555</v>
      </c>
      <c r="H462" s="118" t="str">
        <f t="array" ref="H462">_xlfn.XLOOKUP(C462,'ESAP NEIVA FASE II UNIFICADO'!$C$6:$C$720,'ESAP NEIVA FASE II UNIFICADO'!$C$6:$F$720,"NO ESTA")</f>
        <v>NO ESTA</v>
      </c>
      <c r="L462">
        <f t="shared" si="37"/>
        <v>1</v>
      </c>
      <c r="M462">
        <f t="shared" si="38"/>
        <v>535555</v>
      </c>
      <c r="N462" s="119">
        <f t="shared" si="39"/>
        <v>1</v>
      </c>
      <c r="O462">
        <f t="shared" si="35"/>
        <v>535555</v>
      </c>
    </row>
    <row r="463" spans="2:15" ht="25.5" customHeight="1" x14ac:dyDescent="0.25">
      <c r="B463" s="86" t="s">
        <v>884</v>
      </c>
      <c r="C463" s="87" t="s">
        <v>885</v>
      </c>
      <c r="D463" s="82" t="s">
        <v>16</v>
      </c>
      <c r="E463" s="83">
        <v>1</v>
      </c>
      <c r="F463" s="88">
        <v>618271</v>
      </c>
      <c r="G463" s="89">
        <f t="shared" si="36"/>
        <v>618271</v>
      </c>
      <c r="H463" s="118" t="str">
        <f t="array" ref="H463">_xlfn.XLOOKUP(C463,'ESAP NEIVA FASE II UNIFICADO'!$C$6:$C$720,'ESAP NEIVA FASE II UNIFICADO'!$C$6:$F$720,"NO ESTA")</f>
        <v>NO ESTA</v>
      </c>
      <c r="L463">
        <f t="shared" si="37"/>
        <v>1</v>
      </c>
      <c r="M463">
        <f t="shared" si="38"/>
        <v>618271</v>
      </c>
      <c r="N463" s="119">
        <f t="shared" si="39"/>
        <v>1</v>
      </c>
      <c r="O463">
        <f t="shared" si="35"/>
        <v>618271</v>
      </c>
    </row>
    <row r="464" spans="2:15" ht="15" customHeight="1" x14ac:dyDescent="0.25">
      <c r="B464" s="80" t="s">
        <v>886</v>
      </c>
      <c r="C464" s="81" t="s">
        <v>887</v>
      </c>
      <c r="D464" s="82"/>
      <c r="E464" s="83"/>
      <c r="F464" s="90"/>
      <c r="G464" s="89">
        <f t="shared" si="36"/>
        <v>0</v>
      </c>
      <c r="H464" s="118" t="str">
        <f t="array" ref="H464:K464">_xlfn.XLOOKUP(C464,'ESAP NEIVA FASE II UNIFICADO'!$C$6:$C$720,'ESAP NEIVA FASE II UNIFICADO'!$C$6:$F$720,"NO ESTA")</f>
        <v>SUMINSITRO, MONTAJE E INSTALACIÓN DE VENTILACIÓN MECANICA</v>
      </c>
      <c r="I464">
        <v>0</v>
      </c>
      <c r="J464">
        <v>0</v>
      </c>
      <c r="K464">
        <v>0</v>
      </c>
      <c r="L464">
        <f t="shared" si="37"/>
        <v>1</v>
      </c>
      <c r="M464">
        <f t="shared" si="38"/>
        <v>0</v>
      </c>
      <c r="N464" s="119">
        <f t="shared" si="39"/>
        <v>0</v>
      </c>
      <c r="O464">
        <f t="shared" si="35"/>
        <v>0</v>
      </c>
    </row>
    <row r="465" spans="2:15" ht="15" customHeight="1" x14ac:dyDescent="0.25">
      <c r="B465" s="86" t="s">
        <v>888</v>
      </c>
      <c r="C465" s="87" t="s">
        <v>851</v>
      </c>
      <c r="D465" s="82" t="s">
        <v>13</v>
      </c>
      <c r="E465" s="83">
        <v>32</v>
      </c>
      <c r="F465" s="88">
        <v>83309</v>
      </c>
      <c r="G465" s="89">
        <f t="shared" si="36"/>
        <v>2665888</v>
      </c>
      <c r="H465" s="118" t="str">
        <f t="array" ref="H465:K465">_xlfn.XLOOKUP(C465,'ESAP NEIVA FASE II UNIFICADO'!$C$6:$C$720,'ESAP NEIVA FASE II UNIFICADO'!$C$6:$F$720,"NO ESTA")</f>
        <v>SUMINISTRO E INSTALACION DUCTOS EN LAMINA GALVANIZADA CAL. 20 Wrap UMAS</v>
      </c>
      <c r="I465" t="str">
        <v>M2</v>
      </c>
      <c r="J465">
        <v>150</v>
      </c>
      <c r="K465">
        <v>76603</v>
      </c>
      <c r="L465">
        <f t="shared" si="37"/>
        <v>0</v>
      </c>
      <c r="M465">
        <f t="shared" si="38"/>
        <v>0</v>
      </c>
      <c r="N465" s="119">
        <f t="shared" si="39"/>
        <v>32</v>
      </c>
      <c r="O465">
        <f t="shared" si="35"/>
        <v>0</v>
      </c>
    </row>
    <row r="466" spans="2:15" ht="15" customHeight="1" x14ac:dyDescent="0.25">
      <c r="B466" s="86" t="s">
        <v>889</v>
      </c>
      <c r="C466" s="87" t="s">
        <v>890</v>
      </c>
      <c r="D466" s="82" t="s">
        <v>13</v>
      </c>
      <c r="E466" s="83">
        <v>71</v>
      </c>
      <c r="F466" s="88">
        <v>77364</v>
      </c>
      <c r="G466" s="89">
        <f t="shared" si="36"/>
        <v>5492844</v>
      </c>
      <c r="H466" s="118" t="str">
        <f t="array" ref="H466:K466">_xlfn.XLOOKUP(C466,'ESAP NEIVA FASE II UNIFICADO'!$C$6:$C$720,'ESAP NEIVA FASE II UNIFICADO'!$C$6:$F$720,"NO ESTA")</f>
        <v>SUMINISTRO E INSTALACION DUCTOS EN LAMINA GALVANIZADA CAL. 22 Wrap UMAS</v>
      </c>
      <c r="I466" t="str">
        <v>M2</v>
      </c>
      <c r="J466">
        <v>191</v>
      </c>
      <c r="K466">
        <v>83592</v>
      </c>
      <c r="L466">
        <f t="shared" si="37"/>
        <v>0</v>
      </c>
      <c r="M466">
        <f t="shared" si="38"/>
        <v>0</v>
      </c>
      <c r="N466" s="119">
        <f t="shared" si="39"/>
        <v>71</v>
      </c>
      <c r="O466">
        <f t="shared" si="35"/>
        <v>0</v>
      </c>
    </row>
    <row r="467" spans="2:15" ht="15" customHeight="1" x14ac:dyDescent="0.25">
      <c r="B467" s="86" t="s">
        <v>891</v>
      </c>
      <c r="C467" s="87" t="s">
        <v>892</v>
      </c>
      <c r="D467" s="82" t="s">
        <v>16</v>
      </c>
      <c r="E467" s="83">
        <v>1</v>
      </c>
      <c r="F467" s="88">
        <v>461307</v>
      </c>
      <c r="G467" s="89">
        <f t="shared" si="36"/>
        <v>461307</v>
      </c>
      <c r="H467" s="118" t="str">
        <f t="array" ref="H467:K467">_xlfn.XLOOKUP(C467,'ESAP NEIVA FASE II UNIFICADO'!$C$6:$C$720,'ESAP NEIVA FASE II UNIFICADO'!$C$6:$F$720,"NO ESTA")</f>
        <v>SUMINISTRO E INSTALACION BANCO DE FILTROS</v>
      </c>
      <c r="I467" t="str">
        <v>UND</v>
      </c>
      <c r="J467">
        <v>2</v>
      </c>
      <c r="K467">
        <v>498443</v>
      </c>
      <c r="L467">
        <f t="shared" si="37"/>
        <v>0</v>
      </c>
      <c r="M467">
        <f t="shared" si="38"/>
        <v>0</v>
      </c>
      <c r="N467" s="119">
        <f t="shared" si="39"/>
        <v>1</v>
      </c>
      <c r="O467">
        <f t="shared" si="35"/>
        <v>0</v>
      </c>
    </row>
    <row r="468" spans="2:15" ht="15" customHeight="1" x14ac:dyDescent="0.25">
      <c r="B468" s="80" t="s">
        <v>893</v>
      </c>
      <c r="C468" s="81" t="s">
        <v>894</v>
      </c>
      <c r="D468" s="82"/>
      <c r="E468" s="83"/>
      <c r="F468" s="90"/>
      <c r="G468" s="89">
        <f t="shared" si="36"/>
        <v>0</v>
      </c>
      <c r="H468" s="118" t="str">
        <f t="array" ref="H468:K468">_xlfn.XLOOKUP(C468,'ESAP NEIVA FASE II UNIFICADO'!$C$6:$C$720,'ESAP NEIVA FASE II UNIFICADO'!$C$6:$F$720,"NO ESTA")</f>
        <v>SUMNISTRO, INSTALACION Y MONTAJE CONTROL</v>
      </c>
      <c r="I468">
        <v>0</v>
      </c>
      <c r="J468">
        <v>0</v>
      </c>
      <c r="K468">
        <v>0</v>
      </c>
      <c r="L468">
        <f t="shared" si="37"/>
        <v>1</v>
      </c>
      <c r="M468">
        <f t="shared" si="38"/>
        <v>0</v>
      </c>
      <c r="N468" s="119">
        <f t="shared" si="39"/>
        <v>0</v>
      </c>
      <c r="O468">
        <f t="shared" si="35"/>
        <v>0</v>
      </c>
    </row>
    <row r="469" spans="2:15" ht="15" customHeight="1" x14ac:dyDescent="0.25">
      <c r="B469" s="86" t="s">
        <v>895</v>
      </c>
      <c r="C469" s="87" t="s">
        <v>896</v>
      </c>
      <c r="D469" s="82" t="s">
        <v>16</v>
      </c>
      <c r="E469" s="83">
        <v>1</v>
      </c>
      <c r="F469" s="88">
        <v>1830940</v>
      </c>
      <c r="G469" s="89">
        <f t="shared" si="36"/>
        <v>1830940</v>
      </c>
      <c r="H469" s="118" t="str">
        <f t="array" ref="H469:K469">_xlfn.XLOOKUP(C469,'ESAP NEIVA FASE II UNIFICADO'!$C$6:$C$720,'ESAP NEIVA FASE II UNIFICADO'!$C$6:$F$720,"NO ESTA")</f>
        <v>SUMINISTRO E INSTALACION VALVULA BYPASS 2"</v>
      </c>
      <c r="I469" t="str">
        <v>UND</v>
      </c>
      <c r="J469">
        <v>1</v>
      </c>
      <c r="K469">
        <v>1978337</v>
      </c>
      <c r="L469">
        <f t="shared" si="37"/>
        <v>0</v>
      </c>
      <c r="M469">
        <f t="shared" si="38"/>
        <v>0</v>
      </c>
      <c r="N469" s="119">
        <f t="shared" si="39"/>
        <v>1</v>
      </c>
      <c r="O469">
        <f t="shared" si="35"/>
        <v>0</v>
      </c>
    </row>
    <row r="470" spans="2:15" ht="15" customHeight="1" x14ac:dyDescent="0.25">
      <c r="B470" s="86" t="s">
        <v>897</v>
      </c>
      <c r="C470" s="87" t="s">
        <v>898</v>
      </c>
      <c r="D470" s="82" t="s">
        <v>16</v>
      </c>
      <c r="E470" s="83">
        <v>2</v>
      </c>
      <c r="F470" s="88">
        <v>1117597</v>
      </c>
      <c r="G470" s="89">
        <f t="shared" si="36"/>
        <v>2235194</v>
      </c>
      <c r="H470" s="118" t="str">
        <f t="array" ref="H470:K470">_xlfn.XLOOKUP(C470,'ESAP NEIVA FASE II UNIFICADO'!$C$6:$C$720,'ESAP NEIVA FASE II UNIFICADO'!$C$6:$F$720,"NO ESTA")</f>
        <v>SUMINISTRO E INSTALACION SENSOR DIFERENCIAL DE PRESIÓN SISTEMA AGUA FRIA</v>
      </c>
      <c r="I470" t="str">
        <v>UND</v>
      </c>
      <c r="J470">
        <v>2</v>
      </c>
      <c r="K470">
        <v>1207567</v>
      </c>
      <c r="L470">
        <f t="shared" si="37"/>
        <v>0</v>
      </c>
      <c r="M470">
        <f t="shared" si="38"/>
        <v>0</v>
      </c>
      <c r="N470" s="119">
        <f t="shared" si="39"/>
        <v>2</v>
      </c>
      <c r="O470">
        <f t="shared" si="35"/>
        <v>0</v>
      </c>
    </row>
    <row r="471" spans="2:15" ht="15" customHeight="1" x14ac:dyDescent="0.25">
      <c r="B471" s="86" t="s">
        <v>899</v>
      </c>
      <c r="C471" s="87" t="s">
        <v>900</v>
      </c>
      <c r="D471" s="82" t="s">
        <v>16</v>
      </c>
      <c r="E471" s="83">
        <v>1</v>
      </c>
      <c r="F471" s="88">
        <v>803110</v>
      </c>
      <c r="G471" s="89">
        <f t="shared" si="36"/>
        <v>803110</v>
      </c>
      <c r="H471" s="118" t="str">
        <f t="array" ref="H471:K471">_xlfn.XLOOKUP(C471,'ESAP NEIVA FASE II UNIFICADO'!$C$6:$C$720,'ESAP NEIVA FASE II UNIFICADO'!$C$6:$F$720,"NO ESTA")</f>
        <v>SUMINISTRO E INSTALACION SENSOR DIFERENCIAL DE PRESIÓN SISTEMA AIRE UMAS</v>
      </c>
      <c r="I471" t="str">
        <v>UND</v>
      </c>
      <c r="J471">
        <v>1</v>
      </c>
      <c r="K471">
        <v>867763</v>
      </c>
      <c r="L471">
        <f t="shared" si="37"/>
        <v>0</v>
      </c>
      <c r="M471">
        <f t="shared" si="38"/>
        <v>0</v>
      </c>
      <c r="N471" s="119">
        <f t="shared" si="39"/>
        <v>1</v>
      </c>
      <c r="O471">
        <f t="shared" si="35"/>
        <v>0</v>
      </c>
    </row>
    <row r="472" spans="2:15" ht="15" customHeight="1" x14ac:dyDescent="0.25">
      <c r="B472" s="86" t="s">
        <v>901</v>
      </c>
      <c r="C472" s="87" t="s">
        <v>902</v>
      </c>
      <c r="D472" s="82" t="s">
        <v>16</v>
      </c>
      <c r="E472" s="83">
        <v>1</v>
      </c>
      <c r="F472" s="88">
        <v>803110</v>
      </c>
      <c r="G472" s="89">
        <f t="shared" si="36"/>
        <v>803110</v>
      </c>
      <c r="H472" s="118" t="str">
        <f t="array" ref="H472:K472">_xlfn.XLOOKUP(C472,'ESAP NEIVA FASE II UNIFICADO'!$C$6:$C$720,'ESAP NEIVA FASE II UNIFICADO'!$C$6:$F$720,"NO ESTA")</f>
        <v>SUMINISTRO E INSTALACION SENSOR DE FLUJO AIRE UMAS</v>
      </c>
      <c r="I472" t="str">
        <v>UND</v>
      </c>
      <c r="J472">
        <v>2</v>
      </c>
      <c r="K472">
        <v>867763</v>
      </c>
      <c r="L472">
        <f t="shared" si="37"/>
        <v>0</v>
      </c>
      <c r="M472">
        <f t="shared" si="38"/>
        <v>0</v>
      </c>
      <c r="N472" s="119">
        <f t="shared" si="39"/>
        <v>1</v>
      </c>
      <c r="O472">
        <f t="shared" si="35"/>
        <v>0</v>
      </c>
    </row>
    <row r="473" spans="2:15" ht="15" customHeight="1" x14ac:dyDescent="0.25">
      <c r="B473" s="86" t="s">
        <v>903</v>
      </c>
      <c r="C473" s="87" t="s">
        <v>904</v>
      </c>
      <c r="D473" s="82" t="s">
        <v>16</v>
      </c>
      <c r="E473" s="83">
        <v>2</v>
      </c>
      <c r="F473" s="88">
        <v>1022463</v>
      </c>
      <c r="G473" s="89">
        <f t="shared" si="36"/>
        <v>2044926</v>
      </c>
      <c r="H473" s="118" t="str">
        <f t="array" ref="H473:K473">_xlfn.XLOOKUP(C473,'ESAP NEIVA FASE II UNIFICADO'!$C$6:$C$720,'ESAP NEIVA FASE II UNIFICADO'!$C$6:$F$720,"NO ESTA")</f>
        <v>SUMINISTRO E INSTALACION SENSOR CO</v>
      </c>
      <c r="I473" t="str">
        <v>UND</v>
      </c>
      <c r="J473">
        <v>3</v>
      </c>
      <c r="K473">
        <v>1104774</v>
      </c>
      <c r="L473">
        <f t="shared" si="37"/>
        <v>0</v>
      </c>
      <c r="M473">
        <f t="shared" si="38"/>
        <v>0</v>
      </c>
      <c r="N473" s="119">
        <f t="shared" si="39"/>
        <v>2</v>
      </c>
      <c r="O473">
        <f t="shared" si="35"/>
        <v>0</v>
      </c>
    </row>
    <row r="474" spans="2:15" ht="15" customHeight="1" x14ac:dyDescent="0.25">
      <c r="B474" s="86" t="s">
        <v>905</v>
      </c>
      <c r="C474" s="87" t="s">
        <v>906</v>
      </c>
      <c r="D474" s="82" t="s">
        <v>16</v>
      </c>
      <c r="E474" s="83">
        <v>2</v>
      </c>
      <c r="F474" s="88">
        <v>306739</v>
      </c>
      <c r="G474" s="89">
        <f t="shared" si="36"/>
        <v>613478</v>
      </c>
      <c r="H474" s="118" t="str">
        <f t="array" ref="H474:K474">_xlfn.XLOOKUP(C474,'ESAP NEIVA FASE II UNIFICADO'!$C$6:$C$720,'ESAP NEIVA FASE II UNIFICADO'!$C$6:$F$720,"NO ESTA")</f>
        <v>SUMINISTRO E INSTALACION SENSOR CONTROL CO2 UMAS</v>
      </c>
      <c r="I474" t="str">
        <v>UND</v>
      </c>
      <c r="J474">
        <v>2</v>
      </c>
      <c r="K474">
        <v>331432</v>
      </c>
      <c r="L474">
        <f t="shared" si="37"/>
        <v>0</v>
      </c>
      <c r="M474">
        <f t="shared" si="38"/>
        <v>0</v>
      </c>
      <c r="N474" s="119">
        <f t="shared" si="39"/>
        <v>2</v>
      </c>
      <c r="O474">
        <f t="shared" si="35"/>
        <v>0</v>
      </c>
    </row>
    <row r="475" spans="2:15" ht="15" customHeight="1" x14ac:dyDescent="0.25">
      <c r="B475" s="74">
        <v>18</v>
      </c>
      <c r="C475" s="75" t="s">
        <v>907</v>
      </c>
      <c r="D475" s="76"/>
      <c r="E475" s="77"/>
      <c r="F475" s="78"/>
      <c r="G475" s="89">
        <f t="shared" si="36"/>
        <v>0</v>
      </c>
      <c r="H475" s="118" t="str">
        <f t="array" ref="H475:K475">_xlfn.XLOOKUP(C475,'ESAP NEIVA FASE II UNIFICADO'!$C$6:$C$720,'ESAP NEIVA FASE II UNIFICADO'!$C$6:$F$720,"NO ESTA")</f>
        <v>RED DE VOZ Y DATOS Cat. 6A BLINDADO LSZH (Low Smoke Zero Halogen)</v>
      </c>
      <c r="I475">
        <v>0</v>
      </c>
      <c r="J475">
        <v>0</v>
      </c>
      <c r="K475">
        <v>0</v>
      </c>
      <c r="L475">
        <f t="shared" si="37"/>
        <v>1</v>
      </c>
      <c r="M475">
        <f t="shared" si="38"/>
        <v>0</v>
      </c>
      <c r="N475" s="119">
        <f t="shared" si="39"/>
        <v>0</v>
      </c>
      <c r="O475">
        <f t="shared" si="35"/>
        <v>0</v>
      </c>
    </row>
    <row r="476" spans="2:15" ht="15" customHeight="1" x14ac:dyDescent="0.25">
      <c r="B476" s="80" t="s">
        <v>908</v>
      </c>
      <c r="C476" s="81" t="s">
        <v>909</v>
      </c>
      <c r="D476" s="82"/>
      <c r="E476" s="83"/>
      <c r="F476" s="90"/>
      <c r="G476" s="89">
        <f t="shared" si="36"/>
        <v>0</v>
      </c>
      <c r="H476" s="118" t="str">
        <f t="array" ref="H476:K476">_xlfn.XLOOKUP(C476,'ESAP NEIVA FASE II UNIFICADO'!$C$6:$C$720,'ESAP NEIVA FASE II UNIFICADO'!$C$6:$F$720,"NO ESTA")</f>
        <v>SUMINISTRO E INSTALACION DE TOMAS PUESTOS DE TRABAJO</v>
      </c>
      <c r="I476">
        <v>0</v>
      </c>
      <c r="J476">
        <v>0</v>
      </c>
      <c r="K476">
        <v>0</v>
      </c>
      <c r="L476">
        <f t="shared" si="37"/>
        <v>1</v>
      </c>
      <c r="M476">
        <f t="shared" si="38"/>
        <v>0</v>
      </c>
      <c r="N476" s="119">
        <f t="shared" si="39"/>
        <v>0</v>
      </c>
      <c r="O476">
        <f t="shared" si="35"/>
        <v>0</v>
      </c>
    </row>
    <row r="477" spans="2:15" ht="26.25" customHeight="1" x14ac:dyDescent="0.25">
      <c r="B477" s="86" t="s">
        <v>910</v>
      </c>
      <c r="C477" s="87" t="s">
        <v>911</v>
      </c>
      <c r="D477" s="82" t="s">
        <v>16</v>
      </c>
      <c r="E477" s="83">
        <v>64</v>
      </c>
      <c r="F477" s="88">
        <v>34792</v>
      </c>
      <c r="G477" s="89">
        <f t="shared" si="36"/>
        <v>2226688</v>
      </c>
      <c r="H477" s="118" t="str">
        <f t="array" ref="H477:K477">_xlfn.XLOOKUP(C477,'ESAP NEIVA FASE II UNIFICADO'!$C$6:$C$720,'ESAP NEIVA FASE II UNIFICADO'!$C$6:$F$720,"NO ESTA")</f>
        <v xml:space="preserve">SUMINISTRO E INSTALACION TOMAS SENCILLA RJ45 Cat. 6A DATOS BLINDADO INCLUYE MARQUILLAS </v>
      </c>
      <c r="I477" t="str">
        <v>UND</v>
      </c>
      <c r="J477">
        <v>172</v>
      </c>
      <c r="K477">
        <v>37593</v>
      </c>
      <c r="L477">
        <f t="shared" si="37"/>
        <v>0</v>
      </c>
      <c r="M477">
        <f t="shared" si="38"/>
        <v>0</v>
      </c>
      <c r="N477" s="119">
        <f t="shared" si="39"/>
        <v>64</v>
      </c>
      <c r="O477">
        <f t="shared" si="35"/>
        <v>0</v>
      </c>
    </row>
    <row r="478" spans="2:15" ht="26.25" customHeight="1" x14ac:dyDescent="0.25">
      <c r="B478" s="86" t="s">
        <v>912</v>
      </c>
      <c r="C478" s="87" t="s">
        <v>913</v>
      </c>
      <c r="D478" s="82" t="s">
        <v>16</v>
      </c>
      <c r="E478" s="83">
        <v>14</v>
      </c>
      <c r="F478" s="88">
        <v>34792</v>
      </c>
      <c r="G478" s="89">
        <f t="shared" si="36"/>
        <v>487088</v>
      </c>
      <c r="H478" s="118" t="str">
        <f t="array" ref="H478:K478">_xlfn.XLOOKUP(C478,'ESAP NEIVA FASE II UNIFICADO'!$C$6:$C$720,'ESAP NEIVA FASE II UNIFICADO'!$C$6:$F$720,"NO ESTA")</f>
        <v>SUMINISTRO E INSTALACION TOMAS SENCILLA RJ45 Cat. 6A VOZ BLINDADO INCLUYE MARQUILLAS</v>
      </c>
      <c r="I478" t="str">
        <v>UND</v>
      </c>
      <c r="J478">
        <v>38</v>
      </c>
      <c r="K478">
        <v>37593</v>
      </c>
      <c r="L478">
        <f t="shared" si="37"/>
        <v>0</v>
      </c>
      <c r="M478">
        <f t="shared" si="38"/>
        <v>0</v>
      </c>
      <c r="N478" s="119">
        <f t="shared" si="39"/>
        <v>14</v>
      </c>
      <c r="O478">
        <f t="shared" si="35"/>
        <v>0</v>
      </c>
    </row>
    <row r="479" spans="2:15" ht="15" customHeight="1" x14ac:dyDescent="0.25">
      <c r="B479" s="86" t="s">
        <v>914</v>
      </c>
      <c r="C479" s="87" t="s">
        <v>915</v>
      </c>
      <c r="D479" s="82" t="s">
        <v>16</v>
      </c>
      <c r="E479" s="83">
        <v>64</v>
      </c>
      <c r="F479" s="88">
        <v>9184</v>
      </c>
      <c r="G479" s="89">
        <f t="shared" si="36"/>
        <v>587776</v>
      </c>
      <c r="H479" s="118" t="str">
        <f t="array" ref="H479:K479">_xlfn.XLOOKUP(C479,'ESAP NEIVA FASE II UNIFICADO'!$C$6:$C$720,'ESAP NEIVA FASE II UNIFICADO'!$C$6:$F$720,"NO ESTA")</f>
        <v>SUMINISTRO E INSTALACION FACE PLATE DOBLE PARA TOMA RJ45</v>
      </c>
      <c r="I479" t="str">
        <v>UND</v>
      </c>
      <c r="J479">
        <v>172</v>
      </c>
      <c r="K479">
        <v>9923</v>
      </c>
      <c r="L479">
        <f t="shared" si="37"/>
        <v>0</v>
      </c>
      <c r="M479">
        <f t="shared" si="38"/>
        <v>0</v>
      </c>
      <c r="N479" s="119">
        <f t="shared" si="39"/>
        <v>64</v>
      </c>
      <c r="O479">
        <f t="shared" si="35"/>
        <v>0</v>
      </c>
    </row>
    <row r="480" spans="2:15" ht="15" customHeight="1" x14ac:dyDescent="0.25">
      <c r="B480" s="86" t="s">
        <v>916</v>
      </c>
      <c r="C480" s="87" t="s">
        <v>917</v>
      </c>
      <c r="D480" s="82" t="s">
        <v>16</v>
      </c>
      <c r="E480" s="83">
        <v>64</v>
      </c>
      <c r="F480" s="88">
        <v>41852</v>
      </c>
      <c r="G480" s="89">
        <f t="shared" si="36"/>
        <v>2678528</v>
      </c>
      <c r="H480" s="118" t="str">
        <f t="array" ref="H480:K480">_xlfn.XLOOKUP(C480,'ESAP NEIVA FASE II UNIFICADO'!$C$6:$C$720,'ESAP NEIVA FASE II UNIFICADO'!$C$6:$F$720,"NO ESTA")</f>
        <v>SUMINISTRO E INSTALACION PATCH CORD. RJ45-RJ45 1,5 m Cat. 6A BLINDADO</v>
      </c>
      <c r="I480" t="str">
        <v>UND</v>
      </c>
      <c r="J480">
        <v>172</v>
      </c>
      <c r="K480">
        <v>45221</v>
      </c>
      <c r="L480">
        <f t="shared" si="37"/>
        <v>0</v>
      </c>
      <c r="M480">
        <f t="shared" si="38"/>
        <v>0</v>
      </c>
      <c r="N480" s="119">
        <f t="shared" si="39"/>
        <v>64</v>
      </c>
      <c r="O480">
        <f t="shared" si="35"/>
        <v>0</v>
      </c>
    </row>
    <row r="481" spans="2:15" ht="15" customHeight="1" x14ac:dyDescent="0.25">
      <c r="B481" s="80" t="s">
        <v>918</v>
      </c>
      <c r="C481" s="81" t="s">
        <v>919</v>
      </c>
      <c r="D481" s="82"/>
      <c r="E481" s="83"/>
      <c r="F481" s="104"/>
      <c r="G481" s="89">
        <f t="shared" si="36"/>
        <v>0</v>
      </c>
      <c r="H481" s="118" t="str">
        <f t="array" ref="H481:K481">_xlfn.XLOOKUP(C481,'ESAP NEIVA FASE II UNIFICADO'!$C$6:$C$720,'ESAP NEIVA FASE II UNIFICADO'!$C$6:$F$720,"NO ESTA")</f>
        <v>SUMINISTRO E INSTALACION DE CABLES</v>
      </c>
      <c r="I481">
        <v>0</v>
      </c>
      <c r="J481">
        <v>0</v>
      </c>
      <c r="K481">
        <v>0</v>
      </c>
      <c r="L481">
        <f t="shared" si="37"/>
        <v>1</v>
      </c>
      <c r="M481">
        <f t="shared" si="38"/>
        <v>0</v>
      </c>
      <c r="N481" s="119">
        <f t="shared" si="39"/>
        <v>0</v>
      </c>
      <c r="O481">
        <f t="shared" si="35"/>
        <v>0</v>
      </c>
    </row>
    <row r="482" spans="2:15" ht="24.75" customHeight="1" x14ac:dyDescent="0.25">
      <c r="B482" s="86" t="s">
        <v>920</v>
      </c>
      <c r="C482" s="87" t="s">
        <v>921</v>
      </c>
      <c r="D482" s="82" t="s">
        <v>94</v>
      </c>
      <c r="E482" s="83">
        <v>1765</v>
      </c>
      <c r="F482" s="88">
        <v>4168</v>
      </c>
      <c r="G482" s="89">
        <f t="shared" si="36"/>
        <v>7356520</v>
      </c>
      <c r="H482" s="118" t="str">
        <f t="array" ref="H482:K482">_xlfn.XLOOKUP(C482,'ESAP NEIVA FASE II UNIFICADO'!$C$6:$C$720,'ESAP NEIVA FASE II UNIFICADO'!$C$6:$F$720,"NO ESTA")</f>
        <v>SUMINISTRO E INSTALACION CABLE 10 G F/UTP Cat. 6A CON CHAQUETA LSZH (LOW SMOKE ZERO HALOGEN)</v>
      </c>
      <c r="I482" t="str">
        <v>ML</v>
      </c>
      <c r="J482">
        <v>11247</v>
      </c>
      <c r="K482">
        <v>4503</v>
      </c>
      <c r="L482">
        <f t="shared" si="37"/>
        <v>0</v>
      </c>
      <c r="M482">
        <f t="shared" si="38"/>
        <v>0</v>
      </c>
      <c r="N482" s="119">
        <f t="shared" si="39"/>
        <v>1765</v>
      </c>
      <c r="O482">
        <f t="shared" si="35"/>
        <v>0</v>
      </c>
    </row>
    <row r="483" spans="2:15" ht="15" customHeight="1" x14ac:dyDescent="0.25">
      <c r="B483" s="80" t="s">
        <v>922</v>
      </c>
      <c r="C483" s="81" t="s">
        <v>923</v>
      </c>
      <c r="D483" s="82"/>
      <c r="E483" s="83"/>
      <c r="F483" s="104"/>
      <c r="G483" s="89">
        <f t="shared" si="36"/>
        <v>0</v>
      </c>
      <c r="H483" s="118" t="str">
        <f t="array" ref="H483:K483">_xlfn.XLOOKUP(C483,'ESAP NEIVA FASE II UNIFICADO'!$C$6:$C$720,'ESAP NEIVA FASE II UNIFICADO'!$C$6:$F$720,"NO ESTA")</f>
        <v xml:space="preserve">SUMINISTRO E INSTALACION DE ELEMENTOS DE ADMINISTRACIÓN </v>
      </c>
      <c r="I483">
        <v>0</v>
      </c>
      <c r="J483">
        <v>0</v>
      </c>
      <c r="K483">
        <v>0</v>
      </c>
      <c r="L483">
        <f t="shared" si="37"/>
        <v>1</v>
      </c>
      <c r="M483">
        <f t="shared" si="38"/>
        <v>0</v>
      </c>
      <c r="N483" s="119">
        <f t="shared" si="39"/>
        <v>0</v>
      </c>
      <c r="O483">
        <f t="shared" si="35"/>
        <v>0</v>
      </c>
    </row>
    <row r="484" spans="2:15" ht="15" customHeight="1" x14ac:dyDescent="0.25">
      <c r="B484" s="86" t="s">
        <v>924</v>
      </c>
      <c r="C484" s="87" t="s">
        <v>925</v>
      </c>
      <c r="D484" s="82" t="s">
        <v>16</v>
      </c>
      <c r="E484" s="83">
        <v>4</v>
      </c>
      <c r="F484" s="88">
        <v>248614</v>
      </c>
      <c r="G484" s="89">
        <f t="shared" si="36"/>
        <v>994456</v>
      </c>
      <c r="H484" s="118" t="str">
        <f t="array" ref="H484:K484">_xlfn.XLOOKUP(C484,'ESAP NEIVA FASE II UNIFICADO'!$C$6:$C$720,'ESAP NEIVA FASE II UNIFICADO'!$C$6:$F$720,"NO ESTA")</f>
        <v>SUMINISTRO E INSTALACION HERRAJE PATVH PANEL 24 Pts Cat. 6A BLINDADO</v>
      </c>
      <c r="I484" t="str">
        <v>UND</v>
      </c>
      <c r="J484">
        <v>9</v>
      </c>
      <c r="K484">
        <v>268628</v>
      </c>
      <c r="L484">
        <f t="shared" si="37"/>
        <v>0</v>
      </c>
      <c r="M484">
        <f t="shared" si="38"/>
        <v>0</v>
      </c>
      <c r="N484" s="119">
        <f t="shared" si="39"/>
        <v>4</v>
      </c>
      <c r="O484">
        <f t="shared" si="35"/>
        <v>0</v>
      </c>
    </row>
    <row r="485" spans="2:15" ht="26.25" customHeight="1" x14ac:dyDescent="0.25">
      <c r="B485" s="86" t="s">
        <v>926</v>
      </c>
      <c r="C485" s="87" t="s">
        <v>927</v>
      </c>
      <c r="D485" s="82" t="s">
        <v>16</v>
      </c>
      <c r="E485" s="83">
        <v>64</v>
      </c>
      <c r="F485" s="88">
        <v>34794</v>
      </c>
      <c r="G485" s="89">
        <f t="shared" si="36"/>
        <v>2226816</v>
      </c>
      <c r="H485" s="118" t="str">
        <f t="array" ref="H485:K485">_xlfn.XLOOKUP(C485,'ESAP NEIVA FASE II UNIFICADO'!$C$6:$C$720,'ESAP NEIVA FASE II UNIFICADO'!$C$6:$F$720,"NO ESTA")</f>
        <v>SUMINISTRO E INSTALACION TOMA SENCILLA RJ45 Cat. 6A AZUL DATOS BLINDADO INCLUYE MARQUILLAS</v>
      </c>
      <c r="I485" t="str">
        <v>UND</v>
      </c>
      <c r="J485">
        <v>172</v>
      </c>
      <c r="K485">
        <v>37595</v>
      </c>
      <c r="L485">
        <f t="shared" si="37"/>
        <v>0</v>
      </c>
      <c r="M485">
        <f t="shared" si="38"/>
        <v>0</v>
      </c>
      <c r="N485" s="119">
        <f t="shared" si="39"/>
        <v>64</v>
      </c>
      <c r="O485">
        <f t="shared" si="35"/>
        <v>0</v>
      </c>
    </row>
    <row r="486" spans="2:15" ht="26.25" customHeight="1" x14ac:dyDescent="0.25">
      <c r="B486" s="86" t="s">
        <v>928</v>
      </c>
      <c r="C486" s="87" t="s">
        <v>929</v>
      </c>
      <c r="D486" s="82" t="s">
        <v>16</v>
      </c>
      <c r="E486" s="83">
        <v>14</v>
      </c>
      <c r="F486" s="88">
        <v>34794</v>
      </c>
      <c r="G486" s="89">
        <f t="shared" si="36"/>
        <v>487116</v>
      </c>
      <c r="H486" s="118" t="str">
        <f t="array" ref="H486:K486">_xlfn.XLOOKUP(C486,'ESAP NEIVA FASE II UNIFICADO'!$C$6:$C$720,'ESAP NEIVA FASE II UNIFICADO'!$C$6:$F$720,"NO ESTA")</f>
        <v>SUMINISTRO E INSTALACION TOMA SENCILLA RJ45 Cat. 6A ROJO VOZ BLINDADO INCLUYE MARQUILLAS</v>
      </c>
      <c r="I486" t="str">
        <v>UND</v>
      </c>
      <c r="J486">
        <v>38</v>
      </c>
      <c r="K486">
        <v>37595</v>
      </c>
      <c r="L486">
        <f t="shared" si="37"/>
        <v>0</v>
      </c>
      <c r="M486">
        <f t="shared" si="38"/>
        <v>0</v>
      </c>
      <c r="N486" s="119">
        <f t="shared" si="39"/>
        <v>14</v>
      </c>
      <c r="O486">
        <f t="shared" si="35"/>
        <v>0</v>
      </c>
    </row>
    <row r="487" spans="2:15" ht="15" customHeight="1" x14ac:dyDescent="0.25">
      <c r="B487" s="86" t="s">
        <v>930</v>
      </c>
      <c r="C487" s="87" t="s">
        <v>931</v>
      </c>
      <c r="D487" s="82" t="s">
        <v>16</v>
      </c>
      <c r="E487" s="83">
        <v>64</v>
      </c>
      <c r="F487" s="88">
        <v>44628</v>
      </c>
      <c r="G487" s="89">
        <f t="shared" si="36"/>
        <v>2856192</v>
      </c>
      <c r="H487" s="118" t="str">
        <f t="array" ref="H487:K487">_xlfn.XLOOKUP(C487,'ESAP NEIVA FASE II UNIFICADO'!$C$6:$C$720,'ESAP NEIVA FASE II UNIFICADO'!$C$6:$F$720,"NO ESTA")</f>
        <v>SUMINISTRO E INSTALACION PATCH CORD. RJ45-RJ45 3 m Cat. 6A DATOS BLINDADO</v>
      </c>
      <c r="I487" t="str">
        <v>UND</v>
      </c>
      <c r="J487">
        <v>172</v>
      </c>
      <c r="K487">
        <v>48221</v>
      </c>
      <c r="L487">
        <f t="shared" si="37"/>
        <v>0</v>
      </c>
      <c r="M487">
        <f t="shared" si="38"/>
        <v>0</v>
      </c>
      <c r="N487" s="119">
        <f t="shared" si="39"/>
        <v>64</v>
      </c>
      <c r="O487">
        <f t="shared" si="35"/>
        <v>0</v>
      </c>
    </row>
    <row r="488" spans="2:15" ht="15" customHeight="1" x14ac:dyDescent="0.25">
      <c r="B488" s="86" t="s">
        <v>932</v>
      </c>
      <c r="C488" s="87" t="s">
        <v>933</v>
      </c>
      <c r="D488" s="82" t="s">
        <v>16</v>
      </c>
      <c r="E488" s="83">
        <v>14</v>
      </c>
      <c r="F488" s="88">
        <v>44628</v>
      </c>
      <c r="G488" s="89">
        <f t="shared" si="36"/>
        <v>624792</v>
      </c>
      <c r="H488" s="118" t="str">
        <f t="array" ref="H488:K488">_xlfn.XLOOKUP(C488,'ESAP NEIVA FASE II UNIFICADO'!$C$6:$C$720,'ESAP NEIVA FASE II UNIFICADO'!$C$6:$F$720,"NO ESTA")</f>
        <v>SUMINISTRO E INSTALACION PATCH CORD. RJ45-RJ45 3 m Cat. 6A VOZ BLINDADO</v>
      </c>
      <c r="I488" t="str">
        <v>UND</v>
      </c>
      <c r="J488">
        <v>38</v>
      </c>
      <c r="K488">
        <v>48221</v>
      </c>
      <c r="L488">
        <f t="shared" si="37"/>
        <v>0</v>
      </c>
      <c r="M488">
        <f t="shared" si="38"/>
        <v>0</v>
      </c>
      <c r="N488" s="119">
        <f t="shared" si="39"/>
        <v>14</v>
      </c>
      <c r="O488">
        <f t="shared" si="35"/>
        <v>0</v>
      </c>
    </row>
    <row r="489" spans="2:15" ht="15" customHeight="1" x14ac:dyDescent="0.25">
      <c r="B489" s="86" t="s">
        <v>934</v>
      </c>
      <c r="C489" s="87" t="s">
        <v>935</v>
      </c>
      <c r="D489" s="82" t="s">
        <v>16</v>
      </c>
      <c r="E489" s="83">
        <v>4</v>
      </c>
      <c r="F489" s="88">
        <v>232040</v>
      </c>
      <c r="G489" s="89">
        <f t="shared" si="36"/>
        <v>928160</v>
      </c>
      <c r="H489" s="118" t="str">
        <f t="array" ref="H489:K489">_xlfn.XLOOKUP(C489,'ESAP NEIVA FASE II UNIFICADO'!$C$6:$C$720,'ESAP NEIVA FASE II UNIFICADO'!$C$6:$F$720,"NO ESTA")</f>
        <v>SUMINISTRO E INSTALACION ORGANIZADOR HORIZONTAL 2U</v>
      </c>
      <c r="I489" t="str">
        <v>UND</v>
      </c>
      <c r="J489">
        <v>9</v>
      </c>
      <c r="K489">
        <v>250719</v>
      </c>
      <c r="L489">
        <f t="shared" si="37"/>
        <v>0</v>
      </c>
      <c r="M489">
        <f t="shared" si="38"/>
        <v>0</v>
      </c>
      <c r="N489" s="119">
        <f t="shared" si="39"/>
        <v>4</v>
      </c>
      <c r="O489">
        <f t="shared" si="35"/>
        <v>0</v>
      </c>
    </row>
    <row r="490" spans="2:15" ht="15" customHeight="1" x14ac:dyDescent="0.25">
      <c r="B490" s="80" t="s">
        <v>936</v>
      </c>
      <c r="C490" s="81" t="s">
        <v>937</v>
      </c>
      <c r="D490" s="82"/>
      <c r="E490" s="83"/>
      <c r="F490" s="104"/>
      <c r="G490" s="89">
        <f t="shared" si="36"/>
        <v>0</v>
      </c>
      <c r="H490" s="118" t="str">
        <f t="array" ref="H490:K490">_xlfn.XLOOKUP(C490,'ESAP NEIVA FASE II UNIFICADO'!$C$6:$C$720,'ESAP NEIVA FASE II UNIFICADO'!$C$6:$F$720,"NO ESTA")</f>
        <v>SUMINISTRO E INSTALACIÓN INTEGRACIÓN TELEFÓNICA</v>
      </c>
      <c r="I490">
        <v>0</v>
      </c>
      <c r="J490">
        <v>0</v>
      </c>
      <c r="K490">
        <v>0</v>
      </c>
      <c r="L490">
        <f t="shared" si="37"/>
        <v>1</v>
      </c>
      <c r="M490">
        <f t="shared" si="38"/>
        <v>0</v>
      </c>
      <c r="N490" s="119">
        <f t="shared" si="39"/>
        <v>0</v>
      </c>
      <c r="O490">
        <f t="shared" si="35"/>
        <v>0</v>
      </c>
    </row>
    <row r="491" spans="2:15" ht="24.75" customHeight="1" x14ac:dyDescent="0.25">
      <c r="B491" s="86" t="s">
        <v>938</v>
      </c>
      <c r="C491" s="87" t="s">
        <v>939</v>
      </c>
      <c r="D491" s="82" t="s">
        <v>16</v>
      </c>
      <c r="E491" s="83">
        <v>1</v>
      </c>
      <c r="F491" s="88">
        <v>538416</v>
      </c>
      <c r="G491" s="89">
        <f t="shared" si="36"/>
        <v>538416</v>
      </c>
      <c r="H491" s="118" t="str">
        <f t="array" ref="H491:K491">_xlfn.XLOOKUP(C491,'ESAP NEIVA FASE II UNIFICADO'!$C$6:$C$720,'ESAP NEIVA FASE II UNIFICADO'!$C$6:$F$720,"NO ESTA")</f>
        <v>SUMINISTRO E INSTALACION PATCH PANEL 24 Pts Cat. 5E BLINDADO PARA INTEGRACIÓN TELEFONICA</v>
      </c>
      <c r="I491" t="str">
        <v>UND</v>
      </c>
      <c r="J491">
        <v>1</v>
      </c>
      <c r="K491">
        <v>581760</v>
      </c>
      <c r="L491">
        <f t="shared" si="37"/>
        <v>0</v>
      </c>
      <c r="M491">
        <f t="shared" si="38"/>
        <v>0</v>
      </c>
      <c r="N491" s="119">
        <f t="shared" si="39"/>
        <v>1</v>
      </c>
      <c r="O491">
        <f t="shared" si="35"/>
        <v>0</v>
      </c>
    </row>
    <row r="492" spans="2:15" ht="24.75" customHeight="1" x14ac:dyDescent="0.25">
      <c r="B492" s="86" t="s">
        <v>940</v>
      </c>
      <c r="C492" s="87" t="s">
        <v>941</v>
      </c>
      <c r="D492" s="82" t="s">
        <v>16</v>
      </c>
      <c r="E492" s="83">
        <v>14</v>
      </c>
      <c r="F492" s="88">
        <v>32703</v>
      </c>
      <c r="G492" s="89">
        <f t="shared" si="36"/>
        <v>457842</v>
      </c>
      <c r="H492" s="118" t="str">
        <f t="array" ref="H492:K492">_xlfn.XLOOKUP(C492,'ESAP NEIVA FASE II UNIFICADO'!$C$6:$C$720,'ESAP NEIVA FASE II UNIFICADO'!$C$6:$F$720,"NO ESTA")</f>
        <v>SUMINISTRO E INSTALACION PATCH CORD RJ45-RJ45 1m Cat 5E INTEGRACIÓN TELEFÓNICA INCLUYE MARQUILLAS</v>
      </c>
      <c r="I492" t="str">
        <v>UND</v>
      </c>
      <c r="J492">
        <v>38</v>
      </c>
      <c r="K492">
        <v>35336</v>
      </c>
      <c r="L492">
        <f t="shared" si="37"/>
        <v>0</v>
      </c>
      <c r="M492">
        <f t="shared" si="38"/>
        <v>0</v>
      </c>
      <c r="N492" s="119">
        <f t="shared" si="39"/>
        <v>14</v>
      </c>
      <c r="O492">
        <f t="shared" si="35"/>
        <v>0</v>
      </c>
    </row>
    <row r="493" spans="2:15" ht="15" customHeight="1" x14ac:dyDescent="0.25">
      <c r="B493" s="86" t="s">
        <v>942</v>
      </c>
      <c r="C493" s="87" t="s">
        <v>935</v>
      </c>
      <c r="D493" s="82" t="s">
        <v>16</v>
      </c>
      <c r="E493" s="83">
        <v>1</v>
      </c>
      <c r="F493" s="88">
        <v>232040</v>
      </c>
      <c r="G493" s="89">
        <f t="shared" si="36"/>
        <v>232040</v>
      </c>
      <c r="H493" s="118" t="str">
        <f t="array" ref="H493:K493">_xlfn.XLOOKUP(C493,'ESAP NEIVA FASE II UNIFICADO'!$C$6:$C$720,'ESAP NEIVA FASE II UNIFICADO'!$C$6:$F$720,"NO ESTA")</f>
        <v>SUMINISTRO E INSTALACION ORGANIZADOR HORIZONTAL 2U</v>
      </c>
      <c r="I493" t="str">
        <v>UND</v>
      </c>
      <c r="J493">
        <v>9</v>
      </c>
      <c r="K493">
        <v>250719</v>
      </c>
      <c r="L493">
        <f t="shared" si="37"/>
        <v>0</v>
      </c>
      <c r="M493">
        <f t="shared" si="38"/>
        <v>0</v>
      </c>
      <c r="N493" s="119">
        <f t="shared" si="39"/>
        <v>1</v>
      </c>
      <c r="O493">
        <f t="shared" si="35"/>
        <v>0</v>
      </c>
    </row>
    <row r="494" spans="2:15" ht="15" customHeight="1" x14ac:dyDescent="0.25">
      <c r="B494" s="80" t="s">
        <v>943</v>
      </c>
      <c r="C494" s="81" t="s">
        <v>944</v>
      </c>
      <c r="D494" s="82"/>
      <c r="E494" s="83"/>
      <c r="F494" s="104"/>
      <c r="G494" s="89">
        <f t="shared" si="36"/>
        <v>0</v>
      </c>
      <c r="H494" s="118" t="str">
        <f t="array" ref="H494:K494">_xlfn.XLOOKUP(C494,'ESAP NEIVA FASE II UNIFICADO'!$C$6:$C$720,'ESAP NEIVA FASE II UNIFICADO'!$C$6:$F$720,"NO ESTA")</f>
        <v>SUMINISTRO E INSTALACIÓN DE BACKBONE</v>
      </c>
      <c r="I494">
        <v>0</v>
      </c>
      <c r="J494">
        <v>0</v>
      </c>
      <c r="K494">
        <v>0</v>
      </c>
      <c r="L494">
        <f t="shared" si="37"/>
        <v>1</v>
      </c>
      <c r="M494">
        <f t="shared" si="38"/>
        <v>0</v>
      </c>
      <c r="N494" s="119">
        <f t="shared" si="39"/>
        <v>0</v>
      </c>
      <c r="O494">
        <f t="shared" si="35"/>
        <v>0</v>
      </c>
    </row>
    <row r="495" spans="2:15" ht="15" customHeight="1" x14ac:dyDescent="0.25">
      <c r="B495" s="86" t="s">
        <v>945</v>
      </c>
      <c r="C495" s="87" t="s">
        <v>946</v>
      </c>
      <c r="D495" s="82" t="s">
        <v>94</v>
      </c>
      <c r="E495" s="83">
        <v>12</v>
      </c>
      <c r="F495" s="88">
        <v>18142</v>
      </c>
      <c r="G495" s="89">
        <f t="shared" si="36"/>
        <v>217704</v>
      </c>
      <c r="H495" s="118" t="str">
        <f t="array" ref="H495:K495">_xlfn.XLOOKUP(C495,'ESAP NEIVA FASE II UNIFICADO'!$C$6:$C$720,'ESAP NEIVA FASE II UNIFICADO'!$C$6:$F$720,"NO ESTA")</f>
        <v>SUMINISTRO E INSTALACION FIBRA OPTICA 6 HILOS MULTIMODO 50/125 u.</v>
      </c>
      <c r="I495" t="str">
        <v>ML</v>
      </c>
      <c r="J495">
        <v>32</v>
      </c>
      <c r="K495">
        <v>19602</v>
      </c>
      <c r="L495">
        <f t="shared" si="37"/>
        <v>0</v>
      </c>
      <c r="M495">
        <f t="shared" si="38"/>
        <v>0</v>
      </c>
      <c r="N495" s="119">
        <f t="shared" si="39"/>
        <v>12</v>
      </c>
      <c r="O495">
        <f t="shared" si="35"/>
        <v>0</v>
      </c>
    </row>
    <row r="496" spans="2:15" ht="15" customHeight="1" x14ac:dyDescent="0.25">
      <c r="B496" s="86" t="s">
        <v>947</v>
      </c>
      <c r="C496" s="87" t="s">
        <v>948</v>
      </c>
      <c r="D496" s="82" t="s">
        <v>16</v>
      </c>
      <c r="E496" s="83">
        <v>2</v>
      </c>
      <c r="F496" s="88">
        <v>654027</v>
      </c>
      <c r="G496" s="89">
        <f t="shared" si="36"/>
        <v>1308054</v>
      </c>
      <c r="H496" s="118" t="str">
        <f t="array" ref="H496:K496">_xlfn.XLOOKUP(C496,'ESAP NEIVA FASE II UNIFICADO'!$C$6:$C$720,'ESAP NEIVA FASE II UNIFICADO'!$C$6:$F$720,"NO ESTA")</f>
        <v>SUMINISTRO E INSTALACION BANDEJA DE FIBRA OPTICA DE 24 PUERTOS</v>
      </c>
      <c r="I496" t="str">
        <v>UND</v>
      </c>
      <c r="J496">
        <v>2</v>
      </c>
      <c r="K496">
        <v>706677</v>
      </c>
      <c r="L496">
        <f t="shared" si="37"/>
        <v>0</v>
      </c>
      <c r="M496">
        <f t="shared" si="38"/>
        <v>0</v>
      </c>
      <c r="N496" s="119">
        <f t="shared" si="39"/>
        <v>2</v>
      </c>
      <c r="O496">
        <f t="shared" si="35"/>
        <v>0</v>
      </c>
    </row>
    <row r="497" spans="2:15" ht="15" customHeight="1" x14ac:dyDescent="0.25">
      <c r="B497" s="86" t="s">
        <v>949</v>
      </c>
      <c r="C497" s="87" t="s">
        <v>950</v>
      </c>
      <c r="D497" s="82" t="s">
        <v>16</v>
      </c>
      <c r="E497" s="83">
        <v>2</v>
      </c>
      <c r="F497" s="88">
        <v>232040</v>
      </c>
      <c r="G497" s="89">
        <f t="shared" si="36"/>
        <v>464080</v>
      </c>
      <c r="H497" s="118" t="str">
        <f t="array" ref="H497:K497">_xlfn.XLOOKUP(C497,'ESAP NEIVA FASE II UNIFICADO'!$C$6:$C$720,'ESAP NEIVA FASE II UNIFICADO'!$C$6:$F$720,"NO ESTA")</f>
        <v>SUMINISTRO E INSTALACION ORGANIZADOR HORIZONTAL 1U</v>
      </c>
      <c r="I497" t="str">
        <v>UND</v>
      </c>
      <c r="J497">
        <v>2</v>
      </c>
      <c r="K497">
        <v>250719</v>
      </c>
      <c r="L497">
        <f t="shared" si="37"/>
        <v>0</v>
      </c>
      <c r="M497">
        <f t="shared" si="38"/>
        <v>0</v>
      </c>
      <c r="N497" s="119">
        <f t="shared" si="39"/>
        <v>2</v>
      </c>
      <c r="O497">
        <f t="shared" si="35"/>
        <v>0</v>
      </c>
    </row>
    <row r="498" spans="2:15" ht="15" customHeight="1" x14ac:dyDescent="0.25">
      <c r="B498" s="80" t="s">
        <v>951</v>
      </c>
      <c r="C498" s="81" t="s">
        <v>952</v>
      </c>
      <c r="D498" s="82"/>
      <c r="E498" s="83"/>
      <c r="F498" s="104"/>
      <c r="G498" s="89">
        <f t="shared" si="36"/>
        <v>0</v>
      </c>
      <c r="H498" s="118" t="str">
        <f t="array" ref="H498:K498">_xlfn.XLOOKUP(C498,'ESAP NEIVA FASE II UNIFICADO'!$C$6:$C$720,'ESAP NEIVA FASE II UNIFICADO'!$C$6:$F$720,"NO ESTA")</f>
        <v xml:space="preserve">SUMINISTRO E INSTALACIÓN DE OTROS </v>
      </c>
      <c r="I498">
        <v>0</v>
      </c>
      <c r="J498">
        <v>0</v>
      </c>
      <c r="K498">
        <v>0</v>
      </c>
      <c r="L498">
        <f t="shared" si="37"/>
        <v>1</v>
      </c>
      <c r="M498">
        <f t="shared" si="38"/>
        <v>0</v>
      </c>
      <c r="N498" s="119">
        <f t="shared" si="39"/>
        <v>0</v>
      </c>
      <c r="O498">
        <f t="shared" si="35"/>
        <v>0</v>
      </c>
    </row>
    <row r="499" spans="2:15" ht="25.5" customHeight="1" x14ac:dyDescent="0.25">
      <c r="B499" s="86" t="s">
        <v>953</v>
      </c>
      <c r="C499" s="87" t="s">
        <v>954</v>
      </c>
      <c r="D499" s="82" t="s">
        <v>16</v>
      </c>
      <c r="E499" s="83">
        <v>1</v>
      </c>
      <c r="F499" s="88">
        <v>4169101</v>
      </c>
      <c r="G499" s="89">
        <f t="shared" si="36"/>
        <v>4169101</v>
      </c>
      <c r="H499" s="118" t="str">
        <f t="array" ref="H499:K499">_xlfn.XLOOKUP(C499,'ESAP NEIVA FASE II UNIFICADO'!$C$6:$C$720,'ESAP NEIVA FASE II UNIFICADO'!$C$6:$F$720,"NO ESTA")</f>
        <v>SUMINISTRO E INSTALACION GABINETE 2,10 m ALTO X 0,71 m PROFUNDO Y 0,81 m DE ANCHO</v>
      </c>
      <c r="I499" t="str">
        <v>UND</v>
      </c>
      <c r="J499">
        <v>3</v>
      </c>
      <c r="K499">
        <v>4504726</v>
      </c>
      <c r="L499">
        <f t="shared" si="37"/>
        <v>0</v>
      </c>
      <c r="M499">
        <f t="shared" si="38"/>
        <v>0</v>
      </c>
      <c r="N499" s="119">
        <f t="shared" si="39"/>
        <v>1</v>
      </c>
      <c r="O499">
        <f t="shared" si="35"/>
        <v>0</v>
      </c>
    </row>
    <row r="500" spans="2:15" ht="15" customHeight="1" x14ac:dyDescent="0.25">
      <c r="B500" s="86" t="s">
        <v>955</v>
      </c>
      <c r="C500" s="87" t="s">
        <v>956</v>
      </c>
      <c r="D500" s="82" t="s">
        <v>16</v>
      </c>
      <c r="E500" s="83">
        <v>2</v>
      </c>
      <c r="F500" s="88">
        <v>535775</v>
      </c>
      <c r="G500" s="89">
        <f t="shared" si="36"/>
        <v>1071550</v>
      </c>
      <c r="H500" s="118" t="str">
        <f t="array" ref="H500:K500">_xlfn.XLOOKUP(C500,'ESAP NEIVA FASE II UNIFICADO'!$C$6:$C$720,'ESAP NEIVA FASE II UNIFICADO'!$C$6:$F$720,"NO ESTA")</f>
        <v>SUMINISTRO E INSTALACION ORGANIZADOR VERTICAL</v>
      </c>
      <c r="I500" t="str">
        <v>UND</v>
      </c>
      <c r="J500">
        <v>6</v>
      </c>
      <c r="K500">
        <v>578906</v>
      </c>
      <c r="L500">
        <f t="shared" si="37"/>
        <v>0</v>
      </c>
      <c r="M500">
        <f t="shared" si="38"/>
        <v>0</v>
      </c>
      <c r="N500" s="119">
        <f t="shared" si="39"/>
        <v>2</v>
      </c>
      <c r="O500">
        <f t="shared" si="35"/>
        <v>0</v>
      </c>
    </row>
    <row r="501" spans="2:15" ht="26.25" customHeight="1" x14ac:dyDescent="0.25">
      <c r="B501" s="86" t="s">
        <v>957</v>
      </c>
      <c r="C501" s="87" t="s">
        <v>958</v>
      </c>
      <c r="D501" s="82" t="s">
        <v>16</v>
      </c>
      <c r="E501" s="83">
        <v>1</v>
      </c>
      <c r="F501" s="88">
        <v>463979</v>
      </c>
      <c r="G501" s="89">
        <f t="shared" si="36"/>
        <v>463979</v>
      </c>
      <c r="H501" s="118" t="str">
        <f t="array" ref="H501:K501">_xlfn.XLOOKUP(C501,'ESAP NEIVA FASE II UNIFICADO'!$C$6:$C$720,'ESAP NEIVA FASE II UNIFICADO'!$C$6:$F$720,"NO ESTA")</f>
        <v>SUMINISTRO E INSTALACION MULTITOMA CON 5 SALIDAS ELECTRICAS GRADO HOSPITALARIO</v>
      </c>
      <c r="I501" t="str">
        <v>UND</v>
      </c>
      <c r="J501">
        <v>3</v>
      </c>
      <c r="K501">
        <v>501331</v>
      </c>
      <c r="L501">
        <f t="shared" si="37"/>
        <v>0</v>
      </c>
      <c r="M501">
        <f t="shared" si="38"/>
        <v>0</v>
      </c>
      <c r="N501" s="119">
        <f t="shared" si="39"/>
        <v>1</v>
      </c>
      <c r="O501">
        <f t="shared" si="35"/>
        <v>0</v>
      </c>
    </row>
    <row r="502" spans="2:15" ht="26.25" customHeight="1" x14ac:dyDescent="0.25">
      <c r="B502" s="86" t="s">
        <v>959</v>
      </c>
      <c r="C502" s="87" t="s">
        <v>960</v>
      </c>
      <c r="D502" s="82" t="s">
        <v>94</v>
      </c>
      <c r="E502" s="83">
        <v>11</v>
      </c>
      <c r="F502" s="88">
        <v>4287</v>
      </c>
      <c r="G502" s="89">
        <f t="shared" si="36"/>
        <v>47157</v>
      </c>
      <c r="H502" s="118" t="str">
        <f t="array" ref="H502:K502">_xlfn.XLOOKUP(C502,'ESAP NEIVA FASE II UNIFICADO'!$C$6:$C$720,'ESAP NEIVA FASE II UNIFICADO'!$C$6:$F$720,"NO ESTA")</f>
        <v>SUMINISTRO E INSTALACION CABLE THHN No. 6 AWG VERDE. PARA ATERRIZAJE DE ELEMENTOS Y GABINATE</v>
      </c>
      <c r="I502" t="str">
        <v>ML</v>
      </c>
      <c r="J502">
        <v>29</v>
      </c>
      <c r="K502">
        <v>4631</v>
      </c>
      <c r="L502">
        <f t="shared" si="37"/>
        <v>0</v>
      </c>
      <c r="M502">
        <f t="shared" si="38"/>
        <v>0</v>
      </c>
      <c r="N502" s="119">
        <f t="shared" si="39"/>
        <v>11</v>
      </c>
      <c r="O502">
        <f t="shared" si="35"/>
        <v>0</v>
      </c>
    </row>
    <row r="503" spans="2:15" ht="15" customHeight="1" x14ac:dyDescent="0.25">
      <c r="B503" s="86" t="s">
        <v>961</v>
      </c>
      <c r="C503" s="87" t="s">
        <v>962</v>
      </c>
      <c r="D503" s="82" t="s">
        <v>94</v>
      </c>
      <c r="E503" s="83">
        <v>230</v>
      </c>
      <c r="F503" s="88">
        <v>142744</v>
      </c>
      <c r="G503" s="89">
        <f t="shared" si="36"/>
        <v>32831120</v>
      </c>
      <c r="H503" s="118" t="str">
        <f t="array" ref="H503:K503">_xlfn.XLOOKUP(C503,'ESAP NEIVA FASE II UNIFICADO'!$C$6:$C$720,'ESAP NEIVA FASE II UNIFICADO'!$C$6:$F$720,"NO ESTA")</f>
        <v>SUMINISTRO E INSTALACION BANDEJA TIPO MALLA DE 40 x 8 cm CON ACCESORIOS</v>
      </c>
      <c r="I503" t="str">
        <v>ML</v>
      </c>
      <c r="J503">
        <v>316</v>
      </c>
      <c r="K503">
        <v>154235</v>
      </c>
      <c r="L503">
        <f t="shared" si="37"/>
        <v>0</v>
      </c>
      <c r="M503">
        <f t="shared" si="38"/>
        <v>0</v>
      </c>
      <c r="N503" s="119">
        <f t="shared" si="39"/>
        <v>230</v>
      </c>
      <c r="O503">
        <f t="shared" si="35"/>
        <v>0</v>
      </c>
    </row>
    <row r="504" spans="2:15" ht="15" customHeight="1" x14ac:dyDescent="0.25">
      <c r="B504" s="86" t="s">
        <v>963</v>
      </c>
      <c r="C504" s="87" t="s">
        <v>964</v>
      </c>
      <c r="D504" s="82" t="s">
        <v>94</v>
      </c>
      <c r="E504" s="83">
        <v>91</v>
      </c>
      <c r="F504" s="88">
        <v>33821</v>
      </c>
      <c r="G504" s="89">
        <f t="shared" si="36"/>
        <v>3077711</v>
      </c>
      <c r="H504" s="118" t="str">
        <f t="array" ref="H504:K504">_xlfn.XLOOKUP(C504,'ESAP NEIVA FASE II UNIFICADO'!$C$6:$C$720,'ESAP NEIVA FASE II UNIFICADO'!$C$6:$F$720,"NO ESTA")</f>
        <v>SUMINISTRO E INSTALACION CANALETA METÁLICA DE 12 x 5 cm.</v>
      </c>
      <c r="I504" t="str">
        <v>ML</v>
      </c>
      <c r="J504">
        <v>245</v>
      </c>
      <c r="K504">
        <v>36543</v>
      </c>
      <c r="L504">
        <f t="shared" si="37"/>
        <v>0</v>
      </c>
      <c r="M504">
        <f t="shared" si="38"/>
        <v>0</v>
      </c>
      <c r="N504" s="119">
        <f t="shared" si="39"/>
        <v>91</v>
      </c>
      <c r="O504">
        <f t="shared" si="35"/>
        <v>0</v>
      </c>
    </row>
    <row r="505" spans="2:15" ht="15" customHeight="1" x14ac:dyDescent="0.25">
      <c r="B505" s="86" t="s">
        <v>965</v>
      </c>
      <c r="C505" s="87" t="s">
        <v>966</v>
      </c>
      <c r="D505" s="82" t="s">
        <v>94</v>
      </c>
      <c r="E505" s="83">
        <v>23</v>
      </c>
      <c r="F505" s="88">
        <v>18678</v>
      </c>
      <c r="G505" s="89">
        <f t="shared" si="36"/>
        <v>429594</v>
      </c>
      <c r="H505" s="118" t="str">
        <f t="array" ref="H505:K505">_xlfn.XLOOKUP(C505,'ESAP NEIVA FASE II UNIFICADO'!$C$6:$C$720,'ESAP NEIVA FASE II UNIFICADO'!$C$6:$F$720,"NO ESTA")</f>
        <v>SUMINISTRO E INSTALACION TUBERÍA EMT DE 1" INCLUYE ACCESORIOS</v>
      </c>
      <c r="I505" t="str">
        <v>ML</v>
      </c>
      <c r="J505">
        <v>64</v>
      </c>
      <c r="K505">
        <v>20181</v>
      </c>
      <c r="L505">
        <f t="shared" si="37"/>
        <v>0</v>
      </c>
      <c r="M505">
        <f t="shared" si="38"/>
        <v>0</v>
      </c>
      <c r="N505" s="119">
        <f t="shared" si="39"/>
        <v>23</v>
      </c>
      <c r="O505">
        <f t="shared" si="35"/>
        <v>0</v>
      </c>
    </row>
    <row r="506" spans="2:15" ht="15" customHeight="1" x14ac:dyDescent="0.25">
      <c r="B506" s="86" t="s">
        <v>967</v>
      </c>
      <c r="C506" s="87" t="s">
        <v>968</v>
      </c>
      <c r="D506" s="82" t="s">
        <v>94</v>
      </c>
      <c r="E506" s="83">
        <v>61</v>
      </c>
      <c r="F506" s="88">
        <v>14844</v>
      </c>
      <c r="G506" s="89">
        <f t="shared" si="36"/>
        <v>905484</v>
      </c>
      <c r="H506" s="118" t="str">
        <f t="array" ref="H506:K506">_xlfn.XLOOKUP(C506,'ESAP NEIVA FASE II UNIFICADO'!$C$6:$C$720,'ESAP NEIVA FASE II UNIFICADO'!$C$6:$F$720,"NO ESTA")</f>
        <v>SUMINISTRO E INSTALACION TUBERÍA EMT DE 3/4" INCLUYE ACCESORIOS</v>
      </c>
      <c r="I506" t="str">
        <v>ML</v>
      </c>
      <c r="J506">
        <v>166</v>
      </c>
      <c r="K506">
        <v>16039</v>
      </c>
      <c r="L506">
        <f t="shared" si="37"/>
        <v>0</v>
      </c>
      <c r="M506">
        <f t="shared" si="38"/>
        <v>0</v>
      </c>
      <c r="N506" s="119">
        <f t="shared" si="39"/>
        <v>61</v>
      </c>
      <c r="O506">
        <f t="shared" si="35"/>
        <v>0</v>
      </c>
    </row>
    <row r="507" spans="2:15" ht="15" customHeight="1" x14ac:dyDescent="0.25">
      <c r="B507" s="86" t="s">
        <v>969</v>
      </c>
      <c r="C507" s="87" t="s">
        <v>970</v>
      </c>
      <c r="D507" s="82" t="s">
        <v>94</v>
      </c>
      <c r="E507" s="83">
        <v>8</v>
      </c>
      <c r="F507" s="88">
        <v>5469</v>
      </c>
      <c r="G507" s="89">
        <f t="shared" si="36"/>
        <v>43752</v>
      </c>
      <c r="H507" s="118" t="str">
        <f t="array" ref="H507:K507">_xlfn.XLOOKUP(C507,'ESAP NEIVA FASE II UNIFICADO'!$C$6:$C$720,'ESAP NEIVA FASE II UNIFICADO'!$C$6:$F$720,"NO ESTA")</f>
        <v>SUMINISTRO E INSTALACION TUBERÍA PVC DE 1" INCLUYE ACCESORIOS</v>
      </c>
      <c r="I507" t="str">
        <v>ML</v>
      </c>
      <c r="J507">
        <v>22</v>
      </c>
      <c r="K507">
        <v>5910</v>
      </c>
      <c r="L507">
        <f t="shared" si="37"/>
        <v>0</v>
      </c>
      <c r="M507">
        <f t="shared" si="38"/>
        <v>0</v>
      </c>
      <c r="N507" s="119">
        <f t="shared" si="39"/>
        <v>8</v>
      </c>
      <c r="O507">
        <f t="shared" si="35"/>
        <v>0</v>
      </c>
    </row>
    <row r="508" spans="2:15" ht="15" customHeight="1" x14ac:dyDescent="0.25">
      <c r="B508" s="86" t="s">
        <v>971</v>
      </c>
      <c r="C508" s="87" t="s">
        <v>972</v>
      </c>
      <c r="D508" s="82" t="s">
        <v>94</v>
      </c>
      <c r="E508" s="83">
        <v>31</v>
      </c>
      <c r="F508" s="88">
        <v>4400</v>
      </c>
      <c r="G508" s="89">
        <f t="shared" si="36"/>
        <v>136400</v>
      </c>
      <c r="H508" s="118" t="str">
        <f t="array" ref="H508:K508">_xlfn.XLOOKUP(C508,'ESAP NEIVA FASE II UNIFICADO'!$C$6:$C$720,'ESAP NEIVA FASE II UNIFICADO'!$C$6:$F$720,"NO ESTA")</f>
        <v>SUMINISTRO E INSTALACION TUBERÍA PVC DE 3/4" INCLUYE ACCESORIOS</v>
      </c>
      <c r="I508" t="str">
        <v>ML</v>
      </c>
      <c r="J508">
        <v>84</v>
      </c>
      <c r="K508">
        <v>4755</v>
      </c>
      <c r="L508">
        <f t="shared" si="37"/>
        <v>0</v>
      </c>
      <c r="M508">
        <f t="shared" si="38"/>
        <v>0</v>
      </c>
      <c r="N508" s="119">
        <f t="shared" si="39"/>
        <v>31</v>
      </c>
      <c r="O508">
        <f t="shared" si="35"/>
        <v>0</v>
      </c>
    </row>
    <row r="509" spans="2:15" ht="15" customHeight="1" x14ac:dyDescent="0.25">
      <c r="B509" s="86" t="s">
        <v>973</v>
      </c>
      <c r="C509" s="87" t="s">
        <v>974</v>
      </c>
      <c r="D509" s="82" t="s">
        <v>16</v>
      </c>
      <c r="E509" s="83">
        <v>4</v>
      </c>
      <c r="F509" s="88">
        <v>713688</v>
      </c>
      <c r="G509" s="89">
        <f t="shared" si="36"/>
        <v>2854752</v>
      </c>
      <c r="H509" s="118" t="str">
        <f t="array" ref="H509:K509">_xlfn.XLOOKUP(C509,'ESAP NEIVA FASE II UNIFICADO'!$C$6:$C$720,'ESAP NEIVA FASE II UNIFICADO'!$C$6:$F$720,"NO ESTA")</f>
        <v>SUMINISTRO E INSTALACION PARRILLA ORGANIZADORA DE CABLES DE 1,20 x 0,6 m</v>
      </c>
      <c r="I509" t="str">
        <v>UND</v>
      </c>
      <c r="J509">
        <v>2</v>
      </c>
      <c r="K509">
        <v>771142</v>
      </c>
      <c r="L509">
        <f t="shared" si="37"/>
        <v>0</v>
      </c>
      <c r="M509">
        <f t="shared" si="38"/>
        <v>0</v>
      </c>
      <c r="N509" s="119">
        <f t="shared" si="39"/>
        <v>4</v>
      </c>
      <c r="O509">
        <f t="shared" si="35"/>
        <v>0</v>
      </c>
    </row>
    <row r="510" spans="2:15" ht="15" customHeight="1" x14ac:dyDescent="0.25">
      <c r="B510" s="86" t="s">
        <v>975</v>
      </c>
      <c r="C510" s="87" t="s">
        <v>976</v>
      </c>
      <c r="D510" s="82" t="s">
        <v>16</v>
      </c>
      <c r="E510" s="83">
        <v>4</v>
      </c>
      <c r="F510" s="88">
        <v>11964</v>
      </c>
      <c r="G510" s="89">
        <f t="shared" si="36"/>
        <v>47856</v>
      </c>
      <c r="H510" s="118" t="str">
        <f t="array" ref="H510:K510">_xlfn.XLOOKUP(C510,'ESAP NEIVA FASE II UNIFICADO'!$C$6:$C$720,'ESAP NEIVA FASE II UNIFICADO'!$C$6:$F$720,"NO ESTA")</f>
        <v>SUMINISTRO E INSTALACION CAJA DE PASO 10 x 10 m DOBLE FONDO</v>
      </c>
      <c r="I510" t="str">
        <v>UND</v>
      </c>
      <c r="J510">
        <v>4</v>
      </c>
      <c r="K510">
        <v>12928</v>
      </c>
      <c r="L510">
        <f t="shared" si="37"/>
        <v>0</v>
      </c>
      <c r="M510">
        <f t="shared" si="38"/>
        <v>0</v>
      </c>
      <c r="N510" s="119">
        <f t="shared" si="39"/>
        <v>4</v>
      </c>
      <c r="O510">
        <f t="shared" si="35"/>
        <v>0</v>
      </c>
    </row>
    <row r="511" spans="2:15" ht="15" customHeight="1" x14ac:dyDescent="0.25">
      <c r="B511" s="80" t="s">
        <v>977</v>
      </c>
      <c r="C511" s="81" t="s">
        <v>978</v>
      </c>
      <c r="D511" s="82"/>
      <c r="E511" s="83"/>
      <c r="F511" s="106"/>
      <c r="G511" s="89">
        <f t="shared" si="36"/>
        <v>0</v>
      </c>
      <c r="H511" s="118" t="str">
        <f t="array" ref="H511:K511">_xlfn.XLOOKUP(C511,'ESAP NEIVA FASE II UNIFICADO'!$C$6:$C$720,'ESAP NEIVA FASE II UNIFICADO'!$C$6:$F$720,"NO ESTA")</f>
        <v xml:space="preserve">SUMINISTRO E INSTALACIÓN DE REDES ELECTRICAS ESPECIALES </v>
      </c>
      <c r="I511">
        <v>0</v>
      </c>
      <c r="J511">
        <v>0</v>
      </c>
      <c r="K511">
        <v>0</v>
      </c>
      <c r="L511">
        <f t="shared" si="37"/>
        <v>1</v>
      </c>
      <c r="M511">
        <f t="shared" si="38"/>
        <v>0</v>
      </c>
      <c r="N511" s="119">
        <f t="shared" si="39"/>
        <v>0</v>
      </c>
      <c r="O511">
        <f t="shared" si="35"/>
        <v>0</v>
      </c>
    </row>
    <row r="512" spans="2:15" ht="15" customHeight="1" x14ac:dyDescent="0.25">
      <c r="B512" s="86" t="s">
        <v>979</v>
      </c>
      <c r="C512" s="87" t="s">
        <v>980</v>
      </c>
      <c r="D512" s="82" t="s">
        <v>16</v>
      </c>
      <c r="E512" s="83">
        <v>2</v>
      </c>
      <c r="F512" s="88">
        <v>59449</v>
      </c>
      <c r="G512" s="89">
        <f t="shared" si="36"/>
        <v>118898</v>
      </c>
      <c r="H512" s="118" t="str">
        <f t="array" ref="H512:K512">_xlfn.XLOOKUP(C512,'ESAP NEIVA FASE II UNIFICADO'!$C$6:$C$720,'ESAP NEIVA FASE II UNIFICADO'!$C$6:$F$720,"NO ESTA")</f>
        <v>SUMINISTRO E INSTALACION SALIDA TOMA NEMA L5-30 RAWELT</v>
      </c>
      <c r="I512" t="str">
        <v>UND</v>
      </c>
      <c r="J512">
        <v>2</v>
      </c>
      <c r="K512">
        <v>64235</v>
      </c>
      <c r="L512">
        <f t="shared" si="37"/>
        <v>0</v>
      </c>
      <c r="M512">
        <f t="shared" si="38"/>
        <v>0</v>
      </c>
      <c r="N512" s="119">
        <f t="shared" si="39"/>
        <v>2</v>
      </c>
      <c r="O512">
        <f t="shared" si="35"/>
        <v>0</v>
      </c>
    </row>
    <row r="513" spans="2:15" ht="29.25" customHeight="1" x14ac:dyDescent="0.25">
      <c r="B513" s="86" t="s">
        <v>981</v>
      </c>
      <c r="C513" s="87" t="s">
        <v>982</v>
      </c>
      <c r="D513" s="82" t="s">
        <v>94</v>
      </c>
      <c r="E513" s="83">
        <v>2</v>
      </c>
      <c r="F513" s="88">
        <v>5989</v>
      </c>
      <c r="G513" s="89">
        <f t="shared" si="36"/>
        <v>11978</v>
      </c>
      <c r="H513" s="118" t="str">
        <f t="array" ref="H513:K513">_xlfn.XLOOKUP(C513,'ESAP NEIVA FASE II UNIFICADO'!$C$6:$C$720,'ESAP NEIVA FASE II UNIFICADO'!$C$6:$F$720,"NO ESTA")</f>
        <v>SUMINISTRO E INSTALACION CIRCUITO PREENSAMBLADO AZUL MONOFÁSICO NORMAL PARA RACK</v>
      </c>
      <c r="I513" t="str">
        <v>ML</v>
      </c>
      <c r="J513">
        <v>2</v>
      </c>
      <c r="K513">
        <v>6470</v>
      </c>
      <c r="L513">
        <f t="shared" si="37"/>
        <v>0</v>
      </c>
      <c r="M513">
        <f t="shared" si="38"/>
        <v>0</v>
      </c>
      <c r="N513" s="119">
        <f t="shared" si="39"/>
        <v>2</v>
      </c>
      <c r="O513">
        <f t="shared" ref="O513:O540" si="40">M513*N513</f>
        <v>0</v>
      </c>
    </row>
    <row r="514" spans="2:15" ht="29.25" customHeight="1" x14ac:dyDescent="0.25">
      <c r="B514" s="86" t="s">
        <v>983</v>
      </c>
      <c r="C514" s="87" t="s">
        <v>984</v>
      </c>
      <c r="D514" s="82" t="s">
        <v>94</v>
      </c>
      <c r="E514" s="83">
        <v>2</v>
      </c>
      <c r="F514" s="88">
        <v>5989</v>
      </c>
      <c r="G514" s="89">
        <f t="shared" si="36"/>
        <v>11978</v>
      </c>
      <c r="H514" s="118" t="str">
        <f t="array" ref="H514:K514">_xlfn.XLOOKUP(C514,'ESAP NEIVA FASE II UNIFICADO'!$C$6:$C$720,'ESAP NEIVA FASE II UNIFICADO'!$C$6:$F$720,"NO ESTA")</f>
        <v>SUMINISTRO E INSTALACION CIRCUITO PREENSAMBLADO ROJO MONOFÁSICO REGULADO PARA RACK</v>
      </c>
      <c r="I514" t="str">
        <v>ML</v>
      </c>
      <c r="J514">
        <v>2</v>
      </c>
      <c r="K514">
        <v>6470</v>
      </c>
      <c r="L514">
        <f t="shared" si="37"/>
        <v>0</v>
      </c>
      <c r="M514">
        <f t="shared" si="38"/>
        <v>0</v>
      </c>
      <c r="N514" s="119">
        <f t="shared" si="39"/>
        <v>2</v>
      </c>
      <c r="O514">
        <f t="shared" si="40"/>
        <v>0</v>
      </c>
    </row>
    <row r="515" spans="2:15" ht="15" customHeight="1" x14ac:dyDescent="0.25">
      <c r="B515" s="86" t="s">
        <v>985</v>
      </c>
      <c r="C515" s="87" t="s">
        <v>986</v>
      </c>
      <c r="D515" s="82" t="s">
        <v>16</v>
      </c>
      <c r="E515" s="83">
        <v>2</v>
      </c>
      <c r="F515" s="88">
        <v>585757</v>
      </c>
      <c r="G515" s="89">
        <f t="shared" si="36"/>
        <v>1171514</v>
      </c>
      <c r="H515" s="118" t="str">
        <f t="array" ref="H515:K515">_xlfn.XLOOKUP(C515,'ESAP NEIVA FASE II UNIFICADO'!$C$6:$C$720,'ESAP NEIVA FASE II UNIFICADO'!$C$6:$F$720,"NO ESTA")</f>
        <v>SUMINISTRO E INSTALACION BARRAJE DE PUESTA A TIERRA PARA RACK TGB</v>
      </c>
      <c r="I515" t="str">
        <v>UND</v>
      </c>
      <c r="J515">
        <v>2</v>
      </c>
      <c r="K515">
        <v>632913</v>
      </c>
      <c r="L515">
        <f t="shared" si="37"/>
        <v>0</v>
      </c>
      <c r="M515">
        <f t="shared" si="38"/>
        <v>0</v>
      </c>
      <c r="N515" s="119">
        <f t="shared" si="39"/>
        <v>2</v>
      </c>
      <c r="O515">
        <f t="shared" si="40"/>
        <v>0</v>
      </c>
    </row>
    <row r="516" spans="2:15" ht="15" customHeight="1" x14ac:dyDescent="0.25">
      <c r="B516" s="80" t="s">
        <v>987</v>
      </c>
      <c r="C516" s="81" t="s">
        <v>988</v>
      </c>
      <c r="D516" s="82"/>
      <c r="E516" s="83"/>
      <c r="F516" s="104"/>
      <c r="G516" s="89">
        <f t="shared" si="36"/>
        <v>0</v>
      </c>
      <c r="H516" s="118" t="str">
        <f t="array" ref="H516:K516">_xlfn.XLOOKUP(C516,'ESAP NEIVA FASE II UNIFICADO'!$C$6:$C$720,'ESAP NEIVA FASE II UNIFICADO'!$C$6:$F$720,"NO ESTA")</f>
        <v>SUMINISTRO E INSTALACION DE EQUIPOS ACTIVOS</v>
      </c>
      <c r="I516">
        <v>0</v>
      </c>
      <c r="J516">
        <v>0</v>
      </c>
      <c r="K516">
        <v>0</v>
      </c>
      <c r="L516">
        <f t="shared" si="37"/>
        <v>1</v>
      </c>
      <c r="M516">
        <f t="shared" si="38"/>
        <v>0</v>
      </c>
      <c r="N516" s="119">
        <f t="shared" si="39"/>
        <v>0</v>
      </c>
      <c r="O516">
        <f t="shared" si="40"/>
        <v>0</v>
      </c>
    </row>
    <row r="517" spans="2:15" ht="25.5" customHeight="1" x14ac:dyDescent="0.25">
      <c r="B517" s="86" t="s">
        <v>989</v>
      </c>
      <c r="C517" s="87" t="s">
        <v>990</v>
      </c>
      <c r="D517" s="82" t="s">
        <v>16</v>
      </c>
      <c r="E517" s="83">
        <v>1</v>
      </c>
      <c r="F517" s="88">
        <f>6797211-1.33</f>
        <v>6797209.6699999999</v>
      </c>
      <c r="G517" s="89">
        <f t="shared" si="36"/>
        <v>6797209.6699999999</v>
      </c>
      <c r="H517" s="118" t="str">
        <f t="array" ref="H517:K517">_xlfn.XLOOKUP(C517,'ESAP NEIVA FASE II UNIFICADO'!$C$6:$C$720,'ESAP NEIVA FASE II UNIFICADO'!$C$6:$F$720,"NO ESTA")</f>
        <v xml:space="preserve">SUMINISTRO E INSTALACION SWITCHE DE BORDE DE 24 PoE PUERTOS GIGABIT ETHERNET 10/100/1000 Gbps CON PUERTO DE ADMINSITRACION POR CONSOLA </v>
      </c>
      <c r="I517" t="str">
        <v>UND</v>
      </c>
      <c r="J517">
        <v>13</v>
      </c>
      <c r="K517">
        <v>7344406</v>
      </c>
      <c r="L517">
        <f t="shared" si="37"/>
        <v>0</v>
      </c>
      <c r="M517">
        <f t="shared" si="38"/>
        <v>0</v>
      </c>
      <c r="N517" s="119">
        <f t="shared" si="39"/>
        <v>1</v>
      </c>
      <c r="O517">
        <f t="shared" si="40"/>
        <v>0</v>
      </c>
    </row>
    <row r="518" spans="2:15" ht="15" customHeight="1" x14ac:dyDescent="0.25">
      <c r="B518" s="86" t="s">
        <v>991</v>
      </c>
      <c r="C518" s="87" t="s">
        <v>992</v>
      </c>
      <c r="D518" s="82" t="s">
        <v>16</v>
      </c>
      <c r="E518" s="83">
        <v>1</v>
      </c>
      <c r="F518" s="88">
        <v>778929</v>
      </c>
      <c r="G518" s="89">
        <f t="shared" si="36"/>
        <v>778929</v>
      </c>
      <c r="H518" s="118" t="str">
        <f t="array" ref="H518:K518">_xlfn.XLOOKUP(C518,'ESAP NEIVA FASE II UNIFICADO'!$C$6:$C$720,'ESAP NEIVA FASE II UNIFICADO'!$C$6:$F$720,"NO ESTA")</f>
        <v>SUMINISTRO E INSTALACION MODULO SFP 10G</v>
      </c>
      <c r="I518" t="str">
        <v>UND</v>
      </c>
      <c r="J518">
        <v>0</v>
      </c>
      <c r="K518">
        <v>841635</v>
      </c>
      <c r="L518">
        <f t="shared" si="37"/>
        <v>1</v>
      </c>
      <c r="M518">
        <f t="shared" si="38"/>
        <v>778929</v>
      </c>
      <c r="N518" s="119">
        <f t="shared" si="39"/>
        <v>1</v>
      </c>
      <c r="O518">
        <f t="shared" si="40"/>
        <v>778929</v>
      </c>
    </row>
    <row r="519" spans="2:15" ht="24.75" customHeight="1" x14ac:dyDescent="0.25">
      <c r="B519" s="74">
        <v>19</v>
      </c>
      <c r="C519" s="75" t="s">
        <v>993</v>
      </c>
      <c r="D519" s="76"/>
      <c r="E519" s="77"/>
      <c r="F519" s="78"/>
      <c r="G519" s="89">
        <f t="shared" ref="G519:G540" si="41">ROUND(+F519*E519,2)</f>
        <v>0</v>
      </c>
      <c r="H519" s="118" t="str">
        <f t="array" ref="H519:K519">_xlfn.XLOOKUP(C519,'ESAP NEIVA FASE II UNIFICADO'!$C$6:$C$720,'ESAP NEIVA FASE II UNIFICADO'!$C$6:$F$720,"NO ESTA")</f>
        <v>SEGURIDAD ELÉCTRONICA (CCTV, CONTROL ACCESOS, DETECCION INCENDIOS Y SONIDO)</v>
      </c>
      <c r="I519">
        <v>0</v>
      </c>
      <c r="J519">
        <v>0</v>
      </c>
      <c r="K519">
        <v>0</v>
      </c>
      <c r="L519">
        <f t="shared" si="37"/>
        <v>1</v>
      </c>
      <c r="M519">
        <f t="shared" si="38"/>
        <v>0</v>
      </c>
      <c r="N519" s="119">
        <f t="shared" si="39"/>
        <v>0</v>
      </c>
      <c r="O519">
        <f t="shared" si="40"/>
        <v>0</v>
      </c>
    </row>
    <row r="520" spans="2:15" ht="15" customHeight="1" x14ac:dyDescent="0.25">
      <c r="B520" s="80" t="s">
        <v>994</v>
      </c>
      <c r="C520" s="81" t="s">
        <v>995</v>
      </c>
      <c r="D520" s="82"/>
      <c r="E520" s="83"/>
      <c r="F520" s="90"/>
      <c r="G520" s="89">
        <f t="shared" si="41"/>
        <v>0</v>
      </c>
      <c r="H520" s="118" t="str">
        <f t="array" ref="H520:K520">_xlfn.XLOOKUP(C520,'ESAP NEIVA FASE II UNIFICADO'!$C$6:$C$720,'ESAP NEIVA FASE II UNIFICADO'!$C$6:$F$720,"NO ESTA")</f>
        <v>SUMINISTRO E INSTALACION DE DETECCIÓN DE INDENDIO</v>
      </c>
      <c r="I520">
        <v>0</v>
      </c>
      <c r="J520">
        <v>0</v>
      </c>
      <c r="K520">
        <v>0</v>
      </c>
      <c r="L520">
        <f t="shared" si="37"/>
        <v>1</v>
      </c>
      <c r="M520">
        <f t="shared" si="38"/>
        <v>0</v>
      </c>
      <c r="N520" s="119">
        <f t="shared" si="39"/>
        <v>0</v>
      </c>
      <c r="O520">
        <f t="shared" si="40"/>
        <v>0</v>
      </c>
    </row>
    <row r="521" spans="2:15" ht="22.5" customHeight="1" x14ac:dyDescent="0.25">
      <c r="B521" s="86" t="s">
        <v>996</v>
      </c>
      <c r="C521" s="87" t="s">
        <v>997</v>
      </c>
      <c r="D521" s="82" t="s">
        <v>16</v>
      </c>
      <c r="E521" s="83">
        <v>3</v>
      </c>
      <c r="F521" s="88">
        <v>472015</v>
      </c>
      <c r="G521" s="89">
        <f t="shared" si="41"/>
        <v>1416045</v>
      </c>
      <c r="H521" s="118" t="str">
        <f t="array" ref="H521:K521">_xlfn.XLOOKUP(C521,'ESAP NEIVA FASE II UNIFICADO'!$C$6:$C$720,'ESAP NEIVA FASE II UNIFICADO'!$C$6:$F$720,"NO ESTA")</f>
        <v>SUMINISTRO E INSTALACION ESTACION MANUAL DIRECCIONABLE DE AVISO, CON CUBIERTA ACRILICA</v>
      </c>
      <c r="I521" t="str">
        <v>UND</v>
      </c>
      <c r="J521">
        <v>8</v>
      </c>
      <c r="K521">
        <v>503198</v>
      </c>
      <c r="L521">
        <f t="shared" si="37"/>
        <v>0</v>
      </c>
      <c r="M521">
        <f t="shared" si="38"/>
        <v>0</v>
      </c>
      <c r="N521" s="119">
        <f t="shared" si="39"/>
        <v>3</v>
      </c>
      <c r="O521">
        <f t="shared" si="40"/>
        <v>0</v>
      </c>
    </row>
    <row r="522" spans="2:15" ht="15" customHeight="1" x14ac:dyDescent="0.25">
      <c r="B522" s="86" t="s">
        <v>998</v>
      </c>
      <c r="C522" s="87" t="s">
        <v>999</v>
      </c>
      <c r="D522" s="82" t="s">
        <v>16</v>
      </c>
      <c r="E522" s="83">
        <v>3</v>
      </c>
      <c r="F522" s="88">
        <v>337783</v>
      </c>
      <c r="G522" s="89">
        <f t="shared" si="41"/>
        <v>1013349</v>
      </c>
      <c r="H522" s="118" t="str">
        <f t="array" ref="H522:K522">_xlfn.XLOOKUP(C522,'ESAP NEIVA FASE II UNIFICADO'!$C$6:$C$720,'ESAP NEIVA FASE II UNIFICADO'!$C$6:$F$720,"NO ESTA")</f>
        <v>SUMINISTRO E INSTALACION SIRENA / ESTROBO CON SUS MODULOS DE CONTROL</v>
      </c>
      <c r="I522" t="str">
        <v>UND</v>
      </c>
      <c r="J522">
        <v>8</v>
      </c>
      <c r="K522">
        <v>360098</v>
      </c>
      <c r="L522">
        <f t="shared" ref="L522:L540" si="42">+IF(J522&gt;0,0,1)</f>
        <v>0</v>
      </c>
      <c r="M522">
        <f t="shared" ref="M522:M540" si="43">IF(L522=1,F522,0)</f>
        <v>0</v>
      </c>
      <c r="N522" s="119">
        <f t="shared" ref="N522:N540" si="44">E522</f>
        <v>3</v>
      </c>
      <c r="O522">
        <f t="shared" si="40"/>
        <v>0</v>
      </c>
    </row>
    <row r="523" spans="2:15" ht="15" customHeight="1" x14ac:dyDescent="0.25">
      <c r="B523" s="86" t="s">
        <v>1000</v>
      </c>
      <c r="C523" s="87" t="s">
        <v>1001</v>
      </c>
      <c r="D523" s="82" t="s">
        <v>16</v>
      </c>
      <c r="E523" s="83">
        <v>46</v>
      </c>
      <c r="F523" s="88">
        <v>379961</v>
      </c>
      <c r="G523" s="89">
        <f t="shared" si="41"/>
        <v>17478206</v>
      </c>
      <c r="H523" s="118" t="str">
        <f t="array" ref="H523:K523">_xlfn.XLOOKUP(C523,'ESAP NEIVA FASE II UNIFICADO'!$C$6:$C$720,'ESAP NEIVA FASE II UNIFICADO'!$C$6:$F$720,"NO ESTA")</f>
        <v>SUMINISTRO E INSTALACION DETECTOR DE HUMO DIRECCIONABLE CON BASE</v>
      </c>
      <c r="I523" t="str">
        <v>UND</v>
      </c>
      <c r="J523">
        <v>96</v>
      </c>
      <c r="K523">
        <v>405062</v>
      </c>
      <c r="L523">
        <f t="shared" si="42"/>
        <v>0</v>
      </c>
      <c r="M523">
        <f t="shared" si="43"/>
        <v>0</v>
      </c>
      <c r="N523" s="119">
        <f t="shared" si="44"/>
        <v>46</v>
      </c>
      <c r="O523">
        <f t="shared" si="40"/>
        <v>0</v>
      </c>
    </row>
    <row r="524" spans="2:15" ht="15" customHeight="1" x14ac:dyDescent="0.25">
      <c r="B524" s="86" t="s">
        <v>1002</v>
      </c>
      <c r="C524" s="87" t="s">
        <v>1003</v>
      </c>
      <c r="D524" s="82" t="s">
        <v>16</v>
      </c>
      <c r="E524" s="83">
        <v>2</v>
      </c>
      <c r="F524" s="88">
        <v>355859</v>
      </c>
      <c r="G524" s="89">
        <f t="shared" si="41"/>
        <v>711718</v>
      </c>
      <c r="H524" s="118" t="str">
        <f t="array" ref="H524:K524">_xlfn.XLOOKUP(C524,'ESAP NEIVA FASE II UNIFICADO'!$C$6:$C$720,'ESAP NEIVA FASE II UNIFICADO'!$C$6:$F$720,"NO ESTA")</f>
        <v>SUMINISTRO E INSTALACION DETECTOR DE MONOXIDO DIRECCIONABLE CON BASE</v>
      </c>
      <c r="I524" t="str">
        <v>UND</v>
      </c>
      <c r="J524">
        <v>6</v>
      </c>
      <c r="K524">
        <v>379368</v>
      </c>
      <c r="L524">
        <f t="shared" si="42"/>
        <v>0</v>
      </c>
      <c r="M524">
        <f t="shared" si="43"/>
        <v>0</v>
      </c>
      <c r="N524" s="119">
        <f t="shared" si="44"/>
        <v>2</v>
      </c>
      <c r="O524">
        <f t="shared" si="40"/>
        <v>0</v>
      </c>
    </row>
    <row r="525" spans="2:15" ht="15" customHeight="1" x14ac:dyDescent="0.25">
      <c r="B525" s="86" t="s">
        <v>1004</v>
      </c>
      <c r="C525" s="87" t="s">
        <v>1005</v>
      </c>
      <c r="D525" s="82" t="s">
        <v>16</v>
      </c>
      <c r="E525" s="83">
        <v>2</v>
      </c>
      <c r="F525" s="88">
        <v>375660</v>
      </c>
      <c r="G525" s="89">
        <f t="shared" si="41"/>
        <v>751320</v>
      </c>
      <c r="H525" s="118" t="str">
        <f t="array" ref="H525:K525">_xlfn.XLOOKUP(C525,'ESAP NEIVA FASE II UNIFICADO'!$C$6:$C$720,'ESAP NEIVA FASE II UNIFICADO'!$C$6:$F$720,"NO ESTA")</f>
        <v>SUMINISTRO E INSTALACION CITOFONO DE EMERGENCIA</v>
      </c>
      <c r="I525" t="str">
        <v>UND</v>
      </c>
      <c r="J525">
        <v>5</v>
      </c>
      <c r="K525">
        <v>400477</v>
      </c>
      <c r="L525">
        <f t="shared" si="42"/>
        <v>0</v>
      </c>
      <c r="M525">
        <f t="shared" si="43"/>
        <v>0</v>
      </c>
      <c r="N525" s="119">
        <f t="shared" si="44"/>
        <v>2</v>
      </c>
      <c r="O525">
        <f t="shared" si="40"/>
        <v>0</v>
      </c>
    </row>
    <row r="526" spans="2:15" ht="23.25" customHeight="1" x14ac:dyDescent="0.25">
      <c r="B526" s="86" t="s">
        <v>1006</v>
      </c>
      <c r="C526" s="87" t="s">
        <v>1007</v>
      </c>
      <c r="D526" s="82" t="s">
        <v>16</v>
      </c>
      <c r="E526" s="83">
        <v>1</v>
      </c>
      <c r="F526" s="88">
        <v>7889971</v>
      </c>
      <c r="G526" s="89">
        <f t="shared" si="41"/>
        <v>7889971</v>
      </c>
      <c r="H526" s="118" t="str">
        <f t="array" ref="H526:K526">_xlfn.XLOOKUP(C526,'ESAP NEIVA FASE II UNIFICADO'!$C$6:$C$720,'ESAP NEIVA FASE II UNIFICADO'!$C$6:$F$720,"NO ESTA")</f>
        <v xml:space="preserve">SUMINISTRO E INSTALACION CENTRAL DE DETECCION DE INCENDIO E INTRUSIÓN, CONSU GABINETE, FUENTE, CPU, DISPLAY Y TECLEDO, CON UN 30% DE RESERVA PARA AMPLIACIÓN. </v>
      </c>
      <c r="I526" t="str">
        <v>UND</v>
      </c>
      <c r="J526">
        <v>1</v>
      </c>
      <c r="K526">
        <v>8411205</v>
      </c>
      <c r="L526">
        <f t="shared" si="42"/>
        <v>0</v>
      </c>
      <c r="M526">
        <f t="shared" si="43"/>
        <v>0</v>
      </c>
      <c r="N526" s="119">
        <f t="shared" si="44"/>
        <v>1</v>
      </c>
      <c r="O526">
        <f t="shared" si="40"/>
        <v>0</v>
      </c>
    </row>
    <row r="527" spans="2:15" ht="15" customHeight="1" x14ac:dyDescent="0.25">
      <c r="B527" s="86" t="s">
        <v>1008</v>
      </c>
      <c r="C527" s="87" t="s">
        <v>1009</v>
      </c>
      <c r="D527" s="82" t="s">
        <v>94</v>
      </c>
      <c r="E527" s="83">
        <v>496</v>
      </c>
      <c r="F527" s="88">
        <v>4940</v>
      </c>
      <c r="G527" s="89">
        <f t="shared" si="41"/>
        <v>2450240</v>
      </c>
      <c r="H527" s="118" t="str">
        <f t="array" ref="H527:K527">_xlfn.XLOOKUP(C527,'ESAP NEIVA FASE II UNIFICADO'!$C$6:$C$720,'ESAP NEIVA FASE II UNIFICADO'!$C$6:$F$720,"NO ESTA")</f>
        <v>SUMINISTRO E INSTALACION CABLE BLINDADO 2 x 16 AWG FPL</v>
      </c>
      <c r="I527" t="str">
        <v>ML</v>
      </c>
      <c r="J527">
        <v>1277</v>
      </c>
      <c r="K527">
        <v>5267</v>
      </c>
      <c r="L527">
        <f t="shared" si="42"/>
        <v>0</v>
      </c>
      <c r="M527">
        <f t="shared" si="43"/>
        <v>0</v>
      </c>
      <c r="N527" s="119">
        <f t="shared" si="44"/>
        <v>496</v>
      </c>
      <c r="O527">
        <f t="shared" si="40"/>
        <v>0</v>
      </c>
    </row>
    <row r="528" spans="2:15" ht="15" customHeight="1" x14ac:dyDescent="0.25">
      <c r="B528" s="86" t="s">
        <v>1010</v>
      </c>
      <c r="C528" s="87" t="s">
        <v>968</v>
      </c>
      <c r="D528" s="82" t="s">
        <v>94</v>
      </c>
      <c r="E528" s="83">
        <v>456</v>
      </c>
      <c r="F528" s="88">
        <v>15045</v>
      </c>
      <c r="G528" s="89">
        <f t="shared" si="41"/>
        <v>6860520</v>
      </c>
      <c r="H528" s="118" t="str">
        <f t="array" ref="H528:K528">_xlfn.XLOOKUP(C528,'ESAP NEIVA FASE II UNIFICADO'!$C$6:$C$720,'ESAP NEIVA FASE II UNIFICADO'!$C$6:$F$720,"NO ESTA")</f>
        <v>SUMINISTRO E INSTALACION TUBERÍA EMT DE 3/4" INCLUYE ACCESORIOS</v>
      </c>
      <c r="I528" t="str">
        <v>ML</v>
      </c>
      <c r="J528">
        <v>166</v>
      </c>
      <c r="K528">
        <v>16039</v>
      </c>
      <c r="L528">
        <f t="shared" si="42"/>
        <v>0</v>
      </c>
      <c r="M528">
        <f t="shared" si="43"/>
        <v>0</v>
      </c>
      <c r="N528" s="119">
        <f t="shared" si="44"/>
        <v>456</v>
      </c>
      <c r="O528">
        <f t="shared" si="40"/>
        <v>0</v>
      </c>
    </row>
    <row r="529" spans="2:15" ht="15" customHeight="1" x14ac:dyDescent="0.25">
      <c r="B529" s="86" t="s">
        <v>1011</v>
      </c>
      <c r="C529" s="87" t="s">
        <v>972</v>
      </c>
      <c r="D529" s="82" t="s">
        <v>94</v>
      </c>
      <c r="E529" s="83">
        <v>7</v>
      </c>
      <c r="F529" s="88">
        <v>4460</v>
      </c>
      <c r="G529" s="89">
        <f t="shared" si="41"/>
        <v>31220</v>
      </c>
      <c r="H529" s="118" t="str">
        <f t="array" ref="H529:K529">_xlfn.XLOOKUP(C529,'ESAP NEIVA FASE II UNIFICADO'!$C$6:$C$720,'ESAP NEIVA FASE II UNIFICADO'!$C$6:$F$720,"NO ESTA")</f>
        <v>SUMINISTRO E INSTALACION TUBERÍA PVC DE 3/4" INCLUYE ACCESORIOS</v>
      </c>
      <c r="I529" t="str">
        <v>ML</v>
      </c>
      <c r="J529">
        <v>84</v>
      </c>
      <c r="K529">
        <v>4755</v>
      </c>
      <c r="L529">
        <f t="shared" si="42"/>
        <v>0</v>
      </c>
      <c r="M529">
        <f t="shared" si="43"/>
        <v>0</v>
      </c>
      <c r="N529" s="119">
        <f t="shared" si="44"/>
        <v>7</v>
      </c>
      <c r="O529">
        <f t="shared" si="40"/>
        <v>0</v>
      </c>
    </row>
    <row r="530" spans="2:15" ht="15" customHeight="1" x14ac:dyDescent="0.25">
      <c r="B530" s="86" t="s">
        <v>1012</v>
      </c>
      <c r="C530" s="87" t="s">
        <v>976</v>
      </c>
      <c r="D530" s="82" t="s">
        <v>16</v>
      </c>
      <c r="E530" s="83">
        <v>9</v>
      </c>
      <c r="F530" s="88">
        <v>12126</v>
      </c>
      <c r="G530" s="89">
        <f t="shared" si="41"/>
        <v>109134</v>
      </c>
      <c r="H530" s="118" t="str">
        <f t="array" ref="H530:K530">_xlfn.XLOOKUP(C530,'ESAP NEIVA FASE II UNIFICADO'!$C$6:$C$720,'ESAP NEIVA FASE II UNIFICADO'!$C$6:$F$720,"NO ESTA")</f>
        <v>SUMINISTRO E INSTALACION CAJA DE PASO 10 x 10 m DOBLE FONDO</v>
      </c>
      <c r="I530" t="str">
        <v>UND</v>
      </c>
      <c r="J530">
        <v>4</v>
      </c>
      <c r="K530">
        <v>12928</v>
      </c>
      <c r="L530">
        <f t="shared" si="42"/>
        <v>0</v>
      </c>
      <c r="M530">
        <f t="shared" si="43"/>
        <v>0</v>
      </c>
      <c r="N530" s="119">
        <f t="shared" si="44"/>
        <v>9</v>
      </c>
      <c r="O530">
        <f t="shared" si="40"/>
        <v>0</v>
      </c>
    </row>
    <row r="531" spans="2:15" ht="15" customHeight="1" x14ac:dyDescent="0.25">
      <c r="B531" s="74">
        <v>20</v>
      </c>
      <c r="C531" s="75" t="s">
        <v>1013</v>
      </c>
      <c r="D531" s="76"/>
      <c r="E531" s="77"/>
      <c r="F531" s="78"/>
      <c r="G531" s="89">
        <f t="shared" si="41"/>
        <v>0</v>
      </c>
      <c r="H531" s="118" t="str">
        <f t="array" ref="H531">_xlfn.XLOOKUP(C531,'ESAP NEIVA FASE II UNIFICADO'!$C$6:$C$720,'ESAP NEIVA FASE II UNIFICADO'!$C$6:$F$720,"NO ESTA")</f>
        <v>NO ESTA</v>
      </c>
      <c r="L531">
        <f t="shared" si="42"/>
        <v>1</v>
      </c>
      <c r="M531">
        <f t="shared" si="43"/>
        <v>0</v>
      </c>
      <c r="N531" s="119">
        <f t="shared" si="44"/>
        <v>0</v>
      </c>
      <c r="O531">
        <f t="shared" si="40"/>
        <v>0</v>
      </c>
    </row>
    <row r="532" spans="2:15" ht="23.25" customHeight="1" x14ac:dyDescent="0.25">
      <c r="B532" s="86" t="s">
        <v>1014</v>
      </c>
      <c r="C532" s="87" t="s">
        <v>1015</v>
      </c>
      <c r="D532" s="82" t="s">
        <v>13</v>
      </c>
      <c r="E532" s="83">
        <v>600</v>
      </c>
      <c r="F532" s="88">
        <v>22414</v>
      </c>
      <c r="G532" s="89">
        <f t="shared" si="41"/>
        <v>13448400</v>
      </c>
      <c r="H532" s="118" t="str">
        <f t="array" ref="H532">_xlfn.XLOOKUP(C532,'ESAP NEIVA FASE II UNIFICADO'!$C$6:$C$720,'ESAP NEIVA FASE II UNIFICADO'!$C$6:$F$720,"NO ESTA")</f>
        <v>NO ESTA</v>
      </c>
      <c r="L532">
        <f t="shared" si="42"/>
        <v>1</v>
      </c>
      <c r="M532">
        <f t="shared" si="43"/>
        <v>22414</v>
      </c>
      <c r="N532" s="119">
        <f t="shared" si="44"/>
        <v>600</v>
      </c>
      <c r="O532">
        <f t="shared" si="40"/>
        <v>13448400</v>
      </c>
    </row>
    <row r="533" spans="2:15" ht="23.25" customHeight="1" x14ac:dyDescent="0.25">
      <c r="B533" s="86" t="s">
        <v>1016</v>
      </c>
      <c r="C533" s="87" t="s">
        <v>1017</v>
      </c>
      <c r="D533" s="82" t="s">
        <v>13</v>
      </c>
      <c r="E533" s="83">
        <v>600</v>
      </c>
      <c r="F533" s="88">
        <v>19110</v>
      </c>
      <c r="G533" s="89">
        <f t="shared" si="41"/>
        <v>11466000</v>
      </c>
      <c r="H533" s="118" t="str">
        <f t="array" ref="H533">_xlfn.XLOOKUP(C533,'ESAP NEIVA FASE II UNIFICADO'!$C$6:$C$720,'ESAP NEIVA FASE II UNIFICADO'!$C$6:$F$720,"NO ESTA")</f>
        <v>NO ESTA</v>
      </c>
      <c r="L533">
        <f t="shared" si="42"/>
        <v>1</v>
      </c>
      <c r="M533">
        <f t="shared" si="43"/>
        <v>19110</v>
      </c>
      <c r="N533" s="119">
        <f t="shared" si="44"/>
        <v>600</v>
      </c>
      <c r="O533">
        <f t="shared" si="40"/>
        <v>11466000</v>
      </c>
    </row>
    <row r="534" spans="2:15" ht="15" customHeight="1" x14ac:dyDescent="0.25">
      <c r="B534" s="86" t="s">
        <v>1018</v>
      </c>
      <c r="C534" s="87" t="s">
        <v>1019</v>
      </c>
      <c r="D534" s="82" t="s">
        <v>94</v>
      </c>
      <c r="E534" s="83">
        <v>1500</v>
      </c>
      <c r="F534" s="88">
        <v>6903</v>
      </c>
      <c r="G534" s="89">
        <f t="shared" si="41"/>
        <v>10354500</v>
      </c>
      <c r="H534" s="118" t="str">
        <f t="array" ref="H534">_xlfn.XLOOKUP(C534,'ESAP NEIVA FASE II UNIFICADO'!$C$6:$C$720,'ESAP NEIVA FASE II UNIFICADO'!$C$6:$F$720,"NO ESTA")</f>
        <v>NO ESTA</v>
      </c>
      <c r="L534">
        <f t="shared" si="42"/>
        <v>1</v>
      </c>
      <c r="M534">
        <f t="shared" si="43"/>
        <v>6903</v>
      </c>
      <c r="N534" s="119">
        <f t="shared" si="44"/>
        <v>1500</v>
      </c>
      <c r="O534">
        <f t="shared" si="40"/>
        <v>10354500</v>
      </c>
    </row>
    <row r="535" spans="2:15" ht="27" customHeight="1" x14ac:dyDescent="0.25">
      <c r="B535" s="86" t="s">
        <v>1020</v>
      </c>
      <c r="C535" s="87" t="s">
        <v>1021</v>
      </c>
      <c r="D535" s="82" t="s">
        <v>13</v>
      </c>
      <c r="E535" s="83">
        <v>100</v>
      </c>
      <c r="F535" s="88">
        <v>145695</v>
      </c>
      <c r="G535" s="89">
        <f t="shared" si="41"/>
        <v>14569500</v>
      </c>
      <c r="H535" s="118" t="str">
        <f t="array" ref="H535">_xlfn.XLOOKUP(C535,'ESAP NEIVA FASE II UNIFICADO'!$C$6:$C$720,'ESAP NEIVA FASE II UNIFICADO'!$C$6:$F$720,"NO ESTA")</f>
        <v>NO ESTA</v>
      </c>
      <c r="L535">
        <f t="shared" si="42"/>
        <v>1</v>
      </c>
      <c r="M535">
        <f t="shared" si="43"/>
        <v>145695</v>
      </c>
      <c r="N535" s="119">
        <f t="shared" si="44"/>
        <v>100</v>
      </c>
      <c r="O535">
        <f t="shared" si="40"/>
        <v>14569500</v>
      </c>
    </row>
    <row r="536" spans="2:15" ht="15" customHeight="1" x14ac:dyDescent="0.25">
      <c r="B536" s="86" t="s">
        <v>1022</v>
      </c>
      <c r="C536" s="87" t="s">
        <v>1023</v>
      </c>
      <c r="D536" s="82" t="s">
        <v>55</v>
      </c>
      <c r="E536" s="83">
        <v>1072.0999999999999</v>
      </c>
      <c r="F536" s="88">
        <v>12123</v>
      </c>
      <c r="G536" s="89">
        <f t="shared" si="41"/>
        <v>12997068.300000001</v>
      </c>
      <c r="H536" s="118" t="str">
        <f t="array" ref="H536">_xlfn.XLOOKUP(C536,'ESAP NEIVA FASE II UNIFICADO'!$C$6:$C$720,'ESAP NEIVA FASE II UNIFICADO'!$C$6:$F$720,"NO ESTA")</f>
        <v>NO ESTA</v>
      </c>
      <c r="L536">
        <f t="shared" si="42"/>
        <v>1</v>
      </c>
      <c r="M536">
        <f t="shared" si="43"/>
        <v>12123</v>
      </c>
      <c r="N536" s="119">
        <f t="shared" si="44"/>
        <v>1072.0999999999999</v>
      </c>
      <c r="O536">
        <f t="shared" si="40"/>
        <v>12997068.299999999</v>
      </c>
    </row>
    <row r="537" spans="2:15" ht="38.25" customHeight="1" x14ac:dyDescent="0.25">
      <c r="B537" s="86" t="s">
        <v>1024</v>
      </c>
      <c r="C537" s="87" t="s">
        <v>1025</v>
      </c>
      <c r="D537" s="82" t="s">
        <v>16</v>
      </c>
      <c r="E537" s="83">
        <v>793</v>
      </c>
      <c r="F537" s="88">
        <v>15884</v>
      </c>
      <c r="G537" s="89">
        <f t="shared" si="41"/>
        <v>12596012</v>
      </c>
      <c r="H537" s="118" t="str">
        <f t="array" ref="H537">_xlfn.XLOOKUP(C537,'ESAP NEIVA FASE II UNIFICADO'!$C$6:$C$720,'ESAP NEIVA FASE II UNIFICADO'!$C$6:$F$720,"NO ESTA")</f>
        <v>NO ESTA</v>
      </c>
      <c r="L537">
        <f t="shared" si="42"/>
        <v>1</v>
      </c>
      <c r="M537">
        <f t="shared" si="43"/>
        <v>15884</v>
      </c>
      <c r="N537" s="119">
        <f t="shared" si="44"/>
        <v>793</v>
      </c>
      <c r="O537">
        <f t="shared" si="40"/>
        <v>12596012</v>
      </c>
    </row>
    <row r="538" spans="2:15" ht="38.25" customHeight="1" x14ac:dyDescent="0.25">
      <c r="B538" s="86" t="s">
        <v>1026</v>
      </c>
      <c r="C538" s="87" t="s">
        <v>1027</v>
      </c>
      <c r="D538" s="82" t="s">
        <v>13</v>
      </c>
      <c r="E538" s="83">
        <v>40</v>
      </c>
      <c r="F538" s="88">
        <v>101239</v>
      </c>
      <c r="G538" s="89">
        <f t="shared" si="41"/>
        <v>4049560</v>
      </c>
      <c r="H538" s="118" t="str">
        <f t="array" ref="H538">_xlfn.XLOOKUP(C538,'ESAP NEIVA FASE II UNIFICADO'!$C$6:$C$720,'ESAP NEIVA FASE II UNIFICADO'!$C$6:$F$720,"NO ESTA")</f>
        <v>NO ESTA</v>
      </c>
      <c r="L538">
        <f t="shared" si="42"/>
        <v>1</v>
      </c>
      <c r="M538">
        <f t="shared" si="43"/>
        <v>101239</v>
      </c>
      <c r="N538" s="119">
        <f t="shared" si="44"/>
        <v>40</v>
      </c>
      <c r="O538">
        <f t="shared" si="40"/>
        <v>4049560</v>
      </c>
    </row>
    <row r="539" spans="2:15" ht="37.15" customHeight="1" x14ac:dyDescent="0.25">
      <c r="B539" s="86" t="s">
        <v>1028</v>
      </c>
      <c r="C539" s="87" t="s">
        <v>1029</v>
      </c>
      <c r="D539" s="82" t="s">
        <v>13</v>
      </c>
      <c r="E539" s="83">
        <v>1316</v>
      </c>
      <c r="F539" s="88">
        <v>154532</v>
      </c>
      <c r="G539" s="89">
        <f t="shared" si="41"/>
        <v>203364112</v>
      </c>
      <c r="H539" s="118" t="str">
        <f t="array" ref="H539">_xlfn.XLOOKUP(C539,'ESAP NEIVA FASE II UNIFICADO'!$C$6:$C$720,'ESAP NEIVA FASE II UNIFICADO'!$C$6:$F$720,"NO ESTA")</f>
        <v>NO ESTA</v>
      </c>
      <c r="L539">
        <f t="shared" si="42"/>
        <v>1</v>
      </c>
      <c r="M539">
        <f t="shared" si="43"/>
        <v>154532</v>
      </c>
      <c r="N539" s="119">
        <f t="shared" si="44"/>
        <v>1316</v>
      </c>
      <c r="O539">
        <f t="shared" si="40"/>
        <v>203364112</v>
      </c>
    </row>
    <row r="540" spans="2:15" ht="16.5" x14ac:dyDescent="0.25">
      <c r="B540" s="86" t="s">
        <v>1030</v>
      </c>
      <c r="C540" s="87" t="s">
        <v>1031</v>
      </c>
      <c r="D540" s="82" t="s">
        <v>13</v>
      </c>
      <c r="E540" s="83">
        <v>700</v>
      </c>
      <c r="F540" s="88">
        <v>35041</v>
      </c>
      <c r="G540" s="89">
        <f t="shared" si="41"/>
        <v>24528700</v>
      </c>
      <c r="H540" s="118" t="str">
        <f t="array" ref="H540">_xlfn.XLOOKUP(C540,'ESAP NEIVA FASE II UNIFICADO'!$C$6:$C$720,'ESAP NEIVA FASE II UNIFICADO'!$C$6:$F$720,"NO ESTA")</f>
        <v>NO ESTA</v>
      </c>
      <c r="L540">
        <f t="shared" si="42"/>
        <v>1</v>
      </c>
      <c r="M540">
        <f t="shared" si="43"/>
        <v>35041</v>
      </c>
      <c r="N540" s="119">
        <f t="shared" si="44"/>
        <v>700</v>
      </c>
      <c r="O540">
        <f t="shared" si="40"/>
        <v>24528700</v>
      </c>
    </row>
    <row r="541" spans="2:15" ht="16.5" x14ac:dyDescent="0.25">
      <c r="B541" s="419" t="s">
        <v>1032</v>
      </c>
      <c r="C541" s="419"/>
      <c r="D541" s="419"/>
      <c r="E541" s="419"/>
      <c r="F541" s="107"/>
      <c r="G541" s="108">
        <f>+SUM(G6:G540)</f>
        <v>5637570802.1599979</v>
      </c>
      <c r="I541" s="108">
        <v>5830808778</v>
      </c>
      <c r="O541" s="108">
        <f>SUM(O1:O540)</f>
        <v>2562796680.5200005</v>
      </c>
    </row>
    <row r="542" spans="2:15" ht="16.5" x14ac:dyDescent="0.25">
      <c r="B542" s="419" t="s">
        <v>1033</v>
      </c>
      <c r="C542" s="419"/>
      <c r="D542" s="419"/>
      <c r="E542" s="419"/>
      <c r="F542" s="109"/>
      <c r="G542" s="110">
        <f>+G543+G544+G545</f>
        <v>1467459679.8000002</v>
      </c>
      <c r="I542" s="95">
        <f>+I541-G541</f>
        <v>193237975.84000206</v>
      </c>
      <c r="K542" s="95" t="e">
        <f>+I30-I542</f>
        <v>#VALUE!</v>
      </c>
    </row>
    <row r="543" spans="2:15" ht="16.5" x14ac:dyDescent="0.25">
      <c r="B543" s="420" t="s">
        <v>1034</v>
      </c>
      <c r="C543" s="420"/>
      <c r="D543" s="420"/>
      <c r="E543" s="420"/>
      <c r="F543" s="111">
        <v>0.20030000000000001</v>
      </c>
      <c r="G543" s="112">
        <f>ROUND(+$G$541*F543,2)</f>
        <v>1129205431.6700001</v>
      </c>
    </row>
    <row r="544" spans="2:15" ht="16.5" x14ac:dyDescent="0.25">
      <c r="B544" s="420" t="s">
        <v>1035</v>
      </c>
      <c r="C544" s="420"/>
      <c r="D544" s="420"/>
      <c r="E544" s="420"/>
      <c r="F544" s="113">
        <v>0.01</v>
      </c>
      <c r="G544" s="112">
        <f>ROUND(+$G$541*F544,2)</f>
        <v>56375708.020000003</v>
      </c>
    </row>
    <row r="545" spans="2:9" ht="16.5" x14ac:dyDescent="0.25">
      <c r="B545" s="420" t="s">
        <v>1036</v>
      </c>
      <c r="C545" s="420"/>
      <c r="D545" s="420"/>
      <c r="E545" s="420"/>
      <c r="F545" s="111">
        <v>0.05</v>
      </c>
      <c r="G545" s="112">
        <f>ROUND(+$G$541*F545,2)</f>
        <v>281878540.11000001</v>
      </c>
    </row>
    <row r="546" spans="2:9" ht="16.5" x14ac:dyDescent="0.3">
      <c r="B546" s="419" t="s">
        <v>1037</v>
      </c>
      <c r="C546" s="419"/>
      <c r="D546" s="419"/>
      <c r="E546" s="419"/>
      <c r="F546" s="114"/>
      <c r="G546" s="110">
        <f>+G541+G542</f>
        <v>7105030481.9599981</v>
      </c>
      <c r="I546" s="115">
        <f>'[3]Nieva 2021 trabajando 4'!K554-'Neiva 2021 FASE I UNIFICADO'!G548+50000000</f>
        <v>312855316.42000198</v>
      </c>
    </row>
    <row r="547" spans="2:9" ht="16.5" x14ac:dyDescent="0.25">
      <c r="B547" s="420" t="s">
        <v>1038</v>
      </c>
      <c r="C547" s="420"/>
      <c r="D547" s="420"/>
      <c r="E547" s="420"/>
      <c r="F547" s="111">
        <v>0.19</v>
      </c>
      <c r="G547" s="112">
        <f>ROUND(+G545*F547,2)</f>
        <v>53556922.619999997</v>
      </c>
      <c r="I547" s="95"/>
    </row>
    <row r="548" spans="2:9" ht="16.5" x14ac:dyDescent="0.25">
      <c r="B548" s="419" t="s">
        <v>1039</v>
      </c>
      <c r="C548" s="419"/>
      <c r="D548" s="419"/>
      <c r="E548" s="419"/>
      <c r="F548" s="116"/>
      <c r="G548" s="108">
        <f>+G546+G547</f>
        <v>7158587404.579998</v>
      </c>
      <c r="I548" s="108">
        <f>7403747930</f>
        <v>7403747930</v>
      </c>
    </row>
    <row r="549" spans="2:9" x14ac:dyDescent="0.25">
      <c r="G549" s="115"/>
    </row>
    <row r="550" spans="2:9" x14ac:dyDescent="0.25">
      <c r="G550" s="120"/>
    </row>
    <row r="551" spans="2:9" x14ac:dyDescent="0.25">
      <c r="G551" s="121"/>
      <c r="I551" s="121">
        <f>492000000/G548</f>
        <v>6.8728643263505168E-2</v>
      </c>
    </row>
    <row r="552" spans="2:9" x14ac:dyDescent="0.25">
      <c r="G552" s="121"/>
    </row>
    <row r="553" spans="2:9" x14ac:dyDescent="0.25">
      <c r="G553" s="115"/>
    </row>
    <row r="554" spans="2:9" x14ac:dyDescent="0.25">
      <c r="G554" s="122"/>
    </row>
    <row r="555" spans="2:9" x14ac:dyDescent="0.25">
      <c r="G555" s="115"/>
    </row>
  </sheetData>
  <mergeCells count="9">
    <mergeCell ref="B546:E546"/>
    <mergeCell ref="B547:E547"/>
    <mergeCell ref="B548:E548"/>
    <mergeCell ref="B1:G2"/>
    <mergeCell ref="B541:E541"/>
    <mergeCell ref="B542:E542"/>
    <mergeCell ref="B543:E543"/>
    <mergeCell ref="B544:E544"/>
    <mergeCell ref="B545:E545"/>
  </mergeCells>
  <pageMargins left="0.70866141732283472" right="0.70866141732283472" top="0.74803149606299213" bottom="0.74803149606299213" header="0.31496062992125984" footer="0.31496062992125984"/>
  <pageSetup scale="6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S1048576"/>
  <sheetViews>
    <sheetView view="pageBreakPreview" topLeftCell="B1" zoomScale="80" zoomScaleNormal="91" zoomScaleSheetLayoutView="80" workbookViewId="0">
      <pane ySplit="5" topLeftCell="A722" activePane="bottomLeft" state="frozen"/>
      <selection activeCell="M553" sqref="M553"/>
      <selection pane="bottomLeft" activeCell="M553" sqref="M553"/>
    </sheetView>
  </sheetViews>
  <sheetFormatPr baseColWidth="10" defaultColWidth="11.42578125" defaultRowHeight="16.5" x14ac:dyDescent="0.3"/>
  <cols>
    <col min="1" max="1" width="4.5703125" customWidth="1"/>
    <col min="2" max="2" width="9" customWidth="1"/>
    <col min="3" max="3" width="62" customWidth="1"/>
    <col min="4" max="4" width="10.28515625" customWidth="1"/>
    <col min="5" max="5" width="15.42578125" style="69" customWidth="1"/>
    <col min="6" max="6" width="18.42578125" style="139" customWidth="1"/>
    <col min="7" max="7" width="22.5703125" style="139" customWidth="1"/>
    <col min="8" max="8" width="20.140625" style="1" hidden="1" customWidth="1"/>
    <col min="9" max="9" width="26.42578125" style="1" customWidth="1"/>
    <col min="10" max="10" width="23.7109375" style="1" customWidth="1"/>
    <col min="11" max="11" width="59.28515625" customWidth="1"/>
    <col min="12" max="12" width="15.28515625" bestFit="1" customWidth="1"/>
    <col min="13" max="13" width="19" customWidth="1"/>
    <col min="15" max="15" width="16.28515625" style="118" customWidth="1"/>
    <col min="17" max="17" width="15.140625" customWidth="1"/>
    <col min="18" max="18" width="22.5703125" bestFit="1" customWidth="1"/>
    <col min="19" max="19" width="17" customWidth="1"/>
  </cols>
  <sheetData>
    <row r="1" spans="1:18" x14ac:dyDescent="0.3">
      <c r="A1" s="351"/>
    </row>
    <row r="2" spans="1:18" ht="15" customHeight="1" x14ac:dyDescent="0.25">
      <c r="B2" s="427" t="s">
        <v>1042</v>
      </c>
      <c r="C2" s="427"/>
      <c r="D2" s="427"/>
      <c r="E2" s="427"/>
      <c r="F2" s="427"/>
      <c r="G2" s="427"/>
    </row>
    <row r="3" spans="1:18" ht="23.25" customHeight="1" x14ac:dyDescent="0.25">
      <c r="B3" s="427"/>
      <c r="C3" s="427"/>
      <c r="D3" s="427"/>
      <c r="E3" s="427"/>
      <c r="F3" s="427"/>
      <c r="G3" s="427"/>
      <c r="H3" s="1">
        <v>0.95279999999999998</v>
      </c>
    </row>
    <row r="4" spans="1:18" ht="27" customHeight="1" x14ac:dyDescent="0.25">
      <c r="B4" s="2" t="s">
        <v>1</v>
      </c>
      <c r="C4" s="2" t="s">
        <v>2</v>
      </c>
      <c r="D4" s="2" t="s">
        <v>3</v>
      </c>
      <c r="E4" s="3" t="s">
        <v>4</v>
      </c>
      <c r="F4" s="2" t="s">
        <v>5</v>
      </c>
      <c r="G4" s="2" t="s">
        <v>6</v>
      </c>
      <c r="I4" s="121">
        <v>2.5499999999999998E-2</v>
      </c>
      <c r="K4" s="123" t="s">
        <v>1043</v>
      </c>
      <c r="L4" t="s">
        <v>16</v>
      </c>
      <c r="M4" t="s">
        <v>1044</v>
      </c>
      <c r="N4" t="s">
        <v>1045</v>
      </c>
      <c r="O4" s="118" t="s">
        <v>1046</v>
      </c>
    </row>
    <row r="5" spans="1:18" s="9" customFormat="1" ht="35.1" customHeight="1" x14ac:dyDescent="0.25">
      <c r="B5" s="4" t="s">
        <v>9</v>
      </c>
      <c r="C5" s="5" t="s">
        <v>10</v>
      </c>
      <c r="D5" s="6"/>
      <c r="E5" s="7"/>
      <c r="F5" s="125"/>
      <c r="G5" s="7"/>
      <c r="H5" s="8"/>
      <c r="I5" s="8"/>
      <c r="J5" s="8"/>
      <c r="O5" s="124"/>
      <c r="P5" s="153" t="s">
        <v>1047</v>
      </c>
      <c r="Q5" s="153" t="s">
        <v>1048</v>
      </c>
      <c r="R5" s="154" t="s">
        <v>1041</v>
      </c>
    </row>
    <row r="6" spans="1:18" s="9" customFormat="1" ht="35.1" customHeight="1" x14ac:dyDescent="0.25">
      <c r="B6" s="10" t="s">
        <v>11</v>
      </c>
      <c r="C6" s="11" t="s">
        <v>12</v>
      </c>
      <c r="D6" s="10" t="s">
        <v>13</v>
      </c>
      <c r="E6" s="12">
        <v>295</v>
      </c>
      <c r="F6" s="126">
        <v>23484</v>
      </c>
      <c r="G6" s="126">
        <f t="shared" ref="G6:G15" si="0">ROUND(+F6*E6,2)</f>
        <v>6927780</v>
      </c>
      <c r="H6" s="8"/>
      <c r="I6" s="8">
        <f>+ROUND(F6*(1+$I$4),0)</f>
        <v>24083</v>
      </c>
      <c r="J6" s="8">
        <f>+I6*E6</f>
        <v>7104485</v>
      </c>
      <c r="K6" s="9" t="str">
        <f t="array" ref="K6:N6">_xlfn.XLOOKUP(C6,'Neiva 2022 FASE I ACTUAL (5)'!$C$6:$C$540,'Neiva 2022 FASE I ACTUAL (5)'!$C$6:$F$540,"NO ESTA")</f>
        <v>DESCAPOTE A MAQUINA (INCLUYE RETIRO)</v>
      </c>
      <c r="L6" s="9" t="str">
        <v>M2</v>
      </c>
      <c r="M6" s="9">
        <v>250</v>
      </c>
      <c r="N6" s="9">
        <v>27093</v>
      </c>
      <c r="O6" s="124" t="str">
        <f>IF(N6=0,0,(IF(F6&lt;N6, "FASE I","FASE II")))</f>
        <v>FASE I</v>
      </c>
      <c r="P6" s="155">
        <f t="shared" ref="P6:P69" si="1">E6+M6</f>
        <v>545</v>
      </c>
      <c r="Q6" s="156">
        <f>MAX(N6,F6,I6)</f>
        <v>27093</v>
      </c>
      <c r="R6" s="156">
        <f>ROUND(P6*Q6,2)</f>
        <v>14765685</v>
      </c>
    </row>
    <row r="7" spans="1:18" s="9" customFormat="1" ht="35.1" customHeight="1" x14ac:dyDescent="0.25">
      <c r="B7" s="10" t="s">
        <v>1049</v>
      </c>
      <c r="C7" s="11" t="s">
        <v>1050</v>
      </c>
      <c r="D7" s="10" t="s">
        <v>13</v>
      </c>
      <c r="E7" s="12">
        <v>580</v>
      </c>
      <c r="F7" s="126">
        <v>3467</v>
      </c>
      <c r="G7" s="126">
        <f t="shared" si="0"/>
        <v>2010860</v>
      </c>
      <c r="H7" s="8"/>
      <c r="I7" s="8">
        <f t="shared" ref="I7:I70" si="2">+ROUND(F7*(1+$I$4),0)</f>
        <v>3555</v>
      </c>
      <c r="J7" s="8">
        <f t="shared" ref="J7:J70" si="3">+I7*E7</f>
        <v>2061900</v>
      </c>
      <c r="K7" s="9" t="str">
        <f t="array" ref="K7">_xlfn.XLOOKUP(C7,'Neiva 2022 FASE I ACTUAL (5)'!$C$6:$C$540,'Neiva 2022 FASE I ACTUAL (5)'!$C$6:$F$540,"NO ESTA")</f>
        <v>NO ESTA</v>
      </c>
      <c r="O7" s="124">
        <f>IF(N7=0,0,(IF(F7&lt;N7, "FASE I","FASE II")))</f>
        <v>0</v>
      </c>
      <c r="P7" s="155">
        <f t="shared" si="1"/>
        <v>580</v>
      </c>
      <c r="Q7" s="156">
        <f t="shared" ref="Q7:Q70" si="4">MAX(N7,F7,I7)</f>
        <v>3555</v>
      </c>
      <c r="R7" s="156">
        <f t="shared" ref="R7:R70" si="5">ROUND(P7*Q7,2)</f>
        <v>2061900</v>
      </c>
    </row>
    <row r="8" spans="1:18" s="9" customFormat="1" ht="35.1" customHeight="1" x14ac:dyDescent="0.25">
      <c r="B8" s="10" t="s">
        <v>1051</v>
      </c>
      <c r="C8" s="11" t="s">
        <v>1052</v>
      </c>
      <c r="D8" s="10" t="s">
        <v>94</v>
      </c>
      <c r="E8" s="12">
        <v>40</v>
      </c>
      <c r="F8" s="126">
        <v>33564</v>
      </c>
      <c r="G8" s="126">
        <f t="shared" si="0"/>
        <v>1342560</v>
      </c>
      <c r="H8" s="8"/>
      <c r="I8" s="8">
        <f t="shared" si="2"/>
        <v>34420</v>
      </c>
      <c r="J8" s="8">
        <f t="shared" si="3"/>
        <v>1376800</v>
      </c>
      <c r="K8" s="9" t="str">
        <f t="array" ref="K8">_xlfn.XLOOKUP(C8,'Neiva 2022 FASE I ACTUAL (5)'!$C$6:$C$540,'Neiva 2022 FASE I ACTUAL (5)'!$C$6:$F$540,"NO ESTA")</f>
        <v>NO ESTA</v>
      </c>
      <c r="O8" s="124">
        <f t="shared" ref="O8:O71" si="6">IF(N8=0,0,(IF(F8&lt;N8, "FASE I","FASE II")))</f>
        <v>0</v>
      </c>
      <c r="P8" s="155">
        <f t="shared" si="1"/>
        <v>40</v>
      </c>
      <c r="Q8" s="156">
        <f t="shared" si="4"/>
        <v>34420</v>
      </c>
      <c r="R8" s="156">
        <f t="shared" si="5"/>
        <v>1376800</v>
      </c>
    </row>
    <row r="9" spans="1:18" s="9" customFormat="1" ht="35.1" customHeight="1" x14ac:dyDescent="0.25">
      <c r="B9" s="10" t="s">
        <v>14</v>
      </c>
      <c r="C9" s="11" t="s">
        <v>15</v>
      </c>
      <c r="D9" s="10" t="s">
        <v>16</v>
      </c>
      <c r="E9" s="12">
        <v>0</v>
      </c>
      <c r="F9" s="126">
        <v>35057</v>
      </c>
      <c r="G9" s="126">
        <f t="shared" si="0"/>
        <v>0</v>
      </c>
      <c r="H9" s="8"/>
      <c r="I9" s="8">
        <f t="shared" si="2"/>
        <v>35951</v>
      </c>
      <c r="J9" s="8">
        <f t="shared" si="3"/>
        <v>0</v>
      </c>
      <c r="K9" s="9" t="str">
        <f t="array" ref="K9:N9">_xlfn.XLOOKUP(C9,'Neiva 2022 FASE I ACTUAL (5)'!$C$6:$C$540,'Neiva 2022 FASE I ACTUAL (5)'!$C$6:$F$540,"NO ESTA")</f>
        <v>BARRERA DE PROTECCIÓN PARA ARBOLES EXISTENTES</v>
      </c>
      <c r="L9" s="9" t="str">
        <v>UND</v>
      </c>
      <c r="M9" s="9">
        <v>8</v>
      </c>
      <c r="N9" s="9">
        <v>34164</v>
      </c>
      <c r="O9" s="124" t="str">
        <f t="shared" si="6"/>
        <v>FASE II</v>
      </c>
      <c r="P9" s="155">
        <f t="shared" si="1"/>
        <v>8</v>
      </c>
      <c r="Q9" s="156">
        <f t="shared" si="4"/>
        <v>35951</v>
      </c>
      <c r="R9" s="156">
        <f t="shared" si="5"/>
        <v>287608</v>
      </c>
    </row>
    <row r="10" spans="1:18" s="9" customFormat="1" ht="35.1" customHeight="1" x14ac:dyDescent="0.25">
      <c r="B10" s="13" t="s">
        <v>17</v>
      </c>
      <c r="C10" s="14" t="s">
        <v>18</v>
      </c>
      <c r="D10" s="13"/>
      <c r="E10" s="15"/>
      <c r="F10" s="126">
        <v>0</v>
      </c>
      <c r="G10" s="126">
        <f t="shared" si="0"/>
        <v>0</v>
      </c>
      <c r="H10" s="8"/>
      <c r="I10" s="8">
        <f t="shared" si="2"/>
        <v>0</v>
      </c>
      <c r="J10" s="8">
        <f t="shared" si="3"/>
        <v>0</v>
      </c>
      <c r="K10" s="9" t="str">
        <f t="array" ref="K10:N10">_xlfn.XLOOKUP(C10,'Neiva 2022 FASE I ACTUAL (5)'!$C$6:$C$540,'Neiva 2022 FASE I ACTUAL (5)'!$C$6:$F$540,"NO ESTA")</f>
        <v>INSTALACION SERVICIOS PROVISIONALES</v>
      </c>
      <c r="L10" s="9">
        <v>0</v>
      </c>
      <c r="M10" s="9">
        <v>0</v>
      </c>
      <c r="N10" s="9">
        <v>0</v>
      </c>
      <c r="O10" s="124">
        <f t="shared" si="6"/>
        <v>0</v>
      </c>
      <c r="P10" s="155">
        <f t="shared" si="1"/>
        <v>0</v>
      </c>
      <c r="Q10" s="156">
        <f t="shared" si="4"/>
        <v>0</v>
      </c>
      <c r="R10" s="156">
        <f t="shared" si="5"/>
        <v>0</v>
      </c>
    </row>
    <row r="11" spans="1:18" s="9" customFormat="1" ht="35.1" customHeight="1" x14ac:dyDescent="0.25">
      <c r="B11" s="10" t="s">
        <v>1053</v>
      </c>
      <c r="C11" s="11" t="s">
        <v>1054</v>
      </c>
      <c r="D11" s="10" t="s">
        <v>374</v>
      </c>
      <c r="E11" s="12">
        <v>0</v>
      </c>
      <c r="F11" s="126">
        <v>549836</v>
      </c>
      <c r="G11" s="126">
        <f t="shared" si="0"/>
        <v>0</v>
      </c>
      <c r="H11" s="8"/>
      <c r="I11" s="8">
        <f t="shared" si="2"/>
        <v>563857</v>
      </c>
      <c r="J11" s="8">
        <f t="shared" si="3"/>
        <v>0</v>
      </c>
      <c r="K11" s="9" t="str">
        <f t="array" ref="K11">_xlfn.XLOOKUP(C11,'Neiva 2022 FASE I ACTUAL (5)'!$C$6:$C$540,'Neiva 2022 FASE I ACTUAL (5)'!$C$6:$F$540,"NO ESTA")</f>
        <v>NO ESTA</v>
      </c>
      <c r="O11" s="124">
        <f t="shared" si="6"/>
        <v>0</v>
      </c>
      <c r="P11" s="155">
        <f t="shared" si="1"/>
        <v>0</v>
      </c>
      <c r="Q11" s="156">
        <f t="shared" si="4"/>
        <v>563857</v>
      </c>
      <c r="R11" s="156">
        <f t="shared" si="5"/>
        <v>0</v>
      </c>
    </row>
    <row r="12" spans="1:18" s="9" customFormat="1" ht="35.1" customHeight="1" x14ac:dyDescent="0.25">
      <c r="B12" s="10" t="s">
        <v>1055</v>
      </c>
      <c r="C12" s="11" t="s">
        <v>1056</v>
      </c>
      <c r="D12" s="10" t="s">
        <v>374</v>
      </c>
      <c r="E12" s="12">
        <v>0</v>
      </c>
      <c r="F12" s="126">
        <v>3940517</v>
      </c>
      <c r="G12" s="126">
        <f t="shared" si="0"/>
        <v>0</v>
      </c>
      <c r="H12" s="8"/>
      <c r="I12" s="8">
        <f t="shared" si="2"/>
        <v>4041000</v>
      </c>
      <c r="J12" s="8">
        <f t="shared" si="3"/>
        <v>0</v>
      </c>
      <c r="K12" s="9" t="str">
        <f t="array" ref="K12">_xlfn.XLOOKUP(C12,'Neiva 2022 FASE I ACTUAL (5)'!$C$6:$C$540,'Neiva 2022 FASE I ACTUAL (5)'!$C$6:$F$540,"NO ESTA")</f>
        <v>NO ESTA</v>
      </c>
      <c r="O12" s="124">
        <f t="shared" si="6"/>
        <v>0</v>
      </c>
      <c r="P12" s="155">
        <f t="shared" si="1"/>
        <v>0</v>
      </c>
      <c r="Q12" s="156">
        <f t="shared" si="4"/>
        <v>4041000</v>
      </c>
      <c r="R12" s="156">
        <f t="shared" si="5"/>
        <v>0</v>
      </c>
    </row>
    <row r="13" spans="1:18" s="9" customFormat="1" ht="35.1" customHeight="1" x14ac:dyDescent="0.25">
      <c r="B13" s="13" t="s">
        <v>19</v>
      </c>
      <c r="C13" s="14" t="s">
        <v>20</v>
      </c>
      <c r="D13" s="13"/>
      <c r="E13" s="15"/>
      <c r="F13" s="126">
        <v>0</v>
      </c>
      <c r="G13" s="126">
        <f t="shared" si="0"/>
        <v>0</v>
      </c>
      <c r="H13" s="8"/>
      <c r="I13" s="8">
        <f t="shared" si="2"/>
        <v>0</v>
      </c>
      <c r="J13" s="8">
        <f t="shared" si="3"/>
        <v>0</v>
      </c>
      <c r="K13" s="9" t="str">
        <f t="array" ref="K13:N13">_xlfn.XLOOKUP(C13,'Neiva 2022 FASE I ACTUAL (5)'!$C$6:$C$540,'Neiva 2022 FASE I ACTUAL (5)'!$C$6:$F$540,"NO ESTA")</f>
        <v>DEMOLICIONES</v>
      </c>
      <c r="L13" s="9">
        <v>0</v>
      </c>
      <c r="M13" s="9">
        <v>0</v>
      </c>
      <c r="N13" s="9">
        <v>0</v>
      </c>
      <c r="O13" s="124">
        <f t="shared" si="6"/>
        <v>0</v>
      </c>
      <c r="P13" s="155">
        <f t="shared" si="1"/>
        <v>0</v>
      </c>
      <c r="Q13" s="156">
        <f t="shared" si="4"/>
        <v>0</v>
      </c>
      <c r="R13" s="156">
        <f t="shared" si="5"/>
        <v>0</v>
      </c>
    </row>
    <row r="14" spans="1:18" s="9" customFormat="1" ht="35.1" customHeight="1" x14ac:dyDescent="0.25">
      <c r="B14" s="10" t="s">
        <v>21</v>
      </c>
      <c r="C14" s="11" t="s">
        <v>1057</v>
      </c>
      <c r="D14" s="10" t="s">
        <v>13</v>
      </c>
      <c r="E14" s="12">
        <v>0</v>
      </c>
      <c r="F14" s="126">
        <v>16701</v>
      </c>
      <c r="G14" s="126">
        <f t="shared" si="0"/>
        <v>0</v>
      </c>
      <c r="H14" s="8"/>
      <c r="I14" s="8">
        <f t="shared" si="2"/>
        <v>17127</v>
      </c>
      <c r="J14" s="8">
        <f t="shared" si="3"/>
        <v>0</v>
      </c>
      <c r="K14" s="9" t="str">
        <f t="array" ref="K14">_xlfn.XLOOKUP(C14,'Neiva 2022 FASE I ACTUAL (5)'!$C$6:$C$540,'Neiva 2022 FASE I ACTUAL (5)'!$C$6:$F$540,"NO ESTA")</f>
        <v>NO ESTA</v>
      </c>
      <c r="O14" s="124">
        <f t="shared" si="6"/>
        <v>0</v>
      </c>
      <c r="P14" s="155">
        <f t="shared" si="1"/>
        <v>0</v>
      </c>
      <c r="Q14" s="156">
        <f t="shared" si="4"/>
        <v>17127</v>
      </c>
      <c r="R14" s="156">
        <f t="shared" si="5"/>
        <v>0</v>
      </c>
    </row>
    <row r="15" spans="1:18" s="9" customFormat="1" ht="35.1" customHeight="1" x14ac:dyDescent="0.25">
      <c r="B15" s="10" t="s">
        <v>23</v>
      </c>
      <c r="C15" s="11" t="s">
        <v>1058</v>
      </c>
      <c r="D15" s="10" t="s">
        <v>13</v>
      </c>
      <c r="E15" s="12">
        <v>0</v>
      </c>
      <c r="F15" s="126">
        <v>13104</v>
      </c>
      <c r="G15" s="126">
        <f t="shared" si="0"/>
        <v>0</v>
      </c>
      <c r="H15" s="8"/>
      <c r="I15" s="8">
        <f t="shared" si="2"/>
        <v>13438</v>
      </c>
      <c r="J15" s="8">
        <f t="shared" si="3"/>
        <v>0</v>
      </c>
      <c r="K15" s="9" t="str">
        <f t="array" ref="K15">_xlfn.XLOOKUP(C15,'Neiva 2022 FASE I ACTUAL (5)'!$C$6:$C$540,'Neiva 2022 FASE I ACTUAL (5)'!$C$6:$F$540,"NO ESTA")</f>
        <v>NO ESTA</v>
      </c>
      <c r="O15" s="124">
        <f t="shared" si="6"/>
        <v>0</v>
      </c>
      <c r="P15" s="155">
        <f t="shared" si="1"/>
        <v>0</v>
      </c>
      <c r="Q15" s="156">
        <f t="shared" si="4"/>
        <v>13438</v>
      </c>
      <c r="R15" s="156">
        <f t="shared" si="5"/>
        <v>0</v>
      </c>
    </row>
    <row r="16" spans="1:18" s="9" customFormat="1" ht="35.1" customHeight="1" x14ac:dyDescent="0.25">
      <c r="B16" s="16">
        <v>2</v>
      </c>
      <c r="C16" s="17" t="s">
        <v>25</v>
      </c>
      <c r="D16" s="17"/>
      <c r="E16" s="18"/>
      <c r="F16" s="127"/>
      <c r="G16" s="17"/>
      <c r="H16" s="8"/>
      <c r="I16" s="8">
        <f t="shared" si="2"/>
        <v>0</v>
      </c>
      <c r="J16" s="8">
        <f t="shared" si="3"/>
        <v>0</v>
      </c>
      <c r="K16" s="9" t="str">
        <f t="array" ref="K16:N16">_xlfn.XLOOKUP(C16,'Neiva 2022 FASE I ACTUAL (5)'!$C$6:$C$540,'Neiva 2022 FASE I ACTUAL (5)'!$C$6:$F$540,"NO ESTA")</f>
        <v>CIMENTACION</v>
      </c>
      <c r="L16" s="9">
        <v>0</v>
      </c>
      <c r="M16" s="9">
        <v>0</v>
      </c>
      <c r="N16" s="9">
        <v>0</v>
      </c>
      <c r="O16" s="124">
        <f t="shared" si="6"/>
        <v>0</v>
      </c>
      <c r="P16" s="155">
        <f t="shared" si="1"/>
        <v>0</v>
      </c>
      <c r="Q16" s="156">
        <f t="shared" si="4"/>
        <v>0</v>
      </c>
      <c r="R16" s="156">
        <f t="shared" si="5"/>
        <v>0</v>
      </c>
    </row>
    <row r="17" spans="2:18" s="9" customFormat="1" ht="35.1" customHeight="1" x14ac:dyDescent="0.25">
      <c r="B17" s="13" t="s">
        <v>26</v>
      </c>
      <c r="C17" s="14" t="s">
        <v>27</v>
      </c>
      <c r="D17" s="13"/>
      <c r="E17" s="15"/>
      <c r="F17" s="128"/>
      <c r="G17" s="19"/>
      <c r="H17" s="8"/>
      <c r="I17" s="8">
        <f t="shared" si="2"/>
        <v>0</v>
      </c>
      <c r="J17" s="8">
        <f t="shared" si="3"/>
        <v>0</v>
      </c>
      <c r="K17" s="9" t="str">
        <f t="array" ref="K17:N17">_xlfn.XLOOKUP(C17,'Neiva 2022 FASE I ACTUAL (5)'!$C$6:$C$540,'Neiva 2022 FASE I ACTUAL (5)'!$C$6:$F$540,"NO ESTA")</f>
        <v>EXCAVACIONES, RELLENOS Y OTROS</v>
      </c>
      <c r="L17" s="9">
        <v>0</v>
      </c>
      <c r="M17" s="9">
        <v>0</v>
      </c>
      <c r="N17" s="9">
        <v>0</v>
      </c>
      <c r="O17" s="124">
        <f t="shared" si="6"/>
        <v>0</v>
      </c>
      <c r="P17" s="155">
        <f t="shared" si="1"/>
        <v>0</v>
      </c>
      <c r="Q17" s="156">
        <f t="shared" si="4"/>
        <v>0</v>
      </c>
      <c r="R17" s="156">
        <f t="shared" si="5"/>
        <v>0</v>
      </c>
    </row>
    <row r="18" spans="2:18" s="9" customFormat="1" ht="35.1" customHeight="1" x14ac:dyDescent="0.25">
      <c r="B18" s="10" t="s">
        <v>28</v>
      </c>
      <c r="C18" s="11" t="s">
        <v>29</v>
      </c>
      <c r="D18" s="10" t="s">
        <v>30</v>
      </c>
      <c r="E18" s="12">
        <v>400</v>
      </c>
      <c r="F18" s="126">
        <v>31642</v>
      </c>
      <c r="G18" s="126">
        <f>ROUND(+F18*E18,2)</f>
        <v>12656800</v>
      </c>
      <c r="H18" s="8"/>
      <c r="I18" s="8">
        <f t="shared" si="2"/>
        <v>32449</v>
      </c>
      <c r="J18" s="8">
        <f t="shared" si="3"/>
        <v>12979600</v>
      </c>
      <c r="K18" s="9" t="str">
        <f t="array" ref="K18:N18">_xlfn.XLOOKUP(C18,'Neiva 2022 FASE I ACTUAL (5)'!$C$6:$C$540,'Neiva 2022 FASE I ACTUAL (5)'!$C$6:$F$540,"NO ESTA")</f>
        <v>EXCAVACIÓN MECÁNICA EN MATERIAL COMÚN (incluye cargue y retiro)</v>
      </c>
      <c r="L18" s="9" t="str">
        <v>M3</v>
      </c>
      <c r="M18" s="9">
        <v>0</v>
      </c>
      <c r="N18" s="9">
        <v>30837</v>
      </c>
      <c r="O18" s="124" t="str">
        <f t="shared" si="6"/>
        <v>FASE II</v>
      </c>
      <c r="P18" s="155">
        <f t="shared" si="1"/>
        <v>400</v>
      </c>
      <c r="Q18" s="156">
        <f t="shared" si="4"/>
        <v>32449</v>
      </c>
      <c r="R18" s="156">
        <f t="shared" si="5"/>
        <v>12979600</v>
      </c>
    </row>
    <row r="19" spans="2:18" s="9" customFormat="1" ht="35.1" customHeight="1" x14ac:dyDescent="0.25">
      <c r="B19" s="10" t="s">
        <v>31</v>
      </c>
      <c r="C19" s="11" t="s">
        <v>32</v>
      </c>
      <c r="D19" s="10" t="s">
        <v>30</v>
      </c>
      <c r="E19" s="12">
        <v>57.945499999999981</v>
      </c>
      <c r="F19" s="126">
        <v>39971</v>
      </c>
      <c r="G19" s="126">
        <f>ROUND(+F19*E19,2)</f>
        <v>2316139.58</v>
      </c>
      <c r="H19" s="8"/>
      <c r="I19" s="8">
        <f t="shared" si="2"/>
        <v>40990</v>
      </c>
      <c r="J19" s="8">
        <f t="shared" si="3"/>
        <v>2375186.0449999995</v>
      </c>
      <c r="K19" s="9" t="str">
        <f t="array" ref="K19:N19">_xlfn.XLOOKUP(C19,'Neiva 2022 FASE I ACTUAL (5)'!$C$6:$C$540,'Neiva 2022 FASE I ACTUAL (5)'!$C$6:$F$540,"NO ESTA")</f>
        <v>EXCAVACIÓN MANUAL EN MATERIAL COMÚN (incluye cargue y retiro)</v>
      </c>
      <c r="L19" s="9" t="str">
        <v>M3</v>
      </c>
      <c r="M19" s="9">
        <v>299.45</v>
      </c>
      <c r="N19" s="9">
        <v>38954</v>
      </c>
      <c r="O19" s="124" t="str">
        <f t="shared" si="6"/>
        <v>FASE II</v>
      </c>
      <c r="P19" s="155">
        <f t="shared" si="1"/>
        <v>357.39549999999997</v>
      </c>
      <c r="Q19" s="156">
        <f t="shared" si="4"/>
        <v>40990</v>
      </c>
      <c r="R19" s="156">
        <f t="shared" si="5"/>
        <v>14649641.550000001</v>
      </c>
    </row>
    <row r="20" spans="2:18" s="9" customFormat="1" ht="35.1" customHeight="1" x14ac:dyDescent="0.25">
      <c r="B20" s="10" t="s">
        <v>33</v>
      </c>
      <c r="C20" s="20" t="s">
        <v>34</v>
      </c>
      <c r="D20" s="10" t="s">
        <v>30</v>
      </c>
      <c r="E20" s="12">
        <v>56.107679999999959</v>
      </c>
      <c r="F20" s="126">
        <v>12500</v>
      </c>
      <c r="G20" s="126">
        <f>ROUND(+F20*E20,2)</f>
        <v>701346</v>
      </c>
      <c r="H20" s="8"/>
      <c r="I20" s="8">
        <f t="shared" si="2"/>
        <v>12819</v>
      </c>
      <c r="J20" s="8">
        <f t="shared" si="3"/>
        <v>719244.34991999948</v>
      </c>
      <c r="K20" s="9" t="str">
        <f t="array" ref="K20:N20">_xlfn.XLOOKUP(C20,'Neiva 2022 FASE I ACTUAL (5)'!$C$6:$C$540,'Neiva 2022 FASE I ACTUAL (5)'!$C$6:$F$540,"NO ESTA")</f>
        <v>RELLENOS EN MATERIAL COMÚN, SELECCIONADO DE OBRA (Incluye Compactación)</v>
      </c>
      <c r="L20" s="9" t="str">
        <v>M3</v>
      </c>
      <c r="M20" s="9">
        <v>524.07000000000005</v>
      </c>
      <c r="N20" s="9">
        <v>12182</v>
      </c>
      <c r="O20" s="124" t="str">
        <f t="shared" si="6"/>
        <v>FASE II</v>
      </c>
      <c r="P20" s="155">
        <f t="shared" si="1"/>
        <v>580.17768000000001</v>
      </c>
      <c r="Q20" s="156">
        <f t="shared" si="4"/>
        <v>12819</v>
      </c>
      <c r="R20" s="156">
        <f t="shared" si="5"/>
        <v>7437297.6799999997</v>
      </c>
    </row>
    <row r="21" spans="2:18" s="9" customFormat="1" ht="35.1" customHeight="1" x14ac:dyDescent="0.25">
      <c r="B21" s="10" t="s">
        <v>35</v>
      </c>
      <c r="C21" s="11" t="s">
        <v>36</v>
      </c>
      <c r="D21" s="10" t="s">
        <v>30</v>
      </c>
      <c r="E21" s="12">
        <v>70.485000000000014</v>
      </c>
      <c r="F21" s="126">
        <v>62932</v>
      </c>
      <c r="G21" s="126">
        <f>ROUND(+F21*E21,2)</f>
        <v>4435762.0199999996</v>
      </c>
      <c r="H21" s="8"/>
      <c r="I21" s="8">
        <f t="shared" si="2"/>
        <v>64537</v>
      </c>
      <c r="J21" s="8">
        <f t="shared" si="3"/>
        <v>4548890.4450000012</v>
      </c>
      <c r="K21" s="9" t="str">
        <f t="array" ref="K21:N21">_xlfn.XLOOKUP(C21,'Neiva 2022 FASE I ACTUAL (5)'!$C$6:$C$540,'Neiva 2022 FASE I ACTUAL (5)'!$C$6:$F$540,"NO ESTA")</f>
        <v>RELLENO EN RECEBO COMÚN (Incluye Compactación)</v>
      </c>
      <c r="L21" s="9" t="str">
        <v>M3</v>
      </c>
      <c r="M21" s="9">
        <v>122.54</v>
      </c>
      <c r="N21" s="9">
        <v>61330</v>
      </c>
      <c r="O21" s="124" t="str">
        <f t="shared" si="6"/>
        <v>FASE II</v>
      </c>
      <c r="P21" s="155">
        <f t="shared" si="1"/>
        <v>193.02500000000003</v>
      </c>
      <c r="Q21" s="156">
        <f t="shared" si="4"/>
        <v>64537</v>
      </c>
      <c r="R21" s="156">
        <f t="shared" si="5"/>
        <v>12457254.43</v>
      </c>
    </row>
    <row r="22" spans="2:18" s="9" customFormat="1" ht="35.1" customHeight="1" x14ac:dyDescent="0.25">
      <c r="B22" s="13" t="s">
        <v>37</v>
      </c>
      <c r="C22" s="14" t="s">
        <v>38</v>
      </c>
      <c r="D22" s="13"/>
      <c r="E22" s="15"/>
      <c r="F22" s="129"/>
      <c r="G22" s="140"/>
      <c r="H22" s="8"/>
      <c r="I22" s="8">
        <f t="shared" si="2"/>
        <v>0</v>
      </c>
      <c r="J22" s="8">
        <f t="shared" si="3"/>
        <v>0</v>
      </c>
      <c r="K22" s="9" t="str">
        <f t="array" ref="K22:N22">_xlfn.XLOOKUP(C22,'Neiva 2022 FASE I ACTUAL (5)'!$C$6:$C$540,'Neiva 2022 FASE I ACTUAL (5)'!$C$6:$F$540,"NO ESTA")</f>
        <v xml:space="preserve">CONCRETOS DE CIMENTACIÓN </v>
      </c>
      <c r="L22" s="9">
        <v>0</v>
      </c>
      <c r="M22" s="9">
        <v>0</v>
      </c>
      <c r="N22" s="9">
        <v>0</v>
      </c>
      <c r="O22" s="124">
        <f t="shared" si="6"/>
        <v>0</v>
      </c>
      <c r="P22" s="155">
        <f t="shared" si="1"/>
        <v>0</v>
      </c>
      <c r="Q22" s="156">
        <f t="shared" si="4"/>
        <v>0</v>
      </c>
      <c r="R22" s="156">
        <f t="shared" si="5"/>
        <v>0</v>
      </c>
    </row>
    <row r="23" spans="2:18" s="9" customFormat="1" ht="35.1" customHeight="1" x14ac:dyDescent="0.25">
      <c r="B23" s="21" t="s">
        <v>39</v>
      </c>
      <c r="C23" s="22" t="s">
        <v>40</v>
      </c>
      <c r="D23" s="23" t="s">
        <v>13</v>
      </c>
      <c r="E23" s="12">
        <v>72.123000000000047</v>
      </c>
      <c r="F23" s="126">
        <v>25442</v>
      </c>
      <c r="G23" s="126">
        <f>ROUND(+F23*E23,2)</f>
        <v>1834953.37</v>
      </c>
      <c r="H23" s="8"/>
      <c r="I23" s="8">
        <f t="shared" si="2"/>
        <v>26091</v>
      </c>
      <c r="J23" s="8">
        <f t="shared" si="3"/>
        <v>1881761.1930000011</v>
      </c>
      <c r="K23" s="9" t="str">
        <f t="array" ref="K23:N23">_xlfn.XLOOKUP(C23,'Neiva 2022 FASE I ACTUAL (5)'!$C$6:$C$540,'Neiva 2022 FASE I ACTUAL (5)'!$C$6:$F$540,"NO ESTA")</f>
        <v>CONCRETO POBRE DE LIMPIEZA  e=0.05 m</v>
      </c>
      <c r="L23" s="9" t="str">
        <v>M2</v>
      </c>
      <c r="M23" s="9">
        <v>1111.51</v>
      </c>
      <c r="N23" s="9">
        <v>23864</v>
      </c>
      <c r="O23" s="124" t="str">
        <f t="shared" si="6"/>
        <v>FASE II</v>
      </c>
      <c r="P23" s="155">
        <f t="shared" si="1"/>
        <v>1183.633</v>
      </c>
      <c r="Q23" s="156">
        <f t="shared" si="4"/>
        <v>26091</v>
      </c>
      <c r="R23" s="156">
        <f t="shared" si="5"/>
        <v>30882168.600000001</v>
      </c>
    </row>
    <row r="24" spans="2:18" s="9" customFormat="1" ht="35.1" customHeight="1" x14ac:dyDescent="0.25">
      <c r="B24" s="21" t="s">
        <v>41</v>
      </c>
      <c r="C24" s="11" t="s">
        <v>42</v>
      </c>
      <c r="D24" s="10" t="s">
        <v>30</v>
      </c>
      <c r="E24" s="12">
        <v>36</v>
      </c>
      <c r="F24" s="126">
        <v>652838</v>
      </c>
      <c r="G24" s="126">
        <f>ROUND(+F24*E24,2)</f>
        <v>23502168</v>
      </c>
      <c r="H24" s="8"/>
      <c r="I24" s="8">
        <f t="shared" si="2"/>
        <v>669485</v>
      </c>
      <c r="J24" s="8">
        <f t="shared" si="3"/>
        <v>24101460</v>
      </c>
      <c r="K24" s="9" t="str">
        <f t="array" ref="K24:N24">_xlfn.XLOOKUP(C24,'Neiva 2022 FASE I ACTUAL (5)'!$C$6:$C$540,'Neiva 2022 FASE I ACTUAL (5)'!$C$6:$F$540,"NO ESTA")</f>
        <v>CONCRETO PARA ZAPATAS DE 4000 psi</v>
      </c>
      <c r="L24" s="9" t="str">
        <v>M3</v>
      </c>
      <c r="M24" s="9">
        <v>46.48</v>
      </c>
      <c r="N24" s="9">
        <v>705830</v>
      </c>
      <c r="O24" s="124" t="str">
        <f t="shared" si="6"/>
        <v>FASE I</v>
      </c>
      <c r="P24" s="155">
        <f t="shared" si="1"/>
        <v>82.47999999999999</v>
      </c>
      <c r="Q24" s="156">
        <f t="shared" si="4"/>
        <v>705830</v>
      </c>
      <c r="R24" s="156">
        <f t="shared" si="5"/>
        <v>58216858.399999999</v>
      </c>
    </row>
    <row r="25" spans="2:18" s="9" customFormat="1" ht="35.1" customHeight="1" x14ac:dyDescent="0.25">
      <c r="B25" s="21" t="s">
        <v>43</v>
      </c>
      <c r="C25" s="11" t="s">
        <v>44</v>
      </c>
      <c r="D25" s="10" t="s">
        <v>30</v>
      </c>
      <c r="E25" s="12">
        <v>36.5</v>
      </c>
      <c r="F25" s="126">
        <v>652838</v>
      </c>
      <c r="G25" s="126">
        <f>ROUND(+F25*E25,2)</f>
        <v>23828587</v>
      </c>
      <c r="H25" s="8"/>
      <c r="I25" s="8">
        <f t="shared" si="2"/>
        <v>669485</v>
      </c>
      <c r="J25" s="8">
        <f t="shared" si="3"/>
        <v>24436202.5</v>
      </c>
      <c r="K25" s="9" t="str">
        <f t="array" ref="K25:N25">_xlfn.XLOOKUP(C25,'Neiva 2022 FASE I ACTUAL (5)'!$C$6:$C$540,'Neiva 2022 FASE I ACTUAL (5)'!$C$6:$F$540,"NO ESTA")</f>
        <v>VIGAS DE CIMENTACIÓN DE 4000 psi</v>
      </c>
      <c r="L25" s="9" t="str">
        <v>M3</v>
      </c>
      <c r="M25" s="9">
        <v>45.04</v>
      </c>
      <c r="N25" s="9">
        <v>705830</v>
      </c>
      <c r="O25" s="124" t="str">
        <f t="shared" si="6"/>
        <v>FASE I</v>
      </c>
      <c r="P25" s="155">
        <f t="shared" si="1"/>
        <v>81.539999999999992</v>
      </c>
      <c r="Q25" s="156">
        <f t="shared" si="4"/>
        <v>705830</v>
      </c>
      <c r="R25" s="156">
        <f t="shared" si="5"/>
        <v>57553378.200000003</v>
      </c>
    </row>
    <row r="26" spans="2:18" s="9" customFormat="1" ht="35.1" customHeight="1" x14ac:dyDescent="0.25">
      <c r="B26" s="21" t="s">
        <v>45</v>
      </c>
      <c r="C26" s="11" t="s">
        <v>46</v>
      </c>
      <c r="D26" s="10" t="s">
        <v>30</v>
      </c>
      <c r="E26" s="12">
        <v>13</v>
      </c>
      <c r="F26" s="126">
        <v>795025</v>
      </c>
      <c r="G26" s="126">
        <f>ROUND(+F26*E26,2)</f>
        <v>10335325</v>
      </c>
      <c r="H26" s="8"/>
      <c r="I26" s="8">
        <f t="shared" si="2"/>
        <v>815298</v>
      </c>
      <c r="J26" s="8">
        <f t="shared" si="3"/>
        <v>10598874</v>
      </c>
      <c r="K26" s="9" t="str">
        <f t="array" ref="K26:N26">_xlfn.XLOOKUP(C26,'Neiva 2022 FASE I ACTUAL (5)'!$C$6:$C$540,'Neiva 2022 FASE I ACTUAL (5)'!$C$6:$F$540,"NO ESTA")</f>
        <v>MURO DE CONTENCIÓN SOTANO EN CONCRETO DE 4000 PSI</v>
      </c>
      <c r="L26" s="9" t="str">
        <v>M3</v>
      </c>
      <c r="M26" s="9">
        <v>34.93</v>
      </c>
      <c r="N26" s="9">
        <v>782307</v>
      </c>
      <c r="O26" s="124" t="str">
        <f t="shared" si="6"/>
        <v>FASE II</v>
      </c>
      <c r="P26" s="155">
        <f t="shared" si="1"/>
        <v>47.93</v>
      </c>
      <c r="Q26" s="156">
        <f t="shared" si="4"/>
        <v>815298</v>
      </c>
      <c r="R26" s="156">
        <f t="shared" si="5"/>
        <v>39077233.140000001</v>
      </c>
    </row>
    <row r="27" spans="2:18" s="9" customFormat="1" ht="35.1" customHeight="1" x14ac:dyDescent="0.25">
      <c r="B27" s="13" t="s">
        <v>47</v>
      </c>
      <c r="C27" s="14" t="s">
        <v>1059</v>
      </c>
      <c r="D27" s="13"/>
      <c r="E27" s="15"/>
      <c r="F27" s="129"/>
      <c r="G27" s="140"/>
      <c r="H27" s="8"/>
      <c r="I27" s="8">
        <f t="shared" si="2"/>
        <v>0</v>
      </c>
      <c r="J27" s="8">
        <f t="shared" si="3"/>
        <v>0</v>
      </c>
      <c r="K27" s="9" t="str">
        <f t="array" ref="K27:N27">_xlfn.XLOOKUP(C27,'Neiva 2022 FASE I ACTUAL (5)'!$C$6:$C$540,'Neiva 2022 FASE I ACTUAL (5)'!$C$6:$F$540,"NO ESTA")</f>
        <v xml:space="preserve">CONSTRUCCIÓN VARIOS EN CONCRETO </v>
      </c>
      <c r="L27" s="9">
        <v>0</v>
      </c>
      <c r="M27" s="9">
        <v>0</v>
      </c>
      <c r="N27" s="9">
        <v>0</v>
      </c>
      <c r="O27" s="124">
        <f t="shared" si="6"/>
        <v>0</v>
      </c>
      <c r="P27" s="155">
        <f t="shared" si="1"/>
        <v>0</v>
      </c>
      <c r="Q27" s="156">
        <f t="shared" si="4"/>
        <v>0</v>
      </c>
      <c r="R27" s="156">
        <f t="shared" si="5"/>
        <v>0</v>
      </c>
    </row>
    <row r="28" spans="2:18" s="9" customFormat="1" ht="35.1" customHeight="1" x14ac:dyDescent="0.25">
      <c r="B28" s="23" t="s">
        <v>49</v>
      </c>
      <c r="C28" s="11" t="s">
        <v>50</v>
      </c>
      <c r="D28" s="10" t="s">
        <v>30</v>
      </c>
      <c r="E28" s="12">
        <v>13.700000000000003</v>
      </c>
      <c r="F28" s="126">
        <v>821235</v>
      </c>
      <c r="G28" s="126">
        <f>ROUND(+F28*E28,2)</f>
        <v>11250919.5</v>
      </c>
      <c r="H28" s="8"/>
      <c r="I28" s="8">
        <f t="shared" si="2"/>
        <v>842176</v>
      </c>
      <c r="J28" s="8">
        <f t="shared" si="3"/>
        <v>11537811.200000003</v>
      </c>
      <c r="K28" s="9" t="str">
        <f t="array" ref="K28:N28">_xlfn.XLOOKUP(C28,'Neiva 2022 FASE I ACTUAL (5)'!$C$6:$C$540,'Neiva 2022 FASE I ACTUAL (5)'!$C$6:$F$540,"NO ESTA")</f>
        <v>TANQUE DE ALMACENAMIENTO Y RESERVA EN CONCRETO DE 4000 PSI</v>
      </c>
      <c r="L28" s="9" t="str">
        <v>M3</v>
      </c>
      <c r="M28" s="9">
        <v>50.62</v>
      </c>
      <c r="N28" s="9">
        <v>782307</v>
      </c>
      <c r="O28" s="124" t="str">
        <f t="shared" si="6"/>
        <v>FASE II</v>
      </c>
      <c r="P28" s="155">
        <f t="shared" si="1"/>
        <v>64.319999999999993</v>
      </c>
      <c r="Q28" s="156">
        <f t="shared" si="4"/>
        <v>842176</v>
      </c>
      <c r="R28" s="156">
        <f t="shared" si="5"/>
        <v>54168760.32</v>
      </c>
    </row>
    <row r="29" spans="2:18" s="9" customFormat="1" ht="35.1" customHeight="1" x14ac:dyDescent="0.25">
      <c r="B29" s="13" t="s">
        <v>51</v>
      </c>
      <c r="C29" s="24" t="s">
        <v>52</v>
      </c>
      <c r="D29" s="24"/>
      <c r="E29" s="15"/>
      <c r="F29" s="129"/>
      <c r="G29" s="140"/>
      <c r="H29" s="8"/>
      <c r="I29" s="8">
        <f t="shared" si="2"/>
        <v>0</v>
      </c>
      <c r="J29" s="8">
        <f t="shared" si="3"/>
        <v>0</v>
      </c>
      <c r="K29" s="9" t="str">
        <f t="array" ref="K29:N29">_xlfn.XLOOKUP(C29,'Neiva 2022 FASE I ACTUAL (5)'!$C$6:$C$540,'Neiva 2022 FASE I ACTUAL (5)'!$C$6:$F$540,"NO ESTA")</f>
        <v>SUMINISTRO E INSTALACIÓN ACERO DE REFUERZO CIMENTACIÓN</v>
      </c>
      <c r="L29" s="9">
        <v>0</v>
      </c>
      <c r="M29" s="9">
        <v>0</v>
      </c>
      <c r="N29" s="9">
        <v>0</v>
      </c>
      <c r="O29" s="124">
        <f t="shared" si="6"/>
        <v>0</v>
      </c>
      <c r="P29" s="155">
        <f t="shared" si="1"/>
        <v>0</v>
      </c>
      <c r="Q29" s="156">
        <f t="shared" si="4"/>
        <v>0</v>
      </c>
      <c r="R29" s="156">
        <f t="shared" si="5"/>
        <v>0</v>
      </c>
    </row>
    <row r="30" spans="2:18" s="9" customFormat="1" ht="35.1" customHeight="1" x14ac:dyDescent="0.25">
      <c r="B30" s="10" t="s">
        <v>53</v>
      </c>
      <c r="C30" s="25" t="s">
        <v>54</v>
      </c>
      <c r="D30" s="10" t="s">
        <v>55</v>
      </c>
      <c r="E30" s="12">
        <v>8230.6999999999971</v>
      </c>
      <c r="F30" s="130">
        <v>5100</v>
      </c>
      <c r="G30" s="126">
        <f>ROUND(+F30*E30,2)</f>
        <v>41976570</v>
      </c>
      <c r="H30" s="26">
        <v>3687</v>
      </c>
      <c r="I30" s="8">
        <f>+F30</f>
        <v>5100</v>
      </c>
      <c r="J30" s="8">
        <f t="shared" si="3"/>
        <v>41976569.999999985</v>
      </c>
      <c r="K30" s="9" t="str">
        <f t="array" ref="K30:N30">_xlfn.XLOOKUP(C30,'Neiva 2022 FASE I ACTUAL (5)'!$C$6:$C$540,'Neiva 2022 FASE I ACTUAL (5)'!$C$6:$F$540,"NO ESTA")</f>
        <v>ACERO DE REFUERZO 60000 psi Incluye ALAMBRE DE AMARRE</v>
      </c>
      <c r="L30" s="9" t="str">
        <v>KG</v>
      </c>
      <c r="M30" s="9">
        <v>16621.25</v>
      </c>
      <c r="N30" s="9">
        <v>5265</v>
      </c>
      <c r="O30" s="124" t="str">
        <f t="shared" si="6"/>
        <v>FASE I</v>
      </c>
      <c r="P30" s="155">
        <f t="shared" si="1"/>
        <v>24851.949999999997</v>
      </c>
      <c r="Q30" s="156">
        <f t="shared" si="4"/>
        <v>5265</v>
      </c>
      <c r="R30" s="156">
        <f t="shared" si="5"/>
        <v>130845516.75</v>
      </c>
    </row>
    <row r="31" spans="2:18" s="9" customFormat="1" ht="35.1" customHeight="1" x14ac:dyDescent="0.25">
      <c r="B31" s="21" t="s">
        <v>56</v>
      </c>
      <c r="C31" s="25" t="s">
        <v>57</v>
      </c>
      <c r="D31" s="10" t="s">
        <v>13</v>
      </c>
      <c r="E31" s="12">
        <v>242.5</v>
      </c>
      <c r="F31" s="126">
        <f>+F30*1.5</f>
        <v>7650</v>
      </c>
      <c r="G31" s="126">
        <f>ROUND(+F31*E31,2)</f>
        <v>1855125</v>
      </c>
      <c r="H31" s="26">
        <v>5139</v>
      </c>
      <c r="I31" s="8">
        <f>+F31</f>
        <v>7650</v>
      </c>
      <c r="J31" s="8">
        <f t="shared" si="3"/>
        <v>1855125</v>
      </c>
      <c r="K31" s="9" t="str">
        <f t="array" ref="K31:N31">_xlfn.XLOOKUP(C31,'Neiva 2022 FASE I ACTUAL (5)'!$C$6:$C$540,'Neiva 2022 FASE I ACTUAL (5)'!$C$6:$F$540,"NO ESTA")</f>
        <v>MALLA ELECTROSOLDADA PLACA CONTRAPISO Q84 Ø4 mm separación 15x15 cm o similar</v>
      </c>
      <c r="L31" s="9" t="str">
        <v>M2</v>
      </c>
      <c r="M31" s="9">
        <v>1871.1</v>
      </c>
      <c r="N31" s="9">
        <v>7898</v>
      </c>
      <c r="O31" s="124" t="str">
        <f t="shared" si="6"/>
        <v>FASE I</v>
      </c>
      <c r="P31" s="155">
        <f t="shared" si="1"/>
        <v>2113.6</v>
      </c>
      <c r="Q31" s="156">
        <f t="shared" si="4"/>
        <v>7898</v>
      </c>
      <c r="R31" s="156">
        <f t="shared" si="5"/>
        <v>16693212.800000001</v>
      </c>
    </row>
    <row r="32" spans="2:18" s="9" customFormat="1" ht="35.1" customHeight="1" x14ac:dyDescent="0.25">
      <c r="B32" s="16">
        <v>3</v>
      </c>
      <c r="C32" s="17" t="s">
        <v>58</v>
      </c>
      <c r="D32" s="17"/>
      <c r="E32" s="18"/>
      <c r="F32" s="131"/>
      <c r="G32" s="17"/>
      <c r="H32" s="8"/>
      <c r="I32" s="8">
        <f t="shared" si="2"/>
        <v>0</v>
      </c>
      <c r="J32" s="8">
        <f t="shared" si="3"/>
        <v>0</v>
      </c>
      <c r="K32" s="9" t="str">
        <f t="array" ref="K32:N32">_xlfn.XLOOKUP(C32,'Neiva 2022 FASE I ACTUAL (5)'!$C$6:$C$540,'Neiva 2022 FASE I ACTUAL (5)'!$C$6:$F$540,"NO ESTA")</f>
        <v>ESTRUCTURAS EN CONCRETO Y METALICAS</v>
      </c>
      <c r="L32" s="9">
        <v>0</v>
      </c>
      <c r="M32" s="9">
        <v>0</v>
      </c>
      <c r="N32" s="9">
        <v>0</v>
      </c>
      <c r="O32" s="124">
        <f t="shared" si="6"/>
        <v>0</v>
      </c>
      <c r="P32" s="155">
        <f t="shared" si="1"/>
        <v>0</v>
      </c>
      <c r="Q32" s="156">
        <f t="shared" si="4"/>
        <v>0</v>
      </c>
      <c r="R32" s="156">
        <f t="shared" si="5"/>
        <v>0</v>
      </c>
    </row>
    <row r="33" spans="2:18" s="9" customFormat="1" ht="35.1" customHeight="1" x14ac:dyDescent="0.25">
      <c r="B33" s="13" t="s">
        <v>59</v>
      </c>
      <c r="C33" s="14" t="s">
        <v>60</v>
      </c>
      <c r="D33" s="13"/>
      <c r="E33" s="15"/>
      <c r="F33" s="129"/>
      <c r="G33" s="140"/>
      <c r="H33" s="8"/>
      <c r="I33" s="8">
        <f t="shared" si="2"/>
        <v>0</v>
      </c>
      <c r="J33" s="8">
        <f t="shared" si="3"/>
        <v>0</v>
      </c>
      <c r="K33" s="9" t="str">
        <f t="array" ref="K33:N33">_xlfn.XLOOKUP(C33,'Neiva 2022 FASE I ACTUAL (5)'!$C$6:$C$540,'Neiva 2022 FASE I ACTUAL (5)'!$C$6:$F$540,"NO ESTA")</f>
        <v>ELEMENTOS ESTRUCTURALES</v>
      </c>
      <c r="L33" s="9">
        <v>0</v>
      </c>
      <c r="M33" s="9">
        <v>0</v>
      </c>
      <c r="N33" s="9">
        <v>0</v>
      </c>
      <c r="O33" s="124">
        <f t="shared" si="6"/>
        <v>0</v>
      </c>
      <c r="P33" s="155">
        <f t="shared" si="1"/>
        <v>0</v>
      </c>
      <c r="Q33" s="156">
        <f t="shared" si="4"/>
        <v>0</v>
      </c>
      <c r="R33" s="156">
        <f t="shared" si="5"/>
        <v>0</v>
      </c>
    </row>
    <row r="34" spans="2:18" s="9" customFormat="1" ht="35.1" customHeight="1" x14ac:dyDescent="0.25">
      <c r="B34" s="23" t="s">
        <v>61</v>
      </c>
      <c r="C34" s="11" t="s">
        <v>62</v>
      </c>
      <c r="D34" s="10" t="s">
        <v>30</v>
      </c>
      <c r="E34" s="12">
        <v>24.939999999999998</v>
      </c>
      <c r="F34" s="126">
        <v>789448</v>
      </c>
      <c r="G34" s="126">
        <f>ROUND(+F34*E34,2)</f>
        <v>19688833.120000001</v>
      </c>
      <c r="H34" s="8"/>
      <c r="I34" s="8">
        <f t="shared" si="2"/>
        <v>809579</v>
      </c>
      <c r="J34" s="8">
        <f t="shared" si="3"/>
        <v>20190900.259999998</v>
      </c>
      <c r="K34" s="9" t="str">
        <f t="array" ref="K34:N34">_xlfn.XLOOKUP(C34,'Neiva 2022 FASE I ACTUAL (5)'!$C$6:$C$540,'Neiva 2022 FASE I ACTUAL (5)'!$C$6:$F$540,"NO ESTA")</f>
        <v>COLUMNAS EN CONCRETO DE 4000 psi</v>
      </c>
      <c r="L34" s="9" t="str">
        <v>M3</v>
      </c>
      <c r="M34" s="9">
        <v>247.78</v>
      </c>
      <c r="N34" s="9">
        <v>831289</v>
      </c>
      <c r="O34" s="124" t="str">
        <f t="shared" si="6"/>
        <v>FASE I</v>
      </c>
      <c r="P34" s="155">
        <f t="shared" si="1"/>
        <v>272.72000000000003</v>
      </c>
      <c r="Q34" s="156">
        <f t="shared" si="4"/>
        <v>831289</v>
      </c>
      <c r="R34" s="156">
        <f t="shared" si="5"/>
        <v>226709136.08000001</v>
      </c>
    </row>
    <row r="35" spans="2:18" s="9" customFormat="1" ht="35.1" customHeight="1" x14ac:dyDescent="0.25">
      <c r="B35" s="23" t="s">
        <v>63</v>
      </c>
      <c r="C35" s="11" t="s">
        <v>64</v>
      </c>
      <c r="D35" s="10" t="s">
        <v>30</v>
      </c>
      <c r="E35" s="12">
        <v>15.569999999999993</v>
      </c>
      <c r="F35" s="126">
        <v>789448</v>
      </c>
      <c r="G35" s="126">
        <f>ROUND(+F35*E35,2)</f>
        <v>12291705.359999999</v>
      </c>
      <c r="H35" s="8"/>
      <c r="I35" s="8">
        <f t="shared" si="2"/>
        <v>809579</v>
      </c>
      <c r="J35" s="8">
        <f t="shared" si="3"/>
        <v>12605145.029999994</v>
      </c>
      <c r="K35" s="9" t="str">
        <f t="array" ref="K35:N35">_xlfn.XLOOKUP(C35,'Neiva 2022 FASE I ACTUAL (5)'!$C$6:$C$540,'Neiva 2022 FASE I ACTUAL (5)'!$C$6:$F$540,"NO ESTA")</f>
        <v>PANTALLAS ASCENSORES Y ESCALERA EJES F2 Y K2 EN CONCRETO DE 4000 PSI</v>
      </c>
      <c r="L35" s="9" t="str">
        <v>M3</v>
      </c>
      <c r="M35" s="9">
        <v>152.63999999999999</v>
      </c>
      <c r="N35" s="9">
        <v>831289</v>
      </c>
      <c r="O35" s="124" t="str">
        <f t="shared" si="6"/>
        <v>FASE I</v>
      </c>
      <c r="P35" s="155">
        <f t="shared" si="1"/>
        <v>168.20999999999998</v>
      </c>
      <c r="Q35" s="156">
        <f t="shared" si="4"/>
        <v>831289</v>
      </c>
      <c r="R35" s="156">
        <f t="shared" si="5"/>
        <v>139831122.69</v>
      </c>
    </row>
    <row r="36" spans="2:18" s="9" customFormat="1" ht="35.1" customHeight="1" x14ac:dyDescent="0.25">
      <c r="B36" s="13" t="s">
        <v>65</v>
      </c>
      <c r="C36" s="14" t="s">
        <v>66</v>
      </c>
      <c r="D36" s="13"/>
      <c r="E36" s="15"/>
      <c r="F36" s="129"/>
      <c r="G36" s="140"/>
      <c r="H36" s="8"/>
      <c r="I36" s="8">
        <f t="shared" si="2"/>
        <v>0</v>
      </c>
      <c r="J36" s="8">
        <f t="shared" si="3"/>
        <v>0</v>
      </c>
      <c r="K36" s="9" t="str">
        <f t="array" ref="K36:N36">_xlfn.XLOOKUP(C36,'Neiva 2022 FASE I ACTUAL (5)'!$C$6:$C$540,'Neiva 2022 FASE I ACTUAL (5)'!$C$6:$F$540,"NO ESTA")</f>
        <v>PLACAS Y LOSAS DE ENTREPISO</v>
      </c>
      <c r="L36" s="9">
        <v>0</v>
      </c>
      <c r="M36" s="9">
        <v>0</v>
      </c>
      <c r="N36" s="9">
        <v>0</v>
      </c>
      <c r="O36" s="124">
        <f t="shared" si="6"/>
        <v>0</v>
      </c>
      <c r="P36" s="155">
        <f t="shared" si="1"/>
        <v>0</v>
      </c>
      <c r="Q36" s="156">
        <f t="shared" si="4"/>
        <v>0</v>
      </c>
      <c r="R36" s="156">
        <f t="shared" si="5"/>
        <v>0</v>
      </c>
    </row>
    <row r="37" spans="2:18" s="9" customFormat="1" ht="35.1" customHeight="1" x14ac:dyDescent="0.25">
      <c r="B37" s="21" t="s">
        <v>67</v>
      </c>
      <c r="C37" s="11" t="s">
        <v>1060</v>
      </c>
      <c r="D37" s="23" t="s">
        <v>30</v>
      </c>
      <c r="E37" s="12">
        <v>0</v>
      </c>
      <c r="F37" s="126">
        <v>905780</v>
      </c>
      <c r="G37" s="126">
        <f>ROUND(+F37*E37,2)</f>
        <v>0</v>
      </c>
      <c r="H37" s="8"/>
      <c r="I37" s="8">
        <f t="shared" si="2"/>
        <v>928877</v>
      </c>
      <c r="J37" s="8">
        <f t="shared" si="3"/>
        <v>0</v>
      </c>
      <c r="K37" s="9" t="str">
        <f t="array" ref="K37">_xlfn.XLOOKUP(C37,'Neiva 2022 FASE I ACTUAL (5)'!$C$6:$C$540,'Neiva 2022 FASE I ACTUAL (5)'!$C$6:$F$540,"NO ESTA")</f>
        <v>NO ESTA</v>
      </c>
      <c r="O37" s="124">
        <f t="shared" si="6"/>
        <v>0</v>
      </c>
      <c r="P37" s="155">
        <f t="shared" si="1"/>
        <v>0</v>
      </c>
      <c r="Q37" s="156">
        <f t="shared" si="4"/>
        <v>928877</v>
      </c>
      <c r="R37" s="156">
        <f t="shared" si="5"/>
        <v>0</v>
      </c>
    </row>
    <row r="38" spans="2:18" s="9" customFormat="1" ht="35.1" customHeight="1" x14ac:dyDescent="0.25">
      <c r="B38" s="21" t="s">
        <v>69</v>
      </c>
      <c r="C38" s="11" t="s">
        <v>70</v>
      </c>
      <c r="D38" s="23" t="s">
        <v>13</v>
      </c>
      <c r="E38" s="12">
        <v>235.59999999999991</v>
      </c>
      <c r="F38" s="126">
        <v>95123</v>
      </c>
      <c r="G38" s="126">
        <f>ROUND(+F38*E38,2)</f>
        <v>22410978.800000001</v>
      </c>
      <c r="H38" s="8"/>
      <c r="I38" s="8">
        <f t="shared" si="2"/>
        <v>97549</v>
      </c>
      <c r="J38" s="8">
        <f t="shared" si="3"/>
        <v>22982544.399999991</v>
      </c>
      <c r="K38" s="9" t="str">
        <f t="array" ref="K38:N38">_xlfn.XLOOKUP(C38,'Neiva 2022 FASE I ACTUAL (5)'!$C$6:$C$540,'Neiva 2022 FASE I ACTUAL (5)'!$C$6:$F$540,"NO ESTA")</f>
        <v>PLACA MACIZA CONTRAPISO CIMENTACION E: 15 cms</v>
      </c>
      <c r="L38" s="9" t="str">
        <v>M2</v>
      </c>
      <c r="M38" s="9">
        <v>1581</v>
      </c>
      <c r="N38" s="9">
        <v>100365</v>
      </c>
      <c r="O38" s="124" t="str">
        <f t="shared" si="6"/>
        <v>FASE I</v>
      </c>
      <c r="P38" s="155">
        <f t="shared" si="1"/>
        <v>1816.6</v>
      </c>
      <c r="Q38" s="156">
        <f t="shared" si="4"/>
        <v>100365</v>
      </c>
      <c r="R38" s="156">
        <f t="shared" si="5"/>
        <v>182323059</v>
      </c>
    </row>
    <row r="39" spans="2:18" s="9" customFormat="1" ht="35.1" customHeight="1" x14ac:dyDescent="0.25">
      <c r="B39" s="21" t="s">
        <v>71</v>
      </c>
      <c r="C39" s="11" t="s">
        <v>72</v>
      </c>
      <c r="D39" s="23" t="s">
        <v>30</v>
      </c>
      <c r="E39" s="12">
        <v>0</v>
      </c>
      <c r="F39" s="126">
        <v>789448</v>
      </c>
      <c r="G39" s="126">
        <f>ROUND(+F39*E39,2)</f>
        <v>0</v>
      </c>
      <c r="H39" s="8"/>
      <c r="I39" s="8">
        <f t="shared" si="2"/>
        <v>809579</v>
      </c>
      <c r="J39" s="8">
        <f t="shared" si="3"/>
        <v>0</v>
      </c>
      <c r="K39" s="9" t="str">
        <f t="array" ref="K39:N39">_xlfn.XLOOKUP(C39,'Neiva 2022 FASE I ACTUAL (5)'!$C$6:$C$540,'Neiva 2022 FASE I ACTUAL (5)'!$C$6:$F$540,"NO ESTA")</f>
        <v xml:space="preserve">PLACA MACIZA ZONA ASCENSOR 2DA PLANTA </v>
      </c>
      <c r="L39" s="9" t="str">
        <v>M3</v>
      </c>
      <c r="M39" s="9">
        <v>8.9</v>
      </c>
      <c r="N39" s="9">
        <v>743087</v>
      </c>
      <c r="O39" s="124" t="str">
        <f t="shared" si="6"/>
        <v>FASE II</v>
      </c>
      <c r="P39" s="155">
        <f t="shared" si="1"/>
        <v>8.9</v>
      </c>
      <c r="Q39" s="156">
        <f t="shared" si="4"/>
        <v>809579</v>
      </c>
      <c r="R39" s="156">
        <f t="shared" si="5"/>
        <v>7205253.0999999996</v>
      </c>
    </row>
    <row r="40" spans="2:18" s="9" customFormat="1" ht="35.1" customHeight="1" x14ac:dyDescent="0.25">
      <c r="B40" s="13" t="s">
        <v>73</v>
      </c>
      <c r="C40" s="14" t="s">
        <v>74</v>
      </c>
      <c r="D40" s="13"/>
      <c r="E40" s="15"/>
      <c r="F40" s="129"/>
      <c r="G40" s="140"/>
      <c r="H40" s="8"/>
      <c r="I40" s="8">
        <f t="shared" si="2"/>
        <v>0</v>
      </c>
      <c r="J40" s="8">
        <f t="shared" si="3"/>
        <v>0</v>
      </c>
      <c r="K40" s="9" t="str">
        <f t="array" ref="K40:N40">_xlfn.XLOOKUP(C40,'Neiva 2022 FASE I ACTUAL (5)'!$C$6:$C$540,'Neiva 2022 FASE I ACTUAL (5)'!$C$6:$F$540,"NO ESTA")</f>
        <v>CONSTRUCCIONES VARIAS EN CONCRETO</v>
      </c>
      <c r="L40" s="9">
        <v>0</v>
      </c>
      <c r="M40" s="9">
        <v>0</v>
      </c>
      <c r="N40" s="9">
        <v>0</v>
      </c>
      <c r="O40" s="124">
        <f t="shared" si="6"/>
        <v>0</v>
      </c>
      <c r="P40" s="155">
        <f t="shared" si="1"/>
        <v>0</v>
      </c>
      <c r="Q40" s="156">
        <f t="shared" si="4"/>
        <v>0</v>
      </c>
      <c r="R40" s="156">
        <f t="shared" si="5"/>
        <v>0</v>
      </c>
    </row>
    <row r="41" spans="2:18" s="9" customFormat="1" ht="35.1" customHeight="1" x14ac:dyDescent="0.25">
      <c r="B41" s="21" t="s">
        <v>75</v>
      </c>
      <c r="C41" s="25" t="s">
        <v>76</v>
      </c>
      <c r="D41" s="23" t="s">
        <v>30</v>
      </c>
      <c r="E41" s="12">
        <v>11.299999999999997</v>
      </c>
      <c r="F41" s="126">
        <v>795025</v>
      </c>
      <c r="G41" s="126">
        <f>ROUND(+F41*E41,2)</f>
        <v>8983782.5</v>
      </c>
      <c r="H41" s="8"/>
      <c r="I41" s="8">
        <f t="shared" si="2"/>
        <v>815298</v>
      </c>
      <c r="J41" s="8">
        <f t="shared" si="3"/>
        <v>9212867.3999999985</v>
      </c>
      <c r="K41" s="9" t="str">
        <f t="array" ref="K41:N41">_xlfn.XLOOKUP(C41,'Neiva 2022 FASE I ACTUAL (5)'!$C$6:$C$540,'Neiva 2022 FASE I ACTUAL (5)'!$C$6:$F$540,"NO ESTA")</f>
        <v>MURO EN CONCRETO DE 4000 PSI DESCOLGADO VIGA 00C 30x120</v>
      </c>
      <c r="L41" s="9" t="str">
        <v>M3</v>
      </c>
      <c r="M41" s="9">
        <v>73</v>
      </c>
      <c r="N41" s="9">
        <v>724119</v>
      </c>
      <c r="O41" s="124" t="str">
        <f t="shared" si="6"/>
        <v>FASE II</v>
      </c>
      <c r="P41" s="155">
        <f t="shared" si="1"/>
        <v>84.3</v>
      </c>
      <c r="Q41" s="156">
        <f t="shared" si="4"/>
        <v>815298</v>
      </c>
      <c r="R41" s="156">
        <f t="shared" si="5"/>
        <v>68729621.400000006</v>
      </c>
    </row>
    <row r="42" spans="2:18" s="9" customFormat="1" ht="35.1" customHeight="1" x14ac:dyDescent="0.25">
      <c r="B42" s="21" t="s">
        <v>77</v>
      </c>
      <c r="C42" s="25" t="s">
        <v>78</v>
      </c>
      <c r="D42" s="23" t="s">
        <v>30</v>
      </c>
      <c r="E42" s="12">
        <v>15.900000000000006</v>
      </c>
      <c r="F42" s="126">
        <v>766762</v>
      </c>
      <c r="G42" s="126">
        <f>ROUND(+F42*E42,2)</f>
        <v>12191515.800000001</v>
      </c>
      <c r="H42" s="8"/>
      <c r="I42" s="8">
        <f t="shared" si="2"/>
        <v>786314</v>
      </c>
      <c r="J42" s="8">
        <f t="shared" si="3"/>
        <v>12502392.600000005</v>
      </c>
      <c r="K42" s="9" t="str">
        <f t="array" ref="K42:N42">_xlfn.XLOOKUP(C42,'Neiva 2022 FASE I ACTUAL (5)'!$C$6:$C$540,'Neiva 2022 FASE I ACTUAL (5)'!$C$6:$F$540,"NO ESTA")</f>
        <v>MURO ESTRUCTURAL EN CONCRETO DE 4000 PSI FACHADA EXTERIOR</v>
      </c>
      <c r="L42" s="9" t="str">
        <v>M3</v>
      </c>
      <c r="M42" s="9">
        <v>109</v>
      </c>
      <c r="N42" s="9">
        <v>724119</v>
      </c>
      <c r="O42" s="124" t="str">
        <f t="shared" si="6"/>
        <v>FASE II</v>
      </c>
      <c r="P42" s="155">
        <f t="shared" si="1"/>
        <v>124.9</v>
      </c>
      <c r="Q42" s="156">
        <f t="shared" si="4"/>
        <v>786314</v>
      </c>
      <c r="R42" s="156">
        <f t="shared" si="5"/>
        <v>98210618.599999994</v>
      </c>
    </row>
    <row r="43" spans="2:18" s="9" customFormat="1" ht="35.1" customHeight="1" x14ac:dyDescent="0.25">
      <c r="B43" s="21" t="s">
        <v>79</v>
      </c>
      <c r="C43" s="25" t="s">
        <v>80</v>
      </c>
      <c r="D43" s="10" t="s">
        <v>30</v>
      </c>
      <c r="E43" s="12">
        <v>4.7000000000000028</v>
      </c>
      <c r="F43" s="126">
        <v>910627</v>
      </c>
      <c r="G43" s="126">
        <f>ROUND(+F43*E43,2)</f>
        <v>4279946.9000000004</v>
      </c>
      <c r="H43" s="145" t="s">
        <v>1061</v>
      </c>
      <c r="I43" s="8">
        <f t="shared" si="2"/>
        <v>933848</v>
      </c>
      <c r="J43" s="8">
        <f t="shared" si="3"/>
        <v>4389085.6000000024</v>
      </c>
      <c r="K43" s="9" t="str">
        <f t="array" ref="K43:N43">_xlfn.XLOOKUP(C43,'Neiva 2022 FASE I ACTUAL (5)'!$C$6:$C$540,'Neiva 2022 FASE I ACTUAL (5)'!$C$6:$F$540,"NO ESTA")</f>
        <v>ESCALERAS INTERNAS</v>
      </c>
      <c r="L43" s="9" t="str">
        <v>M3</v>
      </c>
      <c r="M43" s="9">
        <v>30</v>
      </c>
      <c r="N43" s="9">
        <v>743087</v>
      </c>
      <c r="O43" s="124" t="str">
        <f t="shared" si="6"/>
        <v>FASE II</v>
      </c>
      <c r="P43" s="155">
        <f t="shared" si="1"/>
        <v>34.700000000000003</v>
      </c>
      <c r="Q43" s="156">
        <f t="shared" si="4"/>
        <v>933848</v>
      </c>
      <c r="R43" s="156">
        <f t="shared" si="5"/>
        <v>32404525.600000001</v>
      </c>
    </row>
    <row r="44" spans="2:18" s="9" customFormat="1" ht="35.1" customHeight="1" x14ac:dyDescent="0.25">
      <c r="B44" s="21" t="s">
        <v>81</v>
      </c>
      <c r="C44" s="25" t="s">
        <v>82</v>
      </c>
      <c r="D44" s="10" t="s">
        <v>30</v>
      </c>
      <c r="E44" s="12">
        <v>2</v>
      </c>
      <c r="F44" s="126">
        <v>910627</v>
      </c>
      <c r="G44" s="126">
        <f>ROUND(+F44*E44,2)</f>
        <v>1821254</v>
      </c>
      <c r="H44" s="8"/>
      <c r="I44" s="8">
        <f t="shared" si="2"/>
        <v>933848</v>
      </c>
      <c r="J44" s="8">
        <f t="shared" si="3"/>
        <v>1867696</v>
      </c>
      <c r="K44" s="9" t="str">
        <f t="array" ref="K44:N44">_xlfn.XLOOKUP(C44,'Neiva 2022 FASE I ACTUAL (5)'!$C$6:$C$540,'Neiva 2022 FASE I ACTUAL (5)'!$C$6:$F$540,"NO ESTA")</f>
        <v>ESCALERA ACCESO SEGUNDO (2DO) Y TERCER (3ER) PISO EJES 1 Y 4'</v>
      </c>
      <c r="L44" s="9" t="str">
        <v>M3</v>
      </c>
      <c r="M44" s="9">
        <v>17</v>
      </c>
      <c r="N44" s="9">
        <v>743087</v>
      </c>
      <c r="O44" s="124" t="str">
        <f t="shared" si="6"/>
        <v>FASE II</v>
      </c>
      <c r="P44" s="155">
        <f t="shared" si="1"/>
        <v>19</v>
      </c>
      <c r="Q44" s="156">
        <f t="shared" si="4"/>
        <v>933848</v>
      </c>
      <c r="R44" s="156">
        <f t="shared" si="5"/>
        <v>17743112</v>
      </c>
    </row>
    <row r="45" spans="2:18" s="9" customFormat="1" ht="35.1" customHeight="1" x14ac:dyDescent="0.25">
      <c r="B45" s="21" t="s">
        <v>83</v>
      </c>
      <c r="C45" s="25" t="s">
        <v>84</v>
      </c>
      <c r="D45" s="23" t="s">
        <v>30</v>
      </c>
      <c r="E45" s="12">
        <v>9</v>
      </c>
      <c r="F45" s="126">
        <v>852120</v>
      </c>
      <c r="G45" s="126">
        <f>ROUND(+F45*E45,2)</f>
        <v>7669080</v>
      </c>
      <c r="H45" s="8">
        <f>ROUND(F45+F45*20%*$H$3,0)</f>
        <v>1014500</v>
      </c>
      <c r="I45" s="8">
        <f t="shared" si="2"/>
        <v>873849</v>
      </c>
      <c r="J45" s="8">
        <f t="shared" si="3"/>
        <v>7864641</v>
      </c>
      <c r="K45" s="9" t="str">
        <f t="array" ref="K45:N45">_xlfn.XLOOKUP(C45,'Neiva 2022 FASE I ACTUAL (5)'!$C$6:$C$540,'Neiva 2022 FASE I ACTUAL (5)'!$C$6:$F$540,"NO ESTA")</f>
        <v>RAMPAS DE ACCESO Incluye ACERO DE REFUERZO</v>
      </c>
      <c r="L45" s="9" t="str">
        <v>M3</v>
      </c>
      <c r="M45" s="9">
        <v>63</v>
      </c>
      <c r="N45" s="9">
        <v>761561</v>
      </c>
      <c r="O45" s="124" t="str">
        <f t="shared" si="6"/>
        <v>FASE II</v>
      </c>
      <c r="P45" s="155">
        <f t="shared" si="1"/>
        <v>72</v>
      </c>
      <c r="Q45" s="156">
        <f t="shared" si="4"/>
        <v>873849</v>
      </c>
      <c r="R45" s="156">
        <f t="shared" si="5"/>
        <v>62917128</v>
      </c>
    </row>
    <row r="46" spans="2:18" s="9" customFormat="1" ht="35.1" customHeight="1" x14ac:dyDescent="0.25">
      <c r="B46" s="13" t="s">
        <v>85</v>
      </c>
      <c r="C46" s="24" t="s">
        <v>86</v>
      </c>
      <c r="D46" s="24"/>
      <c r="E46" s="15"/>
      <c r="F46" s="129"/>
      <c r="G46" s="140"/>
      <c r="H46" s="8"/>
      <c r="I46" s="8">
        <f t="shared" si="2"/>
        <v>0</v>
      </c>
      <c r="J46" s="8">
        <f t="shared" si="3"/>
        <v>0</v>
      </c>
      <c r="K46" s="9" t="str">
        <f t="array" ref="K46:N46">_xlfn.XLOOKUP(C46,'Neiva 2022 FASE I ACTUAL (5)'!$C$6:$C$540,'Neiva 2022 FASE I ACTUAL (5)'!$C$6:$F$540,"NO ESTA")</f>
        <v>SUMINISTRO E INSTALACIÓN ACERO DE REFUERZO ELEMENTOS ESTRUCTURALES, PLACAS MACIZAS, CONSTRUCCIONES VARIAS EN CONCRETOS</v>
      </c>
      <c r="L46" s="9">
        <v>0</v>
      </c>
      <c r="M46" s="9">
        <v>0</v>
      </c>
      <c r="N46" s="9">
        <v>0</v>
      </c>
      <c r="O46" s="124">
        <f t="shared" si="6"/>
        <v>0</v>
      </c>
      <c r="P46" s="155">
        <f t="shared" si="1"/>
        <v>0</v>
      </c>
      <c r="Q46" s="156">
        <f t="shared" si="4"/>
        <v>0</v>
      </c>
      <c r="R46" s="156">
        <f t="shared" si="5"/>
        <v>0</v>
      </c>
    </row>
    <row r="47" spans="2:18" s="9" customFormat="1" ht="35.1" customHeight="1" x14ac:dyDescent="0.25">
      <c r="B47" s="10" t="s">
        <v>87</v>
      </c>
      <c r="C47" s="20" t="s">
        <v>54</v>
      </c>
      <c r="D47" s="10" t="s">
        <v>55</v>
      </c>
      <c r="E47" s="12">
        <v>84343.400000000023</v>
      </c>
      <c r="F47" s="126">
        <v>5100</v>
      </c>
      <c r="G47" s="126">
        <f>ROUND(+F47*E47,2)</f>
        <v>430151340</v>
      </c>
      <c r="H47" s="8"/>
      <c r="I47" s="8">
        <f>+F47</f>
        <v>5100</v>
      </c>
      <c r="J47" s="8">
        <f t="shared" si="3"/>
        <v>430151340.00000012</v>
      </c>
      <c r="K47" s="9" t="str">
        <f t="array" ref="K47:N47">_xlfn.XLOOKUP(C47,'Neiva 2022 FASE I ACTUAL (5)'!$C$6:$C$540,'Neiva 2022 FASE I ACTUAL (5)'!$C$6:$F$540,"NO ESTA")</f>
        <v>ACERO DE REFUERZO 60000 psi Incluye ALAMBRE DE AMARRE</v>
      </c>
      <c r="L47" s="9" t="str">
        <v>KG</v>
      </c>
      <c r="M47" s="9">
        <v>16621.25</v>
      </c>
      <c r="N47" s="9">
        <v>5265</v>
      </c>
      <c r="O47" s="124" t="str">
        <f t="shared" si="6"/>
        <v>FASE I</v>
      </c>
      <c r="P47" s="155">
        <f t="shared" si="1"/>
        <v>100964.65000000002</v>
      </c>
      <c r="Q47" s="156">
        <f t="shared" si="4"/>
        <v>5265</v>
      </c>
      <c r="R47" s="156">
        <f t="shared" si="5"/>
        <v>531578882.25</v>
      </c>
    </row>
    <row r="48" spans="2:18" s="9" customFormat="1" ht="35.1" customHeight="1" x14ac:dyDescent="0.25">
      <c r="B48" s="21" t="s">
        <v>88</v>
      </c>
      <c r="C48" s="22" t="s">
        <v>89</v>
      </c>
      <c r="D48" s="10" t="s">
        <v>13</v>
      </c>
      <c r="E48" s="12">
        <v>938.19999999999982</v>
      </c>
      <c r="F48" s="126">
        <f>+F47*1.5</f>
        <v>7650</v>
      </c>
      <c r="G48" s="126">
        <f>ROUND(+F48*E48,2)</f>
        <v>7177230</v>
      </c>
      <c r="H48" s="8"/>
      <c r="I48" s="8">
        <f>+F48</f>
        <v>7650</v>
      </c>
      <c r="J48" s="8">
        <f t="shared" si="3"/>
        <v>7177229.9999999991</v>
      </c>
      <c r="K48" s="9" t="str">
        <f t="array" ref="K48:N48">_xlfn.XLOOKUP(C48,'Neiva 2022 FASE I ACTUAL (5)'!$C$6:$C$540,'Neiva 2022 FASE I ACTUAL (5)'!$C$6:$F$540,"NO ESTA")</f>
        <v>MALLA ELECTROSOLDADA PLACA ENTREPISO Q85 Ø4 mm separación 15x15 cm o similar</v>
      </c>
      <c r="L48" s="9" t="str">
        <v>M2</v>
      </c>
      <c r="M48" s="9">
        <v>6220.01</v>
      </c>
      <c r="N48" s="9">
        <v>7898</v>
      </c>
      <c r="O48" s="124" t="str">
        <f t="shared" si="6"/>
        <v>FASE I</v>
      </c>
      <c r="P48" s="155">
        <f t="shared" si="1"/>
        <v>7158.21</v>
      </c>
      <c r="Q48" s="156">
        <f t="shared" si="4"/>
        <v>7898</v>
      </c>
      <c r="R48" s="156">
        <f t="shared" si="5"/>
        <v>56535542.579999998</v>
      </c>
    </row>
    <row r="49" spans="2:18" s="9" customFormat="1" ht="35.1" customHeight="1" x14ac:dyDescent="0.25">
      <c r="B49" s="13" t="s">
        <v>90</v>
      </c>
      <c r="C49" s="24" t="s">
        <v>91</v>
      </c>
      <c r="D49" s="24"/>
      <c r="E49" s="15"/>
      <c r="F49" s="129"/>
      <c r="G49" s="140"/>
      <c r="H49" s="8"/>
      <c r="I49" s="8">
        <f t="shared" si="2"/>
        <v>0</v>
      </c>
      <c r="J49" s="8">
        <f t="shared" si="3"/>
        <v>0</v>
      </c>
      <c r="K49" s="9" t="str">
        <f t="array" ref="K49:N49">_xlfn.XLOOKUP(C49,'Neiva 2022 FASE I ACTUAL (5)'!$C$6:$C$540,'Neiva 2022 FASE I ACTUAL (5)'!$C$6:$F$540,"NO ESTA")</f>
        <v>SUMINISTRO E INSTALACION DE ESTRUCTURA METALICA CUBIERTA</v>
      </c>
      <c r="L49" s="9">
        <v>0</v>
      </c>
      <c r="M49" s="9">
        <v>0</v>
      </c>
      <c r="N49" s="9">
        <v>0</v>
      </c>
      <c r="O49" s="124">
        <f t="shared" si="6"/>
        <v>0</v>
      </c>
      <c r="P49" s="155">
        <f t="shared" si="1"/>
        <v>0</v>
      </c>
      <c r="Q49" s="156">
        <f t="shared" si="4"/>
        <v>0</v>
      </c>
      <c r="R49" s="156">
        <f t="shared" si="5"/>
        <v>0</v>
      </c>
    </row>
    <row r="50" spans="2:18" s="9" customFormat="1" ht="35.1" customHeight="1" x14ac:dyDescent="0.25">
      <c r="B50" s="10" t="s">
        <v>92</v>
      </c>
      <c r="C50" s="20" t="s">
        <v>93</v>
      </c>
      <c r="D50" s="10" t="s">
        <v>94</v>
      </c>
      <c r="E50" s="12">
        <v>14.099999999999994</v>
      </c>
      <c r="F50" s="126">
        <v>109392</v>
      </c>
      <c r="G50" s="126">
        <f>ROUND(+F50*E50,2)</f>
        <v>1542427.2</v>
      </c>
      <c r="H50" s="8">
        <f>ROUND(+F50*(1+$H$3),0)</f>
        <v>213621</v>
      </c>
      <c r="I50" s="8">
        <f t="shared" si="2"/>
        <v>112181</v>
      </c>
      <c r="J50" s="8">
        <f t="shared" si="3"/>
        <v>1581752.0999999994</v>
      </c>
      <c r="K50" s="9" t="str">
        <f t="array" ref="K50:N50">_xlfn.XLOOKUP(C50,'Neiva 2022 FASE I ACTUAL (5)'!$C$6:$C$540,'Neiva 2022 FASE I ACTUAL (5)'!$C$6:$F$540,"NO ESTA")</f>
        <v>CERCHA METALICA CUBIERTA</v>
      </c>
      <c r="L50" s="9" t="str">
        <v>ML</v>
      </c>
      <c r="M50" s="9">
        <v>194</v>
      </c>
      <c r="N50" s="9">
        <v>107633</v>
      </c>
      <c r="O50" s="124" t="str">
        <f t="shared" si="6"/>
        <v>FASE II</v>
      </c>
      <c r="P50" s="155">
        <f t="shared" si="1"/>
        <v>208.1</v>
      </c>
      <c r="Q50" s="156">
        <f t="shared" si="4"/>
        <v>112181</v>
      </c>
      <c r="R50" s="156">
        <f t="shared" si="5"/>
        <v>23344866.100000001</v>
      </c>
    </row>
    <row r="51" spans="2:18" s="9" customFormat="1" ht="35.1" customHeight="1" x14ac:dyDescent="0.25">
      <c r="B51" s="10" t="s">
        <v>95</v>
      </c>
      <c r="C51" s="20" t="s">
        <v>96</v>
      </c>
      <c r="D51" s="10" t="s">
        <v>94</v>
      </c>
      <c r="E51" s="12">
        <v>28.599999999999994</v>
      </c>
      <c r="F51" s="126">
        <v>78264</v>
      </c>
      <c r="G51" s="126">
        <f>ROUND(+F51*E51,2)</f>
        <v>2238350.4</v>
      </c>
      <c r="H51" s="8">
        <f>ROUND(+F51*(1+$H$3),0)</f>
        <v>152834</v>
      </c>
      <c r="I51" s="8">
        <f t="shared" si="2"/>
        <v>80260</v>
      </c>
      <c r="J51" s="8">
        <f t="shared" si="3"/>
        <v>2295435.9999999995</v>
      </c>
      <c r="K51" s="9" t="str">
        <f t="array" ref="K51:N51">_xlfn.XLOOKUP(C51,'Neiva 2022 FASE I ACTUAL (5)'!$C$6:$C$540,'Neiva 2022 FASE I ACTUAL (5)'!$C$6:$F$540,"NO ESTA")</f>
        <v>CORREAS METALICAS CUBIERTA</v>
      </c>
      <c r="L51" s="9" t="str">
        <v>ML</v>
      </c>
      <c r="M51" s="9">
        <v>1240</v>
      </c>
      <c r="N51" s="9">
        <v>76272</v>
      </c>
      <c r="O51" s="124" t="str">
        <f t="shared" si="6"/>
        <v>FASE II</v>
      </c>
      <c r="P51" s="155">
        <f t="shared" si="1"/>
        <v>1268.5999999999999</v>
      </c>
      <c r="Q51" s="156">
        <f t="shared" si="4"/>
        <v>80260</v>
      </c>
      <c r="R51" s="156">
        <f t="shared" si="5"/>
        <v>101817836</v>
      </c>
    </row>
    <row r="52" spans="2:18" s="9" customFormat="1" ht="35.1" customHeight="1" x14ac:dyDescent="0.25">
      <c r="B52" s="10" t="s">
        <v>97</v>
      </c>
      <c r="C52" s="22" t="s">
        <v>98</v>
      </c>
      <c r="D52" s="23" t="s">
        <v>13</v>
      </c>
      <c r="E52" s="12">
        <v>488.5</v>
      </c>
      <c r="F52" s="126">
        <v>103483</v>
      </c>
      <c r="G52" s="126">
        <f>ROUND(+F52*E52,2)</f>
        <v>50551445.5</v>
      </c>
      <c r="H52" s="8"/>
      <c r="I52" s="8">
        <f t="shared" si="2"/>
        <v>106122</v>
      </c>
      <c r="J52" s="8">
        <f t="shared" si="3"/>
        <v>51840597</v>
      </c>
      <c r="K52" s="9" t="str">
        <f t="array" ref="K52:N52">_xlfn.XLOOKUP(C52,'Neiva 2022 FASE I ACTUAL (5)'!$C$6:$C$540,'Neiva 2022 FASE I ACTUAL (5)'!$C$6:$F$540,"NO ESTA")</f>
        <v>CUBIERTA TIPO SANDWICH</v>
      </c>
      <c r="L52" s="9" t="str">
        <v>M2</v>
      </c>
      <c r="M52" s="9">
        <v>508</v>
      </c>
      <c r="N52" s="9">
        <v>100848</v>
      </c>
      <c r="O52" s="124" t="str">
        <f t="shared" si="6"/>
        <v>FASE II</v>
      </c>
      <c r="P52" s="155">
        <f t="shared" si="1"/>
        <v>996.5</v>
      </c>
      <c r="Q52" s="156">
        <f t="shared" si="4"/>
        <v>106122</v>
      </c>
      <c r="R52" s="156">
        <f t="shared" si="5"/>
        <v>105750573</v>
      </c>
    </row>
    <row r="53" spans="2:18" s="9" customFormat="1" ht="35.1" customHeight="1" x14ac:dyDescent="0.25">
      <c r="B53" s="16">
        <v>4</v>
      </c>
      <c r="C53" s="17" t="s">
        <v>99</v>
      </c>
      <c r="D53" s="17"/>
      <c r="E53" s="18"/>
      <c r="F53" s="127"/>
      <c r="G53" s="17"/>
      <c r="H53" s="8"/>
      <c r="I53" s="8">
        <f t="shared" si="2"/>
        <v>0</v>
      </c>
      <c r="J53" s="8">
        <f t="shared" si="3"/>
        <v>0</v>
      </c>
      <c r="K53" s="9" t="str">
        <f t="array" ref="K53:N53">_xlfn.XLOOKUP(C53,'Neiva 2022 FASE I ACTUAL (5)'!$C$6:$C$540,'Neiva 2022 FASE I ACTUAL (5)'!$C$6:$F$540,"NO ESTA")</f>
        <v>CIELO RASOS</v>
      </c>
      <c r="L53" s="9">
        <v>0</v>
      </c>
      <c r="M53" s="9">
        <v>0</v>
      </c>
      <c r="N53" s="9">
        <v>0</v>
      </c>
      <c r="O53" s="124">
        <f t="shared" si="6"/>
        <v>0</v>
      </c>
      <c r="P53" s="155">
        <f t="shared" si="1"/>
        <v>0</v>
      </c>
      <c r="Q53" s="156">
        <f t="shared" si="4"/>
        <v>0</v>
      </c>
      <c r="R53" s="156">
        <f t="shared" si="5"/>
        <v>0</v>
      </c>
    </row>
    <row r="54" spans="2:18" s="9" customFormat="1" ht="35.1" customHeight="1" x14ac:dyDescent="0.25">
      <c r="B54" s="13" t="s">
        <v>100</v>
      </c>
      <c r="C54" s="14" t="s">
        <v>101</v>
      </c>
      <c r="D54" s="27"/>
      <c r="E54" s="15"/>
      <c r="F54" s="126">
        <v>0</v>
      </c>
      <c r="G54" s="126">
        <f>ROUND(+F54*E54,2)</f>
        <v>0</v>
      </c>
      <c r="H54" s="8"/>
      <c r="I54" s="8">
        <f t="shared" si="2"/>
        <v>0</v>
      </c>
      <c r="J54" s="8">
        <f t="shared" si="3"/>
        <v>0</v>
      </c>
      <c r="K54" s="9" t="str">
        <f t="array" ref="K54:N54">_xlfn.XLOOKUP(C54,'Neiva 2022 FASE I ACTUAL (5)'!$C$6:$C$540,'Neiva 2022 FASE I ACTUAL (5)'!$C$6:$F$540,"NO ESTA")</f>
        <v>SUMINISTRO E INSTALACION DE CIELOS RASOS PISO 1</v>
      </c>
      <c r="L54" s="9">
        <v>0</v>
      </c>
      <c r="M54" s="9">
        <v>0</v>
      </c>
      <c r="N54" s="9">
        <v>0</v>
      </c>
      <c r="O54" s="124">
        <f t="shared" si="6"/>
        <v>0</v>
      </c>
      <c r="P54" s="155">
        <f t="shared" si="1"/>
        <v>0</v>
      </c>
      <c r="Q54" s="156">
        <f t="shared" si="4"/>
        <v>0</v>
      </c>
      <c r="R54" s="156">
        <f t="shared" si="5"/>
        <v>0</v>
      </c>
    </row>
    <row r="55" spans="2:18" s="9" customFormat="1" ht="35.1" customHeight="1" x14ac:dyDescent="0.25">
      <c r="B55" s="23" t="s">
        <v>102</v>
      </c>
      <c r="C55" s="22" t="s">
        <v>1062</v>
      </c>
      <c r="D55" s="23" t="s">
        <v>13</v>
      </c>
      <c r="E55" s="12">
        <v>0</v>
      </c>
      <c r="F55" s="126">
        <v>52673</v>
      </c>
      <c r="G55" s="126">
        <f>ROUND(+F55*E55,2)</f>
        <v>0</v>
      </c>
      <c r="H55" s="8"/>
      <c r="I55" s="8">
        <f t="shared" si="2"/>
        <v>54016</v>
      </c>
      <c r="J55" s="8">
        <f t="shared" si="3"/>
        <v>0</v>
      </c>
      <c r="K55" s="9" t="str">
        <f t="array" ref="K55">_xlfn.XLOOKUP(C55,'Neiva 2022 FASE I ACTUAL (5)'!$C$6:$C$540,'Neiva 2022 FASE I ACTUAL (5)'!$C$6:$F$540,"NO ESTA")</f>
        <v>NO ESTA</v>
      </c>
      <c r="O55" s="124">
        <f t="shared" si="6"/>
        <v>0</v>
      </c>
      <c r="P55" s="155">
        <f t="shared" si="1"/>
        <v>0</v>
      </c>
      <c r="Q55" s="156">
        <f t="shared" si="4"/>
        <v>54016</v>
      </c>
      <c r="R55" s="156">
        <f t="shared" si="5"/>
        <v>0</v>
      </c>
    </row>
    <row r="56" spans="2:18" s="9" customFormat="1" ht="35.1" customHeight="1" x14ac:dyDescent="0.25">
      <c r="B56" s="23" t="s">
        <v>104</v>
      </c>
      <c r="C56" s="22" t="s">
        <v>105</v>
      </c>
      <c r="D56" s="23" t="s">
        <v>13</v>
      </c>
      <c r="E56" s="12">
        <v>0</v>
      </c>
      <c r="F56" s="126">
        <v>52673</v>
      </c>
      <c r="G56" s="126">
        <f>ROUND(+F56*E56,2)</f>
        <v>0</v>
      </c>
      <c r="H56" s="8"/>
      <c r="I56" s="8">
        <f t="shared" si="2"/>
        <v>54016</v>
      </c>
      <c r="J56" s="8">
        <f t="shared" si="3"/>
        <v>0</v>
      </c>
      <c r="K56" s="9" t="str">
        <f t="array" ref="K56:N56">_xlfn.XLOOKUP(C56,'Neiva 2022 FASE I ACTUAL (5)'!$C$6:$C$540,'Neiva 2022 FASE I ACTUAL (5)'!$C$6:$F$540,"NO ESTA")</f>
        <v>SUMINISTRO E INSTALACION CIELO RASO EN DRYWALL LAMINA BLANCA PINTADO A 3 MANOS PINTURA VINILO TIPO 1  BLANCA Ref. Planos 09511</v>
      </c>
      <c r="L56" s="9" t="str">
        <v>M2</v>
      </c>
      <c r="M56" s="9">
        <v>388.43</v>
      </c>
      <c r="N56" s="9">
        <v>43820</v>
      </c>
      <c r="O56" s="124" t="str">
        <f t="shared" si="6"/>
        <v>FASE II</v>
      </c>
      <c r="P56" s="155">
        <f t="shared" si="1"/>
        <v>388.43</v>
      </c>
      <c r="Q56" s="156">
        <f t="shared" si="4"/>
        <v>54016</v>
      </c>
      <c r="R56" s="156">
        <f t="shared" si="5"/>
        <v>20981434.879999999</v>
      </c>
    </row>
    <row r="57" spans="2:18" s="9" customFormat="1" ht="35.1" customHeight="1" x14ac:dyDescent="0.25">
      <c r="B57" s="28" t="s">
        <v>1063</v>
      </c>
      <c r="C57" s="29" t="s">
        <v>1064</v>
      </c>
      <c r="D57" s="30"/>
      <c r="E57" s="31"/>
      <c r="F57" s="129"/>
      <c r="G57" s="140"/>
      <c r="H57" s="8"/>
      <c r="I57" s="8">
        <f t="shared" si="2"/>
        <v>0</v>
      </c>
      <c r="J57" s="8">
        <f t="shared" si="3"/>
        <v>0</v>
      </c>
      <c r="K57" s="9" t="str">
        <f t="array" ref="K57">_xlfn.XLOOKUP(C57,'Neiva 2022 FASE I ACTUAL (5)'!$C$6:$C$540,'Neiva 2022 FASE I ACTUAL (5)'!$C$6:$F$540,"NO ESTA")</f>
        <v>NO ESTA</v>
      </c>
      <c r="O57" s="124">
        <f t="shared" si="6"/>
        <v>0</v>
      </c>
      <c r="P57" s="155">
        <f t="shared" si="1"/>
        <v>0</v>
      </c>
      <c r="Q57" s="156">
        <f t="shared" si="4"/>
        <v>0</v>
      </c>
      <c r="R57" s="156">
        <f t="shared" si="5"/>
        <v>0</v>
      </c>
    </row>
    <row r="58" spans="2:18" s="9" customFormat="1" ht="49.15" customHeight="1" x14ac:dyDescent="0.25">
      <c r="B58" s="23" t="s">
        <v>1065</v>
      </c>
      <c r="C58" s="22" t="s">
        <v>103</v>
      </c>
      <c r="D58" s="23" t="s">
        <v>13</v>
      </c>
      <c r="E58" s="12">
        <v>68.989999999999995</v>
      </c>
      <c r="F58" s="126">
        <v>52673</v>
      </c>
      <c r="G58" s="126">
        <f>ROUND(+F58*E58,2)</f>
        <v>3633910.27</v>
      </c>
      <c r="H58" s="8"/>
      <c r="I58" s="8">
        <f t="shared" si="2"/>
        <v>54016</v>
      </c>
      <c r="J58" s="8">
        <f t="shared" si="3"/>
        <v>3726563.84</v>
      </c>
      <c r="K58" s="9" t="str">
        <f t="array" ref="K58:N58">_xlfn.XLOOKUP(C58,'Neiva 2022 FASE I ACTUAL (5)'!$C$6:$C$540,'Neiva 2022 FASE I ACTUAL (5)'!$C$6:$F$540,"NO ESTA")</f>
        <v>SUMINISTRO E INSTALACION CIELO RASO EN DRYWALL LAMINA VERDE RH  PINTADO A 3 MANOS PINTURA VINILO TIPO 1 o similar  BLANCA Ref. Planos 09512</v>
      </c>
      <c r="L58" s="9" t="str">
        <v>M2</v>
      </c>
      <c r="M58" s="9">
        <v>59.86</v>
      </c>
      <c r="N58" s="9">
        <v>43820</v>
      </c>
      <c r="O58" s="124" t="str">
        <f t="shared" si="6"/>
        <v>FASE II</v>
      </c>
      <c r="P58" s="155">
        <f t="shared" si="1"/>
        <v>128.85</v>
      </c>
      <c r="Q58" s="156">
        <f t="shared" si="4"/>
        <v>54016</v>
      </c>
      <c r="R58" s="156">
        <f t="shared" si="5"/>
        <v>6959961.5999999996</v>
      </c>
    </row>
    <row r="59" spans="2:18" s="9" customFormat="1" ht="35.1" customHeight="1" x14ac:dyDescent="0.25">
      <c r="B59" s="23" t="s">
        <v>1066</v>
      </c>
      <c r="C59" s="22" t="s">
        <v>105</v>
      </c>
      <c r="D59" s="23" t="s">
        <v>13</v>
      </c>
      <c r="E59" s="12">
        <v>701.75</v>
      </c>
      <c r="F59" s="126">
        <v>52673</v>
      </c>
      <c r="G59" s="126">
        <f>ROUND(+F59*E59,2)</f>
        <v>36963277.75</v>
      </c>
      <c r="H59" s="8"/>
      <c r="I59" s="8">
        <f t="shared" si="2"/>
        <v>54016</v>
      </c>
      <c r="J59" s="8">
        <f t="shared" si="3"/>
        <v>37905728</v>
      </c>
      <c r="K59" s="9" t="str">
        <f t="array" ref="K59:N59">_xlfn.XLOOKUP(C59,'Neiva 2022 FASE I ACTUAL (5)'!$C$6:$C$540,'Neiva 2022 FASE I ACTUAL (5)'!$C$6:$F$540,"NO ESTA")</f>
        <v>SUMINISTRO E INSTALACION CIELO RASO EN DRYWALL LAMINA BLANCA PINTADO A 3 MANOS PINTURA VINILO TIPO 1  BLANCA Ref. Planos 09511</v>
      </c>
      <c r="L59" s="9" t="str">
        <v>M2</v>
      </c>
      <c r="M59" s="9">
        <v>388.43</v>
      </c>
      <c r="N59" s="9">
        <v>43820</v>
      </c>
      <c r="O59" s="124" t="str">
        <f t="shared" si="6"/>
        <v>FASE II</v>
      </c>
      <c r="P59" s="155">
        <f t="shared" si="1"/>
        <v>1090.18</v>
      </c>
      <c r="Q59" s="156">
        <f t="shared" si="4"/>
        <v>54016</v>
      </c>
      <c r="R59" s="156">
        <f t="shared" si="5"/>
        <v>58887162.880000003</v>
      </c>
    </row>
    <row r="60" spans="2:18" s="9" customFormat="1" ht="35.1" customHeight="1" x14ac:dyDescent="0.25">
      <c r="B60" s="13" t="s">
        <v>1067</v>
      </c>
      <c r="C60" s="14" t="s">
        <v>1068</v>
      </c>
      <c r="D60" s="27"/>
      <c r="E60" s="15"/>
      <c r="F60" s="129"/>
      <c r="G60" s="140"/>
      <c r="H60" s="8"/>
      <c r="I60" s="8">
        <f t="shared" si="2"/>
        <v>0</v>
      </c>
      <c r="J60" s="8">
        <f t="shared" si="3"/>
        <v>0</v>
      </c>
      <c r="K60" s="9" t="str">
        <f t="array" ref="K60">_xlfn.XLOOKUP(C60,'Neiva 2022 FASE I ACTUAL (5)'!$C$6:$C$540,'Neiva 2022 FASE I ACTUAL (5)'!$C$6:$F$540,"NO ESTA")</f>
        <v>NO ESTA</v>
      </c>
      <c r="O60" s="124">
        <f t="shared" si="6"/>
        <v>0</v>
      </c>
      <c r="P60" s="155">
        <f t="shared" si="1"/>
        <v>0</v>
      </c>
      <c r="Q60" s="156">
        <f t="shared" si="4"/>
        <v>0</v>
      </c>
      <c r="R60" s="156">
        <f t="shared" si="5"/>
        <v>0</v>
      </c>
    </row>
    <row r="61" spans="2:18" s="9" customFormat="1" ht="46.15" customHeight="1" x14ac:dyDescent="0.25">
      <c r="B61" s="23" t="s">
        <v>1069</v>
      </c>
      <c r="C61" s="22" t="s">
        <v>103</v>
      </c>
      <c r="D61" s="23" t="s">
        <v>13</v>
      </c>
      <c r="E61" s="12">
        <v>68.989999999999995</v>
      </c>
      <c r="F61" s="126">
        <v>72889</v>
      </c>
      <c r="G61" s="126">
        <f>ROUND(+F61*E61,2)</f>
        <v>5028612.1100000003</v>
      </c>
      <c r="H61" s="8"/>
      <c r="I61" s="8">
        <f t="shared" si="2"/>
        <v>74748</v>
      </c>
      <c r="J61" s="8">
        <f t="shared" si="3"/>
        <v>5156864.5199999996</v>
      </c>
      <c r="K61" s="9" t="str">
        <f t="array" ref="K61:N61">_xlfn.XLOOKUP(C61,'Neiva 2022 FASE I ACTUAL (5)'!$C$6:$C$540,'Neiva 2022 FASE I ACTUAL (5)'!$C$6:$F$540,"NO ESTA")</f>
        <v>SUMINISTRO E INSTALACION CIELO RASO EN DRYWALL LAMINA VERDE RH  PINTADO A 3 MANOS PINTURA VINILO TIPO 1 o similar  BLANCA Ref. Planos 09512</v>
      </c>
      <c r="L61" s="9" t="str">
        <v>M2</v>
      </c>
      <c r="M61" s="9">
        <v>59.86</v>
      </c>
      <c r="N61" s="9">
        <v>43820</v>
      </c>
      <c r="O61" s="124" t="str">
        <f t="shared" si="6"/>
        <v>FASE II</v>
      </c>
      <c r="P61" s="155">
        <f t="shared" si="1"/>
        <v>128.85</v>
      </c>
      <c r="Q61" s="156">
        <f t="shared" si="4"/>
        <v>74748</v>
      </c>
      <c r="R61" s="156">
        <f t="shared" si="5"/>
        <v>9631279.8000000007</v>
      </c>
    </row>
    <row r="62" spans="2:18" s="9" customFormat="1" ht="35.1" customHeight="1" x14ac:dyDescent="0.25">
      <c r="B62" s="23" t="s">
        <v>1070</v>
      </c>
      <c r="C62" s="22" t="s">
        <v>105</v>
      </c>
      <c r="D62" s="23" t="s">
        <v>13</v>
      </c>
      <c r="E62" s="12">
        <v>565.59</v>
      </c>
      <c r="F62" s="126">
        <v>69024</v>
      </c>
      <c r="G62" s="126">
        <f>ROUND(+F62*E62,2)</f>
        <v>39039284.159999996</v>
      </c>
      <c r="H62" s="8"/>
      <c r="I62" s="8">
        <f t="shared" si="2"/>
        <v>70784</v>
      </c>
      <c r="J62" s="8">
        <f t="shared" si="3"/>
        <v>40034722.560000002</v>
      </c>
      <c r="K62" s="9" t="str">
        <f t="array" ref="K62:N62">_xlfn.XLOOKUP(C62,'Neiva 2022 FASE I ACTUAL (5)'!$C$6:$C$540,'Neiva 2022 FASE I ACTUAL (5)'!$C$6:$F$540,"NO ESTA")</f>
        <v>SUMINISTRO E INSTALACION CIELO RASO EN DRYWALL LAMINA BLANCA PINTADO A 3 MANOS PINTURA VINILO TIPO 1  BLANCA Ref. Planos 09511</v>
      </c>
      <c r="L62" s="9" t="str">
        <v>M2</v>
      </c>
      <c r="M62" s="9">
        <v>388.43</v>
      </c>
      <c r="N62" s="9">
        <v>43820</v>
      </c>
      <c r="O62" s="124" t="str">
        <f t="shared" si="6"/>
        <v>FASE II</v>
      </c>
      <c r="P62" s="155">
        <f t="shared" si="1"/>
        <v>954.02</v>
      </c>
      <c r="Q62" s="156">
        <f t="shared" si="4"/>
        <v>70784</v>
      </c>
      <c r="R62" s="156">
        <f t="shared" si="5"/>
        <v>67529351.680000007</v>
      </c>
    </row>
    <row r="63" spans="2:18" s="9" customFormat="1" ht="35.1" customHeight="1" x14ac:dyDescent="0.25">
      <c r="B63" s="32" t="s">
        <v>1071</v>
      </c>
      <c r="C63" s="14" t="s">
        <v>1072</v>
      </c>
      <c r="D63" s="27"/>
      <c r="E63" s="15"/>
      <c r="F63" s="129"/>
      <c r="G63" s="140"/>
      <c r="H63" s="8"/>
      <c r="I63" s="8">
        <f t="shared" si="2"/>
        <v>0</v>
      </c>
      <c r="J63" s="8">
        <f t="shared" si="3"/>
        <v>0</v>
      </c>
      <c r="K63" s="9" t="str">
        <f t="array" ref="K63">_xlfn.XLOOKUP(C63,'Neiva 2022 FASE I ACTUAL (5)'!$C$6:$C$540,'Neiva 2022 FASE I ACTUAL (5)'!$C$6:$F$540,"NO ESTA")</f>
        <v>NO ESTA</v>
      </c>
      <c r="O63" s="124">
        <f t="shared" si="6"/>
        <v>0</v>
      </c>
      <c r="P63" s="155">
        <f t="shared" si="1"/>
        <v>0</v>
      </c>
      <c r="Q63" s="156">
        <f t="shared" si="4"/>
        <v>0</v>
      </c>
      <c r="R63" s="156">
        <f t="shared" si="5"/>
        <v>0</v>
      </c>
    </row>
    <row r="64" spans="2:18" s="9" customFormat="1" ht="50.45" customHeight="1" x14ac:dyDescent="0.25">
      <c r="B64" s="23" t="s">
        <v>1073</v>
      </c>
      <c r="C64" s="22" t="s">
        <v>103</v>
      </c>
      <c r="D64" s="23" t="s">
        <v>13</v>
      </c>
      <c r="E64" s="12">
        <v>51.89</v>
      </c>
      <c r="F64" s="126">
        <v>72889</v>
      </c>
      <c r="G64" s="126">
        <f>ROUND(+F64*E64,2)</f>
        <v>3782210.21</v>
      </c>
      <c r="H64" s="8"/>
      <c r="I64" s="8">
        <f t="shared" si="2"/>
        <v>74748</v>
      </c>
      <c r="J64" s="8">
        <f t="shared" si="3"/>
        <v>3878673.72</v>
      </c>
      <c r="K64" s="9" t="str">
        <f t="array" ref="K64:N64">_xlfn.XLOOKUP(C64,'Neiva 2022 FASE I ACTUAL (5)'!$C$6:$C$540,'Neiva 2022 FASE I ACTUAL (5)'!$C$6:$F$540,"NO ESTA")</f>
        <v>SUMINISTRO E INSTALACION CIELO RASO EN DRYWALL LAMINA VERDE RH  PINTADO A 3 MANOS PINTURA VINILO TIPO 1 o similar  BLANCA Ref. Planos 09512</v>
      </c>
      <c r="L64" s="9" t="str">
        <v>M2</v>
      </c>
      <c r="M64" s="9">
        <v>59.86</v>
      </c>
      <c r="N64" s="9">
        <v>43820</v>
      </c>
      <c r="O64" s="124" t="str">
        <f t="shared" si="6"/>
        <v>FASE II</v>
      </c>
      <c r="P64" s="155">
        <f t="shared" si="1"/>
        <v>111.75</v>
      </c>
      <c r="Q64" s="156">
        <f t="shared" si="4"/>
        <v>74748</v>
      </c>
      <c r="R64" s="156">
        <f t="shared" si="5"/>
        <v>8353089</v>
      </c>
    </row>
    <row r="65" spans="2:18" s="9" customFormat="1" ht="35.1" customHeight="1" x14ac:dyDescent="0.25">
      <c r="B65" s="23" t="s">
        <v>1074</v>
      </c>
      <c r="C65" s="22" t="s">
        <v>105</v>
      </c>
      <c r="D65" s="23" t="s">
        <v>13</v>
      </c>
      <c r="E65" s="12">
        <v>1250.28</v>
      </c>
      <c r="F65" s="126">
        <v>69024</v>
      </c>
      <c r="G65" s="126">
        <f>ROUND(+F65*E65,2)</f>
        <v>86299326.719999999</v>
      </c>
      <c r="H65" s="8"/>
      <c r="I65" s="8">
        <f t="shared" si="2"/>
        <v>70784</v>
      </c>
      <c r="J65" s="8">
        <f t="shared" si="3"/>
        <v>88499819.519999996</v>
      </c>
      <c r="K65" s="9" t="str">
        <f t="array" ref="K65:N65">_xlfn.XLOOKUP(C65,'Neiva 2022 FASE I ACTUAL (5)'!$C$6:$C$540,'Neiva 2022 FASE I ACTUAL (5)'!$C$6:$F$540,"NO ESTA")</f>
        <v>SUMINISTRO E INSTALACION CIELO RASO EN DRYWALL LAMINA BLANCA PINTADO A 3 MANOS PINTURA VINILO TIPO 1  BLANCA Ref. Planos 09511</v>
      </c>
      <c r="L65" s="9" t="str">
        <v>M2</v>
      </c>
      <c r="M65" s="9">
        <v>388.43</v>
      </c>
      <c r="N65" s="9">
        <v>43820</v>
      </c>
      <c r="O65" s="124" t="str">
        <f t="shared" si="6"/>
        <v>FASE II</v>
      </c>
      <c r="P65" s="155">
        <f t="shared" si="1"/>
        <v>1638.71</v>
      </c>
      <c r="Q65" s="156">
        <f t="shared" si="4"/>
        <v>70784</v>
      </c>
      <c r="R65" s="156">
        <f t="shared" si="5"/>
        <v>115994448.64</v>
      </c>
    </row>
    <row r="66" spans="2:18" s="9" customFormat="1" ht="35.1" customHeight="1" x14ac:dyDescent="0.25">
      <c r="B66" s="23" t="s">
        <v>1075</v>
      </c>
      <c r="C66" s="22" t="s">
        <v>1076</v>
      </c>
      <c r="D66" s="23" t="s">
        <v>94</v>
      </c>
      <c r="E66" s="12">
        <v>250.05600000000001</v>
      </c>
      <c r="F66" s="126">
        <v>17522</v>
      </c>
      <c r="G66" s="126">
        <f>ROUND(+F66*E66,2)</f>
        <v>4381481.2300000004</v>
      </c>
      <c r="H66" s="8"/>
      <c r="I66" s="8">
        <f t="shared" si="2"/>
        <v>17969</v>
      </c>
      <c r="J66" s="8">
        <f t="shared" si="3"/>
        <v>4493256.2640000004</v>
      </c>
      <c r="K66" s="9" t="str">
        <f t="array" ref="K66">_xlfn.XLOOKUP(C66,'Neiva 2022 FASE I ACTUAL (5)'!$C$6:$C$540,'Neiva 2022 FASE I ACTUAL (5)'!$C$6:$F$540,"NO ESTA")</f>
        <v>NO ESTA</v>
      </c>
      <c r="O66" s="124">
        <f t="shared" si="6"/>
        <v>0</v>
      </c>
      <c r="P66" s="155">
        <f t="shared" si="1"/>
        <v>250.05600000000001</v>
      </c>
      <c r="Q66" s="156">
        <f t="shared" si="4"/>
        <v>17969</v>
      </c>
      <c r="R66" s="156">
        <f t="shared" si="5"/>
        <v>4493256.26</v>
      </c>
    </row>
    <row r="67" spans="2:18" s="9" customFormat="1" ht="35.1" customHeight="1" x14ac:dyDescent="0.25">
      <c r="B67" s="23" t="s">
        <v>1077</v>
      </c>
      <c r="C67" s="22" t="s">
        <v>1078</v>
      </c>
      <c r="D67" s="23" t="s">
        <v>13</v>
      </c>
      <c r="E67" s="12">
        <v>149.82</v>
      </c>
      <c r="F67" s="126">
        <v>48102</v>
      </c>
      <c r="G67" s="126">
        <f>ROUND(+F67*E67,2)</f>
        <v>7206641.6399999997</v>
      </c>
      <c r="H67" s="8"/>
      <c r="I67" s="8">
        <f t="shared" si="2"/>
        <v>49329</v>
      </c>
      <c r="J67" s="8">
        <f t="shared" si="3"/>
        <v>7390470.7799999993</v>
      </c>
      <c r="K67" s="9" t="str">
        <f t="array" ref="K67">_xlfn.XLOOKUP(C67,'Neiva 2022 FASE I ACTUAL (5)'!$C$6:$C$540,'Neiva 2022 FASE I ACTUAL (5)'!$C$6:$F$540,"NO ESTA")</f>
        <v>NO ESTA</v>
      </c>
      <c r="O67" s="124">
        <f t="shared" si="6"/>
        <v>0</v>
      </c>
      <c r="P67" s="155">
        <f t="shared" si="1"/>
        <v>149.82</v>
      </c>
      <c r="Q67" s="156">
        <f t="shared" si="4"/>
        <v>49329</v>
      </c>
      <c r="R67" s="156">
        <f t="shared" si="5"/>
        <v>7390470.7800000003</v>
      </c>
    </row>
    <row r="68" spans="2:18" s="9" customFormat="1" ht="35.1" customHeight="1" x14ac:dyDescent="0.25">
      <c r="B68" s="16">
        <v>5</v>
      </c>
      <c r="C68" s="17" t="s">
        <v>106</v>
      </c>
      <c r="D68" s="17"/>
      <c r="E68" s="18"/>
      <c r="F68" s="127"/>
      <c r="G68" s="17"/>
      <c r="H68" s="8"/>
      <c r="I68" s="8">
        <f t="shared" si="2"/>
        <v>0</v>
      </c>
      <c r="J68" s="8">
        <f t="shared" si="3"/>
        <v>0</v>
      </c>
      <c r="K68" s="9" t="str">
        <f t="array" ref="K68:N68">_xlfn.XLOOKUP(C68,'Neiva 2022 FASE I ACTUAL (5)'!$C$6:$C$540,'Neiva 2022 FASE I ACTUAL (5)'!$C$6:$F$540,"NO ESTA")</f>
        <v>CONSTRUCCIÓN DE MUROS ARQUITECTONICOS</v>
      </c>
      <c r="L68" s="9">
        <v>0</v>
      </c>
      <c r="M68" s="9">
        <v>0</v>
      </c>
      <c r="N68" s="9">
        <v>0</v>
      </c>
      <c r="O68" s="124">
        <f t="shared" si="6"/>
        <v>0</v>
      </c>
      <c r="P68" s="155">
        <f t="shared" si="1"/>
        <v>0</v>
      </c>
      <c r="Q68" s="156">
        <f t="shared" si="4"/>
        <v>0</v>
      </c>
      <c r="R68" s="156">
        <f t="shared" si="5"/>
        <v>0</v>
      </c>
    </row>
    <row r="69" spans="2:18" s="9" customFormat="1" ht="35.1" customHeight="1" x14ac:dyDescent="0.25">
      <c r="B69" s="13" t="s">
        <v>107</v>
      </c>
      <c r="C69" s="24" t="s">
        <v>108</v>
      </c>
      <c r="D69" s="24"/>
      <c r="E69" s="15"/>
      <c r="F69" s="129"/>
      <c r="G69" s="140"/>
      <c r="H69" s="8"/>
      <c r="I69" s="8">
        <f t="shared" si="2"/>
        <v>0</v>
      </c>
      <c r="J69" s="8">
        <f t="shared" si="3"/>
        <v>0</v>
      </c>
      <c r="K69" s="9" t="str">
        <f t="array" ref="K69:N69">_xlfn.XLOOKUP(C69,'Neiva 2022 FASE I ACTUAL (5)'!$C$6:$C$540,'Neiva 2022 FASE I ACTUAL (5)'!$C$6:$F$540,"NO ESTA")</f>
        <v>CONSTRUCCIÓN MUROS ARQUITECTONICOS SEMISOTANO</v>
      </c>
      <c r="L69" s="9">
        <v>0</v>
      </c>
      <c r="M69" s="9">
        <v>0</v>
      </c>
      <c r="N69" s="9">
        <v>0</v>
      </c>
      <c r="O69" s="124">
        <f t="shared" si="6"/>
        <v>0</v>
      </c>
      <c r="P69" s="155">
        <f t="shared" si="1"/>
        <v>0</v>
      </c>
      <c r="Q69" s="156">
        <f t="shared" si="4"/>
        <v>0</v>
      </c>
      <c r="R69" s="156">
        <f t="shared" si="5"/>
        <v>0</v>
      </c>
    </row>
    <row r="70" spans="2:18" s="9" customFormat="1" ht="35.1" customHeight="1" x14ac:dyDescent="0.25">
      <c r="B70" s="23" t="s">
        <v>109</v>
      </c>
      <c r="C70" s="11" t="s">
        <v>110</v>
      </c>
      <c r="D70" s="10" t="s">
        <v>30</v>
      </c>
      <c r="E70" s="12">
        <v>0</v>
      </c>
      <c r="F70" s="126">
        <v>821235</v>
      </c>
      <c r="G70" s="141">
        <f t="shared" ref="G70:G79" si="7">ROUND(+F70*E70,2)</f>
        <v>0</v>
      </c>
      <c r="H70" s="8"/>
      <c r="I70" s="8">
        <f t="shared" si="2"/>
        <v>842176</v>
      </c>
      <c r="J70" s="8">
        <f t="shared" si="3"/>
        <v>0</v>
      </c>
      <c r="K70" s="9" t="str">
        <f t="array" ref="K70:N70">_xlfn.XLOOKUP(C70,'Neiva 2022 FASE I ACTUAL (5)'!$C$6:$C$540,'Neiva 2022 FASE I ACTUAL (5)'!$C$6:$F$540,"NO ESTA")</f>
        <v>MURO EN CONCRETO DE 4000 PSI e=0.12 m Ver. Planos Tipo Muro M-1</v>
      </c>
      <c r="L70" s="9" t="str">
        <v>M3</v>
      </c>
      <c r="M70" s="9">
        <v>0.73</v>
      </c>
      <c r="N70" s="9">
        <v>724119</v>
      </c>
      <c r="O70" s="124" t="str">
        <f t="shared" si="6"/>
        <v>FASE II</v>
      </c>
      <c r="P70" s="155">
        <f t="shared" ref="P70:P133" si="8">E70+M70</f>
        <v>0.73</v>
      </c>
      <c r="Q70" s="156">
        <f t="shared" si="4"/>
        <v>842176</v>
      </c>
      <c r="R70" s="156">
        <f t="shared" si="5"/>
        <v>614788.48</v>
      </c>
    </row>
    <row r="71" spans="2:18" s="9" customFormat="1" ht="35.1" customHeight="1" x14ac:dyDescent="0.25">
      <c r="B71" s="23" t="s">
        <v>111</v>
      </c>
      <c r="C71" s="11" t="s">
        <v>112</v>
      </c>
      <c r="D71" s="10" t="s">
        <v>30</v>
      </c>
      <c r="E71" s="12">
        <v>11.33</v>
      </c>
      <c r="F71" s="126">
        <v>821235</v>
      </c>
      <c r="G71" s="126">
        <f t="shared" si="7"/>
        <v>9304592.5500000007</v>
      </c>
      <c r="H71" s="8"/>
      <c r="I71" s="8">
        <f t="shared" ref="I71:I134" si="9">+ROUND(F71*(1+$I$4),0)</f>
        <v>842176</v>
      </c>
      <c r="J71" s="8">
        <f t="shared" ref="J71:J134" si="10">+I71*E71</f>
        <v>9541854.0800000001</v>
      </c>
      <c r="K71" s="9" t="str">
        <f t="array" ref="K71:N71">_xlfn.XLOOKUP(C71,'Neiva 2022 FASE I ACTUAL (5)'!$C$6:$C$540,'Neiva 2022 FASE I ACTUAL (5)'!$C$6:$F$540,"NO ESTA")</f>
        <v>MURO EN CONCRETO DE 4000 PSI e=0.15 m Ver. Planos Tipo Muro M-2</v>
      </c>
      <c r="L71" s="9" t="str">
        <v>M3</v>
      </c>
      <c r="M71" s="9">
        <v>11.33</v>
      </c>
      <c r="N71" s="9">
        <v>724119</v>
      </c>
      <c r="O71" s="124" t="str">
        <f t="shared" si="6"/>
        <v>FASE II</v>
      </c>
      <c r="P71" s="155">
        <f t="shared" si="8"/>
        <v>22.66</v>
      </c>
      <c r="Q71" s="156">
        <f t="shared" ref="Q71:Q134" si="11">MAX(N71,F71,I71)</f>
        <v>842176</v>
      </c>
      <c r="R71" s="156">
        <f t="shared" ref="R71:R134" si="12">ROUND(P71*Q71,2)</f>
        <v>19083708.16</v>
      </c>
    </row>
    <row r="72" spans="2:18" s="9" customFormat="1" ht="35.1" customHeight="1" x14ac:dyDescent="0.25">
      <c r="B72" s="23" t="s">
        <v>113</v>
      </c>
      <c r="C72" s="11" t="s">
        <v>114</v>
      </c>
      <c r="D72" s="10" t="s">
        <v>30</v>
      </c>
      <c r="E72" s="12">
        <v>95.594999999999999</v>
      </c>
      <c r="F72" s="126">
        <v>821235</v>
      </c>
      <c r="G72" s="126">
        <f t="shared" si="7"/>
        <v>78505959.829999998</v>
      </c>
      <c r="H72" s="8"/>
      <c r="I72" s="8">
        <f t="shared" si="9"/>
        <v>842176</v>
      </c>
      <c r="J72" s="8">
        <f t="shared" si="10"/>
        <v>80507814.719999999</v>
      </c>
      <c r="K72" s="9" t="str">
        <f t="array" ref="K72:N72">_xlfn.XLOOKUP(C72,'Neiva 2022 FASE I ACTUAL (5)'!$C$6:$C$540,'Neiva 2022 FASE I ACTUAL (5)'!$C$6:$F$540,"NO ESTA")</f>
        <v>MURO EN CONCRETO DE 4000 PSI e=0.25 m Ver. Planos Tipo Muro M-3</v>
      </c>
      <c r="L72" s="9" t="str">
        <v>M3</v>
      </c>
      <c r="M72" s="9">
        <v>95.6</v>
      </c>
      <c r="N72" s="9">
        <v>724119</v>
      </c>
      <c r="O72" s="124" t="str">
        <f t="shared" ref="O72:O135" si="13">IF(N72=0,0,(IF(F72&lt;N72, "FASE I","FASE II")))</f>
        <v>FASE II</v>
      </c>
      <c r="P72" s="155">
        <f t="shared" si="8"/>
        <v>191.19499999999999</v>
      </c>
      <c r="Q72" s="156">
        <f t="shared" si="11"/>
        <v>842176</v>
      </c>
      <c r="R72" s="156">
        <f t="shared" si="12"/>
        <v>161019840.31999999</v>
      </c>
    </row>
    <row r="73" spans="2:18" s="9" customFormat="1" ht="35.1" customHeight="1" x14ac:dyDescent="0.25">
      <c r="B73" s="23" t="s">
        <v>115</v>
      </c>
      <c r="C73" s="11" t="s">
        <v>116</v>
      </c>
      <c r="D73" s="10" t="s">
        <v>30</v>
      </c>
      <c r="E73" s="12">
        <v>20.12</v>
      </c>
      <c r="F73" s="126">
        <v>821235</v>
      </c>
      <c r="G73" s="126">
        <f t="shared" si="7"/>
        <v>16523248.199999999</v>
      </c>
      <c r="H73" s="8"/>
      <c r="I73" s="8">
        <f t="shared" si="9"/>
        <v>842176</v>
      </c>
      <c r="J73" s="8">
        <f t="shared" si="10"/>
        <v>16944581.120000001</v>
      </c>
      <c r="K73" s="9" t="str">
        <f t="array" ref="K73:N73">_xlfn.XLOOKUP(C73,'Neiva 2022 FASE I ACTUAL (5)'!$C$6:$C$540,'Neiva 2022 FASE I ACTUAL (5)'!$C$6:$F$540,"NO ESTA")</f>
        <v>MURO EN CONCRETO DE 4000 PSI e=0.30 m Ver. Planos Tipo Muro M-4</v>
      </c>
      <c r="L73" s="9" t="str">
        <v>M3</v>
      </c>
      <c r="M73" s="9">
        <v>20.12</v>
      </c>
      <c r="N73" s="9">
        <v>724119</v>
      </c>
      <c r="O73" s="124" t="str">
        <f t="shared" si="13"/>
        <v>FASE II</v>
      </c>
      <c r="P73" s="155">
        <f t="shared" si="8"/>
        <v>40.24</v>
      </c>
      <c r="Q73" s="156">
        <f t="shared" si="11"/>
        <v>842176</v>
      </c>
      <c r="R73" s="156">
        <f t="shared" si="12"/>
        <v>33889162.240000002</v>
      </c>
    </row>
    <row r="74" spans="2:18" s="9" customFormat="1" ht="35.1" customHeight="1" x14ac:dyDescent="0.25">
      <c r="B74" s="23" t="s">
        <v>117</v>
      </c>
      <c r="C74" s="11" t="s">
        <v>118</v>
      </c>
      <c r="D74" s="10" t="s">
        <v>30</v>
      </c>
      <c r="E74" s="12">
        <v>80.484999999999999</v>
      </c>
      <c r="F74" s="126">
        <v>821235</v>
      </c>
      <c r="G74" s="126">
        <f t="shared" si="7"/>
        <v>66097098.979999997</v>
      </c>
      <c r="H74" s="8"/>
      <c r="I74" s="8">
        <f t="shared" si="9"/>
        <v>842176</v>
      </c>
      <c r="J74" s="8">
        <f t="shared" si="10"/>
        <v>67782535.359999999</v>
      </c>
      <c r="K74" s="9" t="str">
        <f t="array" ref="K74:N74">_xlfn.XLOOKUP(C74,'Neiva 2022 FASE I ACTUAL (5)'!$C$6:$C$540,'Neiva 2022 FASE I ACTUAL (5)'!$C$6:$F$540,"NO ESTA")</f>
        <v>MURO EN CONCRETO DE 4000 PSI e=0.40 m Ver. Planos Tipo Muro M-5</v>
      </c>
      <c r="L74" s="9" t="str">
        <v>M3</v>
      </c>
      <c r="M74" s="9">
        <v>80.489999999999995</v>
      </c>
      <c r="N74" s="9">
        <v>724119</v>
      </c>
      <c r="O74" s="124" t="str">
        <f t="shared" si="13"/>
        <v>FASE II</v>
      </c>
      <c r="P74" s="155">
        <f t="shared" si="8"/>
        <v>160.97499999999999</v>
      </c>
      <c r="Q74" s="156">
        <f t="shared" si="11"/>
        <v>842176</v>
      </c>
      <c r="R74" s="156">
        <f t="shared" si="12"/>
        <v>135569281.59999999</v>
      </c>
    </row>
    <row r="75" spans="2:18" s="9" customFormat="1" ht="35.1" customHeight="1" x14ac:dyDescent="0.25">
      <c r="B75" s="23" t="s">
        <v>119</v>
      </c>
      <c r="C75" s="11" t="s">
        <v>120</v>
      </c>
      <c r="D75" s="10" t="s">
        <v>13</v>
      </c>
      <c r="E75" s="12">
        <v>79.69</v>
      </c>
      <c r="F75" s="126">
        <v>141317</v>
      </c>
      <c r="G75" s="126">
        <f t="shared" si="7"/>
        <v>11261551.73</v>
      </c>
      <c r="H75" s="8"/>
      <c r="I75" s="8">
        <f t="shared" si="9"/>
        <v>144921</v>
      </c>
      <c r="J75" s="8">
        <f t="shared" si="10"/>
        <v>11548754.49</v>
      </c>
      <c r="K75" s="9" t="str">
        <f t="array" ref="K75:N75">_xlfn.XLOOKUP(C75,'Neiva 2022 FASE I ACTUAL (5)'!$C$6:$C$540,'Neiva 2022 FASE I ACTUAL (5)'!$C$6:$F$540,"NO ESTA")</f>
        <v>MURO EN LADRILLO GRAN FORMATO e= 0.12 m Ref. Tierra Ver. Planos Tipo Muro M-6</v>
      </c>
      <c r="L75" s="9" t="str">
        <v>M2</v>
      </c>
      <c r="M75" s="9">
        <v>79.69</v>
      </c>
      <c r="N75" s="9">
        <v>153751</v>
      </c>
      <c r="O75" s="124" t="str">
        <f t="shared" si="13"/>
        <v>FASE I</v>
      </c>
      <c r="P75" s="155">
        <f t="shared" si="8"/>
        <v>159.38</v>
      </c>
      <c r="Q75" s="156">
        <f t="shared" si="11"/>
        <v>153751</v>
      </c>
      <c r="R75" s="156">
        <f t="shared" si="12"/>
        <v>24504834.379999999</v>
      </c>
    </row>
    <row r="76" spans="2:18" s="9" customFormat="1" ht="35.1" customHeight="1" x14ac:dyDescent="0.25">
      <c r="B76" s="23" t="s">
        <v>121</v>
      </c>
      <c r="C76" s="22" t="s">
        <v>122</v>
      </c>
      <c r="D76" s="23" t="s">
        <v>13</v>
      </c>
      <c r="E76" s="12">
        <v>21.32</v>
      </c>
      <c r="F76" s="126">
        <v>186538</v>
      </c>
      <c r="G76" s="126">
        <f t="shared" si="7"/>
        <v>3976990.16</v>
      </c>
      <c r="H76" s="8"/>
      <c r="I76" s="8">
        <f t="shared" si="9"/>
        <v>191295</v>
      </c>
      <c r="J76" s="8">
        <f t="shared" si="10"/>
        <v>4078409.4</v>
      </c>
      <c r="K76" s="9" t="str">
        <f t="array" ref="K76:N76">_xlfn.XLOOKUP(C76,'Neiva 2022 FASE I ACTUAL (5)'!$C$6:$C$540,'Neiva 2022 FASE I ACTUAL (5)'!$C$6:$F$540,"NO ESTA")</f>
        <v xml:space="preserve">MURO EN LADRILLO GRAN FORMATO e= 0.25 m Ref. Tierra Ver. Planos Tipo Muro M-7 </v>
      </c>
      <c r="L76" s="9" t="str">
        <v>M2</v>
      </c>
      <c r="M76" s="9">
        <v>21.32</v>
      </c>
      <c r="N76" s="9">
        <v>307503</v>
      </c>
      <c r="O76" s="124" t="str">
        <f t="shared" si="13"/>
        <v>FASE I</v>
      </c>
      <c r="P76" s="155">
        <f t="shared" si="8"/>
        <v>42.64</v>
      </c>
      <c r="Q76" s="156">
        <f t="shared" si="11"/>
        <v>307503</v>
      </c>
      <c r="R76" s="156">
        <f t="shared" si="12"/>
        <v>13111927.92</v>
      </c>
    </row>
    <row r="77" spans="2:18" s="9" customFormat="1" ht="35.1" customHeight="1" x14ac:dyDescent="0.25">
      <c r="B77" s="13" t="s">
        <v>123</v>
      </c>
      <c r="C77" s="24" t="s">
        <v>124</v>
      </c>
      <c r="D77" s="24"/>
      <c r="E77" s="15"/>
      <c r="F77" s="126">
        <v>0</v>
      </c>
      <c r="G77" s="126">
        <f t="shared" si="7"/>
        <v>0</v>
      </c>
      <c r="H77" s="8"/>
      <c r="I77" s="8">
        <f t="shared" si="9"/>
        <v>0</v>
      </c>
      <c r="J77" s="8">
        <f t="shared" si="10"/>
        <v>0</v>
      </c>
      <c r="K77" s="9" t="str">
        <f t="array" ref="K77:N77">_xlfn.XLOOKUP(C77,'Neiva 2022 FASE I ACTUAL (5)'!$C$6:$C$540,'Neiva 2022 FASE I ACTUAL (5)'!$C$6:$F$540,"NO ESTA")</f>
        <v>CONSTRUCCIÓN MUROS ARQUITECTONICOS EXTERIORES</v>
      </c>
      <c r="L77" s="9">
        <v>0</v>
      </c>
      <c r="M77" s="9">
        <v>0</v>
      </c>
      <c r="N77" s="9">
        <v>0</v>
      </c>
      <c r="O77" s="124">
        <f t="shared" si="13"/>
        <v>0</v>
      </c>
      <c r="P77" s="155">
        <f t="shared" si="8"/>
        <v>0</v>
      </c>
      <c r="Q77" s="156">
        <f t="shared" si="11"/>
        <v>0</v>
      </c>
      <c r="R77" s="156">
        <f t="shared" si="12"/>
        <v>0</v>
      </c>
    </row>
    <row r="78" spans="2:18" s="9" customFormat="1" ht="35.1" customHeight="1" x14ac:dyDescent="0.25">
      <c r="B78" s="23" t="s">
        <v>125</v>
      </c>
      <c r="C78" s="11" t="s">
        <v>1079</v>
      </c>
      <c r="D78" s="10" t="s">
        <v>30</v>
      </c>
      <c r="E78" s="12">
        <v>0</v>
      </c>
      <c r="F78" s="126">
        <v>821235</v>
      </c>
      <c r="G78" s="126">
        <f t="shared" si="7"/>
        <v>0</v>
      </c>
      <c r="H78" s="8"/>
      <c r="I78" s="8">
        <f t="shared" si="9"/>
        <v>842176</v>
      </c>
      <c r="J78" s="8">
        <f t="shared" si="10"/>
        <v>0</v>
      </c>
      <c r="K78" s="9" t="str">
        <f t="array" ref="K78">_xlfn.XLOOKUP(C78,'Neiva 2022 FASE I ACTUAL (5)'!$C$6:$C$540,'Neiva 2022 FASE I ACTUAL (5)'!$C$6:$F$540,"NO ESTA")</f>
        <v>NO ESTA</v>
      </c>
      <c r="O78" s="124">
        <f t="shared" si="13"/>
        <v>0</v>
      </c>
      <c r="P78" s="155">
        <f t="shared" si="8"/>
        <v>0</v>
      </c>
      <c r="Q78" s="156">
        <f t="shared" si="11"/>
        <v>842176</v>
      </c>
      <c r="R78" s="156">
        <f t="shared" si="12"/>
        <v>0</v>
      </c>
    </row>
    <row r="79" spans="2:18" s="9" customFormat="1" ht="35.1" customHeight="1" x14ac:dyDescent="0.25">
      <c r="B79" s="23" t="s">
        <v>126</v>
      </c>
      <c r="C79" s="11" t="s">
        <v>1080</v>
      </c>
      <c r="D79" s="10" t="s">
        <v>30</v>
      </c>
      <c r="E79" s="12">
        <v>0</v>
      </c>
      <c r="F79" s="126">
        <v>821235</v>
      </c>
      <c r="G79" s="126">
        <f t="shared" si="7"/>
        <v>0</v>
      </c>
      <c r="H79" s="8"/>
      <c r="I79" s="8">
        <f t="shared" si="9"/>
        <v>842176</v>
      </c>
      <c r="J79" s="8">
        <f t="shared" si="10"/>
        <v>0</v>
      </c>
      <c r="K79" s="9" t="str">
        <f t="array" ref="K79">_xlfn.XLOOKUP(C79,'Neiva 2022 FASE I ACTUAL (5)'!$C$6:$C$540,'Neiva 2022 FASE I ACTUAL (5)'!$C$6:$F$540,"NO ESTA")</f>
        <v>NO ESTA</v>
      </c>
      <c r="O79" s="124">
        <f t="shared" si="13"/>
        <v>0</v>
      </c>
      <c r="P79" s="155">
        <f t="shared" si="8"/>
        <v>0</v>
      </c>
      <c r="Q79" s="156">
        <f t="shared" si="11"/>
        <v>842176</v>
      </c>
      <c r="R79" s="156">
        <f t="shared" si="12"/>
        <v>0</v>
      </c>
    </row>
    <row r="80" spans="2:18" s="9" customFormat="1" ht="35.1" customHeight="1" x14ac:dyDescent="0.25">
      <c r="B80" s="13" t="s">
        <v>127</v>
      </c>
      <c r="C80" s="14" t="s">
        <v>128</v>
      </c>
      <c r="D80" s="13"/>
      <c r="E80" s="15"/>
      <c r="F80" s="129"/>
      <c r="G80" s="140"/>
      <c r="H80" s="8"/>
      <c r="I80" s="8">
        <f t="shared" si="9"/>
        <v>0</v>
      </c>
      <c r="J80" s="8">
        <f t="shared" si="10"/>
        <v>0</v>
      </c>
      <c r="K80" s="9" t="str">
        <f t="array" ref="K80:N80">_xlfn.XLOOKUP(C80,'Neiva 2022 FASE I ACTUAL (5)'!$C$6:$C$540,'Neiva 2022 FASE I ACTUAL (5)'!$C$6:$F$540,"NO ESTA")</f>
        <v>CONSTRUCCIÓN MUROS ARQUITECTONICOS PISO 1</v>
      </c>
      <c r="L80" s="9">
        <v>0</v>
      </c>
      <c r="M80" s="9">
        <v>0</v>
      </c>
      <c r="N80" s="9">
        <v>0</v>
      </c>
      <c r="O80" s="124">
        <f t="shared" si="13"/>
        <v>0</v>
      </c>
      <c r="P80" s="155">
        <f t="shared" si="8"/>
        <v>0</v>
      </c>
      <c r="Q80" s="156">
        <f t="shared" si="11"/>
        <v>0</v>
      </c>
      <c r="R80" s="156">
        <f t="shared" si="12"/>
        <v>0</v>
      </c>
    </row>
    <row r="81" spans="2:18" s="9" customFormat="1" ht="35.1" customHeight="1" x14ac:dyDescent="0.25">
      <c r="B81" s="23" t="s">
        <v>129</v>
      </c>
      <c r="C81" s="87" t="s">
        <v>130</v>
      </c>
      <c r="D81" s="10" t="s">
        <v>13</v>
      </c>
      <c r="E81" s="12">
        <v>91.915000000000006</v>
      </c>
      <c r="F81" s="126">
        <v>102358</v>
      </c>
      <c r="G81" s="126">
        <f t="shared" ref="G81:G86" si="14">ROUND(+F81*E81,2)</f>
        <v>9408235.5700000003</v>
      </c>
      <c r="H81" s="8"/>
      <c r="I81" s="8">
        <f t="shared" si="9"/>
        <v>104968</v>
      </c>
      <c r="J81" s="8">
        <f t="shared" si="10"/>
        <v>9648133.7200000007</v>
      </c>
      <c r="K81" s="9" t="str">
        <f t="array" ref="K81:N81">_xlfn.XLOOKUP(C81,'Neiva 2022 FASE I ACTUAL (5)'!$C$6:$C$540,'Neiva 2022 FASE I ACTUAL (5)'!$C$6:$F$540,"NO ESTA")</f>
        <v>ENCHAPE DE MURO BAÑOS PORCELANATO GRIS 30*40CM</v>
      </c>
      <c r="L81" s="9" t="str">
        <v>M2</v>
      </c>
      <c r="M81" s="9">
        <v>91.92</v>
      </c>
      <c r="N81" s="9">
        <v>110927</v>
      </c>
      <c r="O81" s="124" t="str">
        <f t="shared" si="13"/>
        <v>FASE I</v>
      </c>
      <c r="P81" s="155">
        <f t="shared" si="8"/>
        <v>183.83500000000001</v>
      </c>
      <c r="Q81" s="156">
        <f t="shared" si="11"/>
        <v>110927</v>
      </c>
      <c r="R81" s="156">
        <f t="shared" si="12"/>
        <v>20392265.050000001</v>
      </c>
    </row>
    <row r="82" spans="2:18" s="9" customFormat="1" ht="35.1" customHeight="1" x14ac:dyDescent="0.25">
      <c r="B82" s="23" t="s">
        <v>131</v>
      </c>
      <c r="C82" s="87" t="s">
        <v>112</v>
      </c>
      <c r="D82" s="10" t="s">
        <v>30</v>
      </c>
      <c r="E82" s="12">
        <v>29.659999999999997</v>
      </c>
      <c r="F82" s="126">
        <v>821235</v>
      </c>
      <c r="G82" s="126">
        <f t="shared" si="14"/>
        <v>24357830.100000001</v>
      </c>
      <c r="H82" s="8"/>
      <c r="I82" s="8">
        <f t="shared" si="9"/>
        <v>842176</v>
      </c>
      <c r="J82" s="8">
        <f t="shared" si="10"/>
        <v>24978940.159999996</v>
      </c>
      <c r="K82" s="9" t="str">
        <f t="array" ref="K82:N82">_xlfn.XLOOKUP(C82,'Neiva 2022 FASE I ACTUAL (5)'!$C$6:$C$540,'Neiva 2022 FASE I ACTUAL (5)'!$C$6:$F$540,"NO ESTA")</f>
        <v>MURO EN CONCRETO DE 4000 PSI e=0.15 m Ver. Planos Tipo Muro M-2</v>
      </c>
      <c r="L82" s="9" t="str">
        <v>M3</v>
      </c>
      <c r="M82" s="9">
        <v>11.33</v>
      </c>
      <c r="N82" s="9">
        <v>724119</v>
      </c>
      <c r="O82" s="124" t="str">
        <f t="shared" si="13"/>
        <v>FASE II</v>
      </c>
      <c r="P82" s="155">
        <f t="shared" si="8"/>
        <v>40.989999999999995</v>
      </c>
      <c r="Q82" s="156">
        <f t="shared" si="11"/>
        <v>842176</v>
      </c>
      <c r="R82" s="156">
        <f t="shared" si="12"/>
        <v>34520794.240000002</v>
      </c>
    </row>
    <row r="83" spans="2:18" s="9" customFormat="1" ht="35.1" customHeight="1" x14ac:dyDescent="0.25">
      <c r="B83" s="23" t="s">
        <v>132</v>
      </c>
      <c r="C83" s="87" t="s">
        <v>114</v>
      </c>
      <c r="D83" s="10" t="s">
        <v>30</v>
      </c>
      <c r="E83" s="12">
        <v>8.76</v>
      </c>
      <c r="F83" s="126">
        <v>821235</v>
      </c>
      <c r="G83" s="126">
        <f t="shared" si="14"/>
        <v>7194018.5999999996</v>
      </c>
      <c r="H83" s="8"/>
      <c r="I83" s="8">
        <f t="shared" si="9"/>
        <v>842176</v>
      </c>
      <c r="J83" s="8">
        <f t="shared" si="10"/>
        <v>7377461.7599999998</v>
      </c>
      <c r="K83" s="9" t="str">
        <f t="array" ref="K83:N83">_xlfn.XLOOKUP(C83,'Neiva 2022 FASE I ACTUAL (5)'!$C$6:$C$540,'Neiva 2022 FASE I ACTUAL (5)'!$C$6:$F$540,"NO ESTA")</f>
        <v>MURO EN CONCRETO DE 4000 PSI e=0.25 m Ver. Planos Tipo Muro M-3</v>
      </c>
      <c r="L83" s="9" t="str">
        <v>M3</v>
      </c>
      <c r="M83" s="9">
        <v>95.6</v>
      </c>
      <c r="N83" s="9">
        <v>724119</v>
      </c>
      <c r="O83" s="124" t="str">
        <f t="shared" si="13"/>
        <v>FASE II</v>
      </c>
      <c r="P83" s="155">
        <f t="shared" si="8"/>
        <v>104.36</v>
      </c>
      <c r="Q83" s="156">
        <f t="shared" si="11"/>
        <v>842176</v>
      </c>
      <c r="R83" s="156">
        <f t="shared" si="12"/>
        <v>87889487.359999999</v>
      </c>
    </row>
    <row r="84" spans="2:18" s="9" customFormat="1" ht="35.1" customHeight="1" x14ac:dyDescent="0.25">
      <c r="B84" s="23" t="s">
        <v>133</v>
      </c>
      <c r="C84" s="87" t="s">
        <v>118</v>
      </c>
      <c r="D84" s="10" t="s">
        <v>30</v>
      </c>
      <c r="E84" s="12">
        <v>54.390000000000008</v>
      </c>
      <c r="F84" s="126">
        <v>821235</v>
      </c>
      <c r="G84" s="126">
        <f t="shared" si="14"/>
        <v>44666971.649999999</v>
      </c>
      <c r="H84" s="8"/>
      <c r="I84" s="8">
        <f t="shared" si="9"/>
        <v>842176</v>
      </c>
      <c r="J84" s="8">
        <f t="shared" si="10"/>
        <v>45805952.640000008</v>
      </c>
      <c r="K84" s="9" t="str">
        <f t="array" ref="K84:N84">_xlfn.XLOOKUP(C84,'Neiva 2022 FASE I ACTUAL (5)'!$C$6:$C$540,'Neiva 2022 FASE I ACTUAL (5)'!$C$6:$F$540,"NO ESTA")</f>
        <v>MURO EN CONCRETO DE 4000 PSI e=0.40 m Ver. Planos Tipo Muro M-5</v>
      </c>
      <c r="L84" s="9" t="str">
        <v>M3</v>
      </c>
      <c r="M84" s="9">
        <v>80.489999999999995</v>
      </c>
      <c r="N84" s="9">
        <v>724119</v>
      </c>
      <c r="O84" s="124" t="str">
        <f t="shared" si="13"/>
        <v>FASE II</v>
      </c>
      <c r="P84" s="155">
        <f t="shared" si="8"/>
        <v>134.88</v>
      </c>
      <c r="Q84" s="156">
        <f t="shared" si="11"/>
        <v>842176</v>
      </c>
      <c r="R84" s="156">
        <f t="shared" si="12"/>
        <v>113592698.88</v>
      </c>
    </row>
    <row r="85" spans="2:18" s="9" customFormat="1" ht="35.1" customHeight="1" x14ac:dyDescent="0.25">
      <c r="B85" s="23" t="s">
        <v>135</v>
      </c>
      <c r="C85" s="87" t="s">
        <v>120</v>
      </c>
      <c r="D85" s="10" t="s">
        <v>13</v>
      </c>
      <c r="E85" s="12">
        <v>204.56</v>
      </c>
      <c r="F85" s="126">
        <v>141317</v>
      </c>
      <c r="G85" s="126">
        <f t="shared" si="14"/>
        <v>28907805.52</v>
      </c>
      <c r="H85" s="8"/>
      <c r="I85" s="8">
        <f t="shared" si="9"/>
        <v>144921</v>
      </c>
      <c r="J85" s="8">
        <f t="shared" si="10"/>
        <v>29645039.760000002</v>
      </c>
      <c r="K85" s="9" t="str">
        <f t="array" ref="K85:N85">_xlfn.XLOOKUP(C85,'Neiva 2022 FASE I ACTUAL (5)'!$C$6:$C$540,'Neiva 2022 FASE I ACTUAL (5)'!$C$6:$F$540,"NO ESTA")</f>
        <v>MURO EN LADRILLO GRAN FORMATO e= 0.12 m Ref. Tierra Ver. Planos Tipo Muro M-6</v>
      </c>
      <c r="L85" s="9" t="str">
        <v>M2</v>
      </c>
      <c r="M85" s="9">
        <v>79.69</v>
      </c>
      <c r="N85" s="9">
        <v>153751</v>
      </c>
      <c r="O85" s="124" t="str">
        <f t="shared" si="13"/>
        <v>FASE I</v>
      </c>
      <c r="P85" s="155">
        <f t="shared" si="8"/>
        <v>284.25</v>
      </c>
      <c r="Q85" s="156">
        <f t="shared" si="11"/>
        <v>153751</v>
      </c>
      <c r="R85" s="156">
        <f t="shared" si="12"/>
        <v>43703721.75</v>
      </c>
    </row>
    <row r="86" spans="2:18" s="9" customFormat="1" ht="35.1" customHeight="1" x14ac:dyDescent="0.25">
      <c r="B86" s="23" t="s">
        <v>136</v>
      </c>
      <c r="C86" s="87" t="s">
        <v>122</v>
      </c>
      <c r="D86" s="23" t="s">
        <v>13</v>
      </c>
      <c r="E86" s="12">
        <v>76.37</v>
      </c>
      <c r="F86" s="126">
        <v>186538</v>
      </c>
      <c r="G86" s="126">
        <f t="shared" si="14"/>
        <v>14245907.060000001</v>
      </c>
      <c r="H86" s="8"/>
      <c r="I86" s="8">
        <f t="shared" si="9"/>
        <v>191295</v>
      </c>
      <c r="J86" s="8">
        <f t="shared" si="10"/>
        <v>14609199.15</v>
      </c>
      <c r="K86" s="9" t="str">
        <f t="array" ref="K86:N86">_xlfn.XLOOKUP(C86,'Neiva 2022 FASE I ACTUAL (5)'!$C$6:$C$540,'Neiva 2022 FASE I ACTUAL (5)'!$C$6:$F$540,"NO ESTA")</f>
        <v xml:space="preserve">MURO EN LADRILLO GRAN FORMATO e= 0.25 m Ref. Tierra Ver. Planos Tipo Muro M-7 </v>
      </c>
      <c r="L86" s="9" t="str">
        <v>M2</v>
      </c>
      <c r="M86" s="9">
        <v>21.32</v>
      </c>
      <c r="N86" s="9">
        <v>307503</v>
      </c>
      <c r="O86" s="124" t="str">
        <f t="shared" si="13"/>
        <v>FASE I</v>
      </c>
      <c r="P86" s="155">
        <f t="shared" si="8"/>
        <v>97.69</v>
      </c>
      <c r="Q86" s="156">
        <f t="shared" si="11"/>
        <v>307503</v>
      </c>
      <c r="R86" s="156">
        <f t="shared" si="12"/>
        <v>30039968.07</v>
      </c>
    </row>
    <row r="87" spans="2:18" s="9" customFormat="1" ht="35.1" customHeight="1" x14ac:dyDescent="0.25">
      <c r="B87" s="13" t="s">
        <v>137</v>
      </c>
      <c r="C87" s="14" t="s">
        <v>138</v>
      </c>
      <c r="D87" s="13"/>
      <c r="E87" s="15"/>
      <c r="F87" s="129"/>
      <c r="G87" s="140"/>
      <c r="H87" s="8"/>
      <c r="I87" s="8">
        <f t="shared" si="9"/>
        <v>0</v>
      </c>
      <c r="J87" s="8">
        <f t="shared" si="10"/>
        <v>0</v>
      </c>
      <c r="K87" s="9" t="str">
        <f t="array" ref="K87:N87">_xlfn.XLOOKUP(C87,'Neiva 2022 FASE I ACTUAL (5)'!$C$6:$C$540,'Neiva 2022 FASE I ACTUAL (5)'!$C$6:$F$540,"NO ESTA")</f>
        <v>CONSTRUCCIÓN MUROS ARQUITECTONICOS PISO 2</v>
      </c>
      <c r="L87" s="9">
        <v>0</v>
      </c>
      <c r="M87" s="9">
        <v>0</v>
      </c>
      <c r="N87" s="9">
        <v>0</v>
      </c>
      <c r="O87" s="124">
        <f t="shared" si="13"/>
        <v>0</v>
      </c>
      <c r="P87" s="155">
        <f t="shared" si="8"/>
        <v>0</v>
      </c>
      <c r="Q87" s="156">
        <f t="shared" si="11"/>
        <v>0</v>
      </c>
      <c r="R87" s="156">
        <f t="shared" si="12"/>
        <v>0</v>
      </c>
    </row>
    <row r="88" spans="2:18" s="9" customFormat="1" ht="35.1" customHeight="1" x14ac:dyDescent="0.25">
      <c r="B88" s="23" t="s">
        <v>139</v>
      </c>
      <c r="C88" s="87" t="s">
        <v>130</v>
      </c>
      <c r="D88" s="10" t="s">
        <v>13</v>
      </c>
      <c r="E88" s="12">
        <v>89.605000000000004</v>
      </c>
      <c r="F88" s="126">
        <v>102358</v>
      </c>
      <c r="G88" s="126">
        <f t="shared" ref="G88:G93" si="15">ROUND(+F88*E88,2)</f>
        <v>9171788.5899999999</v>
      </c>
      <c r="H88" s="8"/>
      <c r="I88" s="8">
        <f t="shared" si="9"/>
        <v>104968</v>
      </c>
      <c r="J88" s="8">
        <f t="shared" si="10"/>
        <v>9405657.6400000006</v>
      </c>
      <c r="K88" s="9" t="str">
        <f t="array" ref="K88:N88">_xlfn.XLOOKUP(C88,'Neiva 2022 FASE I ACTUAL (5)'!$C$6:$C$540,'Neiva 2022 FASE I ACTUAL (5)'!$C$6:$F$540,"NO ESTA")</f>
        <v>ENCHAPE DE MURO BAÑOS PORCELANATO GRIS 30*40CM</v>
      </c>
      <c r="L88" s="9" t="str">
        <v>M2</v>
      </c>
      <c r="M88" s="9">
        <v>91.92</v>
      </c>
      <c r="N88" s="9">
        <v>110927</v>
      </c>
      <c r="O88" s="124" t="str">
        <f t="shared" si="13"/>
        <v>FASE I</v>
      </c>
      <c r="P88" s="155">
        <f t="shared" si="8"/>
        <v>181.52500000000001</v>
      </c>
      <c r="Q88" s="156">
        <f t="shared" si="11"/>
        <v>110927</v>
      </c>
      <c r="R88" s="156">
        <f t="shared" si="12"/>
        <v>20136023.68</v>
      </c>
    </row>
    <row r="89" spans="2:18" s="9" customFormat="1" ht="35.1" customHeight="1" x14ac:dyDescent="0.25">
      <c r="B89" s="23" t="s">
        <v>140</v>
      </c>
      <c r="C89" s="87" t="s">
        <v>112</v>
      </c>
      <c r="D89" s="10" t="s">
        <v>30</v>
      </c>
      <c r="E89" s="12">
        <v>1.1200000000000001</v>
      </c>
      <c r="F89" s="126">
        <v>821235</v>
      </c>
      <c r="G89" s="126">
        <f t="shared" si="15"/>
        <v>919783.2</v>
      </c>
      <c r="H89" s="8"/>
      <c r="I89" s="8">
        <f t="shared" si="9"/>
        <v>842176</v>
      </c>
      <c r="J89" s="8">
        <f t="shared" si="10"/>
        <v>943237.12000000011</v>
      </c>
      <c r="K89" s="9" t="str">
        <f t="array" ref="K89:N89">_xlfn.XLOOKUP(C89,'Neiva 2022 FASE I ACTUAL (5)'!$C$6:$C$540,'Neiva 2022 FASE I ACTUAL (5)'!$C$6:$F$540,"NO ESTA")</f>
        <v>MURO EN CONCRETO DE 4000 PSI e=0.15 m Ver. Planos Tipo Muro M-2</v>
      </c>
      <c r="L89" s="9" t="str">
        <v>M3</v>
      </c>
      <c r="M89" s="9">
        <v>11.33</v>
      </c>
      <c r="N89" s="9">
        <v>724119</v>
      </c>
      <c r="O89" s="124" t="str">
        <f t="shared" si="13"/>
        <v>FASE II</v>
      </c>
      <c r="P89" s="155">
        <f t="shared" si="8"/>
        <v>12.45</v>
      </c>
      <c r="Q89" s="156">
        <f t="shared" si="11"/>
        <v>842176</v>
      </c>
      <c r="R89" s="156">
        <f t="shared" si="12"/>
        <v>10485091.199999999</v>
      </c>
    </row>
    <row r="90" spans="2:18" s="9" customFormat="1" ht="35.1" customHeight="1" x14ac:dyDescent="0.25">
      <c r="B90" s="23" t="s">
        <v>141</v>
      </c>
      <c r="C90" s="87" t="s">
        <v>114</v>
      </c>
      <c r="D90" s="10" t="s">
        <v>30</v>
      </c>
      <c r="E90" s="12">
        <v>31.71</v>
      </c>
      <c r="F90" s="126">
        <v>821235</v>
      </c>
      <c r="G90" s="126">
        <f t="shared" si="15"/>
        <v>26041361.850000001</v>
      </c>
      <c r="H90" s="8"/>
      <c r="I90" s="8">
        <f t="shared" si="9"/>
        <v>842176</v>
      </c>
      <c r="J90" s="8">
        <f t="shared" si="10"/>
        <v>26705400.960000001</v>
      </c>
      <c r="K90" s="9" t="str">
        <f t="array" ref="K90:N90">_xlfn.XLOOKUP(C90,'Neiva 2022 FASE I ACTUAL (5)'!$C$6:$C$540,'Neiva 2022 FASE I ACTUAL (5)'!$C$6:$F$540,"NO ESTA")</f>
        <v>MURO EN CONCRETO DE 4000 PSI e=0.25 m Ver. Planos Tipo Muro M-3</v>
      </c>
      <c r="L90" s="9" t="str">
        <v>M3</v>
      </c>
      <c r="M90" s="9">
        <v>95.6</v>
      </c>
      <c r="N90" s="9">
        <v>724119</v>
      </c>
      <c r="O90" s="124" t="str">
        <f t="shared" si="13"/>
        <v>FASE II</v>
      </c>
      <c r="P90" s="155">
        <f t="shared" si="8"/>
        <v>127.31</v>
      </c>
      <c r="Q90" s="156">
        <f t="shared" si="11"/>
        <v>842176</v>
      </c>
      <c r="R90" s="156">
        <f t="shared" si="12"/>
        <v>107217426.56</v>
      </c>
    </row>
    <row r="91" spans="2:18" s="9" customFormat="1" ht="35.1" customHeight="1" x14ac:dyDescent="0.25">
      <c r="B91" s="23" t="s">
        <v>142</v>
      </c>
      <c r="C91" s="87" t="s">
        <v>118</v>
      </c>
      <c r="D91" s="10" t="s">
        <v>30</v>
      </c>
      <c r="E91" s="12">
        <v>81.89</v>
      </c>
      <c r="F91" s="126">
        <v>821235</v>
      </c>
      <c r="G91" s="126">
        <f t="shared" si="15"/>
        <v>67250934.150000006</v>
      </c>
      <c r="H91" s="8"/>
      <c r="I91" s="8">
        <f t="shared" si="9"/>
        <v>842176</v>
      </c>
      <c r="J91" s="8">
        <f t="shared" si="10"/>
        <v>68965792.640000001</v>
      </c>
      <c r="K91" s="9" t="str">
        <f t="array" ref="K91:N91">_xlfn.XLOOKUP(C91,'Neiva 2022 FASE I ACTUAL (5)'!$C$6:$C$540,'Neiva 2022 FASE I ACTUAL (5)'!$C$6:$F$540,"NO ESTA")</f>
        <v>MURO EN CONCRETO DE 4000 PSI e=0.40 m Ver. Planos Tipo Muro M-5</v>
      </c>
      <c r="L91" s="9" t="str">
        <v>M3</v>
      </c>
      <c r="M91" s="9">
        <v>80.489999999999995</v>
      </c>
      <c r="N91" s="9">
        <v>724119</v>
      </c>
      <c r="O91" s="124" t="str">
        <f t="shared" si="13"/>
        <v>FASE II</v>
      </c>
      <c r="P91" s="155">
        <f t="shared" si="8"/>
        <v>162.38</v>
      </c>
      <c r="Q91" s="156">
        <f t="shared" si="11"/>
        <v>842176</v>
      </c>
      <c r="R91" s="156">
        <f t="shared" si="12"/>
        <v>136752538.88</v>
      </c>
    </row>
    <row r="92" spans="2:18" s="9" customFormat="1" ht="35.1" customHeight="1" x14ac:dyDescent="0.25">
      <c r="B92" s="23" t="s">
        <v>143</v>
      </c>
      <c r="C92" s="87" t="s">
        <v>120</v>
      </c>
      <c r="D92" s="10" t="s">
        <v>13</v>
      </c>
      <c r="E92" s="12">
        <v>139.68</v>
      </c>
      <c r="F92" s="126">
        <v>141317</v>
      </c>
      <c r="G92" s="126">
        <f t="shared" si="15"/>
        <v>19739158.559999999</v>
      </c>
      <c r="H92" s="8"/>
      <c r="I92" s="8">
        <f t="shared" si="9"/>
        <v>144921</v>
      </c>
      <c r="J92" s="8">
        <f t="shared" si="10"/>
        <v>20242565.280000001</v>
      </c>
      <c r="K92" s="9" t="str">
        <f t="array" ref="K92:N92">_xlfn.XLOOKUP(C92,'Neiva 2022 FASE I ACTUAL (5)'!$C$6:$C$540,'Neiva 2022 FASE I ACTUAL (5)'!$C$6:$F$540,"NO ESTA")</f>
        <v>MURO EN LADRILLO GRAN FORMATO e= 0.12 m Ref. Tierra Ver. Planos Tipo Muro M-6</v>
      </c>
      <c r="L92" s="9" t="str">
        <v>M2</v>
      </c>
      <c r="M92" s="9">
        <v>79.69</v>
      </c>
      <c r="N92" s="9">
        <v>153751</v>
      </c>
      <c r="O92" s="124" t="str">
        <f t="shared" si="13"/>
        <v>FASE I</v>
      </c>
      <c r="P92" s="155">
        <f t="shared" si="8"/>
        <v>219.37</v>
      </c>
      <c r="Q92" s="156">
        <f t="shared" si="11"/>
        <v>153751</v>
      </c>
      <c r="R92" s="156">
        <f t="shared" si="12"/>
        <v>33728356.869999997</v>
      </c>
    </row>
    <row r="93" spans="2:18" s="9" customFormat="1" ht="35.1" customHeight="1" x14ac:dyDescent="0.25">
      <c r="B93" s="23" t="s">
        <v>144</v>
      </c>
      <c r="C93" s="87" t="s">
        <v>122</v>
      </c>
      <c r="D93" s="10" t="s">
        <v>13</v>
      </c>
      <c r="E93" s="12">
        <v>124.47</v>
      </c>
      <c r="F93" s="126">
        <v>186538</v>
      </c>
      <c r="G93" s="126">
        <f t="shared" si="15"/>
        <v>23218384.859999999</v>
      </c>
      <c r="H93" s="8"/>
      <c r="I93" s="8">
        <f t="shared" si="9"/>
        <v>191295</v>
      </c>
      <c r="J93" s="8">
        <f t="shared" si="10"/>
        <v>23810488.649999999</v>
      </c>
      <c r="K93" s="9" t="str">
        <f t="array" ref="K93:N93">_xlfn.XLOOKUP(C93,'Neiva 2022 FASE I ACTUAL (5)'!$C$6:$C$540,'Neiva 2022 FASE I ACTUAL (5)'!$C$6:$F$540,"NO ESTA")</f>
        <v xml:space="preserve">MURO EN LADRILLO GRAN FORMATO e= 0.25 m Ref. Tierra Ver. Planos Tipo Muro M-7 </v>
      </c>
      <c r="L93" s="9" t="str">
        <v>M2</v>
      </c>
      <c r="M93" s="9">
        <v>21.32</v>
      </c>
      <c r="N93" s="9">
        <v>307503</v>
      </c>
      <c r="O93" s="124" t="str">
        <f t="shared" si="13"/>
        <v>FASE I</v>
      </c>
      <c r="P93" s="155">
        <f t="shared" si="8"/>
        <v>145.79</v>
      </c>
      <c r="Q93" s="156">
        <f t="shared" si="11"/>
        <v>307503</v>
      </c>
      <c r="R93" s="156">
        <f t="shared" si="12"/>
        <v>44830862.369999997</v>
      </c>
    </row>
    <row r="94" spans="2:18" s="9" customFormat="1" ht="35.1" customHeight="1" x14ac:dyDescent="0.25">
      <c r="B94" s="13" t="s">
        <v>1081</v>
      </c>
      <c r="C94" s="14" t="s">
        <v>1082</v>
      </c>
      <c r="D94" s="13"/>
      <c r="E94" s="15"/>
      <c r="F94" s="129"/>
      <c r="G94" s="140"/>
      <c r="H94" s="8"/>
      <c r="I94" s="8">
        <f t="shared" si="9"/>
        <v>0</v>
      </c>
      <c r="J94" s="8">
        <f t="shared" si="10"/>
        <v>0</v>
      </c>
      <c r="K94" s="9" t="str">
        <f t="array" ref="K94">_xlfn.XLOOKUP(C94,'Neiva 2022 FASE I ACTUAL (5)'!$C$6:$C$540,'Neiva 2022 FASE I ACTUAL (5)'!$C$6:$F$540,"NO ESTA")</f>
        <v>NO ESTA</v>
      </c>
      <c r="O94" s="124">
        <f t="shared" si="13"/>
        <v>0</v>
      </c>
      <c r="P94" s="155">
        <f t="shared" si="8"/>
        <v>0</v>
      </c>
      <c r="Q94" s="156">
        <f t="shared" si="11"/>
        <v>0</v>
      </c>
      <c r="R94" s="156">
        <f t="shared" si="12"/>
        <v>0</v>
      </c>
    </row>
    <row r="95" spans="2:18" s="9" customFormat="1" ht="35.1" customHeight="1" x14ac:dyDescent="0.25">
      <c r="B95" s="23" t="s">
        <v>1083</v>
      </c>
      <c r="C95" s="87" t="s">
        <v>130</v>
      </c>
      <c r="D95" s="23" t="s">
        <v>13</v>
      </c>
      <c r="E95" s="12">
        <v>179.21</v>
      </c>
      <c r="F95" s="126">
        <v>102358</v>
      </c>
      <c r="G95" s="126">
        <f t="shared" ref="G95:G100" si="16">ROUND(+F95*E95,2)</f>
        <v>18343577.18</v>
      </c>
      <c r="H95" s="8"/>
      <c r="I95" s="8">
        <f t="shared" si="9"/>
        <v>104968</v>
      </c>
      <c r="J95" s="8">
        <f t="shared" si="10"/>
        <v>18811315.280000001</v>
      </c>
      <c r="K95" s="9" t="str">
        <f t="array" ref="K95:N95">_xlfn.XLOOKUP(C95,'Neiva 2022 FASE I ACTUAL (5)'!$C$6:$C$540,'Neiva 2022 FASE I ACTUAL (5)'!$C$6:$F$540,"NO ESTA")</f>
        <v>ENCHAPE DE MURO BAÑOS PORCELANATO GRIS 30*40CM</v>
      </c>
      <c r="L95" s="9" t="str">
        <v>M2</v>
      </c>
      <c r="M95" s="9">
        <v>91.92</v>
      </c>
      <c r="N95" s="9">
        <v>110927</v>
      </c>
      <c r="O95" s="124" t="str">
        <f t="shared" si="13"/>
        <v>FASE I</v>
      </c>
      <c r="P95" s="155">
        <f t="shared" si="8"/>
        <v>271.13</v>
      </c>
      <c r="Q95" s="156">
        <f t="shared" si="11"/>
        <v>110927</v>
      </c>
      <c r="R95" s="156">
        <f t="shared" si="12"/>
        <v>30075637.510000002</v>
      </c>
    </row>
    <row r="96" spans="2:18" s="9" customFormat="1" ht="35.1" customHeight="1" x14ac:dyDescent="0.25">
      <c r="B96" s="23" t="s">
        <v>1084</v>
      </c>
      <c r="C96" s="87" t="s">
        <v>112</v>
      </c>
      <c r="D96" s="23" t="s">
        <v>30</v>
      </c>
      <c r="E96" s="12">
        <v>1.45</v>
      </c>
      <c r="F96" s="126">
        <v>821235</v>
      </c>
      <c r="G96" s="126">
        <f t="shared" si="16"/>
        <v>1190790.75</v>
      </c>
      <c r="H96" s="8"/>
      <c r="I96" s="8">
        <f t="shared" si="9"/>
        <v>842176</v>
      </c>
      <c r="J96" s="8">
        <f t="shared" si="10"/>
        <v>1221155.2</v>
      </c>
      <c r="K96" s="9" t="str">
        <f t="array" ref="K96:N96">_xlfn.XLOOKUP(C96,'Neiva 2022 FASE I ACTUAL (5)'!$C$6:$C$540,'Neiva 2022 FASE I ACTUAL (5)'!$C$6:$F$540,"NO ESTA")</f>
        <v>MURO EN CONCRETO DE 4000 PSI e=0.15 m Ver. Planos Tipo Muro M-2</v>
      </c>
      <c r="L96" s="9" t="str">
        <v>M3</v>
      </c>
      <c r="M96" s="9">
        <v>11.33</v>
      </c>
      <c r="N96" s="9">
        <v>724119</v>
      </c>
      <c r="O96" s="124" t="str">
        <f t="shared" si="13"/>
        <v>FASE II</v>
      </c>
      <c r="P96" s="155">
        <f t="shared" si="8"/>
        <v>12.78</v>
      </c>
      <c r="Q96" s="156">
        <f t="shared" si="11"/>
        <v>842176</v>
      </c>
      <c r="R96" s="156">
        <f t="shared" si="12"/>
        <v>10763009.279999999</v>
      </c>
    </row>
    <row r="97" spans="2:18" s="9" customFormat="1" ht="35.1" customHeight="1" x14ac:dyDescent="0.25">
      <c r="B97" s="23" t="s">
        <v>1085</v>
      </c>
      <c r="C97" s="87" t="s">
        <v>114</v>
      </c>
      <c r="D97" s="23" t="s">
        <v>30</v>
      </c>
      <c r="E97" s="12">
        <v>31.54</v>
      </c>
      <c r="F97" s="126">
        <v>821235</v>
      </c>
      <c r="G97" s="126">
        <f t="shared" si="16"/>
        <v>25901751.899999999</v>
      </c>
      <c r="H97" s="8"/>
      <c r="I97" s="8">
        <f t="shared" si="9"/>
        <v>842176</v>
      </c>
      <c r="J97" s="8">
        <f t="shared" si="10"/>
        <v>26562231.039999999</v>
      </c>
      <c r="K97" s="9" t="str">
        <f t="array" ref="K97:N97">_xlfn.XLOOKUP(C97,'Neiva 2022 FASE I ACTUAL (5)'!$C$6:$C$540,'Neiva 2022 FASE I ACTUAL (5)'!$C$6:$F$540,"NO ESTA")</f>
        <v>MURO EN CONCRETO DE 4000 PSI e=0.25 m Ver. Planos Tipo Muro M-3</v>
      </c>
      <c r="L97" s="9" t="str">
        <v>M3</v>
      </c>
      <c r="M97" s="9">
        <v>95.6</v>
      </c>
      <c r="N97" s="9">
        <v>724119</v>
      </c>
      <c r="O97" s="124" t="str">
        <f t="shared" si="13"/>
        <v>FASE II</v>
      </c>
      <c r="P97" s="155">
        <f t="shared" si="8"/>
        <v>127.13999999999999</v>
      </c>
      <c r="Q97" s="156">
        <f t="shared" si="11"/>
        <v>842176</v>
      </c>
      <c r="R97" s="156">
        <f t="shared" si="12"/>
        <v>107074256.64</v>
      </c>
    </row>
    <row r="98" spans="2:18" s="9" customFormat="1" ht="35.1" customHeight="1" x14ac:dyDescent="0.25">
      <c r="B98" s="23" t="s">
        <v>1086</v>
      </c>
      <c r="C98" s="87" t="s">
        <v>118</v>
      </c>
      <c r="D98" s="23" t="s">
        <v>30</v>
      </c>
      <c r="E98" s="12">
        <v>69.08</v>
      </c>
      <c r="F98" s="126">
        <v>821235</v>
      </c>
      <c r="G98" s="126">
        <f t="shared" si="16"/>
        <v>56730913.799999997</v>
      </c>
      <c r="H98" s="8"/>
      <c r="I98" s="8">
        <f t="shared" si="9"/>
        <v>842176</v>
      </c>
      <c r="J98" s="8">
        <f t="shared" si="10"/>
        <v>58177518.079999998</v>
      </c>
      <c r="K98" s="9" t="str">
        <f t="array" ref="K98:N98">_xlfn.XLOOKUP(C98,'Neiva 2022 FASE I ACTUAL (5)'!$C$6:$C$540,'Neiva 2022 FASE I ACTUAL (5)'!$C$6:$F$540,"NO ESTA")</f>
        <v>MURO EN CONCRETO DE 4000 PSI e=0.40 m Ver. Planos Tipo Muro M-5</v>
      </c>
      <c r="L98" s="9" t="str">
        <v>M3</v>
      </c>
      <c r="M98" s="9">
        <v>80.489999999999995</v>
      </c>
      <c r="N98" s="9">
        <v>724119</v>
      </c>
      <c r="O98" s="124" t="str">
        <f t="shared" si="13"/>
        <v>FASE II</v>
      </c>
      <c r="P98" s="155">
        <f t="shared" si="8"/>
        <v>149.57</v>
      </c>
      <c r="Q98" s="156">
        <f t="shared" si="11"/>
        <v>842176</v>
      </c>
      <c r="R98" s="156">
        <f t="shared" si="12"/>
        <v>125964264.31999999</v>
      </c>
    </row>
    <row r="99" spans="2:18" s="9" customFormat="1" ht="35.1" customHeight="1" x14ac:dyDescent="0.25">
      <c r="B99" s="23" t="s">
        <v>1087</v>
      </c>
      <c r="C99" s="87" t="s">
        <v>120</v>
      </c>
      <c r="D99" s="23" t="s">
        <v>13</v>
      </c>
      <c r="E99" s="12">
        <v>276.55</v>
      </c>
      <c r="F99" s="126">
        <v>157768</v>
      </c>
      <c r="G99" s="126">
        <f t="shared" si="16"/>
        <v>43630740.399999999</v>
      </c>
      <c r="H99" s="8"/>
      <c r="I99" s="8">
        <f t="shared" si="9"/>
        <v>161791</v>
      </c>
      <c r="J99" s="8">
        <f t="shared" si="10"/>
        <v>44743301.050000004</v>
      </c>
      <c r="K99" s="9" t="str">
        <f t="array" ref="K99:N99">_xlfn.XLOOKUP(C99,'Neiva 2022 FASE I ACTUAL (5)'!$C$6:$C$540,'Neiva 2022 FASE I ACTUAL (5)'!$C$6:$F$540,"NO ESTA")</f>
        <v>MURO EN LADRILLO GRAN FORMATO e= 0.12 m Ref. Tierra Ver. Planos Tipo Muro M-6</v>
      </c>
      <c r="L99" s="9" t="str">
        <v>M2</v>
      </c>
      <c r="M99" s="9">
        <v>79.69</v>
      </c>
      <c r="N99" s="9">
        <v>153751</v>
      </c>
      <c r="O99" s="124" t="str">
        <f t="shared" si="13"/>
        <v>FASE II</v>
      </c>
      <c r="P99" s="155">
        <f t="shared" si="8"/>
        <v>356.24</v>
      </c>
      <c r="Q99" s="156">
        <f t="shared" si="11"/>
        <v>161791</v>
      </c>
      <c r="R99" s="156">
        <f t="shared" si="12"/>
        <v>57636425.840000004</v>
      </c>
    </row>
    <row r="100" spans="2:18" s="9" customFormat="1" ht="35.1" customHeight="1" x14ac:dyDescent="0.25">
      <c r="B100" s="23" t="s">
        <v>1088</v>
      </c>
      <c r="C100" s="87" t="s">
        <v>122</v>
      </c>
      <c r="D100" s="23" t="s">
        <v>13</v>
      </c>
      <c r="E100" s="12">
        <v>132.12</v>
      </c>
      <c r="F100" s="126">
        <v>315534</v>
      </c>
      <c r="G100" s="126">
        <f t="shared" si="16"/>
        <v>41688352.079999998</v>
      </c>
      <c r="H100" s="8"/>
      <c r="I100" s="8">
        <f t="shared" si="9"/>
        <v>323580</v>
      </c>
      <c r="J100" s="8">
        <f t="shared" si="10"/>
        <v>42751389.600000001</v>
      </c>
      <c r="K100" s="9" t="str">
        <f t="array" ref="K100:N100">_xlfn.XLOOKUP(C100,'Neiva 2022 FASE I ACTUAL (5)'!$C$6:$C$540,'Neiva 2022 FASE I ACTUAL (5)'!$C$6:$F$540,"NO ESTA")</f>
        <v xml:space="preserve">MURO EN LADRILLO GRAN FORMATO e= 0.25 m Ref. Tierra Ver. Planos Tipo Muro M-7 </v>
      </c>
      <c r="L100" s="9" t="str">
        <v>M2</v>
      </c>
      <c r="M100" s="9">
        <v>21.32</v>
      </c>
      <c r="N100" s="9">
        <v>307503</v>
      </c>
      <c r="O100" s="124" t="str">
        <f t="shared" si="13"/>
        <v>FASE II</v>
      </c>
      <c r="P100" s="155">
        <f t="shared" si="8"/>
        <v>153.44</v>
      </c>
      <c r="Q100" s="156">
        <f t="shared" si="11"/>
        <v>323580</v>
      </c>
      <c r="R100" s="156">
        <f t="shared" si="12"/>
        <v>49650115.200000003</v>
      </c>
    </row>
    <row r="101" spans="2:18" s="9" customFormat="1" ht="35.1" customHeight="1" x14ac:dyDescent="0.25">
      <c r="B101" s="13" t="s">
        <v>1089</v>
      </c>
      <c r="C101" s="14" t="s">
        <v>1090</v>
      </c>
      <c r="D101" s="13"/>
      <c r="E101" s="15"/>
      <c r="F101" s="129"/>
      <c r="G101" s="140"/>
      <c r="H101" s="8"/>
      <c r="I101" s="8">
        <f t="shared" si="9"/>
        <v>0</v>
      </c>
      <c r="J101" s="8">
        <f t="shared" si="10"/>
        <v>0</v>
      </c>
      <c r="K101" s="9" t="str">
        <f t="array" ref="K101">_xlfn.XLOOKUP(C101,'Neiva 2022 FASE I ACTUAL (5)'!$C$6:$C$540,'Neiva 2022 FASE I ACTUAL (5)'!$C$6:$F$540,"NO ESTA")</f>
        <v>NO ESTA</v>
      </c>
      <c r="O101" s="124">
        <f t="shared" si="13"/>
        <v>0</v>
      </c>
      <c r="P101" s="155">
        <f t="shared" si="8"/>
        <v>0</v>
      </c>
      <c r="Q101" s="156">
        <f t="shared" si="11"/>
        <v>0</v>
      </c>
      <c r="R101" s="156">
        <f t="shared" si="12"/>
        <v>0</v>
      </c>
    </row>
    <row r="102" spans="2:18" s="9" customFormat="1" ht="35.1" customHeight="1" x14ac:dyDescent="0.25">
      <c r="B102" s="10" t="s">
        <v>1091</v>
      </c>
      <c r="C102" s="87" t="s">
        <v>130</v>
      </c>
      <c r="D102" s="10" t="s">
        <v>13</v>
      </c>
      <c r="E102" s="12">
        <v>142.06</v>
      </c>
      <c r="F102" s="126">
        <v>102358</v>
      </c>
      <c r="G102" s="126">
        <f t="shared" ref="G102:G107" si="17">ROUND(+F102*E102,2)</f>
        <v>14540977.48</v>
      </c>
      <c r="H102" s="8"/>
      <c r="I102" s="8">
        <f t="shared" si="9"/>
        <v>104968</v>
      </c>
      <c r="J102" s="8">
        <f t="shared" si="10"/>
        <v>14911754.08</v>
      </c>
      <c r="K102" s="9" t="str">
        <f t="array" ref="K102:N102">_xlfn.XLOOKUP(C102,'Neiva 2022 FASE I ACTUAL (5)'!$C$6:$C$540,'Neiva 2022 FASE I ACTUAL (5)'!$C$6:$F$540,"NO ESTA")</f>
        <v>ENCHAPE DE MURO BAÑOS PORCELANATO GRIS 30*40CM</v>
      </c>
      <c r="L102" s="9" t="str">
        <v>M2</v>
      </c>
      <c r="M102" s="9">
        <v>91.92</v>
      </c>
      <c r="N102" s="9">
        <v>110927</v>
      </c>
      <c r="O102" s="124" t="str">
        <f t="shared" si="13"/>
        <v>FASE I</v>
      </c>
      <c r="P102" s="155">
        <f t="shared" si="8"/>
        <v>233.98000000000002</v>
      </c>
      <c r="Q102" s="156">
        <f t="shared" si="11"/>
        <v>110927</v>
      </c>
      <c r="R102" s="156">
        <f t="shared" si="12"/>
        <v>25954699.460000001</v>
      </c>
    </row>
    <row r="103" spans="2:18" s="9" customFormat="1" ht="35.1" customHeight="1" x14ac:dyDescent="0.25">
      <c r="B103" s="10" t="s">
        <v>1092</v>
      </c>
      <c r="C103" s="87" t="s">
        <v>112</v>
      </c>
      <c r="D103" s="10" t="s">
        <v>30</v>
      </c>
      <c r="E103" s="12">
        <v>1.25</v>
      </c>
      <c r="F103" s="126">
        <v>821235</v>
      </c>
      <c r="G103" s="126">
        <f t="shared" si="17"/>
        <v>1026543.75</v>
      </c>
      <c r="H103" s="8"/>
      <c r="I103" s="8">
        <f t="shared" si="9"/>
        <v>842176</v>
      </c>
      <c r="J103" s="8">
        <f t="shared" si="10"/>
        <v>1052720</v>
      </c>
      <c r="K103" s="9" t="str">
        <f t="array" ref="K103:N103">_xlfn.XLOOKUP(C103,'Neiva 2022 FASE I ACTUAL (5)'!$C$6:$C$540,'Neiva 2022 FASE I ACTUAL (5)'!$C$6:$F$540,"NO ESTA")</f>
        <v>MURO EN CONCRETO DE 4000 PSI e=0.15 m Ver. Planos Tipo Muro M-2</v>
      </c>
      <c r="L103" s="9" t="str">
        <v>M3</v>
      </c>
      <c r="M103" s="9">
        <v>11.33</v>
      </c>
      <c r="N103" s="9">
        <v>724119</v>
      </c>
      <c r="O103" s="124" t="str">
        <f t="shared" si="13"/>
        <v>FASE II</v>
      </c>
      <c r="P103" s="155">
        <f t="shared" si="8"/>
        <v>12.58</v>
      </c>
      <c r="Q103" s="156">
        <f t="shared" si="11"/>
        <v>842176</v>
      </c>
      <c r="R103" s="156">
        <f t="shared" si="12"/>
        <v>10594574.08</v>
      </c>
    </row>
    <row r="104" spans="2:18" s="9" customFormat="1" ht="35.1" customHeight="1" x14ac:dyDescent="0.25">
      <c r="B104" s="10" t="s">
        <v>1093</v>
      </c>
      <c r="C104" s="87" t="s">
        <v>114</v>
      </c>
      <c r="D104" s="10" t="s">
        <v>30</v>
      </c>
      <c r="E104" s="12">
        <v>27.45</v>
      </c>
      <c r="F104" s="126">
        <v>821235</v>
      </c>
      <c r="G104" s="126">
        <f t="shared" si="17"/>
        <v>22542900.75</v>
      </c>
      <c r="H104" s="8"/>
      <c r="I104" s="8">
        <f t="shared" si="9"/>
        <v>842176</v>
      </c>
      <c r="J104" s="8">
        <f t="shared" si="10"/>
        <v>23117731.199999999</v>
      </c>
      <c r="K104" s="9" t="str">
        <f t="array" ref="K104:N104">_xlfn.XLOOKUP(C104,'Neiva 2022 FASE I ACTUAL (5)'!$C$6:$C$540,'Neiva 2022 FASE I ACTUAL (5)'!$C$6:$F$540,"NO ESTA")</f>
        <v>MURO EN CONCRETO DE 4000 PSI e=0.25 m Ver. Planos Tipo Muro M-3</v>
      </c>
      <c r="L104" s="9" t="str">
        <v>M3</v>
      </c>
      <c r="M104" s="9">
        <v>95.6</v>
      </c>
      <c r="N104" s="9">
        <v>724119</v>
      </c>
      <c r="O104" s="124" t="str">
        <f t="shared" si="13"/>
        <v>FASE II</v>
      </c>
      <c r="P104" s="155">
        <f t="shared" si="8"/>
        <v>123.05</v>
      </c>
      <c r="Q104" s="156">
        <f t="shared" si="11"/>
        <v>842176</v>
      </c>
      <c r="R104" s="156">
        <f t="shared" si="12"/>
        <v>103629756.8</v>
      </c>
    </row>
    <row r="105" spans="2:18" s="9" customFormat="1" ht="35.1" customHeight="1" x14ac:dyDescent="0.25">
      <c r="B105" s="10" t="s">
        <v>1094</v>
      </c>
      <c r="C105" s="87" t="s">
        <v>118</v>
      </c>
      <c r="D105" s="10" t="s">
        <v>30</v>
      </c>
      <c r="E105" s="12">
        <v>14.01</v>
      </c>
      <c r="F105" s="126">
        <v>821235</v>
      </c>
      <c r="G105" s="126">
        <f t="shared" si="17"/>
        <v>11505502.35</v>
      </c>
      <c r="H105" s="8"/>
      <c r="I105" s="8">
        <f t="shared" si="9"/>
        <v>842176</v>
      </c>
      <c r="J105" s="8">
        <f t="shared" si="10"/>
        <v>11798885.76</v>
      </c>
      <c r="K105" s="9" t="str">
        <f t="array" ref="K105:N105">_xlfn.XLOOKUP(C105,'Neiva 2022 FASE I ACTUAL (5)'!$C$6:$C$540,'Neiva 2022 FASE I ACTUAL (5)'!$C$6:$F$540,"NO ESTA")</f>
        <v>MURO EN CONCRETO DE 4000 PSI e=0.40 m Ver. Planos Tipo Muro M-5</v>
      </c>
      <c r="L105" s="9" t="str">
        <v>M3</v>
      </c>
      <c r="M105" s="9">
        <v>80.489999999999995</v>
      </c>
      <c r="N105" s="9">
        <v>724119</v>
      </c>
      <c r="O105" s="124" t="str">
        <f t="shared" si="13"/>
        <v>FASE II</v>
      </c>
      <c r="P105" s="155">
        <f t="shared" si="8"/>
        <v>94.5</v>
      </c>
      <c r="Q105" s="156">
        <f t="shared" si="11"/>
        <v>842176</v>
      </c>
      <c r="R105" s="156">
        <f t="shared" si="12"/>
        <v>79585632</v>
      </c>
    </row>
    <row r="106" spans="2:18" s="9" customFormat="1" ht="35.1" customHeight="1" x14ac:dyDescent="0.25">
      <c r="B106" s="10" t="s">
        <v>1095</v>
      </c>
      <c r="C106" s="87" t="s">
        <v>120</v>
      </c>
      <c r="D106" s="10" t="s">
        <v>13</v>
      </c>
      <c r="E106" s="12">
        <v>316.99</v>
      </c>
      <c r="F106" s="126">
        <v>157768</v>
      </c>
      <c r="G106" s="126">
        <f t="shared" si="17"/>
        <v>50010878.32</v>
      </c>
      <c r="H106" s="8"/>
      <c r="I106" s="8">
        <f t="shared" si="9"/>
        <v>161791</v>
      </c>
      <c r="J106" s="8">
        <f t="shared" si="10"/>
        <v>51286129.090000004</v>
      </c>
      <c r="K106" s="9" t="str">
        <f t="array" ref="K106:N106">_xlfn.XLOOKUP(C106,'Neiva 2022 FASE I ACTUAL (5)'!$C$6:$C$540,'Neiva 2022 FASE I ACTUAL (5)'!$C$6:$F$540,"NO ESTA")</f>
        <v>MURO EN LADRILLO GRAN FORMATO e= 0.12 m Ref. Tierra Ver. Planos Tipo Muro M-6</v>
      </c>
      <c r="L106" s="9" t="str">
        <v>M2</v>
      </c>
      <c r="M106" s="9">
        <v>79.69</v>
      </c>
      <c r="N106" s="9">
        <v>153751</v>
      </c>
      <c r="O106" s="124" t="str">
        <f t="shared" si="13"/>
        <v>FASE II</v>
      </c>
      <c r="P106" s="155">
        <f t="shared" si="8"/>
        <v>396.68</v>
      </c>
      <c r="Q106" s="156">
        <f t="shared" si="11"/>
        <v>161791</v>
      </c>
      <c r="R106" s="156">
        <f t="shared" si="12"/>
        <v>64179253.880000003</v>
      </c>
    </row>
    <row r="107" spans="2:18" s="9" customFormat="1" ht="35.1" customHeight="1" x14ac:dyDescent="0.25">
      <c r="B107" s="10" t="s">
        <v>1096</v>
      </c>
      <c r="C107" s="87" t="s">
        <v>122</v>
      </c>
      <c r="D107" s="10" t="s">
        <v>13</v>
      </c>
      <c r="E107" s="12">
        <v>112.85</v>
      </c>
      <c r="F107" s="126">
        <v>315534</v>
      </c>
      <c r="G107" s="126">
        <f t="shared" si="17"/>
        <v>35608011.899999999</v>
      </c>
      <c r="H107" s="8"/>
      <c r="I107" s="8">
        <f t="shared" si="9"/>
        <v>323580</v>
      </c>
      <c r="J107" s="8">
        <f t="shared" si="10"/>
        <v>36516003</v>
      </c>
      <c r="K107" s="9" t="str">
        <f t="array" ref="K107:N107">_xlfn.XLOOKUP(C107,'Neiva 2022 FASE I ACTUAL (5)'!$C$6:$C$540,'Neiva 2022 FASE I ACTUAL (5)'!$C$6:$F$540,"NO ESTA")</f>
        <v xml:space="preserve">MURO EN LADRILLO GRAN FORMATO e= 0.25 m Ref. Tierra Ver. Planos Tipo Muro M-7 </v>
      </c>
      <c r="L107" s="9" t="str">
        <v>M2</v>
      </c>
      <c r="M107" s="9">
        <v>21.32</v>
      </c>
      <c r="N107" s="9">
        <v>307503</v>
      </c>
      <c r="O107" s="124" t="str">
        <f t="shared" si="13"/>
        <v>FASE II</v>
      </c>
      <c r="P107" s="155">
        <f t="shared" si="8"/>
        <v>134.16999999999999</v>
      </c>
      <c r="Q107" s="156">
        <f t="shared" si="11"/>
        <v>323580</v>
      </c>
      <c r="R107" s="156">
        <f t="shared" si="12"/>
        <v>43414728.600000001</v>
      </c>
    </row>
    <row r="108" spans="2:18" s="9" customFormat="1" ht="35.1" customHeight="1" x14ac:dyDescent="0.25">
      <c r="B108" s="13" t="s">
        <v>1097</v>
      </c>
      <c r="C108" s="14" t="s">
        <v>1098</v>
      </c>
      <c r="D108" s="13"/>
      <c r="E108" s="15"/>
      <c r="F108" s="129"/>
      <c r="G108" s="140"/>
      <c r="H108" s="8"/>
      <c r="I108" s="8">
        <f t="shared" si="9"/>
        <v>0</v>
      </c>
      <c r="J108" s="8">
        <f t="shared" si="10"/>
        <v>0</v>
      </c>
      <c r="K108" s="9" t="str">
        <f t="array" ref="K108">_xlfn.XLOOKUP(C108,'Neiva 2022 FASE I ACTUAL (5)'!$C$6:$C$540,'Neiva 2022 FASE I ACTUAL (5)'!$C$6:$F$540,"NO ESTA")</f>
        <v>NO ESTA</v>
      </c>
      <c r="O108" s="124">
        <f t="shared" si="13"/>
        <v>0</v>
      </c>
      <c r="P108" s="155">
        <f t="shared" si="8"/>
        <v>0</v>
      </c>
      <c r="Q108" s="156">
        <f t="shared" si="11"/>
        <v>0</v>
      </c>
      <c r="R108" s="156">
        <f t="shared" si="12"/>
        <v>0</v>
      </c>
    </row>
    <row r="109" spans="2:18" s="9" customFormat="1" ht="35.1" customHeight="1" x14ac:dyDescent="0.25">
      <c r="B109" s="10" t="s">
        <v>1099</v>
      </c>
      <c r="C109" s="11" t="s">
        <v>1100</v>
      </c>
      <c r="D109" s="10" t="s">
        <v>13</v>
      </c>
      <c r="E109" s="12">
        <v>94.59</v>
      </c>
      <c r="F109" s="126">
        <v>54150</v>
      </c>
      <c r="G109" s="126">
        <f>ROUND(+F109*E109,2)</f>
        <v>5122048.5</v>
      </c>
      <c r="H109" s="8"/>
      <c r="I109" s="8">
        <f t="shared" si="9"/>
        <v>55531</v>
      </c>
      <c r="J109" s="8">
        <f t="shared" si="10"/>
        <v>5252677.29</v>
      </c>
      <c r="K109" s="9" t="str">
        <f t="array" ref="K109">_xlfn.XLOOKUP(C109,'Neiva 2022 FASE I ACTUAL (5)'!$C$6:$C$540,'Neiva 2022 FASE I ACTUAL (5)'!$C$6:$F$540,"NO ESTA")</f>
        <v>NO ESTA</v>
      </c>
      <c r="O109" s="124">
        <f t="shared" si="13"/>
        <v>0</v>
      </c>
      <c r="P109" s="155">
        <f t="shared" si="8"/>
        <v>94.59</v>
      </c>
      <c r="Q109" s="156">
        <f t="shared" si="11"/>
        <v>55531</v>
      </c>
      <c r="R109" s="156">
        <f t="shared" si="12"/>
        <v>5252677.29</v>
      </c>
    </row>
    <row r="110" spans="2:18" s="9" customFormat="1" ht="35.1" customHeight="1" x14ac:dyDescent="0.25">
      <c r="B110" s="10" t="s">
        <v>1101</v>
      </c>
      <c r="C110" s="87" t="s">
        <v>112</v>
      </c>
      <c r="D110" s="10" t="s">
        <v>30</v>
      </c>
      <c r="E110" s="12">
        <v>26.75</v>
      </c>
      <c r="F110" s="126">
        <v>821235</v>
      </c>
      <c r="G110" s="126">
        <f>ROUND(+F110*E110,2)</f>
        <v>21968036.25</v>
      </c>
      <c r="H110" s="8"/>
      <c r="I110" s="8">
        <f t="shared" si="9"/>
        <v>842176</v>
      </c>
      <c r="J110" s="8">
        <f t="shared" si="10"/>
        <v>22528208</v>
      </c>
      <c r="K110" s="9" t="str">
        <f t="array" ref="K110:N110">_xlfn.XLOOKUP(C110,'Neiva 2022 FASE I ACTUAL (5)'!$C$6:$C$540,'Neiva 2022 FASE I ACTUAL (5)'!$C$6:$F$540,"NO ESTA")</f>
        <v>MURO EN CONCRETO DE 4000 PSI e=0.15 m Ver. Planos Tipo Muro M-2</v>
      </c>
      <c r="L110" s="9" t="str">
        <v>M3</v>
      </c>
      <c r="M110" s="9">
        <v>11.33</v>
      </c>
      <c r="N110" s="9">
        <v>724119</v>
      </c>
      <c r="O110" s="124" t="str">
        <f t="shared" si="13"/>
        <v>FASE II</v>
      </c>
      <c r="P110" s="155">
        <f t="shared" si="8"/>
        <v>38.08</v>
      </c>
      <c r="Q110" s="156">
        <f t="shared" si="11"/>
        <v>842176</v>
      </c>
      <c r="R110" s="156">
        <f t="shared" si="12"/>
        <v>32070062.079999998</v>
      </c>
    </row>
    <row r="111" spans="2:18" s="9" customFormat="1" ht="35.1" customHeight="1" x14ac:dyDescent="0.25">
      <c r="B111" s="10" t="s">
        <v>1102</v>
      </c>
      <c r="C111" s="87" t="s">
        <v>114</v>
      </c>
      <c r="D111" s="10" t="s">
        <v>30</v>
      </c>
      <c r="E111" s="12">
        <v>33.22</v>
      </c>
      <c r="F111" s="126">
        <v>821235</v>
      </c>
      <c r="G111" s="126">
        <f>ROUND(+F111*E111,2)</f>
        <v>27281426.699999999</v>
      </c>
      <c r="H111" s="8"/>
      <c r="I111" s="8">
        <f t="shared" si="9"/>
        <v>842176</v>
      </c>
      <c r="J111" s="8">
        <f t="shared" si="10"/>
        <v>27977086.719999999</v>
      </c>
      <c r="K111" s="9" t="str">
        <f t="array" ref="K111:N111">_xlfn.XLOOKUP(C111,'Neiva 2022 FASE I ACTUAL (5)'!$C$6:$C$540,'Neiva 2022 FASE I ACTUAL (5)'!$C$6:$F$540,"NO ESTA")</f>
        <v>MURO EN CONCRETO DE 4000 PSI e=0.25 m Ver. Planos Tipo Muro M-3</v>
      </c>
      <c r="L111" s="9" t="str">
        <v>M3</v>
      </c>
      <c r="M111" s="9">
        <v>95.6</v>
      </c>
      <c r="N111" s="9">
        <v>724119</v>
      </c>
      <c r="O111" s="124" t="str">
        <f t="shared" si="13"/>
        <v>FASE II</v>
      </c>
      <c r="P111" s="155">
        <f t="shared" si="8"/>
        <v>128.82</v>
      </c>
      <c r="Q111" s="156">
        <f t="shared" si="11"/>
        <v>842176</v>
      </c>
      <c r="R111" s="156">
        <f t="shared" si="12"/>
        <v>108489112.31999999</v>
      </c>
    </row>
    <row r="112" spans="2:18" s="9" customFormat="1" ht="35.1" customHeight="1" x14ac:dyDescent="0.25">
      <c r="B112" s="33">
        <v>6</v>
      </c>
      <c r="C112" s="34" t="s">
        <v>145</v>
      </c>
      <c r="D112" s="34"/>
      <c r="E112" s="35"/>
      <c r="F112" s="132"/>
      <c r="G112" s="142"/>
      <c r="H112" s="8"/>
      <c r="I112" s="8">
        <f t="shared" si="9"/>
        <v>0</v>
      </c>
      <c r="J112" s="8">
        <f t="shared" si="10"/>
        <v>0</v>
      </c>
      <c r="K112" s="9" t="str">
        <f t="array" ref="K112:N112">_xlfn.XLOOKUP(C112,'Neiva 2022 FASE I ACTUAL (5)'!$C$6:$C$540,'Neiva 2022 FASE I ACTUAL (5)'!$C$6:$F$540,"NO ESTA")</f>
        <v>ACABADOS DE PISOS</v>
      </c>
      <c r="L112" s="9">
        <v>0</v>
      </c>
      <c r="M112" s="9">
        <v>0</v>
      </c>
      <c r="N112" s="9">
        <v>0</v>
      </c>
      <c r="O112" s="124">
        <f t="shared" si="13"/>
        <v>0</v>
      </c>
      <c r="P112" s="155">
        <f t="shared" si="8"/>
        <v>0</v>
      </c>
      <c r="Q112" s="156">
        <f t="shared" si="11"/>
        <v>0</v>
      </c>
      <c r="R112" s="156">
        <f t="shared" si="12"/>
        <v>0</v>
      </c>
    </row>
    <row r="113" spans="2:18" s="9" customFormat="1" ht="35.1" customHeight="1" x14ac:dyDescent="0.25">
      <c r="B113" s="13" t="s">
        <v>146</v>
      </c>
      <c r="C113" s="14" t="s">
        <v>147</v>
      </c>
      <c r="D113" s="13"/>
      <c r="E113" s="15"/>
      <c r="F113" s="126">
        <v>0</v>
      </c>
      <c r="G113" s="126">
        <f>ROUND(+F113*E113,2)</f>
        <v>0</v>
      </c>
      <c r="H113" s="8"/>
      <c r="I113" s="8">
        <f t="shared" si="9"/>
        <v>0</v>
      </c>
      <c r="J113" s="8">
        <f t="shared" si="10"/>
        <v>0</v>
      </c>
      <c r="K113" s="9" t="str">
        <f t="array" ref="K113:N113">_xlfn.XLOOKUP(C113,'Neiva 2022 FASE I ACTUAL (5)'!$C$6:$C$540,'Neiva 2022 FASE I ACTUAL (5)'!$C$6:$F$540,"NO ESTA")</f>
        <v>SUMINISTRO E INSTALACIÓN PISOS SEMISOTANO</v>
      </c>
      <c r="L113" s="9">
        <v>0</v>
      </c>
      <c r="M113" s="9">
        <v>0</v>
      </c>
      <c r="N113" s="9">
        <v>0</v>
      </c>
      <c r="O113" s="124">
        <f t="shared" si="13"/>
        <v>0</v>
      </c>
      <c r="P113" s="155">
        <f t="shared" si="8"/>
        <v>0</v>
      </c>
      <c r="Q113" s="156">
        <f t="shared" si="11"/>
        <v>0</v>
      </c>
      <c r="R113" s="156">
        <f t="shared" si="12"/>
        <v>0</v>
      </c>
    </row>
    <row r="114" spans="2:18" s="9" customFormat="1" ht="35.1" customHeight="1" x14ac:dyDescent="0.25">
      <c r="B114" s="23" t="s">
        <v>148</v>
      </c>
      <c r="C114" s="22" t="s">
        <v>149</v>
      </c>
      <c r="D114" s="23" t="s">
        <v>13</v>
      </c>
      <c r="E114" s="12">
        <v>0</v>
      </c>
      <c r="F114" s="126">
        <v>89287</v>
      </c>
      <c r="G114" s="126">
        <f>ROUND(+F114*E114,2)</f>
        <v>0</v>
      </c>
      <c r="H114" s="8"/>
      <c r="I114" s="8">
        <f t="shared" si="9"/>
        <v>91564</v>
      </c>
      <c r="J114" s="8">
        <f t="shared" si="10"/>
        <v>0</v>
      </c>
      <c r="K114" s="9" t="str">
        <f t="array" ref="K114:N114">_xlfn.XLOOKUP(C114,'Neiva 2022 FASE I ACTUAL (5)'!$C$6:$C$540,'Neiva 2022 FASE I ACTUAL (5)'!$C$6:$F$540,"NO ESTA")</f>
        <v xml:space="preserve">ANDEN INTERNO EN CONCRETO DE 2500 PSI CON ACABADO CEMENTO PULIDO Ref. Planos 03318 </v>
      </c>
      <c r="L114" s="9" t="str">
        <v>M2</v>
      </c>
      <c r="M114" s="9">
        <v>457.19</v>
      </c>
      <c r="N114" s="9">
        <v>94327</v>
      </c>
      <c r="O114" s="124" t="str">
        <f t="shared" si="13"/>
        <v>FASE I</v>
      </c>
      <c r="P114" s="155">
        <f t="shared" si="8"/>
        <v>457.19</v>
      </c>
      <c r="Q114" s="156">
        <f t="shared" si="11"/>
        <v>94327</v>
      </c>
      <c r="R114" s="156">
        <f t="shared" si="12"/>
        <v>43125361.130000003</v>
      </c>
    </row>
    <row r="115" spans="2:18" s="9" customFormat="1" ht="35.1" customHeight="1" x14ac:dyDescent="0.25">
      <c r="B115" s="23" t="s">
        <v>150</v>
      </c>
      <c r="C115" s="22" t="s">
        <v>151</v>
      </c>
      <c r="D115" s="23" t="s">
        <v>13</v>
      </c>
      <c r="E115" s="12">
        <v>0</v>
      </c>
      <c r="F115" s="126">
        <v>8211</v>
      </c>
      <c r="G115" s="126">
        <f>ROUND(+F115*E115,2)</f>
        <v>0</v>
      </c>
      <c r="H115" s="8"/>
      <c r="I115" s="8">
        <f t="shared" si="9"/>
        <v>8420</v>
      </c>
      <c r="J115" s="8">
        <f t="shared" si="10"/>
        <v>0</v>
      </c>
      <c r="K115" s="9" t="str">
        <f t="array" ref="K115:N115">_xlfn.XLOOKUP(C115,'Neiva 2022 FASE I ACTUAL (5)'!$C$6:$C$540,'Neiva 2022 FASE I ACTUAL (5)'!$C$6:$F$540,"NO ESTA")</f>
        <v>ACABADO DE PISO DE CONCRETO GRIS PULIDO   Ref. Planos 09650-1</v>
      </c>
      <c r="L115" s="9" t="str">
        <v>M2</v>
      </c>
      <c r="M115" s="9">
        <v>1963.08</v>
      </c>
      <c r="N115" s="9">
        <v>7702</v>
      </c>
      <c r="O115" s="124" t="str">
        <f t="shared" si="13"/>
        <v>FASE II</v>
      </c>
      <c r="P115" s="155">
        <f t="shared" si="8"/>
        <v>1963.08</v>
      </c>
      <c r="Q115" s="156">
        <f t="shared" si="11"/>
        <v>8420</v>
      </c>
      <c r="R115" s="156">
        <f t="shared" si="12"/>
        <v>16529133.6</v>
      </c>
    </row>
    <row r="116" spans="2:18" s="9" customFormat="1" ht="35.1" customHeight="1" x14ac:dyDescent="0.25">
      <c r="B116" s="10" t="s">
        <v>152</v>
      </c>
      <c r="C116" s="11" t="s">
        <v>153</v>
      </c>
      <c r="D116" s="10" t="s">
        <v>13</v>
      </c>
      <c r="E116" s="12">
        <v>0</v>
      </c>
      <c r="F116" s="126">
        <v>108210</v>
      </c>
      <c r="G116" s="126">
        <f>ROUND(+F116*E116,2)</f>
        <v>0</v>
      </c>
      <c r="H116" s="8"/>
      <c r="I116" s="8">
        <f t="shared" si="9"/>
        <v>110969</v>
      </c>
      <c r="J116" s="8">
        <f t="shared" si="10"/>
        <v>0</v>
      </c>
      <c r="K116" s="9" t="str">
        <f t="array" ref="K116:N116">_xlfn.XLOOKUP(C116,'Neiva 2022 FASE I ACTUAL (5)'!$C$6:$C$540,'Neiva 2022 FASE I ACTUAL (5)'!$C$6:$F$540,"NO ESTA")</f>
        <v>SUMINISTRO E INSTALACION PISO TABLETA ZONAS COMUNES Incluye ALISTADO Referencia  ALFA 30 X 30 HUILA Ref. Planos 09610.1</v>
      </c>
      <c r="L116" s="9" t="str">
        <v>M2</v>
      </c>
      <c r="M116" s="9">
        <v>1.4</v>
      </c>
      <c r="N116" s="9">
        <v>107920</v>
      </c>
      <c r="O116" s="124" t="str">
        <f t="shared" si="13"/>
        <v>FASE II</v>
      </c>
      <c r="P116" s="155">
        <f t="shared" si="8"/>
        <v>1.4</v>
      </c>
      <c r="Q116" s="156">
        <f t="shared" si="11"/>
        <v>110969</v>
      </c>
      <c r="R116" s="156">
        <f t="shared" si="12"/>
        <v>155356.6</v>
      </c>
    </row>
    <row r="117" spans="2:18" s="9" customFormat="1" ht="35.1" customHeight="1" x14ac:dyDescent="0.25">
      <c r="B117" s="13" t="s">
        <v>154</v>
      </c>
      <c r="C117" s="24" t="s">
        <v>155</v>
      </c>
      <c r="D117" s="24"/>
      <c r="E117" s="15"/>
      <c r="F117" s="129"/>
      <c r="G117" s="140"/>
      <c r="H117" s="8"/>
      <c r="I117" s="8">
        <f t="shared" si="9"/>
        <v>0</v>
      </c>
      <c r="J117" s="8">
        <f t="shared" si="10"/>
        <v>0</v>
      </c>
      <c r="K117" s="9" t="str">
        <f t="array" ref="K117:N117">_xlfn.XLOOKUP(C117,'Neiva 2022 FASE I ACTUAL (5)'!$C$6:$C$540,'Neiva 2022 FASE I ACTUAL (5)'!$C$6:$F$540,"NO ESTA")</f>
        <v>SUMINISTRO E INSTALACIÓN DE PISOS ESPACIO PUBLICO</v>
      </c>
      <c r="L117" s="9">
        <v>0</v>
      </c>
      <c r="M117" s="9">
        <v>0</v>
      </c>
      <c r="N117" s="9">
        <v>0</v>
      </c>
      <c r="O117" s="124">
        <f t="shared" si="13"/>
        <v>0</v>
      </c>
      <c r="P117" s="155">
        <f t="shared" si="8"/>
        <v>0</v>
      </c>
      <c r="Q117" s="156">
        <f t="shared" si="11"/>
        <v>0</v>
      </c>
      <c r="R117" s="156">
        <f t="shared" si="12"/>
        <v>0</v>
      </c>
    </row>
    <row r="118" spans="2:18" s="9" customFormat="1" ht="35.1" customHeight="1" x14ac:dyDescent="0.25">
      <c r="B118" s="23" t="s">
        <v>156</v>
      </c>
      <c r="C118" s="22" t="s">
        <v>157</v>
      </c>
      <c r="D118" s="23" t="s">
        <v>13</v>
      </c>
      <c r="E118" s="12">
        <v>1832.0720000000001</v>
      </c>
      <c r="F118" s="126">
        <v>91697</v>
      </c>
      <c r="G118" s="126">
        <f>ROUND(+F118*E118,2)</f>
        <v>167995506.18000001</v>
      </c>
      <c r="H118" s="8"/>
      <c r="I118" s="8">
        <f t="shared" si="9"/>
        <v>94035</v>
      </c>
      <c r="J118" s="8">
        <f t="shared" si="10"/>
        <v>172278890.52000001</v>
      </c>
      <c r="K118" s="9" t="str">
        <f t="array" ref="K118:N118">_xlfn.XLOOKUP(C118,'Neiva 2022 FASE I ACTUAL (5)'!$C$6:$C$540,'Neiva 2022 FASE I ACTUAL (5)'!$C$6:$F$540,"NO ESTA")</f>
        <v>SUMINISTRO E INSTALACION ANDEN EN LOSETA PREFABRICADA Referencia A50  GRIS 40 X 40 incluye alistadio - (Especificación Cartilla Andenes IDU-2011)</v>
      </c>
      <c r="L118" s="9" t="str">
        <v>M2</v>
      </c>
      <c r="M118" s="9">
        <v>45.8</v>
      </c>
      <c r="N118" s="9">
        <v>89363</v>
      </c>
      <c r="O118" s="124" t="str">
        <f t="shared" si="13"/>
        <v>FASE II</v>
      </c>
      <c r="P118" s="155">
        <f t="shared" si="8"/>
        <v>1877.8720000000001</v>
      </c>
      <c r="Q118" s="156">
        <f t="shared" si="11"/>
        <v>94035</v>
      </c>
      <c r="R118" s="156">
        <f t="shared" si="12"/>
        <v>176585693.52000001</v>
      </c>
    </row>
    <row r="119" spans="2:18" s="9" customFormat="1" ht="35.1" customHeight="1" x14ac:dyDescent="0.25">
      <c r="B119" s="23" t="s">
        <v>158</v>
      </c>
      <c r="C119" s="22" t="s">
        <v>159</v>
      </c>
      <c r="D119" s="23" t="s">
        <v>13</v>
      </c>
      <c r="E119" s="12">
        <v>183.66400000000002</v>
      </c>
      <c r="F119" s="126">
        <v>96306</v>
      </c>
      <c r="G119" s="126">
        <f>ROUND(+F119*E119,2)</f>
        <v>17687945.18</v>
      </c>
      <c r="H119" s="8"/>
      <c r="I119" s="8">
        <f t="shared" si="9"/>
        <v>98762</v>
      </c>
      <c r="J119" s="8">
        <f t="shared" si="10"/>
        <v>18139023.968000002</v>
      </c>
      <c r="K119" s="9" t="str">
        <f t="array" ref="K119:N119">_xlfn.XLOOKUP(C119,'Neiva 2022 FASE I ACTUAL (5)'!$C$6:$C$540,'Neiva 2022 FASE I ACTUAL (5)'!$C$6:$F$540,"NO ESTA")</f>
        <v>SUMINISTRO E INSTALACION JARDIN Ref. Planos A2900 (Incluye material aislante, impermeabilizante, tierra, abonos y plantas ornamentales)</v>
      </c>
      <c r="L119" s="9" t="str">
        <v>M2</v>
      </c>
      <c r="M119" s="9">
        <v>4.59</v>
      </c>
      <c r="N119" s="9">
        <v>93854</v>
      </c>
      <c r="O119" s="124" t="str">
        <f t="shared" si="13"/>
        <v>FASE II</v>
      </c>
      <c r="P119" s="155">
        <f t="shared" si="8"/>
        <v>188.25400000000002</v>
      </c>
      <c r="Q119" s="156">
        <f t="shared" si="11"/>
        <v>98762</v>
      </c>
      <c r="R119" s="156">
        <f t="shared" si="12"/>
        <v>18592341.550000001</v>
      </c>
    </row>
    <row r="120" spans="2:18" s="9" customFormat="1" ht="35.1" customHeight="1" x14ac:dyDescent="0.25">
      <c r="B120" s="13" t="s">
        <v>160</v>
      </c>
      <c r="C120" s="24" t="s">
        <v>161</v>
      </c>
      <c r="D120" s="24"/>
      <c r="E120" s="15"/>
      <c r="F120" s="129"/>
      <c r="G120" s="140"/>
      <c r="H120" s="8"/>
      <c r="I120" s="8">
        <f t="shared" si="9"/>
        <v>0</v>
      </c>
      <c r="J120" s="8">
        <f t="shared" si="10"/>
        <v>0</v>
      </c>
      <c r="K120" s="9" t="str">
        <f t="array" ref="K120:N120">_xlfn.XLOOKUP(C120,'Neiva 2022 FASE I ACTUAL (5)'!$C$6:$C$540,'Neiva 2022 FASE I ACTUAL (5)'!$C$6:$F$540,"NO ESTA")</f>
        <v>SUMINISTRO E INSTALACIÓN DE PISOS PISO 1</v>
      </c>
      <c r="L120" s="9">
        <v>0</v>
      </c>
      <c r="M120" s="9">
        <v>0</v>
      </c>
      <c r="N120" s="9">
        <v>0</v>
      </c>
      <c r="O120" s="124">
        <f t="shared" si="13"/>
        <v>0</v>
      </c>
      <c r="P120" s="155">
        <f t="shared" si="8"/>
        <v>0</v>
      </c>
      <c r="Q120" s="156">
        <f t="shared" si="11"/>
        <v>0</v>
      </c>
      <c r="R120" s="156">
        <f t="shared" si="12"/>
        <v>0</v>
      </c>
    </row>
    <row r="121" spans="2:18" s="9" customFormat="1" ht="35.1" customHeight="1" x14ac:dyDescent="0.25">
      <c r="B121" s="23" t="s">
        <v>162</v>
      </c>
      <c r="C121" s="22" t="s">
        <v>153</v>
      </c>
      <c r="D121" s="23" t="s">
        <v>13</v>
      </c>
      <c r="E121" s="12">
        <v>513.95999999999992</v>
      </c>
      <c r="F121" s="126">
        <v>108210</v>
      </c>
      <c r="G121" s="126">
        <f>ROUND(+F121*E121,2)</f>
        <v>55615611.600000001</v>
      </c>
      <c r="H121" s="8"/>
      <c r="I121" s="8">
        <f t="shared" si="9"/>
        <v>110969</v>
      </c>
      <c r="J121" s="8">
        <f t="shared" si="10"/>
        <v>57033627.239999995</v>
      </c>
      <c r="K121" s="9" t="str">
        <f t="array" ref="K121:N121">_xlfn.XLOOKUP(C121,'Neiva 2022 FASE I ACTUAL (5)'!$C$6:$C$540,'Neiva 2022 FASE I ACTUAL (5)'!$C$6:$F$540,"NO ESTA")</f>
        <v>SUMINISTRO E INSTALACION PISO TABLETA ZONAS COMUNES Incluye ALISTADO Referencia  ALFA 30 X 30 HUILA Ref. Planos 09610.1</v>
      </c>
      <c r="L121" s="9" t="str">
        <v>M2</v>
      </c>
      <c r="M121" s="9">
        <v>1.4</v>
      </c>
      <c r="N121" s="9">
        <v>107920</v>
      </c>
      <c r="O121" s="124" t="str">
        <f t="shared" si="13"/>
        <v>FASE II</v>
      </c>
      <c r="P121" s="155">
        <f t="shared" si="8"/>
        <v>515.3599999999999</v>
      </c>
      <c r="Q121" s="156">
        <f t="shared" si="11"/>
        <v>110969</v>
      </c>
      <c r="R121" s="156">
        <f t="shared" si="12"/>
        <v>57188983.840000004</v>
      </c>
    </row>
    <row r="122" spans="2:18" s="9" customFormat="1" ht="35.1" customHeight="1" x14ac:dyDescent="0.25">
      <c r="B122" s="23" t="s">
        <v>163</v>
      </c>
      <c r="C122" s="22" t="s">
        <v>164</v>
      </c>
      <c r="D122" s="23" t="s">
        <v>13</v>
      </c>
      <c r="E122" s="12">
        <v>230.83</v>
      </c>
      <c r="F122" s="126">
        <v>70614</v>
      </c>
      <c r="G122" s="126">
        <f>ROUND(+F122*E122,2)</f>
        <v>16299829.619999999</v>
      </c>
      <c r="H122" s="8"/>
      <c r="I122" s="8">
        <f t="shared" si="9"/>
        <v>72415</v>
      </c>
      <c r="J122" s="8">
        <f t="shared" si="10"/>
        <v>16715554.450000001</v>
      </c>
      <c r="K122" s="9" t="str">
        <f t="array" ref="K122:N122">_xlfn.XLOOKUP(C122,'Neiva 2022 FASE I ACTUAL (5)'!$C$6:$C$540,'Neiva 2022 FASE I ACTUAL (5)'!$C$6:$F$540,"NO ESTA")</f>
        <v>SUMINISTRO E INSTALACION PISO LOSETA PREFABRICADA GRIS Referencia A30 DE 40X60 - (Especificación Cartilla Andenes IDU-2011)  Ref. Planos 09620.8</v>
      </c>
      <c r="L122" s="9" t="str">
        <v>M2</v>
      </c>
      <c r="M122" s="9">
        <v>576.27</v>
      </c>
      <c r="N122" s="9">
        <v>70788</v>
      </c>
      <c r="O122" s="124" t="str">
        <f t="shared" si="13"/>
        <v>FASE I</v>
      </c>
      <c r="P122" s="155">
        <f t="shared" si="8"/>
        <v>807.1</v>
      </c>
      <c r="Q122" s="156">
        <f t="shared" si="11"/>
        <v>72415</v>
      </c>
      <c r="R122" s="156">
        <f t="shared" si="12"/>
        <v>58446146.5</v>
      </c>
    </row>
    <row r="123" spans="2:18" s="9" customFormat="1" ht="35.1" customHeight="1" x14ac:dyDescent="0.25">
      <c r="B123" s="23" t="s">
        <v>165</v>
      </c>
      <c r="C123" s="22" t="s">
        <v>166</v>
      </c>
      <c r="D123" s="23" t="s">
        <v>13</v>
      </c>
      <c r="E123" s="12">
        <v>11.069999999999999</v>
      </c>
      <c r="F123" s="126">
        <v>47066</v>
      </c>
      <c r="G123" s="126">
        <f>ROUND(+F123*E123,2)</f>
        <v>521020.62</v>
      </c>
      <c r="H123" s="8"/>
      <c r="I123" s="8">
        <f t="shared" si="9"/>
        <v>48266</v>
      </c>
      <c r="J123" s="8">
        <f t="shared" si="10"/>
        <v>534304.61999999988</v>
      </c>
      <c r="K123" s="9" t="str">
        <f t="array" ref="K123:N123">_xlfn.XLOOKUP(C123,'Neiva 2022 FASE I ACTUAL (5)'!$C$6:$C$540,'Neiva 2022 FASE I ACTUAL (5)'!$C$6:$F$540,"NO ESTA")</f>
        <v>SUMINISTRO E INSTALACION PISO EN VINILO GRIS TARIMA Ref. Planos 09650.1</v>
      </c>
      <c r="L123" s="9" t="str">
        <v>M2</v>
      </c>
      <c r="M123" s="9">
        <v>33.11</v>
      </c>
      <c r="N123" s="9">
        <v>47493</v>
      </c>
      <c r="O123" s="124" t="str">
        <f t="shared" si="13"/>
        <v>FASE I</v>
      </c>
      <c r="P123" s="155">
        <f t="shared" si="8"/>
        <v>44.18</v>
      </c>
      <c r="Q123" s="156">
        <f t="shared" si="11"/>
        <v>48266</v>
      </c>
      <c r="R123" s="156">
        <f t="shared" si="12"/>
        <v>2132391.88</v>
      </c>
    </row>
    <row r="124" spans="2:18" s="9" customFormat="1" ht="35.1" customHeight="1" x14ac:dyDescent="0.25">
      <c r="B124" s="23" t="s">
        <v>167</v>
      </c>
      <c r="C124" s="22" t="s">
        <v>168</v>
      </c>
      <c r="D124" s="23" t="s">
        <v>13</v>
      </c>
      <c r="E124" s="12">
        <v>12.31</v>
      </c>
      <c r="F124" s="126">
        <v>102069</v>
      </c>
      <c r="G124" s="126">
        <f>ROUND(+F124*E124,2)</f>
        <v>1256469.3899999999</v>
      </c>
      <c r="H124" s="8"/>
      <c r="I124" s="8">
        <f t="shared" si="9"/>
        <v>104672</v>
      </c>
      <c r="J124" s="8">
        <f t="shared" si="10"/>
        <v>1288512.32</v>
      </c>
      <c r="K124" s="9" t="str">
        <f t="array" ref="K124:N124">_xlfn.XLOOKUP(C124,'Neiva 2022 FASE I ACTUAL (5)'!$C$6:$C$540,'Neiva 2022 FASE I ACTUAL (5)'!$C$6:$F$540,"NO ESTA")</f>
        <v>SUMINISTRO E INSTALACION PISO EN ALFOMBRA Referencia TRAFICO PESADO Ref. Planos 09680.A1</v>
      </c>
      <c r="L124" s="9" t="str">
        <v>M2</v>
      </c>
      <c r="M124" s="9">
        <v>297.04000000000002</v>
      </c>
      <c r="N124" s="9">
        <v>102141</v>
      </c>
      <c r="O124" s="124" t="str">
        <f t="shared" si="13"/>
        <v>FASE I</v>
      </c>
      <c r="P124" s="155">
        <f t="shared" si="8"/>
        <v>309.35000000000002</v>
      </c>
      <c r="Q124" s="156">
        <f t="shared" si="11"/>
        <v>104672</v>
      </c>
      <c r="R124" s="156">
        <f t="shared" si="12"/>
        <v>32380283.199999999</v>
      </c>
    </row>
    <row r="125" spans="2:18" s="9" customFormat="1" ht="35.1" customHeight="1" x14ac:dyDescent="0.25">
      <c r="B125" s="23" t="s">
        <v>169</v>
      </c>
      <c r="C125" s="22" t="s">
        <v>159</v>
      </c>
      <c r="D125" s="23" t="s">
        <v>13</v>
      </c>
      <c r="E125" s="12">
        <v>106.58</v>
      </c>
      <c r="F125" s="126">
        <v>92820</v>
      </c>
      <c r="G125" s="126">
        <f>ROUND(+F125*E125,2)</f>
        <v>9892755.5999999996</v>
      </c>
      <c r="H125" s="8"/>
      <c r="I125" s="8">
        <f t="shared" si="9"/>
        <v>95187</v>
      </c>
      <c r="J125" s="8">
        <f t="shared" si="10"/>
        <v>10145030.459999999</v>
      </c>
      <c r="K125" s="9" t="str">
        <f t="array" ref="K125:N125">_xlfn.XLOOKUP(C125,'Neiva 2022 FASE I ACTUAL (5)'!$C$6:$C$540,'Neiva 2022 FASE I ACTUAL (5)'!$C$6:$F$540,"NO ESTA")</f>
        <v>SUMINISTRO E INSTALACION JARDIN Ref. Planos A2900 (Incluye material aislante, impermeabilizante, tierra, abonos y plantas ornamentales)</v>
      </c>
      <c r="L125" s="9" t="str">
        <v>M2</v>
      </c>
      <c r="M125" s="9">
        <v>4.59</v>
      </c>
      <c r="N125" s="9">
        <v>93854</v>
      </c>
      <c r="O125" s="124" t="str">
        <f t="shared" si="13"/>
        <v>FASE I</v>
      </c>
      <c r="P125" s="155">
        <f t="shared" si="8"/>
        <v>111.17</v>
      </c>
      <c r="Q125" s="156">
        <f t="shared" si="11"/>
        <v>95187</v>
      </c>
      <c r="R125" s="156">
        <f t="shared" si="12"/>
        <v>10581938.789999999</v>
      </c>
    </row>
    <row r="126" spans="2:18" s="9" customFormat="1" ht="35.1" customHeight="1" x14ac:dyDescent="0.25">
      <c r="B126" s="36" t="s">
        <v>170</v>
      </c>
      <c r="C126" s="37" t="s">
        <v>171</v>
      </c>
      <c r="D126" s="38"/>
      <c r="E126" s="39"/>
      <c r="F126" s="129"/>
      <c r="G126" s="140"/>
      <c r="H126" s="8"/>
      <c r="I126" s="8">
        <f t="shared" si="9"/>
        <v>0</v>
      </c>
      <c r="J126" s="8">
        <f t="shared" si="10"/>
        <v>0</v>
      </c>
      <c r="K126" s="9" t="str">
        <f t="array" ref="K126:N126">_xlfn.XLOOKUP(C126,'Neiva 2022 FASE I ACTUAL (5)'!$C$6:$C$540,'Neiva 2022 FASE I ACTUAL (5)'!$C$6:$F$540,"NO ESTA")</f>
        <v>SUMINISTRO E INSTALACIÓN DE PISOS PISO 2</v>
      </c>
      <c r="L126" s="9">
        <v>0</v>
      </c>
      <c r="M126" s="9">
        <v>0</v>
      </c>
      <c r="N126" s="9">
        <v>0</v>
      </c>
      <c r="O126" s="124">
        <f t="shared" si="13"/>
        <v>0</v>
      </c>
      <c r="P126" s="155">
        <f t="shared" si="8"/>
        <v>0</v>
      </c>
      <c r="Q126" s="156">
        <f t="shared" si="11"/>
        <v>0</v>
      </c>
      <c r="R126" s="156">
        <f t="shared" si="12"/>
        <v>0</v>
      </c>
    </row>
    <row r="127" spans="2:18" s="9" customFormat="1" ht="35.1" customHeight="1" x14ac:dyDescent="0.25">
      <c r="B127" s="23" t="s">
        <v>172</v>
      </c>
      <c r="C127" s="22" t="s">
        <v>153</v>
      </c>
      <c r="D127" s="23" t="s">
        <v>13</v>
      </c>
      <c r="E127" s="12">
        <v>482.95999999999992</v>
      </c>
      <c r="F127" s="126">
        <v>108210</v>
      </c>
      <c r="G127" s="126">
        <f>ROUND(+F127*E127,2)</f>
        <v>52261101.600000001</v>
      </c>
      <c r="H127" s="8"/>
      <c r="I127" s="8">
        <f t="shared" si="9"/>
        <v>110969</v>
      </c>
      <c r="J127" s="8">
        <f t="shared" si="10"/>
        <v>53593588.239999995</v>
      </c>
      <c r="K127" s="9" t="str">
        <f t="array" ref="K127:N127">_xlfn.XLOOKUP(C127,'Neiva 2022 FASE I ACTUAL (5)'!$C$6:$C$540,'Neiva 2022 FASE I ACTUAL (5)'!$C$6:$F$540,"NO ESTA")</f>
        <v>SUMINISTRO E INSTALACION PISO TABLETA ZONAS COMUNES Incluye ALISTADO Referencia  ALFA 30 X 30 HUILA Ref. Planos 09610.1</v>
      </c>
      <c r="L127" s="9" t="str">
        <v>M2</v>
      </c>
      <c r="M127" s="9">
        <v>1.4</v>
      </c>
      <c r="N127" s="9">
        <v>107920</v>
      </c>
      <c r="O127" s="124" t="str">
        <f t="shared" si="13"/>
        <v>FASE II</v>
      </c>
      <c r="P127" s="155">
        <f t="shared" si="8"/>
        <v>484.3599999999999</v>
      </c>
      <c r="Q127" s="156">
        <f t="shared" si="11"/>
        <v>110969</v>
      </c>
      <c r="R127" s="156">
        <f t="shared" si="12"/>
        <v>53748944.840000004</v>
      </c>
    </row>
    <row r="128" spans="2:18" s="9" customFormat="1" ht="35.1" customHeight="1" x14ac:dyDescent="0.25">
      <c r="B128" s="23" t="s">
        <v>173</v>
      </c>
      <c r="C128" s="22" t="s">
        <v>164</v>
      </c>
      <c r="D128" s="23" t="s">
        <v>13</v>
      </c>
      <c r="E128" s="12">
        <v>80.070000000000007</v>
      </c>
      <c r="F128" s="126">
        <v>70614</v>
      </c>
      <c r="G128" s="126">
        <f>ROUND(+F128*E128,2)</f>
        <v>5654062.9800000004</v>
      </c>
      <c r="H128" s="8"/>
      <c r="I128" s="8">
        <f t="shared" si="9"/>
        <v>72415</v>
      </c>
      <c r="J128" s="8">
        <f t="shared" si="10"/>
        <v>5798269.0500000007</v>
      </c>
      <c r="K128" s="9" t="str">
        <f t="array" ref="K128:N128">_xlfn.XLOOKUP(C128,'Neiva 2022 FASE I ACTUAL (5)'!$C$6:$C$540,'Neiva 2022 FASE I ACTUAL (5)'!$C$6:$F$540,"NO ESTA")</f>
        <v>SUMINISTRO E INSTALACION PISO LOSETA PREFABRICADA GRIS Referencia A30 DE 40X60 - (Especificación Cartilla Andenes IDU-2011)  Ref. Planos 09620.8</v>
      </c>
      <c r="L128" s="9" t="str">
        <v>M2</v>
      </c>
      <c r="M128" s="9">
        <v>576.27</v>
      </c>
      <c r="N128" s="9">
        <v>70788</v>
      </c>
      <c r="O128" s="124" t="str">
        <f t="shared" si="13"/>
        <v>FASE I</v>
      </c>
      <c r="P128" s="155">
        <f t="shared" si="8"/>
        <v>656.34</v>
      </c>
      <c r="Q128" s="156">
        <f t="shared" si="11"/>
        <v>72415</v>
      </c>
      <c r="R128" s="156">
        <f t="shared" si="12"/>
        <v>47528861.100000001</v>
      </c>
    </row>
    <row r="129" spans="2:18" s="9" customFormat="1" ht="35.1" customHeight="1" x14ac:dyDescent="0.25">
      <c r="B129" s="23" t="s">
        <v>174</v>
      </c>
      <c r="C129" s="22" t="s">
        <v>159</v>
      </c>
      <c r="D129" s="23" t="s">
        <v>13</v>
      </c>
      <c r="E129" s="12">
        <v>52.37</v>
      </c>
      <c r="F129" s="126">
        <v>92820</v>
      </c>
      <c r="G129" s="126">
        <f>ROUND(+F129*E129,2)</f>
        <v>4860983.4000000004</v>
      </c>
      <c r="H129" s="8"/>
      <c r="I129" s="8">
        <f t="shared" si="9"/>
        <v>95187</v>
      </c>
      <c r="J129" s="8">
        <f t="shared" si="10"/>
        <v>4984943.1899999995</v>
      </c>
      <c r="K129" s="9" t="str">
        <f t="array" ref="K129:N129">_xlfn.XLOOKUP(C129,'Neiva 2022 FASE I ACTUAL (5)'!$C$6:$C$540,'Neiva 2022 FASE I ACTUAL (5)'!$C$6:$F$540,"NO ESTA")</f>
        <v>SUMINISTRO E INSTALACION JARDIN Ref. Planos A2900 (Incluye material aislante, impermeabilizante, tierra, abonos y plantas ornamentales)</v>
      </c>
      <c r="L129" s="9" t="str">
        <v>M2</v>
      </c>
      <c r="M129" s="9">
        <v>4.59</v>
      </c>
      <c r="N129" s="9">
        <v>93854</v>
      </c>
      <c r="O129" s="124" t="str">
        <f t="shared" si="13"/>
        <v>FASE I</v>
      </c>
      <c r="P129" s="155">
        <f t="shared" si="8"/>
        <v>56.959999999999994</v>
      </c>
      <c r="Q129" s="156">
        <f t="shared" si="11"/>
        <v>95187</v>
      </c>
      <c r="R129" s="156">
        <f t="shared" si="12"/>
        <v>5421851.5199999996</v>
      </c>
    </row>
    <row r="130" spans="2:18" s="9" customFormat="1" ht="35.1" customHeight="1" x14ac:dyDescent="0.25">
      <c r="B130" s="13" t="s">
        <v>1103</v>
      </c>
      <c r="C130" s="14" t="s">
        <v>1104</v>
      </c>
      <c r="D130" s="27"/>
      <c r="E130" s="15"/>
      <c r="F130" s="129"/>
      <c r="G130" s="140"/>
      <c r="H130" s="8"/>
      <c r="I130" s="8">
        <f t="shared" si="9"/>
        <v>0</v>
      </c>
      <c r="J130" s="8">
        <f t="shared" si="10"/>
        <v>0</v>
      </c>
      <c r="K130" s="9" t="str">
        <f t="array" ref="K130">_xlfn.XLOOKUP(C130,'Neiva 2022 FASE I ACTUAL (5)'!$C$6:$C$540,'Neiva 2022 FASE I ACTUAL (5)'!$C$6:$F$540,"NO ESTA")</f>
        <v>NO ESTA</v>
      </c>
      <c r="O130" s="124">
        <f t="shared" si="13"/>
        <v>0</v>
      </c>
      <c r="P130" s="155">
        <f t="shared" si="8"/>
        <v>0</v>
      </c>
      <c r="Q130" s="156">
        <f t="shared" si="11"/>
        <v>0</v>
      </c>
      <c r="R130" s="156">
        <f t="shared" si="12"/>
        <v>0</v>
      </c>
    </row>
    <row r="131" spans="2:18" s="9" customFormat="1" ht="35.1" customHeight="1" x14ac:dyDescent="0.25">
      <c r="B131" s="23" t="s">
        <v>1105</v>
      </c>
      <c r="C131" s="22" t="s">
        <v>153</v>
      </c>
      <c r="D131" s="23" t="s">
        <v>13</v>
      </c>
      <c r="E131" s="12">
        <v>1159.8800000000001</v>
      </c>
      <c r="F131" s="126">
        <v>121544</v>
      </c>
      <c r="G131" s="126">
        <f>ROUND(+F131*E131,2)</f>
        <v>140976454.72</v>
      </c>
      <c r="H131" s="8"/>
      <c r="I131" s="8">
        <f t="shared" si="9"/>
        <v>124643</v>
      </c>
      <c r="J131" s="8">
        <f t="shared" si="10"/>
        <v>144570922.84</v>
      </c>
      <c r="K131" s="9" t="str">
        <f t="array" ref="K131:N131">_xlfn.XLOOKUP(C131,'Neiva 2022 FASE I ACTUAL (5)'!$C$6:$C$540,'Neiva 2022 FASE I ACTUAL (5)'!$C$6:$F$540,"NO ESTA")</f>
        <v>SUMINISTRO E INSTALACION PISO TABLETA ZONAS COMUNES Incluye ALISTADO Referencia  ALFA 30 X 30 HUILA Ref. Planos 09610.1</v>
      </c>
      <c r="L131" s="9" t="str">
        <v>M2</v>
      </c>
      <c r="M131" s="9">
        <v>1.4</v>
      </c>
      <c r="N131" s="9">
        <v>107920</v>
      </c>
      <c r="O131" s="124" t="str">
        <f t="shared" si="13"/>
        <v>FASE II</v>
      </c>
      <c r="P131" s="155">
        <f t="shared" si="8"/>
        <v>1161.2800000000002</v>
      </c>
      <c r="Q131" s="156">
        <f t="shared" si="11"/>
        <v>124643</v>
      </c>
      <c r="R131" s="156">
        <f t="shared" si="12"/>
        <v>144745423.03999999</v>
      </c>
    </row>
    <row r="132" spans="2:18" s="9" customFormat="1" ht="35.1" customHeight="1" x14ac:dyDescent="0.25">
      <c r="B132" s="23" t="s">
        <v>1106</v>
      </c>
      <c r="C132" s="22" t="s">
        <v>164</v>
      </c>
      <c r="D132" s="23" t="s">
        <v>13</v>
      </c>
      <c r="E132" s="12">
        <v>53.48</v>
      </c>
      <c r="F132" s="126">
        <v>70614</v>
      </c>
      <c r="G132" s="126">
        <f>ROUND(+F132*E132,2)</f>
        <v>3776436.72</v>
      </c>
      <c r="H132" s="8"/>
      <c r="I132" s="8">
        <f t="shared" si="9"/>
        <v>72415</v>
      </c>
      <c r="J132" s="8">
        <f t="shared" si="10"/>
        <v>3872754.1999999997</v>
      </c>
      <c r="K132" s="9" t="str">
        <f t="array" ref="K132:N132">_xlfn.XLOOKUP(C132,'Neiva 2022 FASE I ACTUAL (5)'!$C$6:$C$540,'Neiva 2022 FASE I ACTUAL (5)'!$C$6:$F$540,"NO ESTA")</f>
        <v>SUMINISTRO E INSTALACION PISO LOSETA PREFABRICADA GRIS Referencia A30 DE 40X60 - (Especificación Cartilla Andenes IDU-2011)  Ref. Planos 09620.8</v>
      </c>
      <c r="L132" s="9" t="str">
        <v>M2</v>
      </c>
      <c r="M132" s="9">
        <v>576.27</v>
      </c>
      <c r="N132" s="9">
        <v>70788</v>
      </c>
      <c r="O132" s="124" t="str">
        <f t="shared" si="13"/>
        <v>FASE I</v>
      </c>
      <c r="P132" s="155">
        <f t="shared" si="8"/>
        <v>629.75</v>
      </c>
      <c r="Q132" s="156">
        <f t="shared" si="11"/>
        <v>72415</v>
      </c>
      <c r="R132" s="156">
        <f t="shared" si="12"/>
        <v>45603346.25</v>
      </c>
    </row>
    <row r="133" spans="2:18" s="9" customFormat="1" ht="35.1" customHeight="1" x14ac:dyDescent="0.25">
      <c r="B133" s="23" t="s">
        <v>1107</v>
      </c>
      <c r="C133" s="22" t="s">
        <v>159</v>
      </c>
      <c r="D133" s="23" t="s">
        <v>13</v>
      </c>
      <c r="E133" s="12">
        <v>9</v>
      </c>
      <c r="F133" s="126">
        <v>96306</v>
      </c>
      <c r="G133" s="126">
        <f>ROUND(+F133*E133,2)</f>
        <v>866754</v>
      </c>
      <c r="H133" s="8"/>
      <c r="I133" s="8">
        <f t="shared" si="9"/>
        <v>98762</v>
      </c>
      <c r="J133" s="8">
        <f t="shared" si="10"/>
        <v>888858</v>
      </c>
      <c r="K133" s="9" t="str">
        <f t="array" ref="K133:N133">_xlfn.XLOOKUP(C133,'Neiva 2022 FASE I ACTUAL (5)'!$C$6:$C$540,'Neiva 2022 FASE I ACTUAL (5)'!$C$6:$F$540,"NO ESTA")</f>
        <v>SUMINISTRO E INSTALACION JARDIN Ref. Planos A2900 (Incluye material aislante, impermeabilizante, tierra, abonos y plantas ornamentales)</v>
      </c>
      <c r="L133" s="9" t="str">
        <v>M2</v>
      </c>
      <c r="M133" s="9">
        <v>4.59</v>
      </c>
      <c r="N133" s="9">
        <v>93854</v>
      </c>
      <c r="O133" s="124" t="str">
        <f t="shared" si="13"/>
        <v>FASE II</v>
      </c>
      <c r="P133" s="155">
        <f t="shared" si="8"/>
        <v>13.59</v>
      </c>
      <c r="Q133" s="156">
        <f t="shared" si="11"/>
        <v>98762</v>
      </c>
      <c r="R133" s="156">
        <f t="shared" si="12"/>
        <v>1342175.58</v>
      </c>
    </row>
    <row r="134" spans="2:18" s="9" customFormat="1" ht="35.1" customHeight="1" x14ac:dyDescent="0.25">
      <c r="B134" s="13" t="s">
        <v>1108</v>
      </c>
      <c r="C134" s="14" t="s">
        <v>1109</v>
      </c>
      <c r="D134" s="27"/>
      <c r="E134" s="15"/>
      <c r="F134" s="129"/>
      <c r="G134" s="140"/>
      <c r="H134" s="8"/>
      <c r="I134" s="8">
        <f t="shared" si="9"/>
        <v>0</v>
      </c>
      <c r="J134" s="8">
        <f t="shared" si="10"/>
        <v>0</v>
      </c>
      <c r="K134" s="9" t="str">
        <f t="array" ref="K134">_xlfn.XLOOKUP(C134,'Neiva 2022 FASE I ACTUAL (5)'!$C$6:$C$540,'Neiva 2022 FASE I ACTUAL (5)'!$C$6:$F$540,"NO ESTA")</f>
        <v>NO ESTA</v>
      </c>
      <c r="O134" s="124">
        <f t="shared" si="13"/>
        <v>0</v>
      </c>
      <c r="P134" s="155">
        <f t="shared" ref="P134:P197" si="18">E134+M134</f>
        <v>0</v>
      </c>
      <c r="Q134" s="156">
        <f t="shared" si="11"/>
        <v>0</v>
      </c>
      <c r="R134" s="156">
        <f t="shared" si="12"/>
        <v>0</v>
      </c>
    </row>
    <row r="135" spans="2:18" s="9" customFormat="1" ht="35.1" customHeight="1" x14ac:dyDescent="0.25">
      <c r="B135" s="23" t="s">
        <v>1110</v>
      </c>
      <c r="C135" s="22" t="s">
        <v>153</v>
      </c>
      <c r="D135" s="23" t="s">
        <v>13</v>
      </c>
      <c r="E135" s="12">
        <v>949.13</v>
      </c>
      <c r="F135" s="126">
        <v>121544</v>
      </c>
      <c r="G135" s="126">
        <f>ROUND(+F135*E135,2)</f>
        <v>115361056.72</v>
      </c>
      <c r="H135" s="8"/>
      <c r="I135" s="8">
        <f t="shared" ref="I135:I198" si="19">+ROUND(F135*(1+$I$4),0)</f>
        <v>124643</v>
      </c>
      <c r="J135" s="8">
        <f t="shared" ref="J135:J198" si="20">+I135*E135</f>
        <v>118302410.59</v>
      </c>
      <c r="K135" s="9" t="str">
        <f t="array" ref="K135:N135">_xlfn.XLOOKUP(C135,'Neiva 2022 FASE I ACTUAL (5)'!$C$6:$C$540,'Neiva 2022 FASE I ACTUAL (5)'!$C$6:$F$540,"NO ESTA")</f>
        <v>SUMINISTRO E INSTALACION PISO TABLETA ZONAS COMUNES Incluye ALISTADO Referencia  ALFA 30 X 30 HUILA Ref. Planos 09610.1</v>
      </c>
      <c r="L135" s="9" t="str">
        <v>M2</v>
      </c>
      <c r="M135" s="9">
        <v>1.4</v>
      </c>
      <c r="N135" s="9">
        <v>107920</v>
      </c>
      <c r="O135" s="124" t="str">
        <f t="shared" si="13"/>
        <v>FASE II</v>
      </c>
      <c r="P135" s="155">
        <f t="shared" si="18"/>
        <v>950.53</v>
      </c>
      <c r="Q135" s="156">
        <f t="shared" ref="Q135:Q198" si="21">MAX(N135,F135,I135)</f>
        <v>124643</v>
      </c>
      <c r="R135" s="156">
        <f t="shared" ref="R135:R198" si="22">ROUND(P135*Q135,2)</f>
        <v>118476910.79000001</v>
      </c>
    </row>
    <row r="136" spans="2:18" s="9" customFormat="1" ht="35.1" customHeight="1" x14ac:dyDescent="0.25">
      <c r="B136" s="23" t="s">
        <v>1111</v>
      </c>
      <c r="C136" s="22" t="s">
        <v>159</v>
      </c>
      <c r="D136" s="23" t="s">
        <v>13</v>
      </c>
      <c r="E136" s="12">
        <v>56.54</v>
      </c>
      <c r="F136" s="126">
        <v>96306</v>
      </c>
      <c r="G136" s="126">
        <f>ROUND(+F136*E136,2)</f>
        <v>5445141.2400000002</v>
      </c>
      <c r="H136" s="8"/>
      <c r="I136" s="8">
        <f t="shared" si="19"/>
        <v>98762</v>
      </c>
      <c r="J136" s="8">
        <f t="shared" si="20"/>
        <v>5584003.4799999995</v>
      </c>
      <c r="K136" s="9" t="str">
        <f t="array" ref="K136:N136">_xlfn.XLOOKUP(C136,'Neiva 2022 FASE I ACTUAL (5)'!$C$6:$C$540,'Neiva 2022 FASE I ACTUAL (5)'!$C$6:$F$540,"NO ESTA")</f>
        <v>SUMINISTRO E INSTALACION JARDIN Ref. Planos A2900 (Incluye material aislante, impermeabilizante, tierra, abonos y plantas ornamentales)</v>
      </c>
      <c r="L136" s="9" t="str">
        <v>M2</v>
      </c>
      <c r="M136" s="9">
        <v>4.59</v>
      </c>
      <c r="N136" s="9">
        <v>93854</v>
      </c>
      <c r="O136" s="124" t="str">
        <f t="shared" ref="O136:O199" si="23">IF(N136=0,0,(IF(F136&lt;N136, "FASE I","FASE II")))</f>
        <v>FASE II</v>
      </c>
      <c r="P136" s="155">
        <f t="shared" si="18"/>
        <v>61.129999999999995</v>
      </c>
      <c r="Q136" s="156">
        <f t="shared" si="21"/>
        <v>98762</v>
      </c>
      <c r="R136" s="156">
        <f t="shared" si="22"/>
        <v>6037321.0599999996</v>
      </c>
    </row>
    <row r="137" spans="2:18" s="9" customFormat="1" ht="35.1" customHeight="1" x14ac:dyDescent="0.25">
      <c r="B137" s="16">
        <v>7</v>
      </c>
      <c r="C137" s="17" t="s">
        <v>175</v>
      </c>
      <c r="D137" s="17"/>
      <c r="E137" s="18"/>
      <c r="F137" s="133"/>
      <c r="G137" s="143"/>
      <c r="H137" s="8"/>
      <c r="I137" s="8">
        <f t="shared" si="19"/>
        <v>0</v>
      </c>
      <c r="J137" s="8">
        <f t="shared" si="20"/>
        <v>0</v>
      </c>
      <c r="K137" s="9" t="str">
        <f t="array" ref="K137:N137">_xlfn.XLOOKUP(C137,'Neiva 2022 FASE I ACTUAL (5)'!$C$6:$C$540,'Neiva 2022 FASE I ACTUAL (5)'!$C$6:$F$540,"NO ESTA")</f>
        <v>VENTANERIA</v>
      </c>
      <c r="L137" s="9">
        <v>0</v>
      </c>
      <c r="M137" s="9">
        <v>0</v>
      </c>
      <c r="N137" s="9">
        <v>0</v>
      </c>
      <c r="O137" s="124">
        <f t="shared" si="23"/>
        <v>0</v>
      </c>
      <c r="P137" s="155">
        <f t="shared" si="18"/>
        <v>0</v>
      </c>
      <c r="Q137" s="156">
        <f t="shared" si="21"/>
        <v>0</v>
      </c>
      <c r="R137" s="156">
        <f t="shared" si="22"/>
        <v>0</v>
      </c>
    </row>
    <row r="138" spans="2:18" s="9" customFormat="1" ht="35.1" customHeight="1" x14ac:dyDescent="0.25">
      <c r="B138" s="13" t="s">
        <v>176</v>
      </c>
      <c r="C138" s="24" t="s">
        <v>177</v>
      </c>
      <c r="D138" s="24"/>
      <c r="E138" s="15"/>
      <c r="F138" s="126">
        <v>0</v>
      </c>
      <c r="G138" s="126">
        <f t="shared" ref="G138:G148" si="24">ROUND(+F138*E138,2)</f>
        <v>0</v>
      </c>
      <c r="H138" s="8"/>
      <c r="I138" s="8">
        <f t="shared" si="19"/>
        <v>0</v>
      </c>
      <c r="J138" s="8">
        <f t="shared" si="20"/>
        <v>0</v>
      </c>
      <c r="K138" s="9" t="str">
        <f t="array" ref="K138:N138">_xlfn.XLOOKUP(C138,'Neiva 2022 FASE I ACTUAL (5)'!$C$6:$C$540,'Neiva 2022 FASE I ACTUAL (5)'!$C$6:$F$540,"NO ESTA")</f>
        <v>SUMINISTRO E INSTALACION VENTANAS ESPACIO PUBLICO</v>
      </c>
      <c r="L138" s="9">
        <v>0</v>
      </c>
      <c r="M138" s="9">
        <v>0</v>
      </c>
      <c r="N138" s="9">
        <v>0</v>
      </c>
      <c r="O138" s="124">
        <f t="shared" si="23"/>
        <v>0</v>
      </c>
      <c r="P138" s="155">
        <f t="shared" si="18"/>
        <v>0</v>
      </c>
      <c r="Q138" s="156">
        <f t="shared" si="21"/>
        <v>0</v>
      </c>
      <c r="R138" s="156">
        <f t="shared" si="22"/>
        <v>0</v>
      </c>
    </row>
    <row r="139" spans="2:18" s="9" customFormat="1" ht="35.1" customHeight="1" x14ac:dyDescent="0.25">
      <c r="B139" s="23" t="s">
        <v>178</v>
      </c>
      <c r="C139" s="22" t="s">
        <v>1112</v>
      </c>
      <c r="D139" s="10" t="s">
        <v>13</v>
      </c>
      <c r="E139" s="12">
        <v>0</v>
      </c>
      <c r="F139" s="126">
        <v>267475</v>
      </c>
      <c r="G139" s="126">
        <f t="shared" si="24"/>
        <v>0</v>
      </c>
      <c r="H139" s="8"/>
      <c r="I139" s="8">
        <f t="shared" si="19"/>
        <v>274296</v>
      </c>
      <c r="J139" s="8">
        <f t="shared" si="20"/>
        <v>0</v>
      </c>
      <c r="K139" s="9" t="str">
        <f t="array" ref="K139">_xlfn.XLOOKUP(C139,'Neiva 2022 FASE I ACTUAL (5)'!$C$6:$C$540,'Neiva 2022 FASE I ACTUAL (5)'!$C$6:$F$540,"NO ESTA")</f>
        <v>NO ESTA</v>
      </c>
      <c r="O139" s="124">
        <f t="shared" si="23"/>
        <v>0</v>
      </c>
      <c r="P139" s="155">
        <f t="shared" si="18"/>
        <v>0</v>
      </c>
      <c r="Q139" s="156">
        <f t="shared" si="21"/>
        <v>274296</v>
      </c>
      <c r="R139" s="156">
        <f t="shared" si="22"/>
        <v>0</v>
      </c>
    </row>
    <row r="140" spans="2:18" s="9" customFormat="1" ht="35.1" customHeight="1" x14ac:dyDescent="0.25">
      <c r="B140" s="13" t="s">
        <v>180</v>
      </c>
      <c r="C140" s="14" t="s">
        <v>181</v>
      </c>
      <c r="D140" s="13"/>
      <c r="E140" s="15"/>
      <c r="F140" s="126">
        <v>0</v>
      </c>
      <c r="G140" s="126">
        <f t="shared" si="24"/>
        <v>0</v>
      </c>
      <c r="H140" s="8"/>
      <c r="I140" s="8">
        <f t="shared" si="19"/>
        <v>0</v>
      </c>
      <c r="J140" s="8">
        <f t="shared" si="20"/>
        <v>0</v>
      </c>
      <c r="K140" s="9" t="str">
        <f t="array" ref="K140:N140">_xlfn.XLOOKUP(C140,'Neiva 2022 FASE I ACTUAL (5)'!$C$6:$C$540,'Neiva 2022 FASE I ACTUAL (5)'!$C$6:$F$540,"NO ESTA")</f>
        <v>SUMINISTRO E INSTALACION VENTANAS PISO 1</v>
      </c>
      <c r="L140" s="9">
        <v>0</v>
      </c>
      <c r="M140" s="9">
        <v>0</v>
      </c>
      <c r="N140" s="9">
        <v>0</v>
      </c>
      <c r="O140" s="124">
        <f t="shared" si="23"/>
        <v>0</v>
      </c>
      <c r="P140" s="155">
        <f t="shared" si="18"/>
        <v>0</v>
      </c>
      <c r="Q140" s="156">
        <f t="shared" si="21"/>
        <v>0</v>
      </c>
      <c r="R140" s="156">
        <f t="shared" si="22"/>
        <v>0</v>
      </c>
    </row>
    <row r="141" spans="2:18" s="9" customFormat="1" ht="35.1" customHeight="1" x14ac:dyDescent="0.25">
      <c r="B141" s="23" t="s">
        <v>182</v>
      </c>
      <c r="C141" s="22" t="s">
        <v>183</v>
      </c>
      <c r="D141" s="10" t="s">
        <v>13</v>
      </c>
      <c r="E141" s="12">
        <v>0</v>
      </c>
      <c r="F141" s="126">
        <v>267475</v>
      </c>
      <c r="G141" s="126">
        <f t="shared" si="24"/>
        <v>0</v>
      </c>
      <c r="H141" s="8"/>
      <c r="I141" s="8">
        <f t="shared" si="19"/>
        <v>274296</v>
      </c>
      <c r="J141" s="8">
        <f t="shared" si="20"/>
        <v>0</v>
      </c>
      <c r="K141" s="9" t="str">
        <f t="array" ref="K141:N141">_xlfn.XLOOKUP(C141,'Neiva 2022 FASE I ACTUAL (5)'!$C$6:$C$540,'Neiva 2022 FASE I ACTUAL (5)'!$C$6:$F$540,"NO ESTA")</f>
        <v>SUMINISTRO E INSTALACION VENTANA EN ALUMINIO o similar TIPO V3 Incluye VIDRIO Referencia SOLARBAN Ver NOTAS GENERALES DE PLANCHA</v>
      </c>
      <c r="L141" s="9" t="str">
        <v>M2</v>
      </c>
      <c r="M141" s="9">
        <v>0.55000000000000004</v>
      </c>
      <c r="N141" s="9">
        <v>260667</v>
      </c>
      <c r="O141" s="124" t="str">
        <f t="shared" si="23"/>
        <v>FASE II</v>
      </c>
      <c r="P141" s="155">
        <f t="shared" si="18"/>
        <v>0.55000000000000004</v>
      </c>
      <c r="Q141" s="156">
        <f t="shared" si="21"/>
        <v>274296</v>
      </c>
      <c r="R141" s="156">
        <f t="shared" si="22"/>
        <v>150862.79999999999</v>
      </c>
    </row>
    <row r="142" spans="2:18" s="9" customFormat="1" ht="35.1" customHeight="1" x14ac:dyDescent="0.25">
      <c r="B142" s="23" t="s">
        <v>184</v>
      </c>
      <c r="C142" s="22" t="s">
        <v>1113</v>
      </c>
      <c r="D142" s="10" t="s">
        <v>13</v>
      </c>
      <c r="E142" s="12">
        <v>0</v>
      </c>
      <c r="F142" s="126">
        <v>267475</v>
      </c>
      <c r="G142" s="126">
        <f t="shared" si="24"/>
        <v>0</v>
      </c>
      <c r="H142" s="8"/>
      <c r="I142" s="8">
        <f t="shared" si="19"/>
        <v>274296</v>
      </c>
      <c r="J142" s="8">
        <f t="shared" si="20"/>
        <v>0</v>
      </c>
      <c r="K142" s="9" t="str">
        <f t="array" ref="K142">_xlfn.XLOOKUP(C142,'Neiva 2022 FASE I ACTUAL (5)'!$C$6:$C$540,'Neiva 2022 FASE I ACTUAL (5)'!$C$6:$F$540,"NO ESTA")</f>
        <v>NO ESTA</v>
      </c>
      <c r="O142" s="124">
        <f t="shared" si="23"/>
        <v>0</v>
      </c>
      <c r="P142" s="155">
        <f t="shared" si="18"/>
        <v>0</v>
      </c>
      <c r="Q142" s="156">
        <f t="shared" si="21"/>
        <v>274296</v>
      </c>
      <c r="R142" s="156">
        <f t="shared" si="22"/>
        <v>0</v>
      </c>
    </row>
    <row r="143" spans="2:18" s="9" customFormat="1" ht="35.1" customHeight="1" x14ac:dyDescent="0.25">
      <c r="B143" s="13" t="s">
        <v>186</v>
      </c>
      <c r="C143" s="14" t="s">
        <v>187</v>
      </c>
      <c r="D143" s="13"/>
      <c r="E143" s="15"/>
      <c r="F143" s="126">
        <v>0</v>
      </c>
      <c r="G143" s="126">
        <f t="shared" si="24"/>
        <v>0</v>
      </c>
      <c r="H143" s="8"/>
      <c r="I143" s="8">
        <f t="shared" si="19"/>
        <v>0</v>
      </c>
      <c r="J143" s="8">
        <f t="shared" si="20"/>
        <v>0</v>
      </c>
      <c r="K143" s="9" t="str">
        <f t="array" ref="K143:N143">_xlfn.XLOOKUP(C143,'Neiva 2022 FASE I ACTUAL (5)'!$C$6:$C$540,'Neiva 2022 FASE I ACTUAL (5)'!$C$6:$F$540,"NO ESTA")</f>
        <v>SUMINISTRO E INSTALACION VENTANAS PISO 2</v>
      </c>
      <c r="L143" s="9">
        <v>0</v>
      </c>
      <c r="M143" s="9">
        <v>0</v>
      </c>
      <c r="N143" s="9">
        <v>0</v>
      </c>
      <c r="O143" s="124">
        <f t="shared" si="23"/>
        <v>0</v>
      </c>
      <c r="P143" s="155">
        <f t="shared" si="18"/>
        <v>0</v>
      </c>
      <c r="Q143" s="156">
        <f t="shared" si="21"/>
        <v>0</v>
      </c>
      <c r="R143" s="156">
        <f t="shared" si="22"/>
        <v>0</v>
      </c>
    </row>
    <row r="144" spans="2:18" s="9" customFormat="1" ht="35.1" customHeight="1" x14ac:dyDescent="0.25">
      <c r="B144" s="23" t="s">
        <v>188</v>
      </c>
      <c r="C144" s="22" t="s">
        <v>189</v>
      </c>
      <c r="D144" s="10" t="s">
        <v>13</v>
      </c>
      <c r="E144" s="12">
        <v>0</v>
      </c>
      <c r="F144" s="126">
        <v>267475</v>
      </c>
      <c r="G144" s="126">
        <f t="shared" si="24"/>
        <v>0</v>
      </c>
      <c r="H144" s="8"/>
      <c r="I144" s="8">
        <f t="shared" si="19"/>
        <v>274296</v>
      </c>
      <c r="J144" s="8">
        <f t="shared" si="20"/>
        <v>0</v>
      </c>
      <c r="K144" s="9" t="str">
        <f t="array" ref="K144:N144">_xlfn.XLOOKUP(C144,'Neiva 2022 FASE I ACTUAL (5)'!$C$6:$C$540,'Neiva 2022 FASE I ACTUAL (5)'!$C$6:$F$540,"NO ESTA")</f>
        <v>SUMINISTRO E INSTALACION VENTANA EN ALUMINIO o similar TIPO V1 Incluye VIDRIO Referencia SOLARBAN Ver NOTAS GENERALES DE PLANCHA</v>
      </c>
      <c r="L144" s="9" t="str">
        <v>M2</v>
      </c>
      <c r="M144" s="9">
        <v>0.05</v>
      </c>
      <c r="N144" s="9">
        <v>260667</v>
      </c>
      <c r="O144" s="124" t="str">
        <f t="shared" si="23"/>
        <v>FASE II</v>
      </c>
      <c r="P144" s="155">
        <f t="shared" si="18"/>
        <v>0.05</v>
      </c>
      <c r="Q144" s="156">
        <f t="shared" si="21"/>
        <v>274296</v>
      </c>
      <c r="R144" s="156">
        <f t="shared" si="22"/>
        <v>13714.8</v>
      </c>
    </row>
    <row r="145" spans="2:18" s="9" customFormat="1" ht="35.1" customHeight="1" x14ac:dyDescent="0.25">
      <c r="B145" s="23" t="s">
        <v>190</v>
      </c>
      <c r="C145" s="22" t="s">
        <v>191</v>
      </c>
      <c r="D145" s="10" t="s">
        <v>13</v>
      </c>
      <c r="E145" s="12">
        <v>0</v>
      </c>
      <c r="F145" s="126">
        <v>267475</v>
      </c>
      <c r="G145" s="126">
        <f t="shared" si="24"/>
        <v>0</v>
      </c>
      <c r="H145" s="8"/>
      <c r="I145" s="8">
        <f t="shared" si="19"/>
        <v>274296</v>
      </c>
      <c r="J145" s="8">
        <f t="shared" si="20"/>
        <v>0</v>
      </c>
      <c r="K145" s="9" t="str">
        <f t="array" ref="K145:N145">_xlfn.XLOOKUP(C145,'Neiva 2022 FASE I ACTUAL (5)'!$C$6:$C$540,'Neiva 2022 FASE I ACTUAL (5)'!$C$6:$F$540,"NO ESTA")</f>
        <v>SUMINISTRO E INSTALACION VENTANA EN ALUMINIO o similar TIPO V2 Incluye VIDRIO Referencia SOLARBAN Ver NOTAS GENERALES DE PLANCHA</v>
      </c>
      <c r="L145" s="9" t="str">
        <v>M2</v>
      </c>
      <c r="M145" s="9">
        <v>0.32</v>
      </c>
      <c r="N145" s="9">
        <v>260667</v>
      </c>
      <c r="O145" s="124" t="str">
        <f t="shared" si="23"/>
        <v>FASE II</v>
      </c>
      <c r="P145" s="155">
        <f t="shared" si="18"/>
        <v>0.32</v>
      </c>
      <c r="Q145" s="156">
        <f t="shared" si="21"/>
        <v>274296</v>
      </c>
      <c r="R145" s="156">
        <f t="shared" si="22"/>
        <v>87774.720000000001</v>
      </c>
    </row>
    <row r="146" spans="2:18" s="9" customFormat="1" ht="35.1" customHeight="1" x14ac:dyDescent="0.25">
      <c r="B146" s="23" t="s">
        <v>192</v>
      </c>
      <c r="C146" s="22" t="s">
        <v>183</v>
      </c>
      <c r="D146" s="10" t="s">
        <v>13</v>
      </c>
      <c r="E146" s="12">
        <v>0</v>
      </c>
      <c r="F146" s="126">
        <v>267475</v>
      </c>
      <c r="G146" s="126">
        <f t="shared" si="24"/>
        <v>0</v>
      </c>
      <c r="H146" s="8"/>
      <c r="I146" s="8">
        <f t="shared" si="19"/>
        <v>274296</v>
      </c>
      <c r="J146" s="8">
        <f t="shared" si="20"/>
        <v>0</v>
      </c>
      <c r="K146" s="9" t="str">
        <f t="array" ref="K146:N146">_xlfn.XLOOKUP(C146,'Neiva 2022 FASE I ACTUAL (5)'!$C$6:$C$540,'Neiva 2022 FASE I ACTUAL (5)'!$C$6:$F$540,"NO ESTA")</f>
        <v>SUMINISTRO E INSTALACION VENTANA EN ALUMINIO o similar TIPO V3 Incluye VIDRIO Referencia SOLARBAN Ver NOTAS GENERALES DE PLANCHA</v>
      </c>
      <c r="L146" s="9" t="str">
        <v>M2</v>
      </c>
      <c r="M146" s="9">
        <v>0.55000000000000004</v>
      </c>
      <c r="N146" s="9">
        <v>260667</v>
      </c>
      <c r="O146" s="124" t="str">
        <f t="shared" si="23"/>
        <v>FASE II</v>
      </c>
      <c r="P146" s="155">
        <f t="shared" si="18"/>
        <v>0.55000000000000004</v>
      </c>
      <c r="Q146" s="156">
        <f t="shared" si="21"/>
        <v>274296</v>
      </c>
      <c r="R146" s="156">
        <f t="shared" si="22"/>
        <v>150862.79999999999</v>
      </c>
    </row>
    <row r="147" spans="2:18" s="9" customFormat="1" ht="35.1" customHeight="1" x14ac:dyDescent="0.25">
      <c r="B147" s="23" t="s">
        <v>193</v>
      </c>
      <c r="C147" s="22" t="s">
        <v>1114</v>
      </c>
      <c r="D147" s="10" t="s">
        <v>13</v>
      </c>
      <c r="E147" s="12">
        <v>0</v>
      </c>
      <c r="F147" s="126">
        <v>267475</v>
      </c>
      <c r="G147" s="126">
        <f t="shared" si="24"/>
        <v>0</v>
      </c>
      <c r="H147" s="8"/>
      <c r="I147" s="8">
        <f t="shared" si="19"/>
        <v>274296</v>
      </c>
      <c r="J147" s="8">
        <f t="shared" si="20"/>
        <v>0</v>
      </c>
      <c r="K147" s="9" t="str">
        <f t="array" ref="K147">_xlfn.XLOOKUP(C147,'Neiva 2022 FASE I ACTUAL (5)'!$C$6:$C$540,'Neiva 2022 FASE I ACTUAL (5)'!$C$6:$F$540,"NO ESTA")</f>
        <v>NO ESTA</v>
      </c>
      <c r="O147" s="124">
        <f t="shared" si="23"/>
        <v>0</v>
      </c>
      <c r="P147" s="155">
        <f t="shared" si="18"/>
        <v>0</v>
      </c>
      <c r="Q147" s="156">
        <f t="shared" si="21"/>
        <v>274296</v>
      </c>
      <c r="R147" s="156">
        <f t="shared" si="22"/>
        <v>0</v>
      </c>
    </row>
    <row r="148" spans="2:18" s="9" customFormat="1" ht="35.1" customHeight="1" x14ac:dyDescent="0.25">
      <c r="B148" s="23" t="s">
        <v>194</v>
      </c>
      <c r="C148" s="22" t="s">
        <v>195</v>
      </c>
      <c r="D148" s="10" t="s">
        <v>13</v>
      </c>
      <c r="E148" s="12">
        <v>0</v>
      </c>
      <c r="F148" s="126">
        <v>267475</v>
      </c>
      <c r="G148" s="126">
        <f t="shared" si="24"/>
        <v>0</v>
      </c>
      <c r="H148" s="8"/>
      <c r="I148" s="8">
        <f t="shared" si="19"/>
        <v>274296</v>
      </c>
      <c r="J148" s="8">
        <f t="shared" si="20"/>
        <v>0</v>
      </c>
      <c r="K148" s="9" t="str">
        <f t="array" ref="K148:N148">_xlfn.XLOOKUP(C148,'Neiva 2022 FASE I ACTUAL (5)'!$C$6:$C$540,'Neiva 2022 FASE I ACTUAL (5)'!$C$6:$F$540,"NO ESTA")</f>
        <v>SUMINISTRO E INSTALACION VENTANA EN ALUMINIO o similar TIPO V5 Incluye VIDRIO Referencia SOLARBAN Ver NOTAS GENERALES DE PLANCHA</v>
      </c>
      <c r="L148" s="9" t="str">
        <v>M2</v>
      </c>
      <c r="M148" s="9">
        <v>0.36</v>
      </c>
      <c r="N148" s="9">
        <v>260667</v>
      </c>
      <c r="O148" s="124" t="str">
        <f t="shared" si="23"/>
        <v>FASE II</v>
      </c>
      <c r="P148" s="155">
        <f t="shared" si="18"/>
        <v>0.36</v>
      </c>
      <c r="Q148" s="156">
        <f t="shared" si="21"/>
        <v>274296</v>
      </c>
      <c r="R148" s="156">
        <f t="shared" si="22"/>
        <v>98746.559999999998</v>
      </c>
    </row>
    <row r="149" spans="2:18" s="9" customFormat="1" ht="35.1" customHeight="1" x14ac:dyDescent="0.25">
      <c r="B149" s="13" t="s">
        <v>1115</v>
      </c>
      <c r="C149" s="14" t="s">
        <v>1116</v>
      </c>
      <c r="D149" s="13"/>
      <c r="E149" s="15"/>
      <c r="F149" s="129"/>
      <c r="G149" s="140"/>
      <c r="H149" s="8"/>
      <c r="I149" s="8">
        <f t="shared" si="19"/>
        <v>0</v>
      </c>
      <c r="J149" s="8">
        <f t="shared" si="20"/>
        <v>0</v>
      </c>
      <c r="K149" s="9" t="str">
        <f t="array" ref="K149">_xlfn.XLOOKUP(C149,'Neiva 2022 FASE I ACTUAL (5)'!$C$6:$C$540,'Neiva 2022 FASE I ACTUAL (5)'!$C$6:$F$540,"NO ESTA")</f>
        <v>NO ESTA</v>
      </c>
      <c r="O149" s="124">
        <f t="shared" si="23"/>
        <v>0</v>
      </c>
      <c r="P149" s="155">
        <f t="shared" si="18"/>
        <v>0</v>
      </c>
      <c r="Q149" s="156">
        <f t="shared" si="21"/>
        <v>0</v>
      </c>
      <c r="R149" s="156">
        <f t="shared" si="22"/>
        <v>0</v>
      </c>
    </row>
    <row r="150" spans="2:18" s="9" customFormat="1" ht="35.1" customHeight="1" x14ac:dyDescent="0.25">
      <c r="B150" s="23" t="s">
        <v>1117</v>
      </c>
      <c r="C150" s="22" t="s">
        <v>189</v>
      </c>
      <c r="D150" s="10" t="s">
        <v>13</v>
      </c>
      <c r="E150" s="12">
        <v>0.54</v>
      </c>
      <c r="F150" s="126">
        <v>268159</v>
      </c>
      <c r="G150" s="126">
        <f>ROUND(+F150*E150,2)</f>
        <v>144805.85999999999</v>
      </c>
      <c r="H150" s="8"/>
      <c r="I150" s="8">
        <f t="shared" si="19"/>
        <v>274997</v>
      </c>
      <c r="J150" s="8">
        <f t="shared" si="20"/>
        <v>148498.38</v>
      </c>
      <c r="K150" s="9" t="str">
        <f t="array" ref="K150:N150">_xlfn.XLOOKUP(C150,'Neiva 2022 FASE I ACTUAL (5)'!$C$6:$C$540,'Neiva 2022 FASE I ACTUAL (5)'!$C$6:$F$540,"NO ESTA")</f>
        <v>SUMINISTRO E INSTALACION VENTANA EN ALUMINIO o similar TIPO V1 Incluye VIDRIO Referencia SOLARBAN Ver NOTAS GENERALES DE PLANCHA</v>
      </c>
      <c r="L150" s="9" t="str">
        <v>M2</v>
      </c>
      <c r="M150" s="9">
        <v>0.05</v>
      </c>
      <c r="N150" s="9">
        <v>260667</v>
      </c>
      <c r="O150" s="124" t="str">
        <f t="shared" si="23"/>
        <v>FASE II</v>
      </c>
      <c r="P150" s="155">
        <f t="shared" si="18"/>
        <v>0.59000000000000008</v>
      </c>
      <c r="Q150" s="156">
        <f t="shared" si="21"/>
        <v>274997</v>
      </c>
      <c r="R150" s="156">
        <f t="shared" si="22"/>
        <v>162248.23000000001</v>
      </c>
    </row>
    <row r="151" spans="2:18" s="9" customFormat="1" ht="35.1" customHeight="1" x14ac:dyDescent="0.25">
      <c r="B151" s="23" t="s">
        <v>1118</v>
      </c>
      <c r="C151" s="22" t="s">
        <v>191</v>
      </c>
      <c r="D151" s="10" t="s">
        <v>13</v>
      </c>
      <c r="E151" s="12">
        <v>2.38</v>
      </c>
      <c r="F151" s="126">
        <v>268159</v>
      </c>
      <c r="G151" s="126">
        <f>ROUND(+F151*E151,2)</f>
        <v>638218.42000000004</v>
      </c>
      <c r="H151" s="8"/>
      <c r="I151" s="8">
        <f t="shared" si="19"/>
        <v>274997</v>
      </c>
      <c r="J151" s="8">
        <f t="shared" si="20"/>
        <v>654492.86</v>
      </c>
      <c r="K151" s="9" t="str">
        <f t="array" ref="K151:N151">_xlfn.XLOOKUP(C151,'Neiva 2022 FASE I ACTUAL (5)'!$C$6:$C$540,'Neiva 2022 FASE I ACTUAL (5)'!$C$6:$F$540,"NO ESTA")</f>
        <v>SUMINISTRO E INSTALACION VENTANA EN ALUMINIO o similar TIPO V2 Incluye VIDRIO Referencia SOLARBAN Ver NOTAS GENERALES DE PLANCHA</v>
      </c>
      <c r="L151" s="9" t="str">
        <v>M2</v>
      </c>
      <c r="M151" s="9">
        <v>0.32</v>
      </c>
      <c r="N151" s="9">
        <v>260667</v>
      </c>
      <c r="O151" s="124" t="str">
        <f t="shared" si="23"/>
        <v>FASE II</v>
      </c>
      <c r="P151" s="155">
        <f t="shared" si="18"/>
        <v>2.6999999999999997</v>
      </c>
      <c r="Q151" s="156">
        <f t="shared" si="21"/>
        <v>274997</v>
      </c>
      <c r="R151" s="156">
        <f t="shared" si="22"/>
        <v>742491.9</v>
      </c>
    </row>
    <row r="152" spans="2:18" s="9" customFormat="1" ht="35.1" customHeight="1" x14ac:dyDescent="0.25">
      <c r="B152" s="23" t="s">
        <v>1119</v>
      </c>
      <c r="C152" s="22" t="s">
        <v>183</v>
      </c>
      <c r="D152" s="10" t="s">
        <v>13</v>
      </c>
      <c r="E152" s="12">
        <v>3.45</v>
      </c>
      <c r="F152" s="126">
        <v>268159</v>
      </c>
      <c r="G152" s="126">
        <f>ROUND(+F152*E152,2)</f>
        <v>925148.55</v>
      </c>
      <c r="H152" s="8"/>
      <c r="I152" s="8">
        <f t="shared" si="19"/>
        <v>274997</v>
      </c>
      <c r="J152" s="8">
        <f t="shared" si="20"/>
        <v>948739.65</v>
      </c>
      <c r="K152" s="9" t="str">
        <f t="array" ref="K152:N152">_xlfn.XLOOKUP(C152,'Neiva 2022 FASE I ACTUAL (5)'!$C$6:$C$540,'Neiva 2022 FASE I ACTUAL (5)'!$C$6:$F$540,"NO ESTA")</f>
        <v>SUMINISTRO E INSTALACION VENTANA EN ALUMINIO o similar TIPO V3 Incluye VIDRIO Referencia SOLARBAN Ver NOTAS GENERALES DE PLANCHA</v>
      </c>
      <c r="L152" s="9" t="str">
        <v>M2</v>
      </c>
      <c r="M152" s="9">
        <v>0.55000000000000004</v>
      </c>
      <c r="N152" s="9">
        <v>260667</v>
      </c>
      <c r="O152" s="124" t="str">
        <f t="shared" si="23"/>
        <v>FASE II</v>
      </c>
      <c r="P152" s="155">
        <f t="shared" si="18"/>
        <v>4</v>
      </c>
      <c r="Q152" s="156">
        <f t="shared" si="21"/>
        <v>274997</v>
      </c>
      <c r="R152" s="156">
        <f t="shared" si="22"/>
        <v>1099988</v>
      </c>
    </row>
    <row r="153" spans="2:18" s="9" customFormat="1" ht="35.1" customHeight="1" x14ac:dyDescent="0.25">
      <c r="B153" s="23" t="s">
        <v>1120</v>
      </c>
      <c r="C153" s="22" t="s">
        <v>195</v>
      </c>
      <c r="D153" s="10" t="s">
        <v>13</v>
      </c>
      <c r="E153" s="12">
        <v>1.8</v>
      </c>
      <c r="F153" s="126">
        <v>268159</v>
      </c>
      <c r="G153" s="126">
        <f>ROUND(+F153*E153,2)</f>
        <v>482686.2</v>
      </c>
      <c r="H153" s="8"/>
      <c r="I153" s="8">
        <f t="shared" si="19"/>
        <v>274997</v>
      </c>
      <c r="J153" s="8">
        <f t="shared" si="20"/>
        <v>494994.60000000003</v>
      </c>
      <c r="K153" s="9" t="str">
        <f t="array" ref="K153:N153">_xlfn.XLOOKUP(C153,'Neiva 2022 FASE I ACTUAL (5)'!$C$6:$C$540,'Neiva 2022 FASE I ACTUAL (5)'!$C$6:$F$540,"NO ESTA")</f>
        <v>SUMINISTRO E INSTALACION VENTANA EN ALUMINIO o similar TIPO V5 Incluye VIDRIO Referencia SOLARBAN Ver NOTAS GENERALES DE PLANCHA</v>
      </c>
      <c r="L153" s="9" t="str">
        <v>M2</v>
      </c>
      <c r="M153" s="9">
        <v>0.36</v>
      </c>
      <c r="N153" s="9">
        <v>260667</v>
      </c>
      <c r="O153" s="124" t="str">
        <f t="shared" si="23"/>
        <v>FASE II</v>
      </c>
      <c r="P153" s="155">
        <f t="shared" si="18"/>
        <v>2.16</v>
      </c>
      <c r="Q153" s="156">
        <f t="shared" si="21"/>
        <v>274997</v>
      </c>
      <c r="R153" s="156">
        <f t="shared" si="22"/>
        <v>593993.52</v>
      </c>
    </row>
    <row r="154" spans="2:18" s="9" customFormat="1" ht="35.1" customHeight="1" x14ac:dyDescent="0.25">
      <c r="B154" s="13" t="s">
        <v>1121</v>
      </c>
      <c r="C154" s="14" t="s">
        <v>1122</v>
      </c>
      <c r="D154" s="13"/>
      <c r="E154" s="15"/>
      <c r="F154" s="129"/>
      <c r="G154" s="140"/>
      <c r="H154" s="8"/>
      <c r="I154" s="8">
        <f t="shared" si="19"/>
        <v>0</v>
      </c>
      <c r="J154" s="8">
        <f t="shared" si="20"/>
        <v>0</v>
      </c>
      <c r="K154" s="9" t="str">
        <f t="array" ref="K154">_xlfn.XLOOKUP(C154,'Neiva 2022 FASE I ACTUAL (5)'!$C$6:$C$540,'Neiva 2022 FASE I ACTUAL (5)'!$C$6:$F$540,"NO ESTA")</f>
        <v>NO ESTA</v>
      </c>
      <c r="O154" s="124">
        <f t="shared" si="23"/>
        <v>0</v>
      </c>
      <c r="P154" s="155">
        <f t="shared" si="18"/>
        <v>0</v>
      </c>
      <c r="Q154" s="156">
        <f t="shared" si="21"/>
        <v>0</v>
      </c>
      <c r="R154" s="156">
        <f t="shared" si="22"/>
        <v>0</v>
      </c>
    </row>
    <row r="155" spans="2:18" s="9" customFormat="1" ht="35.1" customHeight="1" x14ac:dyDescent="0.25">
      <c r="B155" s="23" t="s">
        <v>1123</v>
      </c>
      <c r="C155" s="22" t="s">
        <v>183</v>
      </c>
      <c r="D155" s="10" t="s">
        <v>13</v>
      </c>
      <c r="E155" s="12">
        <v>3.45</v>
      </c>
      <c r="F155" s="126">
        <v>268159</v>
      </c>
      <c r="G155" s="126">
        <f>ROUND(+F155*E155,2)</f>
        <v>925148.55</v>
      </c>
      <c r="H155" s="8"/>
      <c r="I155" s="8">
        <f t="shared" si="19"/>
        <v>274997</v>
      </c>
      <c r="J155" s="8">
        <f t="shared" si="20"/>
        <v>948739.65</v>
      </c>
      <c r="K155" s="9" t="str">
        <f t="array" ref="K155:N155">_xlfn.XLOOKUP(C155,'Neiva 2022 FASE I ACTUAL (5)'!$C$6:$C$540,'Neiva 2022 FASE I ACTUAL (5)'!$C$6:$F$540,"NO ESTA")</f>
        <v>SUMINISTRO E INSTALACION VENTANA EN ALUMINIO o similar TIPO V3 Incluye VIDRIO Referencia SOLARBAN Ver NOTAS GENERALES DE PLANCHA</v>
      </c>
      <c r="L155" s="9" t="str">
        <v>M2</v>
      </c>
      <c r="M155" s="9">
        <v>0.55000000000000004</v>
      </c>
      <c r="N155" s="9">
        <v>260667</v>
      </c>
      <c r="O155" s="124" t="str">
        <f t="shared" si="23"/>
        <v>FASE II</v>
      </c>
      <c r="P155" s="155">
        <f t="shared" si="18"/>
        <v>4</v>
      </c>
      <c r="Q155" s="156">
        <f t="shared" si="21"/>
        <v>274997</v>
      </c>
      <c r="R155" s="156">
        <f t="shared" si="22"/>
        <v>1099988</v>
      </c>
    </row>
    <row r="156" spans="2:18" s="9" customFormat="1" ht="35.1" customHeight="1" x14ac:dyDescent="0.25">
      <c r="B156" s="16">
        <v>8</v>
      </c>
      <c r="C156" s="17" t="s">
        <v>196</v>
      </c>
      <c r="D156" s="17"/>
      <c r="E156" s="18"/>
      <c r="F156" s="133"/>
      <c r="G156" s="143"/>
      <c r="H156" s="8"/>
      <c r="I156" s="8">
        <f t="shared" si="19"/>
        <v>0</v>
      </c>
      <c r="J156" s="8">
        <f t="shared" si="20"/>
        <v>0</v>
      </c>
      <c r="K156" s="9" t="str">
        <f t="array" ref="K156:N156">_xlfn.XLOOKUP(C156,'Neiva 2022 FASE I ACTUAL (5)'!$C$6:$C$540,'Neiva 2022 FASE I ACTUAL (5)'!$C$6:$F$540,"NO ESTA")</f>
        <v>VENTANALES</v>
      </c>
      <c r="L156" s="9">
        <v>0</v>
      </c>
      <c r="M156" s="9">
        <v>0</v>
      </c>
      <c r="N156" s="9">
        <v>0</v>
      </c>
      <c r="O156" s="124">
        <f t="shared" si="23"/>
        <v>0</v>
      </c>
      <c r="P156" s="155">
        <f t="shared" si="18"/>
        <v>0</v>
      </c>
      <c r="Q156" s="156">
        <f t="shared" si="21"/>
        <v>0</v>
      </c>
      <c r="R156" s="156">
        <f t="shared" si="22"/>
        <v>0</v>
      </c>
    </row>
    <row r="157" spans="2:18" s="9" customFormat="1" ht="35.1" customHeight="1" x14ac:dyDescent="0.25">
      <c r="B157" s="13" t="s">
        <v>197</v>
      </c>
      <c r="C157" s="14" t="s">
        <v>198</v>
      </c>
      <c r="D157" s="13"/>
      <c r="E157" s="15"/>
      <c r="F157" s="129"/>
      <c r="G157" s="140"/>
      <c r="H157" s="8"/>
      <c r="I157" s="8">
        <f t="shared" si="19"/>
        <v>0</v>
      </c>
      <c r="J157" s="8">
        <f t="shared" si="20"/>
        <v>0</v>
      </c>
      <c r="K157" s="9" t="str">
        <f t="array" ref="K157:N157">_xlfn.XLOOKUP(C157,'Neiva 2022 FASE I ACTUAL (5)'!$C$6:$C$540,'Neiva 2022 FASE I ACTUAL (5)'!$C$6:$F$540,"NO ESTA")</f>
        <v>SUMINISTRO E INSTALACION VENTANALES PISO 1</v>
      </c>
      <c r="L157" s="9">
        <v>0</v>
      </c>
      <c r="M157" s="9">
        <v>0</v>
      </c>
      <c r="N157" s="9">
        <v>0</v>
      </c>
      <c r="O157" s="124">
        <f t="shared" si="23"/>
        <v>0</v>
      </c>
      <c r="P157" s="155">
        <f t="shared" si="18"/>
        <v>0</v>
      </c>
      <c r="Q157" s="156">
        <f t="shared" si="21"/>
        <v>0</v>
      </c>
      <c r="R157" s="156">
        <f t="shared" si="22"/>
        <v>0</v>
      </c>
    </row>
    <row r="158" spans="2:18" s="9" customFormat="1" ht="35.1" customHeight="1" x14ac:dyDescent="0.25">
      <c r="B158" s="23" t="s">
        <v>199</v>
      </c>
      <c r="C158" s="22" t="s">
        <v>200</v>
      </c>
      <c r="D158" s="10" t="s">
        <v>13</v>
      </c>
      <c r="E158" s="12">
        <v>44.879999999999995</v>
      </c>
      <c r="F158" s="126">
        <v>311887</v>
      </c>
      <c r="G158" s="126">
        <f>ROUND(+F158*E158,2)</f>
        <v>13997488.560000001</v>
      </c>
      <c r="H158" s="8"/>
      <c r="I158" s="8">
        <f t="shared" si="19"/>
        <v>319840</v>
      </c>
      <c r="J158" s="8">
        <f t="shared" si="20"/>
        <v>14354419.199999999</v>
      </c>
      <c r="K158" s="9" t="str">
        <f t="array" ref="K158:N158">_xlfn.XLOOKUP(C158,'Neiva 2022 FASE I ACTUAL (5)'!$C$6:$C$540,'Neiva 2022 FASE I ACTUAL (5)'!$C$6:$F$540,"NO ESTA")</f>
        <v>SUMINISTRO E INSTALACION VENTANAL INTERIOR EN ALUMINIO o similar TIPO V-0 Incluye VIDRIO Referencia TRASLUCIDO TEMPLADO 10MM Ver NOTAS GENERALES DE PLANCHA</v>
      </c>
      <c r="L158" s="9" t="str">
        <v>M2</v>
      </c>
      <c r="M158" s="9">
        <v>16.32</v>
      </c>
      <c r="N158" s="9">
        <v>303948</v>
      </c>
      <c r="O158" s="124" t="str">
        <f t="shared" si="23"/>
        <v>FASE II</v>
      </c>
      <c r="P158" s="155">
        <f t="shared" si="18"/>
        <v>61.199999999999996</v>
      </c>
      <c r="Q158" s="156">
        <f t="shared" si="21"/>
        <v>319840</v>
      </c>
      <c r="R158" s="156">
        <f t="shared" si="22"/>
        <v>19574208</v>
      </c>
    </row>
    <row r="159" spans="2:18" s="9" customFormat="1" ht="35.1" customHeight="1" x14ac:dyDescent="0.25">
      <c r="B159" s="23" t="s">
        <v>201</v>
      </c>
      <c r="C159" s="22" t="s">
        <v>202</v>
      </c>
      <c r="D159" s="10" t="s">
        <v>13</v>
      </c>
      <c r="E159" s="12">
        <v>111.41999999999999</v>
      </c>
      <c r="F159" s="126">
        <v>353438</v>
      </c>
      <c r="G159" s="126">
        <f>ROUND(+F159*E159,2)</f>
        <v>39380061.960000001</v>
      </c>
      <c r="H159" s="8"/>
      <c r="I159" s="8">
        <f t="shared" si="19"/>
        <v>362451</v>
      </c>
      <c r="J159" s="8">
        <f t="shared" si="20"/>
        <v>40384290.419999994</v>
      </c>
      <c r="K159" s="9" t="str">
        <f t="array" ref="K159:N159">_xlfn.XLOOKUP(C159,'Neiva 2022 FASE I ACTUAL (5)'!$C$6:$C$540,'Neiva 2022 FASE I ACTUAL (5)'!$C$6:$F$540,"NO ESTA")</f>
        <v>SUMINISTRO E INSTALACION VENTANAL PERFIL 12cm EN ALUMINIO o similar TIPO V-1 Incluye VIDRIO Referencia SOLARBAN Ver NOTAS GENERALES DE PLANCHA</v>
      </c>
      <c r="L159" s="9" t="str">
        <v>M2</v>
      </c>
      <c r="M159" s="9">
        <v>111.43</v>
      </c>
      <c r="N159" s="9">
        <v>344443</v>
      </c>
      <c r="O159" s="124" t="str">
        <f t="shared" si="23"/>
        <v>FASE II</v>
      </c>
      <c r="P159" s="155">
        <f t="shared" si="18"/>
        <v>222.85</v>
      </c>
      <c r="Q159" s="156">
        <f t="shared" si="21"/>
        <v>362451</v>
      </c>
      <c r="R159" s="156">
        <f t="shared" si="22"/>
        <v>80772205.349999994</v>
      </c>
    </row>
    <row r="160" spans="2:18" s="9" customFormat="1" ht="35.1" customHeight="1" x14ac:dyDescent="0.25">
      <c r="B160" s="23" t="s">
        <v>203</v>
      </c>
      <c r="C160" s="22" t="s">
        <v>204</v>
      </c>
      <c r="D160" s="10" t="s">
        <v>13</v>
      </c>
      <c r="E160" s="12">
        <v>17.010000000000002</v>
      </c>
      <c r="F160" s="126">
        <v>369778</v>
      </c>
      <c r="G160" s="126">
        <f>ROUND(+F160*E160,2)</f>
        <v>6289923.7800000003</v>
      </c>
      <c r="H160" s="8"/>
      <c r="I160" s="8">
        <f t="shared" si="19"/>
        <v>379207</v>
      </c>
      <c r="J160" s="8">
        <f t="shared" si="20"/>
        <v>6450311.0700000003</v>
      </c>
      <c r="K160" s="9" t="str">
        <f t="array" ref="K160:N160">_xlfn.XLOOKUP(C160,'Neiva 2022 FASE I ACTUAL (5)'!$C$6:$C$540,'Neiva 2022 FASE I ACTUAL (5)'!$C$6:$F$540,"NO ESTA")</f>
        <v>SUMINISTRO E INSTALACION VENTANAL DOBLE ALTURA EN ALUMINIO o similar TIPO V-4 Incluye VIDRIO Referencia SOLARBAN Ver NOTAS GENERALES DE PLANCHA</v>
      </c>
      <c r="L160" s="9" t="str">
        <v>M2</v>
      </c>
      <c r="M160" s="9">
        <v>17.010000000000002</v>
      </c>
      <c r="N160" s="9">
        <v>360365</v>
      </c>
      <c r="O160" s="124" t="str">
        <f t="shared" si="23"/>
        <v>FASE II</v>
      </c>
      <c r="P160" s="155">
        <f t="shared" si="18"/>
        <v>34.020000000000003</v>
      </c>
      <c r="Q160" s="156">
        <f t="shared" si="21"/>
        <v>379207</v>
      </c>
      <c r="R160" s="156">
        <f t="shared" si="22"/>
        <v>12900622.140000001</v>
      </c>
    </row>
    <row r="161" spans="2:18" s="9" customFormat="1" ht="35.1" customHeight="1" x14ac:dyDescent="0.25">
      <c r="B161" s="23" t="s">
        <v>205</v>
      </c>
      <c r="C161" s="22" t="s">
        <v>206</v>
      </c>
      <c r="D161" s="10" t="s">
        <v>13</v>
      </c>
      <c r="E161" s="12">
        <v>13.059999999999999</v>
      </c>
      <c r="F161" s="126">
        <v>369778</v>
      </c>
      <c r="G161" s="126">
        <f>ROUND(+F161*E161,2)</f>
        <v>4829300.68</v>
      </c>
      <c r="H161" s="8"/>
      <c r="I161" s="8">
        <f t="shared" si="19"/>
        <v>379207</v>
      </c>
      <c r="J161" s="8">
        <f t="shared" si="20"/>
        <v>4952443.42</v>
      </c>
      <c r="K161" s="9" t="str">
        <f t="array" ref="K161:N161">_xlfn.XLOOKUP(C161,'Neiva 2022 FASE I ACTUAL (5)'!$C$6:$C$540,'Neiva 2022 FASE I ACTUAL (5)'!$C$6:$F$540,"NO ESTA")</f>
        <v>SUMINISTRO E INSTALACIONVENTANAL DOBLE ALTURA LIBRE EN ALUMINIO o similar TIPO V-5 Incluye VIDRIO Referencia SOLARBAN Ver NOTAS GENERALES DE PLANCHA</v>
      </c>
      <c r="L161" s="9" t="str">
        <v>M2</v>
      </c>
      <c r="M161" s="9">
        <v>13.07</v>
      </c>
      <c r="N161" s="9">
        <v>360365</v>
      </c>
      <c r="O161" s="124" t="str">
        <f t="shared" si="23"/>
        <v>FASE II</v>
      </c>
      <c r="P161" s="155">
        <f t="shared" si="18"/>
        <v>26.13</v>
      </c>
      <c r="Q161" s="156">
        <f t="shared" si="21"/>
        <v>379207</v>
      </c>
      <c r="R161" s="156">
        <f t="shared" si="22"/>
        <v>9908678.9100000001</v>
      </c>
    </row>
    <row r="162" spans="2:18" s="9" customFormat="1" ht="35.1" customHeight="1" x14ac:dyDescent="0.25">
      <c r="B162" s="13" t="s">
        <v>207</v>
      </c>
      <c r="C162" s="14" t="s">
        <v>208</v>
      </c>
      <c r="D162" s="13"/>
      <c r="E162" s="15"/>
      <c r="F162" s="129"/>
      <c r="G162" s="140"/>
      <c r="H162" s="8"/>
      <c r="I162" s="8">
        <f t="shared" si="19"/>
        <v>0</v>
      </c>
      <c r="J162" s="8">
        <f t="shared" si="20"/>
        <v>0</v>
      </c>
      <c r="K162" s="9" t="str">
        <f t="array" ref="K162:N162">_xlfn.XLOOKUP(C162,'Neiva 2022 FASE I ACTUAL (5)'!$C$6:$C$540,'Neiva 2022 FASE I ACTUAL (5)'!$C$6:$F$540,"NO ESTA")</f>
        <v>SUMINISTRO E INSTALACION VENTANALES PISO 2</v>
      </c>
      <c r="L162" s="9">
        <v>0</v>
      </c>
      <c r="M162" s="9">
        <v>0</v>
      </c>
      <c r="N162" s="9">
        <v>0</v>
      </c>
      <c r="O162" s="124">
        <f t="shared" si="23"/>
        <v>0</v>
      </c>
      <c r="P162" s="155">
        <f t="shared" si="18"/>
        <v>0</v>
      </c>
      <c r="Q162" s="156">
        <f t="shared" si="21"/>
        <v>0</v>
      </c>
      <c r="R162" s="156">
        <f t="shared" si="22"/>
        <v>0</v>
      </c>
    </row>
    <row r="163" spans="2:18" s="9" customFormat="1" ht="35.1" customHeight="1" x14ac:dyDescent="0.25">
      <c r="B163" s="23" t="s">
        <v>209</v>
      </c>
      <c r="C163" s="22" t="s">
        <v>210</v>
      </c>
      <c r="D163" s="10" t="s">
        <v>13</v>
      </c>
      <c r="E163" s="12">
        <v>221.89</v>
      </c>
      <c r="F163" s="126">
        <v>247305</v>
      </c>
      <c r="G163" s="126">
        <f t="shared" ref="G163:G169" si="25">ROUND(+F163*E163,2)</f>
        <v>54874506.450000003</v>
      </c>
      <c r="H163" s="8"/>
      <c r="I163" s="8">
        <f t="shared" si="19"/>
        <v>253611</v>
      </c>
      <c r="J163" s="8">
        <f t="shared" si="20"/>
        <v>56273744.789999999</v>
      </c>
      <c r="K163" s="9" t="str">
        <f t="array" ref="K163:N163">_xlfn.XLOOKUP(C163,'Neiva 2022 FASE I ACTUAL (5)'!$C$6:$C$540,'Neiva 2022 FASE I ACTUAL (5)'!$C$6:$F$540,"NO ESTA")</f>
        <v>SUMINISTRO E INSTALACION CORTASOL Referencia 84R TIPO CS-1 Ver NOTAS GENERALES DE PLANCHA</v>
      </c>
      <c r="L163" s="9" t="str">
        <v>M2</v>
      </c>
      <c r="M163" s="9">
        <v>21.89</v>
      </c>
      <c r="N163" s="9">
        <v>241010</v>
      </c>
      <c r="O163" s="124" t="str">
        <f t="shared" si="23"/>
        <v>FASE II</v>
      </c>
      <c r="P163" s="155">
        <f t="shared" si="18"/>
        <v>243.77999999999997</v>
      </c>
      <c r="Q163" s="156">
        <f t="shared" si="21"/>
        <v>253611</v>
      </c>
      <c r="R163" s="156">
        <f t="shared" si="22"/>
        <v>61825289.579999998</v>
      </c>
    </row>
    <row r="164" spans="2:18" s="9" customFormat="1" ht="35.1" customHeight="1" x14ac:dyDescent="0.25">
      <c r="B164" s="23" t="s">
        <v>211</v>
      </c>
      <c r="C164" s="22" t="s">
        <v>200</v>
      </c>
      <c r="D164" s="10" t="s">
        <v>13</v>
      </c>
      <c r="E164" s="12">
        <v>13.48</v>
      </c>
      <c r="F164" s="126">
        <v>311887</v>
      </c>
      <c r="G164" s="126">
        <f t="shared" si="25"/>
        <v>4204236.76</v>
      </c>
      <c r="H164" s="8"/>
      <c r="I164" s="8">
        <f t="shared" si="19"/>
        <v>319840</v>
      </c>
      <c r="J164" s="8">
        <f t="shared" si="20"/>
        <v>4311443.2</v>
      </c>
      <c r="K164" s="9" t="str">
        <f t="array" ref="K164:N164">_xlfn.XLOOKUP(C164,'Neiva 2022 FASE I ACTUAL (5)'!$C$6:$C$540,'Neiva 2022 FASE I ACTUAL (5)'!$C$6:$F$540,"NO ESTA")</f>
        <v>SUMINISTRO E INSTALACION VENTANAL INTERIOR EN ALUMINIO o similar TIPO V-0 Incluye VIDRIO Referencia TRASLUCIDO TEMPLADO 10MM Ver NOTAS GENERALES DE PLANCHA</v>
      </c>
      <c r="L164" s="9" t="str">
        <v>M2</v>
      </c>
      <c r="M164" s="9">
        <v>16.32</v>
      </c>
      <c r="N164" s="9">
        <v>303948</v>
      </c>
      <c r="O164" s="124" t="str">
        <f t="shared" si="23"/>
        <v>FASE II</v>
      </c>
      <c r="P164" s="155">
        <f t="shared" si="18"/>
        <v>29.8</v>
      </c>
      <c r="Q164" s="156">
        <f t="shared" si="21"/>
        <v>319840</v>
      </c>
      <c r="R164" s="156">
        <f t="shared" si="22"/>
        <v>9531232</v>
      </c>
    </row>
    <row r="165" spans="2:18" s="9" customFormat="1" ht="35.1" customHeight="1" x14ac:dyDescent="0.25">
      <c r="B165" s="23" t="s">
        <v>212</v>
      </c>
      <c r="C165" s="22" t="s">
        <v>202</v>
      </c>
      <c r="D165" s="10" t="s">
        <v>13</v>
      </c>
      <c r="E165" s="12">
        <v>29.999999999999996</v>
      </c>
      <c r="F165" s="126">
        <v>353438</v>
      </c>
      <c r="G165" s="126">
        <f t="shared" si="25"/>
        <v>10603140</v>
      </c>
      <c r="H165" s="8"/>
      <c r="I165" s="8">
        <f t="shared" si="19"/>
        <v>362451</v>
      </c>
      <c r="J165" s="8">
        <f t="shared" si="20"/>
        <v>10873529.999999998</v>
      </c>
      <c r="K165" s="9" t="str">
        <f t="array" ref="K165:N165">_xlfn.XLOOKUP(C165,'Neiva 2022 FASE I ACTUAL (5)'!$C$6:$C$540,'Neiva 2022 FASE I ACTUAL (5)'!$C$6:$F$540,"NO ESTA")</f>
        <v>SUMINISTRO E INSTALACION VENTANAL PERFIL 12cm EN ALUMINIO o similar TIPO V-1 Incluye VIDRIO Referencia SOLARBAN Ver NOTAS GENERALES DE PLANCHA</v>
      </c>
      <c r="L165" s="9" t="str">
        <v>M2</v>
      </c>
      <c r="M165" s="9">
        <v>111.43</v>
      </c>
      <c r="N165" s="9">
        <v>344443</v>
      </c>
      <c r="O165" s="124" t="str">
        <f t="shared" si="23"/>
        <v>FASE II</v>
      </c>
      <c r="P165" s="155">
        <f t="shared" si="18"/>
        <v>141.43</v>
      </c>
      <c r="Q165" s="156">
        <f t="shared" si="21"/>
        <v>362451</v>
      </c>
      <c r="R165" s="156">
        <f t="shared" si="22"/>
        <v>51261444.93</v>
      </c>
    </row>
    <row r="166" spans="2:18" s="9" customFormat="1" ht="35.1" customHeight="1" x14ac:dyDescent="0.25">
      <c r="B166" s="23" t="s">
        <v>213</v>
      </c>
      <c r="C166" s="22" t="s">
        <v>214</v>
      </c>
      <c r="D166" s="10" t="s">
        <v>13</v>
      </c>
      <c r="E166" s="12">
        <v>78.760000000000005</v>
      </c>
      <c r="F166" s="126">
        <v>353438</v>
      </c>
      <c r="G166" s="126">
        <f t="shared" si="25"/>
        <v>27836776.879999999</v>
      </c>
      <c r="H166" s="8"/>
      <c r="I166" s="8">
        <f t="shared" si="19"/>
        <v>362451</v>
      </c>
      <c r="J166" s="8">
        <f t="shared" si="20"/>
        <v>28546640.760000002</v>
      </c>
      <c r="K166" s="9" t="str">
        <f t="array" ref="K166:N166">_xlfn.XLOOKUP(C166,'Neiva 2022 FASE I ACTUAL (5)'!$C$6:$C$540,'Neiva 2022 FASE I ACTUAL (5)'!$C$6:$F$540,"NO ESTA")</f>
        <v>SUMINISTRO E INSTALACION VENTANAL PERFIL 12cm  AULAS COMPLETO EN ALUMINIO o similar TIPO V-2 Incluye VIDRIO Referencia SOLARBAN Ver NOTAS GENERALES DE PLANCHA</v>
      </c>
      <c r="L166" s="9" t="str">
        <v>M2</v>
      </c>
      <c r="M166" s="9">
        <v>63.83</v>
      </c>
      <c r="N166" s="9">
        <v>344443</v>
      </c>
      <c r="O166" s="124" t="str">
        <f t="shared" si="23"/>
        <v>FASE II</v>
      </c>
      <c r="P166" s="155">
        <f t="shared" si="18"/>
        <v>142.59</v>
      </c>
      <c r="Q166" s="156">
        <f t="shared" si="21"/>
        <v>362451</v>
      </c>
      <c r="R166" s="156">
        <f t="shared" si="22"/>
        <v>51681888.090000004</v>
      </c>
    </row>
    <row r="167" spans="2:18" s="9" customFormat="1" ht="35.1" customHeight="1" x14ac:dyDescent="0.25">
      <c r="B167" s="23" t="s">
        <v>215</v>
      </c>
      <c r="C167" s="22" t="s">
        <v>216</v>
      </c>
      <c r="D167" s="10" t="s">
        <v>13</v>
      </c>
      <c r="E167" s="12">
        <v>78.989999999999995</v>
      </c>
      <c r="F167" s="126">
        <v>366927</v>
      </c>
      <c r="G167" s="126">
        <f t="shared" si="25"/>
        <v>28983563.73</v>
      </c>
      <c r="H167" s="8"/>
      <c r="I167" s="8">
        <f t="shared" si="19"/>
        <v>376284</v>
      </c>
      <c r="J167" s="8">
        <f t="shared" si="20"/>
        <v>29722673.159999996</v>
      </c>
      <c r="K167" s="9" t="str">
        <f t="array" ref="K167:N167">_xlfn.XLOOKUP(C167,'Neiva 2022 FASE I ACTUAL (5)'!$C$6:$C$540,'Neiva 2022 FASE I ACTUAL (5)'!$C$6:$F$540,"NO ESTA")</f>
        <v>SUMINISTRO E INSTALACION VENTANAL PERFIL 15cm EN ALUMINIO o similar TIPO V-3 Incluye VIDRIO Referencia SOLARBAN Ver NOTAS GENERALES DE PLANCHA</v>
      </c>
      <c r="L167" s="9" t="str">
        <v>M2</v>
      </c>
      <c r="M167" s="9">
        <v>7.99</v>
      </c>
      <c r="N167" s="9">
        <v>357587</v>
      </c>
      <c r="O167" s="124" t="str">
        <f t="shared" si="23"/>
        <v>FASE II</v>
      </c>
      <c r="P167" s="155">
        <f t="shared" si="18"/>
        <v>86.97999999999999</v>
      </c>
      <c r="Q167" s="156">
        <f t="shared" si="21"/>
        <v>376284</v>
      </c>
      <c r="R167" s="156">
        <f t="shared" si="22"/>
        <v>32729182.32</v>
      </c>
    </row>
    <row r="168" spans="2:18" s="9" customFormat="1" ht="35.1" customHeight="1" x14ac:dyDescent="0.25">
      <c r="B168" s="23" t="s">
        <v>217</v>
      </c>
      <c r="C168" s="22" t="s">
        <v>218</v>
      </c>
      <c r="D168" s="10" t="s">
        <v>13</v>
      </c>
      <c r="E168" s="12">
        <v>11.76</v>
      </c>
      <c r="F168" s="126">
        <v>369778</v>
      </c>
      <c r="G168" s="126">
        <f t="shared" si="25"/>
        <v>4348589.28</v>
      </c>
      <c r="H168" s="8"/>
      <c r="I168" s="8">
        <f t="shared" si="19"/>
        <v>379207</v>
      </c>
      <c r="J168" s="8">
        <f t="shared" si="20"/>
        <v>4459474.32</v>
      </c>
      <c r="K168" s="9" t="str">
        <f t="array" ref="K168:N168">_xlfn.XLOOKUP(C168,'Neiva 2022 FASE I ACTUAL (5)'!$C$6:$C$540,'Neiva 2022 FASE I ACTUAL (5)'!$C$6:$F$540,"NO ESTA")</f>
        <v>SUMINISTRO E INSTALACION VENTANAL DOBLE ALTURA LIBRE EN ALUMINIO o similar TIPO V-5 Incluye VIDRIO Referencia SOLARBAN Ver NOTAS GENERALES DE PLANCHA</v>
      </c>
      <c r="L168" s="9" t="str">
        <v>M2</v>
      </c>
      <c r="M168" s="9">
        <v>11.76</v>
      </c>
      <c r="N168" s="9">
        <v>360365</v>
      </c>
      <c r="O168" s="124" t="str">
        <f t="shared" si="23"/>
        <v>FASE II</v>
      </c>
      <c r="P168" s="155">
        <f t="shared" si="18"/>
        <v>23.52</v>
      </c>
      <c r="Q168" s="156">
        <f t="shared" si="21"/>
        <v>379207</v>
      </c>
      <c r="R168" s="156">
        <f t="shared" si="22"/>
        <v>8918948.6400000006</v>
      </c>
    </row>
    <row r="169" spans="2:18" s="9" customFormat="1" ht="35.1" customHeight="1" x14ac:dyDescent="0.25">
      <c r="B169" s="23" t="s">
        <v>219</v>
      </c>
      <c r="C169" s="11" t="s">
        <v>220</v>
      </c>
      <c r="D169" s="10" t="s">
        <v>13</v>
      </c>
      <c r="E169" s="12">
        <v>15.659999999999998</v>
      </c>
      <c r="F169" s="126">
        <v>411981</v>
      </c>
      <c r="G169" s="126">
        <f t="shared" si="25"/>
        <v>6451622.46</v>
      </c>
      <c r="H169" s="8"/>
      <c r="I169" s="8">
        <f t="shared" si="19"/>
        <v>422487</v>
      </c>
      <c r="J169" s="8">
        <f t="shared" si="20"/>
        <v>6616146.419999999</v>
      </c>
      <c r="K169" s="9" t="str">
        <f t="array" ref="K169:N169">_xlfn.XLOOKUP(C169,'Neiva 2022 FASE I ACTUAL (5)'!$C$6:$C$540,'Neiva 2022 FASE I ACTUAL (5)'!$C$6:$F$540,"NO ESTA")</f>
        <v>SUMINISTRO E INSTALACION VENTANAL INTERIOR PERFIL 15cm SALONES EN ALUMINIO o similar TIPO V-6Incluye VIDRIO Referencia TRASLUCIDO TEMPLADO 10MM Ver NOTAS GENERALES DE PLANCHA</v>
      </c>
      <c r="L169" s="9" t="str">
        <v>M2</v>
      </c>
      <c r="M169" s="9">
        <v>10.72</v>
      </c>
      <c r="N169" s="9">
        <v>401495</v>
      </c>
      <c r="O169" s="124" t="str">
        <f t="shared" si="23"/>
        <v>FASE II</v>
      </c>
      <c r="P169" s="155">
        <f t="shared" si="18"/>
        <v>26.38</v>
      </c>
      <c r="Q169" s="156">
        <f t="shared" si="21"/>
        <v>422487</v>
      </c>
      <c r="R169" s="156">
        <f t="shared" si="22"/>
        <v>11145207.060000001</v>
      </c>
    </row>
    <row r="170" spans="2:18" s="9" customFormat="1" ht="35.1" customHeight="1" x14ac:dyDescent="0.25">
      <c r="B170" s="13" t="s">
        <v>1124</v>
      </c>
      <c r="C170" s="14" t="s">
        <v>1125</v>
      </c>
      <c r="D170" s="13"/>
      <c r="E170" s="15"/>
      <c r="F170" s="129"/>
      <c r="G170" s="140"/>
      <c r="H170" s="8"/>
      <c r="I170" s="8">
        <f t="shared" si="19"/>
        <v>0</v>
      </c>
      <c r="J170" s="8">
        <f t="shared" si="20"/>
        <v>0</v>
      </c>
      <c r="K170" s="9" t="str">
        <f t="array" ref="K170">_xlfn.XLOOKUP(C170,'Neiva 2022 FASE I ACTUAL (5)'!$C$6:$C$540,'Neiva 2022 FASE I ACTUAL (5)'!$C$6:$F$540,"NO ESTA")</f>
        <v>NO ESTA</v>
      </c>
      <c r="O170" s="124">
        <f t="shared" si="23"/>
        <v>0</v>
      </c>
      <c r="P170" s="155">
        <f t="shared" si="18"/>
        <v>0</v>
      </c>
      <c r="Q170" s="156">
        <f t="shared" si="21"/>
        <v>0</v>
      </c>
      <c r="R170" s="156">
        <f t="shared" si="22"/>
        <v>0</v>
      </c>
    </row>
    <row r="171" spans="2:18" s="9" customFormat="1" ht="35.1" customHeight="1" x14ac:dyDescent="0.25">
      <c r="B171" s="23" t="s">
        <v>1126</v>
      </c>
      <c r="C171" s="22" t="s">
        <v>210</v>
      </c>
      <c r="D171" s="10" t="s">
        <v>13</v>
      </c>
      <c r="E171" s="12">
        <v>181.07</v>
      </c>
      <c r="F171" s="126">
        <v>249572</v>
      </c>
      <c r="G171" s="126">
        <f t="shared" ref="G171:G176" si="26">ROUND(+F171*E171,2)</f>
        <v>45190002.039999999</v>
      </c>
      <c r="H171" s="8"/>
      <c r="I171" s="8">
        <f t="shared" si="19"/>
        <v>255936</v>
      </c>
      <c r="J171" s="8">
        <f t="shared" si="20"/>
        <v>46342331.519999996</v>
      </c>
      <c r="K171" s="9" t="str">
        <f t="array" ref="K171:N171">_xlfn.XLOOKUP(C171,'Neiva 2022 FASE I ACTUAL (5)'!$C$6:$C$540,'Neiva 2022 FASE I ACTUAL (5)'!$C$6:$F$540,"NO ESTA")</f>
        <v>SUMINISTRO E INSTALACION CORTASOL Referencia 84R TIPO CS-1 Ver NOTAS GENERALES DE PLANCHA</v>
      </c>
      <c r="L171" s="9" t="str">
        <v>M2</v>
      </c>
      <c r="M171" s="9">
        <v>21.89</v>
      </c>
      <c r="N171" s="9">
        <v>241010</v>
      </c>
      <c r="O171" s="124" t="str">
        <f t="shared" si="23"/>
        <v>FASE II</v>
      </c>
      <c r="P171" s="155">
        <f t="shared" si="18"/>
        <v>202.95999999999998</v>
      </c>
      <c r="Q171" s="156">
        <f t="shared" si="21"/>
        <v>255936</v>
      </c>
      <c r="R171" s="156">
        <f t="shared" si="22"/>
        <v>51944770.560000002</v>
      </c>
    </row>
    <row r="172" spans="2:18" s="9" customFormat="1" ht="35.1" customHeight="1" x14ac:dyDescent="0.25">
      <c r="B172" s="23" t="s">
        <v>1127</v>
      </c>
      <c r="C172" s="22" t="s">
        <v>1128</v>
      </c>
      <c r="D172" s="10" t="s">
        <v>13</v>
      </c>
      <c r="E172" s="12">
        <v>34.630000000000003</v>
      </c>
      <c r="F172" s="126">
        <v>311887</v>
      </c>
      <c r="G172" s="126">
        <f t="shared" si="26"/>
        <v>10800646.810000001</v>
      </c>
      <c r="H172" s="8"/>
      <c r="I172" s="8">
        <f t="shared" si="19"/>
        <v>319840</v>
      </c>
      <c r="J172" s="8">
        <f t="shared" si="20"/>
        <v>11076059.200000001</v>
      </c>
      <c r="K172" s="9" t="str">
        <f t="array" ref="K172">_xlfn.XLOOKUP(C172,'Neiva 2022 FASE I ACTUAL (5)'!$C$6:$C$540,'Neiva 2022 FASE I ACTUAL (5)'!$C$6:$F$540,"NO ESTA")</f>
        <v>NO ESTA</v>
      </c>
      <c r="O172" s="124">
        <f t="shared" si="23"/>
        <v>0</v>
      </c>
      <c r="P172" s="155">
        <f t="shared" si="18"/>
        <v>34.630000000000003</v>
      </c>
      <c r="Q172" s="156">
        <f t="shared" si="21"/>
        <v>319840</v>
      </c>
      <c r="R172" s="156">
        <f t="shared" si="22"/>
        <v>11076059.199999999</v>
      </c>
    </row>
    <row r="173" spans="2:18" s="9" customFormat="1" ht="35.1" customHeight="1" x14ac:dyDescent="0.25">
      <c r="B173" s="23" t="s">
        <v>1129</v>
      </c>
      <c r="C173" s="22" t="s">
        <v>202</v>
      </c>
      <c r="D173" s="10" t="s">
        <v>13</v>
      </c>
      <c r="E173" s="12">
        <v>87.57</v>
      </c>
      <c r="F173" s="126">
        <v>353438</v>
      </c>
      <c r="G173" s="126">
        <f t="shared" si="26"/>
        <v>30950565.66</v>
      </c>
      <c r="H173" s="8"/>
      <c r="I173" s="8">
        <f t="shared" si="19"/>
        <v>362451</v>
      </c>
      <c r="J173" s="8">
        <f t="shared" si="20"/>
        <v>31739834.069999997</v>
      </c>
      <c r="K173" s="9" t="str">
        <f t="array" ref="K173:N173">_xlfn.XLOOKUP(C173,'Neiva 2022 FASE I ACTUAL (5)'!$C$6:$C$540,'Neiva 2022 FASE I ACTUAL (5)'!$C$6:$F$540,"NO ESTA")</f>
        <v>SUMINISTRO E INSTALACION VENTANAL PERFIL 12cm EN ALUMINIO o similar TIPO V-1 Incluye VIDRIO Referencia SOLARBAN Ver NOTAS GENERALES DE PLANCHA</v>
      </c>
      <c r="L173" s="9" t="str">
        <v>M2</v>
      </c>
      <c r="M173" s="9">
        <v>111.43</v>
      </c>
      <c r="N173" s="9">
        <v>344443</v>
      </c>
      <c r="O173" s="124" t="str">
        <f t="shared" si="23"/>
        <v>FASE II</v>
      </c>
      <c r="P173" s="155">
        <f t="shared" si="18"/>
        <v>199</v>
      </c>
      <c r="Q173" s="156">
        <f t="shared" si="21"/>
        <v>362451</v>
      </c>
      <c r="R173" s="156">
        <f t="shared" si="22"/>
        <v>72127749</v>
      </c>
    </row>
    <row r="174" spans="2:18" s="9" customFormat="1" ht="35.1" customHeight="1" x14ac:dyDescent="0.25">
      <c r="B174" s="23" t="s">
        <v>1130</v>
      </c>
      <c r="C174" s="22" t="s">
        <v>214</v>
      </c>
      <c r="D174" s="10" t="s">
        <v>13</v>
      </c>
      <c r="E174" s="12">
        <v>157.53</v>
      </c>
      <c r="F174" s="126">
        <v>353438</v>
      </c>
      <c r="G174" s="126">
        <f t="shared" si="26"/>
        <v>55677088.140000001</v>
      </c>
      <c r="H174" s="8"/>
      <c r="I174" s="8">
        <f t="shared" si="19"/>
        <v>362451</v>
      </c>
      <c r="J174" s="8">
        <f t="shared" si="20"/>
        <v>57096906.030000001</v>
      </c>
      <c r="K174" s="9" t="str">
        <f t="array" ref="K174:N174">_xlfn.XLOOKUP(C174,'Neiva 2022 FASE I ACTUAL (5)'!$C$6:$C$540,'Neiva 2022 FASE I ACTUAL (5)'!$C$6:$F$540,"NO ESTA")</f>
        <v>SUMINISTRO E INSTALACION VENTANAL PERFIL 12cm  AULAS COMPLETO EN ALUMINIO o similar TIPO V-2 Incluye VIDRIO Referencia SOLARBAN Ver NOTAS GENERALES DE PLANCHA</v>
      </c>
      <c r="L174" s="9" t="str">
        <v>M2</v>
      </c>
      <c r="M174" s="9">
        <v>63.83</v>
      </c>
      <c r="N174" s="9">
        <v>344443</v>
      </c>
      <c r="O174" s="124" t="str">
        <f t="shared" si="23"/>
        <v>FASE II</v>
      </c>
      <c r="P174" s="155">
        <f t="shared" si="18"/>
        <v>221.36</v>
      </c>
      <c r="Q174" s="156">
        <f t="shared" si="21"/>
        <v>362451</v>
      </c>
      <c r="R174" s="156">
        <f t="shared" si="22"/>
        <v>80232153.359999999</v>
      </c>
    </row>
    <row r="175" spans="2:18" s="9" customFormat="1" ht="35.1" customHeight="1" x14ac:dyDescent="0.25">
      <c r="B175" s="23" t="s">
        <v>1131</v>
      </c>
      <c r="C175" s="22" t="s">
        <v>204</v>
      </c>
      <c r="D175" s="10" t="s">
        <v>13</v>
      </c>
      <c r="E175" s="12">
        <v>148.13999999999999</v>
      </c>
      <c r="F175" s="126">
        <v>369778</v>
      </c>
      <c r="G175" s="126">
        <f t="shared" si="26"/>
        <v>54778912.920000002</v>
      </c>
      <c r="H175" s="8"/>
      <c r="I175" s="8">
        <f t="shared" si="19"/>
        <v>379207</v>
      </c>
      <c r="J175" s="8">
        <f t="shared" si="20"/>
        <v>56175724.979999997</v>
      </c>
      <c r="K175" s="9" t="str">
        <f t="array" ref="K175:N175">_xlfn.XLOOKUP(C175,'Neiva 2022 FASE I ACTUAL (5)'!$C$6:$C$540,'Neiva 2022 FASE I ACTUAL (5)'!$C$6:$F$540,"NO ESTA")</f>
        <v>SUMINISTRO E INSTALACION VENTANAL DOBLE ALTURA EN ALUMINIO o similar TIPO V-4 Incluye VIDRIO Referencia SOLARBAN Ver NOTAS GENERALES DE PLANCHA</v>
      </c>
      <c r="L175" s="9" t="str">
        <v>M2</v>
      </c>
      <c r="M175" s="9">
        <v>17.010000000000002</v>
      </c>
      <c r="N175" s="9">
        <v>360365</v>
      </c>
      <c r="O175" s="124" t="str">
        <f t="shared" si="23"/>
        <v>FASE II</v>
      </c>
      <c r="P175" s="155">
        <f t="shared" si="18"/>
        <v>165.14999999999998</v>
      </c>
      <c r="Q175" s="156">
        <f t="shared" si="21"/>
        <v>379207</v>
      </c>
      <c r="R175" s="156">
        <f t="shared" si="22"/>
        <v>62626036.049999997</v>
      </c>
    </row>
    <row r="176" spans="2:18" s="9" customFormat="1" ht="35.1" customHeight="1" x14ac:dyDescent="0.25">
      <c r="B176" s="23" t="s">
        <v>1132</v>
      </c>
      <c r="C176" s="11" t="s">
        <v>1133</v>
      </c>
      <c r="D176" s="10" t="s">
        <v>13</v>
      </c>
      <c r="E176" s="12">
        <v>31.33</v>
      </c>
      <c r="F176" s="126">
        <v>411981</v>
      </c>
      <c r="G176" s="126">
        <f t="shared" si="26"/>
        <v>12907364.73</v>
      </c>
      <c r="H176" s="8"/>
      <c r="I176" s="8">
        <f t="shared" si="19"/>
        <v>422487</v>
      </c>
      <c r="J176" s="8">
        <f t="shared" si="20"/>
        <v>13236517.709999999</v>
      </c>
      <c r="K176" s="9" t="str">
        <f t="array" ref="K176">_xlfn.XLOOKUP(C176,'Neiva 2022 FASE I ACTUAL (5)'!$C$6:$C$540,'Neiva 2022 FASE I ACTUAL (5)'!$C$6:$F$540,"NO ESTA")</f>
        <v>NO ESTA</v>
      </c>
      <c r="O176" s="124">
        <f t="shared" si="23"/>
        <v>0</v>
      </c>
      <c r="P176" s="155">
        <f t="shared" si="18"/>
        <v>31.33</v>
      </c>
      <c r="Q176" s="156">
        <f t="shared" si="21"/>
        <v>422487</v>
      </c>
      <c r="R176" s="156">
        <f t="shared" si="22"/>
        <v>13236517.710000001</v>
      </c>
    </row>
    <row r="177" spans="2:18" s="9" customFormat="1" ht="35.1" customHeight="1" x14ac:dyDescent="0.25">
      <c r="B177" s="13" t="s">
        <v>1134</v>
      </c>
      <c r="C177" s="14" t="s">
        <v>1135</v>
      </c>
      <c r="D177" s="13"/>
      <c r="E177" s="15"/>
      <c r="F177" s="129"/>
      <c r="G177" s="140"/>
      <c r="H177" s="8"/>
      <c r="I177" s="8">
        <f t="shared" si="19"/>
        <v>0</v>
      </c>
      <c r="J177" s="8">
        <f t="shared" si="20"/>
        <v>0</v>
      </c>
      <c r="K177" s="9" t="str">
        <f t="array" ref="K177">_xlfn.XLOOKUP(C177,'Neiva 2022 FASE I ACTUAL (5)'!$C$6:$C$540,'Neiva 2022 FASE I ACTUAL (5)'!$C$6:$F$540,"NO ESTA")</f>
        <v>NO ESTA</v>
      </c>
      <c r="O177" s="124">
        <f t="shared" si="23"/>
        <v>0</v>
      </c>
      <c r="P177" s="155">
        <f t="shared" si="18"/>
        <v>0</v>
      </c>
      <c r="Q177" s="156">
        <f t="shared" si="21"/>
        <v>0</v>
      </c>
      <c r="R177" s="156">
        <f t="shared" si="22"/>
        <v>0</v>
      </c>
    </row>
    <row r="178" spans="2:18" s="9" customFormat="1" ht="35.1" customHeight="1" x14ac:dyDescent="0.25">
      <c r="B178" s="23" t="s">
        <v>1136</v>
      </c>
      <c r="C178" s="22" t="s">
        <v>210</v>
      </c>
      <c r="D178" s="10" t="s">
        <v>13</v>
      </c>
      <c r="E178" s="12">
        <v>41.36</v>
      </c>
      <c r="F178" s="126">
        <v>249572</v>
      </c>
      <c r="G178" s="126">
        <f t="shared" ref="G178:G183" si="27">ROUND(+F178*E178,2)</f>
        <v>10322297.92</v>
      </c>
      <c r="H178" s="8"/>
      <c r="I178" s="8">
        <f t="shared" si="19"/>
        <v>255936</v>
      </c>
      <c r="J178" s="8">
        <f t="shared" si="20"/>
        <v>10585512.959999999</v>
      </c>
      <c r="K178" s="9" t="str">
        <f t="array" ref="K178:N178">_xlfn.XLOOKUP(C178,'Neiva 2022 FASE I ACTUAL (5)'!$C$6:$C$540,'Neiva 2022 FASE I ACTUAL (5)'!$C$6:$F$540,"NO ESTA")</f>
        <v>SUMINISTRO E INSTALACION CORTASOL Referencia 84R TIPO CS-1 Ver NOTAS GENERALES DE PLANCHA</v>
      </c>
      <c r="L178" s="9" t="str">
        <v>M2</v>
      </c>
      <c r="M178" s="9">
        <v>21.89</v>
      </c>
      <c r="N178" s="9">
        <v>241010</v>
      </c>
      <c r="O178" s="124" t="str">
        <f t="shared" si="23"/>
        <v>FASE II</v>
      </c>
      <c r="P178" s="155">
        <f t="shared" si="18"/>
        <v>63.25</v>
      </c>
      <c r="Q178" s="156">
        <f t="shared" si="21"/>
        <v>255936</v>
      </c>
      <c r="R178" s="156">
        <f t="shared" si="22"/>
        <v>16187952</v>
      </c>
    </row>
    <row r="179" spans="2:18" s="9" customFormat="1" ht="35.1" customHeight="1" x14ac:dyDescent="0.25">
      <c r="B179" s="23" t="s">
        <v>1137</v>
      </c>
      <c r="C179" s="22" t="s">
        <v>1128</v>
      </c>
      <c r="D179" s="10" t="s">
        <v>13</v>
      </c>
      <c r="E179" s="12">
        <v>124.89</v>
      </c>
      <c r="F179" s="126">
        <v>311887</v>
      </c>
      <c r="G179" s="126">
        <f t="shared" si="27"/>
        <v>38951567.43</v>
      </c>
      <c r="H179" s="8"/>
      <c r="I179" s="8">
        <f t="shared" si="19"/>
        <v>319840</v>
      </c>
      <c r="J179" s="8">
        <f t="shared" si="20"/>
        <v>39944817.600000001</v>
      </c>
      <c r="K179" s="9" t="str">
        <f t="array" ref="K179">_xlfn.XLOOKUP(C179,'Neiva 2022 FASE I ACTUAL (5)'!$C$6:$C$540,'Neiva 2022 FASE I ACTUAL (5)'!$C$6:$F$540,"NO ESTA")</f>
        <v>NO ESTA</v>
      </c>
      <c r="O179" s="124">
        <f t="shared" si="23"/>
        <v>0</v>
      </c>
      <c r="P179" s="155">
        <f t="shared" si="18"/>
        <v>124.89</v>
      </c>
      <c r="Q179" s="156">
        <f t="shared" si="21"/>
        <v>319840</v>
      </c>
      <c r="R179" s="156">
        <f t="shared" si="22"/>
        <v>39944817.600000001</v>
      </c>
    </row>
    <row r="180" spans="2:18" s="9" customFormat="1" ht="35.1" customHeight="1" x14ac:dyDescent="0.25">
      <c r="B180" s="23" t="s">
        <v>1138</v>
      </c>
      <c r="C180" s="22" t="s">
        <v>202</v>
      </c>
      <c r="D180" s="10" t="s">
        <v>13</v>
      </c>
      <c r="E180" s="12">
        <v>82.95</v>
      </c>
      <c r="F180" s="126">
        <v>353438</v>
      </c>
      <c r="G180" s="126">
        <f t="shared" si="27"/>
        <v>29317682.100000001</v>
      </c>
      <c r="H180" s="8"/>
      <c r="I180" s="8">
        <f t="shared" si="19"/>
        <v>362451</v>
      </c>
      <c r="J180" s="8">
        <f t="shared" si="20"/>
        <v>30065310.449999999</v>
      </c>
      <c r="K180" s="9" t="str">
        <f t="array" ref="K180:N180">_xlfn.XLOOKUP(C180,'Neiva 2022 FASE I ACTUAL (5)'!$C$6:$C$540,'Neiva 2022 FASE I ACTUAL (5)'!$C$6:$F$540,"NO ESTA")</f>
        <v>SUMINISTRO E INSTALACION VENTANAL PERFIL 12cm EN ALUMINIO o similar TIPO V-1 Incluye VIDRIO Referencia SOLARBAN Ver NOTAS GENERALES DE PLANCHA</v>
      </c>
      <c r="L180" s="9" t="str">
        <v>M2</v>
      </c>
      <c r="M180" s="9">
        <v>111.43</v>
      </c>
      <c r="N180" s="9">
        <v>344443</v>
      </c>
      <c r="O180" s="124" t="str">
        <f t="shared" si="23"/>
        <v>FASE II</v>
      </c>
      <c r="P180" s="155">
        <f t="shared" si="18"/>
        <v>194.38</v>
      </c>
      <c r="Q180" s="156">
        <f t="shared" si="21"/>
        <v>362451</v>
      </c>
      <c r="R180" s="156">
        <f t="shared" si="22"/>
        <v>70453225.379999995</v>
      </c>
    </row>
    <row r="181" spans="2:18" s="9" customFormat="1" ht="35.1" customHeight="1" x14ac:dyDescent="0.25">
      <c r="B181" s="10" t="s">
        <v>1139</v>
      </c>
      <c r="C181" s="11" t="s">
        <v>214</v>
      </c>
      <c r="D181" s="10" t="s">
        <v>13</v>
      </c>
      <c r="E181" s="12">
        <v>157.53</v>
      </c>
      <c r="F181" s="126">
        <v>353438</v>
      </c>
      <c r="G181" s="126">
        <f t="shared" si="27"/>
        <v>55677088.140000001</v>
      </c>
      <c r="H181" s="8"/>
      <c r="I181" s="8">
        <f t="shared" si="19"/>
        <v>362451</v>
      </c>
      <c r="J181" s="8">
        <f t="shared" si="20"/>
        <v>57096906.030000001</v>
      </c>
      <c r="K181" s="9" t="str">
        <f t="array" ref="K181:N181">_xlfn.XLOOKUP(C181,'Neiva 2022 FASE I ACTUAL (5)'!$C$6:$C$540,'Neiva 2022 FASE I ACTUAL (5)'!$C$6:$F$540,"NO ESTA")</f>
        <v>SUMINISTRO E INSTALACION VENTANAL PERFIL 12cm  AULAS COMPLETO EN ALUMINIO o similar TIPO V-2 Incluye VIDRIO Referencia SOLARBAN Ver NOTAS GENERALES DE PLANCHA</v>
      </c>
      <c r="L181" s="9" t="str">
        <v>M2</v>
      </c>
      <c r="M181" s="9">
        <v>63.83</v>
      </c>
      <c r="N181" s="9">
        <v>344443</v>
      </c>
      <c r="O181" s="124" t="str">
        <f t="shared" si="23"/>
        <v>FASE II</v>
      </c>
      <c r="P181" s="155">
        <f t="shared" si="18"/>
        <v>221.36</v>
      </c>
      <c r="Q181" s="156">
        <f t="shared" si="21"/>
        <v>362451</v>
      </c>
      <c r="R181" s="156">
        <f t="shared" si="22"/>
        <v>80232153.359999999</v>
      </c>
    </row>
    <row r="182" spans="2:18" s="9" customFormat="1" ht="35.1" customHeight="1" x14ac:dyDescent="0.25">
      <c r="B182" s="10" t="s">
        <v>1140</v>
      </c>
      <c r="C182" s="11" t="s">
        <v>216</v>
      </c>
      <c r="D182" s="10" t="s">
        <v>13</v>
      </c>
      <c r="E182" s="12">
        <v>84.61</v>
      </c>
      <c r="F182" s="126">
        <v>366927</v>
      </c>
      <c r="G182" s="126">
        <f t="shared" si="27"/>
        <v>31045693.469999999</v>
      </c>
      <c r="H182" s="8"/>
      <c r="I182" s="8">
        <f t="shared" si="19"/>
        <v>376284</v>
      </c>
      <c r="J182" s="8">
        <f t="shared" si="20"/>
        <v>31837389.239999998</v>
      </c>
      <c r="K182" s="9" t="str">
        <f t="array" ref="K182:N182">_xlfn.XLOOKUP(C182,'Neiva 2022 FASE I ACTUAL (5)'!$C$6:$C$540,'Neiva 2022 FASE I ACTUAL (5)'!$C$6:$F$540,"NO ESTA")</f>
        <v>SUMINISTRO E INSTALACION VENTANAL PERFIL 15cm EN ALUMINIO o similar TIPO V-3 Incluye VIDRIO Referencia SOLARBAN Ver NOTAS GENERALES DE PLANCHA</v>
      </c>
      <c r="L182" s="9" t="str">
        <v>M2</v>
      </c>
      <c r="M182" s="9">
        <v>7.99</v>
      </c>
      <c r="N182" s="9">
        <v>357587</v>
      </c>
      <c r="O182" s="124" t="str">
        <f t="shared" si="23"/>
        <v>FASE II</v>
      </c>
      <c r="P182" s="155">
        <f t="shared" si="18"/>
        <v>92.6</v>
      </c>
      <c r="Q182" s="156">
        <f t="shared" si="21"/>
        <v>376284</v>
      </c>
      <c r="R182" s="156">
        <f t="shared" si="22"/>
        <v>34843898.399999999</v>
      </c>
    </row>
    <row r="183" spans="2:18" s="9" customFormat="1" ht="35.1" customHeight="1" x14ac:dyDescent="0.25">
      <c r="B183" s="10" t="s">
        <v>1141</v>
      </c>
      <c r="C183" s="11" t="s">
        <v>220</v>
      </c>
      <c r="D183" s="10" t="s">
        <v>13</v>
      </c>
      <c r="E183" s="12">
        <v>31.96</v>
      </c>
      <c r="F183" s="126">
        <v>411981</v>
      </c>
      <c r="G183" s="126">
        <f t="shared" si="27"/>
        <v>13166912.76</v>
      </c>
      <c r="H183" s="8"/>
      <c r="I183" s="8">
        <f t="shared" si="19"/>
        <v>422487</v>
      </c>
      <c r="J183" s="8">
        <f t="shared" si="20"/>
        <v>13502684.52</v>
      </c>
      <c r="K183" s="9" t="str">
        <f t="array" ref="K183:N183">_xlfn.XLOOKUP(C183,'Neiva 2022 FASE I ACTUAL (5)'!$C$6:$C$540,'Neiva 2022 FASE I ACTUAL (5)'!$C$6:$F$540,"NO ESTA")</f>
        <v>SUMINISTRO E INSTALACION VENTANAL INTERIOR PERFIL 15cm SALONES EN ALUMINIO o similar TIPO V-6Incluye VIDRIO Referencia TRASLUCIDO TEMPLADO 10MM Ver NOTAS GENERALES DE PLANCHA</v>
      </c>
      <c r="L183" s="9" t="str">
        <v>M2</v>
      </c>
      <c r="M183" s="9">
        <v>10.72</v>
      </c>
      <c r="N183" s="9">
        <v>401495</v>
      </c>
      <c r="O183" s="124" t="str">
        <f t="shared" si="23"/>
        <v>FASE II</v>
      </c>
      <c r="P183" s="155">
        <f t="shared" si="18"/>
        <v>42.68</v>
      </c>
      <c r="Q183" s="156">
        <f t="shared" si="21"/>
        <v>422487</v>
      </c>
      <c r="R183" s="156">
        <f t="shared" si="22"/>
        <v>18031745.16</v>
      </c>
    </row>
    <row r="184" spans="2:18" s="9" customFormat="1" ht="35.1" customHeight="1" x14ac:dyDescent="0.25">
      <c r="B184" s="16">
        <v>9</v>
      </c>
      <c r="C184" s="17" t="s">
        <v>221</v>
      </c>
      <c r="D184" s="17"/>
      <c r="E184" s="18"/>
      <c r="F184" s="133"/>
      <c r="G184" s="143"/>
      <c r="H184" s="8"/>
      <c r="I184" s="8">
        <f t="shared" si="19"/>
        <v>0</v>
      </c>
      <c r="J184" s="8">
        <f t="shared" si="20"/>
        <v>0</v>
      </c>
      <c r="K184" s="9" t="str">
        <f t="array" ref="K184:N184">_xlfn.XLOOKUP(C184,'Neiva 2022 FASE I ACTUAL (5)'!$C$6:$C$540,'Neiva 2022 FASE I ACTUAL (5)'!$C$6:$F$540,"NO ESTA")</f>
        <v>PUERTAS</v>
      </c>
      <c r="L184" s="9">
        <v>0</v>
      </c>
      <c r="M184" s="9">
        <v>0</v>
      </c>
      <c r="N184" s="9">
        <v>0</v>
      </c>
      <c r="O184" s="124">
        <f t="shared" si="23"/>
        <v>0</v>
      </c>
      <c r="P184" s="155">
        <f t="shared" si="18"/>
        <v>0</v>
      </c>
      <c r="Q184" s="156">
        <f t="shared" si="21"/>
        <v>0</v>
      </c>
      <c r="R184" s="156">
        <f t="shared" si="22"/>
        <v>0</v>
      </c>
    </row>
    <row r="185" spans="2:18" s="9" customFormat="1" ht="35.1" customHeight="1" x14ac:dyDescent="0.25">
      <c r="B185" s="13" t="s">
        <v>222</v>
      </c>
      <c r="C185" s="14" t="s">
        <v>223</v>
      </c>
      <c r="D185" s="13"/>
      <c r="E185" s="15"/>
      <c r="F185" s="126">
        <v>0</v>
      </c>
      <c r="G185" s="126">
        <f t="shared" ref="G185:G197" si="28">ROUND(+F185*E185,2)</f>
        <v>0</v>
      </c>
      <c r="H185" s="8"/>
      <c r="I185" s="8">
        <f t="shared" si="19"/>
        <v>0</v>
      </c>
      <c r="J185" s="8">
        <f t="shared" si="20"/>
        <v>0</v>
      </c>
      <c r="K185" s="9" t="str">
        <f t="array" ref="K185:N185">_xlfn.XLOOKUP(C185,'Neiva 2022 FASE I ACTUAL (5)'!$C$6:$C$540,'Neiva 2022 FASE I ACTUAL (5)'!$C$6:$F$540,"NO ESTA")</f>
        <v>SUMINISTRO E INSTALACIÓN PUERTAS SEMISOTANO</v>
      </c>
      <c r="L185" s="9">
        <v>0</v>
      </c>
      <c r="M185" s="9">
        <v>0</v>
      </c>
      <c r="N185" s="9">
        <v>0</v>
      </c>
      <c r="O185" s="124">
        <f t="shared" si="23"/>
        <v>0</v>
      </c>
      <c r="P185" s="155">
        <f t="shared" si="18"/>
        <v>0</v>
      </c>
      <c r="Q185" s="156">
        <f t="shared" si="21"/>
        <v>0</v>
      </c>
      <c r="R185" s="156">
        <f t="shared" si="22"/>
        <v>0</v>
      </c>
    </row>
    <row r="186" spans="2:18" s="9" customFormat="1" ht="35.1" customHeight="1" x14ac:dyDescent="0.25">
      <c r="B186" s="23" t="s">
        <v>224</v>
      </c>
      <c r="C186" s="22" t="s">
        <v>225</v>
      </c>
      <c r="D186" s="10" t="s">
        <v>13</v>
      </c>
      <c r="E186" s="12">
        <v>0</v>
      </c>
      <c r="F186" s="126">
        <v>1381990</v>
      </c>
      <c r="G186" s="126">
        <f t="shared" si="28"/>
        <v>0</v>
      </c>
      <c r="H186" s="8"/>
      <c r="I186" s="8">
        <f t="shared" si="19"/>
        <v>1417231</v>
      </c>
      <c r="J186" s="8">
        <f t="shared" si="20"/>
        <v>0</v>
      </c>
      <c r="K186" s="9" t="str">
        <f t="array" ref="K186:N186">_xlfn.XLOOKUP(C186,'Neiva 2022 FASE I ACTUAL (5)'!$C$6:$C$540,'Neiva 2022 FASE I ACTUAL (5)'!$C$6:$F$540,"NO ESTA")</f>
        <v>SUMINISTRO E INSTALACION PUERTA DE EVACUACIÓN TIPO P-1 Ver NOTAS GENERALES DE PLANCHA</v>
      </c>
      <c r="L186" s="9" t="str">
        <v>M2</v>
      </c>
      <c r="M186" s="9">
        <v>4.4000000000000004</v>
      </c>
      <c r="N186" s="9">
        <v>1346813</v>
      </c>
      <c r="O186" s="124" t="str">
        <f t="shared" si="23"/>
        <v>FASE II</v>
      </c>
      <c r="P186" s="155">
        <f t="shared" si="18"/>
        <v>4.4000000000000004</v>
      </c>
      <c r="Q186" s="156">
        <f t="shared" si="21"/>
        <v>1417231</v>
      </c>
      <c r="R186" s="156">
        <f t="shared" si="22"/>
        <v>6235816.4000000004</v>
      </c>
    </row>
    <row r="187" spans="2:18" s="9" customFormat="1" ht="35.1" customHeight="1" x14ac:dyDescent="0.25">
      <c r="B187" s="23" t="s">
        <v>226</v>
      </c>
      <c r="C187" s="22" t="s">
        <v>227</v>
      </c>
      <c r="D187" s="10" t="s">
        <v>13</v>
      </c>
      <c r="E187" s="12">
        <v>0</v>
      </c>
      <c r="F187" s="126">
        <v>131548</v>
      </c>
      <c r="G187" s="126">
        <f t="shared" si="28"/>
        <v>0</v>
      </c>
      <c r="H187" s="8"/>
      <c r="I187" s="8">
        <f t="shared" si="19"/>
        <v>134902</v>
      </c>
      <c r="J187" s="8">
        <f t="shared" si="20"/>
        <v>0</v>
      </c>
      <c r="K187" s="9" t="str">
        <f t="array" ref="K187:N187">_xlfn.XLOOKUP(C187,'Neiva 2022 FASE I ACTUAL (5)'!$C$6:$C$540,'Neiva 2022 FASE I ACTUAL (5)'!$C$6:$F$540,"NO ESTA")</f>
        <v>SUMINISTRO E INSTALACION PUERTA METALICA DEPOSITOS TIPO P-2 Ver NOTAS GENERALES DE PLANCHA</v>
      </c>
      <c r="L187" s="9" t="str">
        <v>M2</v>
      </c>
      <c r="M187" s="9">
        <v>15.12</v>
      </c>
      <c r="N187" s="9">
        <v>128200</v>
      </c>
      <c r="O187" s="124" t="str">
        <f t="shared" si="23"/>
        <v>FASE II</v>
      </c>
      <c r="P187" s="155">
        <f t="shared" si="18"/>
        <v>15.12</v>
      </c>
      <c r="Q187" s="156">
        <f t="shared" si="21"/>
        <v>134902</v>
      </c>
      <c r="R187" s="156">
        <f t="shared" si="22"/>
        <v>2039718.24</v>
      </c>
    </row>
    <row r="188" spans="2:18" s="9" customFormat="1" ht="35.1" customHeight="1" x14ac:dyDescent="0.25">
      <c r="B188" s="23" t="s">
        <v>228</v>
      </c>
      <c r="C188" s="22" t="s">
        <v>229</v>
      </c>
      <c r="D188" s="10" t="s">
        <v>13</v>
      </c>
      <c r="E188" s="12">
        <v>0</v>
      </c>
      <c r="F188" s="126">
        <v>154697</v>
      </c>
      <c r="G188" s="126">
        <f t="shared" si="28"/>
        <v>0</v>
      </c>
      <c r="H188" s="8"/>
      <c r="I188" s="8">
        <f t="shared" si="19"/>
        <v>158642</v>
      </c>
      <c r="J188" s="8">
        <f t="shared" si="20"/>
        <v>0</v>
      </c>
      <c r="K188" s="9" t="str">
        <f t="array" ref="K188:N188">_xlfn.XLOOKUP(C188,'Neiva 2022 FASE I ACTUAL (5)'!$C$6:$C$540,'Neiva 2022 FASE I ACTUAL (5)'!$C$6:$F$540,"NO ESTA")</f>
        <v>SUMINISTRO E INSTALACION PUERTA METALICA DOBLE HOJA TIPO P-7 Ver NOTAS GENERALES DE PLANCHA</v>
      </c>
      <c r="L188" s="9" t="str">
        <v>M2</v>
      </c>
      <c r="M188" s="9">
        <v>33.6</v>
      </c>
      <c r="N188" s="9">
        <v>150759</v>
      </c>
      <c r="O188" s="124" t="str">
        <f t="shared" si="23"/>
        <v>FASE II</v>
      </c>
      <c r="P188" s="155">
        <f t="shared" si="18"/>
        <v>33.6</v>
      </c>
      <c r="Q188" s="156">
        <f t="shared" si="21"/>
        <v>158642</v>
      </c>
      <c r="R188" s="156">
        <f t="shared" si="22"/>
        <v>5330371.2</v>
      </c>
    </row>
    <row r="189" spans="2:18" s="9" customFormat="1" ht="35.1" customHeight="1" x14ac:dyDescent="0.25">
      <c r="B189" s="23" t="s">
        <v>230</v>
      </c>
      <c r="C189" s="22" t="s">
        <v>1142</v>
      </c>
      <c r="D189" s="10" t="s">
        <v>13</v>
      </c>
      <c r="E189" s="12">
        <v>0</v>
      </c>
      <c r="F189" s="126">
        <v>252212</v>
      </c>
      <c r="G189" s="126">
        <f t="shared" si="28"/>
        <v>0</v>
      </c>
      <c r="H189" s="8"/>
      <c r="I189" s="8">
        <f t="shared" si="19"/>
        <v>258643</v>
      </c>
      <c r="J189" s="8">
        <f t="shared" si="20"/>
        <v>0</v>
      </c>
      <c r="K189" s="9" t="str">
        <f t="array" ref="K189">_xlfn.XLOOKUP(C189,'Neiva 2022 FASE I ACTUAL (5)'!$C$6:$C$540,'Neiva 2022 FASE I ACTUAL (5)'!$C$6:$F$540,"NO ESTA")</f>
        <v>NO ESTA</v>
      </c>
      <c r="O189" s="124">
        <f t="shared" si="23"/>
        <v>0</v>
      </c>
      <c r="P189" s="155">
        <f t="shared" si="18"/>
        <v>0</v>
      </c>
      <c r="Q189" s="156">
        <f t="shared" si="21"/>
        <v>258643</v>
      </c>
      <c r="R189" s="156">
        <f t="shared" si="22"/>
        <v>0</v>
      </c>
    </row>
    <row r="190" spans="2:18" s="9" customFormat="1" ht="35.1" customHeight="1" x14ac:dyDescent="0.25">
      <c r="B190" s="13" t="s">
        <v>232</v>
      </c>
      <c r="C190" s="14" t="s">
        <v>233</v>
      </c>
      <c r="D190" s="27"/>
      <c r="E190" s="15"/>
      <c r="F190" s="126">
        <v>0</v>
      </c>
      <c r="G190" s="126">
        <f t="shared" si="28"/>
        <v>0</v>
      </c>
      <c r="H190" s="8"/>
      <c r="I190" s="8">
        <f t="shared" si="19"/>
        <v>0</v>
      </c>
      <c r="J190" s="8">
        <f t="shared" si="20"/>
        <v>0</v>
      </c>
      <c r="K190" s="9" t="str">
        <f t="array" ref="K190:N190">_xlfn.XLOOKUP(C190,'Neiva 2022 FASE I ACTUAL (5)'!$C$6:$C$540,'Neiva 2022 FASE I ACTUAL (5)'!$C$6:$F$540,"NO ESTA")</f>
        <v>SUMINISTRO E INSTALACIÓN PUERTAS PISO 1</v>
      </c>
      <c r="L190" s="9">
        <v>0</v>
      </c>
      <c r="M190" s="9">
        <v>0</v>
      </c>
      <c r="N190" s="9">
        <v>0</v>
      </c>
      <c r="O190" s="124">
        <f t="shared" si="23"/>
        <v>0</v>
      </c>
      <c r="P190" s="155">
        <f t="shared" si="18"/>
        <v>0</v>
      </c>
      <c r="Q190" s="156">
        <f t="shared" si="21"/>
        <v>0</v>
      </c>
      <c r="R190" s="156">
        <f t="shared" si="22"/>
        <v>0</v>
      </c>
    </row>
    <row r="191" spans="2:18" s="9" customFormat="1" ht="35.1" customHeight="1" x14ac:dyDescent="0.25">
      <c r="B191" s="23" t="s">
        <v>234</v>
      </c>
      <c r="C191" s="22" t="s">
        <v>225</v>
      </c>
      <c r="D191" s="10" t="s">
        <v>13</v>
      </c>
      <c r="E191" s="12">
        <v>0</v>
      </c>
      <c r="F191" s="126">
        <v>1381990</v>
      </c>
      <c r="G191" s="126">
        <f t="shared" si="28"/>
        <v>0</v>
      </c>
      <c r="H191" s="8"/>
      <c r="I191" s="8">
        <f t="shared" si="19"/>
        <v>1417231</v>
      </c>
      <c r="J191" s="8">
        <f t="shared" si="20"/>
        <v>0</v>
      </c>
      <c r="K191" s="9" t="str">
        <f t="array" ref="K191:N191">_xlfn.XLOOKUP(C191,'Neiva 2022 FASE I ACTUAL (5)'!$C$6:$C$540,'Neiva 2022 FASE I ACTUAL (5)'!$C$6:$F$540,"NO ESTA")</f>
        <v>SUMINISTRO E INSTALACION PUERTA DE EVACUACIÓN TIPO P-1 Ver NOTAS GENERALES DE PLANCHA</v>
      </c>
      <c r="L191" s="9" t="str">
        <v>M2</v>
      </c>
      <c r="M191" s="9">
        <v>4.4000000000000004</v>
      </c>
      <c r="N191" s="9">
        <v>1346813</v>
      </c>
      <c r="O191" s="124" t="str">
        <f t="shared" si="23"/>
        <v>FASE II</v>
      </c>
      <c r="P191" s="155">
        <f t="shared" si="18"/>
        <v>4.4000000000000004</v>
      </c>
      <c r="Q191" s="156">
        <f t="shared" si="21"/>
        <v>1417231</v>
      </c>
      <c r="R191" s="156">
        <f t="shared" si="22"/>
        <v>6235816.4000000004</v>
      </c>
    </row>
    <row r="192" spans="2:18" s="9" customFormat="1" ht="35.1" customHeight="1" x14ac:dyDescent="0.25">
      <c r="B192" s="23" t="s">
        <v>235</v>
      </c>
      <c r="C192" s="22" t="s">
        <v>227</v>
      </c>
      <c r="D192" s="10" t="s">
        <v>13</v>
      </c>
      <c r="E192" s="12">
        <v>0</v>
      </c>
      <c r="F192" s="126">
        <v>131548</v>
      </c>
      <c r="G192" s="126">
        <f t="shared" si="28"/>
        <v>0</v>
      </c>
      <c r="H192" s="8"/>
      <c r="I192" s="8">
        <f t="shared" si="19"/>
        <v>134902</v>
      </c>
      <c r="J192" s="8">
        <f t="shared" si="20"/>
        <v>0</v>
      </c>
      <c r="K192" s="9" t="str">
        <f t="array" ref="K192:N192">_xlfn.XLOOKUP(C192,'Neiva 2022 FASE I ACTUAL (5)'!$C$6:$C$540,'Neiva 2022 FASE I ACTUAL (5)'!$C$6:$F$540,"NO ESTA")</f>
        <v>SUMINISTRO E INSTALACION PUERTA METALICA DEPOSITOS TIPO P-2 Ver NOTAS GENERALES DE PLANCHA</v>
      </c>
      <c r="L192" s="9" t="str">
        <v>M2</v>
      </c>
      <c r="M192" s="9">
        <v>15.12</v>
      </c>
      <c r="N192" s="9">
        <v>128200</v>
      </c>
      <c r="O192" s="124" t="str">
        <f t="shared" si="23"/>
        <v>FASE II</v>
      </c>
      <c r="P192" s="155">
        <f t="shared" si="18"/>
        <v>15.12</v>
      </c>
      <c r="Q192" s="156">
        <f t="shared" si="21"/>
        <v>134902</v>
      </c>
      <c r="R192" s="156">
        <f t="shared" si="22"/>
        <v>2039718.24</v>
      </c>
    </row>
    <row r="193" spans="2:18" s="9" customFormat="1" ht="35.1" customHeight="1" x14ac:dyDescent="0.25">
      <c r="B193" s="23" t="s">
        <v>236</v>
      </c>
      <c r="C193" s="22" t="s">
        <v>237</v>
      </c>
      <c r="D193" s="10" t="s">
        <v>13</v>
      </c>
      <c r="E193" s="12">
        <v>0</v>
      </c>
      <c r="F193" s="126">
        <v>731553</v>
      </c>
      <c r="G193" s="126">
        <f t="shared" si="28"/>
        <v>0</v>
      </c>
      <c r="H193" s="8"/>
      <c r="I193" s="8">
        <f t="shared" si="19"/>
        <v>750208</v>
      </c>
      <c r="J193" s="8">
        <f t="shared" si="20"/>
        <v>0</v>
      </c>
      <c r="K193" s="9" t="str">
        <f t="array" ref="K193:N193">_xlfn.XLOOKUP(C193,'Neiva 2022 FASE I ACTUAL (5)'!$C$6:$C$540,'Neiva 2022 FASE I ACTUAL (5)'!$C$6:$F$540,"NO ESTA")</f>
        <v>SUMINISTRO E INSTALACION PUERTA DIVISORIA DE MADERA TIPO P-3 Ver NOTAS GENERALES DE PLANCHA</v>
      </c>
      <c r="L193" s="9" t="str">
        <v>M2</v>
      </c>
      <c r="M193" s="9">
        <v>2.4</v>
      </c>
      <c r="N193" s="9">
        <v>712932</v>
      </c>
      <c r="O193" s="124" t="str">
        <f t="shared" si="23"/>
        <v>FASE II</v>
      </c>
      <c r="P193" s="155">
        <f t="shared" si="18"/>
        <v>2.4</v>
      </c>
      <c r="Q193" s="156">
        <f t="shared" si="21"/>
        <v>750208</v>
      </c>
      <c r="R193" s="156">
        <f t="shared" si="22"/>
        <v>1800499.2</v>
      </c>
    </row>
    <row r="194" spans="2:18" s="9" customFormat="1" ht="35.1" customHeight="1" x14ac:dyDescent="0.25">
      <c r="B194" s="23" t="s">
        <v>238</v>
      </c>
      <c r="C194" s="22" t="s">
        <v>239</v>
      </c>
      <c r="D194" s="10" t="s">
        <v>13</v>
      </c>
      <c r="E194" s="12">
        <v>0</v>
      </c>
      <c r="F194" s="126">
        <v>731553</v>
      </c>
      <c r="G194" s="126">
        <f t="shared" si="28"/>
        <v>0</v>
      </c>
      <c r="H194" s="8"/>
      <c r="I194" s="8">
        <f t="shared" si="19"/>
        <v>750208</v>
      </c>
      <c r="J194" s="8">
        <f t="shared" si="20"/>
        <v>0</v>
      </c>
      <c r="K194" s="9" t="str">
        <f t="array" ref="K194:N194">_xlfn.XLOOKUP(C194,'Neiva 2022 FASE I ACTUAL (5)'!$C$6:$C$540,'Neiva 2022 FASE I ACTUAL (5)'!$C$6:$F$540,"NO ESTA")</f>
        <v>SUMINISTRO E INSTALACION PUERTA DIVISORIA DE MADERA TIPO P-4 Ver NOTAS GENERALES DE PLANCHA</v>
      </c>
      <c r="L194" s="9" t="str">
        <v>M2</v>
      </c>
      <c r="M194" s="9">
        <v>12.96</v>
      </c>
      <c r="N194" s="9">
        <v>712932</v>
      </c>
      <c r="O194" s="124" t="str">
        <f t="shared" si="23"/>
        <v>FASE II</v>
      </c>
      <c r="P194" s="155">
        <f t="shared" si="18"/>
        <v>12.96</v>
      </c>
      <c r="Q194" s="156">
        <f t="shared" si="21"/>
        <v>750208</v>
      </c>
      <c r="R194" s="156">
        <f t="shared" si="22"/>
        <v>9722695.6799999997</v>
      </c>
    </row>
    <row r="195" spans="2:18" s="9" customFormat="1" ht="35.1" customHeight="1" x14ac:dyDescent="0.25">
      <c r="B195" s="23" t="s">
        <v>240</v>
      </c>
      <c r="C195" s="22" t="s">
        <v>241</v>
      </c>
      <c r="D195" s="10" t="s">
        <v>13</v>
      </c>
      <c r="E195" s="12">
        <v>0</v>
      </c>
      <c r="F195" s="126">
        <v>731553</v>
      </c>
      <c r="G195" s="126">
        <f t="shared" si="28"/>
        <v>0</v>
      </c>
      <c r="H195" s="8"/>
      <c r="I195" s="8">
        <f t="shared" si="19"/>
        <v>750208</v>
      </c>
      <c r="J195" s="8">
        <f t="shared" si="20"/>
        <v>0</v>
      </c>
      <c r="K195" s="9" t="str">
        <f t="array" ref="K195:N195">_xlfn.XLOOKUP(C195,'Neiva 2022 FASE I ACTUAL (5)'!$C$6:$C$540,'Neiva 2022 FASE I ACTUAL (5)'!$C$6:$F$540,"NO ESTA")</f>
        <v>SUMINISTRO E INSTALACION PUERTA DIVISORIA DE MADERA TIPO P-5 Ver NOTAS GENERALES DE PLANCHA</v>
      </c>
      <c r="L195" s="9" t="str">
        <v>M2</v>
      </c>
      <c r="M195" s="9">
        <v>5.76</v>
      </c>
      <c r="N195" s="9">
        <v>712932</v>
      </c>
      <c r="O195" s="124" t="str">
        <f t="shared" si="23"/>
        <v>FASE II</v>
      </c>
      <c r="P195" s="155">
        <f t="shared" si="18"/>
        <v>5.76</v>
      </c>
      <c r="Q195" s="156">
        <f t="shared" si="21"/>
        <v>750208</v>
      </c>
      <c r="R195" s="156">
        <f t="shared" si="22"/>
        <v>4321198.0800000001</v>
      </c>
    </row>
    <row r="196" spans="2:18" s="9" customFormat="1" ht="35.1" customHeight="1" x14ac:dyDescent="0.25">
      <c r="B196" s="23" t="s">
        <v>242</v>
      </c>
      <c r="C196" s="22" t="s">
        <v>229</v>
      </c>
      <c r="D196" s="10" t="s">
        <v>13</v>
      </c>
      <c r="E196" s="12">
        <v>0</v>
      </c>
      <c r="F196" s="126">
        <v>154697</v>
      </c>
      <c r="G196" s="126">
        <f t="shared" si="28"/>
        <v>0</v>
      </c>
      <c r="H196" s="8"/>
      <c r="I196" s="8">
        <f t="shared" si="19"/>
        <v>158642</v>
      </c>
      <c r="J196" s="8">
        <f t="shared" si="20"/>
        <v>0</v>
      </c>
      <c r="K196" s="9" t="str">
        <f t="array" ref="K196:N196">_xlfn.XLOOKUP(C196,'Neiva 2022 FASE I ACTUAL (5)'!$C$6:$C$540,'Neiva 2022 FASE I ACTUAL (5)'!$C$6:$F$540,"NO ESTA")</f>
        <v>SUMINISTRO E INSTALACION PUERTA METALICA DOBLE HOJA TIPO P-7 Ver NOTAS GENERALES DE PLANCHA</v>
      </c>
      <c r="L196" s="9" t="str">
        <v>M2</v>
      </c>
      <c r="M196" s="9">
        <v>33.6</v>
      </c>
      <c r="N196" s="9">
        <v>150759</v>
      </c>
      <c r="O196" s="124" t="str">
        <f t="shared" si="23"/>
        <v>FASE II</v>
      </c>
      <c r="P196" s="155">
        <f t="shared" si="18"/>
        <v>33.6</v>
      </c>
      <c r="Q196" s="156">
        <f t="shared" si="21"/>
        <v>158642</v>
      </c>
      <c r="R196" s="156">
        <f t="shared" si="22"/>
        <v>5330371.2</v>
      </c>
    </row>
    <row r="197" spans="2:18" s="9" customFormat="1" ht="35.1" customHeight="1" x14ac:dyDescent="0.25">
      <c r="B197" s="23" t="s">
        <v>243</v>
      </c>
      <c r="C197" s="22" t="s">
        <v>244</v>
      </c>
      <c r="D197" s="10" t="s">
        <v>13</v>
      </c>
      <c r="E197" s="12">
        <v>0</v>
      </c>
      <c r="F197" s="126">
        <v>579822</v>
      </c>
      <c r="G197" s="126">
        <f t="shared" si="28"/>
        <v>0</v>
      </c>
      <c r="H197" s="8"/>
      <c r="I197" s="8">
        <f t="shared" si="19"/>
        <v>594607</v>
      </c>
      <c r="J197" s="8">
        <f t="shared" si="20"/>
        <v>0</v>
      </c>
      <c r="K197" s="9" t="str">
        <f t="array" ref="K197:N197">_xlfn.XLOOKUP(C197,'Neiva 2022 FASE I ACTUAL (5)'!$C$6:$C$540,'Neiva 2022 FASE I ACTUAL (5)'!$C$6:$F$540,"NO ESTA")</f>
        <v>SUMINISTRO E INSTALACION PUERTA DIVISORIA EN VIDRIO TIPO PV1 Ver NOTAS GENERALES DE PLANCHA</v>
      </c>
      <c r="L197" s="9" t="str">
        <v>M2</v>
      </c>
      <c r="M197" s="9">
        <v>24.8</v>
      </c>
      <c r="N197" s="9">
        <v>565064</v>
      </c>
      <c r="O197" s="124" t="str">
        <f t="shared" si="23"/>
        <v>FASE II</v>
      </c>
      <c r="P197" s="155">
        <f t="shared" si="18"/>
        <v>24.8</v>
      </c>
      <c r="Q197" s="156">
        <f t="shared" si="21"/>
        <v>594607</v>
      </c>
      <c r="R197" s="156">
        <f t="shared" si="22"/>
        <v>14746253.6</v>
      </c>
    </row>
    <row r="198" spans="2:18" s="9" customFormat="1" ht="35.1" customHeight="1" x14ac:dyDescent="0.25">
      <c r="B198" s="13" t="s">
        <v>245</v>
      </c>
      <c r="C198" s="14" t="s">
        <v>246</v>
      </c>
      <c r="D198" s="13"/>
      <c r="E198" s="15"/>
      <c r="F198" s="129"/>
      <c r="G198" s="140"/>
      <c r="H198" s="8"/>
      <c r="I198" s="8">
        <f t="shared" si="19"/>
        <v>0</v>
      </c>
      <c r="J198" s="8">
        <f t="shared" si="20"/>
        <v>0</v>
      </c>
      <c r="K198" s="9" t="str">
        <f t="array" ref="K198:N198">_xlfn.XLOOKUP(C198,'Neiva 2022 FASE I ACTUAL (5)'!$C$6:$C$540,'Neiva 2022 FASE I ACTUAL (5)'!$C$6:$F$540,"NO ESTA")</f>
        <v>SUMINISTRO E INSTALACIÓN PUERTAS PISO 2</v>
      </c>
      <c r="L198" s="9">
        <v>0</v>
      </c>
      <c r="M198" s="9">
        <v>0</v>
      </c>
      <c r="N198" s="9">
        <v>0</v>
      </c>
      <c r="O198" s="124">
        <f t="shared" si="23"/>
        <v>0</v>
      </c>
      <c r="P198" s="155">
        <f t="shared" ref="P198:P261" si="29">E198+M198</f>
        <v>0</v>
      </c>
      <c r="Q198" s="156">
        <f t="shared" si="21"/>
        <v>0</v>
      </c>
      <c r="R198" s="156">
        <f t="shared" si="22"/>
        <v>0</v>
      </c>
    </row>
    <row r="199" spans="2:18" s="9" customFormat="1" ht="35.1" customHeight="1" x14ac:dyDescent="0.25">
      <c r="B199" s="23" t="s">
        <v>247</v>
      </c>
      <c r="C199" s="22" t="s">
        <v>225</v>
      </c>
      <c r="D199" s="10" t="s">
        <v>13</v>
      </c>
      <c r="E199" s="12">
        <v>2.2000000000000002</v>
      </c>
      <c r="F199" s="126">
        <v>1381990</v>
      </c>
      <c r="G199" s="126">
        <f t="shared" ref="G199:G204" si="30">ROUND(+F199*E199,2)</f>
        <v>3040378</v>
      </c>
      <c r="H199" s="8"/>
      <c r="I199" s="8">
        <f t="shared" ref="I199:I262" si="31">+ROUND(F199*(1+$I$4),0)</f>
        <v>1417231</v>
      </c>
      <c r="J199" s="8">
        <f t="shared" ref="J199:J262" si="32">+I199*E199</f>
        <v>3117908.2</v>
      </c>
      <c r="K199" s="9" t="str">
        <f t="array" ref="K199:N199">_xlfn.XLOOKUP(C199,'Neiva 2022 FASE I ACTUAL (5)'!$C$6:$C$540,'Neiva 2022 FASE I ACTUAL (5)'!$C$6:$F$540,"NO ESTA")</f>
        <v>SUMINISTRO E INSTALACION PUERTA DE EVACUACIÓN TIPO P-1 Ver NOTAS GENERALES DE PLANCHA</v>
      </c>
      <c r="L199" s="9" t="str">
        <v>M2</v>
      </c>
      <c r="M199" s="9">
        <v>4.4000000000000004</v>
      </c>
      <c r="N199" s="9">
        <v>1346813</v>
      </c>
      <c r="O199" s="124" t="str">
        <f t="shared" si="23"/>
        <v>FASE II</v>
      </c>
      <c r="P199" s="155">
        <f t="shared" si="29"/>
        <v>6.6000000000000005</v>
      </c>
      <c r="Q199" s="156">
        <f t="shared" ref="Q199:Q262" si="33">MAX(N199,F199,I199)</f>
        <v>1417231</v>
      </c>
      <c r="R199" s="156">
        <f t="shared" ref="R199:R262" si="34">ROUND(P199*Q199,2)</f>
        <v>9353724.5999999996</v>
      </c>
    </row>
    <row r="200" spans="2:18" s="9" customFormat="1" ht="35.1" customHeight="1" x14ac:dyDescent="0.25">
      <c r="B200" s="23" t="s">
        <v>248</v>
      </c>
      <c r="C200" s="22" t="s">
        <v>227</v>
      </c>
      <c r="D200" s="10" t="s">
        <v>13</v>
      </c>
      <c r="E200" s="12">
        <v>2.16</v>
      </c>
      <c r="F200" s="126">
        <v>131548</v>
      </c>
      <c r="G200" s="126">
        <f t="shared" si="30"/>
        <v>284143.68</v>
      </c>
      <c r="H200" s="8">
        <f>ROUND(F200*(1+$H$3),0)</f>
        <v>256887</v>
      </c>
      <c r="I200" s="8">
        <f t="shared" si="31"/>
        <v>134902</v>
      </c>
      <c r="J200" s="8">
        <f t="shared" si="32"/>
        <v>291388.32</v>
      </c>
      <c r="K200" s="9" t="str">
        <f t="array" ref="K200:N200">_xlfn.XLOOKUP(C200,'Neiva 2022 FASE I ACTUAL (5)'!$C$6:$C$540,'Neiva 2022 FASE I ACTUAL (5)'!$C$6:$F$540,"NO ESTA")</f>
        <v>SUMINISTRO E INSTALACION PUERTA METALICA DEPOSITOS TIPO P-2 Ver NOTAS GENERALES DE PLANCHA</v>
      </c>
      <c r="L200" s="9" t="str">
        <v>M2</v>
      </c>
      <c r="M200" s="9">
        <v>15.12</v>
      </c>
      <c r="N200" s="9">
        <v>128200</v>
      </c>
      <c r="O200" s="124" t="str">
        <f t="shared" ref="O200:O263" si="35">IF(N200=0,0,(IF(F200&lt;N200, "FASE I","FASE II")))</f>
        <v>FASE II</v>
      </c>
      <c r="P200" s="155">
        <f t="shared" si="29"/>
        <v>17.28</v>
      </c>
      <c r="Q200" s="156">
        <f t="shared" si="33"/>
        <v>134902</v>
      </c>
      <c r="R200" s="156">
        <f t="shared" si="34"/>
        <v>2331106.56</v>
      </c>
    </row>
    <row r="201" spans="2:18" s="9" customFormat="1" ht="35.1" customHeight="1" x14ac:dyDescent="0.25">
      <c r="B201" s="23" t="s">
        <v>249</v>
      </c>
      <c r="C201" s="22" t="s">
        <v>237</v>
      </c>
      <c r="D201" s="10" t="s">
        <v>13</v>
      </c>
      <c r="E201" s="12">
        <v>4.8</v>
      </c>
      <c r="F201" s="126">
        <v>731553</v>
      </c>
      <c r="G201" s="126">
        <f t="shared" si="30"/>
        <v>3511454.4</v>
      </c>
      <c r="H201" s="8"/>
      <c r="I201" s="8">
        <f t="shared" si="31"/>
        <v>750208</v>
      </c>
      <c r="J201" s="8">
        <f t="shared" si="32"/>
        <v>3600998.3999999999</v>
      </c>
      <c r="K201" s="9" t="str">
        <f t="array" ref="K201:N201">_xlfn.XLOOKUP(C201,'Neiva 2022 FASE I ACTUAL (5)'!$C$6:$C$540,'Neiva 2022 FASE I ACTUAL (5)'!$C$6:$F$540,"NO ESTA")</f>
        <v>SUMINISTRO E INSTALACION PUERTA DIVISORIA DE MADERA TIPO P-3 Ver NOTAS GENERALES DE PLANCHA</v>
      </c>
      <c r="L201" s="9" t="str">
        <v>M2</v>
      </c>
      <c r="M201" s="9">
        <v>2.4</v>
      </c>
      <c r="N201" s="9">
        <v>712932</v>
      </c>
      <c r="O201" s="124" t="str">
        <f t="shared" si="35"/>
        <v>FASE II</v>
      </c>
      <c r="P201" s="155">
        <f t="shared" si="29"/>
        <v>7.1999999999999993</v>
      </c>
      <c r="Q201" s="156">
        <f t="shared" si="33"/>
        <v>750208</v>
      </c>
      <c r="R201" s="156">
        <f t="shared" si="34"/>
        <v>5401497.5999999996</v>
      </c>
    </row>
    <row r="202" spans="2:18" s="9" customFormat="1" ht="35.1" customHeight="1" x14ac:dyDescent="0.25">
      <c r="B202" s="23" t="s">
        <v>250</v>
      </c>
      <c r="C202" s="22" t="s">
        <v>239</v>
      </c>
      <c r="D202" s="10" t="s">
        <v>13</v>
      </c>
      <c r="E202" s="12">
        <v>2.16</v>
      </c>
      <c r="F202" s="126">
        <v>731553</v>
      </c>
      <c r="G202" s="126">
        <f t="shared" si="30"/>
        <v>1580154.48</v>
      </c>
      <c r="H202" s="8"/>
      <c r="I202" s="8">
        <f t="shared" si="31"/>
        <v>750208</v>
      </c>
      <c r="J202" s="8">
        <f t="shared" si="32"/>
        <v>1620449.28</v>
      </c>
      <c r="K202" s="9" t="str">
        <f t="array" ref="K202:N202">_xlfn.XLOOKUP(C202,'Neiva 2022 FASE I ACTUAL (5)'!$C$6:$C$540,'Neiva 2022 FASE I ACTUAL (5)'!$C$6:$F$540,"NO ESTA")</f>
        <v>SUMINISTRO E INSTALACION PUERTA DIVISORIA DE MADERA TIPO P-4 Ver NOTAS GENERALES DE PLANCHA</v>
      </c>
      <c r="L202" s="9" t="str">
        <v>M2</v>
      </c>
      <c r="M202" s="9">
        <v>12.96</v>
      </c>
      <c r="N202" s="9">
        <v>712932</v>
      </c>
      <c r="O202" s="124" t="str">
        <f t="shared" si="35"/>
        <v>FASE II</v>
      </c>
      <c r="P202" s="155">
        <f t="shared" si="29"/>
        <v>15.120000000000001</v>
      </c>
      <c r="Q202" s="156">
        <f t="shared" si="33"/>
        <v>750208</v>
      </c>
      <c r="R202" s="156">
        <f t="shared" si="34"/>
        <v>11343144.960000001</v>
      </c>
    </row>
    <row r="203" spans="2:18" s="9" customFormat="1" ht="35.1" customHeight="1" x14ac:dyDescent="0.25">
      <c r="B203" s="23" t="s">
        <v>251</v>
      </c>
      <c r="C203" s="22" t="s">
        <v>241</v>
      </c>
      <c r="D203" s="10" t="s">
        <v>13</v>
      </c>
      <c r="E203" s="12">
        <v>2.88</v>
      </c>
      <c r="F203" s="126">
        <v>731553</v>
      </c>
      <c r="G203" s="126">
        <f t="shared" si="30"/>
        <v>2106872.64</v>
      </c>
      <c r="H203" s="8"/>
      <c r="I203" s="8">
        <f t="shared" si="31"/>
        <v>750208</v>
      </c>
      <c r="J203" s="8">
        <f t="shared" si="32"/>
        <v>2160599.04</v>
      </c>
      <c r="K203" s="9" t="str">
        <f t="array" ref="K203:N203">_xlfn.XLOOKUP(C203,'Neiva 2022 FASE I ACTUAL (5)'!$C$6:$C$540,'Neiva 2022 FASE I ACTUAL (5)'!$C$6:$F$540,"NO ESTA")</f>
        <v>SUMINISTRO E INSTALACION PUERTA DIVISORIA DE MADERA TIPO P-5 Ver NOTAS GENERALES DE PLANCHA</v>
      </c>
      <c r="L203" s="9" t="str">
        <v>M2</v>
      </c>
      <c r="M203" s="9">
        <v>5.76</v>
      </c>
      <c r="N203" s="9">
        <v>712932</v>
      </c>
      <c r="O203" s="124" t="str">
        <f t="shared" si="35"/>
        <v>FASE II</v>
      </c>
      <c r="P203" s="155">
        <f t="shared" si="29"/>
        <v>8.64</v>
      </c>
      <c r="Q203" s="156">
        <f t="shared" si="33"/>
        <v>750208</v>
      </c>
      <c r="R203" s="156">
        <f t="shared" si="34"/>
        <v>6481797.1200000001</v>
      </c>
    </row>
    <row r="204" spans="2:18" s="9" customFormat="1" ht="35.1" customHeight="1" x14ac:dyDescent="0.25">
      <c r="B204" s="23" t="s">
        <v>252</v>
      </c>
      <c r="C204" s="22" t="s">
        <v>244</v>
      </c>
      <c r="D204" s="10" t="s">
        <v>13</v>
      </c>
      <c r="E204" s="12">
        <v>14.3</v>
      </c>
      <c r="F204" s="126">
        <v>579822</v>
      </c>
      <c r="G204" s="126">
        <f t="shared" si="30"/>
        <v>8291454.5999999996</v>
      </c>
      <c r="H204" s="8"/>
      <c r="I204" s="8">
        <f t="shared" si="31"/>
        <v>594607</v>
      </c>
      <c r="J204" s="8">
        <f t="shared" si="32"/>
        <v>8502880.0999999996</v>
      </c>
      <c r="K204" s="9" t="str">
        <f t="array" ref="K204:N204">_xlfn.XLOOKUP(C204,'Neiva 2022 FASE I ACTUAL (5)'!$C$6:$C$540,'Neiva 2022 FASE I ACTUAL (5)'!$C$6:$F$540,"NO ESTA")</f>
        <v>SUMINISTRO E INSTALACION PUERTA DIVISORIA EN VIDRIO TIPO PV1 Ver NOTAS GENERALES DE PLANCHA</v>
      </c>
      <c r="L204" s="9" t="str">
        <v>M2</v>
      </c>
      <c r="M204" s="9">
        <v>24.8</v>
      </c>
      <c r="N204" s="9">
        <v>565064</v>
      </c>
      <c r="O204" s="124" t="str">
        <f t="shared" si="35"/>
        <v>FASE II</v>
      </c>
      <c r="P204" s="155">
        <f t="shared" si="29"/>
        <v>39.1</v>
      </c>
      <c r="Q204" s="156">
        <f t="shared" si="33"/>
        <v>594607</v>
      </c>
      <c r="R204" s="156">
        <f t="shared" si="34"/>
        <v>23249133.699999999</v>
      </c>
    </row>
    <row r="205" spans="2:18" s="9" customFormat="1" ht="35.1" customHeight="1" x14ac:dyDescent="0.25">
      <c r="B205" s="13" t="s">
        <v>1143</v>
      </c>
      <c r="C205" s="14" t="s">
        <v>1144</v>
      </c>
      <c r="D205" s="13"/>
      <c r="E205" s="15"/>
      <c r="F205" s="129"/>
      <c r="G205" s="140"/>
      <c r="H205" s="8"/>
      <c r="I205" s="8">
        <f t="shared" si="31"/>
        <v>0</v>
      </c>
      <c r="J205" s="8">
        <f t="shared" si="32"/>
        <v>0</v>
      </c>
      <c r="K205" s="9" t="str">
        <f t="array" ref="K205">_xlfn.XLOOKUP(C205,'Neiva 2022 FASE I ACTUAL (5)'!$C$6:$C$540,'Neiva 2022 FASE I ACTUAL (5)'!$C$6:$F$540,"NO ESTA")</f>
        <v>NO ESTA</v>
      </c>
      <c r="O205" s="124">
        <f t="shared" si="35"/>
        <v>0</v>
      </c>
      <c r="P205" s="155">
        <f t="shared" si="29"/>
        <v>0</v>
      </c>
      <c r="Q205" s="156">
        <f t="shared" si="33"/>
        <v>0</v>
      </c>
      <c r="R205" s="156">
        <f t="shared" si="34"/>
        <v>0</v>
      </c>
    </row>
    <row r="206" spans="2:18" s="9" customFormat="1" ht="35.1" customHeight="1" x14ac:dyDescent="0.25">
      <c r="B206" s="23" t="s">
        <v>1145</v>
      </c>
      <c r="C206" s="22" t="s">
        <v>225</v>
      </c>
      <c r="D206" s="10" t="s">
        <v>13</v>
      </c>
      <c r="E206" s="12">
        <v>4.4000000000000004</v>
      </c>
      <c r="F206" s="126">
        <v>1381990</v>
      </c>
      <c r="G206" s="126">
        <f t="shared" ref="G206:G211" si="36">ROUND(+F206*E206,2)</f>
        <v>6080756</v>
      </c>
      <c r="H206" s="8"/>
      <c r="I206" s="8">
        <f t="shared" si="31"/>
        <v>1417231</v>
      </c>
      <c r="J206" s="8">
        <f t="shared" si="32"/>
        <v>6235816.4000000004</v>
      </c>
      <c r="K206" s="9" t="str">
        <f t="array" ref="K206:N206">_xlfn.XLOOKUP(C206,'Neiva 2022 FASE I ACTUAL (5)'!$C$6:$C$540,'Neiva 2022 FASE I ACTUAL (5)'!$C$6:$F$540,"NO ESTA")</f>
        <v>SUMINISTRO E INSTALACION PUERTA DE EVACUACIÓN TIPO P-1 Ver NOTAS GENERALES DE PLANCHA</v>
      </c>
      <c r="L206" s="9" t="str">
        <v>M2</v>
      </c>
      <c r="M206" s="9">
        <v>4.4000000000000004</v>
      </c>
      <c r="N206" s="9">
        <v>1346813</v>
      </c>
      <c r="O206" s="124" t="str">
        <f t="shared" si="35"/>
        <v>FASE II</v>
      </c>
      <c r="P206" s="155">
        <f t="shared" si="29"/>
        <v>8.8000000000000007</v>
      </c>
      <c r="Q206" s="156">
        <f t="shared" si="33"/>
        <v>1417231</v>
      </c>
      <c r="R206" s="156">
        <f t="shared" si="34"/>
        <v>12471632.800000001</v>
      </c>
    </row>
    <row r="207" spans="2:18" s="9" customFormat="1" ht="35.1" customHeight="1" x14ac:dyDescent="0.25">
      <c r="B207" s="23" t="s">
        <v>1146</v>
      </c>
      <c r="C207" s="22" t="s">
        <v>227</v>
      </c>
      <c r="D207" s="10" t="s">
        <v>13</v>
      </c>
      <c r="E207" s="12">
        <v>4.32</v>
      </c>
      <c r="F207" s="126">
        <v>131548</v>
      </c>
      <c r="G207" s="126">
        <f t="shared" si="36"/>
        <v>568287.36</v>
      </c>
      <c r="H207" s="8">
        <f>ROUND(F207*(1+$H$3),0)</f>
        <v>256887</v>
      </c>
      <c r="I207" s="8">
        <f t="shared" si="31"/>
        <v>134902</v>
      </c>
      <c r="J207" s="8">
        <f t="shared" si="32"/>
        <v>582776.64</v>
      </c>
      <c r="K207" s="9" t="str">
        <f t="array" ref="K207:N207">_xlfn.XLOOKUP(C207,'Neiva 2022 FASE I ACTUAL (5)'!$C$6:$C$540,'Neiva 2022 FASE I ACTUAL (5)'!$C$6:$F$540,"NO ESTA")</f>
        <v>SUMINISTRO E INSTALACION PUERTA METALICA DEPOSITOS TIPO P-2 Ver NOTAS GENERALES DE PLANCHA</v>
      </c>
      <c r="L207" s="9" t="str">
        <v>M2</v>
      </c>
      <c r="M207" s="9">
        <v>15.12</v>
      </c>
      <c r="N207" s="9">
        <v>128200</v>
      </c>
      <c r="O207" s="124" t="str">
        <f t="shared" si="35"/>
        <v>FASE II</v>
      </c>
      <c r="P207" s="155">
        <f t="shared" si="29"/>
        <v>19.439999999999998</v>
      </c>
      <c r="Q207" s="156">
        <f t="shared" si="33"/>
        <v>134902</v>
      </c>
      <c r="R207" s="156">
        <f t="shared" si="34"/>
        <v>2622494.88</v>
      </c>
    </row>
    <row r="208" spans="2:18" s="9" customFormat="1" ht="35.1" customHeight="1" x14ac:dyDescent="0.25">
      <c r="B208" s="23" t="s">
        <v>1147</v>
      </c>
      <c r="C208" s="22" t="s">
        <v>237</v>
      </c>
      <c r="D208" s="10" t="s">
        <v>13</v>
      </c>
      <c r="E208" s="12">
        <v>7.2</v>
      </c>
      <c r="F208" s="126">
        <v>731553</v>
      </c>
      <c r="G208" s="126">
        <f t="shared" si="36"/>
        <v>5267181.5999999996</v>
      </c>
      <c r="H208" s="8"/>
      <c r="I208" s="8">
        <f t="shared" si="31"/>
        <v>750208</v>
      </c>
      <c r="J208" s="8">
        <f t="shared" si="32"/>
        <v>5401497.6000000006</v>
      </c>
      <c r="K208" s="9" t="str">
        <f t="array" ref="K208:N208">_xlfn.XLOOKUP(C208,'Neiva 2022 FASE I ACTUAL (5)'!$C$6:$C$540,'Neiva 2022 FASE I ACTUAL (5)'!$C$6:$F$540,"NO ESTA")</f>
        <v>SUMINISTRO E INSTALACION PUERTA DIVISORIA DE MADERA TIPO P-3 Ver NOTAS GENERALES DE PLANCHA</v>
      </c>
      <c r="L208" s="9" t="str">
        <v>M2</v>
      </c>
      <c r="M208" s="9">
        <v>2.4</v>
      </c>
      <c r="N208" s="9">
        <v>712932</v>
      </c>
      <c r="O208" s="124" t="str">
        <f t="shared" si="35"/>
        <v>FASE II</v>
      </c>
      <c r="P208" s="155">
        <f t="shared" si="29"/>
        <v>9.6</v>
      </c>
      <c r="Q208" s="156">
        <f t="shared" si="33"/>
        <v>750208</v>
      </c>
      <c r="R208" s="156">
        <f t="shared" si="34"/>
        <v>7201996.7999999998</v>
      </c>
    </row>
    <row r="209" spans="2:18" s="9" customFormat="1" ht="35.1" customHeight="1" x14ac:dyDescent="0.25">
      <c r="B209" s="23" t="s">
        <v>1148</v>
      </c>
      <c r="C209" s="22" t="s">
        <v>239</v>
      </c>
      <c r="D209" s="10" t="s">
        <v>13</v>
      </c>
      <c r="E209" s="12">
        <v>2.16</v>
      </c>
      <c r="F209" s="126">
        <v>731553</v>
      </c>
      <c r="G209" s="126">
        <f t="shared" si="36"/>
        <v>1580154.48</v>
      </c>
      <c r="H209" s="8"/>
      <c r="I209" s="8">
        <f t="shared" si="31"/>
        <v>750208</v>
      </c>
      <c r="J209" s="8">
        <f t="shared" si="32"/>
        <v>1620449.28</v>
      </c>
      <c r="K209" s="9" t="str">
        <f t="array" ref="K209:N209">_xlfn.XLOOKUP(C209,'Neiva 2022 FASE I ACTUAL (5)'!$C$6:$C$540,'Neiva 2022 FASE I ACTUAL (5)'!$C$6:$F$540,"NO ESTA")</f>
        <v>SUMINISTRO E INSTALACION PUERTA DIVISORIA DE MADERA TIPO P-4 Ver NOTAS GENERALES DE PLANCHA</v>
      </c>
      <c r="L209" s="9" t="str">
        <v>M2</v>
      </c>
      <c r="M209" s="9">
        <v>12.96</v>
      </c>
      <c r="N209" s="9">
        <v>712932</v>
      </c>
      <c r="O209" s="124" t="str">
        <f t="shared" si="35"/>
        <v>FASE II</v>
      </c>
      <c r="P209" s="155">
        <f t="shared" si="29"/>
        <v>15.120000000000001</v>
      </c>
      <c r="Q209" s="156">
        <f t="shared" si="33"/>
        <v>750208</v>
      </c>
      <c r="R209" s="156">
        <f t="shared" si="34"/>
        <v>11343144.960000001</v>
      </c>
    </row>
    <row r="210" spans="2:18" s="9" customFormat="1" ht="35.1" customHeight="1" x14ac:dyDescent="0.25">
      <c r="B210" s="23" t="s">
        <v>1149</v>
      </c>
      <c r="C210" s="22" t="s">
        <v>241</v>
      </c>
      <c r="D210" s="10" t="s">
        <v>13</v>
      </c>
      <c r="E210" s="12">
        <v>5.76</v>
      </c>
      <c r="F210" s="126">
        <v>731553</v>
      </c>
      <c r="G210" s="126">
        <f t="shared" si="36"/>
        <v>4213745.28</v>
      </c>
      <c r="H210" s="8"/>
      <c r="I210" s="8">
        <f t="shared" si="31"/>
        <v>750208</v>
      </c>
      <c r="J210" s="8">
        <f t="shared" si="32"/>
        <v>4321198.0800000001</v>
      </c>
      <c r="K210" s="9" t="str">
        <f t="array" ref="K210:N210">_xlfn.XLOOKUP(C210,'Neiva 2022 FASE I ACTUAL (5)'!$C$6:$C$540,'Neiva 2022 FASE I ACTUAL (5)'!$C$6:$F$540,"NO ESTA")</f>
        <v>SUMINISTRO E INSTALACION PUERTA DIVISORIA DE MADERA TIPO P-5 Ver NOTAS GENERALES DE PLANCHA</v>
      </c>
      <c r="L210" s="9" t="str">
        <v>M2</v>
      </c>
      <c r="M210" s="9">
        <v>5.76</v>
      </c>
      <c r="N210" s="9">
        <v>712932</v>
      </c>
      <c r="O210" s="124" t="str">
        <f t="shared" si="35"/>
        <v>FASE II</v>
      </c>
      <c r="P210" s="155">
        <f t="shared" si="29"/>
        <v>11.52</v>
      </c>
      <c r="Q210" s="156">
        <f t="shared" si="33"/>
        <v>750208</v>
      </c>
      <c r="R210" s="156">
        <f t="shared" si="34"/>
        <v>8642396.1600000001</v>
      </c>
    </row>
    <row r="211" spans="2:18" s="9" customFormat="1" ht="35.1" customHeight="1" x14ac:dyDescent="0.25">
      <c r="B211" s="23" t="s">
        <v>1150</v>
      </c>
      <c r="C211" s="22" t="s">
        <v>244</v>
      </c>
      <c r="D211" s="10" t="s">
        <v>13</v>
      </c>
      <c r="E211" s="12">
        <v>24.12</v>
      </c>
      <c r="F211" s="126">
        <v>579822</v>
      </c>
      <c r="G211" s="126">
        <f t="shared" si="36"/>
        <v>13985306.640000001</v>
      </c>
      <c r="H211" s="8"/>
      <c r="I211" s="8">
        <f t="shared" si="31"/>
        <v>594607</v>
      </c>
      <c r="J211" s="8">
        <f t="shared" si="32"/>
        <v>14341920.84</v>
      </c>
      <c r="K211" s="9" t="str">
        <f t="array" ref="K211:N211">_xlfn.XLOOKUP(C211,'Neiva 2022 FASE I ACTUAL (5)'!$C$6:$C$540,'Neiva 2022 FASE I ACTUAL (5)'!$C$6:$F$540,"NO ESTA")</f>
        <v>SUMINISTRO E INSTALACION PUERTA DIVISORIA EN VIDRIO TIPO PV1 Ver NOTAS GENERALES DE PLANCHA</v>
      </c>
      <c r="L211" s="9" t="str">
        <v>M2</v>
      </c>
      <c r="M211" s="9">
        <v>24.8</v>
      </c>
      <c r="N211" s="9">
        <v>565064</v>
      </c>
      <c r="O211" s="124" t="str">
        <f t="shared" si="35"/>
        <v>FASE II</v>
      </c>
      <c r="P211" s="155">
        <f t="shared" si="29"/>
        <v>48.92</v>
      </c>
      <c r="Q211" s="156">
        <f t="shared" si="33"/>
        <v>594607</v>
      </c>
      <c r="R211" s="156">
        <f t="shared" si="34"/>
        <v>29088174.440000001</v>
      </c>
    </row>
    <row r="212" spans="2:18" s="9" customFormat="1" ht="35.1" customHeight="1" x14ac:dyDescent="0.25">
      <c r="B212" s="13" t="s">
        <v>1151</v>
      </c>
      <c r="C212" s="14" t="s">
        <v>1152</v>
      </c>
      <c r="D212" s="13"/>
      <c r="E212" s="15"/>
      <c r="F212" s="129"/>
      <c r="G212" s="140"/>
      <c r="H212" s="8"/>
      <c r="I212" s="8">
        <f t="shared" si="31"/>
        <v>0</v>
      </c>
      <c r="J212" s="8">
        <f t="shared" si="32"/>
        <v>0</v>
      </c>
      <c r="K212" s="9" t="str">
        <f t="array" ref="K212">_xlfn.XLOOKUP(C212,'Neiva 2022 FASE I ACTUAL (5)'!$C$6:$C$540,'Neiva 2022 FASE I ACTUAL (5)'!$C$6:$F$540,"NO ESTA")</f>
        <v>NO ESTA</v>
      </c>
      <c r="O212" s="124">
        <f t="shared" si="35"/>
        <v>0</v>
      </c>
      <c r="P212" s="155">
        <f t="shared" si="29"/>
        <v>0</v>
      </c>
      <c r="Q212" s="156">
        <f t="shared" si="33"/>
        <v>0</v>
      </c>
      <c r="R212" s="156">
        <f t="shared" si="34"/>
        <v>0</v>
      </c>
    </row>
    <row r="213" spans="2:18" s="9" customFormat="1" ht="35.1" customHeight="1" x14ac:dyDescent="0.25">
      <c r="B213" s="23" t="s">
        <v>1153</v>
      </c>
      <c r="C213" s="22" t="s">
        <v>225</v>
      </c>
      <c r="D213" s="10" t="s">
        <v>13</v>
      </c>
      <c r="E213" s="12">
        <v>4.4000000000000004</v>
      </c>
      <c r="F213" s="126">
        <v>1381990</v>
      </c>
      <c r="G213" s="126">
        <f t="shared" ref="G213:G220" si="37">ROUND(+F213*E213,2)</f>
        <v>6080756</v>
      </c>
      <c r="H213" s="8"/>
      <c r="I213" s="8">
        <f t="shared" si="31"/>
        <v>1417231</v>
      </c>
      <c r="J213" s="8">
        <f t="shared" si="32"/>
        <v>6235816.4000000004</v>
      </c>
      <c r="K213" s="9" t="str">
        <f t="array" ref="K213:N213">_xlfn.XLOOKUP(C213,'Neiva 2022 FASE I ACTUAL (5)'!$C$6:$C$540,'Neiva 2022 FASE I ACTUAL (5)'!$C$6:$F$540,"NO ESTA")</f>
        <v>SUMINISTRO E INSTALACION PUERTA DE EVACUACIÓN TIPO P-1 Ver NOTAS GENERALES DE PLANCHA</v>
      </c>
      <c r="L213" s="9" t="str">
        <v>M2</v>
      </c>
      <c r="M213" s="9">
        <v>4.4000000000000004</v>
      </c>
      <c r="N213" s="9">
        <v>1346813</v>
      </c>
      <c r="O213" s="124" t="str">
        <f t="shared" si="35"/>
        <v>FASE II</v>
      </c>
      <c r="P213" s="155">
        <f t="shared" si="29"/>
        <v>8.8000000000000007</v>
      </c>
      <c r="Q213" s="156">
        <f t="shared" si="33"/>
        <v>1417231</v>
      </c>
      <c r="R213" s="156">
        <f t="shared" si="34"/>
        <v>12471632.800000001</v>
      </c>
    </row>
    <row r="214" spans="2:18" s="9" customFormat="1" ht="35.1" customHeight="1" x14ac:dyDescent="0.25">
      <c r="B214" s="23" t="s">
        <v>1154</v>
      </c>
      <c r="C214" s="22" t="s">
        <v>227</v>
      </c>
      <c r="D214" s="10" t="s">
        <v>13</v>
      </c>
      <c r="E214" s="12">
        <v>4.32</v>
      </c>
      <c r="F214" s="126">
        <v>131548</v>
      </c>
      <c r="G214" s="126">
        <f t="shared" si="37"/>
        <v>568287.36</v>
      </c>
      <c r="H214" s="8">
        <f>ROUND(F214*(1+$H$3),0)</f>
        <v>256887</v>
      </c>
      <c r="I214" s="8">
        <f t="shared" si="31"/>
        <v>134902</v>
      </c>
      <c r="J214" s="8">
        <f t="shared" si="32"/>
        <v>582776.64</v>
      </c>
      <c r="K214" s="9" t="str">
        <f t="array" ref="K214:N214">_xlfn.XLOOKUP(C214,'Neiva 2022 FASE I ACTUAL (5)'!$C$6:$C$540,'Neiva 2022 FASE I ACTUAL (5)'!$C$6:$F$540,"NO ESTA")</f>
        <v>SUMINISTRO E INSTALACION PUERTA METALICA DEPOSITOS TIPO P-2 Ver NOTAS GENERALES DE PLANCHA</v>
      </c>
      <c r="L214" s="9" t="str">
        <v>M2</v>
      </c>
      <c r="M214" s="9">
        <v>15.12</v>
      </c>
      <c r="N214" s="9">
        <v>128200</v>
      </c>
      <c r="O214" s="124" t="str">
        <f t="shared" si="35"/>
        <v>FASE II</v>
      </c>
      <c r="P214" s="155">
        <f t="shared" si="29"/>
        <v>19.439999999999998</v>
      </c>
      <c r="Q214" s="156">
        <f t="shared" si="33"/>
        <v>134902</v>
      </c>
      <c r="R214" s="156">
        <f t="shared" si="34"/>
        <v>2622494.88</v>
      </c>
    </row>
    <row r="215" spans="2:18" s="9" customFormat="1" ht="35.1" customHeight="1" x14ac:dyDescent="0.25">
      <c r="B215" s="23" t="s">
        <v>1155</v>
      </c>
      <c r="C215" s="22" t="s">
        <v>237</v>
      </c>
      <c r="D215" s="10" t="s">
        <v>13</v>
      </c>
      <c r="E215" s="12">
        <v>4.8</v>
      </c>
      <c r="F215" s="126">
        <v>731553</v>
      </c>
      <c r="G215" s="126">
        <f t="shared" si="37"/>
        <v>3511454.4</v>
      </c>
      <c r="H215" s="8"/>
      <c r="I215" s="8">
        <f t="shared" si="31"/>
        <v>750208</v>
      </c>
      <c r="J215" s="8">
        <f t="shared" si="32"/>
        <v>3600998.3999999999</v>
      </c>
      <c r="K215" s="9" t="str">
        <f t="array" ref="K215:N215">_xlfn.XLOOKUP(C215,'Neiva 2022 FASE I ACTUAL (5)'!$C$6:$C$540,'Neiva 2022 FASE I ACTUAL (5)'!$C$6:$F$540,"NO ESTA")</f>
        <v>SUMINISTRO E INSTALACION PUERTA DIVISORIA DE MADERA TIPO P-3 Ver NOTAS GENERALES DE PLANCHA</v>
      </c>
      <c r="L215" s="9" t="str">
        <v>M2</v>
      </c>
      <c r="M215" s="9">
        <v>2.4</v>
      </c>
      <c r="N215" s="9">
        <v>712932</v>
      </c>
      <c r="O215" s="124" t="str">
        <f t="shared" si="35"/>
        <v>FASE II</v>
      </c>
      <c r="P215" s="155">
        <f t="shared" si="29"/>
        <v>7.1999999999999993</v>
      </c>
      <c r="Q215" s="156">
        <f t="shared" si="33"/>
        <v>750208</v>
      </c>
      <c r="R215" s="156">
        <f t="shared" si="34"/>
        <v>5401497.5999999996</v>
      </c>
    </row>
    <row r="216" spans="2:18" s="9" customFormat="1" ht="35.1" customHeight="1" x14ac:dyDescent="0.25">
      <c r="B216" s="23" t="s">
        <v>1156</v>
      </c>
      <c r="C216" s="22" t="s">
        <v>239</v>
      </c>
      <c r="D216" s="10" t="s">
        <v>13</v>
      </c>
      <c r="E216" s="12">
        <v>2.16</v>
      </c>
      <c r="F216" s="126">
        <v>731553</v>
      </c>
      <c r="G216" s="126">
        <f t="shared" si="37"/>
        <v>1580154.48</v>
      </c>
      <c r="H216" s="8"/>
      <c r="I216" s="8">
        <f t="shared" si="31"/>
        <v>750208</v>
      </c>
      <c r="J216" s="8">
        <f t="shared" si="32"/>
        <v>1620449.28</v>
      </c>
      <c r="K216" s="9" t="str">
        <f t="array" ref="K216:N216">_xlfn.XLOOKUP(C216,'Neiva 2022 FASE I ACTUAL (5)'!$C$6:$C$540,'Neiva 2022 FASE I ACTUAL (5)'!$C$6:$F$540,"NO ESTA")</f>
        <v>SUMINISTRO E INSTALACION PUERTA DIVISORIA DE MADERA TIPO P-4 Ver NOTAS GENERALES DE PLANCHA</v>
      </c>
      <c r="L216" s="9" t="str">
        <v>M2</v>
      </c>
      <c r="M216" s="9">
        <v>12.96</v>
      </c>
      <c r="N216" s="9">
        <v>712932</v>
      </c>
      <c r="O216" s="124" t="str">
        <f t="shared" si="35"/>
        <v>FASE II</v>
      </c>
      <c r="P216" s="155">
        <f t="shared" si="29"/>
        <v>15.120000000000001</v>
      </c>
      <c r="Q216" s="156">
        <f t="shared" si="33"/>
        <v>750208</v>
      </c>
      <c r="R216" s="156">
        <f t="shared" si="34"/>
        <v>11343144.960000001</v>
      </c>
    </row>
    <row r="217" spans="2:18" s="9" customFormat="1" ht="35.1" customHeight="1" x14ac:dyDescent="0.25">
      <c r="B217" s="23" t="s">
        <v>1157</v>
      </c>
      <c r="C217" s="22" t="s">
        <v>241</v>
      </c>
      <c r="D217" s="10" t="s">
        <v>13</v>
      </c>
      <c r="E217" s="12">
        <v>3.84</v>
      </c>
      <c r="F217" s="126">
        <v>731553</v>
      </c>
      <c r="G217" s="126">
        <f t="shared" si="37"/>
        <v>2809163.52</v>
      </c>
      <c r="H217" s="8"/>
      <c r="I217" s="8">
        <f t="shared" si="31"/>
        <v>750208</v>
      </c>
      <c r="J217" s="8">
        <f t="shared" si="32"/>
        <v>2880798.7199999997</v>
      </c>
      <c r="K217" s="9" t="str">
        <f t="array" ref="K217:N217">_xlfn.XLOOKUP(C217,'Neiva 2022 FASE I ACTUAL (5)'!$C$6:$C$540,'Neiva 2022 FASE I ACTUAL (5)'!$C$6:$F$540,"NO ESTA")</f>
        <v>SUMINISTRO E INSTALACION PUERTA DIVISORIA DE MADERA TIPO P-5 Ver NOTAS GENERALES DE PLANCHA</v>
      </c>
      <c r="L217" s="9" t="str">
        <v>M2</v>
      </c>
      <c r="M217" s="9">
        <v>5.76</v>
      </c>
      <c r="N217" s="9">
        <v>712932</v>
      </c>
      <c r="O217" s="124" t="str">
        <f t="shared" si="35"/>
        <v>FASE II</v>
      </c>
      <c r="P217" s="155">
        <f t="shared" si="29"/>
        <v>9.6</v>
      </c>
      <c r="Q217" s="156">
        <f t="shared" si="33"/>
        <v>750208</v>
      </c>
      <c r="R217" s="156">
        <f t="shared" si="34"/>
        <v>7201996.7999999998</v>
      </c>
    </row>
    <row r="218" spans="2:18" s="9" customFormat="1" ht="35.1" customHeight="1" x14ac:dyDescent="0.25">
      <c r="B218" s="23" t="s">
        <v>1158</v>
      </c>
      <c r="C218" s="22" t="s">
        <v>1159</v>
      </c>
      <c r="D218" s="10" t="s">
        <v>13</v>
      </c>
      <c r="E218" s="12">
        <v>3.36</v>
      </c>
      <c r="F218" s="126">
        <v>731553</v>
      </c>
      <c r="G218" s="126">
        <f t="shared" si="37"/>
        <v>2458018.08</v>
      </c>
      <c r="H218" s="8"/>
      <c r="I218" s="8">
        <f t="shared" si="31"/>
        <v>750208</v>
      </c>
      <c r="J218" s="8">
        <f t="shared" si="32"/>
        <v>2520698.8799999999</v>
      </c>
      <c r="K218" s="9" t="str">
        <f t="array" ref="K218">_xlfn.XLOOKUP(C218,'Neiva 2022 FASE I ACTUAL (5)'!$C$6:$C$540,'Neiva 2022 FASE I ACTUAL (5)'!$C$6:$F$540,"NO ESTA")</f>
        <v>NO ESTA</v>
      </c>
      <c r="O218" s="124">
        <f t="shared" si="35"/>
        <v>0</v>
      </c>
      <c r="P218" s="155">
        <f t="shared" si="29"/>
        <v>3.36</v>
      </c>
      <c r="Q218" s="156">
        <f t="shared" si="33"/>
        <v>750208</v>
      </c>
      <c r="R218" s="156">
        <f t="shared" si="34"/>
        <v>2520698.8799999999</v>
      </c>
    </row>
    <row r="219" spans="2:18" s="9" customFormat="1" ht="35.1" customHeight="1" x14ac:dyDescent="0.25">
      <c r="B219" s="23" t="s">
        <v>1160</v>
      </c>
      <c r="C219" s="22" t="s">
        <v>229</v>
      </c>
      <c r="D219" s="10" t="s">
        <v>13</v>
      </c>
      <c r="E219" s="12">
        <v>4.8</v>
      </c>
      <c r="F219" s="126">
        <v>731553</v>
      </c>
      <c r="G219" s="126">
        <f t="shared" si="37"/>
        <v>3511454.4</v>
      </c>
      <c r="H219" s="8">
        <f>ROUND(F219*(1+$H$3),0)</f>
        <v>1428577</v>
      </c>
      <c r="I219" s="8">
        <f t="shared" si="31"/>
        <v>750208</v>
      </c>
      <c r="J219" s="8">
        <f t="shared" si="32"/>
        <v>3600998.3999999999</v>
      </c>
      <c r="K219" s="9" t="str">
        <f t="array" ref="K219:N219">_xlfn.XLOOKUP(C219,'Neiva 2022 FASE I ACTUAL (5)'!$C$6:$C$540,'Neiva 2022 FASE I ACTUAL (5)'!$C$6:$F$540,"NO ESTA")</f>
        <v>SUMINISTRO E INSTALACION PUERTA METALICA DOBLE HOJA TIPO P-7 Ver NOTAS GENERALES DE PLANCHA</v>
      </c>
      <c r="L219" s="9" t="str">
        <v>M2</v>
      </c>
      <c r="M219" s="9">
        <v>33.6</v>
      </c>
      <c r="N219" s="9">
        <v>150759</v>
      </c>
      <c r="O219" s="124" t="str">
        <f t="shared" si="35"/>
        <v>FASE II</v>
      </c>
      <c r="P219" s="155">
        <f t="shared" si="29"/>
        <v>38.4</v>
      </c>
      <c r="Q219" s="156">
        <f t="shared" si="33"/>
        <v>750208</v>
      </c>
      <c r="R219" s="156">
        <f t="shared" si="34"/>
        <v>28807987.199999999</v>
      </c>
    </row>
    <row r="220" spans="2:18" s="9" customFormat="1" ht="35.1" customHeight="1" x14ac:dyDescent="0.25">
      <c r="B220" s="23" t="s">
        <v>1161</v>
      </c>
      <c r="C220" s="22" t="s">
        <v>244</v>
      </c>
      <c r="D220" s="10" t="s">
        <v>13</v>
      </c>
      <c r="E220" s="12">
        <v>24.89</v>
      </c>
      <c r="F220" s="126">
        <v>579822</v>
      </c>
      <c r="G220" s="126">
        <f t="shared" si="37"/>
        <v>14431769.58</v>
      </c>
      <c r="H220" s="8"/>
      <c r="I220" s="8">
        <f t="shared" si="31"/>
        <v>594607</v>
      </c>
      <c r="J220" s="8">
        <f t="shared" si="32"/>
        <v>14799768.23</v>
      </c>
      <c r="K220" s="9" t="str">
        <f t="array" ref="K220:N220">_xlfn.XLOOKUP(C220,'Neiva 2022 FASE I ACTUAL (5)'!$C$6:$C$540,'Neiva 2022 FASE I ACTUAL (5)'!$C$6:$F$540,"NO ESTA")</f>
        <v>SUMINISTRO E INSTALACION PUERTA DIVISORIA EN VIDRIO TIPO PV1 Ver NOTAS GENERALES DE PLANCHA</v>
      </c>
      <c r="L220" s="9" t="str">
        <v>M2</v>
      </c>
      <c r="M220" s="9">
        <v>24.8</v>
      </c>
      <c r="N220" s="9">
        <v>565064</v>
      </c>
      <c r="O220" s="124" t="str">
        <f t="shared" si="35"/>
        <v>FASE II</v>
      </c>
      <c r="P220" s="155">
        <f t="shared" si="29"/>
        <v>49.69</v>
      </c>
      <c r="Q220" s="156">
        <f t="shared" si="33"/>
        <v>594607</v>
      </c>
      <c r="R220" s="156">
        <f t="shared" si="34"/>
        <v>29546021.829999998</v>
      </c>
    </row>
    <row r="221" spans="2:18" s="9" customFormat="1" ht="35.1" customHeight="1" x14ac:dyDescent="0.25">
      <c r="B221" s="13" t="s">
        <v>1162</v>
      </c>
      <c r="C221" s="14" t="s">
        <v>1163</v>
      </c>
      <c r="D221" s="13"/>
      <c r="E221" s="15"/>
      <c r="F221" s="129"/>
      <c r="G221" s="140"/>
      <c r="H221" s="8"/>
      <c r="I221" s="8">
        <f t="shared" si="31"/>
        <v>0</v>
      </c>
      <c r="J221" s="8">
        <f t="shared" si="32"/>
        <v>0</v>
      </c>
      <c r="K221" s="9" t="str">
        <f t="array" ref="K221">_xlfn.XLOOKUP(C221,'Neiva 2022 FASE I ACTUAL (5)'!$C$6:$C$540,'Neiva 2022 FASE I ACTUAL (5)'!$C$6:$F$540,"NO ESTA")</f>
        <v>NO ESTA</v>
      </c>
      <c r="O221" s="124">
        <f t="shared" si="35"/>
        <v>0</v>
      </c>
      <c r="P221" s="155">
        <f t="shared" si="29"/>
        <v>0</v>
      </c>
      <c r="Q221" s="156">
        <f t="shared" si="33"/>
        <v>0</v>
      </c>
      <c r="R221" s="156">
        <f t="shared" si="34"/>
        <v>0</v>
      </c>
    </row>
    <row r="222" spans="2:18" s="9" customFormat="1" ht="35.1" customHeight="1" x14ac:dyDescent="0.25">
      <c r="B222" s="23" t="s">
        <v>1164</v>
      </c>
      <c r="C222" s="22" t="s">
        <v>225</v>
      </c>
      <c r="D222" s="10" t="s">
        <v>13</v>
      </c>
      <c r="E222" s="12">
        <v>2.2000000000000002</v>
      </c>
      <c r="F222" s="126">
        <v>1381990</v>
      </c>
      <c r="G222" s="126">
        <f>ROUND(+F222*E222,2)</f>
        <v>3040378</v>
      </c>
      <c r="H222" s="8"/>
      <c r="I222" s="8">
        <f t="shared" si="31"/>
        <v>1417231</v>
      </c>
      <c r="J222" s="8">
        <f t="shared" si="32"/>
        <v>3117908.2</v>
      </c>
      <c r="K222" s="9" t="str">
        <f t="array" ref="K222:N222">_xlfn.XLOOKUP(C222,'Neiva 2022 FASE I ACTUAL (5)'!$C$6:$C$540,'Neiva 2022 FASE I ACTUAL (5)'!$C$6:$F$540,"NO ESTA")</f>
        <v>SUMINISTRO E INSTALACION PUERTA DE EVACUACIÓN TIPO P-1 Ver NOTAS GENERALES DE PLANCHA</v>
      </c>
      <c r="L222" s="9" t="str">
        <v>M2</v>
      </c>
      <c r="M222" s="9">
        <v>4.4000000000000004</v>
      </c>
      <c r="N222" s="9">
        <v>1346813</v>
      </c>
      <c r="O222" s="124" t="str">
        <f t="shared" si="35"/>
        <v>FASE II</v>
      </c>
      <c r="P222" s="155">
        <f t="shared" si="29"/>
        <v>6.6000000000000005</v>
      </c>
      <c r="Q222" s="156">
        <f t="shared" si="33"/>
        <v>1417231</v>
      </c>
      <c r="R222" s="156">
        <f t="shared" si="34"/>
        <v>9353724.5999999996</v>
      </c>
    </row>
    <row r="223" spans="2:18" s="9" customFormat="1" ht="35.1" customHeight="1" x14ac:dyDescent="0.25">
      <c r="B223" s="33">
        <v>10</v>
      </c>
      <c r="C223" s="34" t="s">
        <v>253</v>
      </c>
      <c r="D223" s="34"/>
      <c r="E223" s="35"/>
      <c r="F223" s="134"/>
      <c r="G223" s="144"/>
      <c r="H223" s="8"/>
      <c r="I223" s="8">
        <f t="shared" si="31"/>
        <v>0</v>
      </c>
      <c r="J223" s="8">
        <f t="shared" si="32"/>
        <v>0</v>
      </c>
      <c r="K223" s="9" t="str">
        <f t="array" ref="K223:N223">_xlfn.XLOOKUP(C223,'Neiva 2022 FASE I ACTUAL (5)'!$C$6:$C$540,'Neiva 2022 FASE I ACTUAL (5)'!$C$6:$F$540,"NO ESTA")</f>
        <v>OTROS ARQUITECTONICOS</v>
      </c>
      <c r="L223" s="9">
        <v>0</v>
      </c>
      <c r="M223" s="9">
        <v>0</v>
      </c>
      <c r="N223" s="9">
        <v>0</v>
      </c>
      <c r="O223" s="124">
        <f t="shared" si="35"/>
        <v>0</v>
      </c>
      <c r="P223" s="155">
        <f t="shared" si="29"/>
        <v>0</v>
      </c>
      <c r="Q223" s="156">
        <f t="shared" si="33"/>
        <v>0</v>
      </c>
      <c r="R223" s="156">
        <f t="shared" si="34"/>
        <v>0</v>
      </c>
    </row>
    <row r="224" spans="2:18" s="9" customFormat="1" ht="35.1" customHeight="1" x14ac:dyDescent="0.25">
      <c r="B224" s="40" t="s">
        <v>1165</v>
      </c>
      <c r="C224" s="14" t="s">
        <v>1166</v>
      </c>
      <c r="D224" s="13"/>
      <c r="E224" s="15"/>
      <c r="F224" s="129"/>
      <c r="G224" s="140"/>
      <c r="H224" s="8"/>
      <c r="I224" s="8">
        <f t="shared" si="31"/>
        <v>0</v>
      </c>
      <c r="J224" s="8">
        <f t="shared" si="32"/>
        <v>0</v>
      </c>
      <c r="K224" s="9" t="str">
        <f t="array" ref="K224">_xlfn.XLOOKUP(C224,'Neiva 2022 FASE I ACTUAL (5)'!$C$6:$C$540,'Neiva 2022 FASE I ACTUAL (5)'!$C$6:$F$540,"NO ESTA")</f>
        <v>NO ESTA</v>
      </c>
      <c r="O224" s="124">
        <f t="shared" si="35"/>
        <v>0</v>
      </c>
      <c r="P224" s="155">
        <f t="shared" si="29"/>
        <v>0</v>
      </c>
      <c r="Q224" s="156">
        <f t="shared" si="33"/>
        <v>0</v>
      </c>
      <c r="R224" s="156">
        <f t="shared" si="34"/>
        <v>0</v>
      </c>
    </row>
    <row r="225" spans="2:18" s="9" customFormat="1" ht="35.1" customHeight="1" x14ac:dyDescent="0.25">
      <c r="B225" s="23" t="s">
        <v>1167</v>
      </c>
      <c r="C225" s="22" t="s">
        <v>1168</v>
      </c>
      <c r="D225" s="23" t="s">
        <v>16</v>
      </c>
      <c r="E225" s="12">
        <v>2</v>
      </c>
      <c r="F225" s="126">
        <v>133775855</v>
      </c>
      <c r="G225" s="126">
        <f>ROUND(+F225*E225,2)</f>
        <v>267551710</v>
      </c>
      <c r="H225" s="8"/>
      <c r="I225" s="8">
        <f t="shared" si="31"/>
        <v>137187139</v>
      </c>
      <c r="J225" s="8">
        <f t="shared" si="32"/>
        <v>274374278</v>
      </c>
      <c r="K225" s="9" t="str">
        <f t="array" ref="K225">_xlfn.XLOOKUP(C225,'Neiva 2022 FASE I ACTUAL (5)'!$C$6:$C$540,'Neiva 2022 FASE I ACTUAL (5)'!$C$6:$F$540,"NO ESTA")</f>
        <v>NO ESTA</v>
      </c>
      <c r="O225" s="124">
        <f t="shared" si="35"/>
        <v>0</v>
      </c>
      <c r="P225" s="155">
        <f t="shared" si="29"/>
        <v>2</v>
      </c>
      <c r="Q225" s="156">
        <f t="shared" si="33"/>
        <v>137187139</v>
      </c>
      <c r="R225" s="156">
        <f t="shared" si="34"/>
        <v>274374278</v>
      </c>
    </row>
    <row r="226" spans="2:18" s="9" customFormat="1" ht="35.1" customHeight="1" x14ac:dyDescent="0.25">
      <c r="B226" s="41" t="s">
        <v>254</v>
      </c>
      <c r="C226" s="14" t="s">
        <v>255</v>
      </c>
      <c r="D226" s="13"/>
      <c r="E226" s="15"/>
      <c r="F226" s="129"/>
      <c r="G226" s="140"/>
      <c r="H226" s="8"/>
      <c r="I226" s="8">
        <f t="shared" si="31"/>
        <v>0</v>
      </c>
      <c r="J226" s="8">
        <f t="shared" si="32"/>
        <v>0</v>
      </c>
      <c r="K226" s="9" t="str">
        <f t="array" ref="K226:N226">_xlfn.XLOOKUP(C226,'Neiva 2022 FASE I ACTUAL (5)'!$C$6:$C$540,'Neiva 2022 FASE I ACTUAL (5)'!$C$6:$F$540,"NO ESTA")</f>
        <v>SUMINISTRO E INSTALACIÓN DE BARANDAS</v>
      </c>
      <c r="L226" s="9">
        <v>0</v>
      </c>
      <c r="M226" s="9">
        <v>0</v>
      </c>
      <c r="N226" s="9">
        <v>0</v>
      </c>
      <c r="O226" s="124">
        <f t="shared" si="35"/>
        <v>0</v>
      </c>
      <c r="P226" s="155">
        <f t="shared" si="29"/>
        <v>0</v>
      </c>
      <c r="Q226" s="156">
        <f t="shared" si="33"/>
        <v>0</v>
      </c>
      <c r="R226" s="156">
        <f t="shared" si="34"/>
        <v>0</v>
      </c>
    </row>
    <row r="227" spans="2:18" s="9" customFormat="1" ht="35.1" customHeight="1" x14ac:dyDescent="0.25">
      <c r="B227" s="10" t="s">
        <v>256</v>
      </c>
      <c r="C227" s="22" t="s">
        <v>257</v>
      </c>
      <c r="D227" s="23" t="s">
        <v>94</v>
      </c>
      <c r="E227" s="12">
        <v>288.39999999999998</v>
      </c>
      <c r="F227" s="126">
        <v>592889</v>
      </c>
      <c r="G227" s="126">
        <f>ROUND(+F227*E227,2)</f>
        <v>170989187.59999999</v>
      </c>
      <c r="H227" s="8"/>
      <c r="I227" s="8">
        <f t="shared" si="31"/>
        <v>608008</v>
      </c>
      <c r="J227" s="8">
        <f t="shared" si="32"/>
        <v>175349507.19999999</v>
      </c>
      <c r="K227" s="9" t="str">
        <f t="array" ref="K227:N227">_xlfn.XLOOKUP(C227,'Neiva 2022 FASE I ACTUAL (5)'!$C$6:$C$540,'Neiva 2022 FASE I ACTUAL (5)'!$C$6:$F$540,"NO ESTA")</f>
        <v>SUMINISTRO E INSTALACION BARANDA TIPO B1 EN ACERO INOXIDABLE (Incluye todos los accesorios para su instalación)</v>
      </c>
      <c r="L227" s="9" t="str">
        <v>ML</v>
      </c>
      <c r="M227" s="9">
        <v>106</v>
      </c>
      <c r="N227" s="9">
        <v>648864</v>
      </c>
      <c r="O227" s="124" t="str">
        <f t="shared" si="35"/>
        <v>FASE I</v>
      </c>
      <c r="P227" s="155">
        <f t="shared" si="29"/>
        <v>394.4</v>
      </c>
      <c r="Q227" s="156">
        <f t="shared" si="33"/>
        <v>648864</v>
      </c>
      <c r="R227" s="156">
        <f t="shared" si="34"/>
        <v>255911961.59999999</v>
      </c>
    </row>
    <row r="228" spans="2:18" s="9" customFormat="1" ht="35.1" customHeight="1" x14ac:dyDescent="0.25">
      <c r="B228" s="10" t="s">
        <v>258</v>
      </c>
      <c r="C228" s="22" t="s">
        <v>259</v>
      </c>
      <c r="D228" s="23" t="s">
        <v>94</v>
      </c>
      <c r="E228" s="12">
        <v>44.13</v>
      </c>
      <c r="F228" s="126">
        <v>253859</v>
      </c>
      <c r="G228" s="126">
        <f>ROUND(+F228*E228,2)</f>
        <v>11202797.67</v>
      </c>
      <c r="H228" s="8"/>
      <c r="I228" s="8">
        <f t="shared" si="31"/>
        <v>260332</v>
      </c>
      <c r="J228" s="8">
        <f t="shared" si="32"/>
        <v>11488451.16</v>
      </c>
      <c r="K228" s="9" t="str">
        <f t="array" ref="K228:N228">_xlfn.XLOOKUP(C228,'Neiva 2022 FASE I ACTUAL (5)'!$C$6:$C$540,'Neiva 2022 FASE I ACTUAL (5)'!$C$6:$F$540,"NO ESTA")</f>
        <v>SUMINISTRO E INSTALACION PASAMANOS PUNTO FIJO No. 1 (Incluye todos los accesorios para su instalación)</v>
      </c>
      <c r="L228" s="9" t="str">
        <v>ML</v>
      </c>
      <c r="M228" s="9">
        <v>16</v>
      </c>
      <c r="N228" s="9">
        <v>247397</v>
      </c>
      <c r="O228" s="124" t="str">
        <f t="shared" si="35"/>
        <v>FASE II</v>
      </c>
      <c r="P228" s="155">
        <f t="shared" si="29"/>
        <v>60.13</v>
      </c>
      <c r="Q228" s="156">
        <f t="shared" si="33"/>
        <v>260332</v>
      </c>
      <c r="R228" s="156">
        <f t="shared" si="34"/>
        <v>15653763.16</v>
      </c>
    </row>
    <row r="229" spans="2:18" s="9" customFormat="1" ht="35.1" customHeight="1" x14ac:dyDescent="0.25">
      <c r="B229" s="41" t="s">
        <v>260</v>
      </c>
      <c r="C229" s="24" t="s">
        <v>261</v>
      </c>
      <c r="D229" s="24"/>
      <c r="E229" s="15"/>
      <c r="F229" s="129"/>
      <c r="G229" s="140"/>
      <c r="H229" s="8"/>
      <c r="I229" s="8">
        <f t="shared" si="31"/>
        <v>0</v>
      </c>
      <c r="J229" s="8">
        <f t="shared" si="32"/>
        <v>0</v>
      </c>
      <c r="K229" s="9" t="str">
        <f t="array" ref="K229:N229">_xlfn.XLOOKUP(C229,'Neiva 2022 FASE I ACTUAL (5)'!$C$6:$C$540,'Neiva 2022 FASE I ACTUAL (5)'!$C$6:$F$540,"NO ESTA")</f>
        <v>SUMINISTRO E INSTALACIÓN DE DIVISIONES DE BAÑOS</v>
      </c>
      <c r="L229" s="9">
        <v>0</v>
      </c>
      <c r="M229" s="9">
        <v>0</v>
      </c>
      <c r="N229" s="9">
        <v>0</v>
      </c>
      <c r="O229" s="124">
        <f t="shared" si="35"/>
        <v>0</v>
      </c>
      <c r="P229" s="155">
        <f t="shared" si="29"/>
        <v>0</v>
      </c>
      <c r="Q229" s="156">
        <f t="shared" si="33"/>
        <v>0</v>
      </c>
      <c r="R229" s="156">
        <f t="shared" si="34"/>
        <v>0</v>
      </c>
    </row>
    <row r="230" spans="2:18" s="9" customFormat="1" ht="35.1" customHeight="1" x14ac:dyDescent="0.25">
      <c r="B230" s="10" t="s">
        <v>262</v>
      </c>
      <c r="C230" s="22" t="s">
        <v>263</v>
      </c>
      <c r="D230" s="23" t="s">
        <v>13</v>
      </c>
      <c r="E230" s="12">
        <v>83.5</v>
      </c>
      <c r="F230" s="126">
        <v>608913</v>
      </c>
      <c r="G230" s="126">
        <f>ROUND(+F230*E230,2)</f>
        <v>50844235.5</v>
      </c>
      <c r="H230" s="8"/>
      <c r="I230" s="8">
        <f t="shared" si="31"/>
        <v>624440</v>
      </c>
      <c r="J230" s="8">
        <f t="shared" si="32"/>
        <v>52140740</v>
      </c>
      <c r="K230" s="9" t="str">
        <f t="array" ref="K230:N230">_xlfn.XLOOKUP(C230,'Neiva 2022 FASE I ACTUAL (5)'!$C$6:$C$540,'Neiva 2022 FASE I ACTUAL (5)'!$C$6:$F$540,"NO ESTA")</f>
        <v>SUMINISTRO E INSTALACION DIVISION EN ACERO INOXIDABLE BAÑOS (Incluye todos los accesorios para su instalación)</v>
      </c>
      <c r="L230" s="9" t="str">
        <v>M2</v>
      </c>
      <c r="M230" s="9">
        <v>83.5</v>
      </c>
      <c r="N230" s="9">
        <v>593414</v>
      </c>
      <c r="O230" s="124" t="str">
        <f t="shared" si="35"/>
        <v>FASE II</v>
      </c>
      <c r="P230" s="155">
        <f t="shared" si="29"/>
        <v>167</v>
      </c>
      <c r="Q230" s="156">
        <f t="shared" si="33"/>
        <v>624440</v>
      </c>
      <c r="R230" s="156">
        <f t="shared" si="34"/>
        <v>104281480</v>
      </c>
    </row>
    <row r="231" spans="2:18" s="9" customFormat="1" ht="35.1" customHeight="1" x14ac:dyDescent="0.25">
      <c r="B231" s="33">
        <v>11</v>
      </c>
      <c r="C231" s="34" t="s">
        <v>1169</v>
      </c>
      <c r="D231" s="34"/>
      <c r="E231" s="35"/>
      <c r="F231" s="132"/>
      <c r="G231" s="144"/>
      <c r="H231" s="8"/>
      <c r="I231" s="8">
        <f t="shared" si="31"/>
        <v>0</v>
      </c>
      <c r="J231" s="8">
        <f t="shared" si="32"/>
        <v>0</v>
      </c>
      <c r="K231" s="9" t="str">
        <f t="array" ref="K231">_xlfn.XLOOKUP(C231,'Neiva 2022 FASE I ACTUAL (5)'!$C$6:$C$540,'Neiva 2022 FASE I ACTUAL (5)'!$C$6:$F$540,"NO ESTA")</f>
        <v>NO ESTA</v>
      </c>
      <c r="O231" s="124">
        <f t="shared" si="35"/>
        <v>0</v>
      </c>
      <c r="P231" s="155">
        <f t="shared" si="29"/>
        <v>0</v>
      </c>
      <c r="Q231" s="156">
        <f t="shared" si="33"/>
        <v>0</v>
      </c>
      <c r="R231" s="156">
        <f t="shared" si="34"/>
        <v>0</v>
      </c>
    </row>
    <row r="232" spans="2:18" s="9" customFormat="1" ht="35.1" customHeight="1" x14ac:dyDescent="0.25">
      <c r="B232" s="13" t="s">
        <v>1170</v>
      </c>
      <c r="C232" s="14" t="s">
        <v>10</v>
      </c>
      <c r="D232" s="13"/>
      <c r="E232" s="15"/>
      <c r="F232" s="129"/>
      <c r="G232" s="140"/>
      <c r="H232" s="8"/>
      <c r="I232" s="8">
        <f t="shared" si="31"/>
        <v>0</v>
      </c>
      <c r="J232" s="8">
        <f t="shared" si="32"/>
        <v>0</v>
      </c>
      <c r="K232" s="9" t="str">
        <f t="array" ref="K232">_xlfn.XLOOKUP(C232,'Neiva 2022 FASE I ACTUAL (5)'!$C$6:$C$540,'Neiva 2022 FASE I ACTUAL (5)'!$C$6:$F$540,"NO ESTA")</f>
        <v>NO ESTA</v>
      </c>
      <c r="O232" s="124">
        <f t="shared" si="35"/>
        <v>0</v>
      </c>
      <c r="P232" s="155">
        <f t="shared" si="29"/>
        <v>0</v>
      </c>
      <c r="Q232" s="156">
        <f t="shared" si="33"/>
        <v>0</v>
      </c>
      <c r="R232" s="156">
        <f t="shared" si="34"/>
        <v>0</v>
      </c>
    </row>
    <row r="233" spans="2:18" s="9" customFormat="1" ht="35.1" customHeight="1" x14ac:dyDescent="0.25">
      <c r="B233" s="23" t="s">
        <v>1171</v>
      </c>
      <c r="C233" s="22" t="s">
        <v>1050</v>
      </c>
      <c r="D233" s="23" t="s">
        <v>13</v>
      </c>
      <c r="E233" s="12">
        <v>745.71560000000011</v>
      </c>
      <c r="F233" s="126">
        <v>3467</v>
      </c>
      <c r="G233" s="126">
        <f>ROUND(+F233*E233,2)</f>
        <v>2585395.9900000002</v>
      </c>
      <c r="H233" s="8"/>
      <c r="I233" s="8">
        <f t="shared" si="31"/>
        <v>3555</v>
      </c>
      <c r="J233" s="8">
        <f t="shared" si="32"/>
        <v>2651018.9580000006</v>
      </c>
      <c r="K233" s="9" t="str">
        <f t="array" ref="K233">_xlfn.XLOOKUP(C233,'Neiva 2022 FASE I ACTUAL (5)'!$C$6:$C$540,'Neiva 2022 FASE I ACTUAL (5)'!$C$6:$F$540,"NO ESTA")</f>
        <v>NO ESTA</v>
      </c>
      <c r="O233" s="124">
        <f t="shared" si="35"/>
        <v>0</v>
      </c>
      <c r="P233" s="155">
        <f t="shared" si="29"/>
        <v>745.71560000000011</v>
      </c>
      <c r="Q233" s="156">
        <f t="shared" si="33"/>
        <v>3555</v>
      </c>
      <c r="R233" s="156">
        <f t="shared" si="34"/>
        <v>2651018.96</v>
      </c>
    </row>
    <row r="234" spans="2:18" s="9" customFormat="1" ht="35.1" customHeight="1" x14ac:dyDescent="0.25">
      <c r="B234" s="23" t="s">
        <v>1172</v>
      </c>
      <c r="C234" s="22" t="s">
        <v>12</v>
      </c>
      <c r="D234" s="23" t="s">
        <v>13</v>
      </c>
      <c r="E234" s="12">
        <v>745.71560000000011</v>
      </c>
      <c r="F234" s="126">
        <v>23484</v>
      </c>
      <c r="G234" s="126">
        <f>ROUND(+F234*E234,2)</f>
        <v>17512385.149999999</v>
      </c>
      <c r="H234" s="8"/>
      <c r="I234" s="8">
        <f t="shared" si="31"/>
        <v>24083</v>
      </c>
      <c r="J234" s="8">
        <f t="shared" si="32"/>
        <v>17959068.794800002</v>
      </c>
      <c r="K234" s="9" t="str">
        <f t="array" ref="K234:N234">_xlfn.XLOOKUP(C234,'Neiva 2022 FASE I ACTUAL (5)'!$C$6:$C$540,'Neiva 2022 FASE I ACTUAL (5)'!$C$6:$F$540,"NO ESTA")</f>
        <v>DESCAPOTE A MAQUINA (INCLUYE RETIRO)</v>
      </c>
      <c r="L234" s="9" t="str">
        <v>M2</v>
      </c>
      <c r="M234" s="9">
        <v>250</v>
      </c>
      <c r="N234" s="9">
        <v>27093</v>
      </c>
      <c r="O234" s="124" t="str">
        <f t="shared" si="35"/>
        <v>FASE I</v>
      </c>
      <c r="P234" s="155">
        <f t="shared" si="29"/>
        <v>995.71560000000011</v>
      </c>
      <c r="Q234" s="156">
        <f t="shared" si="33"/>
        <v>27093</v>
      </c>
      <c r="R234" s="156">
        <f t="shared" si="34"/>
        <v>26976922.75</v>
      </c>
    </row>
    <row r="235" spans="2:18" s="9" customFormat="1" ht="35.1" customHeight="1" x14ac:dyDescent="0.25">
      <c r="B235" s="23" t="s">
        <v>1173</v>
      </c>
      <c r="C235" s="22" t="s">
        <v>1052</v>
      </c>
      <c r="D235" s="23" t="s">
        <v>94</v>
      </c>
      <c r="E235" s="12">
        <v>110.98</v>
      </c>
      <c r="F235" s="126">
        <v>34489</v>
      </c>
      <c r="G235" s="126">
        <f>ROUND(+F235*E235,2)</f>
        <v>3827589.22</v>
      </c>
      <c r="H235" s="8"/>
      <c r="I235" s="8">
        <f t="shared" si="31"/>
        <v>35368</v>
      </c>
      <c r="J235" s="8">
        <f t="shared" si="32"/>
        <v>3925140.64</v>
      </c>
      <c r="K235" s="9" t="str">
        <f t="array" ref="K235">_xlfn.XLOOKUP(C235,'Neiva 2022 FASE I ACTUAL (5)'!$C$6:$C$540,'Neiva 2022 FASE I ACTUAL (5)'!$C$6:$F$540,"NO ESTA")</f>
        <v>NO ESTA</v>
      </c>
      <c r="O235" s="124">
        <f t="shared" si="35"/>
        <v>0</v>
      </c>
      <c r="P235" s="155">
        <f t="shared" si="29"/>
        <v>110.98</v>
      </c>
      <c r="Q235" s="156">
        <f t="shared" si="33"/>
        <v>35368</v>
      </c>
      <c r="R235" s="156">
        <f t="shared" si="34"/>
        <v>3925140.64</v>
      </c>
    </row>
    <row r="236" spans="2:18" s="9" customFormat="1" ht="35.1" customHeight="1" x14ac:dyDescent="0.25">
      <c r="B236" s="13" t="s">
        <v>1174</v>
      </c>
      <c r="C236" s="14" t="s">
        <v>18</v>
      </c>
      <c r="D236" s="13"/>
      <c r="E236" s="15"/>
      <c r="F236" s="129"/>
      <c r="G236" s="140"/>
      <c r="H236" s="8"/>
      <c r="I236" s="8">
        <f t="shared" si="31"/>
        <v>0</v>
      </c>
      <c r="J236" s="8">
        <f t="shared" si="32"/>
        <v>0</v>
      </c>
      <c r="K236" s="9" t="str">
        <f t="array" ref="K236:N236">_xlfn.XLOOKUP(C236,'Neiva 2022 FASE I ACTUAL (5)'!$C$6:$C$540,'Neiva 2022 FASE I ACTUAL (5)'!$C$6:$F$540,"NO ESTA")</f>
        <v>INSTALACION SERVICIOS PROVISIONALES</v>
      </c>
      <c r="L236" s="9">
        <v>0</v>
      </c>
      <c r="M236" s="9">
        <v>0</v>
      </c>
      <c r="N236" s="9">
        <v>0</v>
      </c>
      <c r="O236" s="124">
        <f t="shared" si="35"/>
        <v>0</v>
      </c>
      <c r="P236" s="155">
        <f t="shared" si="29"/>
        <v>0</v>
      </c>
      <c r="Q236" s="156">
        <f t="shared" si="33"/>
        <v>0</v>
      </c>
      <c r="R236" s="156">
        <f t="shared" si="34"/>
        <v>0</v>
      </c>
    </row>
    <row r="237" spans="2:18" s="9" customFormat="1" ht="35.1" customHeight="1" x14ac:dyDescent="0.25">
      <c r="B237" s="23" t="s">
        <v>1175</v>
      </c>
      <c r="C237" s="22" t="s">
        <v>1176</v>
      </c>
      <c r="D237" s="23" t="s">
        <v>374</v>
      </c>
      <c r="E237" s="12">
        <v>1</v>
      </c>
      <c r="F237" s="126">
        <v>549836</v>
      </c>
      <c r="G237" s="126">
        <f>ROUND(+F237*E237,2)</f>
        <v>549836</v>
      </c>
      <c r="H237" s="8"/>
      <c r="I237" s="8">
        <f t="shared" si="31"/>
        <v>563857</v>
      </c>
      <c r="J237" s="8">
        <f t="shared" si="32"/>
        <v>563857</v>
      </c>
      <c r="K237" s="9" t="str">
        <f t="array" ref="K237">_xlfn.XLOOKUP(C237,'Neiva 2022 FASE I ACTUAL (5)'!$C$6:$C$540,'Neiva 2022 FASE I ACTUAL (5)'!$C$6:$F$540,"NO ESTA")</f>
        <v>NO ESTA</v>
      </c>
      <c r="O237" s="124">
        <f t="shared" si="35"/>
        <v>0</v>
      </c>
      <c r="P237" s="155">
        <f t="shared" si="29"/>
        <v>1</v>
      </c>
      <c r="Q237" s="156">
        <f t="shared" si="33"/>
        <v>563857</v>
      </c>
      <c r="R237" s="156">
        <f t="shared" si="34"/>
        <v>563857</v>
      </c>
    </row>
    <row r="238" spans="2:18" s="9" customFormat="1" ht="35.1" customHeight="1" x14ac:dyDescent="0.25">
      <c r="B238" s="23" t="s">
        <v>1177</v>
      </c>
      <c r="C238" s="22" t="s">
        <v>1178</v>
      </c>
      <c r="D238" s="23" t="s">
        <v>374</v>
      </c>
      <c r="E238" s="12">
        <v>1</v>
      </c>
      <c r="F238" s="126">
        <v>3940517</v>
      </c>
      <c r="G238" s="126">
        <f>ROUND(+F238*E238,2)</f>
        <v>3940517</v>
      </c>
      <c r="H238" s="8"/>
      <c r="I238" s="8">
        <f t="shared" si="31"/>
        <v>4041000</v>
      </c>
      <c r="J238" s="8">
        <f t="shared" si="32"/>
        <v>4041000</v>
      </c>
      <c r="K238" s="9" t="str">
        <f t="array" ref="K238">_xlfn.XLOOKUP(C238,'Neiva 2022 FASE I ACTUAL (5)'!$C$6:$C$540,'Neiva 2022 FASE I ACTUAL (5)'!$C$6:$F$540,"NO ESTA")</f>
        <v>NO ESTA</v>
      </c>
      <c r="O238" s="124">
        <f t="shared" si="35"/>
        <v>0</v>
      </c>
      <c r="P238" s="155">
        <f t="shared" si="29"/>
        <v>1</v>
      </c>
      <c r="Q238" s="156">
        <f t="shared" si="33"/>
        <v>4041000</v>
      </c>
      <c r="R238" s="156">
        <f t="shared" si="34"/>
        <v>4041000</v>
      </c>
    </row>
    <row r="239" spans="2:18" s="9" customFormat="1" ht="35.1" customHeight="1" x14ac:dyDescent="0.25">
      <c r="B239" s="13" t="s">
        <v>1179</v>
      </c>
      <c r="C239" s="14" t="s">
        <v>20</v>
      </c>
      <c r="D239" s="13"/>
      <c r="E239" s="15"/>
      <c r="F239" s="129"/>
      <c r="G239" s="140"/>
      <c r="H239" s="8"/>
      <c r="I239" s="8">
        <f t="shared" si="31"/>
        <v>0</v>
      </c>
      <c r="J239" s="8">
        <f t="shared" si="32"/>
        <v>0</v>
      </c>
      <c r="K239" s="9" t="str">
        <f t="array" ref="K239:N239">_xlfn.XLOOKUP(C239,'Neiva 2022 FASE I ACTUAL (5)'!$C$6:$C$540,'Neiva 2022 FASE I ACTUAL (5)'!$C$6:$F$540,"NO ESTA")</f>
        <v>DEMOLICIONES</v>
      </c>
      <c r="L239" s="9">
        <v>0</v>
      </c>
      <c r="M239" s="9">
        <v>0</v>
      </c>
      <c r="N239" s="9">
        <v>0</v>
      </c>
      <c r="O239" s="124">
        <f t="shared" si="35"/>
        <v>0</v>
      </c>
      <c r="P239" s="155">
        <f t="shared" si="29"/>
        <v>0</v>
      </c>
      <c r="Q239" s="156">
        <f t="shared" si="33"/>
        <v>0</v>
      </c>
      <c r="R239" s="156">
        <f t="shared" si="34"/>
        <v>0</v>
      </c>
    </row>
    <row r="240" spans="2:18" s="9" customFormat="1" ht="35.1" customHeight="1" x14ac:dyDescent="0.25">
      <c r="B240" s="23" t="s">
        <v>1180</v>
      </c>
      <c r="C240" s="22" t="s">
        <v>1181</v>
      </c>
      <c r="D240" s="23" t="s">
        <v>1182</v>
      </c>
      <c r="E240" s="12">
        <v>1</v>
      </c>
      <c r="F240" s="126">
        <v>1927050</v>
      </c>
      <c r="G240" s="126">
        <f>ROUND(+F240*E240,2)</f>
        <v>1927050</v>
      </c>
      <c r="H240" s="8"/>
      <c r="I240" s="8">
        <f t="shared" si="31"/>
        <v>1976190</v>
      </c>
      <c r="J240" s="8">
        <f t="shared" si="32"/>
        <v>1976190</v>
      </c>
      <c r="K240" s="9" t="str">
        <f t="array" ref="K240">_xlfn.XLOOKUP(C240,'Neiva 2022 FASE I ACTUAL (5)'!$C$6:$C$540,'Neiva 2022 FASE I ACTUAL (5)'!$C$6:$F$540,"NO ESTA")</f>
        <v>NO ESTA</v>
      </c>
      <c r="O240" s="124">
        <f t="shared" si="35"/>
        <v>0</v>
      </c>
      <c r="P240" s="155">
        <f t="shared" si="29"/>
        <v>1</v>
      </c>
      <c r="Q240" s="156">
        <f t="shared" si="33"/>
        <v>1976190</v>
      </c>
      <c r="R240" s="156">
        <f t="shared" si="34"/>
        <v>1976190</v>
      </c>
    </row>
    <row r="241" spans="2:18" s="9" customFormat="1" ht="35.1" customHeight="1" x14ac:dyDescent="0.25">
      <c r="B241" s="13" t="s">
        <v>1183</v>
      </c>
      <c r="C241" s="14" t="s">
        <v>1184</v>
      </c>
      <c r="D241" s="13"/>
      <c r="E241" s="15"/>
      <c r="F241" s="129"/>
      <c r="G241" s="140"/>
      <c r="H241" s="8"/>
      <c r="I241" s="8">
        <f t="shared" si="31"/>
        <v>0</v>
      </c>
      <c r="J241" s="8">
        <f t="shared" si="32"/>
        <v>0</v>
      </c>
      <c r="K241" s="9" t="str">
        <f t="array" ref="K241">_xlfn.XLOOKUP(C241,'Neiva 2022 FASE I ACTUAL (5)'!$C$6:$C$540,'Neiva 2022 FASE I ACTUAL (5)'!$C$6:$F$540,"NO ESTA")</f>
        <v>NO ESTA</v>
      </c>
      <c r="O241" s="124">
        <f t="shared" si="35"/>
        <v>0</v>
      </c>
      <c r="P241" s="155">
        <f t="shared" si="29"/>
        <v>0</v>
      </c>
      <c r="Q241" s="156">
        <f t="shared" si="33"/>
        <v>0</v>
      </c>
      <c r="R241" s="156">
        <f t="shared" si="34"/>
        <v>0</v>
      </c>
    </row>
    <row r="242" spans="2:18" s="9" customFormat="1" ht="35.1" customHeight="1" x14ac:dyDescent="0.25">
      <c r="B242" s="10" t="s">
        <v>1185</v>
      </c>
      <c r="C242" s="11" t="s">
        <v>1186</v>
      </c>
      <c r="D242" s="10" t="s">
        <v>30</v>
      </c>
      <c r="E242" s="12">
        <v>79.201499999999996</v>
      </c>
      <c r="F242" s="126">
        <v>31642</v>
      </c>
      <c r="G242" s="126">
        <f>ROUND(+F242*E242,2)</f>
        <v>2506093.86</v>
      </c>
      <c r="H242" s="8"/>
      <c r="I242" s="8">
        <f t="shared" si="31"/>
        <v>32449</v>
      </c>
      <c r="J242" s="8">
        <f t="shared" si="32"/>
        <v>2570009.4734999998</v>
      </c>
      <c r="K242" s="9" t="str">
        <f t="array" ref="K242">_xlfn.XLOOKUP(C242,'Neiva 2022 FASE I ACTUAL (5)'!$C$6:$C$540,'Neiva 2022 FASE I ACTUAL (5)'!$C$6:$F$540,"NO ESTA")</f>
        <v>NO ESTA</v>
      </c>
      <c r="O242" s="124">
        <f t="shared" si="35"/>
        <v>0</v>
      </c>
      <c r="P242" s="155">
        <f t="shared" si="29"/>
        <v>79.201499999999996</v>
      </c>
      <c r="Q242" s="156">
        <f t="shared" si="33"/>
        <v>32449</v>
      </c>
      <c r="R242" s="156">
        <f t="shared" si="34"/>
        <v>2570009.4700000002</v>
      </c>
    </row>
    <row r="243" spans="2:18" s="9" customFormat="1" ht="35.1" customHeight="1" x14ac:dyDescent="0.25">
      <c r="B243" s="10" t="s">
        <v>1187</v>
      </c>
      <c r="C243" s="20" t="s">
        <v>1188</v>
      </c>
      <c r="D243" s="10" t="s">
        <v>30</v>
      </c>
      <c r="E243" s="12">
        <v>110</v>
      </c>
      <c r="F243" s="126">
        <v>143745</v>
      </c>
      <c r="G243" s="126">
        <f>ROUND(+F243*E243,2)</f>
        <v>15811950</v>
      </c>
      <c r="H243" s="8"/>
      <c r="I243" s="8">
        <f t="shared" si="31"/>
        <v>147410</v>
      </c>
      <c r="J243" s="8">
        <f t="shared" si="32"/>
        <v>16215100</v>
      </c>
      <c r="K243" s="9" t="str">
        <f t="array" ref="K243">_xlfn.XLOOKUP(C243,'Neiva 2022 FASE I ACTUAL (5)'!$C$6:$C$540,'Neiva 2022 FASE I ACTUAL (5)'!$C$6:$F$540,"NO ESTA")</f>
        <v>NO ESTA</v>
      </c>
      <c r="O243" s="124">
        <f t="shared" si="35"/>
        <v>0</v>
      </c>
      <c r="P243" s="155">
        <f t="shared" si="29"/>
        <v>110</v>
      </c>
      <c r="Q243" s="156">
        <f t="shared" si="33"/>
        <v>147410</v>
      </c>
      <c r="R243" s="156">
        <f t="shared" si="34"/>
        <v>16215100</v>
      </c>
    </row>
    <row r="244" spans="2:18" s="9" customFormat="1" ht="35.1" customHeight="1" x14ac:dyDescent="0.25">
      <c r="B244" s="10" t="s">
        <v>1189</v>
      </c>
      <c r="C244" s="22" t="s">
        <v>422</v>
      </c>
      <c r="D244" s="10" t="s">
        <v>30</v>
      </c>
      <c r="E244" s="12">
        <v>64.790000000000006</v>
      </c>
      <c r="F244" s="126">
        <v>75587</v>
      </c>
      <c r="G244" s="126">
        <f>ROUND(+F244*E244,2)</f>
        <v>4897281.7300000004</v>
      </c>
      <c r="H244" s="8"/>
      <c r="I244" s="8">
        <f t="shared" si="31"/>
        <v>77514</v>
      </c>
      <c r="J244" s="8">
        <f t="shared" si="32"/>
        <v>5022132.0600000005</v>
      </c>
      <c r="K244" s="9" t="str">
        <f t="array" ref="K244:N244">_xlfn.XLOOKUP(C244,'Neiva 2022 FASE I ACTUAL (5)'!$C$6:$C$540,'Neiva 2022 FASE I ACTUAL (5)'!$C$6:$F$540,"NO ESTA")</f>
        <v xml:space="preserve">RELLENO EN ARENA INCLUYE TRANSPORTE Y COLOCACIÓN       </v>
      </c>
      <c r="L244" s="9" t="str">
        <v xml:space="preserve">M3   </v>
      </c>
      <c r="M244" s="9">
        <v>28</v>
      </c>
      <c r="N244" s="9">
        <v>73664</v>
      </c>
      <c r="O244" s="124" t="str">
        <f t="shared" si="35"/>
        <v>FASE II</v>
      </c>
      <c r="P244" s="155">
        <f t="shared" si="29"/>
        <v>92.79</v>
      </c>
      <c r="Q244" s="156">
        <f t="shared" si="33"/>
        <v>77514</v>
      </c>
      <c r="R244" s="156">
        <f t="shared" si="34"/>
        <v>7192524.0599999996</v>
      </c>
    </row>
    <row r="245" spans="2:18" s="9" customFormat="1" ht="35.1" customHeight="1" x14ac:dyDescent="0.25">
      <c r="B245" s="10" t="s">
        <v>1190</v>
      </c>
      <c r="C245" s="11" t="s">
        <v>1191</v>
      </c>
      <c r="D245" s="10" t="s">
        <v>30</v>
      </c>
      <c r="E245" s="12">
        <v>2</v>
      </c>
      <c r="F245" s="126">
        <v>518935</v>
      </c>
      <c r="G245" s="126">
        <f>ROUND(+F245*E245,2)</f>
        <v>1037870</v>
      </c>
      <c r="H245" s="8"/>
      <c r="I245" s="8">
        <f t="shared" si="31"/>
        <v>532168</v>
      </c>
      <c r="J245" s="8">
        <f t="shared" si="32"/>
        <v>1064336</v>
      </c>
      <c r="K245" s="9" t="str">
        <f t="array" ref="K245">_xlfn.XLOOKUP(C245,'Neiva 2022 FASE I ACTUAL (5)'!$C$6:$C$540,'Neiva 2022 FASE I ACTUAL (5)'!$C$6:$F$540,"NO ESTA")</f>
        <v>NO ESTA</v>
      </c>
      <c r="O245" s="124">
        <f t="shared" si="35"/>
        <v>0</v>
      </c>
      <c r="P245" s="155">
        <f t="shared" si="29"/>
        <v>2</v>
      </c>
      <c r="Q245" s="156">
        <f t="shared" si="33"/>
        <v>532168</v>
      </c>
      <c r="R245" s="156">
        <f t="shared" si="34"/>
        <v>1064336</v>
      </c>
    </row>
    <row r="246" spans="2:18" s="9" customFormat="1" ht="35.1" customHeight="1" x14ac:dyDescent="0.25">
      <c r="B246" s="10" t="s">
        <v>1192</v>
      </c>
      <c r="C246" s="11" t="s">
        <v>1193</v>
      </c>
      <c r="D246" s="10" t="s">
        <v>30</v>
      </c>
      <c r="E246" s="12">
        <v>139.05000000000001</v>
      </c>
      <c r="F246" s="126">
        <v>34334</v>
      </c>
      <c r="G246" s="126">
        <f>ROUND(+F246*E246,2)</f>
        <v>4774142.7</v>
      </c>
      <c r="H246" s="8"/>
      <c r="I246" s="8">
        <f t="shared" si="31"/>
        <v>35210</v>
      </c>
      <c r="J246" s="8">
        <f t="shared" si="32"/>
        <v>4895950.5</v>
      </c>
      <c r="K246" s="9" t="str">
        <f t="array" ref="K246">_xlfn.XLOOKUP(C246,'Neiva 2022 FASE I ACTUAL (5)'!$C$6:$C$540,'Neiva 2022 FASE I ACTUAL (5)'!$C$6:$F$540,"NO ESTA")</f>
        <v>NO ESTA</v>
      </c>
      <c r="O246" s="124">
        <f t="shared" si="35"/>
        <v>0</v>
      </c>
      <c r="P246" s="155">
        <f t="shared" si="29"/>
        <v>139.05000000000001</v>
      </c>
      <c r="Q246" s="156">
        <f t="shared" si="33"/>
        <v>35210</v>
      </c>
      <c r="R246" s="156">
        <f t="shared" si="34"/>
        <v>4895950.5</v>
      </c>
    </row>
    <row r="247" spans="2:18" s="9" customFormat="1" ht="35.1" customHeight="1" x14ac:dyDescent="0.25">
      <c r="B247" s="32" t="s">
        <v>1194</v>
      </c>
      <c r="C247" s="14" t="s">
        <v>1195</v>
      </c>
      <c r="D247" s="24"/>
      <c r="E247" s="15"/>
      <c r="F247" s="129"/>
      <c r="G247" s="140"/>
      <c r="H247" s="8"/>
      <c r="I247" s="8">
        <f t="shared" si="31"/>
        <v>0</v>
      </c>
      <c r="J247" s="8">
        <f t="shared" si="32"/>
        <v>0</v>
      </c>
      <c r="K247" s="9" t="str">
        <f t="array" ref="K247">_xlfn.XLOOKUP(C247,'Neiva 2022 FASE I ACTUAL (5)'!$C$6:$C$540,'Neiva 2022 FASE I ACTUAL (5)'!$C$6:$F$540,"NO ESTA")</f>
        <v>NO ESTA</v>
      </c>
      <c r="O247" s="124">
        <f t="shared" si="35"/>
        <v>0</v>
      </c>
      <c r="P247" s="155">
        <f t="shared" si="29"/>
        <v>0</v>
      </c>
      <c r="Q247" s="156">
        <f t="shared" si="33"/>
        <v>0</v>
      </c>
      <c r="R247" s="156">
        <f t="shared" si="34"/>
        <v>0</v>
      </c>
    </row>
    <row r="248" spans="2:18" s="9" customFormat="1" ht="35.1" customHeight="1" x14ac:dyDescent="0.25">
      <c r="B248" s="10" t="s">
        <v>1196</v>
      </c>
      <c r="C248" s="20" t="s">
        <v>1197</v>
      </c>
      <c r="D248" s="10" t="s">
        <v>13</v>
      </c>
      <c r="E248" s="12">
        <v>185.11</v>
      </c>
      <c r="F248" s="126">
        <v>77740</v>
      </c>
      <c r="G248" s="126">
        <f>ROUND(+F248*E248,2)</f>
        <v>14390451.4</v>
      </c>
      <c r="H248" s="8"/>
      <c r="I248" s="8">
        <f t="shared" si="31"/>
        <v>79722</v>
      </c>
      <c r="J248" s="8">
        <f t="shared" si="32"/>
        <v>14757339.420000002</v>
      </c>
      <c r="K248" s="9" t="str">
        <f t="array" ref="K248">_xlfn.XLOOKUP(C248,'Neiva 2022 FASE I ACTUAL (5)'!$C$6:$C$540,'Neiva 2022 FASE I ACTUAL (5)'!$C$6:$F$540,"NO ESTA")</f>
        <v>NO ESTA</v>
      </c>
      <c r="O248" s="124">
        <f t="shared" si="35"/>
        <v>0</v>
      </c>
      <c r="P248" s="155">
        <f t="shared" si="29"/>
        <v>185.11</v>
      </c>
      <c r="Q248" s="156">
        <f t="shared" si="33"/>
        <v>79722</v>
      </c>
      <c r="R248" s="156">
        <f t="shared" si="34"/>
        <v>14757339.42</v>
      </c>
    </row>
    <row r="249" spans="2:18" s="9" customFormat="1" ht="35.1" customHeight="1" x14ac:dyDescent="0.25">
      <c r="B249" s="10" t="s">
        <v>1198</v>
      </c>
      <c r="C249" s="11" t="s">
        <v>1199</v>
      </c>
      <c r="D249" s="10" t="s">
        <v>94</v>
      </c>
      <c r="E249" s="12">
        <v>72.05</v>
      </c>
      <c r="F249" s="126">
        <v>46234</v>
      </c>
      <c r="G249" s="126">
        <f>ROUND(+F249*E249,2)</f>
        <v>3331159.7</v>
      </c>
      <c r="H249" s="8"/>
      <c r="I249" s="8">
        <f t="shared" si="31"/>
        <v>47413</v>
      </c>
      <c r="J249" s="8">
        <f t="shared" si="32"/>
        <v>3416106.65</v>
      </c>
      <c r="K249" s="9" t="str">
        <f t="array" ref="K249">_xlfn.XLOOKUP(C249,'Neiva 2022 FASE I ACTUAL (5)'!$C$6:$C$540,'Neiva 2022 FASE I ACTUAL (5)'!$C$6:$F$540,"NO ESTA")</f>
        <v>NO ESTA</v>
      </c>
      <c r="O249" s="124">
        <f t="shared" si="35"/>
        <v>0</v>
      </c>
      <c r="P249" s="155">
        <f t="shared" si="29"/>
        <v>72.05</v>
      </c>
      <c r="Q249" s="156">
        <f t="shared" si="33"/>
        <v>47413</v>
      </c>
      <c r="R249" s="156">
        <f t="shared" si="34"/>
        <v>3416106.65</v>
      </c>
    </row>
    <row r="250" spans="2:18" s="9" customFormat="1" ht="35.1" customHeight="1" x14ac:dyDescent="0.25">
      <c r="B250" s="10" t="s">
        <v>1200</v>
      </c>
      <c r="C250" s="11" t="s">
        <v>1201</v>
      </c>
      <c r="D250" s="10" t="s">
        <v>94</v>
      </c>
      <c r="E250" s="12">
        <v>303.41000000000003</v>
      </c>
      <c r="F250" s="126">
        <v>70666</v>
      </c>
      <c r="G250" s="126">
        <f>ROUND(+F250*E250,2)</f>
        <v>21440771.059999999</v>
      </c>
      <c r="H250" s="8"/>
      <c r="I250" s="8">
        <f t="shared" si="31"/>
        <v>72468</v>
      </c>
      <c r="J250" s="8">
        <f t="shared" si="32"/>
        <v>21987515.880000003</v>
      </c>
      <c r="K250" s="9" t="str">
        <f t="array" ref="K250">_xlfn.XLOOKUP(C250,'Neiva 2022 FASE I ACTUAL (5)'!$C$6:$C$540,'Neiva 2022 FASE I ACTUAL (5)'!$C$6:$F$540,"NO ESTA")</f>
        <v>NO ESTA</v>
      </c>
      <c r="O250" s="124">
        <f t="shared" si="35"/>
        <v>0</v>
      </c>
      <c r="P250" s="155">
        <f t="shared" si="29"/>
        <v>303.41000000000003</v>
      </c>
      <c r="Q250" s="156">
        <f t="shared" si="33"/>
        <v>72468</v>
      </c>
      <c r="R250" s="156">
        <f t="shared" si="34"/>
        <v>21987515.879999999</v>
      </c>
    </row>
    <row r="251" spans="2:18" s="9" customFormat="1" ht="35.1" customHeight="1" x14ac:dyDescent="0.25">
      <c r="B251" s="10" t="s">
        <v>1202</v>
      </c>
      <c r="C251" s="11" t="s">
        <v>1203</v>
      </c>
      <c r="D251" s="10" t="s">
        <v>13</v>
      </c>
      <c r="E251" s="12">
        <v>433</v>
      </c>
      <c r="F251" s="126">
        <v>15630</v>
      </c>
      <c r="G251" s="126">
        <f>ROUND(+F251*E251,2)</f>
        <v>6767790</v>
      </c>
      <c r="H251" s="8"/>
      <c r="I251" s="8">
        <f t="shared" si="31"/>
        <v>16029</v>
      </c>
      <c r="J251" s="8">
        <f t="shared" si="32"/>
        <v>6940557</v>
      </c>
      <c r="K251" s="9" t="str">
        <f t="array" ref="K251">_xlfn.XLOOKUP(C251,'Neiva 2022 FASE I ACTUAL (5)'!$C$6:$C$540,'Neiva 2022 FASE I ACTUAL (5)'!$C$6:$F$540,"NO ESTA")</f>
        <v>NO ESTA</v>
      </c>
      <c r="O251" s="124">
        <f t="shared" si="35"/>
        <v>0</v>
      </c>
      <c r="P251" s="155">
        <f t="shared" si="29"/>
        <v>433</v>
      </c>
      <c r="Q251" s="156">
        <f t="shared" si="33"/>
        <v>16029</v>
      </c>
      <c r="R251" s="156">
        <f t="shared" si="34"/>
        <v>6940557</v>
      </c>
    </row>
    <row r="252" spans="2:18" s="9" customFormat="1" ht="35.1" customHeight="1" x14ac:dyDescent="0.25">
      <c r="B252" s="13" t="s">
        <v>1204</v>
      </c>
      <c r="C252" s="14" t="s">
        <v>1205</v>
      </c>
      <c r="D252" s="13"/>
      <c r="E252" s="15"/>
      <c r="F252" s="129"/>
      <c r="G252" s="140"/>
      <c r="H252" s="8"/>
      <c r="I252" s="8">
        <f t="shared" si="31"/>
        <v>0</v>
      </c>
      <c r="J252" s="8">
        <f t="shared" si="32"/>
        <v>0</v>
      </c>
      <c r="K252" s="9" t="str">
        <f t="array" ref="K252">_xlfn.XLOOKUP(C252,'Neiva 2022 FASE I ACTUAL (5)'!$C$6:$C$540,'Neiva 2022 FASE I ACTUAL (5)'!$C$6:$F$540,"NO ESTA")</f>
        <v>NO ESTA</v>
      </c>
      <c r="O252" s="124">
        <f t="shared" si="35"/>
        <v>0</v>
      </c>
      <c r="P252" s="155">
        <f t="shared" si="29"/>
        <v>0</v>
      </c>
      <c r="Q252" s="156">
        <f t="shared" si="33"/>
        <v>0</v>
      </c>
      <c r="R252" s="156">
        <f t="shared" si="34"/>
        <v>0</v>
      </c>
    </row>
    <row r="253" spans="2:18" s="9" customFormat="1" ht="35.1" customHeight="1" x14ac:dyDescent="0.25">
      <c r="B253" s="23" t="s">
        <v>1206</v>
      </c>
      <c r="C253" s="11" t="s">
        <v>1207</v>
      </c>
      <c r="D253" s="10" t="s">
        <v>16</v>
      </c>
      <c r="E253" s="12">
        <v>4</v>
      </c>
      <c r="F253" s="126">
        <v>770952</v>
      </c>
      <c r="G253" s="126">
        <f t="shared" ref="G253:G258" si="38">ROUND(+F253*E253,2)</f>
        <v>3083808</v>
      </c>
      <c r="H253" s="8"/>
      <c r="I253" s="8">
        <f t="shared" si="31"/>
        <v>790611</v>
      </c>
      <c r="J253" s="8">
        <f t="shared" si="32"/>
        <v>3162444</v>
      </c>
      <c r="K253" s="9" t="str">
        <f t="array" ref="K253">_xlfn.XLOOKUP(C253,'Neiva 2022 FASE I ACTUAL (5)'!$C$6:$C$540,'Neiva 2022 FASE I ACTUAL (5)'!$C$6:$F$540,"NO ESTA")</f>
        <v>NO ESTA</v>
      </c>
      <c r="O253" s="124">
        <f t="shared" si="35"/>
        <v>0</v>
      </c>
      <c r="P253" s="155">
        <f t="shared" si="29"/>
        <v>4</v>
      </c>
      <c r="Q253" s="156">
        <f t="shared" si="33"/>
        <v>790611</v>
      </c>
      <c r="R253" s="156">
        <f t="shared" si="34"/>
        <v>3162444</v>
      </c>
    </row>
    <row r="254" spans="2:18" s="9" customFormat="1" ht="35.1" customHeight="1" x14ac:dyDescent="0.25">
      <c r="B254" s="23" t="s">
        <v>1208</v>
      </c>
      <c r="C254" s="11" t="s">
        <v>1209</v>
      </c>
      <c r="D254" s="10" t="s">
        <v>16</v>
      </c>
      <c r="E254" s="12">
        <v>6</v>
      </c>
      <c r="F254" s="126">
        <v>385502</v>
      </c>
      <c r="G254" s="126">
        <f t="shared" si="38"/>
        <v>2313012</v>
      </c>
      <c r="H254" s="8"/>
      <c r="I254" s="8">
        <f t="shared" si="31"/>
        <v>395332</v>
      </c>
      <c r="J254" s="8">
        <f t="shared" si="32"/>
        <v>2371992</v>
      </c>
      <c r="K254" s="9" t="str">
        <f t="array" ref="K254">_xlfn.XLOOKUP(C254,'Neiva 2022 FASE I ACTUAL (5)'!$C$6:$C$540,'Neiva 2022 FASE I ACTUAL (5)'!$C$6:$F$540,"NO ESTA")</f>
        <v>NO ESTA</v>
      </c>
      <c r="O254" s="124">
        <f t="shared" si="35"/>
        <v>0</v>
      </c>
      <c r="P254" s="155">
        <f t="shared" si="29"/>
        <v>6</v>
      </c>
      <c r="Q254" s="156">
        <f t="shared" si="33"/>
        <v>395332</v>
      </c>
      <c r="R254" s="156">
        <f t="shared" si="34"/>
        <v>2371992</v>
      </c>
    </row>
    <row r="255" spans="2:18" s="9" customFormat="1" ht="35.1" customHeight="1" x14ac:dyDescent="0.25">
      <c r="B255" s="23" t="s">
        <v>1210</v>
      </c>
      <c r="C255" s="11" t="s">
        <v>1211</v>
      </c>
      <c r="D255" s="10" t="s">
        <v>16</v>
      </c>
      <c r="E255" s="12">
        <v>1</v>
      </c>
      <c r="F255" s="126">
        <v>9636031</v>
      </c>
      <c r="G255" s="126">
        <f t="shared" si="38"/>
        <v>9636031</v>
      </c>
      <c r="H255" s="8"/>
      <c r="I255" s="8">
        <f t="shared" si="31"/>
        <v>9881750</v>
      </c>
      <c r="J255" s="8">
        <f t="shared" si="32"/>
        <v>9881750</v>
      </c>
      <c r="K255" s="9" t="str">
        <f t="array" ref="K255">_xlfn.XLOOKUP(C255,'Neiva 2022 FASE I ACTUAL (5)'!$C$6:$C$540,'Neiva 2022 FASE I ACTUAL (5)'!$C$6:$F$540,"NO ESTA")</f>
        <v>NO ESTA</v>
      </c>
      <c r="O255" s="124">
        <f t="shared" si="35"/>
        <v>0</v>
      </c>
      <c r="P255" s="155">
        <f t="shared" si="29"/>
        <v>1</v>
      </c>
      <c r="Q255" s="156">
        <f t="shared" si="33"/>
        <v>9881750</v>
      </c>
      <c r="R255" s="156">
        <f t="shared" si="34"/>
        <v>9881750</v>
      </c>
    </row>
    <row r="256" spans="2:18" s="9" customFormat="1" ht="35.1" customHeight="1" x14ac:dyDescent="0.25">
      <c r="B256" s="23" t="s">
        <v>1212</v>
      </c>
      <c r="C256" s="22" t="s">
        <v>1213</v>
      </c>
      <c r="D256" s="10" t="s">
        <v>16</v>
      </c>
      <c r="E256" s="12">
        <v>3</v>
      </c>
      <c r="F256" s="126">
        <v>231670</v>
      </c>
      <c r="G256" s="126">
        <f t="shared" si="38"/>
        <v>695010</v>
      </c>
      <c r="H256" s="8"/>
      <c r="I256" s="8">
        <f t="shared" si="31"/>
        <v>237578</v>
      </c>
      <c r="J256" s="8">
        <f t="shared" si="32"/>
        <v>712734</v>
      </c>
      <c r="K256" s="9" t="str">
        <f t="array" ref="K256">_xlfn.XLOOKUP(C256,'Neiva 2022 FASE I ACTUAL (5)'!$C$6:$C$540,'Neiva 2022 FASE I ACTUAL (5)'!$C$6:$F$540,"NO ESTA")</f>
        <v>NO ESTA</v>
      </c>
      <c r="O256" s="124">
        <f t="shared" si="35"/>
        <v>0</v>
      </c>
      <c r="P256" s="155">
        <f t="shared" si="29"/>
        <v>3</v>
      </c>
      <c r="Q256" s="156">
        <f t="shared" si="33"/>
        <v>237578</v>
      </c>
      <c r="R256" s="156">
        <f t="shared" si="34"/>
        <v>712734</v>
      </c>
    </row>
    <row r="257" spans="2:18" s="9" customFormat="1" ht="35.1" customHeight="1" x14ac:dyDescent="0.25">
      <c r="B257" s="23" t="s">
        <v>1214</v>
      </c>
      <c r="C257" s="22" t="s">
        <v>1215</v>
      </c>
      <c r="D257" s="10" t="s">
        <v>16</v>
      </c>
      <c r="E257" s="12">
        <v>3</v>
      </c>
      <c r="F257" s="126">
        <v>321336</v>
      </c>
      <c r="G257" s="126">
        <f t="shared" si="38"/>
        <v>964008</v>
      </c>
      <c r="H257" s="8"/>
      <c r="I257" s="8">
        <f t="shared" si="31"/>
        <v>329530</v>
      </c>
      <c r="J257" s="8">
        <f t="shared" si="32"/>
        <v>988590</v>
      </c>
      <c r="K257" s="9" t="str">
        <f t="array" ref="K257">_xlfn.XLOOKUP(C257,'Neiva 2022 FASE I ACTUAL (5)'!$C$6:$C$540,'Neiva 2022 FASE I ACTUAL (5)'!$C$6:$F$540,"NO ESTA")</f>
        <v>NO ESTA</v>
      </c>
      <c r="O257" s="124">
        <f t="shared" si="35"/>
        <v>0</v>
      </c>
      <c r="P257" s="155">
        <f t="shared" si="29"/>
        <v>3</v>
      </c>
      <c r="Q257" s="156">
        <f t="shared" si="33"/>
        <v>329530</v>
      </c>
      <c r="R257" s="156">
        <f t="shared" si="34"/>
        <v>988590</v>
      </c>
    </row>
    <row r="258" spans="2:18" s="9" customFormat="1" ht="35.1" customHeight="1" x14ac:dyDescent="0.25">
      <c r="B258" s="23" t="s">
        <v>1216</v>
      </c>
      <c r="C258" s="22" t="s">
        <v>1217</v>
      </c>
      <c r="D258" s="10" t="s">
        <v>16</v>
      </c>
      <c r="E258" s="12">
        <v>1</v>
      </c>
      <c r="F258" s="126">
        <v>385571</v>
      </c>
      <c r="G258" s="126">
        <f t="shared" si="38"/>
        <v>385571</v>
      </c>
      <c r="H258" s="8"/>
      <c r="I258" s="8">
        <f t="shared" si="31"/>
        <v>395403</v>
      </c>
      <c r="J258" s="8">
        <f t="shared" si="32"/>
        <v>395403</v>
      </c>
      <c r="K258" s="9" t="str">
        <f t="array" ref="K258">_xlfn.XLOOKUP(C258,'Neiva 2022 FASE I ACTUAL (5)'!$C$6:$C$540,'Neiva 2022 FASE I ACTUAL (5)'!$C$6:$F$540,"NO ESTA")</f>
        <v>NO ESTA</v>
      </c>
      <c r="O258" s="124">
        <f t="shared" si="35"/>
        <v>0</v>
      </c>
      <c r="P258" s="155">
        <f t="shared" si="29"/>
        <v>1</v>
      </c>
      <c r="Q258" s="156">
        <f t="shared" si="33"/>
        <v>395403</v>
      </c>
      <c r="R258" s="156">
        <f t="shared" si="34"/>
        <v>395403</v>
      </c>
    </row>
    <row r="259" spans="2:18" s="9" customFormat="1" ht="35.1" customHeight="1" x14ac:dyDescent="0.25">
      <c r="B259" s="13" t="s">
        <v>1218</v>
      </c>
      <c r="C259" s="14" t="s">
        <v>1219</v>
      </c>
      <c r="D259" s="13"/>
      <c r="E259" s="15"/>
      <c r="F259" s="129"/>
      <c r="G259" s="140"/>
      <c r="H259" s="8"/>
      <c r="I259" s="8">
        <f t="shared" si="31"/>
        <v>0</v>
      </c>
      <c r="J259" s="8">
        <f t="shared" si="32"/>
        <v>0</v>
      </c>
      <c r="K259" s="9" t="str">
        <f t="array" ref="K259">_xlfn.XLOOKUP(C259,'Neiva 2022 FASE I ACTUAL (5)'!$C$6:$C$540,'Neiva 2022 FASE I ACTUAL (5)'!$C$6:$F$540,"NO ESTA")</f>
        <v>NO ESTA</v>
      </c>
      <c r="O259" s="124">
        <f t="shared" si="35"/>
        <v>0</v>
      </c>
      <c r="P259" s="155">
        <f t="shared" si="29"/>
        <v>0</v>
      </c>
      <c r="Q259" s="156">
        <f t="shared" si="33"/>
        <v>0</v>
      </c>
      <c r="R259" s="156">
        <f t="shared" si="34"/>
        <v>0</v>
      </c>
    </row>
    <row r="260" spans="2:18" s="9" customFormat="1" ht="35.1" customHeight="1" x14ac:dyDescent="0.25">
      <c r="B260" s="10" t="s">
        <v>1220</v>
      </c>
      <c r="C260" s="11" t="s">
        <v>1221</v>
      </c>
      <c r="D260" s="10" t="s">
        <v>16</v>
      </c>
      <c r="E260" s="12">
        <v>8</v>
      </c>
      <c r="F260" s="126">
        <v>3218117</v>
      </c>
      <c r="G260" s="126">
        <f>ROUND(+F260*E260,2)</f>
        <v>25744936</v>
      </c>
      <c r="H260" s="8"/>
      <c r="I260" s="8">
        <f t="shared" si="31"/>
        <v>3300179</v>
      </c>
      <c r="J260" s="8">
        <f t="shared" si="32"/>
        <v>26401432</v>
      </c>
      <c r="K260" s="9" t="str">
        <f t="array" ref="K260">_xlfn.XLOOKUP(C260,'Neiva 2022 FASE I ACTUAL (5)'!$C$6:$C$540,'Neiva 2022 FASE I ACTUAL (5)'!$C$6:$F$540,"NO ESTA")</f>
        <v>NO ESTA</v>
      </c>
      <c r="O260" s="124">
        <f t="shared" si="35"/>
        <v>0</v>
      </c>
      <c r="P260" s="155">
        <f t="shared" si="29"/>
        <v>8</v>
      </c>
      <c r="Q260" s="156">
        <f t="shared" si="33"/>
        <v>3300179</v>
      </c>
      <c r="R260" s="156">
        <f t="shared" si="34"/>
        <v>26401432</v>
      </c>
    </row>
    <row r="261" spans="2:18" s="9" customFormat="1" ht="35.1" customHeight="1" x14ac:dyDescent="0.25">
      <c r="B261" s="33">
        <v>12</v>
      </c>
      <c r="C261" s="34" t="s">
        <v>264</v>
      </c>
      <c r="D261" s="34"/>
      <c r="E261" s="35"/>
      <c r="F261" s="132"/>
      <c r="G261" s="144"/>
      <c r="H261" s="8"/>
      <c r="I261" s="8">
        <f t="shared" si="31"/>
        <v>0</v>
      </c>
      <c r="J261" s="8">
        <f t="shared" si="32"/>
        <v>0</v>
      </c>
      <c r="K261" s="9" t="str">
        <f t="array" ref="K261:N261">_xlfn.XLOOKUP(C261,'Neiva 2022 FASE I ACTUAL (5)'!$C$6:$C$540,'Neiva 2022 FASE I ACTUAL (5)'!$C$6:$F$540,"NO ESTA")</f>
        <v xml:space="preserve">RED HIDRÁULICO Y SANITARIO </v>
      </c>
      <c r="L261" s="9">
        <v>0</v>
      </c>
      <c r="M261" s="9">
        <v>0</v>
      </c>
      <c r="N261" s="9">
        <v>0</v>
      </c>
      <c r="O261" s="124">
        <f t="shared" si="35"/>
        <v>0</v>
      </c>
      <c r="P261" s="155">
        <f t="shared" si="29"/>
        <v>0</v>
      </c>
      <c r="Q261" s="156">
        <f t="shared" si="33"/>
        <v>0</v>
      </c>
      <c r="R261" s="156">
        <f t="shared" si="34"/>
        <v>0</v>
      </c>
    </row>
    <row r="262" spans="2:18" s="9" customFormat="1" ht="35.1" customHeight="1" x14ac:dyDescent="0.25">
      <c r="B262" s="42" t="s">
        <v>265</v>
      </c>
      <c r="C262" s="43" t="s">
        <v>266</v>
      </c>
      <c r="D262" s="24"/>
      <c r="E262" s="15"/>
      <c r="F262" s="129"/>
      <c r="G262" s="140"/>
      <c r="H262" s="8"/>
      <c r="I262" s="8">
        <f t="shared" si="31"/>
        <v>0</v>
      </c>
      <c r="J262" s="8">
        <f t="shared" si="32"/>
        <v>0</v>
      </c>
      <c r="K262" s="9" t="str">
        <f t="array" ref="K262:N262">_xlfn.XLOOKUP(C262,'Neiva 2022 FASE I ACTUAL (5)'!$C$6:$C$540,'Neiva 2022 FASE I ACTUAL (5)'!$C$6:$F$540,"NO ESTA")</f>
        <v>SUMINISTRO E INSTALACIÓN RED AGUA POTABLE</v>
      </c>
      <c r="L262" s="9">
        <v>0</v>
      </c>
      <c r="M262" s="9">
        <v>0</v>
      </c>
      <c r="N262" s="9">
        <v>0</v>
      </c>
      <c r="O262" s="124">
        <f t="shared" si="35"/>
        <v>0</v>
      </c>
      <c r="P262" s="155">
        <f t="shared" ref="P262:P325" si="39">E262+M262</f>
        <v>0</v>
      </c>
      <c r="Q262" s="156">
        <f t="shared" si="33"/>
        <v>0</v>
      </c>
      <c r="R262" s="156">
        <f t="shared" si="34"/>
        <v>0</v>
      </c>
    </row>
    <row r="263" spans="2:18" s="9" customFormat="1" ht="35.1" customHeight="1" x14ac:dyDescent="0.25">
      <c r="B263" s="44" t="s">
        <v>267</v>
      </c>
      <c r="C263" s="22" t="s">
        <v>268</v>
      </c>
      <c r="D263" s="23" t="s">
        <v>269</v>
      </c>
      <c r="E263" s="12">
        <v>121</v>
      </c>
      <c r="F263" s="126">
        <v>12676</v>
      </c>
      <c r="G263" s="126">
        <f t="shared" ref="G263:G291" si="40">ROUND(+F263*E263,2)</f>
        <v>1533796</v>
      </c>
      <c r="H263" s="8"/>
      <c r="I263" s="8">
        <f t="shared" ref="I263:I326" si="41">+ROUND(F263*(1+$I$4),0)</f>
        <v>12999</v>
      </c>
      <c r="J263" s="8">
        <f t="shared" ref="J263:J326" si="42">+I263*E263</f>
        <v>1572879</v>
      </c>
      <c r="K263" s="9" t="str">
        <f t="array" ref="K263:N263">_xlfn.XLOOKUP(C263,'Neiva 2022 FASE I ACTUAL (5)'!$C$6:$C$540,'Neiva 2022 FASE I ACTUAL (5)'!$C$6:$F$540,"NO ESTA")</f>
        <v>SUMINISTRO E INSTALACIÓN TUBERIA PVC-P DIAMETRO 1/2" RDE 9</v>
      </c>
      <c r="L263" s="9" t="str">
        <v xml:space="preserve">ML   </v>
      </c>
      <c r="M263" s="9">
        <v>45</v>
      </c>
      <c r="N263" s="9">
        <v>12354</v>
      </c>
      <c r="O263" s="124" t="str">
        <f t="shared" si="35"/>
        <v>FASE II</v>
      </c>
      <c r="P263" s="155">
        <f t="shared" si="39"/>
        <v>166</v>
      </c>
      <c r="Q263" s="156">
        <f t="shared" ref="Q263:Q326" si="43">MAX(N263,F263,I263)</f>
        <v>12999</v>
      </c>
      <c r="R263" s="156">
        <f t="shared" ref="R263:R326" si="44">ROUND(P263*Q263,2)</f>
        <v>2157834</v>
      </c>
    </row>
    <row r="264" spans="2:18" s="9" customFormat="1" ht="35.1" customHeight="1" x14ac:dyDescent="0.25">
      <c r="B264" s="44" t="s">
        <v>270</v>
      </c>
      <c r="C264" s="22" t="s">
        <v>271</v>
      </c>
      <c r="D264" s="23" t="s">
        <v>269</v>
      </c>
      <c r="E264" s="12">
        <v>49</v>
      </c>
      <c r="F264" s="126">
        <v>18861</v>
      </c>
      <c r="G264" s="126">
        <f t="shared" si="40"/>
        <v>924189</v>
      </c>
      <c r="H264" s="8"/>
      <c r="I264" s="8">
        <f t="shared" si="41"/>
        <v>19342</v>
      </c>
      <c r="J264" s="8">
        <f t="shared" si="42"/>
        <v>947758</v>
      </c>
      <c r="K264" s="9" t="str">
        <f t="array" ref="K264:N264">_xlfn.XLOOKUP(C264,'Neiva 2022 FASE I ACTUAL (5)'!$C$6:$C$540,'Neiva 2022 FASE I ACTUAL (5)'!$C$6:$F$540,"NO ESTA")</f>
        <v>SUMINISTRO E INSTALACIÓN TUBERIA PCV-P DIAMETRO 3/4" RDE 11</v>
      </c>
      <c r="L264" s="9" t="str">
        <v xml:space="preserve">ML   </v>
      </c>
      <c r="M264" s="9">
        <v>18</v>
      </c>
      <c r="N264" s="9">
        <v>18380</v>
      </c>
      <c r="O264" s="124" t="str">
        <f t="shared" ref="O264:O327" si="45">IF(N264=0,0,(IF(F264&lt;N264, "FASE I","FASE II")))</f>
        <v>FASE II</v>
      </c>
      <c r="P264" s="155">
        <f t="shared" si="39"/>
        <v>67</v>
      </c>
      <c r="Q264" s="156">
        <f t="shared" si="43"/>
        <v>19342</v>
      </c>
      <c r="R264" s="156">
        <f t="shared" si="44"/>
        <v>1295914</v>
      </c>
    </row>
    <row r="265" spans="2:18" s="9" customFormat="1" ht="35.1" customHeight="1" x14ac:dyDescent="0.25">
      <c r="B265" s="44" t="s">
        <v>272</v>
      </c>
      <c r="C265" s="22" t="s">
        <v>273</v>
      </c>
      <c r="D265" s="23" t="s">
        <v>269</v>
      </c>
      <c r="E265" s="12">
        <v>40</v>
      </c>
      <c r="F265" s="126">
        <v>19999</v>
      </c>
      <c r="G265" s="126">
        <f t="shared" si="40"/>
        <v>799960</v>
      </c>
      <c r="H265" s="8"/>
      <c r="I265" s="8">
        <f t="shared" si="41"/>
        <v>20509</v>
      </c>
      <c r="J265" s="8">
        <f t="shared" si="42"/>
        <v>820360</v>
      </c>
      <c r="K265" s="9" t="str">
        <f t="array" ref="K265:N265">_xlfn.XLOOKUP(C265,'Neiva 2022 FASE I ACTUAL (5)'!$C$6:$C$540,'Neiva 2022 FASE I ACTUAL (5)'!$C$6:$F$540,"NO ESTA")</f>
        <v>SUMINISTRO E INSTALACIÓN TUBERIA PCV-P DIAMETRO 1" RDE 13,5</v>
      </c>
      <c r="L265" s="9" t="str">
        <v xml:space="preserve">ML   </v>
      </c>
      <c r="M265" s="9">
        <v>15</v>
      </c>
      <c r="N265" s="9">
        <v>19490</v>
      </c>
      <c r="O265" s="124" t="str">
        <f t="shared" si="45"/>
        <v>FASE II</v>
      </c>
      <c r="P265" s="155">
        <f t="shared" si="39"/>
        <v>55</v>
      </c>
      <c r="Q265" s="156">
        <f t="shared" si="43"/>
        <v>20509</v>
      </c>
      <c r="R265" s="156">
        <f t="shared" si="44"/>
        <v>1127995</v>
      </c>
    </row>
    <row r="266" spans="2:18" s="9" customFormat="1" ht="35.1" customHeight="1" x14ac:dyDescent="0.25">
      <c r="B266" s="44" t="s">
        <v>274</v>
      </c>
      <c r="C266" s="22" t="s">
        <v>275</v>
      </c>
      <c r="D266" s="23" t="s">
        <v>269</v>
      </c>
      <c r="E266" s="12">
        <v>64</v>
      </c>
      <c r="F266" s="126">
        <v>21245</v>
      </c>
      <c r="G266" s="126">
        <f t="shared" si="40"/>
        <v>1359680</v>
      </c>
      <c r="H266" s="8"/>
      <c r="I266" s="8">
        <f t="shared" si="41"/>
        <v>21787</v>
      </c>
      <c r="J266" s="8">
        <f t="shared" si="42"/>
        <v>1394368</v>
      </c>
      <c r="K266" s="9" t="str">
        <f t="array" ref="K266:N266">_xlfn.XLOOKUP(C266,'Neiva 2022 FASE I ACTUAL (5)'!$C$6:$C$540,'Neiva 2022 FASE I ACTUAL (5)'!$C$6:$F$540,"NO ESTA")</f>
        <v>SUMINISTRO E INSTALACIÓN TUBERIA PCV-P DIAMETRO 1 1/4" RDE 21</v>
      </c>
      <c r="L266" s="9" t="str">
        <v xml:space="preserve">ML   </v>
      </c>
      <c r="M266" s="9">
        <v>23</v>
      </c>
      <c r="N266" s="9">
        <v>20704</v>
      </c>
      <c r="O266" s="124" t="str">
        <f t="shared" si="45"/>
        <v>FASE II</v>
      </c>
      <c r="P266" s="155">
        <f t="shared" si="39"/>
        <v>87</v>
      </c>
      <c r="Q266" s="156">
        <f t="shared" si="43"/>
        <v>21787</v>
      </c>
      <c r="R266" s="156">
        <f t="shared" si="44"/>
        <v>1895469</v>
      </c>
    </row>
    <row r="267" spans="2:18" s="9" customFormat="1" ht="35.1" customHeight="1" x14ac:dyDescent="0.25">
      <c r="B267" s="44" t="s">
        <v>276</v>
      </c>
      <c r="C267" s="22" t="s">
        <v>277</v>
      </c>
      <c r="D267" s="23" t="s">
        <v>269</v>
      </c>
      <c r="E267" s="12">
        <v>57</v>
      </c>
      <c r="F267" s="126">
        <v>27309</v>
      </c>
      <c r="G267" s="126">
        <f t="shared" si="40"/>
        <v>1556613</v>
      </c>
      <c r="H267" s="8"/>
      <c r="I267" s="8">
        <f t="shared" si="41"/>
        <v>28005</v>
      </c>
      <c r="J267" s="8">
        <f t="shared" si="42"/>
        <v>1596285</v>
      </c>
      <c r="K267" s="9" t="str">
        <f t="array" ref="K267:N267">_xlfn.XLOOKUP(C267,'Neiva 2022 FASE I ACTUAL (5)'!$C$6:$C$540,'Neiva 2022 FASE I ACTUAL (5)'!$C$6:$F$540,"NO ESTA")</f>
        <v>SUMINISTRO E INSTALACIÓN TUBERIA PCV-P DIAMETRO 1 1/2" RDE 21</v>
      </c>
      <c r="L267" s="9" t="str">
        <v xml:space="preserve">ML   </v>
      </c>
      <c r="M267" s="9">
        <v>21</v>
      </c>
      <c r="N267" s="9">
        <v>26614</v>
      </c>
      <c r="O267" s="124" t="str">
        <f t="shared" si="45"/>
        <v>FASE II</v>
      </c>
      <c r="P267" s="155">
        <f t="shared" si="39"/>
        <v>78</v>
      </c>
      <c r="Q267" s="156">
        <f t="shared" si="43"/>
        <v>28005</v>
      </c>
      <c r="R267" s="156">
        <f t="shared" si="44"/>
        <v>2184390</v>
      </c>
    </row>
    <row r="268" spans="2:18" s="9" customFormat="1" ht="35.1" customHeight="1" x14ac:dyDescent="0.25">
      <c r="B268" s="44" t="s">
        <v>278</v>
      </c>
      <c r="C268" s="22" t="s">
        <v>279</v>
      </c>
      <c r="D268" s="23" t="s">
        <v>269</v>
      </c>
      <c r="E268" s="12">
        <v>90</v>
      </c>
      <c r="F268" s="126">
        <v>39097</v>
      </c>
      <c r="G268" s="126">
        <f t="shared" si="40"/>
        <v>3518730</v>
      </c>
      <c r="H268" s="8"/>
      <c r="I268" s="8">
        <f t="shared" si="41"/>
        <v>40094</v>
      </c>
      <c r="J268" s="8">
        <f t="shared" si="42"/>
        <v>3608460</v>
      </c>
      <c r="K268" s="9" t="str">
        <f t="array" ref="K268:N268">_xlfn.XLOOKUP(C268,'Neiva 2022 FASE I ACTUAL (5)'!$C$6:$C$540,'Neiva 2022 FASE I ACTUAL (5)'!$C$6:$F$540,"NO ESTA")</f>
        <v>SUMINISTRO E INSTALACIÓN TUBERIA PCV-P DIAMETRO 2" RDE 21</v>
      </c>
      <c r="L268" s="9" t="str">
        <v xml:space="preserve">ML   </v>
      </c>
      <c r="M268" s="9">
        <v>33</v>
      </c>
      <c r="N268" s="9">
        <v>38103</v>
      </c>
      <c r="O268" s="124" t="str">
        <f t="shared" si="45"/>
        <v>FASE II</v>
      </c>
      <c r="P268" s="155">
        <f t="shared" si="39"/>
        <v>123</v>
      </c>
      <c r="Q268" s="156">
        <f t="shared" si="43"/>
        <v>40094</v>
      </c>
      <c r="R268" s="156">
        <f t="shared" si="44"/>
        <v>4931562</v>
      </c>
    </row>
    <row r="269" spans="2:18" s="9" customFormat="1" ht="35.1" customHeight="1" x14ac:dyDescent="0.25">
      <c r="B269" s="44" t="s">
        <v>280</v>
      </c>
      <c r="C269" s="22" t="s">
        <v>281</v>
      </c>
      <c r="D269" s="23" t="s">
        <v>269</v>
      </c>
      <c r="E269" s="12">
        <v>18</v>
      </c>
      <c r="F269" s="126">
        <v>52773</v>
      </c>
      <c r="G269" s="126">
        <f t="shared" si="40"/>
        <v>949914</v>
      </c>
      <c r="H269" s="8"/>
      <c r="I269" s="8">
        <f t="shared" si="41"/>
        <v>54119</v>
      </c>
      <c r="J269" s="8">
        <f t="shared" si="42"/>
        <v>974142</v>
      </c>
      <c r="K269" s="9" t="str">
        <f t="array" ref="K269:N269">_xlfn.XLOOKUP(C269,'Neiva 2022 FASE I ACTUAL (5)'!$C$6:$C$540,'Neiva 2022 FASE I ACTUAL (5)'!$C$6:$F$540,"NO ESTA")</f>
        <v>SUMINISTRO E INSTALACIÓN TUBERIA PCV-P DIAMETRO 2 1/2" RDE 21</v>
      </c>
      <c r="L269" s="9" t="str">
        <v xml:space="preserve">ML   </v>
      </c>
      <c r="M269" s="9">
        <v>7</v>
      </c>
      <c r="N269" s="9">
        <v>51430</v>
      </c>
      <c r="O269" s="124" t="str">
        <f t="shared" si="45"/>
        <v>FASE II</v>
      </c>
      <c r="P269" s="155">
        <f t="shared" si="39"/>
        <v>25</v>
      </c>
      <c r="Q269" s="156">
        <f t="shared" si="43"/>
        <v>54119</v>
      </c>
      <c r="R269" s="156">
        <f t="shared" si="44"/>
        <v>1352975</v>
      </c>
    </row>
    <row r="270" spans="2:18" s="9" customFormat="1" ht="35.1" customHeight="1" x14ac:dyDescent="0.25">
      <c r="B270" s="44" t="s">
        <v>282</v>
      </c>
      <c r="C270" s="22" t="s">
        <v>283</v>
      </c>
      <c r="D270" s="23" t="s">
        <v>284</v>
      </c>
      <c r="E270" s="12">
        <v>105</v>
      </c>
      <c r="F270" s="126">
        <v>3281</v>
      </c>
      <c r="G270" s="126">
        <f t="shared" si="40"/>
        <v>344505</v>
      </c>
      <c r="H270" s="8"/>
      <c r="I270" s="8">
        <f t="shared" si="41"/>
        <v>3365</v>
      </c>
      <c r="J270" s="8">
        <f t="shared" si="42"/>
        <v>353325</v>
      </c>
      <c r="K270" s="9" t="str">
        <f t="array" ref="K270:N270">_xlfn.XLOOKUP(C270,'Neiva 2022 FASE I ACTUAL (5)'!$C$6:$C$540,'Neiva 2022 FASE I ACTUAL (5)'!$C$6:$F$540,"NO ESTA")</f>
        <v>SUMINISTRO E INSTALACIÓN ACCESORIOS PVC-P 1/2" SCH 40</v>
      </c>
      <c r="L270" s="9" t="str">
        <v xml:space="preserve">UN   </v>
      </c>
      <c r="M270" s="9">
        <v>39</v>
      </c>
      <c r="N270" s="9">
        <v>3198</v>
      </c>
      <c r="O270" s="124" t="str">
        <f t="shared" si="45"/>
        <v>FASE II</v>
      </c>
      <c r="P270" s="155">
        <f t="shared" si="39"/>
        <v>144</v>
      </c>
      <c r="Q270" s="156">
        <f t="shared" si="43"/>
        <v>3365</v>
      </c>
      <c r="R270" s="156">
        <f t="shared" si="44"/>
        <v>484560</v>
      </c>
    </row>
    <row r="271" spans="2:18" s="9" customFormat="1" ht="35.1" customHeight="1" x14ac:dyDescent="0.25">
      <c r="B271" s="44" t="s">
        <v>285</v>
      </c>
      <c r="C271" s="22" t="s">
        <v>286</v>
      </c>
      <c r="D271" s="23" t="s">
        <v>284</v>
      </c>
      <c r="E271" s="12">
        <v>38</v>
      </c>
      <c r="F271" s="126">
        <v>3896</v>
      </c>
      <c r="G271" s="126">
        <f t="shared" si="40"/>
        <v>148048</v>
      </c>
      <c r="H271" s="8"/>
      <c r="I271" s="8">
        <f t="shared" si="41"/>
        <v>3995</v>
      </c>
      <c r="J271" s="8">
        <f t="shared" si="42"/>
        <v>151810</v>
      </c>
      <c r="K271" s="9" t="str">
        <f t="array" ref="K271:N271">_xlfn.XLOOKUP(C271,'Neiva 2022 FASE I ACTUAL (5)'!$C$6:$C$540,'Neiva 2022 FASE I ACTUAL (5)'!$C$6:$F$540,"NO ESTA")</f>
        <v>SUMINISTRO E INSTALACIÓN ACCESORIOS PVC-P 3/4" SCH 40</v>
      </c>
      <c r="L271" s="9" t="str">
        <v xml:space="preserve">UN   </v>
      </c>
      <c r="M271" s="9">
        <v>14</v>
      </c>
      <c r="N271" s="9">
        <v>3797</v>
      </c>
      <c r="O271" s="124" t="str">
        <f t="shared" si="45"/>
        <v>FASE II</v>
      </c>
      <c r="P271" s="155">
        <f t="shared" si="39"/>
        <v>52</v>
      </c>
      <c r="Q271" s="156">
        <f t="shared" si="43"/>
        <v>3995</v>
      </c>
      <c r="R271" s="156">
        <f t="shared" si="44"/>
        <v>207740</v>
      </c>
    </row>
    <row r="272" spans="2:18" s="9" customFormat="1" ht="35.1" customHeight="1" x14ac:dyDescent="0.25">
      <c r="B272" s="44" t="s">
        <v>287</v>
      </c>
      <c r="C272" s="22" t="s">
        <v>288</v>
      </c>
      <c r="D272" s="23" t="s">
        <v>284</v>
      </c>
      <c r="E272" s="12">
        <v>30</v>
      </c>
      <c r="F272" s="126">
        <v>4602</v>
      </c>
      <c r="G272" s="126">
        <f t="shared" si="40"/>
        <v>138060</v>
      </c>
      <c r="H272" s="8"/>
      <c r="I272" s="8">
        <f t="shared" si="41"/>
        <v>4719</v>
      </c>
      <c r="J272" s="8">
        <f t="shared" si="42"/>
        <v>141570</v>
      </c>
      <c r="K272" s="9" t="str">
        <f t="array" ref="K272:N272">_xlfn.XLOOKUP(C272,'Neiva 2022 FASE I ACTUAL (5)'!$C$6:$C$540,'Neiva 2022 FASE I ACTUAL (5)'!$C$6:$F$540,"NO ESTA")</f>
        <v>SUMINISTRO E INSTALACIÓN ACCESORIOS PVC-P 1" SCH 40</v>
      </c>
      <c r="L272" s="9" t="str">
        <v xml:space="preserve">UN   </v>
      </c>
      <c r="M272" s="9">
        <v>11</v>
      </c>
      <c r="N272" s="9">
        <v>4486</v>
      </c>
      <c r="O272" s="124" t="str">
        <f t="shared" si="45"/>
        <v>FASE II</v>
      </c>
      <c r="P272" s="155">
        <f t="shared" si="39"/>
        <v>41</v>
      </c>
      <c r="Q272" s="156">
        <f t="shared" si="43"/>
        <v>4719</v>
      </c>
      <c r="R272" s="156">
        <f t="shared" si="44"/>
        <v>193479</v>
      </c>
    </row>
    <row r="273" spans="2:18" s="9" customFormat="1" ht="35.1" customHeight="1" x14ac:dyDescent="0.25">
      <c r="B273" s="44" t="s">
        <v>289</v>
      </c>
      <c r="C273" s="22" t="s">
        <v>290</v>
      </c>
      <c r="D273" s="23" t="s">
        <v>284</v>
      </c>
      <c r="E273" s="12">
        <v>96</v>
      </c>
      <c r="F273" s="126">
        <v>7266</v>
      </c>
      <c r="G273" s="126">
        <f t="shared" si="40"/>
        <v>697536</v>
      </c>
      <c r="H273" s="8"/>
      <c r="I273" s="8">
        <f t="shared" si="41"/>
        <v>7451</v>
      </c>
      <c r="J273" s="8">
        <f t="shared" si="42"/>
        <v>715296</v>
      </c>
      <c r="K273" s="9" t="str">
        <f t="array" ref="K273:N273">_xlfn.XLOOKUP(C273,'Neiva 2022 FASE I ACTUAL (5)'!$C$6:$C$540,'Neiva 2022 FASE I ACTUAL (5)'!$C$6:$F$540,"NO ESTA")</f>
        <v>SUMINISTRO E INSTALACIÓN ACCESORIOS PVC-P 1 1/4" SCH 40</v>
      </c>
      <c r="L273" s="9" t="str">
        <v xml:space="preserve">UN   </v>
      </c>
      <c r="M273" s="9">
        <v>35</v>
      </c>
      <c r="N273" s="9">
        <v>7080</v>
      </c>
      <c r="O273" s="124" t="str">
        <f t="shared" si="45"/>
        <v>FASE II</v>
      </c>
      <c r="P273" s="155">
        <f t="shared" si="39"/>
        <v>131</v>
      </c>
      <c r="Q273" s="156">
        <f t="shared" si="43"/>
        <v>7451</v>
      </c>
      <c r="R273" s="156">
        <f t="shared" si="44"/>
        <v>976081</v>
      </c>
    </row>
    <row r="274" spans="2:18" s="9" customFormat="1" ht="35.1" customHeight="1" x14ac:dyDescent="0.25">
      <c r="B274" s="44" t="s">
        <v>291</v>
      </c>
      <c r="C274" s="22" t="s">
        <v>292</v>
      </c>
      <c r="D274" s="23" t="s">
        <v>284</v>
      </c>
      <c r="E274" s="12">
        <v>82</v>
      </c>
      <c r="F274" s="126">
        <v>8958</v>
      </c>
      <c r="G274" s="126">
        <f t="shared" si="40"/>
        <v>734556</v>
      </c>
      <c r="H274" s="8"/>
      <c r="I274" s="8">
        <f t="shared" si="41"/>
        <v>9186</v>
      </c>
      <c r="J274" s="8">
        <f t="shared" si="42"/>
        <v>753252</v>
      </c>
      <c r="K274" s="9" t="str">
        <f t="array" ref="K274:N274">_xlfn.XLOOKUP(C274,'Neiva 2022 FASE I ACTUAL (5)'!$C$6:$C$540,'Neiva 2022 FASE I ACTUAL (5)'!$C$6:$F$540,"NO ESTA")</f>
        <v xml:space="preserve">SUMINISTRO E INSTALACIÓN ACCESORIOS PVC-P 1 1/2" SCH 40                                                </v>
      </c>
      <c r="L274" s="9" t="str">
        <v xml:space="preserve">UN   </v>
      </c>
      <c r="M274" s="9">
        <v>30</v>
      </c>
      <c r="N274" s="9">
        <v>8729</v>
      </c>
      <c r="O274" s="124" t="str">
        <f t="shared" si="45"/>
        <v>FASE II</v>
      </c>
      <c r="P274" s="155">
        <f t="shared" si="39"/>
        <v>112</v>
      </c>
      <c r="Q274" s="156">
        <f t="shared" si="43"/>
        <v>9186</v>
      </c>
      <c r="R274" s="156">
        <f t="shared" si="44"/>
        <v>1028832</v>
      </c>
    </row>
    <row r="275" spans="2:18" s="9" customFormat="1" ht="35.1" customHeight="1" x14ac:dyDescent="0.25">
      <c r="B275" s="44" t="s">
        <v>293</v>
      </c>
      <c r="C275" s="22" t="s">
        <v>294</v>
      </c>
      <c r="D275" s="23" t="s">
        <v>284</v>
      </c>
      <c r="E275" s="12">
        <v>55</v>
      </c>
      <c r="F275" s="126">
        <v>12209</v>
      </c>
      <c r="G275" s="126">
        <f t="shared" si="40"/>
        <v>671495</v>
      </c>
      <c r="H275" s="8"/>
      <c r="I275" s="8">
        <f t="shared" si="41"/>
        <v>12520</v>
      </c>
      <c r="J275" s="8">
        <f t="shared" si="42"/>
        <v>688600</v>
      </c>
      <c r="K275" s="9" t="str">
        <f t="array" ref="K275:N275">_xlfn.XLOOKUP(C275,'Neiva 2022 FASE I ACTUAL (5)'!$C$6:$C$540,'Neiva 2022 FASE I ACTUAL (5)'!$C$6:$F$540,"NO ESTA")</f>
        <v>SUMINISTRO E INSTALACIÓN ACCESORIOS PVC-P 2" SCH 40</v>
      </c>
      <c r="L275" s="9" t="str">
        <v xml:space="preserve">UN   </v>
      </c>
      <c r="M275" s="9">
        <v>21</v>
      </c>
      <c r="N275" s="9">
        <v>11898</v>
      </c>
      <c r="O275" s="124" t="str">
        <f t="shared" si="45"/>
        <v>FASE II</v>
      </c>
      <c r="P275" s="155">
        <f t="shared" si="39"/>
        <v>76</v>
      </c>
      <c r="Q275" s="156">
        <f t="shared" si="43"/>
        <v>12520</v>
      </c>
      <c r="R275" s="156">
        <f t="shared" si="44"/>
        <v>951520</v>
      </c>
    </row>
    <row r="276" spans="2:18" s="9" customFormat="1" ht="35.1" customHeight="1" x14ac:dyDescent="0.25">
      <c r="B276" s="44" t="s">
        <v>295</v>
      </c>
      <c r="C276" s="22" t="s">
        <v>296</v>
      </c>
      <c r="D276" s="23" t="s">
        <v>284</v>
      </c>
      <c r="E276" s="12">
        <v>12</v>
      </c>
      <c r="F276" s="126">
        <v>29710</v>
      </c>
      <c r="G276" s="126">
        <f t="shared" si="40"/>
        <v>356520</v>
      </c>
      <c r="H276" s="8"/>
      <c r="I276" s="8">
        <f t="shared" si="41"/>
        <v>30468</v>
      </c>
      <c r="J276" s="8">
        <f t="shared" si="42"/>
        <v>365616</v>
      </c>
      <c r="K276" s="9" t="str">
        <f t="array" ref="K276:N276">_xlfn.XLOOKUP(C276,'Neiva 2022 FASE I ACTUAL (5)'!$C$6:$C$540,'Neiva 2022 FASE I ACTUAL (5)'!$C$6:$F$540,"NO ESTA")</f>
        <v xml:space="preserve">SUMINISTRO E INSTALACIÓN ACCESORIOS PVC-P 2 1/2" SCH 40                                           </v>
      </c>
      <c r="L276" s="9" t="str">
        <v xml:space="preserve">UN   </v>
      </c>
      <c r="M276" s="9">
        <v>4</v>
      </c>
      <c r="N276" s="9">
        <v>28954</v>
      </c>
      <c r="O276" s="124" t="str">
        <f t="shared" si="45"/>
        <v>FASE II</v>
      </c>
      <c r="P276" s="155">
        <f t="shared" si="39"/>
        <v>16</v>
      </c>
      <c r="Q276" s="156">
        <f t="shared" si="43"/>
        <v>30468</v>
      </c>
      <c r="R276" s="156">
        <f t="shared" si="44"/>
        <v>487488</v>
      </c>
    </row>
    <row r="277" spans="2:18" s="9" customFormat="1" ht="35.1" customHeight="1" x14ac:dyDescent="0.25">
      <c r="B277" s="44" t="s">
        <v>297</v>
      </c>
      <c r="C277" s="22" t="s">
        <v>298</v>
      </c>
      <c r="D277" s="23" t="s">
        <v>284</v>
      </c>
      <c r="E277" s="12">
        <v>49</v>
      </c>
      <c r="F277" s="126">
        <v>1705</v>
      </c>
      <c r="G277" s="126">
        <f t="shared" si="40"/>
        <v>83545</v>
      </c>
      <c r="H277" s="8"/>
      <c r="I277" s="8">
        <f t="shared" si="41"/>
        <v>1748</v>
      </c>
      <c r="J277" s="8">
        <f t="shared" si="42"/>
        <v>85652</v>
      </c>
      <c r="K277" s="9" t="str">
        <f t="array" ref="K277:N277">_xlfn.XLOOKUP(C277,'Neiva 2022 FASE I ACTUAL (5)'!$C$6:$C$540,'Neiva 2022 FASE I ACTUAL (5)'!$C$6:$F$540,"NO ESTA")</f>
        <v xml:space="preserve">SUMINISTRO E INSTALACIÓN SOPORTE DE 1/2"                                                                 </v>
      </c>
      <c r="L277" s="9" t="str">
        <v xml:space="preserve">UN   </v>
      </c>
      <c r="M277" s="9">
        <v>18</v>
      </c>
      <c r="N277" s="9">
        <v>1662</v>
      </c>
      <c r="O277" s="124" t="str">
        <f t="shared" si="45"/>
        <v>FASE II</v>
      </c>
      <c r="P277" s="155">
        <f t="shared" si="39"/>
        <v>67</v>
      </c>
      <c r="Q277" s="156">
        <f t="shared" si="43"/>
        <v>1748</v>
      </c>
      <c r="R277" s="156">
        <f t="shared" si="44"/>
        <v>117116</v>
      </c>
    </row>
    <row r="278" spans="2:18" s="9" customFormat="1" ht="35.1" customHeight="1" x14ac:dyDescent="0.25">
      <c r="B278" s="44" t="s">
        <v>299</v>
      </c>
      <c r="C278" s="22" t="s">
        <v>300</v>
      </c>
      <c r="D278" s="23" t="s">
        <v>284</v>
      </c>
      <c r="E278" s="12">
        <v>18</v>
      </c>
      <c r="F278" s="126">
        <v>2289</v>
      </c>
      <c r="G278" s="126">
        <f t="shared" si="40"/>
        <v>41202</v>
      </c>
      <c r="H278" s="8"/>
      <c r="I278" s="8">
        <f t="shared" si="41"/>
        <v>2347</v>
      </c>
      <c r="J278" s="8">
        <f t="shared" si="42"/>
        <v>42246</v>
      </c>
      <c r="K278" s="9" t="str">
        <f t="array" ref="K278:N278">_xlfn.XLOOKUP(C278,'Neiva 2022 FASE I ACTUAL (5)'!$C$6:$C$540,'Neiva 2022 FASE I ACTUAL (5)'!$C$6:$F$540,"NO ESTA")</f>
        <v xml:space="preserve">SUMINISTRO E INSTALACIÓN SOPORTE DE 3/4"                                                                 </v>
      </c>
      <c r="L278" s="9" t="str">
        <v xml:space="preserve">UN   </v>
      </c>
      <c r="M278" s="9">
        <v>6</v>
      </c>
      <c r="N278" s="9">
        <v>2232</v>
      </c>
      <c r="O278" s="124" t="str">
        <f t="shared" si="45"/>
        <v>FASE II</v>
      </c>
      <c r="P278" s="155">
        <f t="shared" si="39"/>
        <v>24</v>
      </c>
      <c r="Q278" s="156">
        <f t="shared" si="43"/>
        <v>2347</v>
      </c>
      <c r="R278" s="156">
        <f t="shared" si="44"/>
        <v>56328</v>
      </c>
    </row>
    <row r="279" spans="2:18" s="9" customFormat="1" ht="35.1" customHeight="1" x14ac:dyDescent="0.25">
      <c r="B279" s="44" t="s">
        <v>301</v>
      </c>
      <c r="C279" s="22" t="s">
        <v>302</v>
      </c>
      <c r="D279" s="23" t="s">
        <v>284</v>
      </c>
      <c r="E279" s="12">
        <v>18</v>
      </c>
      <c r="F279" s="126">
        <v>2761</v>
      </c>
      <c r="G279" s="126">
        <f t="shared" si="40"/>
        <v>49698</v>
      </c>
      <c r="H279" s="8"/>
      <c r="I279" s="8">
        <f t="shared" si="41"/>
        <v>2831</v>
      </c>
      <c r="J279" s="8">
        <f t="shared" si="42"/>
        <v>50958</v>
      </c>
      <c r="K279" s="9" t="str">
        <f t="array" ref="K279:N279">_xlfn.XLOOKUP(C279,'Neiva 2022 FASE I ACTUAL (5)'!$C$6:$C$540,'Neiva 2022 FASE I ACTUAL (5)'!$C$6:$F$540,"NO ESTA")</f>
        <v xml:space="preserve">SUMINISTRO E INSTALACIÓN SOPORTE DE 1"                                                                   </v>
      </c>
      <c r="L279" s="9" t="str">
        <v xml:space="preserve">UN   </v>
      </c>
      <c r="M279" s="9">
        <v>6</v>
      </c>
      <c r="N279" s="9">
        <v>2690</v>
      </c>
      <c r="O279" s="124" t="str">
        <f t="shared" si="45"/>
        <v>FASE II</v>
      </c>
      <c r="P279" s="155">
        <f t="shared" si="39"/>
        <v>24</v>
      </c>
      <c r="Q279" s="156">
        <f t="shared" si="43"/>
        <v>2831</v>
      </c>
      <c r="R279" s="156">
        <f t="shared" si="44"/>
        <v>67944</v>
      </c>
    </row>
    <row r="280" spans="2:18" s="9" customFormat="1" ht="35.1" customHeight="1" x14ac:dyDescent="0.25">
      <c r="B280" s="44" t="s">
        <v>303</v>
      </c>
      <c r="C280" s="22" t="s">
        <v>304</v>
      </c>
      <c r="D280" s="23" t="s">
        <v>284</v>
      </c>
      <c r="E280" s="12">
        <v>26</v>
      </c>
      <c r="F280" s="126">
        <v>3131</v>
      </c>
      <c r="G280" s="126">
        <f t="shared" si="40"/>
        <v>81406</v>
      </c>
      <c r="H280" s="8"/>
      <c r="I280" s="8">
        <f t="shared" si="41"/>
        <v>3211</v>
      </c>
      <c r="J280" s="8">
        <f t="shared" si="42"/>
        <v>83486</v>
      </c>
      <c r="K280" s="9" t="str">
        <f t="array" ref="K280:N280">_xlfn.XLOOKUP(C280,'Neiva 2022 FASE I ACTUAL (5)'!$C$6:$C$540,'Neiva 2022 FASE I ACTUAL (5)'!$C$6:$F$540,"NO ESTA")</f>
        <v xml:space="preserve">SUMINISTRO E INSTALACIÓN SOPORTE DE 1 1/4"                                                               </v>
      </c>
      <c r="L280" s="9" t="str">
        <v xml:space="preserve">UN   </v>
      </c>
      <c r="M280" s="9">
        <v>10</v>
      </c>
      <c r="N280" s="9">
        <v>3052</v>
      </c>
      <c r="O280" s="124" t="str">
        <f t="shared" si="45"/>
        <v>FASE II</v>
      </c>
      <c r="P280" s="155">
        <f t="shared" si="39"/>
        <v>36</v>
      </c>
      <c r="Q280" s="156">
        <f t="shared" si="43"/>
        <v>3211</v>
      </c>
      <c r="R280" s="156">
        <f t="shared" si="44"/>
        <v>115596</v>
      </c>
    </row>
    <row r="281" spans="2:18" s="9" customFormat="1" ht="35.1" customHeight="1" x14ac:dyDescent="0.25">
      <c r="B281" s="44" t="s">
        <v>305</v>
      </c>
      <c r="C281" s="45" t="s">
        <v>306</v>
      </c>
      <c r="D281" s="23" t="s">
        <v>284</v>
      </c>
      <c r="E281" s="12">
        <v>24</v>
      </c>
      <c r="F281" s="126">
        <v>3791</v>
      </c>
      <c r="G281" s="126">
        <f t="shared" si="40"/>
        <v>90984</v>
      </c>
      <c r="H281" s="8"/>
      <c r="I281" s="8">
        <f t="shared" si="41"/>
        <v>3888</v>
      </c>
      <c r="J281" s="8">
        <f t="shared" si="42"/>
        <v>93312</v>
      </c>
      <c r="K281" s="9" t="str">
        <f t="array" ref="K281:N281">_xlfn.XLOOKUP(C281,'Neiva 2022 FASE I ACTUAL (5)'!$C$6:$C$540,'Neiva 2022 FASE I ACTUAL (5)'!$C$6:$F$540,"NO ESTA")</f>
        <v xml:space="preserve">SUMINISTRO E INSTALACIÓN SOPORTE DE 1 1/2"                                                               </v>
      </c>
      <c r="L281" s="9" t="str">
        <v xml:space="preserve">UN   </v>
      </c>
      <c r="M281" s="9">
        <v>9</v>
      </c>
      <c r="N281" s="9">
        <v>3695</v>
      </c>
      <c r="O281" s="124" t="str">
        <f t="shared" si="45"/>
        <v>FASE II</v>
      </c>
      <c r="P281" s="155">
        <f t="shared" si="39"/>
        <v>33</v>
      </c>
      <c r="Q281" s="156">
        <f t="shared" si="43"/>
        <v>3888</v>
      </c>
      <c r="R281" s="156">
        <f t="shared" si="44"/>
        <v>128304</v>
      </c>
    </row>
    <row r="282" spans="2:18" s="9" customFormat="1" ht="35.1" customHeight="1" x14ac:dyDescent="0.25">
      <c r="B282" s="44" t="s">
        <v>307</v>
      </c>
      <c r="C282" s="22" t="s">
        <v>308</v>
      </c>
      <c r="D282" s="23" t="s">
        <v>284</v>
      </c>
      <c r="E282" s="12">
        <v>31</v>
      </c>
      <c r="F282" s="126">
        <v>4884</v>
      </c>
      <c r="G282" s="126">
        <f t="shared" si="40"/>
        <v>151404</v>
      </c>
      <c r="H282" s="8"/>
      <c r="I282" s="8">
        <f t="shared" si="41"/>
        <v>5009</v>
      </c>
      <c r="J282" s="8">
        <f t="shared" si="42"/>
        <v>155279</v>
      </c>
      <c r="K282" s="9" t="str">
        <f t="array" ref="K282:N282">_xlfn.XLOOKUP(C282,'Neiva 2022 FASE I ACTUAL (5)'!$C$6:$C$540,'Neiva 2022 FASE I ACTUAL (5)'!$C$6:$F$540,"NO ESTA")</f>
        <v xml:space="preserve">SUMINISTRO E INSTALACIÓN SOPORTE DE 2"                                                                   </v>
      </c>
      <c r="L282" s="9" t="str">
        <v xml:space="preserve">UN   </v>
      </c>
      <c r="M282" s="9">
        <v>11</v>
      </c>
      <c r="N282" s="9">
        <v>4760</v>
      </c>
      <c r="O282" s="124" t="str">
        <f t="shared" si="45"/>
        <v>FASE II</v>
      </c>
      <c r="P282" s="155">
        <f t="shared" si="39"/>
        <v>42</v>
      </c>
      <c r="Q282" s="156">
        <f t="shared" si="43"/>
        <v>5009</v>
      </c>
      <c r="R282" s="156">
        <f t="shared" si="44"/>
        <v>210378</v>
      </c>
    </row>
    <row r="283" spans="2:18" s="9" customFormat="1" ht="35.1" customHeight="1" x14ac:dyDescent="0.25">
      <c r="B283" s="44" t="s">
        <v>309</v>
      </c>
      <c r="C283" s="22" t="s">
        <v>310</v>
      </c>
      <c r="D283" s="23" t="s">
        <v>284</v>
      </c>
      <c r="E283" s="12">
        <v>7</v>
      </c>
      <c r="F283" s="126">
        <v>5644</v>
      </c>
      <c r="G283" s="135">
        <f t="shared" si="40"/>
        <v>39508</v>
      </c>
      <c r="H283" s="8"/>
      <c r="I283" s="8">
        <f t="shared" si="41"/>
        <v>5788</v>
      </c>
      <c r="J283" s="8">
        <f t="shared" si="42"/>
        <v>40516</v>
      </c>
      <c r="K283" s="9" t="str">
        <f t="array" ref="K283:N283">_xlfn.XLOOKUP(C283,'Neiva 2022 FASE I ACTUAL (5)'!$C$6:$C$540,'Neiva 2022 FASE I ACTUAL (5)'!$C$6:$F$540,"NO ESTA")</f>
        <v xml:space="preserve">SUMINISTRO E INSTALACIÓN SOPORTE DE 2 1/2"                                                               </v>
      </c>
      <c r="L283" s="9" t="str">
        <v xml:space="preserve">UN   </v>
      </c>
      <c r="M283" s="9">
        <v>3</v>
      </c>
      <c r="N283" s="9">
        <v>5500</v>
      </c>
      <c r="O283" s="124" t="str">
        <f t="shared" si="45"/>
        <v>FASE II</v>
      </c>
      <c r="P283" s="155">
        <f t="shared" si="39"/>
        <v>10</v>
      </c>
      <c r="Q283" s="156">
        <f t="shared" si="43"/>
        <v>5788</v>
      </c>
      <c r="R283" s="156">
        <f t="shared" si="44"/>
        <v>57880</v>
      </c>
    </row>
    <row r="284" spans="2:18" s="9" customFormat="1" ht="35.1" customHeight="1" x14ac:dyDescent="0.25">
      <c r="B284" s="44" t="s">
        <v>311</v>
      </c>
      <c r="C284" s="22" t="s">
        <v>312</v>
      </c>
      <c r="D284" s="23" t="s">
        <v>284</v>
      </c>
      <c r="E284" s="46">
        <v>41</v>
      </c>
      <c r="F284" s="135">
        <v>64227</v>
      </c>
      <c r="G284" s="126">
        <f t="shared" si="40"/>
        <v>2633307</v>
      </c>
      <c r="H284" s="8"/>
      <c r="I284" s="8">
        <f t="shared" si="41"/>
        <v>65865</v>
      </c>
      <c r="J284" s="8">
        <f t="shared" si="42"/>
        <v>2700465</v>
      </c>
      <c r="K284" s="9" t="str">
        <f t="array" ref="K284:N284">_xlfn.XLOOKUP(C284,'Neiva 2022 FASE I ACTUAL (5)'!$C$6:$C$540,'Neiva 2022 FASE I ACTUAL (5)'!$C$6:$F$540,"NO ESTA")</f>
        <v xml:space="preserve">SUMINISTRO E INSTALACIÓN PUNTO HIDRÁULICO PVC-P 1/2"                                                      </v>
      </c>
      <c r="L284" s="9" t="str">
        <v xml:space="preserve">UN   </v>
      </c>
      <c r="M284" s="9">
        <v>15</v>
      </c>
      <c r="N284" s="9">
        <v>62592</v>
      </c>
      <c r="O284" s="124" t="str">
        <f t="shared" si="45"/>
        <v>FASE II</v>
      </c>
      <c r="P284" s="155">
        <f t="shared" si="39"/>
        <v>56</v>
      </c>
      <c r="Q284" s="156">
        <f t="shared" si="43"/>
        <v>65865</v>
      </c>
      <c r="R284" s="156">
        <f t="shared" si="44"/>
        <v>3688440</v>
      </c>
    </row>
    <row r="285" spans="2:18" s="9" customFormat="1" ht="35.1" customHeight="1" x14ac:dyDescent="0.25">
      <c r="B285" s="44" t="s">
        <v>313</v>
      </c>
      <c r="C285" s="22" t="s">
        <v>314</v>
      </c>
      <c r="D285" s="23" t="s">
        <v>284</v>
      </c>
      <c r="E285" s="12">
        <v>14</v>
      </c>
      <c r="F285" s="126">
        <v>68433</v>
      </c>
      <c r="G285" s="126">
        <f t="shared" si="40"/>
        <v>958062</v>
      </c>
      <c r="H285" s="8"/>
      <c r="I285" s="8">
        <f t="shared" si="41"/>
        <v>70178</v>
      </c>
      <c r="J285" s="8">
        <f t="shared" si="42"/>
        <v>982492</v>
      </c>
      <c r="K285" s="9" t="str">
        <f t="array" ref="K285:N285">_xlfn.XLOOKUP(C285,'Neiva 2022 FASE I ACTUAL (5)'!$C$6:$C$540,'Neiva 2022 FASE I ACTUAL (5)'!$C$6:$F$540,"NO ESTA")</f>
        <v xml:space="preserve">SUMINISTRO E INSTALACIÓN PUNTO HIDRÁULICO PVC-P 3/4"                                                      </v>
      </c>
      <c r="L285" s="9" t="str">
        <v xml:space="preserve">UN   </v>
      </c>
      <c r="M285" s="9">
        <v>5</v>
      </c>
      <c r="N285" s="9">
        <v>66691</v>
      </c>
      <c r="O285" s="124" t="str">
        <f t="shared" si="45"/>
        <v>FASE II</v>
      </c>
      <c r="P285" s="155">
        <f t="shared" si="39"/>
        <v>19</v>
      </c>
      <c r="Q285" s="156">
        <f t="shared" si="43"/>
        <v>70178</v>
      </c>
      <c r="R285" s="156">
        <f t="shared" si="44"/>
        <v>1333382</v>
      </c>
    </row>
    <row r="286" spans="2:18" s="9" customFormat="1" ht="35.1" customHeight="1" x14ac:dyDescent="0.25">
      <c r="B286" s="44" t="s">
        <v>315</v>
      </c>
      <c r="C286" s="22" t="s">
        <v>316</v>
      </c>
      <c r="D286" s="23" t="s">
        <v>284</v>
      </c>
      <c r="E286" s="12">
        <v>39</v>
      </c>
      <c r="F286" s="126">
        <v>97439</v>
      </c>
      <c r="G286" s="126">
        <f t="shared" si="40"/>
        <v>3800121</v>
      </c>
      <c r="H286" s="8"/>
      <c r="I286" s="8">
        <f t="shared" si="41"/>
        <v>99924</v>
      </c>
      <c r="J286" s="8">
        <f t="shared" si="42"/>
        <v>3897036</v>
      </c>
      <c r="K286" s="9" t="str">
        <f t="array" ref="K286:N286">_xlfn.XLOOKUP(C286,'Neiva 2022 FASE I ACTUAL (5)'!$C$6:$C$540,'Neiva 2022 FASE I ACTUAL (5)'!$C$6:$F$540,"NO ESTA")</f>
        <v xml:space="preserve">SUMINISTRO E INSTALACIÓN PUNTO HIDRÁULICO PVC-P 1 1/4"                                                    </v>
      </c>
      <c r="L286" s="9" t="str">
        <v xml:space="preserve">UN   </v>
      </c>
      <c r="M286" s="9">
        <v>15</v>
      </c>
      <c r="N286" s="9">
        <v>94960</v>
      </c>
      <c r="O286" s="124" t="str">
        <f t="shared" si="45"/>
        <v>FASE II</v>
      </c>
      <c r="P286" s="155">
        <f t="shared" si="39"/>
        <v>54</v>
      </c>
      <c r="Q286" s="156">
        <f t="shared" si="43"/>
        <v>99924</v>
      </c>
      <c r="R286" s="156">
        <f t="shared" si="44"/>
        <v>5395896</v>
      </c>
    </row>
    <row r="287" spans="2:18" s="9" customFormat="1" ht="35.1" customHeight="1" x14ac:dyDescent="0.25">
      <c r="B287" s="44" t="s">
        <v>317</v>
      </c>
      <c r="C287" s="22" t="s">
        <v>318</v>
      </c>
      <c r="D287" s="23" t="s">
        <v>284</v>
      </c>
      <c r="E287" s="12">
        <v>12</v>
      </c>
      <c r="F287" s="126">
        <v>63313</v>
      </c>
      <c r="G287" s="126">
        <f t="shared" si="40"/>
        <v>759756</v>
      </c>
      <c r="H287" s="8"/>
      <c r="I287" s="8">
        <f t="shared" si="41"/>
        <v>64927</v>
      </c>
      <c r="J287" s="8">
        <f t="shared" si="42"/>
        <v>779124</v>
      </c>
      <c r="K287" s="9" t="str">
        <f t="array" ref="K287:N287">_xlfn.XLOOKUP(C287,'Neiva 2022 FASE I ACTUAL (5)'!$C$6:$C$540,'Neiva 2022 FASE I ACTUAL (5)'!$C$6:$F$540,"NO ESTA")</f>
        <v xml:space="preserve">SUMINISTRO E INSTALACIÓN REGISTRO CORTINA ROSCAR 1/2"                                                   </v>
      </c>
      <c r="L287" s="9" t="str">
        <v xml:space="preserve">UN   </v>
      </c>
      <c r="M287" s="9">
        <v>5</v>
      </c>
      <c r="N287" s="9">
        <v>61701</v>
      </c>
      <c r="O287" s="124" t="str">
        <f t="shared" si="45"/>
        <v>FASE II</v>
      </c>
      <c r="P287" s="155">
        <f t="shared" si="39"/>
        <v>17</v>
      </c>
      <c r="Q287" s="156">
        <f t="shared" si="43"/>
        <v>64927</v>
      </c>
      <c r="R287" s="156">
        <f t="shared" si="44"/>
        <v>1103759</v>
      </c>
    </row>
    <row r="288" spans="2:18" s="9" customFormat="1" ht="35.1" customHeight="1" x14ac:dyDescent="0.25">
      <c r="B288" s="44" t="s">
        <v>319</v>
      </c>
      <c r="C288" s="22" t="s">
        <v>320</v>
      </c>
      <c r="D288" s="23" t="s">
        <v>284</v>
      </c>
      <c r="E288" s="12">
        <v>6</v>
      </c>
      <c r="F288" s="126">
        <v>164084</v>
      </c>
      <c r="G288" s="126">
        <f t="shared" si="40"/>
        <v>984504</v>
      </c>
      <c r="H288" s="8"/>
      <c r="I288" s="8">
        <f t="shared" si="41"/>
        <v>168268</v>
      </c>
      <c r="J288" s="8">
        <f t="shared" si="42"/>
        <v>1009608</v>
      </c>
      <c r="K288" s="9" t="str">
        <f t="array" ref="K288:N288">_xlfn.XLOOKUP(C288,'Neiva 2022 FASE I ACTUAL (5)'!$C$6:$C$540,'Neiva 2022 FASE I ACTUAL (5)'!$C$6:$F$540,"NO ESTA")</f>
        <v xml:space="preserve">SUMINISTRO E INSTALACIÓN REGISTRO CORTINA P/D ROSCAR 1 1/4"                                                 </v>
      </c>
      <c r="L288" s="9" t="str">
        <v xml:space="preserve">UN   </v>
      </c>
      <c r="M288" s="9">
        <v>2</v>
      </c>
      <c r="N288" s="9">
        <v>159908</v>
      </c>
      <c r="O288" s="124" t="str">
        <f t="shared" si="45"/>
        <v>FASE II</v>
      </c>
      <c r="P288" s="155">
        <f t="shared" si="39"/>
        <v>8</v>
      </c>
      <c r="Q288" s="156">
        <f t="shared" si="43"/>
        <v>168268</v>
      </c>
      <c r="R288" s="156">
        <f t="shared" si="44"/>
        <v>1346144</v>
      </c>
    </row>
    <row r="289" spans="2:18" s="9" customFormat="1" ht="35.1" customHeight="1" x14ac:dyDescent="0.25">
      <c r="B289" s="44" t="s">
        <v>321</v>
      </c>
      <c r="C289" s="22" t="s">
        <v>322</v>
      </c>
      <c r="D289" s="23" t="s">
        <v>284</v>
      </c>
      <c r="E289" s="12">
        <v>6</v>
      </c>
      <c r="F289" s="126">
        <v>222753</v>
      </c>
      <c r="G289" s="126">
        <f t="shared" si="40"/>
        <v>1336518</v>
      </c>
      <c r="H289" s="8"/>
      <c r="I289" s="8">
        <f t="shared" si="41"/>
        <v>228433</v>
      </c>
      <c r="J289" s="8">
        <f t="shared" si="42"/>
        <v>1370598</v>
      </c>
      <c r="K289" s="9" t="str">
        <f t="array" ref="K289:N289">_xlfn.XLOOKUP(C289,'Neiva 2022 FASE I ACTUAL (5)'!$C$6:$C$540,'Neiva 2022 FASE I ACTUAL (5)'!$C$6:$F$540,"NO ESTA")</f>
        <v xml:space="preserve">SUMINISTRO E INSTALACIÓN REGISTRO CORTINA P/D ROSCAR 1 1/2"                                                 </v>
      </c>
      <c r="L289" s="9" t="str">
        <v xml:space="preserve">UN   </v>
      </c>
      <c r="M289" s="9">
        <v>2</v>
      </c>
      <c r="N289" s="9">
        <v>217082</v>
      </c>
      <c r="O289" s="124" t="str">
        <f t="shared" si="45"/>
        <v>FASE II</v>
      </c>
      <c r="P289" s="155">
        <f t="shared" si="39"/>
        <v>8</v>
      </c>
      <c r="Q289" s="156">
        <f t="shared" si="43"/>
        <v>228433</v>
      </c>
      <c r="R289" s="156">
        <f t="shared" si="44"/>
        <v>1827464</v>
      </c>
    </row>
    <row r="290" spans="2:18" s="9" customFormat="1" ht="35.1" customHeight="1" x14ac:dyDescent="0.25">
      <c r="B290" s="44" t="s">
        <v>323</v>
      </c>
      <c r="C290" s="22" t="s">
        <v>324</v>
      </c>
      <c r="D290" s="23" t="s">
        <v>284</v>
      </c>
      <c r="E290" s="12">
        <v>0</v>
      </c>
      <c r="F290" s="126">
        <v>108436</v>
      </c>
      <c r="G290" s="141">
        <f t="shared" si="40"/>
        <v>0</v>
      </c>
      <c r="H290" s="8"/>
      <c r="I290" s="8">
        <f t="shared" si="41"/>
        <v>111201</v>
      </c>
      <c r="J290" s="8">
        <f t="shared" si="42"/>
        <v>0</v>
      </c>
      <c r="K290" s="9" t="str">
        <f t="array" ref="K290:N290">_xlfn.XLOOKUP(C290,'Neiva 2022 FASE I ACTUAL (5)'!$C$6:$C$540,'Neiva 2022 FASE I ACTUAL (5)'!$C$6:$F$540,"NO ESTA")</f>
        <v xml:space="preserve">SUMINISTRO E INSTALACIÓN VÁLVULA FLOTADOR 1"                                                           </v>
      </c>
      <c r="L290" s="9" t="str">
        <v xml:space="preserve">UN   </v>
      </c>
      <c r="M290" s="9">
        <v>2</v>
      </c>
      <c r="N290" s="9">
        <v>105676</v>
      </c>
      <c r="O290" s="124" t="str">
        <f t="shared" si="45"/>
        <v>FASE II</v>
      </c>
      <c r="P290" s="155">
        <f t="shared" si="39"/>
        <v>2</v>
      </c>
      <c r="Q290" s="156">
        <f t="shared" si="43"/>
        <v>111201</v>
      </c>
      <c r="R290" s="156">
        <f t="shared" si="44"/>
        <v>222402</v>
      </c>
    </row>
    <row r="291" spans="2:18" s="9" customFormat="1" ht="35.1" customHeight="1" x14ac:dyDescent="0.25">
      <c r="B291" s="44" t="s">
        <v>325</v>
      </c>
      <c r="C291" s="22" t="s">
        <v>326</v>
      </c>
      <c r="D291" s="23" t="s">
        <v>284</v>
      </c>
      <c r="E291" s="12">
        <v>0</v>
      </c>
      <c r="F291" s="126">
        <v>169565</v>
      </c>
      <c r="G291" s="141">
        <f t="shared" si="40"/>
        <v>0</v>
      </c>
      <c r="H291" s="8"/>
      <c r="I291" s="8">
        <f t="shared" si="41"/>
        <v>173889</v>
      </c>
      <c r="J291" s="8">
        <f t="shared" si="42"/>
        <v>0</v>
      </c>
      <c r="K291" s="9" t="str">
        <f t="array" ref="K291:N291">_xlfn.XLOOKUP(C291,'Neiva 2022 FASE I ACTUAL (5)'!$C$6:$C$540,'Neiva 2022 FASE I ACTUAL (5)'!$C$6:$F$540,"NO ESTA")</f>
        <v xml:space="preserve">SUMINISTRO E INSTALACIÓN MEDIDOR VELOCIMETRICO  3/4"                                                   </v>
      </c>
      <c r="L291" s="9" t="str">
        <v xml:space="preserve">UN   </v>
      </c>
      <c r="M291" s="9">
        <v>1</v>
      </c>
      <c r="N291" s="9">
        <v>165249</v>
      </c>
      <c r="O291" s="124" t="str">
        <f t="shared" si="45"/>
        <v>FASE II</v>
      </c>
      <c r="P291" s="155">
        <f t="shared" si="39"/>
        <v>1</v>
      </c>
      <c r="Q291" s="156">
        <f t="shared" si="43"/>
        <v>173889</v>
      </c>
      <c r="R291" s="156">
        <f t="shared" si="44"/>
        <v>173889</v>
      </c>
    </row>
    <row r="292" spans="2:18" s="9" customFormat="1" ht="35.1" customHeight="1" x14ac:dyDescent="0.25">
      <c r="B292" s="47" t="s">
        <v>327</v>
      </c>
      <c r="C292" s="24" t="s">
        <v>328</v>
      </c>
      <c r="D292" s="24"/>
      <c r="E292" s="15"/>
      <c r="F292" s="129"/>
      <c r="G292" s="140"/>
      <c r="H292" s="8"/>
      <c r="I292" s="8">
        <f t="shared" si="41"/>
        <v>0</v>
      </c>
      <c r="J292" s="8">
        <f t="shared" si="42"/>
        <v>0</v>
      </c>
      <c r="K292" s="9" t="str">
        <f t="array" ref="K292:N292">_xlfn.XLOOKUP(C292,'Neiva 2022 FASE I ACTUAL (5)'!$C$6:$C$540,'Neiva 2022 FASE I ACTUAL (5)'!$C$6:$F$540,"NO ESTA")</f>
        <v xml:space="preserve">SUMINISTRO E INSTALACION RED DESAGÜES AGUAS RESIDUALES                                                                              </v>
      </c>
      <c r="L292" s="9">
        <v>0</v>
      </c>
      <c r="M292" s="9">
        <v>0</v>
      </c>
      <c r="N292" s="9">
        <v>0</v>
      </c>
      <c r="O292" s="124">
        <f t="shared" si="45"/>
        <v>0</v>
      </c>
      <c r="P292" s="155">
        <f t="shared" si="39"/>
        <v>0</v>
      </c>
      <c r="Q292" s="156">
        <f t="shared" si="43"/>
        <v>0</v>
      </c>
      <c r="R292" s="156">
        <f t="shared" si="44"/>
        <v>0</v>
      </c>
    </row>
    <row r="293" spans="2:18" s="9" customFormat="1" ht="35.1" customHeight="1" x14ac:dyDescent="0.25">
      <c r="B293" s="10" t="s">
        <v>329</v>
      </c>
      <c r="C293" s="48" t="s">
        <v>330</v>
      </c>
      <c r="D293" s="23" t="s">
        <v>269</v>
      </c>
      <c r="E293" s="12">
        <v>34</v>
      </c>
      <c r="F293" s="126">
        <v>24554</v>
      </c>
      <c r="G293" s="126">
        <f t="shared" ref="G293:G311" si="46">ROUND(+F293*E293,2)</f>
        <v>834836</v>
      </c>
      <c r="H293" s="8"/>
      <c r="I293" s="8">
        <f t="shared" si="41"/>
        <v>25180</v>
      </c>
      <c r="J293" s="8">
        <f t="shared" si="42"/>
        <v>856120</v>
      </c>
      <c r="K293" s="9" t="str">
        <f t="array" ref="K293:N293">_xlfn.XLOOKUP(C293,'Neiva 2022 FASE I ACTUAL (5)'!$C$6:$C$540,'Neiva 2022 FASE I ACTUAL (5)'!$C$6:$F$540,"NO ESTA")</f>
        <v xml:space="preserve">SUMINISTRO E INSTALACIÓN TUBERIA PVC-S DIAMETRO 2"                                                                        </v>
      </c>
      <c r="L293" s="9" t="str">
        <v xml:space="preserve">ML   </v>
      </c>
      <c r="M293" s="9">
        <v>12</v>
      </c>
      <c r="N293" s="9">
        <v>23929</v>
      </c>
      <c r="O293" s="124" t="str">
        <f t="shared" si="45"/>
        <v>FASE II</v>
      </c>
      <c r="P293" s="155">
        <f t="shared" si="39"/>
        <v>46</v>
      </c>
      <c r="Q293" s="156">
        <f t="shared" si="43"/>
        <v>25180</v>
      </c>
      <c r="R293" s="156">
        <f t="shared" si="44"/>
        <v>1158280</v>
      </c>
    </row>
    <row r="294" spans="2:18" s="9" customFormat="1" ht="35.1" customHeight="1" x14ac:dyDescent="0.25">
      <c r="B294" s="10" t="s">
        <v>331</v>
      </c>
      <c r="C294" s="22" t="s">
        <v>332</v>
      </c>
      <c r="D294" s="23" t="s">
        <v>269</v>
      </c>
      <c r="E294" s="12">
        <v>157</v>
      </c>
      <c r="F294" s="126">
        <v>36135</v>
      </c>
      <c r="G294" s="126">
        <f t="shared" si="46"/>
        <v>5673195</v>
      </c>
      <c r="H294" s="8"/>
      <c r="I294" s="8">
        <f t="shared" si="41"/>
        <v>37056</v>
      </c>
      <c r="J294" s="8">
        <f t="shared" si="42"/>
        <v>5817792</v>
      </c>
      <c r="K294" s="9" t="str">
        <f t="array" ref="K294:N294">_xlfn.XLOOKUP(C294,'Neiva 2022 FASE I ACTUAL (5)'!$C$6:$C$540,'Neiva 2022 FASE I ACTUAL (5)'!$C$6:$F$540,"NO ESTA")</f>
        <v xml:space="preserve">SUMINISTRO E INSTALACIÓN TUBERIA PVC-S DIAMETRO 3"                                                                        </v>
      </c>
      <c r="L294" s="9" t="str">
        <v xml:space="preserve">ML   </v>
      </c>
      <c r="M294" s="9">
        <v>58</v>
      </c>
      <c r="N294" s="9">
        <v>35215</v>
      </c>
      <c r="O294" s="124" t="str">
        <f t="shared" si="45"/>
        <v>FASE II</v>
      </c>
      <c r="P294" s="155">
        <f t="shared" si="39"/>
        <v>215</v>
      </c>
      <c r="Q294" s="156">
        <f t="shared" si="43"/>
        <v>37056</v>
      </c>
      <c r="R294" s="156">
        <f t="shared" si="44"/>
        <v>7967040</v>
      </c>
    </row>
    <row r="295" spans="2:18" s="9" customFormat="1" ht="35.1" customHeight="1" x14ac:dyDescent="0.25">
      <c r="B295" s="10" t="s">
        <v>333</v>
      </c>
      <c r="C295" s="22" t="s">
        <v>334</v>
      </c>
      <c r="D295" s="23" t="s">
        <v>269</v>
      </c>
      <c r="E295" s="12">
        <v>272</v>
      </c>
      <c r="F295" s="126">
        <v>51550</v>
      </c>
      <c r="G295" s="126">
        <f t="shared" si="46"/>
        <v>14021600</v>
      </c>
      <c r="H295" s="8"/>
      <c r="I295" s="8">
        <f t="shared" si="41"/>
        <v>52865</v>
      </c>
      <c r="J295" s="8">
        <f t="shared" si="42"/>
        <v>14379280</v>
      </c>
      <c r="K295" s="9" t="str">
        <f t="array" ref="K295:N295">_xlfn.XLOOKUP(C295,'Neiva 2022 FASE I ACTUAL (5)'!$C$6:$C$540,'Neiva 2022 FASE I ACTUAL (5)'!$C$6:$F$540,"NO ESTA")</f>
        <v xml:space="preserve">SUMINISTRO E INSTALACIÓN TUBERÍA PVC-S DIAMETRO 4"                                                                        </v>
      </c>
      <c r="L295" s="9" t="str">
        <v xml:space="preserve">ML   </v>
      </c>
      <c r="M295" s="9">
        <v>101</v>
      </c>
      <c r="N295" s="9">
        <v>50238</v>
      </c>
      <c r="O295" s="124" t="str">
        <f t="shared" si="45"/>
        <v>FASE II</v>
      </c>
      <c r="P295" s="155">
        <f t="shared" si="39"/>
        <v>373</v>
      </c>
      <c r="Q295" s="156">
        <f t="shared" si="43"/>
        <v>52865</v>
      </c>
      <c r="R295" s="156">
        <f t="shared" si="44"/>
        <v>19718645</v>
      </c>
    </row>
    <row r="296" spans="2:18" s="9" customFormat="1" ht="35.1" customHeight="1" x14ac:dyDescent="0.25">
      <c r="B296" s="10" t="s">
        <v>335</v>
      </c>
      <c r="C296" s="22" t="s">
        <v>336</v>
      </c>
      <c r="D296" s="23" t="s">
        <v>269</v>
      </c>
      <c r="E296" s="12">
        <v>72</v>
      </c>
      <c r="F296" s="126">
        <v>21367</v>
      </c>
      <c r="G296" s="126">
        <f t="shared" si="46"/>
        <v>1538424</v>
      </c>
      <c r="H296" s="8"/>
      <c r="I296" s="8">
        <f t="shared" si="41"/>
        <v>21912</v>
      </c>
      <c r="J296" s="8">
        <f t="shared" si="42"/>
        <v>1577664</v>
      </c>
      <c r="K296" s="9" t="str">
        <f t="array" ref="K296:N296">_xlfn.XLOOKUP(C296,'Neiva 2022 FASE I ACTUAL (5)'!$C$6:$C$540,'Neiva 2022 FASE I ACTUAL (5)'!$C$6:$F$540,"NO ESTA")</f>
        <v xml:space="preserve">SUMINISTRO E INSTALACIÓN TUBERIA PVC-VENT DIAMETRO 2"                                                                     </v>
      </c>
      <c r="L296" s="9" t="str">
        <v xml:space="preserve">ML   </v>
      </c>
      <c r="M296" s="9">
        <v>26</v>
      </c>
      <c r="N296" s="9">
        <v>20823</v>
      </c>
      <c r="O296" s="124" t="str">
        <f t="shared" si="45"/>
        <v>FASE II</v>
      </c>
      <c r="P296" s="155">
        <f t="shared" si="39"/>
        <v>98</v>
      </c>
      <c r="Q296" s="156">
        <f t="shared" si="43"/>
        <v>21912</v>
      </c>
      <c r="R296" s="156">
        <f t="shared" si="44"/>
        <v>2147376</v>
      </c>
    </row>
    <row r="297" spans="2:18" s="9" customFormat="1" ht="35.1" customHeight="1" x14ac:dyDescent="0.25">
      <c r="B297" s="10" t="s">
        <v>337</v>
      </c>
      <c r="C297" s="22" t="s">
        <v>338</v>
      </c>
      <c r="D297" s="23" t="s">
        <v>269</v>
      </c>
      <c r="E297" s="12">
        <v>97</v>
      </c>
      <c r="F297" s="126">
        <v>31767</v>
      </c>
      <c r="G297" s="126">
        <f t="shared" si="46"/>
        <v>3081399</v>
      </c>
      <c r="H297" s="8"/>
      <c r="I297" s="8">
        <f t="shared" si="41"/>
        <v>32577</v>
      </c>
      <c r="J297" s="8">
        <f t="shared" si="42"/>
        <v>3159969</v>
      </c>
      <c r="K297" s="9" t="str">
        <f t="array" ref="K297:N297">_xlfn.XLOOKUP(C297,'Neiva 2022 FASE I ACTUAL (5)'!$C$6:$C$540,'Neiva 2022 FASE I ACTUAL (5)'!$C$6:$F$540,"NO ESTA")</f>
        <v xml:space="preserve">SUMINISTRO E INSTALACIÓN TUBERIA PVC-VENT DIAMETRO 3"                                                                     </v>
      </c>
      <c r="L297" s="9" t="str">
        <v xml:space="preserve">ML   </v>
      </c>
      <c r="M297" s="9">
        <v>36</v>
      </c>
      <c r="N297" s="9">
        <v>30959</v>
      </c>
      <c r="O297" s="124" t="str">
        <f t="shared" si="45"/>
        <v>FASE II</v>
      </c>
      <c r="P297" s="155">
        <f t="shared" si="39"/>
        <v>133</v>
      </c>
      <c r="Q297" s="156">
        <f t="shared" si="43"/>
        <v>32577</v>
      </c>
      <c r="R297" s="156">
        <f t="shared" si="44"/>
        <v>4332741</v>
      </c>
    </row>
    <row r="298" spans="2:18" s="9" customFormat="1" ht="35.1" customHeight="1" x14ac:dyDescent="0.25">
      <c r="B298" s="10" t="s">
        <v>339</v>
      </c>
      <c r="C298" s="22" t="s">
        <v>340</v>
      </c>
      <c r="D298" s="23" t="s">
        <v>284</v>
      </c>
      <c r="E298" s="12">
        <v>122</v>
      </c>
      <c r="F298" s="126">
        <v>7512</v>
      </c>
      <c r="G298" s="126">
        <f t="shared" si="46"/>
        <v>916464</v>
      </c>
      <c r="H298" s="8"/>
      <c r="I298" s="8">
        <f t="shared" si="41"/>
        <v>7704</v>
      </c>
      <c r="J298" s="8">
        <f t="shared" si="42"/>
        <v>939888</v>
      </c>
      <c r="K298" s="9" t="str">
        <f t="array" ref="K298:N298">_xlfn.XLOOKUP(C298,'Neiva 2022 FASE I ACTUAL (5)'!$C$6:$C$540,'Neiva 2022 FASE I ACTUAL (5)'!$C$6:$F$540,"NO ESTA")</f>
        <v xml:space="preserve">SUMINISTRO E INSTALACIÓN ACCESORIOS PVC-S DIAMETRO  2"                                                             </v>
      </c>
      <c r="L298" s="9" t="str">
        <v xml:space="preserve">UN   </v>
      </c>
      <c r="M298" s="9">
        <v>45</v>
      </c>
      <c r="N298" s="9">
        <v>7320</v>
      </c>
      <c r="O298" s="124" t="str">
        <f t="shared" si="45"/>
        <v>FASE II</v>
      </c>
      <c r="P298" s="155">
        <f t="shared" si="39"/>
        <v>167</v>
      </c>
      <c r="Q298" s="156">
        <f t="shared" si="43"/>
        <v>7704</v>
      </c>
      <c r="R298" s="156">
        <f t="shared" si="44"/>
        <v>1286568</v>
      </c>
    </row>
    <row r="299" spans="2:18" s="9" customFormat="1" ht="35.1" customHeight="1" x14ac:dyDescent="0.25">
      <c r="B299" s="10" t="s">
        <v>341</v>
      </c>
      <c r="C299" s="22" t="s">
        <v>342</v>
      </c>
      <c r="D299" s="23" t="s">
        <v>284</v>
      </c>
      <c r="E299" s="12">
        <v>161</v>
      </c>
      <c r="F299" s="126">
        <v>10700</v>
      </c>
      <c r="G299" s="126">
        <f t="shared" si="46"/>
        <v>1722700</v>
      </c>
      <c r="H299" s="8"/>
      <c r="I299" s="8">
        <f t="shared" si="41"/>
        <v>10973</v>
      </c>
      <c r="J299" s="8">
        <f t="shared" si="42"/>
        <v>1766653</v>
      </c>
      <c r="K299" s="9" t="str">
        <f t="array" ref="K299:N299">_xlfn.XLOOKUP(C299,'Neiva 2022 FASE I ACTUAL (5)'!$C$6:$C$540,'Neiva 2022 FASE I ACTUAL (5)'!$C$6:$F$540,"NO ESTA")</f>
        <v xml:space="preserve">SUMINISTRO E INSTALACIÓN ACCESORIOS PVC-S DIAMETRO  3"                                                             </v>
      </c>
      <c r="L299" s="9" t="str">
        <v xml:space="preserve">UN   </v>
      </c>
      <c r="M299" s="9">
        <v>60</v>
      </c>
      <c r="N299" s="9">
        <v>10429</v>
      </c>
      <c r="O299" s="124" t="str">
        <f t="shared" si="45"/>
        <v>FASE II</v>
      </c>
      <c r="P299" s="155">
        <f t="shared" si="39"/>
        <v>221</v>
      </c>
      <c r="Q299" s="156">
        <f t="shared" si="43"/>
        <v>10973</v>
      </c>
      <c r="R299" s="156">
        <f t="shared" si="44"/>
        <v>2425033</v>
      </c>
    </row>
    <row r="300" spans="2:18" s="9" customFormat="1" ht="35.1" customHeight="1" x14ac:dyDescent="0.25">
      <c r="B300" s="10" t="s">
        <v>343</v>
      </c>
      <c r="C300" s="22" t="s">
        <v>344</v>
      </c>
      <c r="D300" s="23" t="s">
        <v>284</v>
      </c>
      <c r="E300" s="12">
        <v>288</v>
      </c>
      <c r="F300" s="126">
        <v>15725</v>
      </c>
      <c r="G300" s="126">
        <f t="shared" si="46"/>
        <v>4528800</v>
      </c>
      <c r="H300" s="8"/>
      <c r="I300" s="8">
        <f t="shared" si="41"/>
        <v>16126</v>
      </c>
      <c r="J300" s="8">
        <f t="shared" si="42"/>
        <v>4644288</v>
      </c>
      <c r="K300" s="9" t="str">
        <f t="array" ref="K300:N300">_xlfn.XLOOKUP(C300,'Neiva 2022 FASE I ACTUAL (5)'!$C$6:$C$540,'Neiva 2022 FASE I ACTUAL (5)'!$C$6:$F$540,"NO ESTA")</f>
        <v xml:space="preserve">SUMINISTRO E INSTALACIÓN ACCESORIOS PVC-S DIAMETRO  4"                                                             </v>
      </c>
      <c r="L300" s="9" t="str">
        <v xml:space="preserve">UN   </v>
      </c>
      <c r="M300" s="9">
        <v>106</v>
      </c>
      <c r="N300" s="9">
        <v>15324</v>
      </c>
      <c r="O300" s="124" t="str">
        <f t="shared" si="45"/>
        <v>FASE II</v>
      </c>
      <c r="P300" s="155">
        <f t="shared" si="39"/>
        <v>394</v>
      </c>
      <c r="Q300" s="156">
        <f t="shared" si="43"/>
        <v>16126</v>
      </c>
      <c r="R300" s="156">
        <f t="shared" si="44"/>
        <v>6353644</v>
      </c>
    </row>
    <row r="301" spans="2:18" s="9" customFormat="1" ht="35.1" customHeight="1" x14ac:dyDescent="0.25">
      <c r="B301" s="10" t="s">
        <v>345</v>
      </c>
      <c r="C301" s="22" t="s">
        <v>346</v>
      </c>
      <c r="D301" s="23" t="s">
        <v>284</v>
      </c>
      <c r="E301" s="12">
        <v>14</v>
      </c>
      <c r="F301" s="126">
        <v>4884</v>
      </c>
      <c r="G301" s="126">
        <f t="shared" si="46"/>
        <v>68376</v>
      </c>
      <c r="H301" s="8"/>
      <c r="I301" s="8">
        <f t="shared" si="41"/>
        <v>5009</v>
      </c>
      <c r="J301" s="8">
        <f t="shared" si="42"/>
        <v>70126</v>
      </c>
      <c r="K301" s="9" t="str">
        <f t="array" ref="K301:N301">_xlfn.XLOOKUP(C301,'Neiva 2022 FASE I ACTUAL (5)'!$C$6:$C$540,'Neiva 2022 FASE I ACTUAL (5)'!$C$6:$F$540,"NO ESTA")</f>
        <v xml:space="preserve">SUMINISTRO E INSTALACIÓN SOPORTE 2"                                                                   </v>
      </c>
      <c r="L301" s="9" t="str">
        <v xml:space="preserve">UN   </v>
      </c>
      <c r="M301" s="9">
        <v>5</v>
      </c>
      <c r="N301" s="9">
        <v>4760</v>
      </c>
      <c r="O301" s="124" t="str">
        <f t="shared" si="45"/>
        <v>FASE II</v>
      </c>
      <c r="P301" s="155">
        <f t="shared" si="39"/>
        <v>19</v>
      </c>
      <c r="Q301" s="156">
        <f t="shared" si="43"/>
        <v>5009</v>
      </c>
      <c r="R301" s="156">
        <f t="shared" si="44"/>
        <v>95171</v>
      </c>
    </row>
    <row r="302" spans="2:18" s="9" customFormat="1" ht="35.1" customHeight="1" x14ac:dyDescent="0.25">
      <c r="B302" s="10" t="s">
        <v>347</v>
      </c>
      <c r="C302" s="22" t="s">
        <v>348</v>
      </c>
      <c r="D302" s="23" t="s">
        <v>284</v>
      </c>
      <c r="E302" s="12">
        <v>64</v>
      </c>
      <c r="F302" s="126">
        <v>6212</v>
      </c>
      <c r="G302" s="126">
        <f t="shared" si="46"/>
        <v>397568</v>
      </c>
      <c r="H302" s="8"/>
      <c r="I302" s="8">
        <f t="shared" si="41"/>
        <v>6370</v>
      </c>
      <c r="J302" s="8">
        <f t="shared" si="42"/>
        <v>407680</v>
      </c>
      <c r="K302" s="9" t="str">
        <f t="array" ref="K302:N302">_xlfn.XLOOKUP(C302,'Neiva 2022 FASE I ACTUAL (5)'!$C$6:$C$540,'Neiva 2022 FASE I ACTUAL (5)'!$C$6:$F$540,"NO ESTA")</f>
        <v xml:space="preserve">SUMINISTRO E INSTALACIÓN SOPORTE 3"                                                                   </v>
      </c>
      <c r="L302" s="9" t="str">
        <v xml:space="preserve">UN   </v>
      </c>
      <c r="M302" s="9">
        <v>23</v>
      </c>
      <c r="N302" s="9">
        <v>6054</v>
      </c>
      <c r="O302" s="124" t="str">
        <f t="shared" si="45"/>
        <v>FASE II</v>
      </c>
      <c r="P302" s="155">
        <f t="shared" si="39"/>
        <v>87</v>
      </c>
      <c r="Q302" s="156">
        <f t="shared" si="43"/>
        <v>6370</v>
      </c>
      <c r="R302" s="156">
        <f t="shared" si="44"/>
        <v>554190</v>
      </c>
    </row>
    <row r="303" spans="2:18" s="9" customFormat="1" ht="35.1" customHeight="1" x14ac:dyDescent="0.25">
      <c r="B303" s="10" t="s">
        <v>349</v>
      </c>
      <c r="C303" s="22" t="s">
        <v>350</v>
      </c>
      <c r="D303" s="23" t="s">
        <v>284</v>
      </c>
      <c r="E303" s="12">
        <v>101</v>
      </c>
      <c r="F303" s="126">
        <v>12329</v>
      </c>
      <c r="G303" s="126">
        <f t="shared" si="46"/>
        <v>1245229</v>
      </c>
      <c r="H303" s="8"/>
      <c r="I303" s="8">
        <f t="shared" si="41"/>
        <v>12643</v>
      </c>
      <c r="J303" s="8">
        <f t="shared" si="42"/>
        <v>1276943</v>
      </c>
      <c r="K303" s="9" t="str">
        <f t="array" ref="K303:N303">_xlfn.XLOOKUP(C303,'Neiva 2022 FASE I ACTUAL (5)'!$C$6:$C$540,'Neiva 2022 FASE I ACTUAL (5)'!$C$6:$F$540,"NO ESTA")</f>
        <v xml:space="preserve">SUMINISTRO E INSTALACIÓN SOPORTE 4"                                                                   </v>
      </c>
      <c r="L303" s="9" t="str">
        <v xml:space="preserve">UN   </v>
      </c>
      <c r="M303" s="9">
        <v>38</v>
      </c>
      <c r="N303" s="9">
        <v>12016</v>
      </c>
      <c r="O303" s="124" t="str">
        <f t="shared" si="45"/>
        <v>FASE II</v>
      </c>
      <c r="P303" s="155">
        <f t="shared" si="39"/>
        <v>139</v>
      </c>
      <c r="Q303" s="156">
        <f t="shared" si="43"/>
        <v>12643</v>
      </c>
      <c r="R303" s="156">
        <f t="shared" si="44"/>
        <v>1757377</v>
      </c>
    </row>
    <row r="304" spans="2:18" s="9" customFormat="1" ht="35.1" customHeight="1" x14ac:dyDescent="0.25">
      <c r="B304" s="10" t="s">
        <v>351</v>
      </c>
      <c r="C304" s="22" t="s">
        <v>352</v>
      </c>
      <c r="D304" s="23" t="s">
        <v>284</v>
      </c>
      <c r="E304" s="12">
        <v>36</v>
      </c>
      <c r="F304" s="126">
        <v>41384</v>
      </c>
      <c r="G304" s="126">
        <f t="shared" si="46"/>
        <v>1489824</v>
      </c>
      <c r="H304" s="8"/>
      <c r="I304" s="8">
        <f t="shared" si="41"/>
        <v>42439</v>
      </c>
      <c r="J304" s="8">
        <f t="shared" si="42"/>
        <v>1527804</v>
      </c>
      <c r="K304" s="9" t="str">
        <f t="array" ref="K304:N304">_xlfn.XLOOKUP(C304,'Neiva 2022 FASE I ACTUAL (5)'!$C$6:$C$540,'Neiva 2022 FASE I ACTUAL (5)'!$C$6:$F$540,"NO ESTA")</f>
        <v xml:space="preserve">SUMINISTRO E INSTALACIÓN SALIDA SANITARIA 2"                                    </v>
      </c>
      <c r="L304" s="9" t="str">
        <v xml:space="preserve">UN   </v>
      </c>
      <c r="M304" s="9">
        <v>14</v>
      </c>
      <c r="N304" s="9">
        <v>40331</v>
      </c>
      <c r="O304" s="124" t="str">
        <f t="shared" si="45"/>
        <v>FASE II</v>
      </c>
      <c r="P304" s="155">
        <f t="shared" si="39"/>
        <v>50</v>
      </c>
      <c r="Q304" s="156">
        <f t="shared" si="43"/>
        <v>42439</v>
      </c>
      <c r="R304" s="156">
        <f t="shared" si="44"/>
        <v>2121950</v>
      </c>
    </row>
    <row r="305" spans="2:18" s="9" customFormat="1" ht="35.1" customHeight="1" x14ac:dyDescent="0.25">
      <c r="B305" s="10" t="s">
        <v>353</v>
      </c>
      <c r="C305" s="22" t="s">
        <v>354</v>
      </c>
      <c r="D305" s="23" t="s">
        <v>284</v>
      </c>
      <c r="E305" s="12">
        <v>23</v>
      </c>
      <c r="F305" s="126">
        <v>50021</v>
      </c>
      <c r="G305" s="126">
        <f t="shared" si="46"/>
        <v>1150483</v>
      </c>
      <c r="H305" s="8"/>
      <c r="I305" s="8">
        <f t="shared" si="41"/>
        <v>51297</v>
      </c>
      <c r="J305" s="8">
        <f t="shared" si="42"/>
        <v>1179831</v>
      </c>
      <c r="K305" s="9" t="str">
        <f t="array" ref="K305:N305">_xlfn.XLOOKUP(C305,'Neiva 2022 FASE I ACTUAL (5)'!$C$6:$C$540,'Neiva 2022 FASE I ACTUAL (5)'!$C$6:$F$540,"NO ESTA")</f>
        <v xml:space="preserve">SUMINISTRO E INSTALACIÓN SALIDA SANITARIA 3"                                    </v>
      </c>
      <c r="L305" s="9" t="str">
        <v xml:space="preserve">UN   </v>
      </c>
      <c r="M305" s="9">
        <v>9</v>
      </c>
      <c r="N305" s="9">
        <v>48749</v>
      </c>
      <c r="O305" s="124" t="str">
        <f t="shared" si="45"/>
        <v>FASE II</v>
      </c>
      <c r="P305" s="155">
        <f t="shared" si="39"/>
        <v>32</v>
      </c>
      <c r="Q305" s="156">
        <f t="shared" si="43"/>
        <v>51297</v>
      </c>
      <c r="R305" s="156">
        <f t="shared" si="44"/>
        <v>1641504</v>
      </c>
    </row>
    <row r="306" spans="2:18" s="9" customFormat="1" ht="35.1" customHeight="1" x14ac:dyDescent="0.25">
      <c r="B306" s="10" t="s">
        <v>355</v>
      </c>
      <c r="C306" s="22" t="s">
        <v>356</v>
      </c>
      <c r="D306" s="23" t="s">
        <v>284</v>
      </c>
      <c r="E306" s="12">
        <v>42</v>
      </c>
      <c r="F306" s="126">
        <v>61472</v>
      </c>
      <c r="G306" s="126">
        <f t="shared" si="46"/>
        <v>2581824</v>
      </c>
      <c r="H306" s="8"/>
      <c r="I306" s="8">
        <f t="shared" si="41"/>
        <v>63040</v>
      </c>
      <c r="J306" s="8">
        <f t="shared" si="42"/>
        <v>2647680</v>
      </c>
      <c r="K306" s="9" t="str">
        <f t="array" ref="K306:N306">_xlfn.XLOOKUP(C306,'Neiva 2022 FASE I ACTUAL (5)'!$C$6:$C$540,'Neiva 2022 FASE I ACTUAL (5)'!$C$6:$F$540,"NO ESTA")</f>
        <v xml:space="preserve">SUMINISTRO E INSTALACIÓN SALIDA SANITARIA 4"                                    </v>
      </c>
      <c r="L306" s="9" t="str">
        <v xml:space="preserve">UN   </v>
      </c>
      <c r="M306" s="9">
        <v>16</v>
      </c>
      <c r="N306" s="9">
        <v>59907</v>
      </c>
      <c r="O306" s="124" t="str">
        <f t="shared" si="45"/>
        <v>FASE II</v>
      </c>
      <c r="P306" s="155">
        <f t="shared" si="39"/>
        <v>58</v>
      </c>
      <c r="Q306" s="156">
        <f t="shared" si="43"/>
        <v>63040</v>
      </c>
      <c r="R306" s="156">
        <f t="shared" si="44"/>
        <v>3656320</v>
      </c>
    </row>
    <row r="307" spans="2:18" s="9" customFormat="1" ht="35.1" customHeight="1" x14ac:dyDescent="0.25">
      <c r="B307" s="10" t="s">
        <v>357</v>
      </c>
      <c r="C307" s="22" t="s">
        <v>358</v>
      </c>
      <c r="D307" s="23" t="s">
        <v>284</v>
      </c>
      <c r="E307" s="12">
        <v>1</v>
      </c>
      <c r="F307" s="126">
        <v>542308</v>
      </c>
      <c r="G307" s="126">
        <f t="shared" si="46"/>
        <v>542308</v>
      </c>
      <c r="H307" s="8"/>
      <c r="I307" s="8">
        <f t="shared" si="41"/>
        <v>556137</v>
      </c>
      <c r="J307" s="8">
        <f t="shared" si="42"/>
        <v>556137</v>
      </c>
      <c r="K307" s="9" t="str">
        <f t="array" ref="K307:N307">_xlfn.XLOOKUP(C307,'Neiva 2022 FASE I ACTUAL (5)'!$C$6:$C$540,'Neiva 2022 FASE I ACTUAL (5)'!$C$6:$F$540,"NO ESTA")</f>
        <v xml:space="preserve">SUMINISTRO Y CONSTRUCCIÓN CAJA DE INSPECCIÓN 0.80mX0.80m H mäx:1.0m                                                                    </v>
      </c>
      <c r="L307" s="9" t="str">
        <v xml:space="preserve">UN   </v>
      </c>
      <c r="M307" s="9">
        <v>1</v>
      </c>
      <c r="N307" s="9">
        <v>528504</v>
      </c>
      <c r="O307" s="124" t="str">
        <f t="shared" si="45"/>
        <v>FASE II</v>
      </c>
      <c r="P307" s="155">
        <f t="shared" si="39"/>
        <v>2</v>
      </c>
      <c r="Q307" s="156">
        <f t="shared" si="43"/>
        <v>556137</v>
      </c>
      <c r="R307" s="156">
        <f t="shared" si="44"/>
        <v>1112274</v>
      </c>
    </row>
    <row r="308" spans="2:18" s="9" customFormat="1" ht="35.1" customHeight="1" x14ac:dyDescent="0.25">
      <c r="B308" s="10" t="s">
        <v>359</v>
      </c>
      <c r="C308" s="22" t="s">
        <v>360</v>
      </c>
      <c r="D308" s="23" t="s">
        <v>269</v>
      </c>
      <c r="E308" s="12">
        <v>29</v>
      </c>
      <c r="F308" s="126">
        <v>45798</v>
      </c>
      <c r="G308" s="126">
        <f t="shared" si="46"/>
        <v>1328142</v>
      </c>
      <c r="H308" s="8"/>
      <c r="I308" s="8">
        <f t="shared" si="41"/>
        <v>46966</v>
      </c>
      <c r="J308" s="8">
        <f t="shared" si="42"/>
        <v>1362014</v>
      </c>
      <c r="K308" s="9" t="str">
        <f t="array" ref="K308:N308">_xlfn.XLOOKUP(C308,'Neiva 2022 FASE I ACTUAL (5)'!$C$6:$C$540,'Neiva 2022 FASE I ACTUAL (5)'!$C$6:$F$540,"NO ESTA")</f>
        <v xml:space="preserve">SUMINISTRO E INSTALACIÓN TUBERIA PVC-ALC DIAMETRO 160mm                                                                   </v>
      </c>
      <c r="L308" s="9" t="str">
        <v xml:space="preserve">ML   </v>
      </c>
      <c r="M308" s="9">
        <v>11</v>
      </c>
      <c r="N308" s="9">
        <v>44632</v>
      </c>
      <c r="O308" s="124" t="str">
        <f t="shared" si="45"/>
        <v>FASE II</v>
      </c>
      <c r="P308" s="155">
        <f t="shared" si="39"/>
        <v>40</v>
      </c>
      <c r="Q308" s="156">
        <f t="shared" si="43"/>
        <v>46966</v>
      </c>
      <c r="R308" s="156">
        <f t="shared" si="44"/>
        <v>1878640</v>
      </c>
    </row>
    <row r="309" spans="2:18" s="9" customFormat="1" ht="35.1" customHeight="1" x14ac:dyDescent="0.25">
      <c r="B309" s="10" t="s">
        <v>361</v>
      </c>
      <c r="C309" s="22" t="s">
        <v>362</v>
      </c>
      <c r="D309" s="23" t="s">
        <v>269</v>
      </c>
      <c r="E309" s="12">
        <v>7</v>
      </c>
      <c r="F309" s="126">
        <v>63955</v>
      </c>
      <c r="G309" s="126">
        <f t="shared" si="46"/>
        <v>447685</v>
      </c>
      <c r="H309" s="8"/>
      <c r="I309" s="8">
        <f t="shared" si="41"/>
        <v>65586</v>
      </c>
      <c r="J309" s="8">
        <f t="shared" si="42"/>
        <v>459102</v>
      </c>
      <c r="K309" s="9" t="str">
        <f t="array" ref="K309:N309">_xlfn.XLOOKUP(C309,'Neiva 2022 FASE I ACTUAL (5)'!$C$6:$C$540,'Neiva 2022 FASE I ACTUAL (5)'!$C$6:$F$540,"NO ESTA")</f>
        <v xml:space="preserve">SUMINISTRO E INSTALACIÓN TUBERIA PVC-ALC DIAMETRO 200mm                                                                   </v>
      </c>
      <c r="L309" s="9" t="str">
        <v xml:space="preserve">ML   </v>
      </c>
      <c r="M309" s="9">
        <v>3</v>
      </c>
      <c r="N309" s="9">
        <v>62327</v>
      </c>
      <c r="O309" s="124" t="str">
        <f t="shared" si="45"/>
        <v>FASE II</v>
      </c>
      <c r="P309" s="155">
        <f t="shared" si="39"/>
        <v>10</v>
      </c>
      <c r="Q309" s="156">
        <f t="shared" si="43"/>
        <v>65586</v>
      </c>
      <c r="R309" s="156">
        <f t="shared" si="44"/>
        <v>655860</v>
      </c>
    </row>
    <row r="310" spans="2:18" s="9" customFormat="1" ht="35.1" customHeight="1" x14ac:dyDescent="0.25">
      <c r="B310" s="10" t="s">
        <v>363</v>
      </c>
      <c r="C310" s="22" t="s">
        <v>364</v>
      </c>
      <c r="D310" s="23" t="s">
        <v>269</v>
      </c>
      <c r="E310" s="12">
        <v>29</v>
      </c>
      <c r="F310" s="126">
        <v>97168</v>
      </c>
      <c r="G310" s="126">
        <f t="shared" si="46"/>
        <v>2817872</v>
      </c>
      <c r="H310" s="8"/>
      <c r="I310" s="8">
        <f t="shared" si="41"/>
        <v>99646</v>
      </c>
      <c r="J310" s="8">
        <f t="shared" si="42"/>
        <v>2889734</v>
      </c>
      <c r="K310" s="9" t="str">
        <f t="array" ref="K310:N310">_xlfn.XLOOKUP(C310,'Neiva 2022 FASE I ACTUAL (5)'!$C$6:$C$540,'Neiva 2022 FASE I ACTUAL (5)'!$C$6:$F$540,"NO ESTA")</f>
        <v xml:space="preserve">SUMINISTRO E INSTALACIÓN TUBERÍA PVC-P DIAMETRO 4"                                                        </v>
      </c>
      <c r="L310" s="9" t="str">
        <v xml:space="preserve">ML   </v>
      </c>
      <c r="M310" s="9">
        <v>11</v>
      </c>
      <c r="N310" s="9">
        <v>94694</v>
      </c>
      <c r="O310" s="124" t="str">
        <f t="shared" si="45"/>
        <v>FASE II</v>
      </c>
      <c r="P310" s="155">
        <f t="shared" si="39"/>
        <v>40</v>
      </c>
      <c r="Q310" s="156">
        <f t="shared" si="43"/>
        <v>99646</v>
      </c>
      <c r="R310" s="156">
        <f t="shared" si="44"/>
        <v>3985840</v>
      </c>
    </row>
    <row r="311" spans="2:18" s="9" customFormat="1" ht="35.1" customHeight="1" x14ac:dyDescent="0.25">
      <c r="B311" s="10" t="s">
        <v>365</v>
      </c>
      <c r="C311" s="22" t="s">
        <v>366</v>
      </c>
      <c r="D311" s="23" t="s">
        <v>284</v>
      </c>
      <c r="E311" s="12">
        <v>15</v>
      </c>
      <c r="F311" s="126">
        <v>78251</v>
      </c>
      <c r="G311" s="126">
        <f t="shared" si="46"/>
        <v>1173765</v>
      </c>
      <c r="H311" s="8"/>
      <c r="I311" s="8">
        <f t="shared" si="41"/>
        <v>80246</v>
      </c>
      <c r="J311" s="8">
        <f t="shared" si="42"/>
        <v>1203690</v>
      </c>
      <c r="K311" s="9" t="str">
        <f t="array" ref="K311:N311">_xlfn.XLOOKUP(C311,'Neiva 2022 FASE I ACTUAL (5)'!$C$6:$C$540,'Neiva 2022 FASE I ACTUAL (5)'!$C$6:$F$540,"NO ESTA")</f>
        <v xml:space="preserve">SUMINISTRO E INSTALACIÓN ACCESORIOS PVC-P DIAMETRO 4"                                                             </v>
      </c>
      <c r="L311" s="9" t="str">
        <v xml:space="preserve">UN   </v>
      </c>
      <c r="M311" s="9">
        <v>5</v>
      </c>
      <c r="N311" s="9">
        <v>76259</v>
      </c>
      <c r="O311" s="124" t="str">
        <f t="shared" si="45"/>
        <v>FASE II</v>
      </c>
      <c r="P311" s="155">
        <f t="shared" si="39"/>
        <v>20</v>
      </c>
      <c r="Q311" s="156">
        <f t="shared" si="43"/>
        <v>80246</v>
      </c>
      <c r="R311" s="156">
        <f t="shared" si="44"/>
        <v>1604920</v>
      </c>
    </row>
    <row r="312" spans="2:18" s="9" customFormat="1" ht="35.1" customHeight="1" x14ac:dyDescent="0.25">
      <c r="B312" s="47" t="s">
        <v>367</v>
      </c>
      <c r="C312" s="24" t="s">
        <v>368</v>
      </c>
      <c r="D312" s="24" t="s">
        <v>369</v>
      </c>
      <c r="E312" s="15"/>
      <c r="F312" s="129"/>
      <c r="G312" s="140"/>
      <c r="H312" s="8"/>
      <c r="I312" s="8">
        <f t="shared" si="41"/>
        <v>0</v>
      </c>
      <c r="J312" s="8">
        <f t="shared" si="42"/>
        <v>0</v>
      </c>
      <c r="K312" s="9" t="str">
        <f t="array" ref="K312:N312">_xlfn.XLOOKUP(C312,'Neiva 2022 FASE I ACTUAL (5)'!$C$6:$C$540,'Neiva 2022 FASE I ACTUAL (5)'!$C$6:$F$540,"NO ESTA")</f>
        <v>SUMINISTRO E INSTALACIÓN DE APARATOS SANITARIOS</v>
      </c>
      <c r="L312" s="9" t="str">
        <v xml:space="preserve">     </v>
      </c>
      <c r="M312" s="9">
        <v>0</v>
      </c>
      <c r="N312" s="9">
        <v>0</v>
      </c>
      <c r="O312" s="124">
        <f t="shared" si="45"/>
        <v>0</v>
      </c>
      <c r="P312" s="155">
        <f t="shared" si="39"/>
        <v>0</v>
      </c>
      <c r="Q312" s="156">
        <f t="shared" si="43"/>
        <v>0</v>
      </c>
      <c r="R312" s="156">
        <f t="shared" si="44"/>
        <v>0</v>
      </c>
    </row>
    <row r="313" spans="2:18" s="9" customFormat="1" ht="35.1" customHeight="1" x14ac:dyDescent="0.25">
      <c r="B313" s="23" t="s">
        <v>370</v>
      </c>
      <c r="C313" s="87" t="s">
        <v>371</v>
      </c>
      <c r="D313" s="23" t="s">
        <v>284</v>
      </c>
      <c r="E313" s="12">
        <v>24</v>
      </c>
      <c r="F313" s="126">
        <v>1105824</v>
      </c>
      <c r="G313" s="126">
        <f t="shared" ref="G313:G320" si="47">ROUND(+F313*E313,2)</f>
        <v>26539776</v>
      </c>
      <c r="H313" s="8"/>
      <c r="I313" s="8">
        <f t="shared" si="41"/>
        <v>1134023</v>
      </c>
      <c r="J313" s="8">
        <f t="shared" si="42"/>
        <v>27216552</v>
      </c>
      <c r="K313" s="9" t="str">
        <f t="array" ref="K313:N313">_xlfn.XLOOKUP(C313,'Neiva 2022 FASE I ACTUAL (5)'!$C$6:$C$540,'Neiva 2022 FASE I ACTUAL (5)'!$C$6:$F$540,"NO ESTA")</f>
        <v>SUMINISTRO E INSTALACIÓN SANITARIO INSTITUCIONAL incluye FLUXOMETRO</v>
      </c>
      <c r="L313" s="9" t="str">
        <v xml:space="preserve">UN   </v>
      </c>
      <c r="M313" s="9">
        <v>28</v>
      </c>
      <c r="N313" s="9">
        <v>1077676</v>
      </c>
      <c r="O313" s="124" t="str">
        <f t="shared" si="45"/>
        <v>FASE II</v>
      </c>
      <c r="P313" s="155">
        <f t="shared" si="39"/>
        <v>52</v>
      </c>
      <c r="Q313" s="156">
        <f t="shared" si="43"/>
        <v>1134023</v>
      </c>
      <c r="R313" s="156">
        <f t="shared" si="44"/>
        <v>58969196</v>
      </c>
    </row>
    <row r="314" spans="2:18" s="9" customFormat="1" ht="35.1" customHeight="1" x14ac:dyDescent="0.25">
      <c r="B314" s="23" t="s">
        <v>372</v>
      </c>
      <c r="C314" s="87" t="s">
        <v>373</v>
      </c>
      <c r="D314" s="23" t="s">
        <v>374</v>
      </c>
      <c r="E314" s="12">
        <v>4</v>
      </c>
      <c r="F314" s="126">
        <v>670042</v>
      </c>
      <c r="G314" s="126">
        <f t="shared" si="47"/>
        <v>2680168</v>
      </c>
      <c r="H314" s="8"/>
      <c r="I314" s="8">
        <f t="shared" si="41"/>
        <v>687128</v>
      </c>
      <c r="J314" s="8">
        <f t="shared" si="42"/>
        <v>2748512</v>
      </c>
      <c r="K314" s="9" t="str">
        <f t="array" ref="K314:N314">_xlfn.XLOOKUP(C314,'Neiva 2022 FASE I ACTUAL (5)'!$C$6:$C$540,'Neiva 2022 FASE I ACTUAL (5)'!$C$6:$F$540,"NO ESTA")</f>
        <v xml:space="preserve">SUMINISTRO E INSTALACIÓN SANITARIO DE BAJO CONSUMO </v>
      </c>
      <c r="L314" s="9" t="str">
        <v>UN</v>
      </c>
      <c r="M314" s="9">
        <v>4</v>
      </c>
      <c r="N314" s="9">
        <v>652986</v>
      </c>
      <c r="O314" s="124" t="str">
        <f t="shared" si="45"/>
        <v>FASE II</v>
      </c>
      <c r="P314" s="155">
        <f t="shared" si="39"/>
        <v>8</v>
      </c>
      <c r="Q314" s="156">
        <f t="shared" si="43"/>
        <v>687128</v>
      </c>
      <c r="R314" s="156">
        <f t="shared" si="44"/>
        <v>5497024</v>
      </c>
    </row>
    <row r="315" spans="2:18" s="9" customFormat="1" ht="35.1" customHeight="1" x14ac:dyDescent="0.25">
      <c r="B315" s="23" t="s">
        <v>375</v>
      </c>
      <c r="C315" s="87" t="s">
        <v>376</v>
      </c>
      <c r="D315" s="23" t="s">
        <v>284</v>
      </c>
      <c r="E315" s="12">
        <v>9</v>
      </c>
      <c r="F315" s="126">
        <v>757710</v>
      </c>
      <c r="G315" s="126">
        <f t="shared" si="47"/>
        <v>6819390</v>
      </c>
      <c r="H315" s="8"/>
      <c r="I315" s="8">
        <f t="shared" si="41"/>
        <v>777032</v>
      </c>
      <c r="J315" s="8">
        <f t="shared" si="42"/>
        <v>6993288</v>
      </c>
      <c r="K315" s="9" t="str">
        <f t="array" ref="K315:N315">_xlfn.XLOOKUP(C315,'Neiva 2022 FASE I ACTUAL (5)'!$C$6:$C$540,'Neiva 2022 FASE I ACTUAL (5)'!$C$6:$F$540,"NO ESTA")</f>
        <v>SUMINISTRO E INSTALACIÓN ORINAL</v>
      </c>
      <c r="L315" s="9" t="str">
        <v xml:space="preserve">UN   </v>
      </c>
      <c r="M315" s="9">
        <v>12</v>
      </c>
      <c r="N315" s="9">
        <v>738424</v>
      </c>
      <c r="O315" s="124" t="str">
        <f t="shared" si="45"/>
        <v>FASE II</v>
      </c>
      <c r="P315" s="155">
        <f t="shared" si="39"/>
        <v>21</v>
      </c>
      <c r="Q315" s="156">
        <f t="shared" si="43"/>
        <v>777032</v>
      </c>
      <c r="R315" s="156">
        <f t="shared" si="44"/>
        <v>16317672</v>
      </c>
    </row>
    <row r="316" spans="2:18" s="9" customFormat="1" ht="35.1" customHeight="1" x14ac:dyDescent="0.25">
      <c r="B316" s="23" t="s">
        <v>377</v>
      </c>
      <c r="C316" s="11" t="s">
        <v>378</v>
      </c>
      <c r="D316" s="23" t="s">
        <v>94</v>
      </c>
      <c r="E316" s="12">
        <v>13</v>
      </c>
      <c r="F316" s="126">
        <v>218116</v>
      </c>
      <c r="G316" s="126">
        <f t="shared" si="47"/>
        <v>2835508</v>
      </c>
      <c r="H316" s="8"/>
      <c r="I316" s="8">
        <f t="shared" si="41"/>
        <v>223678</v>
      </c>
      <c r="J316" s="8">
        <f t="shared" si="42"/>
        <v>2907814</v>
      </c>
      <c r="K316" s="9" t="str">
        <f t="array" ref="K316:N316">_xlfn.XLOOKUP(C316,'Neiva 2022 FASE I ACTUAL (5)'!$C$6:$C$540,'Neiva 2022 FASE I ACTUAL (5)'!$C$6:$F$540,"NO ESTA")</f>
        <v>SUMINISTRO E INSTALACIÓN MESÓN EN GRANITO NEGRO ABSOLUTO o similar, ANCHO 0.60m</v>
      </c>
      <c r="L316" s="9" t="str">
        <v>ML</v>
      </c>
      <c r="M316" s="9">
        <v>14</v>
      </c>
      <c r="N316" s="9">
        <v>212565</v>
      </c>
      <c r="O316" s="124" t="str">
        <f t="shared" si="45"/>
        <v>FASE II</v>
      </c>
      <c r="P316" s="155">
        <f t="shared" si="39"/>
        <v>27</v>
      </c>
      <c r="Q316" s="156">
        <f t="shared" si="43"/>
        <v>223678</v>
      </c>
      <c r="R316" s="156">
        <f t="shared" si="44"/>
        <v>6039306</v>
      </c>
    </row>
    <row r="317" spans="2:18" s="9" customFormat="1" ht="35.1" customHeight="1" x14ac:dyDescent="0.25">
      <c r="B317" s="23" t="s">
        <v>379</v>
      </c>
      <c r="C317" s="87" t="s">
        <v>380</v>
      </c>
      <c r="D317" s="23" t="s">
        <v>284</v>
      </c>
      <c r="E317" s="12">
        <v>18</v>
      </c>
      <c r="F317" s="126">
        <v>588854</v>
      </c>
      <c r="G317" s="126">
        <f t="shared" si="47"/>
        <v>10599372</v>
      </c>
      <c r="H317" s="8"/>
      <c r="I317" s="8">
        <f t="shared" si="41"/>
        <v>603870</v>
      </c>
      <c r="J317" s="8">
        <f t="shared" si="42"/>
        <v>10869660</v>
      </c>
      <c r="K317" s="9" t="str">
        <f t="array" ref="K317:N317">_xlfn.XLOOKUP(C317,'Neiva 2022 FASE I ACTUAL (5)'!$C$6:$C$540,'Neiva 2022 FASE I ACTUAL (5)'!$C$6:$F$540,"NO ESTA")</f>
        <v xml:space="preserve">SUMINISTRO E INSTALACIÓN LAVAMANOS SOBREPONER </v>
      </c>
      <c r="L317" s="9" t="str">
        <v xml:space="preserve">UN   </v>
      </c>
      <c r="M317" s="9">
        <v>20</v>
      </c>
      <c r="N317" s="9">
        <v>573865</v>
      </c>
      <c r="O317" s="124" t="str">
        <f t="shared" si="45"/>
        <v>FASE II</v>
      </c>
      <c r="P317" s="155">
        <f t="shared" si="39"/>
        <v>38</v>
      </c>
      <c r="Q317" s="156">
        <f t="shared" si="43"/>
        <v>603870</v>
      </c>
      <c r="R317" s="156">
        <f t="shared" si="44"/>
        <v>22947060</v>
      </c>
    </row>
    <row r="318" spans="2:18" s="9" customFormat="1" ht="35.1" customHeight="1" x14ac:dyDescent="0.25">
      <c r="B318" s="23" t="s">
        <v>381</v>
      </c>
      <c r="C318" s="87" t="s">
        <v>382</v>
      </c>
      <c r="D318" s="23" t="s">
        <v>284</v>
      </c>
      <c r="E318" s="12">
        <v>3</v>
      </c>
      <c r="F318" s="126">
        <v>556929</v>
      </c>
      <c r="G318" s="126">
        <f t="shared" si="47"/>
        <v>1670787</v>
      </c>
      <c r="H318" s="8"/>
      <c r="I318" s="8">
        <f t="shared" si="41"/>
        <v>571131</v>
      </c>
      <c r="J318" s="8">
        <f t="shared" si="42"/>
        <v>1713393</v>
      </c>
      <c r="K318" s="9" t="str">
        <f t="array" ref="K318:N318">_xlfn.XLOOKUP(C318,'Neiva 2022 FASE I ACTUAL (5)'!$C$6:$C$540,'Neiva 2022 FASE I ACTUAL (5)'!$C$6:$F$540,"NO ESTA")</f>
        <v>SUMINISTRO E INSTALACIÓN LAVAMANOS PEDESTAL</v>
      </c>
      <c r="L318" s="9" t="str">
        <v xml:space="preserve">UN   </v>
      </c>
      <c r="M318" s="9">
        <v>3</v>
      </c>
      <c r="N318" s="9">
        <v>542753</v>
      </c>
      <c r="O318" s="124" t="str">
        <f t="shared" si="45"/>
        <v>FASE II</v>
      </c>
      <c r="P318" s="155">
        <f t="shared" si="39"/>
        <v>6</v>
      </c>
      <c r="Q318" s="156">
        <f t="shared" si="43"/>
        <v>571131</v>
      </c>
      <c r="R318" s="156">
        <f t="shared" si="44"/>
        <v>3426786</v>
      </c>
    </row>
    <row r="319" spans="2:18" s="9" customFormat="1" ht="35.1" customHeight="1" x14ac:dyDescent="0.25">
      <c r="B319" s="23" t="s">
        <v>383</v>
      </c>
      <c r="C319" s="11" t="s">
        <v>384</v>
      </c>
      <c r="D319" s="23" t="s">
        <v>13</v>
      </c>
      <c r="E319" s="12">
        <v>11</v>
      </c>
      <c r="F319" s="126">
        <v>90851</v>
      </c>
      <c r="G319" s="126">
        <f t="shared" si="47"/>
        <v>999361</v>
      </c>
      <c r="H319" s="8"/>
      <c r="I319" s="8">
        <f t="shared" si="41"/>
        <v>93168</v>
      </c>
      <c r="J319" s="8">
        <f t="shared" si="42"/>
        <v>1024848</v>
      </c>
      <c r="K319" s="9" t="str">
        <f t="array" ref="K319:N319">_xlfn.XLOOKUP(C319,'Neiva 2022 FASE I ACTUAL (5)'!$C$6:$C$540,'Neiva 2022 FASE I ACTUAL (5)'!$C$6:$F$540,"NO ESTA")</f>
        <v>SUMINISTRO E INSTALACIÓN ESPEJO e=4MM PEGADO SOBRE BASTIDOR EN ALUMINIO DE 2X1</v>
      </c>
      <c r="L319" s="9" t="str">
        <v>M2</v>
      </c>
      <c r="M319" s="9">
        <v>12</v>
      </c>
      <c r="N319" s="9">
        <v>88538</v>
      </c>
      <c r="O319" s="124" t="str">
        <f t="shared" si="45"/>
        <v>FASE II</v>
      </c>
      <c r="P319" s="155">
        <f t="shared" si="39"/>
        <v>23</v>
      </c>
      <c r="Q319" s="156">
        <f t="shared" si="43"/>
        <v>93168</v>
      </c>
      <c r="R319" s="156">
        <f t="shared" si="44"/>
        <v>2142864</v>
      </c>
    </row>
    <row r="320" spans="2:18" s="9" customFormat="1" ht="35.1" customHeight="1" x14ac:dyDescent="0.25">
      <c r="B320" s="23" t="s">
        <v>385</v>
      </c>
      <c r="C320" s="11" t="s">
        <v>386</v>
      </c>
      <c r="D320" s="23" t="s">
        <v>284</v>
      </c>
      <c r="E320" s="12">
        <v>1</v>
      </c>
      <c r="F320" s="126">
        <v>44128</v>
      </c>
      <c r="G320" s="126">
        <f t="shared" si="47"/>
        <v>44128</v>
      </c>
      <c r="H320" s="8"/>
      <c r="I320" s="8">
        <f t="shared" si="41"/>
        <v>45253</v>
      </c>
      <c r="J320" s="8">
        <f t="shared" si="42"/>
        <v>45253</v>
      </c>
      <c r="K320" s="9" t="str">
        <f t="array" ref="K320:N320">_xlfn.XLOOKUP(C320,'Neiva 2022 FASE I ACTUAL (5)'!$C$6:$C$540,'Neiva 2022 FASE I ACTUAL (5)'!$C$6:$F$540,"NO ESTA")</f>
        <v>SUMINISTRO E INSTALACIÓN LLAVES MANGUERA</v>
      </c>
      <c r="L320" s="9" t="str">
        <v xml:space="preserve">UN   </v>
      </c>
      <c r="M320" s="9">
        <v>2</v>
      </c>
      <c r="N320" s="9">
        <v>43005</v>
      </c>
      <c r="O320" s="124" t="str">
        <f t="shared" si="45"/>
        <v>FASE II</v>
      </c>
      <c r="P320" s="155">
        <f t="shared" si="39"/>
        <v>3</v>
      </c>
      <c r="Q320" s="156">
        <f t="shared" si="43"/>
        <v>45253</v>
      </c>
      <c r="R320" s="156">
        <f t="shared" si="44"/>
        <v>135759</v>
      </c>
    </row>
    <row r="321" spans="2:18" s="9" customFormat="1" ht="35.1" customHeight="1" x14ac:dyDescent="0.25">
      <c r="B321" s="47" t="s">
        <v>387</v>
      </c>
      <c r="C321" s="24" t="s">
        <v>388</v>
      </c>
      <c r="D321" s="24"/>
      <c r="E321" s="15"/>
      <c r="F321" s="129"/>
      <c r="G321" s="140"/>
      <c r="H321" s="8"/>
      <c r="I321" s="8">
        <f t="shared" si="41"/>
        <v>0</v>
      </c>
      <c r="J321" s="8">
        <f t="shared" si="42"/>
        <v>0</v>
      </c>
      <c r="K321" s="9" t="str">
        <f t="array" ref="K321:N321">_xlfn.XLOOKUP(C321,'Neiva 2022 FASE I ACTUAL (5)'!$C$6:$C$540,'Neiva 2022 FASE I ACTUAL (5)'!$C$6:$F$540,"NO ESTA")</f>
        <v xml:space="preserve">SUMINISTRO E INSTALACION RED DESAGÜES AGUAS LLUVIAS                                                                                 </v>
      </c>
      <c r="L321" s="9">
        <v>0</v>
      </c>
      <c r="M321" s="9">
        <v>0</v>
      </c>
      <c r="N321" s="9">
        <v>0</v>
      </c>
      <c r="O321" s="124">
        <f t="shared" si="45"/>
        <v>0</v>
      </c>
      <c r="P321" s="155">
        <f t="shared" si="39"/>
        <v>0</v>
      </c>
      <c r="Q321" s="156">
        <f t="shared" si="43"/>
        <v>0</v>
      </c>
      <c r="R321" s="156">
        <f t="shared" si="44"/>
        <v>0</v>
      </c>
    </row>
    <row r="322" spans="2:18" s="9" customFormat="1" ht="35.1" customHeight="1" x14ac:dyDescent="0.25">
      <c r="B322" s="23" t="s">
        <v>389</v>
      </c>
      <c r="C322" s="22" t="s">
        <v>390</v>
      </c>
      <c r="D322" s="23" t="s">
        <v>269</v>
      </c>
      <c r="E322" s="12">
        <v>248</v>
      </c>
      <c r="F322" s="126">
        <v>36135</v>
      </c>
      <c r="G322" s="126">
        <f t="shared" ref="G322:G344" si="48">ROUND(+F322*E322,2)</f>
        <v>8961480</v>
      </c>
      <c r="H322" s="8"/>
      <c r="I322" s="8">
        <f t="shared" si="41"/>
        <v>37056</v>
      </c>
      <c r="J322" s="8">
        <f t="shared" si="42"/>
        <v>9189888</v>
      </c>
      <c r="K322" s="9" t="str">
        <f t="array" ref="K322:N322">_xlfn.XLOOKUP(C322,'Neiva 2022 FASE I ACTUAL (5)'!$C$6:$C$540,'Neiva 2022 FASE I ACTUAL (5)'!$C$6:$F$540,"NO ESTA")</f>
        <v xml:space="preserve">SUMINISTRO E INSTALACIÓN TUBERIA PVC-S DIAMETRO  3 PUL                                                                 </v>
      </c>
      <c r="L322" s="9" t="str">
        <v xml:space="preserve">ML   </v>
      </c>
      <c r="M322" s="9">
        <v>92</v>
      </c>
      <c r="N322" s="9">
        <v>35215</v>
      </c>
      <c r="O322" s="124" t="str">
        <f t="shared" si="45"/>
        <v>FASE II</v>
      </c>
      <c r="P322" s="155">
        <f t="shared" si="39"/>
        <v>340</v>
      </c>
      <c r="Q322" s="156">
        <f t="shared" si="43"/>
        <v>37056</v>
      </c>
      <c r="R322" s="156">
        <f t="shared" si="44"/>
        <v>12599040</v>
      </c>
    </row>
    <row r="323" spans="2:18" s="9" customFormat="1" ht="35.1" customHeight="1" x14ac:dyDescent="0.25">
      <c r="B323" s="23" t="s">
        <v>391</v>
      </c>
      <c r="C323" s="11" t="s">
        <v>392</v>
      </c>
      <c r="D323" s="10" t="s">
        <v>269</v>
      </c>
      <c r="E323" s="12">
        <v>122</v>
      </c>
      <c r="F323" s="126">
        <v>51550</v>
      </c>
      <c r="G323" s="126">
        <f t="shared" si="48"/>
        <v>6289100</v>
      </c>
      <c r="H323" s="8"/>
      <c r="I323" s="8">
        <f t="shared" si="41"/>
        <v>52865</v>
      </c>
      <c r="J323" s="8">
        <f t="shared" si="42"/>
        <v>6449530</v>
      </c>
      <c r="K323" s="9" t="str">
        <f t="array" ref="K323:N323">_xlfn.XLOOKUP(C323,'Neiva 2022 FASE I ACTUAL (5)'!$C$6:$C$540,'Neiva 2022 FASE I ACTUAL (5)'!$C$6:$F$540,"NO ESTA")</f>
        <v xml:space="preserve">SUMINISTRO E INSTALACIÓN TUBERIA PVC-S DIAMETRO 4 PUL                                                                 </v>
      </c>
      <c r="L323" s="9" t="str">
        <v xml:space="preserve">ML   </v>
      </c>
      <c r="M323" s="9">
        <v>45</v>
      </c>
      <c r="N323" s="9">
        <v>50238</v>
      </c>
      <c r="O323" s="124" t="str">
        <f t="shared" si="45"/>
        <v>FASE II</v>
      </c>
      <c r="P323" s="155">
        <f t="shared" si="39"/>
        <v>167</v>
      </c>
      <c r="Q323" s="156">
        <f t="shared" si="43"/>
        <v>52865</v>
      </c>
      <c r="R323" s="156">
        <f t="shared" si="44"/>
        <v>8828455</v>
      </c>
    </row>
    <row r="324" spans="2:18" s="9" customFormat="1" ht="35.1" customHeight="1" x14ac:dyDescent="0.25">
      <c r="B324" s="23" t="s">
        <v>393</v>
      </c>
      <c r="C324" s="11" t="s">
        <v>394</v>
      </c>
      <c r="D324" s="10" t="s">
        <v>269</v>
      </c>
      <c r="E324" s="12">
        <v>161</v>
      </c>
      <c r="F324" s="126">
        <v>93160</v>
      </c>
      <c r="G324" s="126">
        <f t="shared" si="48"/>
        <v>14998760</v>
      </c>
      <c r="H324" s="8"/>
      <c r="I324" s="8">
        <f t="shared" si="41"/>
        <v>95536</v>
      </c>
      <c r="J324" s="8">
        <f t="shared" si="42"/>
        <v>15381296</v>
      </c>
      <c r="K324" s="9" t="str">
        <f t="array" ref="K324:N324">_xlfn.XLOOKUP(C324,'Neiva 2022 FASE I ACTUAL (5)'!$C$6:$C$540,'Neiva 2022 FASE I ACTUAL (5)'!$C$6:$F$540,"NO ESTA")</f>
        <v xml:space="preserve">SUMINISTRO E INSTALACIÓN TUBERIA PVC-S DIAMETRO 6 PUL                                                                 </v>
      </c>
      <c r="L324" s="9" t="str">
        <v xml:space="preserve">ML   </v>
      </c>
      <c r="M324" s="9">
        <v>60</v>
      </c>
      <c r="N324" s="9">
        <v>90790</v>
      </c>
      <c r="O324" s="124" t="str">
        <f t="shared" si="45"/>
        <v>FASE II</v>
      </c>
      <c r="P324" s="155">
        <f t="shared" si="39"/>
        <v>221</v>
      </c>
      <c r="Q324" s="156">
        <f t="shared" si="43"/>
        <v>95536</v>
      </c>
      <c r="R324" s="156">
        <f t="shared" si="44"/>
        <v>21113456</v>
      </c>
    </row>
    <row r="325" spans="2:18" s="9" customFormat="1" ht="35.1" customHeight="1" x14ac:dyDescent="0.25">
      <c r="B325" s="23" t="s">
        <v>395</v>
      </c>
      <c r="C325" s="11" t="s">
        <v>396</v>
      </c>
      <c r="D325" s="10" t="s">
        <v>374</v>
      </c>
      <c r="E325" s="12">
        <v>101</v>
      </c>
      <c r="F325" s="126">
        <v>10700</v>
      </c>
      <c r="G325" s="126">
        <f t="shared" si="48"/>
        <v>1080700</v>
      </c>
      <c r="H325" s="8"/>
      <c r="I325" s="8">
        <f t="shared" si="41"/>
        <v>10973</v>
      </c>
      <c r="J325" s="8">
        <f t="shared" si="42"/>
        <v>1108273</v>
      </c>
      <c r="K325" s="9" t="str">
        <f t="array" ref="K325:N325">_xlfn.XLOOKUP(C325,'Neiva 2022 FASE I ACTUAL (5)'!$C$6:$C$540,'Neiva 2022 FASE I ACTUAL (5)'!$C$6:$F$540,"NO ESTA")</f>
        <v xml:space="preserve">SUMINISTRO E INSTALACIÓN ACCESORIOS PVC-S DIAMETRO 3"                                                             </v>
      </c>
      <c r="L325" s="9" t="str">
        <v>UN</v>
      </c>
      <c r="M325" s="9">
        <v>38</v>
      </c>
      <c r="N325" s="9">
        <v>10429</v>
      </c>
      <c r="O325" s="124" t="str">
        <f t="shared" si="45"/>
        <v>FASE II</v>
      </c>
      <c r="P325" s="155">
        <f t="shared" si="39"/>
        <v>139</v>
      </c>
      <c r="Q325" s="156">
        <f t="shared" si="43"/>
        <v>10973</v>
      </c>
      <c r="R325" s="156">
        <f t="shared" si="44"/>
        <v>1525247</v>
      </c>
    </row>
    <row r="326" spans="2:18" s="9" customFormat="1" ht="35.1" customHeight="1" x14ac:dyDescent="0.25">
      <c r="B326" s="23" t="s">
        <v>397</v>
      </c>
      <c r="C326" s="49" t="s">
        <v>398</v>
      </c>
      <c r="D326" s="10" t="s">
        <v>374</v>
      </c>
      <c r="E326" s="12">
        <v>58</v>
      </c>
      <c r="F326" s="126">
        <v>15725</v>
      </c>
      <c r="G326" s="126">
        <f t="shared" si="48"/>
        <v>912050</v>
      </c>
      <c r="H326" s="8"/>
      <c r="I326" s="8">
        <f t="shared" si="41"/>
        <v>16126</v>
      </c>
      <c r="J326" s="8">
        <f t="shared" si="42"/>
        <v>935308</v>
      </c>
      <c r="K326" s="9" t="str">
        <f t="array" ref="K326:N326">_xlfn.XLOOKUP(C326,'Neiva 2022 FASE I ACTUAL (5)'!$C$6:$C$540,'Neiva 2022 FASE I ACTUAL (5)'!$C$6:$F$540,"NO ESTA")</f>
        <v xml:space="preserve">SUMINISTRO E INSTALACIÓN ACCESORIOS PVC-S DIAMETRO 4"                                                             </v>
      </c>
      <c r="L326" s="9" t="str">
        <v>UN</v>
      </c>
      <c r="M326" s="9">
        <v>21</v>
      </c>
      <c r="N326" s="9">
        <v>15324</v>
      </c>
      <c r="O326" s="124" t="str">
        <f t="shared" si="45"/>
        <v>FASE II</v>
      </c>
      <c r="P326" s="155">
        <f t="shared" ref="P326:P389" si="49">E326+M326</f>
        <v>79</v>
      </c>
      <c r="Q326" s="156">
        <f t="shared" si="43"/>
        <v>16126</v>
      </c>
      <c r="R326" s="156">
        <f t="shared" si="44"/>
        <v>1273954</v>
      </c>
    </row>
    <row r="327" spans="2:18" s="9" customFormat="1" ht="35.1" customHeight="1" x14ac:dyDescent="0.25">
      <c r="B327" s="23" t="s">
        <v>399</v>
      </c>
      <c r="C327" s="11" t="s">
        <v>400</v>
      </c>
      <c r="D327" s="10" t="s">
        <v>374</v>
      </c>
      <c r="E327" s="12">
        <v>68</v>
      </c>
      <c r="F327" s="126">
        <v>74938</v>
      </c>
      <c r="G327" s="126">
        <f t="shared" si="48"/>
        <v>5095784</v>
      </c>
      <c r="H327" s="8"/>
      <c r="I327" s="8">
        <f t="shared" ref="I327:I390" si="50">+ROUND(F327*(1+$I$4),0)</f>
        <v>76849</v>
      </c>
      <c r="J327" s="8">
        <f t="shared" ref="J327:J390" si="51">+I327*E327</f>
        <v>5225732</v>
      </c>
      <c r="K327" s="9" t="str">
        <f t="array" ref="K327:N327">_xlfn.XLOOKUP(C327,'Neiva 2022 FASE I ACTUAL (5)'!$C$6:$C$540,'Neiva 2022 FASE I ACTUAL (5)'!$C$6:$F$540,"NO ESTA")</f>
        <v xml:space="preserve">SUMINISTRO E INSTALACIÓN ACCESORIOS PVC-S DIAMETRO 6"                                                             </v>
      </c>
      <c r="L327" s="9" t="str">
        <v>UN</v>
      </c>
      <c r="M327" s="9">
        <v>25</v>
      </c>
      <c r="N327" s="9">
        <v>73031</v>
      </c>
      <c r="O327" s="124" t="str">
        <f t="shared" si="45"/>
        <v>FASE II</v>
      </c>
      <c r="P327" s="155">
        <f t="shared" si="49"/>
        <v>93</v>
      </c>
      <c r="Q327" s="156">
        <f t="shared" ref="Q327:Q390" si="52">MAX(N327,F327,I327)</f>
        <v>76849</v>
      </c>
      <c r="R327" s="156">
        <f t="shared" ref="R327:R390" si="53">ROUND(P327*Q327,2)</f>
        <v>7146957</v>
      </c>
    </row>
    <row r="328" spans="2:18" s="9" customFormat="1" ht="35.1" customHeight="1" x14ac:dyDescent="0.25">
      <c r="B328" s="23" t="s">
        <v>401</v>
      </c>
      <c r="C328" s="11" t="s">
        <v>402</v>
      </c>
      <c r="D328" s="10" t="s">
        <v>269</v>
      </c>
      <c r="E328" s="12">
        <v>31</v>
      </c>
      <c r="F328" s="126">
        <v>50021</v>
      </c>
      <c r="G328" s="126">
        <f t="shared" si="48"/>
        <v>1550651</v>
      </c>
      <c r="H328" s="8"/>
      <c r="I328" s="8">
        <f t="shared" si="50"/>
        <v>51297</v>
      </c>
      <c r="J328" s="8">
        <f t="shared" si="51"/>
        <v>1590207</v>
      </c>
      <c r="K328" s="9" t="str">
        <f t="array" ref="K328:N328">_xlfn.XLOOKUP(C328,'Neiva 2022 FASE I ACTUAL (5)'!$C$6:$C$540,'Neiva 2022 FASE I ACTUAL (5)'!$C$6:$F$540,"NO ESTA")</f>
        <v xml:space="preserve">SUMINISTRO E INSTALACIÓN SALIDA SANITARIA DIAMETRO 3 PULG                                                               </v>
      </c>
      <c r="L328" s="9" t="str">
        <v xml:space="preserve">ML   </v>
      </c>
      <c r="M328" s="9">
        <v>12</v>
      </c>
      <c r="N328" s="9">
        <v>48749</v>
      </c>
      <c r="O328" s="124" t="str">
        <f t="shared" ref="O328:O391" si="54">IF(N328=0,0,(IF(F328&lt;N328, "FASE I","FASE II")))</f>
        <v>FASE II</v>
      </c>
      <c r="P328" s="155">
        <f t="shared" si="49"/>
        <v>43</v>
      </c>
      <c r="Q328" s="156">
        <f t="shared" si="52"/>
        <v>51297</v>
      </c>
      <c r="R328" s="156">
        <f t="shared" si="53"/>
        <v>2205771</v>
      </c>
    </row>
    <row r="329" spans="2:18" s="9" customFormat="1" ht="35.1" customHeight="1" x14ac:dyDescent="0.25">
      <c r="B329" s="23" t="s">
        <v>403</v>
      </c>
      <c r="C329" s="11" t="s">
        <v>404</v>
      </c>
      <c r="D329" s="10" t="s">
        <v>269</v>
      </c>
      <c r="E329" s="12">
        <v>23</v>
      </c>
      <c r="F329" s="126">
        <v>61472</v>
      </c>
      <c r="G329" s="126">
        <f t="shared" si="48"/>
        <v>1413856</v>
      </c>
      <c r="H329" s="8"/>
      <c r="I329" s="8">
        <f t="shared" si="50"/>
        <v>63040</v>
      </c>
      <c r="J329" s="8">
        <f t="shared" si="51"/>
        <v>1449920</v>
      </c>
      <c r="K329" s="9" t="str">
        <f t="array" ref="K329:N329">_xlfn.XLOOKUP(C329,'Neiva 2022 FASE I ACTUAL (5)'!$C$6:$C$540,'Neiva 2022 FASE I ACTUAL (5)'!$C$6:$F$540,"NO ESTA")</f>
        <v xml:space="preserve">SUMINISTRO E INSTALACIÓN SALIDA SANITARIA DIAMETRO 4 PULG                                                               </v>
      </c>
      <c r="L329" s="9" t="str">
        <v xml:space="preserve">ML   </v>
      </c>
      <c r="M329" s="9">
        <v>8</v>
      </c>
      <c r="N329" s="9">
        <v>59907</v>
      </c>
      <c r="O329" s="124" t="str">
        <f t="shared" si="54"/>
        <v>FASE II</v>
      </c>
      <c r="P329" s="155">
        <f t="shared" si="49"/>
        <v>31</v>
      </c>
      <c r="Q329" s="156">
        <f t="shared" si="52"/>
        <v>63040</v>
      </c>
      <c r="R329" s="156">
        <f t="shared" si="53"/>
        <v>1954240</v>
      </c>
    </row>
    <row r="330" spans="2:18" s="9" customFormat="1" ht="35.1" customHeight="1" x14ac:dyDescent="0.25">
      <c r="B330" s="23" t="s">
        <v>405</v>
      </c>
      <c r="C330" s="11" t="s">
        <v>406</v>
      </c>
      <c r="D330" s="10" t="s">
        <v>269</v>
      </c>
      <c r="E330" s="12">
        <v>0</v>
      </c>
      <c r="F330" s="126">
        <v>53541</v>
      </c>
      <c r="G330" s="126">
        <f t="shared" si="48"/>
        <v>0</v>
      </c>
      <c r="H330" s="8"/>
      <c r="I330" s="8">
        <f t="shared" si="50"/>
        <v>54906</v>
      </c>
      <c r="J330" s="8">
        <f t="shared" si="51"/>
        <v>0</v>
      </c>
      <c r="K330" s="9" t="str">
        <f t="array" ref="K330:N330">_xlfn.XLOOKUP(C330,'Neiva 2022 FASE I ACTUAL (5)'!$C$6:$C$540,'Neiva 2022 FASE I ACTUAL (5)'!$C$6:$F$540,"NO ESTA")</f>
        <v xml:space="preserve">SUMINISTRO E INSTALACIÓN POLIETILENO PEAD PARA FILTRO 90 mm                                                                  </v>
      </c>
      <c r="L330" s="9" t="str">
        <v xml:space="preserve">ML   </v>
      </c>
      <c r="M330" s="9">
        <v>50</v>
      </c>
      <c r="N330" s="9">
        <v>52178</v>
      </c>
      <c r="O330" s="124" t="str">
        <f t="shared" si="54"/>
        <v>FASE II</v>
      </c>
      <c r="P330" s="155">
        <f t="shared" si="49"/>
        <v>50</v>
      </c>
      <c r="Q330" s="156">
        <f t="shared" si="52"/>
        <v>54906</v>
      </c>
      <c r="R330" s="156">
        <f t="shared" si="53"/>
        <v>2745300</v>
      </c>
    </row>
    <row r="331" spans="2:18" s="9" customFormat="1" ht="35.1" customHeight="1" x14ac:dyDescent="0.25">
      <c r="B331" s="23" t="s">
        <v>407</v>
      </c>
      <c r="C331" s="11" t="s">
        <v>408</v>
      </c>
      <c r="D331" s="10" t="s">
        <v>269</v>
      </c>
      <c r="E331" s="12">
        <v>0</v>
      </c>
      <c r="F331" s="126">
        <v>27913</v>
      </c>
      <c r="G331" s="126">
        <f t="shared" si="48"/>
        <v>0</v>
      </c>
      <c r="H331" s="8"/>
      <c r="I331" s="8">
        <f t="shared" si="50"/>
        <v>28625</v>
      </c>
      <c r="J331" s="8">
        <f t="shared" si="51"/>
        <v>0</v>
      </c>
      <c r="K331" s="9" t="str">
        <f t="array" ref="K331:N331">_xlfn.XLOOKUP(C331,'Neiva 2022 FASE I ACTUAL (5)'!$C$6:$C$540,'Neiva 2022 FASE I ACTUAL (5)'!$C$6:$F$540,"NO ESTA")</f>
        <v xml:space="preserve">SUMINISTRO E INSTALACIÓN TUBERIA PVC-ALC 90 mm                                                                  </v>
      </c>
      <c r="L331" s="9" t="str">
        <v xml:space="preserve">ML   </v>
      </c>
      <c r="M331" s="9">
        <v>30</v>
      </c>
      <c r="N331" s="9">
        <v>27202</v>
      </c>
      <c r="O331" s="124" t="str">
        <f t="shared" si="54"/>
        <v>FASE II</v>
      </c>
      <c r="P331" s="155">
        <f t="shared" si="49"/>
        <v>30</v>
      </c>
      <c r="Q331" s="156">
        <f t="shared" si="52"/>
        <v>28625</v>
      </c>
      <c r="R331" s="156">
        <f t="shared" si="53"/>
        <v>858750</v>
      </c>
    </row>
    <row r="332" spans="2:18" s="9" customFormat="1" ht="35.1" customHeight="1" x14ac:dyDescent="0.25">
      <c r="B332" s="23" t="s">
        <v>409</v>
      </c>
      <c r="C332" s="11" t="s">
        <v>410</v>
      </c>
      <c r="D332" s="10" t="s">
        <v>269</v>
      </c>
      <c r="E332" s="12">
        <v>0</v>
      </c>
      <c r="F332" s="126">
        <v>34303</v>
      </c>
      <c r="G332" s="126">
        <f t="shared" si="48"/>
        <v>0</v>
      </c>
      <c r="H332" s="8"/>
      <c r="I332" s="8">
        <f t="shared" si="50"/>
        <v>35178</v>
      </c>
      <c r="J332" s="8">
        <f t="shared" si="51"/>
        <v>0</v>
      </c>
      <c r="K332" s="9" t="str">
        <f t="array" ref="K332:N332">_xlfn.XLOOKUP(C332,'Neiva 2022 FASE I ACTUAL (5)'!$C$6:$C$540,'Neiva 2022 FASE I ACTUAL (5)'!$C$6:$F$540,"NO ESTA")</f>
        <v xml:space="preserve">SUMINISTRO E INSTALACIÓN TUBERIA PVC-ALC 110 mm                                                                 </v>
      </c>
      <c r="L332" s="9" t="str">
        <v xml:space="preserve">ML   </v>
      </c>
      <c r="M332" s="9">
        <v>15</v>
      </c>
      <c r="N332" s="9">
        <v>33430</v>
      </c>
      <c r="O332" s="124" t="str">
        <f t="shared" si="54"/>
        <v>FASE II</v>
      </c>
      <c r="P332" s="155">
        <f t="shared" si="49"/>
        <v>15</v>
      </c>
      <c r="Q332" s="156">
        <f t="shared" si="52"/>
        <v>35178</v>
      </c>
      <c r="R332" s="156">
        <f t="shared" si="53"/>
        <v>527670</v>
      </c>
    </row>
    <row r="333" spans="2:18" s="9" customFormat="1" ht="35.1" customHeight="1" x14ac:dyDescent="0.25">
      <c r="B333" s="23" t="s">
        <v>411</v>
      </c>
      <c r="C333" s="11" t="s">
        <v>412</v>
      </c>
      <c r="D333" s="10" t="s">
        <v>269</v>
      </c>
      <c r="E333" s="12">
        <v>0</v>
      </c>
      <c r="F333" s="126">
        <v>45798</v>
      </c>
      <c r="G333" s="126">
        <f t="shared" si="48"/>
        <v>0</v>
      </c>
      <c r="H333" s="8"/>
      <c r="I333" s="8">
        <f t="shared" si="50"/>
        <v>46966</v>
      </c>
      <c r="J333" s="8">
        <f t="shared" si="51"/>
        <v>0</v>
      </c>
      <c r="K333" s="9" t="str">
        <f t="array" ref="K333:N333">_xlfn.XLOOKUP(C333,'Neiva 2022 FASE I ACTUAL (5)'!$C$6:$C$540,'Neiva 2022 FASE I ACTUAL (5)'!$C$6:$F$540,"NO ESTA")</f>
        <v xml:space="preserve">SUMINISTRO E INSTALACIÓN TUBERIA PVC-ALC 160 mm                                                                 </v>
      </c>
      <c r="L333" s="9" t="str">
        <v xml:space="preserve">ML   </v>
      </c>
      <c r="M333" s="9">
        <v>70</v>
      </c>
      <c r="N333" s="9">
        <v>44632</v>
      </c>
      <c r="O333" s="124" t="str">
        <f t="shared" si="54"/>
        <v>FASE II</v>
      </c>
      <c r="P333" s="155">
        <f t="shared" si="49"/>
        <v>70</v>
      </c>
      <c r="Q333" s="156">
        <f t="shared" si="52"/>
        <v>46966</v>
      </c>
      <c r="R333" s="156">
        <f t="shared" si="53"/>
        <v>3287620</v>
      </c>
    </row>
    <row r="334" spans="2:18" s="9" customFormat="1" ht="35.1" customHeight="1" x14ac:dyDescent="0.25">
      <c r="B334" s="23" t="s">
        <v>413</v>
      </c>
      <c r="C334" s="11" t="s">
        <v>414</v>
      </c>
      <c r="D334" s="10" t="s">
        <v>269</v>
      </c>
      <c r="E334" s="12">
        <v>0</v>
      </c>
      <c r="F334" s="126">
        <v>79901</v>
      </c>
      <c r="G334" s="126">
        <f t="shared" si="48"/>
        <v>0</v>
      </c>
      <c r="H334" s="8"/>
      <c r="I334" s="8">
        <f t="shared" si="50"/>
        <v>81938</v>
      </c>
      <c r="J334" s="8">
        <f t="shared" si="51"/>
        <v>0</v>
      </c>
      <c r="K334" s="9" t="str">
        <f t="array" ref="K334:N334">_xlfn.XLOOKUP(C334,'Neiva 2022 FASE I ACTUAL (5)'!$C$6:$C$540,'Neiva 2022 FASE I ACTUAL (5)'!$C$6:$F$540,"NO ESTA")</f>
        <v xml:space="preserve">SUMINISTRO E INSTALACIÓN TUBERIA PVC-ALC 250mm                                                                   </v>
      </c>
      <c r="L334" s="9" t="str">
        <v xml:space="preserve">ML   </v>
      </c>
      <c r="M334" s="9">
        <v>20</v>
      </c>
      <c r="N334" s="9">
        <v>77866</v>
      </c>
      <c r="O334" s="124" t="str">
        <f t="shared" si="54"/>
        <v>FASE II</v>
      </c>
      <c r="P334" s="155">
        <f t="shared" si="49"/>
        <v>20</v>
      </c>
      <c r="Q334" s="156">
        <f t="shared" si="52"/>
        <v>81938</v>
      </c>
      <c r="R334" s="156">
        <f t="shared" si="53"/>
        <v>1638760</v>
      </c>
    </row>
    <row r="335" spans="2:18" s="9" customFormat="1" ht="35.1" customHeight="1" x14ac:dyDescent="0.25">
      <c r="B335" s="23" t="s">
        <v>415</v>
      </c>
      <c r="C335" s="11" t="s">
        <v>358</v>
      </c>
      <c r="D335" s="10" t="s">
        <v>284</v>
      </c>
      <c r="E335" s="12">
        <v>0</v>
      </c>
      <c r="F335" s="126">
        <v>542308</v>
      </c>
      <c r="G335" s="126">
        <f t="shared" si="48"/>
        <v>0</v>
      </c>
      <c r="H335" s="8"/>
      <c r="I335" s="8">
        <f t="shared" si="50"/>
        <v>556137</v>
      </c>
      <c r="J335" s="8">
        <f t="shared" si="51"/>
        <v>0</v>
      </c>
      <c r="K335" s="9" t="str">
        <f t="array" ref="K335:N335">_xlfn.XLOOKUP(C335,'Neiva 2022 FASE I ACTUAL (5)'!$C$6:$C$540,'Neiva 2022 FASE I ACTUAL (5)'!$C$6:$F$540,"NO ESTA")</f>
        <v xml:space="preserve">SUMINISTRO Y CONSTRUCCIÓN CAJA DE INSPECCIÓN 0.80mX0.80m H mäx:1.0m                                                                    </v>
      </c>
      <c r="L335" s="9" t="str">
        <v xml:space="preserve">UN   </v>
      </c>
      <c r="M335" s="9">
        <v>1</v>
      </c>
      <c r="N335" s="9">
        <v>528504</v>
      </c>
      <c r="O335" s="124" t="str">
        <f t="shared" si="54"/>
        <v>FASE II</v>
      </c>
      <c r="P335" s="155">
        <f t="shared" si="49"/>
        <v>1</v>
      </c>
      <c r="Q335" s="156">
        <f t="shared" si="52"/>
        <v>556137</v>
      </c>
      <c r="R335" s="156">
        <f t="shared" si="53"/>
        <v>556137</v>
      </c>
    </row>
    <row r="336" spans="2:18" s="9" customFormat="1" ht="35.1" customHeight="1" x14ac:dyDescent="0.25">
      <c r="B336" s="47" t="s">
        <v>416</v>
      </c>
      <c r="C336" s="24" t="s">
        <v>417</v>
      </c>
      <c r="D336" s="24" t="s">
        <v>369</v>
      </c>
      <c r="E336" s="15"/>
      <c r="F336" s="126">
        <v>0</v>
      </c>
      <c r="G336" s="126">
        <f t="shared" si="48"/>
        <v>0</v>
      </c>
      <c r="H336" s="8"/>
      <c r="I336" s="8">
        <f t="shared" si="50"/>
        <v>0</v>
      </c>
      <c r="J336" s="8">
        <f t="shared" si="51"/>
        <v>0</v>
      </c>
      <c r="K336" s="9" t="str">
        <f t="array" ref="K336:N336">_xlfn.XLOOKUP(C336,'Neiva 2022 FASE I ACTUAL (5)'!$C$6:$C$540,'Neiva 2022 FASE I ACTUAL (5)'!$C$6:$F$540,"NO ESTA")</f>
        <v xml:space="preserve">EXCAVACIONES Y RELLENOS                                                                                       </v>
      </c>
      <c r="L336" s="9">
        <v>0</v>
      </c>
      <c r="M336" s="9">
        <v>0</v>
      </c>
      <c r="N336" s="9">
        <v>0</v>
      </c>
      <c r="O336" s="124">
        <f t="shared" si="54"/>
        <v>0</v>
      </c>
      <c r="P336" s="155">
        <f t="shared" si="49"/>
        <v>0</v>
      </c>
      <c r="Q336" s="156">
        <f t="shared" si="52"/>
        <v>0</v>
      </c>
      <c r="R336" s="156">
        <f t="shared" si="53"/>
        <v>0</v>
      </c>
    </row>
    <row r="337" spans="2:18" s="9" customFormat="1" ht="35.1" customHeight="1" x14ac:dyDescent="0.25">
      <c r="B337" s="10" t="s">
        <v>418</v>
      </c>
      <c r="C337" s="11" t="s">
        <v>1222</v>
      </c>
      <c r="D337" s="10" t="s">
        <v>420</v>
      </c>
      <c r="E337" s="12">
        <v>0</v>
      </c>
      <c r="F337" s="126">
        <v>39971</v>
      </c>
      <c r="G337" s="126">
        <f t="shared" si="48"/>
        <v>0</v>
      </c>
      <c r="H337" s="8"/>
      <c r="I337" s="8">
        <f t="shared" si="50"/>
        <v>40990</v>
      </c>
      <c r="J337" s="8">
        <f t="shared" si="51"/>
        <v>0</v>
      </c>
      <c r="K337" s="9" t="str">
        <f t="array" ref="K337">_xlfn.XLOOKUP(C337,'Neiva 2022 FASE I ACTUAL (5)'!$C$6:$C$540,'Neiva 2022 FASE I ACTUAL (5)'!$C$6:$F$540,"NO ESTA")</f>
        <v>NO ESTA</v>
      </c>
      <c r="O337" s="124">
        <f t="shared" si="54"/>
        <v>0</v>
      </c>
      <c r="P337" s="155">
        <f t="shared" si="49"/>
        <v>0</v>
      </c>
      <c r="Q337" s="156">
        <f t="shared" si="52"/>
        <v>40990</v>
      </c>
      <c r="R337" s="156">
        <f t="shared" si="53"/>
        <v>0</v>
      </c>
    </row>
    <row r="338" spans="2:18" s="9" customFormat="1" ht="35.1" customHeight="1" x14ac:dyDescent="0.25">
      <c r="B338" s="10" t="s">
        <v>421</v>
      </c>
      <c r="C338" s="11" t="s">
        <v>422</v>
      </c>
      <c r="D338" s="10" t="s">
        <v>420</v>
      </c>
      <c r="E338" s="12">
        <v>0</v>
      </c>
      <c r="F338" s="126">
        <v>75587</v>
      </c>
      <c r="G338" s="126">
        <f t="shared" si="48"/>
        <v>0</v>
      </c>
      <c r="H338" s="8"/>
      <c r="I338" s="8">
        <f t="shared" si="50"/>
        <v>77514</v>
      </c>
      <c r="J338" s="8">
        <f t="shared" si="51"/>
        <v>0</v>
      </c>
      <c r="K338" s="9" t="str">
        <f t="array" ref="K338:N338">_xlfn.XLOOKUP(C338,'Neiva 2022 FASE I ACTUAL (5)'!$C$6:$C$540,'Neiva 2022 FASE I ACTUAL (5)'!$C$6:$F$540,"NO ESTA")</f>
        <v xml:space="preserve">RELLENO EN ARENA INCLUYE TRANSPORTE Y COLOCACIÓN       </v>
      </c>
      <c r="L338" s="9" t="str">
        <v xml:space="preserve">M3   </v>
      </c>
      <c r="M338" s="9">
        <v>28</v>
      </c>
      <c r="N338" s="9">
        <v>73664</v>
      </c>
      <c r="O338" s="124" t="str">
        <f t="shared" si="54"/>
        <v>FASE II</v>
      </c>
      <c r="P338" s="155">
        <f t="shared" si="49"/>
        <v>28</v>
      </c>
      <c r="Q338" s="156">
        <f t="shared" si="52"/>
        <v>77514</v>
      </c>
      <c r="R338" s="156">
        <f t="shared" si="53"/>
        <v>2170392</v>
      </c>
    </row>
    <row r="339" spans="2:18" s="9" customFormat="1" ht="35.1" customHeight="1" x14ac:dyDescent="0.25">
      <c r="B339" s="10" t="s">
        <v>423</v>
      </c>
      <c r="C339" s="11" t="s">
        <v>36</v>
      </c>
      <c r="D339" s="10" t="s">
        <v>420</v>
      </c>
      <c r="E339" s="12">
        <v>0</v>
      </c>
      <c r="F339" s="126">
        <v>62932</v>
      </c>
      <c r="G339" s="126">
        <f t="shared" si="48"/>
        <v>0</v>
      </c>
      <c r="H339" s="8"/>
      <c r="I339" s="8">
        <f t="shared" si="50"/>
        <v>64537</v>
      </c>
      <c r="J339" s="8">
        <f t="shared" si="51"/>
        <v>0</v>
      </c>
      <c r="K339" s="9" t="str">
        <f t="array" ref="K339:N339">_xlfn.XLOOKUP(C339,'Neiva 2022 FASE I ACTUAL (5)'!$C$6:$C$540,'Neiva 2022 FASE I ACTUAL (5)'!$C$6:$F$540,"NO ESTA")</f>
        <v>RELLENO EN RECEBO COMÚN (Incluye Compactación)</v>
      </c>
      <c r="L339" s="9" t="str">
        <v>M3</v>
      </c>
      <c r="M339" s="9">
        <v>122.54</v>
      </c>
      <c r="N339" s="9">
        <v>61330</v>
      </c>
      <c r="O339" s="124" t="str">
        <f t="shared" si="54"/>
        <v>FASE II</v>
      </c>
      <c r="P339" s="155">
        <f t="shared" si="49"/>
        <v>122.54</v>
      </c>
      <c r="Q339" s="156">
        <f t="shared" si="52"/>
        <v>64537</v>
      </c>
      <c r="R339" s="156">
        <f t="shared" si="53"/>
        <v>7908363.9800000004</v>
      </c>
    </row>
    <row r="340" spans="2:18" s="9" customFormat="1" ht="35.1" customHeight="1" x14ac:dyDescent="0.25">
      <c r="B340" s="10" t="s">
        <v>424</v>
      </c>
      <c r="C340" s="11" t="s">
        <v>425</v>
      </c>
      <c r="D340" s="10" t="s">
        <v>420</v>
      </c>
      <c r="E340" s="12">
        <v>0</v>
      </c>
      <c r="F340" s="126">
        <v>12500</v>
      </c>
      <c r="G340" s="126">
        <f t="shared" si="48"/>
        <v>0</v>
      </c>
      <c r="H340" s="8"/>
      <c r="I340" s="8">
        <f t="shared" si="50"/>
        <v>12819</v>
      </c>
      <c r="J340" s="8">
        <f t="shared" si="51"/>
        <v>0</v>
      </c>
      <c r="K340" s="9" t="str">
        <f t="array" ref="K340:N340">_xlfn.XLOOKUP(C340,'Neiva 2022 FASE I ACTUAL (5)'!$C$6:$C$540,'Neiva 2022 FASE I ACTUAL (5)'!$C$6:$F$540,"NO ESTA")</f>
        <v>RELLENO EN MATERIAL COMÚN SELECCIONADO DE OBRA (Incluye Compactación)</v>
      </c>
      <c r="L340" s="9" t="str">
        <v xml:space="preserve">M3   </v>
      </c>
      <c r="M340" s="9">
        <v>37</v>
      </c>
      <c r="N340" s="9">
        <v>12182</v>
      </c>
      <c r="O340" s="124" t="str">
        <f t="shared" si="54"/>
        <v>FASE II</v>
      </c>
      <c r="P340" s="155">
        <f t="shared" si="49"/>
        <v>37</v>
      </c>
      <c r="Q340" s="156">
        <f t="shared" si="52"/>
        <v>12819</v>
      </c>
      <c r="R340" s="156">
        <f t="shared" si="53"/>
        <v>474303</v>
      </c>
    </row>
    <row r="341" spans="2:18" s="9" customFormat="1" ht="35.1" customHeight="1" x14ac:dyDescent="0.25">
      <c r="B341" s="47" t="s">
        <v>426</v>
      </c>
      <c r="C341" s="24" t="s">
        <v>427</v>
      </c>
      <c r="D341" s="24" t="s">
        <v>369</v>
      </c>
      <c r="E341" s="15"/>
      <c r="F341" s="126">
        <v>0</v>
      </c>
      <c r="G341" s="126">
        <f t="shared" si="48"/>
        <v>0</v>
      </c>
      <c r="H341" s="8"/>
      <c r="I341" s="8">
        <f t="shared" si="50"/>
        <v>0</v>
      </c>
      <c r="J341" s="8">
        <f t="shared" si="51"/>
        <v>0</v>
      </c>
      <c r="K341" s="9" t="str">
        <f t="array" ref="K341:N341">_xlfn.XLOOKUP(C341,'Neiva 2022 FASE I ACTUAL (5)'!$C$6:$C$540,'Neiva 2022 FASE I ACTUAL (5)'!$C$6:$F$540,"NO ESTA")</f>
        <v xml:space="preserve">SUMINISTRO E INSTALACION DE EQUIPOS DE BOMBEO                                                                                             </v>
      </c>
      <c r="L341" s="9">
        <v>0</v>
      </c>
      <c r="M341" s="9">
        <v>0</v>
      </c>
      <c r="N341" s="9">
        <v>0</v>
      </c>
      <c r="O341" s="124">
        <f t="shared" si="54"/>
        <v>0</v>
      </c>
      <c r="P341" s="155">
        <f t="shared" si="49"/>
        <v>0</v>
      </c>
      <c r="Q341" s="156">
        <f t="shared" si="52"/>
        <v>0</v>
      </c>
      <c r="R341" s="156">
        <f t="shared" si="53"/>
        <v>0</v>
      </c>
    </row>
    <row r="342" spans="2:18" s="9" customFormat="1" ht="35.1" customHeight="1" x14ac:dyDescent="0.25">
      <c r="B342" s="10" t="s">
        <v>428</v>
      </c>
      <c r="C342" s="11" t="s">
        <v>1223</v>
      </c>
      <c r="D342" s="10" t="s">
        <v>374</v>
      </c>
      <c r="E342" s="12">
        <v>0</v>
      </c>
      <c r="F342" s="126">
        <v>34968236</v>
      </c>
      <c r="G342" s="126">
        <f t="shared" si="48"/>
        <v>0</v>
      </c>
      <c r="H342" s="8"/>
      <c r="I342" s="8">
        <f t="shared" si="50"/>
        <v>35859926</v>
      </c>
      <c r="J342" s="8">
        <f t="shared" si="51"/>
        <v>0</v>
      </c>
      <c r="K342" s="9" t="str">
        <f t="array" ref="K342">_xlfn.XLOOKUP(C342,'Neiva 2022 FASE I ACTUAL (5)'!$C$6:$C$540,'Neiva 2022 FASE I ACTUAL (5)'!$C$6:$F$540,"NO ESTA")</f>
        <v>NO ESTA</v>
      </c>
      <c r="O342" s="124">
        <f t="shared" si="54"/>
        <v>0</v>
      </c>
      <c r="P342" s="155">
        <f t="shared" si="49"/>
        <v>0</v>
      </c>
      <c r="Q342" s="156">
        <f t="shared" si="52"/>
        <v>35859926</v>
      </c>
      <c r="R342" s="156">
        <f t="shared" si="53"/>
        <v>0</v>
      </c>
    </row>
    <row r="343" spans="2:18" s="9" customFormat="1" ht="35.1" customHeight="1" x14ac:dyDescent="0.25">
      <c r="B343" s="10" t="s">
        <v>430</v>
      </c>
      <c r="C343" s="11" t="s">
        <v>1224</v>
      </c>
      <c r="D343" s="10" t="s">
        <v>374</v>
      </c>
      <c r="E343" s="12">
        <v>0</v>
      </c>
      <c r="F343" s="126">
        <v>95772561</v>
      </c>
      <c r="G343" s="126">
        <f t="shared" si="48"/>
        <v>0</v>
      </c>
      <c r="H343" s="8"/>
      <c r="I343" s="8">
        <f t="shared" si="50"/>
        <v>98214761</v>
      </c>
      <c r="J343" s="8">
        <f t="shared" si="51"/>
        <v>0</v>
      </c>
      <c r="K343" s="9" t="str">
        <f t="array" ref="K343">_xlfn.XLOOKUP(C343,'Neiva 2022 FASE I ACTUAL (5)'!$C$6:$C$540,'Neiva 2022 FASE I ACTUAL (5)'!$C$6:$F$540,"NO ESTA")</f>
        <v>NO ESTA</v>
      </c>
      <c r="O343" s="124">
        <f t="shared" si="54"/>
        <v>0</v>
      </c>
      <c r="P343" s="155">
        <f t="shared" si="49"/>
        <v>0</v>
      </c>
      <c r="Q343" s="156">
        <f t="shared" si="52"/>
        <v>98214761</v>
      </c>
      <c r="R343" s="156">
        <f t="shared" si="53"/>
        <v>0</v>
      </c>
    </row>
    <row r="344" spans="2:18" s="9" customFormat="1" ht="35.1" customHeight="1" x14ac:dyDescent="0.25">
      <c r="B344" s="23" t="s">
        <v>432</v>
      </c>
      <c r="C344" s="11" t="s">
        <v>433</v>
      </c>
      <c r="D344" s="10" t="s">
        <v>374</v>
      </c>
      <c r="E344" s="12">
        <v>0</v>
      </c>
      <c r="F344" s="126">
        <v>14095722</v>
      </c>
      <c r="G344" s="126">
        <f t="shared" si="48"/>
        <v>0</v>
      </c>
      <c r="H344" s="8"/>
      <c r="I344" s="8">
        <f t="shared" si="50"/>
        <v>14455163</v>
      </c>
      <c r="J344" s="8">
        <f t="shared" si="51"/>
        <v>0</v>
      </c>
      <c r="K344" s="9" t="str">
        <f t="array" ref="K344:N344">_xlfn.XLOOKUP(C344,'Neiva 2022 FASE I ACTUAL (5)'!$C$6:$C$540,'Neiva 2022 FASE I ACTUAL (5)'!$C$6:$F$540,"NO ESTA")</f>
        <v xml:space="preserve">SUMINISTRO E INSTALACIÓN DE EQUIPO EYECTOR 2 BOMBAS 3HP C/U </v>
      </c>
      <c r="L344" s="9" t="str">
        <v>UN</v>
      </c>
      <c r="M344" s="9">
        <v>1</v>
      </c>
      <c r="N344" s="9">
        <v>13736935</v>
      </c>
      <c r="O344" s="124" t="str">
        <f t="shared" si="54"/>
        <v>FASE II</v>
      </c>
      <c r="P344" s="155">
        <f t="shared" si="49"/>
        <v>1</v>
      </c>
      <c r="Q344" s="156">
        <f t="shared" si="52"/>
        <v>14455163</v>
      </c>
      <c r="R344" s="156">
        <f t="shared" si="53"/>
        <v>14455163</v>
      </c>
    </row>
    <row r="345" spans="2:18" s="9" customFormat="1" ht="35.1" customHeight="1" x14ac:dyDescent="0.25">
      <c r="B345" s="16">
        <v>13</v>
      </c>
      <c r="C345" s="17" t="s">
        <v>434</v>
      </c>
      <c r="D345" s="17"/>
      <c r="E345" s="18"/>
      <c r="F345" s="133"/>
      <c r="G345" s="143"/>
      <c r="H345" s="8"/>
      <c r="I345" s="8">
        <f t="shared" si="50"/>
        <v>0</v>
      </c>
      <c r="J345" s="8">
        <f t="shared" si="51"/>
        <v>0</v>
      </c>
      <c r="K345" s="9" t="str">
        <f t="array" ref="K345:N345">_xlfn.XLOOKUP(C345,'Neiva 2022 FASE I ACTUAL (5)'!$C$6:$C$540,'Neiva 2022 FASE I ACTUAL (5)'!$C$6:$F$540,"NO ESTA")</f>
        <v xml:space="preserve">RED DE PROTECCION CONTRA INCENDIO </v>
      </c>
      <c r="L345" s="9">
        <v>0</v>
      </c>
      <c r="M345" s="9">
        <v>0</v>
      </c>
      <c r="N345" s="9">
        <v>0</v>
      </c>
      <c r="O345" s="124">
        <f t="shared" si="54"/>
        <v>0</v>
      </c>
      <c r="P345" s="155">
        <f t="shared" si="49"/>
        <v>0</v>
      </c>
      <c r="Q345" s="156">
        <f t="shared" si="52"/>
        <v>0</v>
      </c>
      <c r="R345" s="156">
        <f t="shared" si="53"/>
        <v>0</v>
      </c>
    </row>
    <row r="346" spans="2:18" s="9" customFormat="1" ht="35.1" customHeight="1" x14ac:dyDescent="0.25">
      <c r="B346" s="50" t="s">
        <v>435</v>
      </c>
      <c r="C346" s="51" t="s">
        <v>436</v>
      </c>
      <c r="D346" s="51"/>
      <c r="E346" s="52"/>
      <c r="F346" s="129"/>
      <c r="G346" s="140"/>
      <c r="H346" s="8"/>
      <c r="I346" s="8">
        <f t="shared" si="50"/>
        <v>0</v>
      </c>
      <c r="J346" s="8">
        <f t="shared" si="51"/>
        <v>0</v>
      </c>
      <c r="K346" s="9" t="str">
        <f t="array" ref="K346:N346">_xlfn.XLOOKUP(C346,'Neiva 2022 FASE I ACTUAL (5)'!$C$6:$C$540,'Neiva 2022 FASE I ACTUAL (5)'!$C$6:$F$540,"NO ESTA")</f>
        <v>SUMINISTRO E INSTALACIÓN RED DE ACERO NEGRO SCH 40</v>
      </c>
      <c r="L346" s="9">
        <v>0</v>
      </c>
      <c r="M346" s="9">
        <v>0</v>
      </c>
      <c r="N346" s="9">
        <v>0</v>
      </c>
      <c r="O346" s="124">
        <f t="shared" si="54"/>
        <v>0</v>
      </c>
      <c r="P346" s="155">
        <f t="shared" si="49"/>
        <v>0</v>
      </c>
      <c r="Q346" s="156">
        <f t="shared" si="52"/>
        <v>0</v>
      </c>
      <c r="R346" s="156">
        <f t="shared" si="53"/>
        <v>0</v>
      </c>
    </row>
    <row r="347" spans="2:18" s="9" customFormat="1" ht="35.1" customHeight="1" x14ac:dyDescent="0.25">
      <c r="B347" s="23" t="s">
        <v>437</v>
      </c>
      <c r="C347" s="22" t="s">
        <v>438</v>
      </c>
      <c r="D347" s="23" t="s">
        <v>269</v>
      </c>
      <c r="E347" s="12">
        <v>694</v>
      </c>
      <c r="F347" s="126">
        <v>24331</v>
      </c>
      <c r="G347" s="126">
        <f t="shared" ref="G347:G359" si="55">ROUND(+F347*E347,2)</f>
        <v>16885714</v>
      </c>
      <c r="H347" s="8">
        <f>ROUND(F347*(1+$H$3),0)</f>
        <v>47514</v>
      </c>
      <c r="I347" s="8">
        <f t="shared" si="50"/>
        <v>24951</v>
      </c>
      <c r="J347" s="8">
        <f t="shared" si="51"/>
        <v>17315994</v>
      </c>
      <c r="K347" s="9" t="str">
        <f t="array" ref="K347:N347">_xlfn.XLOOKUP(C347,'Neiva 2022 FASE I ACTUAL (5)'!$C$6:$C$540,'Neiva 2022 FASE I ACTUAL (5)'!$C$6:$F$540,"NO ESTA")</f>
        <v xml:space="preserve">SUMINISTRO E INSTALACIÓN TUBERIA ACERO 1" SCH 40 INCLUYE. SOPORTES Y ADITAMENTOS                                 </v>
      </c>
      <c r="L347" s="9" t="str">
        <v xml:space="preserve">ML   </v>
      </c>
      <c r="M347" s="9">
        <v>257</v>
      </c>
      <c r="N347" s="9">
        <v>23711</v>
      </c>
      <c r="O347" s="124" t="str">
        <f t="shared" si="54"/>
        <v>FASE II</v>
      </c>
      <c r="P347" s="155">
        <f t="shared" si="49"/>
        <v>951</v>
      </c>
      <c r="Q347" s="156">
        <f t="shared" si="52"/>
        <v>24951</v>
      </c>
      <c r="R347" s="156">
        <f t="shared" si="53"/>
        <v>23728401</v>
      </c>
    </row>
    <row r="348" spans="2:18" s="9" customFormat="1" ht="35.1" customHeight="1" x14ac:dyDescent="0.25">
      <c r="B348" s="23" t="s">
        <v>439</v>
      </c>
      <c r="C348" s="22" t="s">
        <v>440</v>
      </c>
      <c r="D348" s="23" t="s">
        <v>269</v>
      </c>
      <c r="E348" s="12">
        <v>350</v>
      </c>
      <c r="F348" s="126">
        <v>52113</v>
      </c>
      <c r="G348" s="126">
        <f t="shared" si="55"/>
        <v>18239550</v>
      </c>
      <c r="H348" s="8">
        <f t="shared" ref="H348:H357" si="56">ROUND(F348*(1+$H$3),0)</f>
        <v>101766</v>
      </c>
      <c r="I348" s="8">
        <f t="shared" si="50"/>
        <v>53442</v>
      </c>
      <c r="J348" s="8">
        <f t="shared" si="51"/>
        <v>18704700</v>
      </c>
      <c r="K348" s="9" t="str">
        <f t="array" ref="K348:N348">_xlfn.XLOOKUP(C348,'Neiva 2022 FASE I ACTUAL (5)'!$C$6:$C$540,'Neiva 2022 FASE I ACTUAL (5)'!$C$6:$F$540,"NO ESTA")</f>
        <v xml:space="preserve">SUMINISTRO E INSTALACIÓN TUBERIA ACERO 2" SCH 40 INCLUYE. SOPORTES Y ADITAMENTOS                                 </v>
      </c>
      <c r="L348" s="9" t="str">
        <v xml:space="preserve">ML   </v>
      </c>
      <c r="M348" s="9">
        <v>129</v>
      </c>
      <c r="N348" s="9">
        <v>50786</v>
      </c>
      <c r="O348" s="124" t="str">
        <f t="shared" si="54"/>
        <v>FASE II</v>
      </c>
      <c r="P348" s="155">
        <f t="shared" si="49"/>
        <v>479</v>
      </c>
      <c r="Q348" s="156">
        <f t="shared" si="52"/>
        <v>53442</v>
      </c>
      <c r="R348" s="156">
        <f t="shared" si="53"/>
        <v>25598718</v>
      </c>
    </row>
    <row r="349" spans="2:18" s="9" customFormat="1" ht="35.1" customHeight="1" x14ac:dyDescent="0.25">
      <c r="B349" s="23" t="s">
        <v>441</v>
      </c>
      <c r="C349" s="22" t="s">
        <v>442</v>
      </c>
      <c r="D349" s="23" t="s">
        <v>269</v>
      </c>
      <c r="E349" s="12">
        <v>301</v>
      </c>
      <c r="F349" s="126">
        <v>97096</v>
      </c>
      <c r="G349" s="126">
        <f t="shared" si="55"/>
        <v>29225896</v>
      </c>
      <c r="H349" s="8">
        <f t="shared" si="56"/>
        <v>189609</v>
      </c>
      <c r="I349" s="8">
        <f t="shared" si="50"/>
        <v>99572</v>
      </c>
      <c r="J349" s="8">
        <f t="shared" si="51"/>
        <v>29971172</v>
      </c>
      <c r="K349" s="9" t="str">
        <f t="array" ref="K349:N349">_xlfn.XLOOKUP(C349,'Neiva 2022 FASE I ACTUAL (5)'!$C$6:$C$540,'Neiva 2022 FASE I ACTUAL (5)'!$C$6:$F$540,"NO ESTA")</f>
        <v xml:space="preserve">SUMINISTRO E INSTALACIÓN TUBERIA ACERO 3" SCH 40 INCLUYE. SOPORTES Y ADITAMENTOS                                 </v>
      </c>
      <c r="L349" s="9" t="str">
        <v xml:space="preserve">ML   </v>
      </c>
      <c r="M349" s="9">
        <v>112</v>
      </c>
      <c r="N349" s="9">
        <v>94625</v>
      </c>
      <c r="O349" s="124" t="str">
        <f t="shared" si="54"/>
        <v>FASE II</v>
      </c>
      <c r="P349" s="155">
        <f t="shared" si="49"/>
        <v>413</v>
      </c>
      <c r="Q349" s="156">
        <f t="shared" si="52"/>
        <v>99572</v>
      </c>
      <c r="R349" s="156">
        <f t="shared" si="53"/>
        <v>41123236</v>
      </c>
    </row>
    <row r="350" spans="2:18" s="9" customFormat="1" ht="35.1" customHeight="1" x14ac:dyDescent="0.25">
      <c r="B350" s="23" t="s">
        <v>443</v>
      </c>
      <c r="C350" s="22" t="s">
        <v>444</v>
      </c>
      <c r="D350" s="23" t="s">
        <v>269</v>
      </c>
      <c r="E350" s="12">
        <v>44</v>
      </c>
      <c r="F350" s="126">
        <v>137013</v>
      </c>
      <c r="G350" s="126">
        <f t="shared" si="55"/>
        <v>6028572</v>
      </c>
      <c r="H350" s="8">
        <f t="shared" si="56"/>
        <v>267559</v>
      </c>
      <c r="I350" s="8">
        <f t="shared" si="50"/>
        <v>140507</v>
      </c>
      <c r="J350" s="8">
        <f t="shared" si="51"/>
        <v>6182308</v>
      </c>
      <c r="K350" s="9" t="str">
        <f t="array" ref="K350:N350">_xlfn.XLOOKUP(C350,'Neiva 2022 FASE I ACTUAL (5)'!$C$6:$C$540,'Neiva 2022 FASE I ACTUAL (5)'!$C$6:$F$540,"NO ESTA")</f>
        <v xml:space="preserve">SUMINISTRO E INSTALACIÓN TUBERIA ACERO 4" SCH 40 INCLUYE. SOPORTES Y ADITAMENTOS                                 </v>
      </c>
      <c r="L350" s="9" t="str">
        <v xml:space="preserve">ML   </v>
      </c>
      <c r="M350" s="9">
        <v>16</v>
      </c>
      <c r="N350" s="9">
        <v>133527</v>
      </c>
      <c r="O350" s="124" t="str">
        <f t="shared" si="54"/>
        <v>FASE II</v>
      </c>
      <c r="P350" s="155">
        <f t="shared" si="49"/>
        <v>60</v>
      </c>
      <c r="Q350" s="156">
        <f t="shared" si="52"/>
        <v>140507</v>
      </c>
      <c r="R350" s="156">
        <f t="shared" si="53"/>
        <v>8430420</v>
      </c>
    </row>
    <row r="351" spans="2:18" s="9" customFormat="1" ht="35.1" customHeight="1" x14ac:dyDescent="0.25">
      <c r="B351" s="23" t="s">
        <v>445</v>
      </c>
      <c r="C351" s="22" t="s">
        <v>446</v>
      </c>
      <c r="D351" s="23" t="s">
        <v>284</v>
      </c>
      <c r="E351" s="12">
        <v>256</v>
      </c>
      <c r="F351" s="126">
        <v>8196</v>
      </c>
      <c r="G351" s="126">
        <f t="shared" si="55"/>
        <v>2098176</v>
      </c>
      <c r="H351" s="8">
        <f t="shared" si="56"/>
        <v>16005</v>
      </c>
      <c r="I351" s="8">
        <f t="shared" si="50"/>
        <v>8405</v>
      </c>
      <c r="J351" s="8">
        <f t="shared" si="51"/>
        <v>2151680</v>
      </c>
      <c r="K351" s="9" t="str">
        <f t="array" ref="K351:N351">_xlfn.XLOOKUP(C351,'Neiva 2022 FASE I ACTUAL (5)'!$C$6:$C$540,'Neiva 2022 FASE I ACTUAL (5)'!$C$6:$F$540,"NO ESTA")</f>
        <v xml:space="preserve">SUMINISTRO E INSTALACIÓN ACCESORIOS ACERO NEGRO 1"                                                       </v>
      </c>
      <c r="L351" s="9" t="str">
        <v xml:space="preserve">UN   </v>
      </c>
      <c r="M351" s="9">
        <v>95</v>
      </c>
      <c r="N351" s="9">
        <v>7988</v>
      </c>
      <c r="O351" s="124" t="str">
        <f t="shared" si="54"/>
        <v>FASE II</v>
      </c>
      <c r="P351" s="155">
        <f t="shared" si="49"/>
        <v>351</v>
      </c>
      <c r="Q351" s="156">
        <f t="shared" si="52"/>
        <v>8405</v>
      </c>
      <c r="R351" s="156">
        <f t="shared" si="53"/>
        <v>2950155</v>
      </c>
    </row>
    <row r="352" spans="2:18" s="9" customFormat="1" ht="35.1" customHeight="1" x14ac:dyDescent="0.25">
      <c r="B352" s="23" t="s">
        <v>447</v>
      </c>
      <c r="C352" s="22" t="s">
        <v>448</v>
      </c>
      <c r="D352" s="23" t="s">
        <v>284</v>
      </c>
      <c r="E352" s="12">
        <v>95</v>
      </c>
      <c r="F352" s="126">
        <v>17833</v>
      </c>
      <c r="G352" s="126">
        <f t="shared" si="55"/>
        <v>1694135</v>
      </c>
      <c r="H352" s="8">
        <f t="shared" si="56"/>
        <v>34824</v>
      </c>
      <c r="I352" s="8">
        <f t="shared" si="50"/>
        <v>18288</v>
      </c>
      <c r="J352" s="8">
        <f t="shared" si="51"/>
        <v>1737360</v>
      </c>
      <c r="K352" s="9" t="str">
        <f t="array" ref="K352:N352">_xlfn.XLOOKUP(C352,'Neiva 2022 FASE I ACTUAL (5)'!$C$6:$C$540,'Neiva 2022 FASE I ACTUAL (5)'!$C$6:$F$540,"NO ESTA")</f>
        <v xml:space="preserve">SUMINISTRO E INSTALACIÓN ACCESORIOS ACERO NEGRO 2"                                                       </v>
      </c>
      <c r="L352" s="9" t="str">
        <v xml:space="preserve">UN   </v>
      </c>
      <c r="M352" s="9">
        <v>35</v>
      </c>
      <c r="N352" s="9">
        <v>17379</v>
      </c>
      <c r="O352" s="124" t="str">
        <f t="shared" si="54"/>
        <v>FASE II</v>
      </c>
      <c r="P352" s="155">
        <f t="shared" si="49"/>
        <v>130</v>
      </c>
      <c r="Q352" s="156">
        <f t="shared" si="52"/>
        <v>18288</v>
      </c>
      <c r="R352" s="156">
        <f t="shared" si="53"/>
        <v>2377440</v>
      </c>
    </row>
    <row r="353" spans="2:18" s="9" customFormat="1" ht="35.1" customHeight="1" x14ac:dyDescent="0.25">
      <c r="B353" s="23" t="s">
        <v>449</v>
      </c>
      <c r="C353" s="22" t="s">
        <v>450</v>
      </c>
      <c r="D353" s="23" t="s">
        <v>284</v>
      </c>
      <c r="E353" s="12">
        <v>128</v>
      </c>
      <c r="F353" s="126">
        <v>27612</v>
      </c>
      <c r="G353" s="126">
        <f t="shared" si="55"/>
        <v>3534336</v>
      </c>
      <c r="H353" s="8">
        <f t="shared" si="56"/>
        <v>53921</v>
      </c>
      <c r="I353" s="8">
        <f t="shared" si="50"/>
        <v>28316</v>
      </c>
      <c r="J353" s="8">
        <f t="shared" si="51"/>
        <v>3624448</v>
      </c>
      <c r="K353" s="9" t="str">
        <f t="array" ref="K353:N353">_xlfn.XLOOKUP(C353,'Neiva 2022 FASE I ACTUAL (5)'!$C$6:$C$540,'Neiva 2022 FASE I ACTUAL (5)'!$C$6:$F$540,"NO ESTA")</f>
        <v xml:space="preserve">SUMINISTRO E INSTALACIÓN ACCESORIOS ACERO NEGRO 3"                                                       </v>
      </c>
      <c r="L353" s="9" t="str">
        <v xml:space="preserve">UN   </v>
      </c>
      <c r="M353" s="9">
        <v>48</v>
      </c>
      <c r="N353" s="9">
        <v>26909</v>
      </c>
      <c r="O353" s="124" t="str">
        <f t="shared" si="54"/>
        <v>FASE II</v>
      </c>
      <c r="P353" s="155">
        <f t="shared" si="49"/>
        <v>176</v>
      </c>
      <c r="Q353" s="156">
        <f t="shared" si="52"/>
        <v>28316</v>
      </c>
      <c r="R353" s="156">
        <f t="shared" si="53"/>
        <v>4983616</v>
      </c>
    </row>
    <row r="354" spans="2:18" s="9" customFormat="1" ht="35.1" customHeight="1" x14ac:dyDescent="0.25">
      <c r="B354" s="23" t="s">
        <v>451</v>
      </c>
      <c r="C354" s="22" t="s">
        <v>452</v>
      </c>
      <c r="D354" s="23" t="s">
        <v>284</v>
      </c>
      <c r="E354" s="12">
        <v>19</v>
      </c>
      <c r="F354" s="126">
        <v>43148</v>
      </c>
      <c r="G354" s="126">
        <f t="shared" si="55"/>
        <v>819812</v>
      </c>
      <c r="H354" s="8">
        <f t="shared" si="56"/>
        <v>84259</v>
      </c>
      <c r="I354" s="8">
        <f t="shared" si="50"/>
        <v>44248</v>
      </c>
      <c r="J354" s="8">
        <f t="shared" si="51"/>
        <v>840712</v>
      </c>
      <c r="K354" s="9" t="str">
        <f t="array" ref="K354:N354">_xlfn.XLOOKUP(C354,'Neiva 2022 FASE I ACTUAL (5)'!$C$6:$C$540,'Neiva 2022 FASE I ACTUAL (5)'!$C$6:$F$540,"NO ESTA")</f>
        <v xml:space="preserve">SUMINISTRO E INSTALACIÓN ACCESORIOS ACERO NEGRO 4"                                                       </v>
      </c>
      <c r="L354" s="9" t="str">
        <v xml:space="preserve">UN   </v>
      </c>
      <c r="M354" s="9">
        <v>7</v>
      </c>
      <c r="N354" s="9">
        <v>42049</v>
      </c>
      <c r="O354" s="124" t="str">
        <f t="shared" si="54"/>
        <v>FASE II</v>
      </c>
      <c r="P354" s="155">
        <f t="shared" si="49"/>
        <v>26</v>
      </c>
      <c r="Q354" s="156">
        <f t="shared" si="52"/>
        <v>44248</v>
      </c>
      <c r="R354" s="156">
        <f t="shared" si="53"/>
        <v>1150448</v>
      </c>
    </row>
    <row r="355" spans="2:18" s="9" customFormat="1" ht="35.1" customHeight="1" x14ac:dyDescent="0.25">
      <c r="B355" s="23" t="s">
        <v>453</v>
      </c>
      <c r="C355" s="22" t="s">
        <v>454</v>
      </c>
      <c r="D355" s="23" t="s">
        <v>284</v>
      </c>
      <c r="E355" s="12">
        <v>55</v>
      </c>
      <c r="F355" s="126">
        <v>8320</v>
      </c>
      <c r="G355" s="126">
        <f t="shared" si="55"/>
        <v>457600</v>
      </c>
      <c r="H355" s="8">
        <f t="shared" si="56"/>
        <v>16247</v>
      </c>
      <c r="I355" s="8">
        <f t="shared" si="50"/>
        <v>8532</v>
      </c>
      <c r="J355" s="8">
        <f t="shared" si="51"/>
        <v>469260</v>
      </c>
      <c r="K355" s="9" t="str">
        <f t="array" ref="K355:N355">_xlfn.XLOOKUP(C355,'Neiva 2022 FASE I ACTUAL (5)'!$C$6:$C$540,'Neiva 2022 FASE I ACTUAL (5)'!$C$6:$F$540,"NO ESTA")</f>
        <v xml:space="preserve">SUMINISTRO E INSTALACIÓN ACOPLES HIERRO FUNDIDO DIAMETRO 2"                                                      </v>
      </c>
      <c r="L355" s="9" t="str">
        <v xml:space="preserve">UN   </v>
      </c>
      <c r="M355" s="9">
        <v>21</v>
      </c>
      <c r="N355" s="9">
        <v>8108</v>
      </c>
      <c r="O355" s="124" t="str">
        <f t="shared" si="54"/>
        <v>FASE II</v>
      </c>
      <c r="P355" s="155">
        <f t="shared" si="49"/>
        <v>76</v>
      </c>
      <c r="Q355" s="156">
        <f t="shared" si="52"/>
        <v>8532</v>
      </c>
      <c r="R355" s="156">
        <f t="shared" si="53"/>
        <v>648432</v>
      </c>
    </row>
    <row r="356" spans="2:18" s="9" customFormat="1" ht="35.1" customHeight="1" x14ac:dyDescent="0.25">
      <c r="B356" s="23" t="s">
        <v>455</v>
      </c>
      <c r="C356" s="22" t="s">
        <v>456</v>
      </c>
      <c r="D356" s="23" t="s">
        <v>284</v>
      </c>
      <c r="E356" s="12">
        <v>58</v>
      </c>
      <c r="F356" s="126">
        <v>11043</v>
      </c>
      <c r="G356" s="126">
        <f t="shared" si="55"/>
        <v>640494</v>
      </c>
      <c r="H356" s="8">
        <f t="shared" si="56"/>
        <v>21565</v>
      </c>
      <c r="I356" s="8">
        <f t="shared" si="50"/>
        <v>11325</v>
      </c>
      <c r="J356" s="8">
        <f t="shared" si="51"/>
        <v>656850</v>
      </c>
      <c r="K356" s="9" t="str">
        <f t="array" ref="K356:N356">_xlfn.XLOOKUP(C356,'Neiva 2022 FASE I ACTUAL (5)'!$C$6:$C$540,'Neiva 2022 FASE I ACTUAL (5)'!$C$6:$F$540,"NO ESTA")</f>
        <v xml:space="preserve">SUMINISTRO E INSTALACIÓN ACOPLES HIERRO FUNDIDO DIAMETRO 3"                                                       </v>
      </c>
      <c r="L356" s="9" t="str">
        <v xml:space="preserve">UN   </v>
      </c>
      <c r="M356" s="9">
        <v>22</v>
      </c>
      <c r="N356" s="9">
        <v>10762</v>
      </c>
      <c r="O356" s="124" t="str">
        <f t="shared" si="54"/>
        <v>FASE II</v>
      </c>
      <c r="P356" s="155">
        <f t="shared" si="49"/>
        <v>80</v>
      </c>
      <c r="Q356" s="156">
        <f t="shared" si="52"/>
        <v>11325</v>
      </c>
      <c r="R356" s="156">
        <f t="shared" si="53"/>
        <v>906000</v>
      </c>
    </row>
    <row r="357" spans="2:18" s="9" customFormat="1" ht="35.1" customHeight="1" x14ac:dyDescent="0.25">
      <c r="B357" s="23" t="s">
        <v>457</v>
      </c>
      <c r="C357" s="22" t="s">
        <v>458</v>
      </c>
      <c r="D357" s="23" t="s">
        <v>284</v>
      </c>
      <c r="E357" s="12">
        <v>9</v>
      </c>
      <c r="F357" s="126">
        <v>13663</v>
      </c>
      <c r="G357" s="126">
        <f t="shared" si="55"/>
        <v>122967</v>
      </c>
      <c r="H357" s="8">
        <f t="shared" si="56"/>
        <v>26681</v>
      </c>
      <c r="I357" s="8">
        <f t="shared" si="50"/>
        <v>14011</v>
      </c>
      <c r="J357" s="8">
        <f t="shared" si="51"/>
        <v>126099</v>
      </c>
      <c r="K357" s="9" t="str">
        <f t="array" ref="K357:N357">_xlfn.XLOOKUP(C357,'Neiva 2022 FASE I ACTUAL (5)'!$C$6:$C$540,'Neiva 2022 FASE I ACTUAL (5)'!$C$6:$F$540,"NO ESTA")</f>
        <v xml:space="preserve">SUMINISTRO E INSTALACIÓN ACOPLES HIERRO FUNDIDO DIAMETRO 4"                                                       </v>
      </c>
      <c r="L357" s="9" t="str">
        <v xml:space="preserve">UN   </v>
      </c>
      <c r="M357" s="9">
        <v>3</v>
      </c>
      <c r="N357" s="9">
        <v>13314</v>
      </c>
      <c r="O357" s="124" t="str">
        <f t="shared" si="54"/>
        <v>FASE II</v>
      </c>
      <c r="P357" s="155">
        <f t="shared" si="49"/>
        <v>12</v>
      </c>
      <c r="Q357" s="156">
        <f t="shared" si="52"/>
        <v>14011</v>
      </c>
      <c r="R357" s="156">
        <f t="shared" si="53"/>
        <v>168132</v>
      </c>
    </row>
    <row r="358" spans="2:18" s="9" customFormat="1" ht="35.1" customHeight="1" x14ac:dyDescent="0.25">
      <c r="B358" s="23" t="s">
        <v>459</v>
      </c>
      <c r="C358" s="22" t="s">
        <v>460</v>
      </c>
      <c r="D358" s="23" t="s">
        <v>269</v>
      </c>
      <c r="E358" s="12">
        <v>602</v>
      </c>
      <c r="F358" s="126">
        <v>5888</v>
      </c>
      <c r="G358" s="126">
        <f t="shared" si="55"/>
        <v>3544576</v>
      </c>
      <c r="H358" s="8"/>
      <c r="I358" s="8">
        <f t="shared" si="50"/>
        <v>6038</v>
      </c>
      <c r="J358" s="8">
        <f t="shared" si="51"/>
        <v>3634876</v>
      </c>
      <c r="K358" s="9" t="str">
        <f t="array" ref="K358:N358">_xlfn.XLOOKUP(C358,'Neiva 2022 FASE I ACTUAL (5)'!$C$6:$C$540,'Neiva 2022 FASE I ACTUAL (5)'!$C$6:$F$540,"NO ESTA")</f>
        <v xml:space="preserve">SUMINISTRO Y APLICACIÓN PINTURA RED DE INCENDIO DIAMETRO DE 1" A 2"                                                              </v>
      </c>
      <c r="L358" s="9" t="str">
        <v xml:space="preserve">ML   </v>
      </c>
      <c r="M358" s="9">
        <v>222</v>
      </c>
      <c r="N358" s="9">
        <v>5737</v>
      </c>
      <c r="O358" s="124" t="str">
        <f t="shared" si="54"/>
        <v>FASE II</v>
      </c>
      <c r="P358" s="155">
        <f t="shared" si="49"/>
        <v>824</v>
      </c>
      <c r="Q358" s="156">
        <f t="shared" si="52"/>
        <v>6038</v>
      </c>
      <c r="R358" s="156">
        <f t="shared" si="53"/>
        <v>4975312</v>
      </c>
    </row>
    <row r="359" spans="2:18" s="9" customFormat="1" ht="35.1" customHeight="1" x14ac:dyDescent="0.25">
      <c r="B359" s="23" t="s">
        <v>461</v>
      </c>
      <c r="C359" s="22" t="s">
        <v>462</v>
      </c>
      <c r="D359" s="23" t="s">
        <v>269</v>
      </c>
      <c r="E359" s="12">
        <v>107</v>
      </c>
      <c r="F359" s="126">
        <v>10014</v>
      </c>
      <c r="G359" s="126">
        <f t="shared" si="55"/>
        <v>1071498</v>
      </c>
      <c r="H359" s="8"/>
      <c r="I359" s="8">
        <f t="shared" si="50"/>
        <v>10269</v>
      </c>
      <c r="J359" s="8">
        <f t="shared" si="51"/>
        <v>1098783</v>
      </c>
      <c r="K359" s="9" t="str">
        <f t="array" ref="K359:N359">_xlfn.XLOOKUP(C359,'Neiva 2022 FASE I ACTUAL (5)'!$C$6:$C$540,'Neiva 2022 FASE I ACTUAL (5)'!$C$6:$F$540,"NO ESTA")</f>
        <v xml:space="preserve">SUMINISTRO Y APLICACIÓN PINTURA RED DE INCENDIO DIAMETRO DE  2 1/2" A 4"                                                          </v>
      </c>
      <c r="L359" s="9" t="str">
        <v xml:space="preserve">ML   </v>
      </c>
      <c r="M359" s="9">
        <v>40</v>
      </c>
      <c r="N359" s="9">
        <v>9760</v>
      </c>
      <c r="O359" s="124" t="str">
        <f t="shared" si="54"/>
        <v>FASE II</v>
      </c>
      <c r="P359" s="155">
        <f t="shared" si="49"/>
        <v>147</v>
      </c>
      <c r="Q359" s="156">
        <f t="shared" si="52"/>
        <v>10269</v>
      </c>
      <c r="R359" s="156">
        <f t="shared" si="53"/>
        <v>1509543</v>
      </c>
    </row>
    <row r="360" spans="2:18" s="9" customFormat="1" ht="35.1" customHeight="1" x14ac:dyDescent="0.25">
      <c r="B360" s="50" t="s">
        <v>463</v>
      </c>
      <c r="C360" s="51" t="s">
        <v>464</v>
      </c>
      <c r="D360" s="51"/>
      <c r="E360" s="52"/>
      <c r="F360" s="129"/>
      <c r="G360" s="140"/>
      <c r="H360" s="8"/>
      <c r="I360" s="8">
        <f t="shared" si="50"/>
        <v>0</v>
      </c>
      <c r="J360" s="8">
        <f t="shared" si="51"/>
        <v>0</v>
      </c>
      <c r="K360" s="9" t="str">
        <f t="array" ref="K360:N360">_xlfn.XLOOKUP(C360,'Neiva 2022 FASE I ACTUAL (5)'!$C$6:$C$540,'Neiva 2022 FASE I ACTUAL (5)'!$C$6:$F$540,"NO ESTA")</f>
        <v>SUMINISTRO E INSTALACION ELEMENTOS RED CONTRA INCENDIO</v>
      </c>
      <c r="L360" s="9">
        <v>0</v>
      </c>
      <c r="M360" s="9">
        <v>0</v>
      </c>
      <c r="N360" s="9">
        <v>0</v>
      </c>
      <c r="O360" s="124">
        <f t="shared" si="54"/>
        <v>0</v>
      </c>
      <c r="P360" s="155">
        <f t="shared" si="49"/>
        <v>0</v>
      </c>
      <c r="Q360" s="156">
        <f t="shared" si="52"/>
        <v>0</v>
      </c>
      <c r="R360" s="156">
        <f t="shared" si="53"/>
        <v>0</v>
      </c>
    </row>
    <row r="361" spans="2:18" s="9" customFormat="1" ht="35.1" customHeight="1" x14ac:dyDescent="0.25">
      <c r="B361" s="23" t="s">
        <v>465</v>
      </c>
      <c r="C361" s="22" t="s">
        <v>466</v>
      </c>
      <c r="D361" s="23" t="s">
        <v>284</v>
      </c>
      <c r="E361" s="12">
        <v>276</v>
      </c>
      <c r="F361" s="126">
        <v>59366</v>
      </c>
      <c r="G361" s="126">
        <f t="shared" ref="G361:G375" si="57">ROUND(+F361*E361,2)</f>
        <v>16385016</v>
      </c>
      <c r="H361" s="8"/>
      <c r="I361" s="8">
        <f t="shared" si="50"/>
        <v>60880</v>
      </c>
      <c r="J361" s="8">
        <f t="shared" si="51"/>
        <v>16802880</v>
      </c>
      <c r="K361" s="9" t="str">
        <f t="array" ref="K361:N361">_xlfn.XLOOKUP(C361,'Neiva 2022 FASE I ACTUAL (5)'!$C$6:$C$540,'Neiva 2022 FASE I ACTUAL (5)'!$C$6:$F$540,"NO ESTA")</f>
        <v xml:space="preserve">SUMINISTRO E INSTALACIÓN ROCIADOR PENDENT K:5.6                                                          </v>
      </c>
      <c r="L361" s="9" t="str">
        <v xml:space="preserve">UN   </v>
      </c>
      <c r="M361" s="9">
        <v>102</v>
      </c>
      <c r="N361" s="9">
        <v>57855</v>
      </c>
      <c r="O361" s="124" t="str">
        <f t="shared" si="54"/>
        <v>FASE II</v>
      </c>
      <c r="P361" s="155">
        <f t="shared" si="49"/>
        <v>378</v>
      </c>
      <c r="Q361" s="156">
        <f t="shared" si="52"/>
        <v>60880</v>
      </c>
      <c r="R361" s="156">
        <f t="shared" si="53"/>
        <v>23012640</v>
      </c>
    </row>
    <row r="362" spans="2:18" s="9" customFormat="1" ht="35.1" customHeight="1" x14ac:dyDescent="0.25">
      <c r="B362" s="23" t="s">
        <v>467</v>
      </c>
      <c r="C362" s="22" t="s">
        <v>468</v>
      </c>
      <c r="D362" s="23" t="s">
        <v>284</v>
      </c>
      <c r="E362" s="12">
        <v>38</v>
      </c>
      <c r="F362" s="126">
        <v>38899</v>
      </c>
      <c r="G362" s="126">
        <f t="shared" si="57"/>
        <v>1478162</v>
      </c>
      <c r="H362" s="8"/>
      <c r="I362" s="8">
        <f t="shared" si="50"/>
        <v>39891</v>
      </c>
      <c r="J362" s="8">
        <f t="shared" si="51"/>
        <v>1515858</v>
      </c>
      <c r="K362" s="9" t="str">
        <f t="array" ref="K362:N362">_xlfn.XLOOKUP(C362,'Neiva 2022 FASE I ACTUAL (5)'!$C$6:$C$540,'Neiva 2022 FASE I ACTUAL (5)'!$C$6:$F$540,"NO ESTA")</f>
        <v xml:space="preserve">SUMINISTRO E INSTALACIÓN ROCIADOR MONTANTE K:5.6                                                          </v>
      </c>
      <c r="L362" s="9" t="str">
        <v xml:space="preserve">UN   </v>
      </c>
      <c r="M362" s="9">
        <v>14</v>
      </c>
      <c r="N362" s="9">
        <v>37910</v>
      </c>
      <c r="O362" s="124" t="str">
        <f t="shared" si="54"/>
        <v>FASE II</v>
      </c>
      <c r="P362" s="155">
        <f t="shared" si="49"/>
        <v>52</v>
      </c>
      <c r="Q362" s="156">
        <f t="shared" si="52"/>
        <v>39891</v>
      </c>
      <c r="R362" s="156">
        <f t="shared" si="53"/>
        <v>2074332</v>
      </c>
    </row>
    <row r="363" spans="2:18" s="9" customFormat="1" ht="35.1" customHeight="1" x14ac:dyDescent="0.25">
      <c r="B363" s="23" t="s">
        <v>469</v>
      </c>
      <c r="C363" s="22" t="s">
        <v>470</v>
      </c>
      <c r="D363" s="23" t="s">
        <v>284</v>
      </c>
      <c r="E363" s="12">
        <v>27</v>
      </c>
      <c r="F363" s="126">
        <v>128366</v>
      </c>
      <c r="G363" s="126">
        <f t="shared" si="57"/>
        <v>3465882</v>
      </c>
      <c r="H363" s="8"/>
      <c r="I363" s="8">
        <f t="shared" si="50"/>
        <v>131639</v>
      </c>
      <c r="J363" s="8">
        <f t="shared" si="51"/>
        <v>3554253</v>
      </c>
      <c r="K363" s="9" t="str">
        <f t="array" ref="K363:N363">_xlfn.XLOOKUP(C363,'Neiva 2022 FASE I ACTUAL (5)'!$C$6:$C$540,'Neiva 2022 FASE I ACTUAL (5)'!$C$6:$F$540,"NO ESTA")</f>
        <v xml:space="preserve">SUMINISTRO E INSTALACIÓN ROCIADOR PENDENT K:11.2                                                          </v>
      </c>
      <c r="L363" s="9" t="str">
        <v xml:space="preserve">UN   </v>
      </c>
      <c r="M363" s="9">
        <v>10</v>
      </c>
      <c r="N363" s="9">
        <v>125097</v>
      </c>
      <c r="O363" s="124" t="str">
        <f t="shared" si="54"/>
        <v>FASE II</v>
      </c>
      <c r="P363" s="155">
        <f t="shared" si="49"/>
        <v>37</v>
      </c>
      <c r="Q363" s="156">
        <f t="shared" si="52"/>
        <v>131639</v>
      </c>
      <c r="R363" s="156">
        <f t="shared" si="53"/>
        <v>4870643</v>
      </c>
    </row>
    <row r="364" spans="2:18" s="9" customFormat="1" ht="35.1" customHeight="1" x14ac:dyDescent="0.25">
      <c r="B364" s="23" t="s">
        <v>471</v>
      </c>
      <c r="C364" s="22" t="s">
        <v>472</v>
      </c>
      <c r="D364" s="23" t="s">
        <v>284</v>
      </c>
      <c r="E364" s="12">
        <v>341</v>
      </c>
      <c r="F364" s="126">
        <v>46856</v>
      </c>
      <c r="G364" s="126">
        <f t="shared" si="57"/>
        <v>15977896</v>
      </c>
      <c r="H364" s="8"/>
      <c r="I364" s="8">
        <f t="shared" si="50"/>
        <v>48051</v>
      </c>
      <c r="J364" s="8">
        <f t="shared" si="51"/>
        <v>16385391</v>
      </c>
      <c r="K364" s="9" t="str">
        <f t="array" ref="K364:N364">_xlfn.XLOOKUP(C364,'Neiva 2022 FASE I ACTUAL (5)'!$C$6:$C$540,'Neiva 2022 FASE I ACTUAL (5)'!$C$6:$F$540,"NO ESTA")</f>
        <v xml:space="preserve">SUMINISTRO E INSTALACIÓN PUNTO HIDRÁULICO PARA ROCIADOR                                                  </v>
      </c>
      <c r="L364" s="9" t="str">
        <v xml:space="preserve">UN   </v>
      </c>
      <c r="M364" s="9">
        <v>126</v>
      </c>
      <c r="N364" s="9">
        <v>45662</v>
      </c>
      <c r="O364" s="124" t="str">
        <f t="shared" si="54"/>
        <v>FASE II</v>
      </c>
      <c r="P364" s="155">
        <f t="shared" si="49"/>
        <v>467</v>
      </c>
      <c r="Q364" s="156">
        <f t="shared" si="52"/>
        <v>48051</v>
      </c>
      <c r="R364" s="156">
        <f t="shared" si="53"/>
        <v>22439817</v>
      </c>
    </row>
    <row r="365" spans="2:18" s="9" customFormat="1" ht="35.1" customHeight="1" x14ac:dyDescent="0.25">
      <c r="B365" s="23" t="s">
        <v>473</v>
      </c>
      <c r="C365" s="22" t="s">
        <v>474</v>
      </c>
      <c r="D365" s="23" t="s">
        <v>284</v>
      </c>
      <c r="E365" s="12">
        <v>2</v>
      </c>
      <c r="F365" s="126">
        <v>4184551</v>
      </c>
      <c r="G365" s="126">
        <f t="shared" si="57"/>
        <v>8369102</v>
      </c>
      <c r="H365" s="8"/>
      <c r="I365" s="8">
        <f t="shared" si="50"/>
        <v>4291257</v>
      </c>
      <c r="J365" s="8">
        <f t="shared" si="51"/>
        <v>8582514</v>
      </c>
      <c r="K365" s="9" t="str">
        <f t="array" ref="K365:N365">_xlfn.XLOOKUP(C365,'Neiva 2022 FASE I ACTUAL (5)'!$C$6:$C$540,'Neiva 2022 FASE I ACTUAL (5)'!$C$6:$F$540,"NO ESTA")</f>
        <v xml:space="preserve">SUMINISTRO E INSTALACIÓN ESTACIÓN DE CONTROL, PRUEBA Y DRENAJE 3"                                        </v>
      </c>
      <c r="L365" s="9" t="str">
        <v xml:space="preserve">UN   </v>
      </c>
      <c r="M365" s="9">
        <v>3</v>
      </c>
      <c r="N365" s="9">
        <v>4078038</v>
      </c>
      <c r="O365" s="124" t="str">
        <f t="shared" si="54"/>
        <v>FASE II</v>
      </c>
      <c r="P365" s="155">
        <f t="shared" si="49"/>
        <v>5</v>
      </c>
      <c r="Q365" s="156">
        <f t="shared" si="52"/>
        <v>4291257</v>
      </c>
      <c r="R365" s="156">
        <f t="shared" si="53"/>
        <v>21456285</v>
      </c>
    </row>
    <row r="366" spans="2:18" s="9" customFormat="1" ht="35.1" customHeight="1" x14ac:dyDescent="0.25">
      <c r="B366" s="23" t="s">
        <v>475</v>
      </c>
      <c r="C366" s="22" t="s">
        <v>476</v>
      </c>
      <c r="D366" s="23" t="s">
        <v>284</v>
      </c>
      <c r="E366" s="12">
        <v>7</v>
      </c>
      <c r="F366" s="126">
        <v>80107</v>
      </c>
      <c r="G366" s="126">
        <f t="shared" si="57"/>
        <v>560749</v>
      </c>
      <c r="H366" s="8"/>
      <c r="I366" s="8">
        <f t="shared" si="50"/>
        <v>82150</v>
      </c>
      <c r="J366" s="8">
        <f t="shared" si="51"/>
        <v>575050</v>
      </c>
      <c r="K366" s="9" t="str">
        <f t="array" ref="K366:N366">_xlfn.XLOOKUP(C366,'Neiva 2022 FASE I ACTUAL (5)'!$C$6:$C$540,'Neiva 2022 FASE I ACTUAL (5)'!$C$6:$F$540,"NO ESTA")</f>
        <v xml:space="preserve">SUMINISTRO E INSTALACIÓN VÁLVULA TOMA Y DESC. AIRE 1" INCENDIO                                           </v>
      </c>
      <c r="L366" s="9" t="str">
        <v xml:space="preserve">UN   </v>
      </c>
      <c r="M366" s="9">
        <v>3</v>
      </c>
      <c r="N366" s="9">
        <v>78069</v>
      </c>
      <c r="O366" s="124" t="str">
        <f t="shared" si="54"/>
        <v>FASE II</v>
      </c>
      <c r="P366" s="155">
        <f t="shared" si="49"/>
        <v>10</v>
      </c>
      <c r="Q366" s="156">
        <f t="shared" si="52"/>
        <v>82150</v>
      </c>
      <c r="R366" s="156">
        <f t="shared" si="53"/>
        <v>821500</v>
      </c>
    </row>
    <row r="367" spans="2:18" s="9" customFormat="1" ht="35.1" customHeight="1" x14ac:dyDescent="0.25">
      <c r="B367" s="23" t="s">
        <v>477</v>
      </c>
      <c r="C367" s="22" t="s">
        <v>478</v>
      </c>
      <c r="D367" s="23" t="s">
        <v>284</v>
      </c>
      <c r="E367" s="12">
        <v>1</v>
      </c>
      <c r="F367" s="126">
        <v>1486386</v>
      </c>
      <c r="G367" s="126">
        <f t="shared" si="57"/>
        <v>1486386</v>
      </c>
      <c r="H367" s="8"/>
      <c r="I367" s="8">
        <f t="shared" si="50"/>
        <v>1524289</v>
      </c>
      <c r="J367" s="8">
        <f t="shared" si="51"/>
        <v>1524289</v>
      </c>
      <c r="K367" s="9" t="str">
        <f t="array" ref="K367:N367">_xlfn.XLOOKUP(C367,'Neiva 2022 FASE I ACTUAL (5)'!$C$6:$C$540,'Neiva 2022 FASE I ACTUAL (5)'!$C$6:$F$540,"NO ESTA")</f>
        <v xml:space="preserve">SUMINISTRO E INSTALACIÓN SIAMESA DE INYECCIÓN                                                            </v>
      </c>
      <c r="L367" s="9" t="str">
        <v xml:space="preserve">UN   </v>
      </c>
      <c r="M367" s="9">
        <v>1</v>
      </c>
      <c r="N367" s="9">
        <v>1448552</v>
      </c>
      <c r="O367" s="124" t="str">
        <f t="shared" si="54"/>
        <v>FASE II</v>
      </c>
      <c r="P367" s="155">
        <f t="shared" si="49"/>
        <v>2</v>
      </c>
      <c r="Q367" s="156">
        <f t="shared" si="52"/>
        <v>1524289</v>
      </c>
      <c r="R367" s="156">
        <f t="shared" si="53"/>
        <v>3048578</v>
      </c>
    </row>
    <row r="368" spans="2:18" s="9" customFormat="1" ht="35.1" customHeight="1" x14ac:dyDescent="0.25">
      <c r="B368" s="23" t="s">
        <v>479</v>
      </c>
      <c r="C368" s="22" t="s">
        <v>480</v>
      </c>
      <c r="D368" s="23" t="s">
        <v>284</v>
      </c>
      <c r="E368" s="12">
        <v>0</v>
      </c>
      <c r="F368" s="126">
        <v>5375637</v>
      </c>
      <c r="G368" s="126">
        <f t="shared" si="57"/>
        <v>0</v>
      </c>
      <c r="H368" s="8"/>
      <c r="I368" s="8">
        <f t="shared" si="50"/>
        <v>5512716</v>
      </c>
      <c r="J368" s="8">
        <f t="shared" si="51"/>
        <v>0</v>
      </c>
      <c r="K368" s="9" t="str">
        <f t="array" ref="K368:N368">_xlfn.XLOOKUP(C368,'Neiva 2022 FASE I ACTUAL (5)'!$C$6:$C$540,'Neiva 2022 FASE I ACTUAL (5)'!$C$6:$F$540,"NO ESTA")</f>
        <v xml:space="preserve">SUMINISTRO E INSTALACIÓN CABEZAL DE PRUEBAS                                                         </v>
      </c>
      <c r="L368" s="9" t="str">
        <v xml:space="preserve">UN   </v>
      </c>
      <c r="M368" s="9">
        <v>1</v>
      </c>
      <c r="N368" s="9">
        <v>5238807</v>
      </c>
      <c r="O368" s="124" t="str">
        <f t="shared" si="54"/>
        <v>FASE II</v>
      </c>
      <c r="P368" s="155">
        <f t="shared" si="49"/>
        <v>1</v>
      </c>
      <c r="Q368" s="156">
        <f t="shared" si="52"/>
        <v>5512716</v>
      </c>
      <c r="R368" s="156">
        <f t="shared" si="53"/>
        <v>5512716</v>
      </c>
    </row>
    <row r="369" spans="2:18" s="9" customFormat="1" ht="35.1" customHeight="1" x14ac:dyDescent="0.25">
      <c r="B369" s="23" t="s">
        <v>481</v>
      </c>
      <c r="C369" s="22" t="s">
        <v>482</v>
      </c>
      <c r="D369" s="23" t="s">
        <v>284</v>
      </c>
      <c r="E369" s="12">
        <v>0</v>
      </c>
      <c r="F369" s="126">
        <v>429459</v>
      </c>
      <c r="G369" s="126">
        <f t="shared" si="57"/>
        <v>0</v>
      </c>
      <c r="H369" s="8"/>
      <c r="I369" s="8">
        <f t="shared" si="50"/>
        <v>440410</v>
      </c>
      <c r="J369" s="8">
        <f t="shared" si="51"/>
        <v>0</v>
      </c>
      <c r="K369" s="9" t="str">
        <f t="array" ref="K369:N369">_xlfn.XLOOKUP(C369,'Neiva 2022 FASE I ACTUAL (5)'!$C$6:$C$540,'Neiva 2022 FASE I ACTUAL (5)'!$C$6:$F$540,"NO ESTA")</f>
        <v xml:space="preserve">SUMINISTRO E INSTALACIÓN CHEQUE RANURADO 4"                                                              </v>
      </c>
      <c r="L369" s="9" t="str">
        <v xml:space="preserve">UN   </v>
      </c>
      <c r="M369" s="9">
        <v>1</v>
      </c>
      <c r="N369" s="9">
        <v>418527</v>
      </c>
      <c r="O369" s="124" t="str">
        <f t="shared" si="54"/>
        <v>FASE II</v>
      </c>
      <c r="P369" s="155">
        <f t="shared" si="49"/>
        <v>1</v>
      </c>
      <c r="Q369" s="156">
        <f t="shared" si="52"/>
        <v>440410</v>
      </c>
      <c r="R369" s="156">
        <f t="shared" si="53"/>
        <v>440410</v>
      </c>
    </row>
    <row r="370" spans="2:18" s="9" customFormat="1" ht="35.1" customHeight="1" x14ac:dyDescent="0.25">
      <c r="B370" s="23" t="s">
        <v>483</v>
      </c>
      <c r="C370" s="22" t="s">
        <v>484</v>
      </c>
      <c r="D370" s="23" t="s">
        <v>284</v>
      </c>
      <c r="E370" s="12">
        <v>0</v>
      </c>
      <c r="F370" s="126">
        <v>1544969</v>
      </c>
      <c r="G370" s="126">
        <f t="shared" si="57"/>
        <v>0</v>
      </c>
      <c r="H370" s="8"/>
      <c r="I370" s="8">
        <f t="shared" si="50"/>
        <v>1584366</v>
      </c>
      <c r="J370" s="8">
        <f t="shared" si="51"/>
        <v>0</v>
      </c>
      <c r="K370" s="9" t="str">
        <f t="array" ref="K370:N370">_xlfn.XLOOKUP(C370,'Neiva 2022 FASE I ACTUAL (5)'!$C$6:$C$540,'Neiva 2022 FASE I ACTUAL (5)'!$C$6:$F$540,"NO ESTA")</f>
        <v xml:space="preserve">SUMINISTRO E INSTALACIÓN VÁLVULA OS&amp;Y 4"                                                                 </v>
      </c>
      <c r="L370" s="9" t="str">
        <v xml:space="preserve">UN   </v>
      </c>
      <c r="M370" s="9">
        <v>1</v>
      </c>
      <c r="N370" s="9">
        <v>1505643</v>
      </c>
      <c r="O370" s="124" t="str">
        <f t="shared" si="54"/>
        <v>FASE II</v>
      </c>
      <c r="P370" s="155">
        <f t="shared" si="49"/>
        <v>1</v>
      </c>
      <c r="Q370" s="156">
        <f t="shared" si="52"/>
        <v>1584366</v>
      </c>
      <c r="R370" s="156">
        <f t="shared" si="53"/>
        <v>1584366</v>
      </c>
    </row>
    <row r="371" spans="2:18" s="9" customFormat="1" ht="35.1" customHeight="1" x14ac:dyDescent="0.25">
      <c r="B371" s="23" t="s">
        <v>485</v>
      </c>
      <c r="C371" s="22" t="s">
        <v>486</v>
      </c>
      <c r="D371" s="23" t="s">
        <v>284</v>
      </c>
      <c r="E371" s="12">
        <v>15</v>
      </c>
      <c r="F371" s="126">
        <v>139754</v>
      </c>
      <c r="G371" s="126">
        <f t="shared" si="57"/>
        <v>2096310</v>
      </c>
      <c r="H371" s="8"/>
      <c r="I371" s="8">
        <f t="shared" si="50"/>
        <v>143318</v>
      </c>
      <c r="J371" s="8">
        <f t="shared" si="51"/>
        <v>2149770</v>
      </c>
      <c r="K371" s="9" t="str">
        <f t="array" ref="K371:N371">_xlfn.XLOOKUP(C371,'Neiva 2022 FASE I ACTUAL (5)'!$C$6:$C$540,'Neiva 2022 FASE I ACTUAL (5)'!$C$6:$F$540,"NO ESTA")</f>
        <v xml:space="preserve">SUMINISTRO E INSTALACIÓN SOPORTE LONGITUDINAL 4 VÍAS 3"                                                               </v>
      </c>
      <c r="L371" s="9" t="str">
        <v xml:space="preserve">UN   </v>
      </c>
      <c r="M371" s="9">
        <v>5</v>
      </c>
      <c r="N371" s="9">
        <v>136196</v>
      </c>
      <c r="O371" s="124" t="str">
        <f t="shared" si="54"/>
        <v>FASE II</v>
      </c>
      <c r="P371" s="155">
        <f t="shared" si="49"/>
        <v>20</v>
      </c>
      <c r="Q371" s="156">
        <f t="shared" si="52"/>
        <v>143318</v>
      </c>
      <c r="R371" s="156">
        <f t="shared" si="53"/>
        <v>2866360</v>
      </c>
    </row>
    <row r="372" spans="2:18" s="9" customFormat="1" ht="35.1" customHeight="1" x14ac:dyDescent="0.25">
      <c r="B372" s="23" t="s">
        <v>487</v>
      </c>
      <c r="C372" s="22" t="s">
        <v>488</v>
      </c>
      <c r="D372" s="23" t="s">
        <v>284</v>
      </c>
      <c r="E372" s="12">
        <v>2</v>
      </c>
      <c r="F372" s="126">
        <v>281071</v>
      </c>
      <c r="G372" s="126">
        <f t="shared" si="57"/>
        <v>562142</v>
      </c>
      <c r="H372" s="8"/>
      <c r="I372" s="8">
        <f t="shared" si="50"/>
        <v>288238</v>
      </c>
      <c r="J372" s="8">
        <f t="shared" si="51"/>
        <v>576476</v>
      </c>
      <c r="K372" s="9" t="str">
        <f t="array" ref="K372:N372">_xlfn.XLOOKUP(C372,'Neiva 2022 FASE I ACTUAL (5)'!$C$6:$C$540,'Neiva 2022 FASE I ACTUAL (5)'!$C$6:$F$540,"NO ESTA")</f>
        <v xml:space="preserve">SUMINISTRO E INSTALACIÓN SOPORTE LONGITUDINAL 4 VÍAS 4"                                                               </v>
      </c>
      <c r="L372" s="9" t="str">
        <v xml:space="preserve">UN   </v>
      </c>
      <c r="M372" s="9">
        <v>1</v>
      </c>
      <c r="N372" s="9">
        <v>273917</v>
      </c>
      <c r="O372" s="124" t="str">
        <f t="shared" si="54"/>
        <v>FASE II</v>
      </c>
      <c r="P372" s="155">
        <f t="shared" si="49"/>
        <v>3</v>
      </c>
      <c r="Q372" s="156">
        <f t="shared" si="52"/>
        <v>288238</v>
      </c>
      <c r="R372" s="156">
        <f t="shared" si="53"/>
        <v>864714</v>
      </c>
    </row>
    <row r="373" spans="2:18" s="9" customFormat="1" ht="35.1" customHeight="1" x14ac:dyDescent="0.25">
      <c r="B373" s="23" t="s">
        <v>489</v>
      </c>
      <c r="C373" s="22" t="s">
        <v>490</v>
      </c>
      <c r="D373" s="23" t="s">
        <v>284</v>
      </c>
      <c r="E373" s="12">
        <v>32</v>
      </c>
      <c r="F373" s="126">
        <v>120195</v>
      </c>
      <c r="G373" s="126">
        <f t="shared" si="57"/>
        <v>3846240</v>
      </c>
      <c r="H373" s="8"/>
      <c r="I373" s="8">
        <f t="shared" si="50"/>
        <v>123260</v>
      </c>
      <c r="J373" s="8">
        <f t="shared" si="51"/>
        <v>3944320</v>
      </c>
      <c r="K373" s="9" t="str">
        <f t="array" ref="K373:N373">_xlfn.XLOOKUP(C373,'Neiva 2022 FASE I ACTUAL (5)'!$C$6:$C$540,'Neiva 2022 FASE I ACTUAL (5)'!$C$6:$F$540,"NO ESTA")</f>
        <v xml:space="preserve">SUMINISTRO E INSTALACIÓN SOPORTE LATERAL 2 VÍAS 2"                                                       </v>
      </c>
      <c r="L373" s="9" t="str">
        <v xml:space="preserve">UN   </v>
      </c>
      <c r="M373" s="9">
        <v>12</v>
      </c>
      <c r="N373" s="9">
        <v>117136</v>
      </c>
      <c r="O373" s="124" t="str">
        <f t="shared" si="54"/>
        <v>FASE II</v>
      </c>
      <c r="P373" s="155">
        <f t="shared" si="49"/>
        <v>44</v>
      </c>
      <c r="Q373" s="156">
        <f t="shared" si="52"/>
        <v>123260</v>
      </c>
      <c r="R373" s="156">
        <f t="shared" si="53"/>
        <v>5423440</v>
      </c>
    </row>
    <row r="374" spans="2:18" s="9" customFormat="1" ht="35.1" customHeight="1" x14ac:dyDescent="0.25">
      <c r="B374" s="23" t="s">
        <v>491</v>
      </c>
      <c r="C374" s="22" t="s">
        <v>492</v>
      </c>
      <c r="D374" s="23" t="s">
        <v>284</v>
      </c>
      <c r="E374" s="12">
        <v>27</v>
      </c>
      <c r="F374" s="126">
        <v>126619</v>
      </c>
      <c r="G374" s="126">
        <f t="shared" si="57"/>
        <v>3418713</v>
      </c>
      <c r="H374" s="8"/>
      <c r="I374" s="8">
        <f t="shared" si="50"/>
        <v>129848</v>
      </c>
      <c r="J374" s="8">
        <f t="shared" si="51"/>
        <v>3505896</v>
      </c>
      <c r="K374" s="9" t="str">
        <f t="array" ref="K374:N374">_xlfn.XLOOKUP(C374,'Neiva 2022 FASE I ACTUAL (5)'!$C$6:$C$540,'Neiva 2022 FASE I ACTUAL (5)'!$C$6:$F$540,"NO ESTA")</f>
        <v xml:space="preserve">SUMINISTRO E INSTALACIÓN SOPORTE LATERAL 2 VÍAS 3"                                                       </v>
      </c>
      <c r="L374" s="9" t="str">
        <v xml:space="preserve">UN   </v>
      </c>
      <c r="M374" s="9">
        <v>10</v>
      </c>
      <c r="N374" s="9">
        <v>123396</v>
      </c>
      <c r="O374" s="124" t="str">
        <f t="shared" si="54"/>
        <v>FASE II</v>
      </c>
      <c r="P374" s="155">
        <f t="shared" si="49"/>
        <v>37</v>
      </c>
      <c r="Q374" s="156">
        <f t="shared" si="52"/>
        <v>129848</v>
      </c>
      <c r="R374" s="156">
        <f t="shared" si="53"/>
        <v>4804376</v>
      </c>
    </row>
    <row r="375" spans="2:18" s="9" customFormat="1" ht="35.1" customHeight="1" x14ac:dyDescent="0.25">
      <c r="B375" s="23" t="s">
        <v>493</v>
      </c>
      <c r="C375" s="22" t="s">
        <v>494</v>
      </c>
      <c r="D375" s="23" t="s">
        <v>284</v>
      </c>
      <c r="E375" s="12">
        <v>6</v>
      </c>
      <c r="F375" s="126">
        <v>1605959</v>
      </c>
      <c r="G375" s="126">
        <f t="shared" si="57"/>
        <v>9635754</v>
      </c>
      <c r="H375" s="8"/>
      <c r="I375" s="8">
        <f t="shared" si="50"/>
        <v>1646911</v>
      </c>
      <c r="J375" s="8">
        <f t="shared" si="51"/>
        <v>9881466</v>
      </c>
      <c r="K375" s="9" t="str">
        <f t="array" ref="K375:N375">_xlfn.XLOOKUP(C375,'Neiva 2022 FASE I ACTUAL (5)'!$C$6:$C$540,'Neiva 2022 FASE I ACTUAL (5)'!$C$6:$F$540,"NO ESTA")</f>
        <v xml:space="preserve">SUMINISTRO E INSTALACIÓN GABINETE TIPO II </v>
      </c>
      <c r="L375" s="9" t="str">
        <v xml:space="preserve">UN   </v>
      </c>
      <c r="M375" s="9">
        <v>2</v>
      </c>
      <c r="N375" s="9">
        <v>1565081</v>
      </c>
      <c r="O375" s="124" t="str">
        <f t="shared" si="54"/>
        <v>FASE II</v>
      </c>
      <c r="P375" s="155">
        <f t="shared" si="49"/>
        <v>8</v>
      </c>
      <c r="Q375" s="156">
        <f t="shared" si="52"/>
        <v>1646911</v>
      </c>
      <c r="R375" s="156">
        <f t="shared" si="53"/>
        <v>13175288</v>
      </c>
    </row>
    <row r="376" spans="2:18" s="9" customFormat="1" ht="35.1" customHeight="1" x14ac:dyDescent="0.25">
      <c r="B376" s="33">
        <v>14</v>
      </c>
      <c r="C376" s="34" t="s">
        <v>495</v>
      </c>
      <c r="D376" s="34"/>
      <c r="E376" s="35"/>
      <c r="F376" s="132"/>
      <c r="G376" s="142"/>
      <c r="H376" s="8"/>
      <c r="I376" s="8">
        <f t="shared" si="50"/>
        <v>0</v>
      </c>
      <c r="J376" s="8">
        <f t="shared" si="51"/>
        <v>0</v>
      </c>
      <c r="K376" s="9" t="str">
        <f t="array" ref="K376:N376">_xlfn.XLOOKUP(C376,'Neiva 2022 FASE I ACTUAL (5)'!$C$6:$C$540,'Neiva 2022 FASE I ACTUAL (5)'!$C$6:$F$540,"NO ESTA")</f>
        <v>SALIDAS DE ALUMBRADO Y TOMACORRIENTES ELÉCTRICOS</v>
      </c>
      <c r="L376" s="9">
        <v>0</v>
      </c>
      <c r="M376" s="9">
        <v>0</v>
      </c>
      <c r="N376" s="9">
        <v>0</v>
      </c>
      <c r="O376" s="124">
        <f t="shared" si="54"/>
        <v>0</v>
      </c>
      <c r="P376" s="155">
        <f t="shared" si="49"/>
        <v>0</v>
      </c>
      <c r="Q376" s="156">
        <f t="shared" si="52"/>
        <v>0</v>
      </c>
      <c r="R376" s="156">
        <f t="shared" si="53"/>
        <v>0</v>
      </c>
    </row>
    <row r="377" spans="2:18" s="9" customFormat="1" ht="35.1" customHeight="1" x14ac:dyDescent="0.25">
      <c r="B377" s="47" t="s">
        <v>496</v>
      </c>
      <c r="C377" s="43" t="s">
        <v>497</v>
      </c>
      <c r="D377" s="24"/>
      <c r="E377" s="15"/>
      <c r="F377" s="129"/>
      <c r="G377" s="140"/>
      <c r="H377" s="8"/>
      <c r="I377" s="8">
        <f t="shared" si="50"/>
        <v>0</v>
      </c>
      <c r="J377" s="8">
        <f t="shared" si="51"/>
        <v>0</v>
      </c>
      <c r="K377" s="9" t="str">
        <f t="array" ref="K377:N377">_xlfn.XLOOKUP(C377,'Neiva 2022 FASE I ACTUAL (5)'!$C$6:$C$540,'Neiva 2022 FASE I ACTUAL (5)'!$C$6:$F$540,"NO ESTA")</f>
        <v>SUMINISTRO E INSTALACIÓN SALIDAS DE ALUMBRADO EN TUBERIA PVC INCRUSTRADA (NO SE INCLUYE LAS LUMINARIAS)</v>
      </c>
      <c r="L377" s="9">
        <v>0</v>
      </c>
      <c r="M377" s="9">
        <v>0</v>
      </c>
      <c r="N377" s="9">
        <v>0</v>
      </c>
      <c r="O377" s="124">
        <f t="shared" si="54"/>
        <v>0</v>
      </c>
      <c r="P377" s="155">
        <f t="shared" si="49"/>
        <v>0</v>
      </c>
      <c r="Q377" s="156">
        <f t="shared" si="52"/>
        <v>0</v>
      </c>
      <c r="R377" s="156">
        <f t="shared" si="53"/>
        <v>0</v>
      </c>
    </row>
    <row r="378" spans="2:18" s="9" customFormat="1" ht="35.1" customHeight="1" x14ac:dyDescent="0.25">
      <c r="B378" s="23" t="s">
        <v>498</v>
      </c>
      <c r="C378" s="87" t="s">
        <v>499</v>
      </c>
      <c r="D378" s="23" t="s">
        <v>374</v>
      </c>
      <c r="E378" s="12">
        <v>153</v>
      </c>
      <c r="F378" s="126">
        <v>83078</v>
      </c>
      <c r="G378" s="126">
        <f t="shared" ref="G378:G393" si="58">ROUND(+F378*E378,2)</f>
        <v>12710934</v>
      </c>
      <c r="H378" s="8"/>
      <c r="I378" s="8">
        <f t="shared" si="50"/>
        <v>85196</v>
      </c>
      <c r="J378" s="8">
        <f t="shared" si="51"/>
        <v>13034988</v>
      </c>
      <c r="K378" s="9" t="str">
        <f t="array" ref="K378:N378">_xlfn.XLOOKUP(C378,'Neiva 2022 FASE I ACTUAL (5)'!$C$6:$C$540,'Neiva 2022 FASE I ACTUAL (5)'!$C$6:$F$540,"NO ESTA")</f>
        <v>SUMINISTRO E INSTALACIÓN SALIDA PARA LAMPARA LED DE 1x28 W</v>
      </c>
      <c r="L378" s="9" t="str">
        <v>UN</v>
      </c>
      <c r="M378" s="9">
        <v>57</v>
      </c>
      <c r="N378" s="9">
        <v>80964</v>
      </c>
      <c r="O378" s="124" t="str">
        <f t="shared" si="54"/>
        <v>FASE II</v>
      </c>
      <c r="P378" s="155">
        <f t="shared" si="49"/>
        <v>210</v>
      </c>
      <c r="Q378" s="156">
        <f t="shared" si="52"/>
        <v>85196</v>
      </c>
      <c r="R378" s="156">
        <f t="shared" si="53"/>
        <v>17891160</v>
      </c>
    </row>
    <row r="379" spans="2:18" s="9" customFormat="1" ht="35.1" customHeight="1" x14ac:dyDescent="0.25">
      <c r="B379" s="23" t="s">
        <v>500</v>
      </c>
      <c r="C379" s="87" t="s">
        <v>501</v>
      </c>
      <c r="D379" s="23" t="s">
        <v>374</v>
      </c>
      <c r="E379" s="12">
        <v>82</v>
      </c>
      <c r="F379" s="126">
        <v>75156</v>
      </c>
      <c r="G379" s="126">
        <f t="shared" si="58"/>
        <v>6162792</v>
      </c>
      <c r="H379" s="8"/>
      <c r="I379" s="8">
        <f t="shared" si="50"/>
        <v>77072</v>
      </c>
      <c r="J379" s="8">
        <f t="shared" si="51"/>
        <v>6319904</v>
      </c>
      <c r="K379" s="9" t="str">
        <f t="array" ref="K379:N379">_xlfn.XLOOKUP(C379,'Neiva 2022 FASE I ACTUAL (5)'!$C$6:$C$540,'Neiva 2022 FASE I ACTUAL (5)'!$C$6:$F$540,"NO ESTA")</f>
        <v>SUMINISTRO E INSTALACIÓN SALIDA PARA LAMPARA LED DE 2x54 W</v>
      </c>
      <c r="L379" s="9" t="str">
        <v>UN</v>
      </c>
      <c r="M379" s="9">
        <v>30</v>
      </c>
      <c r="N379" s="9">
        <v>73244</v>
      </c>
      <c r="O379" s="124" t="str">
        <f t="shared" si="54"/>
        <v>FASE II</v>
      </c>
      <c r="P379" s="155">
        <f t="shared" si="49"/>
        <v>112</v>
      </c>
      <c r="Q379" s="156">
        <f t="shared" si="52"/>
        <v>77072</v>
      </c>
      <c r="R379" s="156">
        <f t="shared" si="53"/>
        <v>8632064</v>
      </c>
    </row>
    <row r="380" spans="2:18" s="9" customFormat="1" ht="35.1" customHeight="1" x14ac:dyDescent="0.25">
      <c r="B380" s="23" t="s">
        <v>502</v>
      </c>
      <c r="C380" s="22" t="s">
        <v>503</v>
      </c>
      <c r="D380" s="23" t="s">
        <v>374</v>
      </c>
      <c r="E380" s="12">
        <v>121</v>
      </c>
      <c r="F380" s="126">
        <v>70467</v>
      </c>
      <c r="G380" s="126">
        <f t="shared" si="58"/>
        <v>8526507</v>
      </c>
      <c r="H380" s="8"/>
      <c r="I380" s="8">
        <f t="shared" si="50"/>
        <v>72264</v>
      </c>
      <c r="J380" s="8">
        <f t="shared" si="51"/>
        <v>8743944</v>
      </c>
      <c r="K380" s="9" t="str">
        <f t="array" ref="K380:N380">_xlfn.XLOOKUP(C380,'Neiva 2022 FASE I ACTUAL (5)'!$C$6:$C$540,'Neiva 2022 FASE I ACTUAL (5)'!$C$6:$F$540,"NO ESTA")</f>
        <v>SUMINISTRO E INSTALACIÓN SALIDA PARA BALA DE LED 35W 120V</v>
      </c>
      <c r="L380" s="9" t="str">
        <v>UN</v>
      </c>
      <c r="M380" s="9">
        <v>45</v>
      </c>
      <c r="N380" s="9">
        <v>68674</v>
      </c>
      <c r="O380" s="124" t="str">
        <f t="shared" si="54"/>
        <v>FASE II</v>
      </c>
      <c r="P380" s="155">
        <f t="shared" si="49"/>
        <v>166</v>
      </c>
      <c r="Q380" s="156">
        <f t="shared" si="52"/>
        <v>72264</v>
      </c>
      <c r="R380" s="156">
        <f t="shared" si="53"/>
        <v>11995824</v>
      </c>
    </row>
    <row r="381" spans="2:18" s="9" customFormat="1" ht="35.1" customHeight="1" x14ac:dyDescent="0.25">
      <c r="B381" s="23" t="s">
        <v>504</v>
      </c>
      <c r="C381" s="22" t="s">
        <v>505</v>
      </c>
      <c r="D381" s="23" t="s">
        <v>374</v>
      </c>
      <c r="E381" s="12">
        <v>50</v>
      </c>
      <c r="F381" s="126">
        <v>70467</v>
      </c>
      <c r="G381" s="126">
        <f t="shared" si="58"/>
        <v>3523350</v>
      </c>
      <c r="H381" s="8"/>
      <c r="I381" s="8">
        <f t="shared" si="50"/>
        <v>72264</v>
      </c>
      <c r="J381" s="8">
        <f t="shared" si="51"/>
        <v>3613200</v>
      </c>
      <c r="K381" s="9" t="str">
        <f t="array" ref="K381:N381">_xlfn.XLOOKUP(C381,'Neiva 2022 FASE I ACTUAL (5)'!$C$6:$C$540,'Neiva 2022 FASE I ACTUAL (5)'!$C$6:$F$540,"NO ESTA")</f>
        <v>SUMINISTRO E INSTALACIÓN SALIDA PARA BALA RECESADA LED 10W 120V</v>
      </c>
      <c r="L381" s="9" t="str">
        <v>UN</v>
      </c>
      <c r="M381" s="9">
        <v>19</v>
      </c>
      <c r="N381" s="9">
        <v>68674</v>
      </c>
      <c r="O381" s="124" t="str">
        <f t="shared" si="54"/>
        <v>FASE II</v>
      </c>
      <c r="P381" s="155">
        <f t="shared" si="49"/>
        <v>69</v>
      </c>
      <c r="Q381" s="156">
        <f t="shared" si="52"/>
        <v>72264</v>
      </c>
      <c r="R381" s="156">
        <f t="shared" si="53"/>
        <v>4986216</v>
      </c>
    </row>
    <row r="382" spans="2:18" s="9" customFormat="1" ht="35.1" customHeight="1" x14ac:dyDescent="0.25">
      <c r="B382" s="23" t="s">
        <v>506</v>
      </c>
      <c r="C382" s="22" t="s">
        <v>507</v>
      </c>
      <c r="D382" s="23" t="s">
        <v>374</v>
      </c>
      <c r="E382" s="12">
        <v>184</v>
      </c>
      <c r="F382" s="126">
        <v>70467</v>
      </c>
      <c r="G382" s="126">
        <f t="shared" si="58"/>
        <v>12965928</v>
      </c>
      <c r="H382" s="8"/>
      <c r="I382" s="8">
        <f t="shared" si="50"/>
        <v>72264</v>
      </c>
      <c r="J382" s="8">
        <f t="shared" si="51"/>
        <v>13296576</v>
      </c>
      <c r="K382" s="9" t="str">
        <f t="array" ref="K382:N382">_xlfn.XLOOKUP(C382,'Neiva 2022 FASE I ACTUAL (5)'!$C$6:$C$540,'Neiva 2022 FASE I ACTUAL (5)'!$C$6:$F$540,"NO ESTA")</f>
        <v>SUMINISTRO E INSTALACIÓN SALIDA PARA LUMINARIA LED 2x26W 120V</v>
      </c>
      <c r="L382" s="9" t="str">
        <v>UN</v>
      </c>
      <c r="M382" s="9">
        <v>68</v>
      </c>
      <c r="N382" s="9">
        <v>68674</v>
      </c>
      <c r="O382" s="124" t="str">
        <f t="shared" si="54"/>
        <v>FASE II</v>
      </c>
      <c r="P382" s="155">
        <f t="shared" si="49"/>
        <v>252</v>
      </c>
      <c r="Q382" s="156">
        <f t="shared" si="52"/>
        <v>72264</v>
      </c>
      <c r="R382" s="156">
        <f t="shared" si="53"/>
        <v>18210528</v>
      </c>
    </row>
    <row r="383" spans="2:18" s="9" customFormat="1" ht="35.1" customHeight="1" x14ac:dyDescent="0.25">
      <c r="B383" s="23" t="s">
        <v>508</v>
      </c>
      <c r="C383" s="22" t="s">
        <v>509</v>
      </c>
      <c r="D383" s="23" t="s">
        <v>374</v>
      </c>
      <c r="E383" s="12">
        <v>6</v>
      </c>
      <c r="F383" s="126">
        <v>68243</v>
      </c>
      <c r="G383" s="126">
        <f t="shared" si="58"/>
        <v>409458</v>
      </c>
      <c r="H383" s="8"/>
      <c r="I383" s="8">
        <f t="shared" si="50"/>
        <v>69983</v>
      </c>
      <c r="J383" s="8">
        <f t="shared" si="51"/>
        <v>419898</v>
      </c>
      <c r="K383" s="9" t="str">
        <f t="array" ref="K383:N383">_xlfn.XLOOKUP(C383,'Neiva 2022 FASE I ACTUAL (5)'!$C$6:$C$540,'Neiva 2022 FASE I ACTUAL (5)'!$C$6:$F$540,"NO ESTA")</f>
        <v>SUMINISTRO E INSTALACIÓN SALIDA PARA REFLECTOR DE LUZ DIRECTA</v>
      </c>
      <c r="L383" s="9" t="str">
        <v>UN</v>
      </c>
      <c r="M383" s="9">
        <v>2</v>
      </c>
      <c r="N383" s="9">
        <v>66507</v>
      </c>
      <c r="O383" s="124" t="str">
        <f t="shared" si="54"/>
        <v>FASE II</v>
      </c>
      <c r="P383" s="155">
        <f t="shared" si="49"/>
        <v>8</v>
      </c>
      <c r="Q383" s="156">
        <f t="shared" si="52"/>
        <v>69983</v>
      </c>
      <c r="R383" s="156">
        <f t="shared" si="53"/>
        <v>559864</v>
      </c>
    </row>
    <row r="384" spans="2:18" s="9" customFormat="1" ht="35.1" customHeight="1" x14ac:dyDescent="0.25">
      <c r="B384" s="23" t="s">
        <v>510</v>
      </c>
      <c r="C384" s="22" t="s">
        <v>511</v>
      </c>
      <c r="D384" s="23" t="s">
        <v>374</v>
      </c>
      <c r="E384" s="12">
        <v>6</v>
      </c>
      <c r="F384" s="126">
        <v>74815</v>
      </c>
      <c r="G384" s="126">
        <f t="shared" si="58"/>
        <v>448890</v>
      </c>
      <c r="H384" s="8"/>
      <c r="I384" s="8">
        <f t="shared" si="50"/>
        <v>76723</v>
      </c>
      <c r="J384" s="8">
        <f t="shared" si="51"/>
        <v>460338</v>
      </c>
      <c r="K384" s="9" t="str">
        <f t="array" ref="K384:N384">_xlfn.XLOOKUP(C384,'Neiva 2022 FASE I ACTUAL (5)'!$C$6:$C$540,'Neiva 2022 FASE I ACTUAL (5)'!$C$6:$F$540,"NO ESTA")</f>
        <v>SUMINISTRO E INSTALACIÓN SALIDA PARA APLIQUE DE ESCALERA 1000W 120V</v>
      </c>
      <c r="L384" s="9" t="str">
        <v>UN</v>
      </c>
      <c r="M384" s="9">
        <v>2</v>
      </c>
      <c r="N384" s="9">
        <v>72910</v>
      </c>
      <c r="O384" s="124" t="str">
        <f t="shared" si="54"/>
        <v>FASE II</v>
      </c>
      <c r="P384" s="155">
        <f t="shared" si="49"/>
        <v>8</v>
      </c>
      <c r="Q384" s="156">
        <f t="shared" si="52"/>
        <v>76723</v>
      </c>
      <c r="R384" s="156">
        <f t="shared" si="53"/>
        <v>613784</v>
      </c>
    </row>
    <row r="385" spans="2:18" s="9" customFormat="1" ht="35.1" customHeight="1" x14ac:dyDescent="0.25">
      <c r="B385" s="23" t="s">
        <v>512</v>
      </c>
      <c r="C385" s="22" t="s">
        <v>513</v>
      </c>
      <c r="D385" s="23" t="s">
        <v>374</v>
      </c>
      <c r="E385" s="12">
        <v>67</v>
      </c>
      <c r="F385" s="126">
        <v>74815</v>
      </c>
      <c r="G385" s="126">
        <f t="shared" si="58"/>
        <v>5012605</v>
      </c>
      <c r="H385" s="8"/>
      <c r="I385" s="8">
        <f t="shared" si="50"/>
        <v>76723</v>
      </c>
      <c r="J385" s="8">
        <f t="shared" si="51"/>
        <v>5140441</v>
      </c>
      <c r="K385" s="9" t="str">
        <f t="array" ref="K385:N385">_xlfn.XLOOKUP(C385,'Neiva 2022 FASE I ACTUAL (5)'!$C$6:$C$540,'Neiva 2022 FASE I ACTUAL (5)'!$C$6:$F$540,"NO ESTA")</f>
        <v>SUMINISTRO E INSTALACIÓN SALIDA PARA BALAS LED DE PISO 3W 120V</v>
      </c>
      <c r="L385" s="9" t="str">
        <v>UN</v>
      </c>
      <c r="M385" s="9">
        <v>25</v>
      </c>
      <c r="N385" s="9">
        <v>72910</v>
      </c>
      <c r="O385" s="124" t="str">
        <f t="shared" si="54"/>
        <v>FASE II</v>
      </c>
      <c r="P385" s="155">
        <f t="shared" si="49"/>
        <v>92</v>
      </c>
      <c r="Q385" s="156">
        <f t="shared" si="52"/>
        <v>76723</v>
      </c>
      <c r="R385" s="156">
        <f t="shared" si="53"/>
        <v>7058516</v>
      </c>
    </row>
    <row r="386" spans="2:18" s="9" customFormat="1" ht="35.1" customHeight="1" x14ac:dyDescent="0.25">
      <c r="B386" s="23" t="s">
        <v>514</v>
      </c>
      <c r="C386" s="22" t="s">
        <v>515</v>
      </c>
      <c r="D386" s="23" t="s">
        <v>374</v>
      </c>
      <c r="E386" s="12">
        <v>10</v>
      </c>
      <c r="F386" s="126">
        <v>74815</v>
      </c>
      <c r="G386" s="126">
        <f t="shared" si="58"/>
        <v>748150</v>
      </c>
      <c r="H386" s="8"/>
      <c r="I386" s="8">
        <f t="shared" si="50"/>
        <v>76723</v>
      </c>
      <c r="J386" s="8">
        <f t="shared" si="51"/>
        <v>767230</v>
      </c>
      <c r="K386" s="9" t="str">
        <f t="array" ref="K386:N386">_xlfn.XLOOKUP(C386,'Neiva 2022 FASE I ACTUAL (5)'!$C$6:$C$540,'Neiva 2022 FASE I ACTUAL (5)'!$C$6:$F$540,"NO ESTA")</f>
        <v>SUMINISTRO E INSTALACIÓN SALIDA PARA BALAS DE PISO 50W 120V</v>
      </c>
      <c r="L386" s="9" t="str">
        <v>UN</v>
      </c>
      <c r="M386" s="9">
        <v>4</v>
      </c>
      <c r="N386" s="9">
        <v>72910</v>
      </c>
      <c r="O386" s="124" t="str">
        <f t="shared" si="54"/>
        <v>FASE II</v>
      </c>
      <c r="P386" s="155">
        <f t="shared" si="49"/>
        <v>14</v>
      </c>
      <c r="Q386" s="156">
        <f t="shared" si="52"/>
        <v>76723</v>
      </c>
      <c r="R386" s="156">
        <f t="shared" si="53"/>
        <v>1074122</v>
      </c>
    </row>
    <row r="387" spans="2:18" s="9" customFormat="1" ht="35.1" customHeight="1" x14ac:dyDescent="0.25">
      <c r="B387" s="23" t="s">
        <v>516</v>
      </c>
      <c r="C387" s="87" t="s">
        <v>517</v>
      </c>
      <c r="D387" s="23" t="s">
        <v>374</v>
      </c>
      <c r="E387" s="12">
        <v>42</v>
      </c>
      <c r="F387" s="126">
        <v>80011</v>
      </c>
      <c r="G387" s="126">
        <f t="shared" si="58"/>
        <v>3360462</v>
      </c>
      <c r="H387" s="8"/>
      <c r="I387" s="8">
        <f t="shared" si="50"/>
        <v>82051</v>
      </c>
      <c r="J387" s="8">
        <f t="shared" si="51"/>
        <v>3446142</v>
      </c>
      <c r="K387" s="9" t="str">
        <f t="array" ref="K387:N387">_xlfn.XLOOKUP(C387,'Neiva 2022 FASE I ACTUAL (5)'!$C$6:$C$540,'Neiva 2022 FASE I ACTUAL (5)'!$C$6:$F$540,"NO ESTA")</f>
        <v>SUMINISTRO E INSTALACIÓN SALIDA PARA INTERRUPTOR SENCILLO COLOR BLANCO</v>
      </c>
      <c r="L387" s="9" t="str">
        <v>UN</v>
      </c>
      <c r="M387" s="9">
        <v>16</v>
      </c>
      <c r="N387" s="9">
        <v>77975</v>
      </c>
      <c r="O387" s="124" t="str">
        <f t="shared" si="54"/>
        <v>FASE II</v>
      </c>
      <c r="P387" s="155">
        <f t="shared" si="49"/>
        <v>58</v>
      </c>
      <c r="Q387" s="156">
        <f t="shared" si="52"/>
        <v>82051</v>
      </c>
      <c r="R387" s="156">
        <f t="shared" si="53"/>
        <v>4758958</v>
      </c>
    </row>
    <row r="388" spans="2:18" s="9" customFormat="1" ht="35.1" customHeight="1" x14ac:dyDescent="0.25">
      <c r="B388" s="23" t="s">
        <v>518</v>
      </c>
      <c r="C388" s="87" t="s">
        <v>519</v>
      </c>
      <c r="D388" s="23" t="s">
        <v>374</v>
      </c>
      <c r="E388" s="12">
        <v>18</v>
      </c>
      <c r="F388" s="126">
        <v>86756</v>
      </c>
      <c r="G388" s="126">
        <f t="shared" si="58"/>
        <v>1561608</v>
      </c>
      <c r="H388" s="8"/>
      <c r="I388" s="8">
        <f t="shared" si="50"/>
        <v>88968</v>
      </c>
      <c r="J388" s="8">
        <f t="shared" si="51"/>
        <v>1601424</v>
      </c>
      <c r="K388" s="9" t="str">
        <f t="array" ref="K388:N388">_xlfn.XLOOKUP(C388,'Neiva 2022 FASE I ACTUAL (5)'!$C$6:$C$540,'Neiva 2022 FASE I ACTUAL (5)'!$C$6:$F$540,"NO ESTA")</f>
        <v>SUMINISTRO E INSTALACIÓN SALIDA PARA INTERRUPTOR DOBLE COLOR BLANCO</v>
      </c>
      <c r="L388" s="9" t="str">
        <v>UN</v>
      </c>
      <c r="M388" s="9">
        <v>6</v>
      </c>
      <c r="N388" s="9">
        <v>84546</v>
      </c>
      <c r="O388" s="124" t="str">
        <f t="shared" si="54"/>
        <v>FASE II</v>
      </c>
      <c r="P388" s="155">
        <f t="shared" si="49"/>
        <v>24</v>
      </c>
      <c r="Q388" s="156">
        <f t="shared" si="52"/>
        <v>88968</v>
      </c>
      <c r="R388" s="156">
        <f t="shared" si="53"/>
        <v>2135232</v>
      </c>
    </row>
    <row r="389" spans="2:18" s="9" customFormat="1" ht="35.1" customHeight="1" x14ac:dyDescent="0.25">
      <c r="B389" s="23" t="s">
        <v>520</v>
      </c>
      <c r="C389" s="87" t="s">
        <v>521</v>
      </c>
      <c r="D389" s="23" t="s">
        <v>374</v>
      </c>
      <c r="E389" s="12">
        <v>6</v>
      </c>
      <c r="F389" s="126">
        <v>88571</v>
      </c>
      <c r="G389" s="126">
        <f t="shared" si="58"/>
        <v>531426</v>
      </c>
      <c r="H389" s="8"/>
      <c r="I389" s="8">
        <f t="shared" si="50"/>
        <v>90830</v>
      </c>
      <c r="J389" s="8">
        <f t="shared" si="51"/>
        <v>544980</v>
      </c>
      <c r="K389" s="9" t="str">
        <f t="array" ref="K389:N389">_xlfn.XLOOKUP(C389,'Neiva 2022 FASE I ACTUAL (5)'!$C$6:$C$540,'Neiva 2022 FASE I ACTUAL (5)'!$C$6:$F$540,"NO ESTA")</f>
        <v>SUMINISTRO E INSTALACIÓN SALIDA PARA INTERRUPTOR SENCILLO CONMUTABLE COLOR BLANCO</v>
      </c>
      <c r="L389" s="9" t="str">
        <v>UN</v>
      </c>
      <c r="M389" s="9">
        <v>2</v>
      </c>
      <c r="N389" s="9">
        <v>86318</v>
      </c>
      <c r="O389" s="124" t="str">
        <f t="shared" si="54"/>
        <v>FASE II</v>
      </c>
      <c r="P389" s="155">
        <f t="shared" si="49"/>
        <v>8</v>
      </c>
      <c r="Q389" s="156">
        <f t="shared" si="52"/>
        <v>90830</v>
      </c>
      <c r="R389" s="156">
        <f t="shared" si="53"/>
        <v>726640</v>
      </c>
    </row>
    <row r="390" spans="2:18" s="9" customFormat="1" ht="35.1" customHeight="1" x14ac:dyDescent="0.25">
      <c r="B390" s="23" t="s">
        <v>522</v>
      </c>
      <c r="C390" s="87" t="s">
        <v>523</v>
      </c>
      <c r="D390" s="23" t="s">
        <v>374</v>
      </c>
      <c r="E390" s="12">
        <v>4</v>
      </c>
      <c r="F390" s="126">
        <v>96779</v>
      </c>
      <c r="G390" s="126">
        <f t="shared" si="58"/>
        <v>387116</v>
      </c>
      <c r="H390" s="8"/>
      <c r="I390" s="8">
        <f t="shared" si="50"/>
        <v>99247</v>
      </c>
      <c r="J390" s="8">
        <f t="shared" si="51"/>
        <v>396988</v>
      </c>
      <c r="K390" s="9" t="str">
        <f t="array" ref="K390:N390">_xlfn.XLOOKUP(C390,'Neiva 2022 FASE I ACTUAL (5)'!$C$6:$C$540,'Neiva 2022 FASE I ACTUAL (5)'!$C$6:$F$540,"NO ESTA")</f>
        <v>SUMINISTRO E INSTALACIÓN SALIDA PARA INTERRUPTOR DOBLE CONMUTABLE COLOR BLANCO</v>
      </c>
      <c r="L390" s="9" t="str">
        <v>UN</v>
      </c>
      <c r="M390" s="9">
        <v>2</v>
      </c>
      <c r="N390" s="9">
        <v>94316</v>
      </c>
      <c r="O390" s="124" t="str">
        <f t="shared" si="54"/>
        <v>FASE II</v>
      </c>
      <c r="P390" s="155">
        <f t="shared" ref="P390:P453" si="59">E390+M390</f>
        <v>6</v>
      </c>
      <c r="Q390" s="156">
        <f t="shared" si="52"/>
        <v>99247</v>
      </c>
      <c r="R390" s="156">
        <f t="shared" si="53"/>
        <v>595482</v>
      </c>
    </row>
    <row r="391" spans="2:18" s="9" customFormat="1" ht="35.1" customHeight="1" x14ac:dyDescent="0.25">
      <c r="B391" s="23" t="s">
        <v>524</v>
      </c>
      <c r="C391" s="22" t="s">
        <v>525</v>
      </c>
      <c r="D391" s="23" t="s">
        <v>374</v>
      </c>
      <c r="E391" s="12">
        <v>12</v>
      </c>
      <c r="F391" s="126">
        <v>90828</v>
      </c>
      <c r="G391" s="126">
        <f t="shared" si="58"/>
        <v>1089936</v>
      </c>
      <c r="H391" s="8"/>
      <c r="I391" s="8">
        <f t="shared" ref="I391:I454" si="60">+ROUND(F391*(1+$I$4),0)</f>
        <v>93144</v>
      </c>
      <c r="J391" s="8">
        <f t="shared" ref="J391:J454" si="61">+I391*E391</f>
        <v>1117728</v>
      </c>
      <c r="K391" s="9" t="str">
        <f t="array" ref="K391:N391">_xlfn.XLOOKUP(C391,'Neiva 2022 FASE I ACTUAL (5)'!$C$6:$C$540,'Neiva 2022 FASE I ACTUAL (5)'!$C$6:$F$540,"NO ESTA")</f>
        <v>SUMINISTRO E INSTALACIÓN SALIDA PARA INTERRUPTOR DE SENSOR DE PRESENCIA</v>
      </c>
      <c r="L391" s="9" t="str">
        <v>UN</v>
      </c>
      <c r="M391" s="9">
        <v>5</v>
      </c>
      <c r="N391" s="9">
        <v>88516</v>
      </c>
      <c r="O391" s="124" t="str">
        <f t="shared" si="54"/>
        <v>FASE II</v>
      </c>
      <c r="P391" s="155">
        <f t="shared" si="59"/>
        <v>17</v>
      </c>
      <c r="Q391" s="156">
        <f t="shared" ref="Q391:Q454" si="62">MAX(N391,F391,I391)</f>
        <v>93144</v>
      </c>
      <c r="R391" s="156">
        <f t="shared" ref="R391:R454" si="63">ROUND(P391*Q391,2)</f>
        <v>1583448</v>
      </c>
    </row>
    <row r="392" spans="2:18" s="9" customFormat="1" ht="35.1" customHeight="1" x14ac:dyDescent="0.25">
      <c r="B392" s="23" t="s">
        <v>526</v>
      </c>
      <c r="C392" s="22" t="s">
        <v>527</v>
      </c>
      <c r="D392" s="23" t="s">
        <v>374</v>
      </c>
      <c r="E392" s="12">
        <v>4</v>
      </c>
      <c r="F392" s="126">
        <v>102414</v>
      </c>
      <c r="G392" s="126">
        <f t="shared" si="58"/>
        <v>409656</v>
      </c>
      <c r="H392" s="8"/>
      <c r="I392" s="8">
        <f t="shared" si="60"/>
        <v>105026</v>
      </c>
      <c r="J392" s="8">
        <f t="shared" si="61"/>
        <v>420104</v>
      </c>
      <c r="K392" s="9" t="str">
        <f t="array" ref="K392:N392">_xlfn.XLOOKUP(C392,'Neiva 2022 FASE I ACTUAL (5)'!$C$6:$C$540,'Neiva 2022 FASE I ACTUAL (5)'!$C$6:$F$540,"NO ESTA")</f>
        <v>SUMINISTRO E INSTALACIÓN SALIDA PARA SENSOR DE MOVIEMIENTO DE TECHO</v>
      </c>
      <c r="L392" s="9" t="str">
        <v>UN</v>
      </c>
      <c r="M392" s="9">
        <v>1</v>
      </c>
      <c r="N392" s="9">
        <v>99806</v>
      </c>
      <c r="O392" s="124" t="str">
        <f t="shared" ref="O392:O455" si="64">IF(N392=0,0,(IF(F392&lt;N392, "FASE I","FASE II")))</f>
        <v>FASE II</v>
      </c>
      <c r="P392" s="155">
        <f t="shared" si="59"/>
        <v>5</v>
      </c>
      <c r="Q392" s="156">
        <f t="shared" si="62"/>
        <v>105026</v>
      </c>
      <c r="R392" s="156">
        <f t="shared" si="63"/>
        <v>525130</v>
      </c>
    </row>
    <row r="393" spans="2:18" s="9" customFormat="1" ht="35.1" customHeight="1" x14ac:dyDescent="0.25">
      <c r="B393" s="23" t="s">
        <v>528</v>
      </c>
      <c r="C393" s="22" t="s">
        <v>529</v>
      </c>
      <c r="D393" s="23" t="s">
        <v>269</v>
      </c>
      <c r="E393" s="12">
        <v>474</v>
      </c>
      <c r="F393" s="126">
        <v>1705</v>
      </c>
      <c r="G393" s="126">
        <f t="shared" si="58"/>
        <v>808170</v>
      </c>
      <c r="H393" s="8"/>
      <c r="I393" s="8">
        <f t="shared" si="60"/>
        <v>1748</v>
      </c>
      <c r="J393" s="8">
        <f t="shared" si="61"/>
        <v>828552</v>
      </c>
      <c r="K393" s="9" t="str">
        <f t="array" ref="K393:N393">_xlfn.XLOOKUP(C393,'Neiva 2022 FASE I ACTUAL (5)'!$C$6:$C$540,'Neiva 2022 FASE I ACTUAL (5)'!$C$6:$F$540,"NO ESTA")</f>
        <v xml:space="preserve">SUMINISTRO E INSTALACIÓN SALIDAS PARCIALES DE CIRCUITO PARA SALIDAS DE ALUMBRADO Y TOMACORIRIENTE DE USO NORMAL EN CABLE #12 AWG THHN/THWN, DESDE EL TABLERO DE AUTOMATICOS POR EL DUCTO PORTACABLES HASTA LOS PRIMEROS PUNTOS DE DERIVACIÓN. </v>
      </c>
      <c r="L393" s="9" t="str">
        <v xml:space="preserve">ML   </v>
      </c>
      <c r="M393" s="9">
        <v>176</v>
      </c>
      <c r="N393" s="9">
        <v>1662</v>
      </c>
      <c r="O393" s="124" t="str">
        <f t="shared" si="64"/>
        <v>FASE II</v>
      </c>
      <c r="P393" s="155">
        <f t="shared" si="59"/>
        <v>650</v>
      </c>
      <c r="Q393" s="156">
        <f t="shared" si="62"/>
        <v>1748</v>
      </c>
      <c r="R393" s="156">
        <f t="shared" si="63"/>
        <v>1136200</v>
      </c>
    </row>
    <row r="394" spans="2:18" s="9" customFormat="1" ht="35.1" customHeight="1" x14ac:dyDescent="0.25">
      <c r="B394" s="47" t="s">
        <v>530</v>
      </c>
      <c r="C394" s="24" t="s">
        <v>531</v>
      </c>
      <c r="D394" s="24"/>
      <c r="E394" s="15"/>
      <c r="F394" s="129"/>
      <c r="G394" s="140"/>
      <c r="H394" s="8"/>
      <c r="I394" s="8">
        <f t="shared" si="60"/>
        <v>0</v>
      </c>
      <c r="J394" s="8">
        <f t="shared" si="61"/>
        <v>0</v>
      </c>
      <c r="K394" s="9" t="str">
        <f t="array" ref="K394:N394">_xlfn.XLOOKUP(C394,'Neiva 2022 FASE I ACTUAL (5)'!$C$6:$C$540,'Neiva 2022 FASE I ACTUAL (5)'!$C$6:$F$540,"NO ESTA")</f>
        <v xml:space="preserve">SUMINISTRO E INSTALACIÓN SALIDAS PARA TOMACORRIENTES USO NORMAL EN TUBERIA PVC INCRUSTRADA </v>
      </c>
      <c r="L394" s="9">
        <v>0</v>
      </c>
      <c r="M394" s="9">
        <v>0</v>
      </c>
      <c r="N394" s="9">
        <v>0</v>
      </c>
      <c r="O394" s="124">
        <f t="shared" si="64"/>
        <v>0</v>
      </c>
      <c r="P394" s="155">
        <f t="shared" si="59"/>
        <v>0</v>
      </c>
      <c r="Q394" s="156">
        <f t="shared" si="62"/>
        <v>0</v>
      </c>
      <c r="R394" s="156">
        <f t="shared" si="63"/>
        <v>0</v>
      </c>
    </row>
    <row r="395" spans="2:18" s="9" customFormat="1" ht="35.1" customHeight="1" x14ac:dyDescent="0.25">
      <c r="B395" s="23" t="s">
        <v>532</v>
      </c>
      <c r="C395" s="22" t="s">
        <v>533</v>
      </c>
      <c r="D395" s="23" t="s">
        <v>284</v>
      </c>
      <c r="E395" s="12">
        <v>264</v>
      </c>
      <c r="F395" s="126">
        <v>82527</v>
      </c>
      <c r="G395" s="126">
        <f>ROUND(+F395*E395,2)</f>
        <v>21787128</v>
      </c>
      <c r="H395" s="8"/>
      <c r="I395" s="8">
        <f t="shared" si="60"/>
        <v>84631</v>
      </c>
      <c r="J395" s="8">
        <f t="shared" si="61"/>
        <v>22342584</v>
      </c>
      <c r="K395" s="9" t="str">
        <f t="array" ref="K395:N395">_xlfn.XLOOKUP(C395,'Neiva 2022 FASE I ACTUAL (5)'!$C$6:$C$540,'Neiva 2022 FASE I ACTUAL (5)'!$C$6:$F$540,"NO ESTA")</f>
        <v>SUMINISTRO E INSTALACIÓN SALIDA PARA TOMACORRIENTE DOBLE MONOFÁSICO CON POLO A TIERRA</v>
      </c>
      <c r="L395" s="9" t="str">
        <v xml:space="preserve">UN   </v>
      </c>
      <c r="M395" s="9">
        <v>97</v>
      </c>
      <c r="N395" s="9">
        <v>80427</v>
      </c>
      <c r="O395" s="124" t="str">
        <f t="shared" si="64"/>
        <v>FASE II</v>
      </c>
      <c r="P395" s="155">
        <f t="shared" si="59"/>
        <v>361</v>
      </c>
      <c r="Q395" s="156">
        <f t="shared" si="62"/>
        <v>84631</v>
      </c>
      <c r="R395" s="156">
        <f t="shared" si="63"/>
        <v>30551791</v>
      </c>
    </row>
    <row r="396" spans="2:18" s="9" customFormat="1" ht="35.1" customHeight="1" x14ac:dyDescent="0.25">
      <c r="B396" s="23" t="s">
        <v>534</v>
      </c>
      <c r="C396" s="22" t="s">
        <v>535</v>
      </c>
      <c r="D396" s="23" t="s">
        <v>284</v>
      </c>
      <c r="E396" s="12">
        <v>5</v>
      </c>
      <c r="F396" s="126">
        <v>111563</v>
      </c>
      <c r="G396" s="126">
        <f>ROUND(+F396*E396,2)</f>
        <v>557815</v>
      </c>
      <c r="H396" s="8"/>
      <c r="I396" s="8">
        <f t="shared" si="60"/>
        <v>114408</v>
      </c>
      <c r="J396" s="8">
        <f t="shared" si="61"/>
        <v>572040</v>
      </c>
      <c r="K396" s="9" t="str">
        <f t="array" ref="K396:N396">_xlfn.XLOOKUP(C396,'Neiva 2022 FASE I ACTUAL (5)'!$C$6:$C$540,'Neiva 2022 FASE I ACTUAL (5)'!$C$6:$F$540,"NO ESTA")</f>
        <v>SUMINISTRO E INSTALACIÓN SALIDA PARA TOMACORRIENTE DOBLE TIPO GFCI COLOR BLANCO MONOFÁSICODE MURO CON POLO A TIERRA</v>
      </c>
      <c r="L396" s="9" t="str">
        <v xml:space="preserve">UN   </v>
      </c>
      <c r="M396" s="9">
        <v>2</v>
      </c>
      <c r="N396" s="9">
        <v>108723</v>
      </c>
      <c r="O396" s="124" t="str">
        <f t="shared" si="64"/>
        <v>FASE II</v>
      </c>
      <c r="P396" s="155">
        <f t="shared" si="59"/>
        <v>7</v>
      </c>
      <c r="Q396" s="156">
        <f t="shared" si="62"/>
        <v>114408</v>
      </c>
      <c r="R396" s="156">
        <f t="shared" si="63"/>
        <v>800856</v>
      </c>
    </row>
    <row r="397" spans="2:18" s="9" customFormat="1" ht="35.1" customHeight="1" x14ac:dyDescent="0.25">
      <c r="B397" s="23" t="s">
        <v>536</v>
      </c>
      <c r="C397" s="22" t="s">
        <v>537</v>
      </c>
      <c r="D397" s="23" t="s">
        <v>284</v>
      </c>
      <c r="E397" s="12">
        <v>18</v>
      </c>
      <c r="F397" s="126">
        <v>83516</v>
      </c>
      <c r="G397" s="126">
        <f>ROUND(+F397*E397,2)</f>
        <v>1503288</v>
      </c>
      <c r="H397" s="8"/>
      <c r="I397" s="8">
        <f t="shared" si="60"/>
        <v>85646</v>
      </c>
      <c r="J397" s="8">
        <f t="shared" si="61"/>
        <v>1541628</v>
      </c>
      <c r="K397" s="9" t="str">
        <f t="array" ref="K397:N397">_xlfn.XLOOKUP(C397,'Neiva 2022 FASE I ACTUAL (5)'!$C$6:$C$540,'Neiva 2022 FASE I ACTUAL (5)'!$C$6:$F$540,"NO ESTA")</f>
        <v>SUMINISTRO E INSTALACIÓN SALIDA PARA SECADOR 20A-120V a 1.2 METROS DE ALTURA</v>
      </c>
      <c r="L397" s="9" t="str">
        <v xml:space="preserve">UN   </v>
      </c>
      <c r="M397" s="9">
        <v>7</v>
      </c>
      <c r="N397" s="9">
        <v>81390</v>
      </c>
      <c r="O397" s="124" t="str">
        <f t="shared" si="64"/>
        <v>FASE II</v>
      </c>
      <c r="P397" s="155">
        <f t="shared" si="59"/>
        <v>25</v>
      </c>
      <c r="Q397" s="156">
        <f t="shared" si="62"/>
        <v>85646</v>
      </c>
      <c r="R397" s="156">
        <f t="shared" si="63"/>
        <v>2141150</v>
      </c>
    </row>
    <row r="398" spans="2:18" s="9" customFormat="1" ht="35.1" customHeight="1" x14ac:dyDescent="0.25">
      <c r="B398" s="23" t="s">
        <v>538</v>
      </c>
      <c r="C398" s="87" t="s">
        <v>539</v>
      </c>
      <c r="D398" s="23" t="s">
        <v>284</v>
      </c>
      <c r="E398" s="12">
        <v>3</v>
      </c>
      <c r="F398" s="126">
        <v>101196</v>
      </c>
      <c r="G398" s="126">
        <f>ROUND(+F398*E398,2)</f>
        <v>303588</v>
      </c>
      <c r="H398" s="8"/>
      <c r="I398" s="8">
        <f t="shared" si="60"/>
        <v>103776</v>
      </c>
      <c r="J398" s="8">
        <f t="shared" si="61"/>
        <v>311328</v>
      </c>
      <c r="K398" s="9" t="str">
        <f t="array" ref="K398:N398">_xlfn.XLOOKUP(C398,'Neiva 2022 FASE I ACTUAL (5)'!$C$6:$C$540,'Neiva 2022 FASE I ACTUAL (5)'!$C$6:$F$540,"NO ESTA")</f>
        <v>SUMINISTRO E INSTALACIÓN SALIDA PARA TOMA TRIFÁSICA 208v 3FASES EN CAFETERIA</v>
      </c>
      <c r="L398" s="9" t="str">
        <v xml:space="preserve">UN   </v>
      </c>
      <c r="M398" s="9">
        <v>1</v>
      </c>
      <c r="N398" s="9">
        <v>98621</v>
      </c>
      <c r="O398" s="124" t="str">
        <f t="shared" si="64"/>
        <v>FASE II</v>
      </c>
      <c r="P398" s="155">
        <f t="shared" si="59"/>
        <v>4</v>
      </c>
      <c r="Q398" s="156">
        <f t="shared" si="62"/>
        <v>103776</v>
      </c>
      <c r="R398" s="156">
        <f t="shared" si="63"/>
        <v>415104</v>
      </c>
    </row>
    <row r="399" spans="2:18" s="9" customFormat="1" ht="35.1" customHeight="1" x14ac:dyDescent="0.25">
      <c r="B399" s="23" t="s">
        <v>540</v>
      </c>
      <c r="C399" s="22" t="s">
        <v>541</v>
      </c>
      <c r="D399" s="23" t="s">
        <v>269</v>
      </c>
      <c r="E399" s="12">
        <v>985</v>
      </c>
      <c r="F399" s="126">
        <v>1705</v>
      </c>
      <c r="G399" s="126">
        <f>ROUND(+F399*E399,2)</f>
        <v>1679425</v>
      </c>
      <c r="H399" s="8"/>
      <c r="I399" s="8">
        <f t="shared" si="60"/>
        <v>1748</v>
      </c>
      <c r="J399" s="8">
        <f t="shared" si="61"/>
        <v>1721780</v>
      </c>
      <c r="K399" s="9" t="str">
        <f t="array" ref="K399:N399">_xlfn.XLOOKUP(C399,'Neiva 2022 FASE I ACTUAL (5)'!$C$6:$C$540,'Neiva 2022 FASE I ACTUAL (5)'!$C$6:$F$540,"NO ESTA")</f>
        <v xml:space="preserve">SUMINISTRO E INSTALACIÓN SALIDAS PARCIALES DE CIRCUITO PARA TOMACORIRIENTE DE USO NORMAL EN CABLE #12 AWG THHN/THWN, DESDE EL TABLERO DE AUTOMATICOS POR EL DUCTO PORTACABLES HASTA LOS PRIMEROS PUNTOS DE DERIVACIÓN. </v>
      </c>
      <c r="L399" s="9" t="str">
        <v xml:space="preserve">ML   </v>
      </c>
      <c r="M399" s="9">
        <v>365</v>
      </c>
      <c r="N399" s="9">
        <v>1662</v>
      </c>
      <c r="O399" s="124" t="str">
        <f t="shared" si="64"/>
        <v>FASE II</v>
      </c>
      <c r="P399" s="155">
        <f t="shared" si="59"/>
        <v>1350</v>
      </c>
      <c r="Q399" s="156">
        <f t="shared" si="62"/>
        <v>1748</v>
      </c>
      <c r="R399" s="156">
        <f t="shared" si="63"/>
        <v>2359800</v>
      </c>
    </row>
    <row r="400" spans="2:18" s="9" customFormat="1" ht="35.1" customHeight="1" x14ac:dyDescent="0.25">
      <c r="B400" s="47" t="s">
        <v>542</v>
      </c>
      <c r="C400" s="24" t="s">
        <v>543</v>
      </c>
      <c r="D400" s="24"/>
      <c r="E400" s="15"/>
      <c r="F400" s="129"/>
      <c r="G400" s="140"/>
      <c r="H400" s="8"/>
      <c r="I400" s="8">
        <f t="shared" si="60"/>
        <v>0</v>
      </c>
      <c r="J400" s="8">
        <f t="shared" si="61"/>
        <v>0</v>
      </c>
      <c r="K400" s="9" t="str">
        <f t="array" ref="K400:N400">_xlfn.XLOOKUP(C400,'Neiva 2022 FASE I ACTUAL (5)'!$C$6:$C$540,'Neiva 2022 FASE I ACTUAL (5)'!$C$6:$F$540,"NO ESTA")</f>
        <v xml:space="preserve">SUMINISTRO E INSTALACIÓN SALIDAS PARA TOMACORRIENTES USO REGULADO EN TUBERIA PVC INCRUSTRADA </v>
      </c>
      <c r="L400" s="9">
        <v>0</v>
      </c>
      <c r="M400" s="9">
        <v>0</v>
      </c>
      <c r="N400" s="9">
        <v>0</v>
      </c>
      <c r="O400" s="124">
        <f t="shared" si="64"/>
        <v>0</v>
      </c>
      <c r="P400" s="155">
        <f t="shared" si="59"/>
        <v>0</v>
      </c>
      <c r="Q400" s="156">
        <f t="shared" si="62"/>
        <v>0</v>
      </c>
      <c r="R400" s="156">
        <f t="shared" si="63"/>
        <v>0</v>
      </c>
    </row>
    <row r="401" spans="2:18" s="9" customFormat="1" ht="35.1" customHeight="1" x14ac:dyDescent="0.25">
      <c r="B401" s="23" t="s">
        <v>544</v>
      </c>
      <c r="C401" s="87" t="s">
        <v>545</v>
      </c>
      <c r="D401" s="23" t="s">
        <v>374</v>
      </c>
      <c r="E401" s="12">
        <v>39</v>
      </c>
      <c r="F401" s="126">
        <v>122076</v>
      </c>
      <c r="G401" s="126">
        <f>ROUND(+F401*E401,2)</f>
        <v>4760964</v>
      </c>
      <c r="H401" s="8"/>
      <c r="I401" s="8">
        <f t="shared" si="60"/>
        <v>125189</v>
      </c>
      <c r="J401" s="8">
        <f t="shared" si="61"/>
        <v>4882371</v>
      </c>
      <c r="K401" s="9" t="str">
        <f t="array" ref="K401:N401">_xlfn.XLOOKUP(C401,'Neiva 2022 FASE I ACTUAL (5)'!$C$6:$C$540,'Neiva 2022 FASE I ACTUAL (5)'!$C$6:$F$540,"NO ESTA")</f>
        <v>SUMINISTRO E INSTALACIÓN SALIDA PARA TOMACORRIENTE DOBLE DE COLOR NARAJA, PARA INSTALAR EN MURO</v>
      </c>
      <c r="L401" s="9" t="str">
        <v>UN</v>
      </c>
      <c r="M401" s="9">
        <v>15</v>
      </c>
      <c r="N401" s="9">
        <v>118969</v>
      </c>
      <c r="O401" s="124" t="str">
        <f t="shared" si="64"/>
        <v>FASE II</v>
      </c>
      <c r="P401" s="155">
        <f t="shared" si="59"/>
        <v>54</v>
      </c>
      <c r="Q401" s="156">
        <f t="shared" si="62"/>
        <v>125189</v>
      </c>
      <c r="R401" s="156">
        <f t="shared" si="63"/>
        <v>6760206</v>
      </c>
    </row>
    <row r="402" spans="2:18" s="9" customFormat="1" ht="35.1" customHeight="1" x14ac:dyDescent="0.25">
      <c r="B402" s="23" t="s">
        <v>546</v>
      </c>
      <c r="C402" s="87" t="s">
        <v>547</v>
      </c>
      <c r="D402" s="23" t="s">
        <v>374</v>
      </c>
      <c r="E402" s="12">
        <v>80</v>
      </c>
      <c r="F402" s="126">
        <v>112524</v>
      </c>
      <c r="G402" s="126">
        <f>ROUND(+F402*E402,2)</f>
        <v>9001920</v>
      </c>
      <c r="H402" s="8"/>
      <c r="I402" s="8">
        <f t="shared" si="60"/>
        <v>115393</v>
      </c>
      <c r="J402" s="8">
        <f t="shared" si="61"/>
        <v>9231440</v>
      </c>
      <c r="K402" s="9" t="str">
        <f t="array" ref="K402:N402">_xlfn.XLOOKUP(C402,'Neiva 2022 FASE I ACTUAL (5)'!$C$6:$C$540,'Neiva 2022 FASE I ACTUAL (5)'!$C$6:$F$540,"NO ESTA")</f>
        <v xml:space="preserve">SUMINISTRO E INSTALACIÓN SALIDA PARA TOMACORRIENTE DOBLE DE COLOR NARAJA, PARA INSTALAR EN CANALETA PERIMETRAL </v>
      </c>
      <c r="L402" s="9" t="str">
        <v>UN</v>
      </c>
      <c r="M402" s="9">
        <v>29</v>
      </c>
      <c r="N402" s="9">
        <v>109659</v>
      </c>
      <c r="O402" s="124" t="str">
        <f t="shared" si="64"/>
        <v>FASE II</v>
      </c>
      <c r="P402" s="155">
        <f t="shared" si="59"/>
        <v>109</v>
      </c>
      <c r="Q402" s="156">
        <f t="shared" si="62"/>
        <v>115393</v>
      </c>
      <c r="R402" s="156">
        <f t="shared" si="63"/>
        <v>12577837</v>
      </c>
    </row>
    <row r="403" spans="2:18" s="9" customFormat="1" ht="35.1" customHeight="1" x14ac:dyDescent="0.25">
      <c r="B403" s="23" t="s">
        <v>548</v>
      </c>
      <c r="C403" s="87" t="s">
        <v>549</v>
      </c>
      <c r="D403" s="23" t="s">
        <v>269</v>
      </c>
      <c r="E403" s="12">
        <v>36</v>
      </c>
      <c r="F403" s="126">
        <v>11430</v>
      </c>
      <c r="G403" s="126">
        <f>ROUND(+F403*E403,2)</f>
        <v>411480</v>
      </c>
      <c r="H403" s="8"/>
      <c r="I403" s="8">
        <f t="shared" si="60"/>
        <v>11721</v>
      </c>
      <c r="J403" s="8">
        <f t="shared" si="61"/>
        <v>421956</v>
      </c>
      <c r="K403" s="9" t="str">
        <f t="array" ref="K403:N403">_xlfn.XLOOKUP(C403,'Neiva 2022 FASE I ACTUAL (5)'!$C$6:$C$540,'Neiva 2022 FASE I ACTUAL (5)'!$C$6:$F$540,"NO ESTA")</f>
        <v>SUMINISTRO E INSTALACIÓN INTERCONEXIÓN ENTRE EL DUCTO PORTACABLES Y LA CANALETA PERIMETRAL EN ø 1 1/2" CON 4#12 AWG THHN/THWN</v>
      </c>
      <c r="L403" s="9" t="str">
        <v xml:space="preserve">ML   </v>
      </c>
      <c r="M403" s="9">
        <v>14</v>
      </c>
      <c r="N403" s="9">
        <v>11140</v>
      </c>
      <c r="O403" s="124" t="str">
        <f t="shared" si="64"/>
        <v>FASE II</v>
      </c>
      <c r="P403" s="155">
        <f t="shared" si="59"/>
        <v>50</v>
      </c>
      <c r="Q403" s="156">
        <f t="shared" si="62"/>
        <v>11721</v>
      </c>
      <c r="R403" s="156">
        <f t="shared" si="63"/>
        <v>586050</v>
      </c>
    </row>
    <row r="404" spans="2:18" s="9" customFormat="1" ht="35.1" customHeight="1" x14ac:dyDescent="0.25">
      <c r="B404" s="23" t="s">
        <v>550</v>
      </c>
      <c r="C404" s="87" t="s">
        <v>551</v>
      </c>
      <c r="D404" s="23" t="s">
        <v>269</v>
      </c>
      <c r="E404" s="12">
        <v>1496</v>
      </c>
      <c r="F404" s="126">
        <v>1705</v>
      </c>
      <c r="G404" s="126">
        <f>ROUND(+F404*E404,2)</f>
        <v>2550680</v>
      </c>
      <c r="H404" s="8"/>
      <c r="I404" s="8">
        <f t="shared" si="60"/>
        <v>1748</v>
      </c>
      <c r="J404" s="8">
        <f t="shared" si="61"/>
        <v>2615008</v>
      </c>
      <c r="K404" s="9" t="str">
        <f t="array" ref="K404:N404">_xlfn.XLOOKUP(C404,'Neiva 2022 FASE I ACTUAL (5)'!$C$6:$C$540,'Neiva 2022 FASE I ACTUAL (5)'!$C$6:$F$540,"NO ESTA")</f>
        <v xml:space="preserve">SUMINISTRO E INSTALACIÓN SALIDAS PARCIALES DE CIRCUITO PARA TOMACORIRIENTE DE USO REGULADO EN CABLE #12 AWG THHN/THWN, DESDE EL TABLERO DE AUTOMATICOS POR EL DUCTO PORTACABLES HASTA LOS PRIMEROS PUNTOS DE DERIVACIÓN. </v>
      </c>
      <c r="L404" s="9" t="str">
        <v xml:space="preserve">ML   </v>
      </c>
      <c r="M404" s="9">
        <v>554</v>
      </c>
      <c r="N404" s="9">
        <v>1662</v>
      </c>
      <c r="O404" s="124" t="str">
        <f t="shared" si="64"/>
        <v>FASE II</v>
      </c>
      <c r="P404" s="155">
        <f t="shared" si="59"/>
        <v>2050</v>
      </c>
      <c r="Q404" s="156">
        <f t="shared" si="62"/>
        <v>1748</v>
      </c>
      <c r="R404" s="156">
        <f t="shared" si="63"/>
        <v>3583400</v>
      </c>
    </row>
    <row r="405" spans="2:18" s="9" customFormat="1" ht="35.1" customHeight="1" x14ac:dyDescent="0.25">
      <c r="B405" s="33">
        <v>15</v>
      </c>
      <c r="C405" s="34" t="s">
        <v>552</v>
      </c>
      <c r="D405" s="34"/>
      <c r="E405" s="35"/>
      <c r="F405" s="132"/>
      <c r="G405" s="142"/>
      <c r="H405" s="8"/>
      <c r="I405" s="8">
        <f t="shared" si="60"/>
        <v>0</v>
      </c>
      <c r="J405" s="8">
        <f t="shared" si="61"/>
        <v>0</v>
      </c>
      <c r="K405" s="9" t="str">
        <f t="array" ref="K405:N405">_xlfn.XLOOKUP(C405,'Neiva 2022 FASE I ACTUAL (5)'!$C$6:$C$540,'Neiva 2022 FASE I ACTUAL (5)'!$C$6:$F$540,"NO ESTA")</f>
        <v>DUCTOS, ACOMETIDAS, TABLEROS, PUESTA A TIERRA, PARARRAYOS Y PLANTA ELÉCTRICA</v>
      </c>
      <c r="L405" s="9">
        <v>0</v>
      </c>
      <c r="M405" s="9">
        <v>0</v>
      </c>
      <c r="N405" s="9">
        <v>0</v>
      </c>
      <c r="O405" s="124">
        <f t="shared" si="64"/>
        <v>0</v>
      </c>
      <c r="P405" s="155">
        <f t="shared" si="59"/>
        <v>0</v>
      </c>
      <c r="Q405" s="156">
        <f t="shared" si="62"/>
        <v>0</v>
      </c>
      <c r="R405" s="156">
        <f t="shared" si="63"/>
        <v>0</v>
      </c>
    </row>
    <row r="406" spans="2:18" s="9" customFormat="1" ht="35.1" customHeight="1" x14ac:dyDescent="0.25">
      <c r="B406" s="53" t="s">
        <v>553</v>
      </c>
      <c r="C406" s="24" t="s">
        <v>554</v>
      </c>
      <c r="D406" s="24"/>
      <c r="E406" s="15"/>
      <c r="F406" s="129"/>
      <c r="G406" s="140"/>
      <c r="H406" s="8"/>
      <c r="I406" s="8">
        <f t="shared" si="60"/>
        <v>0</v>
      </c>
      <c r="J406" s="8">
        <f t="shared" si="61"/>
        <v>0</v>
      </c>
      <c r="K406" s="9" t="str">
        <f t="array" ref="K406:N406">_xlfn.XLOOKUP(C406,'Neiva 2022 FASE I ACTUAL (5)'!$C$6:$C$540,'Neiva 2022 FASE I ACTUAL (5)'!$C$6:$F$540,"NO ESTA")</f>
        <v>SUMINISTRO E INSTALACIÓN DE DUCTOS PORTACABLES</v>
      </c>
      <c r="L406" s="9">
        <v>0</v>
      </c>
      <c r="M406" s="9">
        <v>0</v>
      </c>
      <c r="N406" s="9">
        <v>0</v>
      </c>
      <c r="O406" s="124">
        <f t="shared" si="64"/>
        <v>0</v>
      </c>
      <c r="P406" s="155">
        <f t="shared" si="59"/>
        <v>0</v>
      </c>
      <c r="Q406" s="156">
        <f t="shared" si="62"/>
        <v>0</v>
      </c>
      <c r="R406" s="156">
        <f t="shared" si="63"/>
        <v>0</v>
      </c>
    </row>
    <row r="407" spans="2:18" s="9" customFormat="1" ht="35.1" customHeight="1" x14ac:dyDescent="0.25">
      <c r="B407" s="23" t="s">
        <v>555</v>
      </c>
      <c r="C407" s="87" t="s">
        <v>556</v>
      </c>
      <c r="D407" s="23" t="s">
        <v>269</v>
      </c>
      <c r="E407" s="12">
        <v>194</v>
      </c>
      <c r="F407" s="126">
        <v>105294</v>
      </c>
      <c r="G407" s="126">
        <f t="shared" ref="G407:G412" si="65">ROUND(+F407*E407,2)</f>
        <v>20427036</v>
      </c>
      <c r="H407" s="8"/>
      <c r="I407" s="8">
        <f t="shared" si="60"/>
        <v>107979</v>
      </c>
      <c r="J407" s="8">
        <f t="shared" si="61"/>
        <v>20947926</v>
      </c>
      <c r="K407" s="9" t="str">
        <f t="array" ref="K407">_xlfn.XLOOKUP(C407,'Neiva 2022 FASE I ACTUAL (5)'!$C$6:$C$540,'Neiva 2022 FASE I ACTUAL (5)'!$C$6:$F$540,"NO ESTA")</f>
        <v>NO ESTA</v>
      </c>
      <c r="O407" s="124">
        <f t="shared" si="64"/>
        <v>0</v>
      </c>
      <c r="P407" s="155">
        <f t="shared" si="59"/>
        <v>194</v>
      </c>
      <c r="Q407" s="156">
        <f t="shared" si="62"/>
        <v>107979</v>
      </c>
      <c r="R407" s="156">
        <f t="shared" si="63"/>
        <v>20947926</v>
      </c>
    </row>
    <row r="408" spans="2:18" s="9" customFormat="1" ht="35.1" customHeight="1" x14ac:dyDescent="0.25">
      <c r="B408" s="23" t="s">
        <v>557</v>
      </c>
      <c r="C408" s="22" t="s">
        <v>558</v>
      </c>
      <c r="D408" s="23" t="s">
        <v>284</v>
      </c>
      <c r="E408" s="12">
        <v>8</v>
      </c>
      <c r="F408" s="126">
        <v>135206</v>
      </c>
      <c r="G408" s="126">
        <f t="shared" si="65"/>
        <v>1081648</v>
      </c>
      <c r="H408" s="8"/>
      <c r="I408" s="8">
        <f t="shared" si="60"/>
        <v>138654</v>
      </c>
      <c r="J408" s="8">
        <f t="shared" si="61"/>
        <v>1109232</v>
      </c>
      <c r="K408" s="9" t="str">
        <f t="array" ref="K408:N408">_xlfn.XLOOKUP(C408,'Neiva 2022 FASE I ACTUAL (5)'!$C$6:$C$540,'Neiva 2022 FASE I ACTUAL (5)'!$C$6:$F$540,"NO ESTA")</f>
        <v>SUMINISTRO E INSTALACIÓN TÉE PARA DUCTO PORTACABLES TROQUELADO DE 30x10 cm</v>
      </c>
      <c r="L408" s="9" t="str">
        <v xml:space="preserve">UN   </v>
      </c>
      <c r="M408" s="9">
        <v>3</v>
      </c>
      <c r="N408" s="9">
        <v>131764</v>
      </c>
      <c r="O408" s="124" t="str">
        <f t="shared" si="64"/>
        <v>FASE II</v>
      </c>
      <c r="P408" s="155">
        <f t="shared" si="59"/>
        <v>11</v>
      </c>
      <c r="Q408" s="156">
        <f t="shared" si="62"/>
        <v>138654</v>
      </c>
      <c r="R408" s="156">
        <f t="shared" si="63"/>
        <v>1525194</v>
      </c>
    </row>
    <row r="409" spans="2:18" s="9" customFormat="1" ht="35.1" customHeight="1" x14ac:dyDescent="0.25">
      <c r="B409" s="23" t="s">
        <v>559</v>
      </c>
      <c r="C409" s="22" t="s">
        <v>560</v>
      </c>
      <c r="D409" s="23" t="s">
        <v>284</v>
      </c>
      <c r="E409" s="12">
        <v>91</v>
      </c>
      <c r="F409" s="126">
        <v>29987</v>
      </c>
      <c r="G409" s="126">
        <f t="shared" si="65"/>
        <v>2728817</v>
      </c>
      <c r="H409" s="8"/>
      <c r="I409" s="8">
        <f t="shared" si="60"/>
        <v>30752</v>
      </c>
      <c r="J409" s="8">
        <f t="shared" si="61"/>
        <v>2798432</v>
      </c>
      <c r="K409" s="9" t="str">
        <f t="array" ref="K409:N409">_xlfn.XLOOKUP(C409,'Neiva 2022 FASE I ACTUAL (5)'!$C$6:$C$540,'Neiva 2022 FASE I ACTUAL (5)'!$C$6:$F$540,"NO ESTA")</f>
        <v>SUMINISTRO E INSTALACIÓN SOPORTES DE FIJACIÓN TIPO PELDAÑO DESCOLGADO PARA DUCTOS PORTACABLES TROQUELADO</v>
      </c>
      <c r="L409" s="9" t="str">
        <v xml:space="preserve">UN   </v>
      </c>
      <c r="M409" s="9">
        <v>34</v>
      </c>
      <c r="N409" s="9">
        <v>29224</v>
      </c>
      <c r="O409" s="124" t="str">
        <f t="shared" si="64"/>
        <v>FASE II</v>
      </c>
      <c r="P409" s="155">
        <f t="shared" si="59"/>
        <v>125</v>
      </c>
      <c r="Q409" s="156">
        <f t="shared" si="62"/>
        <v>30752</v>
      </c>
      <c r="R409" s="156">
        <f t="shared" si="63"/>
        <v>3844000</v>
      </c>
    </row>
    <row r="410" spans="2:18" s="9" customFormat="1" ht="35.1" customHeight="1" x14ac:dyDescent="0.25">
      <c r="B410" s="23" t="s">
        <v>561</v>
      </c>
      <c r="C410" s="87" t="s">
        <v>562</v>
      </c>
      <c r="D410" s="23" t="s">
        <v>269</v>
      </c>
      <c r="E410" s="12">
        <v>67</v>
      </c>
      <c r="F410" s="126">
        <v>196007</v>
      </c>
      <c r="G410" s="126">
        <f t="shared" si="65"/>
        <v>13132469</v>
      </c>
      <c r="H410" s="8"/>
      <c r="I410" s="8">
        <f t="shared" si="60"/>
        <v>201005</v>
      </c>
      <c r="J410" s="8">
        <f t="shared" si="61"/>
        <v>13467335</v>
      </c>
      <c r="K410" s="9" t="str">
        <f t="array" ref="K410">_xlfn.XLOOKUP(C410,'Neiva 2022 FASE I ACTUAL (5)'!$C$6:$C$540,'Neiva 2022 FASE I ACTUAL (5)'!$C$6:$F$540,"NO ESTA")</f>
        <v>NO ESTA</v>
      </c>
      <c r="O410" s="124">
        <f t="shared" si="64"/>
        <v>0</v>
      </c>
      <c r="P410" s="155">
        <f t="shared" si="59"/>
        <v>67</v>
      </c>
      <c r="Q410" s="156">
        <f t="shared" si="62"/>
        <v>201005</v>
      </c>
      <c r="R410" s="156">
        <f t="shared" si="63"/>
        <v>13467335</v>
      </c>
    </row>
    <row r="411" spans="2:18" s="9" customFormat="1" ht="35.1" customHeight="1" x14ac:dyDescent="0.25">
      <c r="B411" s="23" t="s">
        <v>563</v>
      </c>
      <c r="C411" s="22" t="s">
        <v>564</v>
      </c>
      <c r="D411" s="23" t="s">
        <v>284</v>
      </c>
      <c r="E411" s="12">
        <v>2</v>
      </c>
      <c r="F411" s="126">
        <v>162245</v>
      </c>
      <c r="G411" s="126">
        <f t="shared" si="65"/>
        <v>324490</v>
      </c>
      <c r="H411" s="8"/>
      <c r="I411" s="8">
        <f t="shared" si="60"/>
        <v>166382</v>
      </c>
      <c r="J411" s="8">
        <f t="shared" si="61"/>
        <v>332764</v>
      </c>
      <c r="K411" s="9" t="str">
        <f t="array" ref="K411:N411">_xlfn.XLOOKUP(C411,'Neiva 2022 FASE I ACTUAL (5)'!$C$6:$C$540,'Neiva 2022 FASE I ACTUAL (5)'!$C$6:$F$540,"NO ESTA")</f>
        <v>SUMINISTRO E INSTALACIÓN TÉE PARA DUCTO PORTACABLES TROQUELADO DE 100x30 cm</v>
      </c>
      <c r="L411" s="9" t="str">
        <v xml:space="preserve">UN   </v>
      </c>
      <c r="M411" s="9">
        <v>1</v>
      </c>
      <c r="N411" s="9">
        <v>158115</v>
      </c>
      <c r="O411" s="124" t="str">
        <f t="shared" si="64"/>
        <v>FASE II</v>
      </c>
      <c r="P411" s="155">
        <f t="shared" si="59"/>
        <v>3</v>
      </c>
      <c r="Q411" s="156">
        <f t="shared" si="62"/>
        <v>166382</v>
      </c>
      <c r="R411" s="156">
        <f t="shared" si="63"/>
        <v>499146</v>
      </c>
    </row>
    <row r="412" spans="2:18" s="9" customFormat="1" ht="35.1" customHeight="1" x14ac:dyDescent="0.25">
      <c r="B412" s="23" t="s">
        <v>565</v>
      </c>
      <c r="C412" s="22" t="s">
        <v>566</v>
      </c>
      <c r="D412" s="23" t="s">
        <v>284</v>
      </c>
      <c r="E412" s="12">
        <v>34</v>
      </c>
      <c r="F412" s="126">
        <v>29987</v>
      </c>
      <c r="G412" s="126">
        <f t="shared" si="65"/>
        <v>1019558</v>
      </c>
      <c r="H412" s="8"/>
      <c r="I412" s="8">
        <f t="shared" si="60"/>
        <v>30752</v>
      </c>
      <c r="J412" s="8">
        <f t="shared" si="61"/>
        <v>1045568</v>
      </c>
      <c r="K412" s="9" t="str">
        <f t="array" ref="K412:N412">_xlfn.XLOOKUP(C412,'Neiva 2022 FASE I ACTUAL (5)'!$C$6:$C$540,'Neiva 2022 FASE I ACTUAL (5)'!$C$6:$F$540,"NO ESTA")</f>
        <v>SUMINISTRO E INSTALACIÓN SOPORTES DE FIJACIÓN TIPO PELDAÑO DESCOLGADO PARA DUCTO PORTACABLES TROQUELADO</v>
      </c>
      <c r="L412" s="9" t="str">
        <v xml:space="preserve">UN   </v>
      </c>
      <c r="M412" s="9">
        <v>12</v>
      </c>
      <c r="N412" s="9">
        <v>29224</v>
      </c>
      <c r="O412" s="124" t="str">
        <f t="shared" si="64"/>
        <v>FASE II</v>
      </c>
      <c r="P412" s="155">
        <f t="shared" si="59"/>
        <v>46</v>
      </c>
      <c r="Q412" s="156">
        <f t="shared" si="62"/>
        <v>30752</v>
      </c>
      <c r="R412" s="156">
        <f t="shared" si="63"/>
        <v>1414592</v>
      </c>
    </row>
    <row r="413" spans="2:18" s="9" customFormat="1" ht="35.1" customHeight="1" x14ac:dyDescent="0.25">
      <c r="B413" s="53" t="s">
        <v>567</v>
      </c>
      <c r="C413" s="24" t="s">
        <v>568</v>
      </c>
      <c r="D413" s="24"/>
      <c r="E413" s="15"/>
      <c r="F413" s="129"/>
      <c r="G413" s="140"/>
      <c r="H413" s="8"/>
      <c r="I413" s="8">
        <f t="shared" si="60"/>
        <v>0</v>
      </c>
      <c r="J413" s="8">
        <f t="shared" si="61"/>
        <v>0</v>
      </c>
      <c r="K413" s="9" t="str">
        <f t="array" ref="K413:N413">_xlfn.XLOOKUP(C413,'Neiva 2022 FASE I ACTUAL (5)'!$C$6:$C$540,'Neiva 2022 FASE I ACTUAL (5)'!$C$6:$F$540,"NO ESTA")</f>
        <v>CANALETA PERIMETRAL MULTITOMA</v>
      </c>
      <c r="L413" s="9">
        <v>0</v>
      </c>
      <c r="M413" s="9">
        <v>0</v>
      </c>
      <c r="N413" s="9">
        <v>0</v>
      </c>
      <c r="O413" s="124">
        <f t="shared" si="64"/>
        <v>0</v>
      </c>
      <c r="P413" s="155">
        <f t="shared" si="59"/>
        <v>0</v>
      </c>
      <c r="Q413" s="156">
        <f t="shared" si="62"/>
        <v>0</v>
      </c>
      <c r="R413" s="156">
        <f t="shared" si="63"/>
        <v>0</v>
      </c>
    </row>
    <row r="414" spans="2:18" s="9" customFormat="1" ht="35.1" customHeight="1" x14ac:dyDescent="0.25">
      <c r="B414" s="23" t="s">
        <v>569</v>
      </c>
      <c r="C414" s="22" t="s">
        <v>570</v>
      </c>
      <c r="D414" s="23" t="s">
        <v>269</v>
      </c>
      <c r="E414" s="12">
        <v>182</v>
      </c>
      <c r="F414" s="126">
        <v>29842</v>
      </c>
      <c r="G414" s="126">
        <f>ROUND(+F414*E414,2)</f>
        <v>5431244</v>
      </c>
      <c r="H414" s="8"/>
      <c r="I414" s="8">
        <f t="shared" si="60"/>
        <v>30603</v>
      </c>
      <c r="J414" s="8">
        <f t="shared" si="61"/>
        <v>5569746</v>
      </c>
      <c r="K414" s="9" t="str">
        <f t="array" ref="K414:N414">_xlfn.XLOOKUP(C414,'Neiva 2022 FASE I ACTUAL (5)'!$C$6:$C$540,'Neiva 2022 FASE I ACTUAL (5)'!$C$6:$F$540,"NO ESTA")</f>
        <v>SUMINISTRO E INSTALACIÓN CANALETA MULTITOMA DE DOS COMPARTIMIENTOS EN LÁMINA COLD ROLLED CAL. 18 DE SECCIÓN 10x4 cm CON TAPA CLIP Y ACABADO ELECTROESTÁTICO GRIS NOPAL TEXTURIZADO</v>
      </c>
      <c r="L414" s="9" t="str">
        <v xml:space="preserve">ML   </v>
      </c>
      <c r="M414" s="9">
        <v>68</v>
      </c>
      <c r="N414" s="9">
        <v>29082</v>
      </c>
      <c r="O414" s="124" t="str">
        <f t="shared" si="64"/>
        <v>FASE II</v>
      </c>
      <c r="P414" s="155">
        <f t="shared" si="59"/>
        <v>250</v>
      </c>
      <c r="Q414" s="156">
        <f t="shared" si="62"/>
        <v>30603</v>
      </c>
      <c r="R414" s="156">
        <f t="shared" si="63"/>
        <v>7650750</v>
      </c>
    </row>
    <row r="415" spans="2:18" s="9" customFormat="1" ht="35.1" customHeight="1" x14ac:dyDescent="0.25">
      <c r="B415" s="23" t="s">
        <v>571</v>
      </c>
      <c r="C415" s="22" t="s">
        <v>572</v>
      </c>
      <c r="D415" s="23" t="s">
        <v>374</v>
      </c>
      <c r="E415" s="12">
        <v>80</v>
      </c>
      <c r="F415" s="126">
        <v>23284</v>
      </c>
      <c r="G415" s="126">
        <f>ROUND(+F415*E415,2)</f>
        <v>1862720</v>
      </c>
      <c r="H415" s="8"/>
      <c r="I415" s="8">
        <f t="shared" si="60"/>
        <v>23878</v>
      </c>
      <c r="J415" s="8">
        <f t="shared" si="61"/>
        <v>1910240</v>
      </c>
      <c r="K415" s="9" t="str">
        <f t="array" ref="K415:N415">_xlfn.XLOOKUP(C415,'Neiva 2022 FASE I ACTUAL (5)'!$C$6:$C$540,'Neiva 2022 FASE I ACTUAL (5)'!$C$6:$F$540,"NO ESTA")</f>
        <v>SUMINISTRO E INSTALACIÓN PLACA TOMA TROQUELADA PARA CANALETA 10x4 cm, CON PERFORACIONES PARA UNA (1) TOMA DOBLE COLOR BLANCO, UNA (1) TOMA DOBLE COLOR NARANJA Y UNA (1) TOMA RJ-45</v>
      </c>
      <c r="L415" s="9" t="str">
        <v>UN</v>
      </c>
      <c r="M415" s="9">
        <v>29</v>
      </c>
      <c r="N415" s="9">
        <v>22690</v>
      </c>
      <c r="O415" s="124" t="str">
        <f t="shared" si="64"/>
        <v>FASE II</v>
      </c>
      <c r="P415" s="155">
        <f t="shared" si="59"/>
        <v>109</v>
      </c>
      <c r="Q415" s="156">
        <f t="shared" si="62"/>
        <v>23878</v>
      </c>
      <c r="R415" s="156">
        <f t="shared" si="63"/>
        <v>2602702</v>
      </c>
    </row>
    <row r="416" spans="2:18" s="9" customFormat="1" ht="35.1" customHeight="1" x14ac:dyDescent="0.25">
      <c r="B416" s="53" t="s">
        <v>573</v>
      </c>
      <c r="C416" s="24" t="s">
        <v>574</v>
      </c>
      <c r="D416" s="24"/>
      <c r="E416" s="15"/>
      <c r="F416" s="129"/>
      <c r="G416" s="140"/>
      <c r="H416" s="8"/>
      <c r="I416" s="8">
        <f t="shared" si="60"/>
        <v>0</v>
      </c>
      <c r="J416" s="8">
        <f t="shared" si="61"/>
        <v>0</v>
      </c>
      <c r="K416" s="9" t="str">
        <f t="array" ref="K416:N416">_xlfn.XLOOKUP(C416,'Neiva 2022 FASE I ACTUAL (5)'!$C$6:$C$540,'Neiva 2022 FASE I ACTUAL (5)'!$C$6:$F$540,"NO ESTA")</f>
        <v>SUMINISTRO E INSTALACIÓN COMETIDA RED MEDIA TENSIÓN (SEGÚN NORMAS CODENSA SA ESP)</v>
      </c>
      <c r="L416" s="9">
        <v>0</v>
      </c>
      <c r="M416" s="9">
        <v>0</v>
      </c>
      <c r="N416" s="9">
        <v>0</v>
      </c>
      <c r="O416" s="124">
        <f t="shared" si="64"/>
        <v>0</v>
      </c>
      <c r="P416" s="155">
        <f t="shared" si="59"/>
        <v>0</v>
      </c>
      <c r="Q416" s="156">
        <f t="shared" si="62"/>
        <v>0</v>
      </c>
      <c r="R416" s="156">
        <f t="shared" si="63"/>
        <v>0</v>
      </c>
    </row>
    <row r="417" spans="2:18" s="9" customFormat="1" ht="35.1" customHeight="1" x14ac:dyDescent="0.25">
      <c r="B417" s="23" t="s">
        <v>575</v>
      </c>
      <c r="C417" s="22" t="s">
        <v>576</v>
      </c>
      <c r="D417" s="23" t="s">
        <v>374</v>
      </c>
      <c r="E417" s="12">
        <v>0</v>
      </c>
      <c r="F417" s="126">
        <v>71697829</v>
      </c>
      <c r="G417" s="126">
        <f t="shared" ref="G417:G430" si="66">ROUND(+F417*E417,2)</f>
        <v>0</v>
      </c>
      <c r="H417" s="8"/>
      <c r="I417" s="8">
        <f t="shared" si="60"/>
        <v>73526124</v>
      </c>
      <c r="J417" s="8">
        <f t="shared" si="61"/>
        <v>0</v>
      </c>
      <c r="K417" s="9" t="str">
        <f t="array" ref="K417:N417">_xlfn.XLOOKUP(C417,'Neiva 2022 FASE I ACTUAL (5)'!$C$6:$C$540,'Neiva 2022 FASE I ACTUAL (5)'!$C$6:$F$540,"NO ESTA")</f>
        <v>SUMINISTRO E INSTALACIÓN TRANSFORMADOR DE DISTRIBUCIÓN DE 500 Kva, NIVEL DE TENSIÓN PRIMARIO 13.200 VOLTIOS, NIVEL DE TENSIÓN SECUNDARIO 208/120 VOLTIOS. INCLUYE: RIEL DE SOPORTE PARA TRANSFORMADOR (PATIN), RUEDAS PARA RIEL CON FRENO MECANICO</v>
      </c>
      <c r="L417" s="9" t="str">
        <v>UN</v>
      </c>
      <c r="M417" s="9">
        <v>1</v>
      </c>
      <c r="N417" s="9">
        <v>69872853</v>
      </c>
      <c r="O417" s="124" t="str">
        <f t="shared" si="64"/>
        <v>FASE II</v>
      </c>
      <c r="P417" s="155">
        <f t="shared" si="59"/>
        <v>1</v>
      </c>
      <c r="Q417" s="156">
        <f t="shared" si="62"/>
        <v>73526124</v>
      </c>
      <c r="R417" s="156">
        <f t="shared" si="63"/>
        <v>73526124</v>
      </c>
    </row>
    <row r="418" spans="2:18" s="9" customFormat="1" ht="35.1" customHeight="1" x14ac:dyDescent="0.25">
      <c r="B418" s="23" t="s">
        <v>577</v>
      </c>
      <c r="C418" s="22" t="s">
        <v>578</v>
      </c>
      <c r="D418" s="23" t="s">
        <v>374</v>
      </c>
      <c r="E418" s="12">
        <v>0</v>
      </c>
      <c r="F418" s="126">
        <v>5308517</v>
      </c>
      <c r="G418" s="126">
        <f t="shared" si="66"/>
        <v>0</v>
      </c>
      <c r="H418" s="8"/>
      <c r="I418" s="8">
        <f t="shared" si="60"/>
        <v>5443884</v>
      </c>
      <c r="J418" s="8">
        <f t="shared" si="61"/>
        <v>0</v>
      </c>
      <c r="K418" s="9" t="str">
        <f t="array" ref="K418:N418">_xlfn.XLOOKUP(C418,'Neiva 2022 FASE I ACTUAL (5)'!$C$6:$C$540,'Neiva 2022 FASE I ACTUAL (5)'!$C$6:$F$540,"NO ESTA")</f>
        <v>SUMINISTRO E INSTALACIÓN PUERTA CORTAFUEGO PINTURA ELECTROESTÁTICA Y SEÑALES DE RIESGO ELÉCTRICO. INCLUYE ACCESORIOS PARA ENCLAVAMIENTO</v>
      </c>
      <c r="L418" s="9" t="str">
        <v>UN</v>
      </c>
      <c r="M418" s="9">
        <v>1</v>
      </c>
      <c r="N418" s="9">
        <v>5173395</v>
      </c>
      <c r="O418" s="124" t="str">
        <f t="shared" si="64"/>
        <v>FASE II</v>
      </c>
      <c r="P418" s="155">
        <f t="shared" si="59"/>
        <v>1</v>
      </c>
      <c r="Q418" s="156">
        <f t="shared" si="62"/>
        <v>5443884</v>
      </c>
      <c r="R418" s="156">
        <f t="shared" si="63"/>
        <v>5443884</v>
      </c>
    </row>
    <row r="419" spans="2:18" s="9" customFormat="1" ht="35.1" customHeight="1" x14ac:dyDescent="0.25">
      <c r="B419" s="23" t="s">
        <v>579</v>
      </c>
      <c r="C419" s="22" t="s">
        <v>580</v>
      </c>
      <c r="D419" s="23" t="s">
        <v>374</v>
      </c>
      <c r="E419" s="12">
        <v>0</v>
      </c>
      <c r="F419" s="126">
        <v>197566</v>
      </c>
      <c r="G419" s="126">
        <f t="shared" si="66"/>
        <v>0</v>
      </c>
      <c r="H419" s="8"/>
      <c r="I419" s="8">
        <f t="shared" si="60"/>
        <v>202604</v>
      </c>
      <c r="J419" s="8">
        <f t="shared" si="61"/>
        <v>0</v>
      </c>
      <c r="K419" s="9" t="str">
        <f t="array" ref="K419:N419">_xlfn.XLOOKUP(C419,'Neiva 2022 FASE I ACTUAL (5)'!$C$6:$C$540,'Neiva 2022 FASE I ACTUAL (5)'!$C$6:$F$540,"NO ESTA")</f>
        <v>SUMINISTRO E INSTALACIÓN BARRERA DE PROTECCIÓN PARA EVITAR CONTACTO DIRECTO CON TRANSFORMADOR. INCLUYE INDUMENTARIA PARA ASEGURAR LA BARRERA A LA DISTANCIA ADECUADA DEL TRANSFORMADOR</v>
      </c>
      <c r="L419" s="9" t="str">
        <v>UN</v>
      </c>
      <c r="M419" s="9">
        <v>1</v>
      </c>
      <c r="N419" s="9">
        <v>192537</v>
      </c>
      <c r="O419" s="124" t="str">
        <f t="shared" si="64"/>
        <v>FASE II</v>
      </c>
      <c r="P419" s="155">
        <f t="shared" si="59"/>
        <v>1</v>
      </c>
      <c r="Q419" s="156">
        <f t="shared" si="62"/>
        <v>202604</v>
      </c>
      <c r="R419" s="156">
        <f t="shared" si="63"/>
        <v>202604</v>
      </c>
    </row>
    <row r="420" spans="2:18" s="9" customFormat="1" ht="35.1" customHeight="1" x14ac:dyDescent="0.25">
      <c r="B420" s="23" t="s">
        <v>581</v>
      </c>
      <c r="C420" s="22" t="s">
        <v>1225</v>
      </c>
      <c r="D420" s="23" t="s">
        <v>374</v>
      </c>
      <c r="E420" s="12">
        <v>0</v>
      </c>
      <c r="F420" s="126">
        <v>161010</v>
      </c>
      <c r="G420" s="126">
        <f t="shared" si="66"/>
        <v>0</v>
      </c>
      <c r="H420" s="8"/>
      <c r="I420" s="8">
        <f t="shared" si="60"/>
        <v>165116</v>
      </c>
      <c r="J420" s="8">
        <f t="shared" si="61"/>
        <v>0</v>
      </c>
      <c r="K420" s="9" t="str">
        <f t="array" ref="K420">_xlfn.XLOOKUP(C420,'Neiva 2022 FASE I ACTUAL (5)'!$C$6:$C$540,'Neiva 2022 FASE I ACTUAL (5)'!$C$6:$F$540,"NO ESTA")</f>
        <v>NO ESTA</v>
      </c>
      <c r="O420" s="124">
        <f t="shared" si="64"/>
        <v>0</v>
      </c>
      <c r="P420" s="155">
        <f t="shared" si="59"/>
        <v>0</v>
      </c>
      <c r="Q420" s="156">
        <f t="shared" si="62"/>
        <v>165116</v>
      </c>
      <c r="R420" s="156">
        <f t="shared" si="63"/>
        <v>0</v>
      </c>
    </row>
    <row r="421" spans="2:18" s="9" customFormat="1" ht="35.1" customHeight="1" x14ac:dyDescent="0.25">
      <c r="B421" s="23" t="s">
        <v>583</v>
      </c>
      <c r="C421" s="22" t="s">
        <v>584</v>
      </c>
      <c r="D421" s="23" t="s">
        <v>374</v>
      </c>
      <c r="E421" s="12">
        <v>0</v>
      </c>
      <c r="F421" s="126">
        <v>324542</v>
      </c>
      <c r="G421" s="126">
        <f t="shared" si="66"/>
        <v>0</v>
      </c>
      <c r="H421" s="8"/>
      <c r="I421" s="8">
        <f t="shared" si="60"/>
        <v>332818</v>
      </c>
      <c r="J421" s="8">
        <f t="shared" si="61"/>
        <v>0</v>
      </c>
      <c r="K421" s="9" t="str">
        <f t="array" ref="K421:N421">_xlfn.XLOOKUP(C421,'Neiva 2022 FASE I ACTUAL (5)'!$C$6:$C$540,'Neiva 2022 FASE I ACTUAL (5)'!$C$6:$F$540,"NO ESTA")</f>
        <v>SUMINISTRO E INSTALACIÓN PASAMUROS DE MEDIA TENSIÓN, PASA MUROS EN PVC INCLUYE OBRAS NECESARIAS PARA LA INSTALACIÓN DE LAS MISMAS (JUEGO)</v>
      </c>
      <c r="L421" s="9" t="str">
        <v>UN</v>
      </c>
      <c r="M421" s="9">
        <v>1</v>
      </c>
      <c r="N421" s="9">
        <v>316281</v>
      </c>
      <c r="O421" s="124" t="str">
        <f t="shared" si="64"/>
        <v>FASE II</v>
      </c>
      <c r="P421" s="155">
        <f t="shared" si="59"/>
        <v>1</v>
      </c>
      <c r="Q421" s="156">
        <f t="shared" si="62"/>
        <v>332818</v>
      </c>
      <c r="R421" s="156">
        <f t="shared" si="63"/>
        <v>332818</v>
      </c>
    </row>
    <row r="422" spans="2:18" s="9" customFormat="1" ht="35.1" customHeight="1" x14ac:dyDescent="0.25">
      <c r="B422" s="23" t="s">
        <v>585</v>
      </c>
      <c r="C422" s="22" t="s">
        <v>586</v>
      </c>
      <c r="D422" s="23" t="s">
        <v>374</v>
      </c>
      <c r="E422" s="12">
        <v>0</v>
      </c>
      <c r="F422" s="126">
        <v>395661</v>
      </c>
      <c r="G422" s="126">
        <f t="shared" si="66"/>
        <v>0</v>
      </c>
      <c r="H422" s="8"/>
      <c r="I422" s="8">
        <f t="shared" si="60"/>
        <v>405750</v>
      </c>
      <c r="J422" s="8">
        <f t="shared" si="61"/>
        <v>0</v>
      </c>
      <c r="K422" s="9" t="str">
        <f t="array" ref="K422:N422">_xlfn.XLOOKUP(C422,'Neiva 2022 FASE I ACTUAL (5)'!$C$6:$C$540,'Neiva 2022 FASE I ACTUAL (5)'!$C$6:$F$540,"NO ESTA")</f>
        <v>SUMINISTRO E INSTALACIÓN DUCTO DE VENTILACIÓN CON DÁMPER FIRE, INCLUYE REJILLA DAMPER PARA EMERGENCIA</v>
      </c>
      <c r="L422" s="9" t="str">
        <v>UN</v>
      </c>
      <c r="M422" s="9">
        <v>1</v>
      </c>
      <c r="N422" s="9">
        <v>385590</v>
      </c>
      <c r="O422" s="124" t="str">
        <f t="shared" si="64"/>
        <v>FASE II</v>
      </c>
      <c r="P422" s="155">
        <f t="shared" si="59"/>
        <v>1</v>
      </c>
      <c r="Q422" s="156">
        <f t="shared" si="62"/>
        <v>405750</v>
      </c>
      <c r="R422" s="156">
        <f t="shared" si="63"/>
        <v>405750</v>
      </c>
    </row>
    <row r="423" spans="2:18" s="9" customFormat="1" ht="35.1" customHeight="1" x14ac:dyDescent="0.25">
      <c r="B423" s="23" t="s">
        <v>587</v>
      </c>
      <c r="C423" s="22" t="s">
        <v>1226</v>
      </c>
      <c r="D423" s="23" t="s">
        <v>374</v>
      </c>
      <c r="E423" s="12">
        <v>0</v>
      </c>
      <c r="F423" s="126">
        <v>289655</v>
      </c>
      <c r="G423" s="126">
        <f t="shared" si="66"/>
        <v>0</v>
      </c>
      <c r="H423" s="8"/>
      <c r="I423" s="8">
        <f t="shared" si="60"/>
        <v>297041</v>
      </c>
      <c r="J423" s="8">
        <f t="shared" si="61"/>
        <v>0</v>
      </c>
      <c r="K423" s="9" t="str">
        <f t="array" ref="K423">_xlfn.XLOOKUP(C423,'Neiva 2022 FASE I ACTUAL (5)'!$C$6:$C$540,'Neiva 2022 FASE I ACTUAL (5)'!$C$6:$F$540,"NO ESTA")</f>
        <v>NO ESTA</v>
      </c>
      <c r="O423" s="124">
        <f t="shared" si="64"/>
        <v>0</v>
      </c>
      <c r="P423" s="155">
        <f t="shared" si="59"/>
        <v>0</v>
      </c>
      <c r="Q423" s="156">
        <f t="shared" si="62"/>
        <v>297041</v>
      </c>
      <c r="R423" s="156">
        <f t="shared" si="63"/>
        <v>0</v>
      </c>
    </row>
    <row r="424" spans="2:18" s="9" customFormat="1" ht="35.1" customHeight="1" x14ac:dyDescent="0.25">
      <c r="B424" s="23" t="s">
        <v>589</v>
      </c>
      <c r="C424" s="22" t="s">
        <v>590</v>
      </c>
      <c r="D424" s="23" t="s">
        <v>374</v>
      </c>
      <c r="E424" s="12">
        <v>1</v>
      </c>
      <c r="F424" s="126">
        <v>584126</v>
      </c>
      <c r="G424" s="126">
        <f t="shared" si="66"/>
        <v>584126</v>
      </c>
      <c r="H424" s="8"/>
      <c r="I424" s="8">
        <f t="shared" si="60"/>
        <v>599021</v>
      </c>
      <c r="J424" s="8">
        <f t="shared" si="61"/>
        <v>599021</v>
      </c>
      <c r="K424" s="9" t="str">
        <f t="array" ref="K424:N424">_xlfn.XLOOKUP(C424,'Neiva 2022 FASE I ACTUAL (5)'!$C$6:$C$540,'Neiva 2022 FASE I ACTUAL (5)'!$C$6:$F$540,"NO ESTA")</f>
        <v>SUMINISTRO E INSTALACIÓN DE DPS (DISPOSITIVO DE PROTECCIÓN CONTRA SOBRETENSIONES)</v>
      </c>
      <c r="L424" s="9" t="str">
        <v>UN</v>
      </c>
      <c r="M424" s="9">
        <v>1</v>
      </c>
      <c r="N424" s="9">
        <v>569258</v>
      </c>
      <c r="O424" s="124" t="str">
        <f t="shared" si="64"/>
        <v>FASE II</v>
      </c>
      <c r="P424" s="155">
        <f t="shared" si="59"/>
        <v>2</v>
      </c>
      <c r="Q424" s="156">
        <f t="shared" si="62"/>
        <v>599021</v>
      </c>
      <c r="R424" s="156">
        <f t="shared" si="63"/>
        <v>1198042</v>
      </c>
    </row>
    <row r="425" spans="2:18" s="9" customFormat="1" ht="35.1" customHeight="1" x14ac:dyDescent="0.25">
      <c r="B425" s="23" t="s">
        <v>591</v>
      </c>
      <c r="C425" s="22" t="s">
        <v>1227</v>
      </c>
      <c r="D425" s="23" t="s">
        <v>374</v>
      </c>
      <c r="E425" s="12">
        <v>0</v>
      </c>
      <c r="F425" s="126">
        <v>18747389</v>
      </c>
      <c r="G425" s="126">
        <f t="shared" si="66"/>
        <v>0</v>
      </c>
      <c r="H425" s="8"/>
      <c r="I425" s="8">
        <f t="shared" si="60"/>
        <v>19225447</v>
      </c>
      <c r="J425" s="8">
        <f t="shared" si="61"/>
        <v>0</v>
      </c>
      <c r="K425" s="9" t="str">
        <f t="array" ref="K425">_xlfn.XLOOKUP(C425,'Neiva 2022 FASE I ACTUAL (5)'!$C$6:$C$540,'Neiva 2022 FASE I ACTUAL (5)'!$C$6:$F$540,"NO ESTA")</f>
        <v>NO ESTA</v>
      </c>
      <c r="O425" s="124">
        <f t="shared" si="64"/>
        <v>0</v>
      </c>
      <c r="P425" s="155">
        <f t="shared" si="59"/>
        <v>0</v>
      </c>
      <c r="Q425" s="156">
        <f t="shared" si="62"/>
        <v>19225447</v>
      </c>
      <c r="R425" s="156">
        <f t="shared" si="63"/>
        <v>0</v>
      </c>
    </row>
    <row r="426" spans="2:18" s="9" customFormat="1" ht="35.1" customHeight="1" x14ac:dyDescent="0.25">
      <c r="B426" s="23" t="s">
        <v>593</v>
      </c>
      <c r="C426" s="22" t="s">
        <v>594</v>
      </c>
      <c r="D426" s="23" t="s">
        <v>374</v>
      </c>
      <c r="E426" s="12">
        <v>2</v>
      </c>
      <c r="F426" s="126">
        <v>1490034</v>
      </c>
      <c r="G426" s="126">
        <f t="shared" si="66"/>
        <v>2980068</v>
      </c>
      <c r="H426" s="8"/>
      <c r="I426" s="8">
        <f t="shared" si="60"/>
        <v>1528030</v>
      </c>
      <c r="J426" s="8">
        <f t="shared" si="61"/>
        <v>3056060</v>
      </c>
      <c r="K426" s="9" t="str">
        <f t="array" ref="K426:N426">_xlfn.XLOOKUP(C426,'Neiva 2022 FASE I ACTUAL (5)'!$C$6:$C$540,'Neiva 2022 FASE I ACTUAL (5)'!$C$6:$F$540,"NO ESTA")</f>
        <v xml:space="preserve">SUMINISTRO E INSTALACIÓN CAJA DE INSPECCIÓN SENCILLA CON TAPA EN CONCRETO SEGÚN NORMA CS-276 CODENSA S.A. ESP PARA RED DE MEDIA Y BAJA TENSIÓN. </v>
      </c>
      <c r="L426" s="9" t="str">
        <v>UN</v>
      </c>
      <c r="M426" s="9">
        <v>1</v>
      </c>
      <c r="N426" s="9">
        <v>1452107</v>
      </c>
      <c r="O426" s="124" t="str">
        <f t="shared" si="64"/>
        <v>FASE II</v>
      </c>
      <c r="P426" s="155">
        <f t="shared" si="59"/>
        <v>3</v>
      </c>
      <c r="Q426" s="156">
        <f t="shared" si="62"/>
        <v>1528030</v>
      </c>
      <c r="R426" s="156">
        <f t="shared" si="63"/>
        <v>4584090</v>
      </c>
    </row>
    <row r="427" spans="2:18" s="9" customFormat="1" ht="35.1" customHeight="1" x14ac:dyDescent="0.25">
      <c r="B427" s="53" t="s">
        <v>595</v>
      </c>
      <c r="C427" s="24" t="s">
        <v>596</v>
      </c>
      <c r="D427" s="24"/>
      <c r="E427" s="15"/>
      <c r="F427" s="126">
        <v>0</v>
      </c>
      <c r="G427" s="126">
        <f t="shared" si="66"/>
        <v>0</v>
      </c>
      <c r="H427" s="8"/>
      <c r="I427" s="8">
        <f t="shared" si="60"/>
        <v>0</v>
      </c>
      <c r="J427" s="8">
        <f t="shared" si="61"/>
        <v>0</v>
      </c>
      <c r="K427" s="9" t="str">
        <f t="array" ref="K427:N427">_xlfn.XLOOKUP(C427,'Neiva 2022 FASE I ACTUAL (5)'!$C$6:$C$540,'Neiva 2022 FASE I ACTUAL (5)'!$C$6:$F$540,"NO ESTA")</f>
        <v>SUMINISTRO E INSTALACIÓN ALIMENTADORES ELÉCTRICOS PRINCIPALES</v>
      </c>
      <c r="L427" s="9">
        <v>0</v>
      </c>
      <c r="M427" s="9">
        <v>0</v>
      </c>
      <c r="N427" s="9">
        <v>0</v>
      </c>
      <c r="O427" s="124">
        <f t="shared" si="64"/>
        <v>0</v>
      </c>
      <c r="P427" s="155">
        <f t="shared" si="59"/>
        <v>0</v>
      </c>
      <c r="Q427" s="156">
        <f t="shared" si="62"/>
        <v>0</v>
      </c>
      <c r="R427" s="156">
        <f t="shared" si="63"/>
        <v>0</v>
      </c>
    </row>
    <row r="428" spans="2:18" s="9" customFormat="1" ht="35.1" customHeight="1" x14ac:dyDescent="0.25">
      <c r="B428" s="23" t="s">
        <v>597</v>
      </c>
      <c r="C428" s="22" t="s">
        <v>598</v>
      </c>
      <c r="D428" s="23" t="s">
        <v>269</v>
      </c>
      <c r="E428" s="12">
        <v>0</v>
      </c>
      <c r="F428" s="126">
        <v>314854</v>
      </c>
      <c r="G428" s="126">
        <f t="shared" si="66"/>
        <v>0</v>
      </c>
      <c r="H428" s="8"/>
      <c r="I428" s="8">
        <f t="shared" si="60"/>
        <v>322883</v>
      </c>
      <c r="J428" s="8">
        <f t="shared" si="61"/>
        <v>0</v>
      </c>
      <c r="K428" s="9" t="str">
        <f t="array" ref="K428:N428">_xlfn.XLOOKUP(C428,'Neiva 2022 FASE I ACTUAL (5)'!$C$6:$C$540,'Neiva 2022 FASE I ACTUAL (5)'!$C$6:$F$540,"NO ESTA")</f>
        <v>SUMINISTRO E INSTALACIÓN INTERCONEXIÓN ENTRE CAJA CS-276 Y CELDA DE MEDIDA CABLE XLPE 15KV T AWG EN TUBERÍA PVC 6".</v>
      </c>
      <c r="L428" s="9" t="str">
        <v xml:space="preserve">ML   </v>
      </c>
      <c r="M428" s="9">
        <v>20</v>
      </c>
      <c r="N428" s="9">
        <v>306841</v>
      </c>
      <c r="O428" s="124" t="str">
        <f t="shared" si="64"/>
        <v>FASE II</v>
      </c>
      <c r="P428" s="155">
        <f t="shared" si="59"/>
        <v>20</v>
      </c>
      <c r="Q428" s="156">
        <f t="shared" si="62"/>
        <v>322883</v>
      </c>
      <c r="R428" s="156">
        <f t="shared" si="63"/>
        <v>6457660</v>
      </c>
    </row>
    <row r="429" spans="2:18" s="9" customFormat="1" ht="35.1" customHeight="1" x14ac:dyDescent="0.25">
      <c r="B429" s="23" t="s">
        <v>599</v>
      </c>
      <c r="C429" s="22" t="s">
        <v>1228</v>
      </c>
      <c r="D429" s="23" t="s">
        <v>269</v>
      </c>
      <c r="E429" s="12">
        <v>0</v>
      </c>
      <c r="F429" s="126">
        <v>1162072</v>
      </c>
      <c r="G429" s="126">
        <f t="shared" si="66"/>
        <v>0</v>
      </c>
      <c r="H429" s="8"/>
      <c r="I429" s="8">
        <f t="shared" si="60"/>
        <v>1191705</v>
      </c>
      <c r="J429" s="8">
        <f t="shared" si="61"/>
        <v>0</v>
      </c>
      <c r="K429" s="9" t="str">
        <f t="array" ref="K429">_xlfn.XLOOKUP(C429,'Neiva 2022 FASE I ACTUAL (5)'!$C$6:$C$540,'Neiva 2022 FASE I ACTUAL (5)'!$C$6:$F$540,"NO ESTA")</f>
        <v>NO ESTA</v>
      </c>
      <c r="O429" s="124">
        <f t="shared" si="64"/>
        <v>0</v>
      </c>
      <c r="P429" s="155">
        <f t="shared" si="59"/>
        <v>0</v>
      </c>
      <c r="Q429" s="156">
        <f t="shared" si="62"/>
        <v>1191705</v>
      </c>
      <c r="R429" s="156">
        <f t="shared" si="63"/>
        <v>0</v>
      </c>
    </row>
    <row r="430" spans="2:18" s="9" customFormat="1" ht="35.1" customHeight="1" x14ac:dyDescent="0.25">
      <c r="B430" s="23" t="s">
        <v>601</v>
      </c>
      <c r="C430" s="22" t="s">
        <v>1229</v>
      </c>
      <c r="D430" s="23" t="s">
        <v>269</v>
      </c>
      <c r="E430" s="12">
        <v>0</v>
      </c>
      <c r="F430" s="126">
        <v>1222558</v>
      </c>
      <c r="G430" s="126">
        <f t="shared" si="66"/>
        <v>0</v>
      </c>
      <c r="H430" s="8"/>
      <c r="I430" s="8">
        <f t="shared" si="60"/>
        <v>1253733</v>
      </c>
      <c r="J430" s="8">
        <f t="shared" si="61"/>
        <v>0</v>
      </c>
      <c r="K430" s="9" t="str">
        <f t="array" ref="K430">_xlfn.XLOOKUP(C430,'Neiva 2022 FASE I ACTUAL (5)'!$C$6:$C$540,'Neiva 2022 FASE I ACTUAL (5)'!$C$6:$F$540,"NO ESTA")</f>
        <v>NO ESTA</v>
      </c>
      <c r="O430" s="124">
        <f t="shared" si="64"/>
        <v>0</v>
      </c>
      <c r="P430" s="155">
        <f t="shared" si="59"/>
        <v>0</v>
      </c>
      <c r="Q430" s="156">
        <f t="shared" si="62"/>
        <v>1253733</v>
      </c>
      <c r="R430" s="156">
        <f t="shared" si="63"/>
        <v>0</v>
      </c>
    </row>
    <row r="431" spans="2:18" s="9" customFormat="1" ht="35.1" customHeight="1" x14ac:dyDescent="0.25">
      <c r="B431" s="53" t="s">
        <v>603</v>
      </c>
      <c r="C431" s="24" t="s">
        <v>596</v>
      </c>
      <c r="D431" s="24"/>
      <c r="E431" s="15"/>
      <c r="F431" s="129"/>
      <c r="G431" s="140"/>
      <c r="H431" s="8"/>
      <c r="I431" s="8">
        <f t="shared" si="60"/>
        <v>0</v>
      </c>
      <c r="J431" s="8">
        <f t="shared" si="61"/>
        <v>0</v>
      </c>
      <c r="K431" s="9" t="str">
        <f t="array" ref="K431:N431">_xlfn.XLOOKUP(C431,'Neiva 2022 FASE I ACTUAL (5)'!$C$6:$C$540,'Neiva 2022 FASE I ACTUAL (5)'!$C$6:$F$540,"NO ESTA")</f>
        <v>SUMINISTRO E INSTALACIÓN ALIMENTADORES ELÉCTRICOS PRINCIPALES</v>
      </c>
      <c r="L431" s="9">
        <v>0</v>
      </c>
      <c r="M431" s="9">
        <v>0</v>
      </c>
      <c r="N431" s="9">
        <v>0</v>
      </c>
      <c r="O431" s="124">
        <f t="shared" si="64"/>
        <v>0</v>
      </c>
      <c r="P431" s="155">
        <f t="shared" si="59"/>
        <v>0</v>
      </c>
      <c r="Q431" s="156">
        <f t="shared" si="62"/>
        <v>0</v>
      </c>
      <c r="R431" s="156">
        <f t="shared" si="63"/>
        <v>0</v>
      </c>
    </row>
    <row r="432" spans="2:18" s="9" customFormat="1" ht="35.1" customHeight="1" x14ac:dyDescent="0.25">
      <c r="B432" s="23" t="s">
        <v>604</v>
      </c>
      <c r="C432" s="22" t="s">
        <v>605</v>
      </c>
      <c r="D432" s="23" t="s">
        <v>269</v>
      </c>
      <c r="E432" s="12">
        <v>0</v>
      </c>
      <c r="F432" s="126">
        <v>190892</v>
      </c>
      <c r="G432" s="126">
        <f t="shared" ref="G432:G450" si="67">ROUND(+F432*E432,2)</f>
        <v>0</v>
      </c>
      <c r="H432" s="8"/>
      <c r="I432" s="8">
        <f t="shared" si="60"/>
        <v>195760</v>
      </c>
      <c r="J432" s="8">
        <f t="shared" si="61"/>
        <v>0</v>
      </c>
      <c r="K432" s="9" t="str">
        <f t="array" ref="K432:N432">_xlfn.XLOOKUP(C432,'Neiva 2022 FASE I ACTUAL (5)'!$C$6:$C$540,'Neiva 2022 FASE I ACTUAL (5)'!$C$6:$F$540,"NO ESTA")</f>
        <v>SUMINISTRO E INSTALACIÓN ALIMENTADOR DESDE TRANSFERENCIA HASTA TABLERO GENERAL DE MAQUINAS EN 3#4/0+1#4/0N+1#2T AWG EN BANDEJA PORTA CABLES</v>
      </c>
      <c r="L432" s="9" t="str">
        <v xml:space="preserve">ML   </v>
      </c>
      <c r="M432" s="9">
        <v>8</v>
      </c>
      <c r="N432" s="9">
        <v>186035</v>
      </c>
      <c r="O432" s="124" t="str">
        <f t="shared" si="64"/>
        <v>FASE II</v>
      </c>
      <c r="P432" s="155">
        <f t="shared" si="59"/>
        <v>8</v>
      </c>
      <c r="Q432" s="156">
        <f t="shared" si="62"/>
        <v>195760</v>
      </c>
      <c r="R432" s="156">
        <f t="shared" si="63"/>
        <v>1566080</v>
      </c>
    </row>
    <row r="433" spans="2:18" s="9" customFormat="1" ht="35.1" customHeight="1" x14ac:dyDescent="0.25">
      <c r="B433" s="23" t="s">
        <v>606</v>
      </c>
      <c r="C433" s="22" t="s">
        <v>607</v>
      </c>
      <c r="D433" s="23" t="s">
        <v>269</v>
      </c>
      <c r="E433" s="12">
        <v>0</v>
      </c>
      <c r="F433" s="126">
        <v>61314</v>
      </c>
      <c r="G433" s="126">
        <f t="shared" si="67"/>
        <v>0</v>
      </c>
      <c r="H433" s="8"/>
      <c r="I433" s="8">
        <f t="shared" si="60"/>
        <v>62878</v>
      </c>
      <c r="J433" s="8">
        <f t="shared" si="61"/>
        <v>0</v>
      </c>
      <c r="K433" s="9" t="str">
        <f t="array" ref="K433:N433">_xlfn.XLOOKUP(C433,'Neiva 2022 FASE I ACTUAL (5)'!$C$6:$C$540,'Neiva 2022 FASE I ACTUAL (5)'!$C$6:$F$540,"NO ESTA")</f>
        <v>SUMINISTRO E INSTALACIÓN ALIMENTADOR DESDE EL TABLERO GENERAL MAQUINAS HASTA EL TABLERO DE ASCENSOR EN 3#6+1#6N+1#8T AWG EN TUBERIA PVC ø 1 1/2" INCLUYENDO DE TERMINALES DE CONEXIÓN</v>
      </c>
      <c r="L433" s="9" t="str">
        <v xml:space="preserve">ML   </v>
      </c>
      <c r="M433" s="9">
        <v>52</v>
      </c>
      <c r="N433" s="9">
        <v>59752</v>
      </c>
      <c r="O433" s="124" t="str">
        <f t="shared" si="64"/>
        <v>FASE II</v>
      </c>
      <c r="P433" s="155">
        <f t="shared" si="59"/>
        <v>52</v>
      </c>
      <c r="Q433" s="156">
        <f t="shared" si="62"/>
        <v>62878</v>
      </c>
      <c r="R433" s="156">
        <f t="shared" si="63"/>
        <v>3269656</v>
      </c>
    </row>
    <row r="434" spans="2:18" s="9" customFormat="1" ht="35.1" customHeight="1" x14ac:dyDescent="0.25">
      <c r="B434" s="23" t="s">
        <v>608</v>
      </c>
      <c r="C434" s="22" t="s">
        <v>609</v>
      </c>
      <c r="D434" s="23" t="s">
        <v>269</v>
      </c>
      <c r="E434" s="12">
        <v>0</v>
      </c>
      <c r="F434" s="126">
        <v>61314</v>
      </c>
      <c r="G434" s="126">
        <f t="shared" si="67"/>
        <v>0</v>
      </c>
      <c r="H434" s="8"/>
      <c r="I434" s="8">
        <f t="shared" si="60"/>
        <v>62878</v>
      </c>
      <c r="J434" s="8">
        <f t="shared" si="61"/>
        <v>0</v>
      </c>
      <c r="K434" s="9" t="str">
        <f t="array" ref="K434:N434">_xlfn.XLOOKUP(C434,'Neiva 2022 FASE I ACTUAL (5)'!$C$6:$C$540,'Neiva 2022 FASE I ACTUAL (5)'!$C$6:$F$540,"NO ESTA")</f>
        <v>SUMINISTRO E INSTALACIÓN ALIMENTADOR DESDE EL TABLERO GENERAL MAQUINAS HASTA EL TABLERO NORMAL BOMBAS EN 3#6+1#6N+1#8T AWG EN TUBERIA PVC 1 ø 1 1/2" INCLUYENDO DE TERMINALES DE CONEXIÓN</v>
      </c>
      <c r="L434" s="9" t="str">
        <v xml:space="preserve">ML   </v>
      </c>
      <c r="M434" s="9">
        <v>106</v>
      </c>
      <c r="N434" s="9">
        <v>59752</v>
      </c>
      <c r="O434" s="124" t="str">
        <f t="shared" si="64"/>
        <v>FASE II</v>
      </c>
      <c r="P434" s="155">
        <f t="shared" si="59"/>
        <v>106</v>
      </c>
      <c r="Q434" s="156">
        <f t="shared" si="62"/>
        <v>62878</v>
      </c>
      <c r="R434" s="156">
        <f t="shared" si="63"/>
        <v>6665068</v>
      </c>
    </row>
    <row r="435" spans="2:18" s="9" customFormat="1" ht="35.1" customHeight="1" x14ac:dyDescent="0.25">
      <c r="B435" s="23" t="s">
        <v>610</v>
      </c>
      <c r="C435" s="22" t="s">
        <v>611</v>
      </c>
      <c r="D435" s="23" t="s">
        <v>269</v>
      </c>
      <c r="E435" s="12">
        <v>0</v>
      </c>
      <c r="F435" s="126">
        <v>358460</v>
      </c>
      <c r="G435" s="126">
        <f t="shared" si="67"/>
        <v>0</v>
      </c>
      <c r="H435" s="8"/>
      <c r="I435" s="8">
        <f t="shared" si="60"/>
        <v>367601</v>
      </c>
      <c r="J435" s="8">
        <f t="shared" si="61"/>
        <v>0</v>
      </c>
      <c r="K435" s="9" t="str">
        <f t="array" ref="K435:N435">_xlfn.XLOOKUP(C435,'Neiva 2022 FASE I ACTUAL (5)'!$C$6:$C$540,'Neiva 2022 FASE I ACTUAL (5)'!$C$6:$F$540,"NO ESTA")</f>
        <v>SUMINISTRO E INSTALACIÓN ALIMENTADOR DESDE TRANSFERENCIA HASTA EL TABLERO GENERAL DE DISTRIBUCIÓN EN 6#4/0+2#4/0N+1#4T EN BANDEJA PORTACABLES</v>
      </c>
      <c r="L435" s="9" t="str">
        <v xml:space="preserve">ML   </v>
      </c>
      <c r="M435" s="9">
        <v>5</v>
      </c>
      <c r="N435" s="9">
        <v>349335</v>
      </c>
      <c r="O435" s="124" t="str">
        <f t="shared" si="64"/>
        <v>FASE II</v>
      </c>
      <c r="P435" s="155">
        <f t="shared" si="59"/>
        <v>5</v>
      </c>
      <c r="Q435" s="156">
        <f t="shared" si="62"/>
        <v>367601</v>
      </c>
      <c r="R435" s="156">
        <f t="shared" si="63"/>
        <v>1838005</v>
      </c>
    </row>
    <row r="436" spans="2:18" s="9" customFormat="1" ht="35.1" customHeight="1" x14ac:dyDescent="0.25">
      <c r="B436" s="23" t="s">
        <v>612</v>
      </c>
      <c r="C436" s="22" t="s">
        <v>613</v>
      </c>
      <c r="D436" s="23" t="s">
        <v>269</v>
      </c>
      <c r="E436" s="12">
        <v>0</v>
      </c>
      <c r="F436" s="126">
        <v>61314</v>
      </c>
      <c r="G436" s="126">
        <f t="shared" si="67"/>
        <v>0</v>
      </c>
      <c r="H436" s="8"/>
      <c r="I436" s="8">
        <f t="shared" si="60"/>
        <v>62878</v>
      </c>
      <c r="J436" s="8">
        <f t="shared" si="61"/>
        <v>0</v>
      </c>
      <c r="K436" s="9" t="str">
        <f t="array" ref="K436:N436">_xlfn.XLOOKUP(C436,'Neiva 2022 FASE I ACTUAL (5)'!$C$6:$C$540,'Neiva 2022 FASE I ACTUAL (5)'!$C$6:$F$540,"NO ESTA")</f>
        <v>SUMINISTRO E INSTALACIÓN ALIMENTADOR DESDE EL TABLERO GENERAL DE DISTRIBUCIÓN HASTA EL TNS SOTANO POR CARCAMO CON 3#6+1#6N+1#8T AWG INCLUYE TERMINALES DE CONEXIÓN</v>
      </c>
      <c r="L436" s="9" t="str">
        <v xml:space="preserve">ML   </v>
      </c>
      <c r="M436" s="9">
        <v>6</v>
      </c>
      <c r="N436" s="9">
        <v>59752</v>
      </c>
      <c r="O436" s="124" t="str">
        <f t="shared" si="64"/>
        <v>FASE II</v>
      </c>
      <c r="P436" s="155">
        <f t="shared" si="59"/>
        <v>6</v>
      </c>
      <c r="Q436" s="156">
        <f t="shared" si="62"/>
        <v>62878</v>
      </c>
      <c r="R436" s="156">
        <f t="shared" si="63"/>
        <v>377268</v>
      </c>
    </row>
    <row r="437" spans="2:18" s="9" customFormat="1" ht="35.1" customHeight="1" x14ac:dyDescent="0.25">
      <c r="B437" s="23" t="s">
        <v>614</v>
      </c>
      <c r="C437" s="22" t="s">
        <v>615</v>
      </c>
      <c r="D437" s="23" t="s">
        <v>269</v>
      </c>
      <c r="E437" s="12">
        <v>0</v>
      </c>
      <c r="F437" s="126">
        <v>128769</v>
      </c>
      <c r="G437" s="126">
        <f t="shared" si="67"/>
        <v>0</v>
      </c>
      <c r="H437" s="8"/>
      <c r="I437" s="8">
        <f t="shared" si="60"/>
        <v>132053</v>
      </c>
      <c r="J437" s="8">
        <f t="shared" si="61"/>
        <v>0</v>
      </c>
      <c r="K437" s="9" t="str">
        <f t="array" ref="K437:N437">_xlfn.XLOOKUP(C437,'Neiva 2022 FASE I ACTUAL (5)'!$C$6:$C$540,'Neiva 2022 FASE I ACTUAL (5)'!$C$6:$F$540,"NO ESTA")</f>
        <v>SUMINISTRO E INSTALACIÓN ALIMENTADOR DESDE EL TABLERO GENERAL DE DISTRIBUCIÓN HASTA EL TNP1 PISO 1 EN 1 ø 2" CON 3#2/0+1#2/0N+1#4T AWG INCLUYE TERMINALES DE CONEXIÓN</v>
      </c>
      <c r="L437" s="9" t="str">
        <v xml:space="preserve">ML   </v>
      </c>
      <c r="M437" s="9">
        <v>60</v>
      </c>
      <c r="N437" s="9">
        <v>125491</v>
      </c>
      <c r="O437" s="124" t="str">
        <f t="shared" si="64"/>
        <v>FASE II</v>
      </c>
      <c r="P437" s="155">
        <f t="shared" si="59"/>
        <v>60</v>
      </c>
      <c r="Q437" s="156">
        <f t="shared" si="62"/>
        <v>132053</v>
      </c>
      <c r="R437" s="156">
        <f t="shared" si="63"/>
        <v>7923180</v>
      </c>
    </row>
    <row r="438" spans="2:18" s="9" customFormat="1" ht="35.1" customHeight="1" x14ac:dyDescent="0.25">
      <c r="B438" s="23" t="s">
        <v>616</v>
      </c>
      <c r="C438" s="22" t="s">
        <v>617</v>
      </c>
      <c r="D438" s="23" t="s">
        <v>269</v>
      </c>
      <c r="E438" s="12">
        <v>0</v>
      </c>
      <c r="F438" s="126">
        <v>190576</v>
      </c>
      <c r="G438" s="126">
        <f t="shared" si="67"/>
        <v>0</v>
      </c>
      <c r="H438" s="8"/>
      <c r="I438" s="8">
        <f t="shared" si="60"/>
        <v>195436</v>
      </c>
      <c r="J438" s="8">
        <f t="shared" si="61"/>
        <v>0</v>
      </c>
      <c r="K438" s="9" t="str">
        <f t="array" ref="K438:N438">_xlfn.XLOOKUP(C438,'Neiva 2022 FASE I ACTUAL (5)'!$C$6:$C$540,'Neiva 2022 FASE I ACTUAL (5)'!$C$6:$F$540,"NO ESTA")</f>
        <v>SUMINISTRO E INSTALACIÓN ALIMENTADOR DESDE EL TABLERO GENERAL DE DISTRIBUCIÓN HASTA EL TNP2 PISO 2 EN 1 ø 3" CON 3#4/0+1#2/0N+1#4T AWG INCLUYE TERMINALES DE CONEXIÓN</v>
      </c>
      <c r="L438" s="9" t="str">
        <v xml:space="preserve">ML   </v>
      </c>
      <c r="M438" s="9">
        <v>64</v>
      </c>
      <c r="N438" s="9">
        <v>185726</v>
      </c>
      <c r="O438" s="124" t="str">
        <f t="shared" si="64"/>
        <v>FASE II</v>
      </c>
      <c r="P438" s="155">
        <f t="shared" si="59"/>
        <v>64</v>
      </c>
      <c r="Q438" s="156">
        <f t="shared" si="62"/>
        <v>195436</v>
      </c>
      <c r="R438" s="156">
        <f t="shared" si="63"/>
        <v>12507904</v>
      </c>
    </row>
    <row r="439" spans="2:18" s="9" customFormat="1" ht="35.1" customHeight="1" x14ac:dyDescent="0.25">
      <c r="B439" s="23" t="s">
        <v>618</v>
      </c>
      <c r="C439" s="22" t="s">
        <v>619</v>
      </c>
      <c r="D439" s="23" t="s">
        <v>269</v>
      </c>
      <c r="E439" s="12">
        <v>0</v>
      </c>
      <c r="F439" s="126">
        <v>190576</v>
      </c>
      <c r="G439" s="126">
        <f t="shared" si="67"/>
        <v>0</v>
      </c>
      <c r="H439" s="8"/>
      <c r="I439" s="8">
        <f t="shared" si="60"/>
        <v>195436</v>
      </c>
      <c r="J439" s="8">
        <f t="shared" si="61"/>
        <v>0</v>
      </c>
      <c r="K439" s="9" t="str">
        <f t="array" ref="K439:N439">_xlfn.XLOOKUP(C439,'Neiva 2022 FASE I ACTUAL (5)'!$C$6:$C$540,'Neiva 2022 FASE I ACTUAL (5)'!$C$6:$F$540,"NO ESTA")</f>
        <v>SUMINISTRO E INSTALACIÓN ALIMENTADOR DESDE EL TABLERO GENERAL DE DISTRIBUCIÓN HASTA EL TNP3 PISO 3 EN 1 ø 3" CON 3#4/0+1#2/0N+1#4T AWG INCLUYE TERMINALES DE CONEXIÓN</v>
      </c>
      <c r="L439" s="9" t="str">
        <v xml:space="preserve">ML   </v>
      </c>
      <c r="M439" s="9">
        <v>68</v>
      </c>
      <c r="N439" s="9">
        <v>185726</v>
      </c>
      <c r="O439" s="124" t="str">
        <f t="shared" si="64"/>
        <v>FASE II</v>
      </c>
      <c r="P439" s="155">
        <f t="shared" si="59"/>
        <v>68</v>
      </c>
      <c r="Q439" s="156">
        <f t="shared" si="62"/>
        <v>195436</v>
      </c>
      <c r="R439" s="156">
        <f t="shared" si="63"/>
        <v>13289648</v>
      </c>
    </row>
    <row r="440" spans="2:18" s="9" customFormat="1" ht="35.1" customHeight="1" x14ac:dyDescent="0.25">
      <c r="B440" s="23" t="s">
        <v>620</v>
      </c>
      <c r="C440" s="22" t="s">
        <v>621</v>
      </c>
      <c r="D440" s="23" t="s">
        <v>269</v>
      </c>
      <c r="E440" s="12">
        <v>0</v>
      </c>
      <c r="F440" s="126">
        <v>190576</v>
      </c>
      <c r="G440" s="126">
        <f t="shared" si="67"/>
        <v>0</v>
      </c>
      <c r="H440" s="8"/>
      <c r="I440" s="8">
        <f t="shared" si="60"/>
        <v>195436</v>
      </c>
      <c r="J440" s="8">
        <f t="shared" si="61"/>
        <v>0</v>
      </c>
      <c r="K440" s="9" t="str">
        <f t="array" ref="K440:N440">_xlfn.XLOOKUP(C440,'Neiva 2022 FASE I ACTUAL (5)'!$C$6:$C$540,'Neiva 2022 FASE I ACTUAL (5)'!$C$6:$F$540,"NO ESTA")</f>
        <v>SUMINISTRO E INSTALACIÓN ALIMENTADOR DESDE EL TABLERO GENERAL DE DISTRIBUCIÓN HASTA EL TNP3 PISO 4 EN 1 Ø 3" CON 3#4/0+1#2/0N+1#4T AWG INCLUYE TERMINALES DE CONEXIÓN</v>
      </c>
      <c r="L440" s="9" t="str">
        <v xml:space="preserve">ML   </v>
      </c>
      <c r="M440" s="9">
        <v>72</v>
      </c>
      <c r="N440" s="9">
        <v>185726</v>
      </c>
      <c r="O440" s="124" t="str">
        <f t="shared" si="64"/>
        <v>FASE II</v>
      </c>
      <c r="P440" s="155">
        <f t="shared" si="59"/>
        <v>72</v>
      </c>
      <c r="Q440" s="156">
        <f t="shared" si="62"/>
        <v>195436</v>
      </c>
      <c r="R440" s="156">
        <f t="shared" si="63"/>
        <v>14071392</v>
      </c>
    </row>
    <row r="441" spans="2:18" s="9" customFormat="1" ht="35.1" customHeight="1" x14ac:dyDescent="0.25">
      <c r="B441" s="23" t="s">
        <v>622</v>
      </c>
      <c r="C441" s="22" t="s">
        <v>623</v>
      </c>
      <c r="D441" s="23" t="s">
        <v>269</v>
      </c>
      <c r="E441" s="12">
        <v>0</v>
      </c>
      <c r="F441" s="126">
        <v>170907</v>
      </c>
      <c r="G441" s="126">
        <f t="shared" si="67"/>
        <v>0</v>
      </c>
      <c r="H441" s="8"/>
      <c r="I441" s="8">
        <f t="shared" si="60"/>
        <v>175265</v>
      </c>
      <c r="J441" s="8">
        <f t="shared" si="61"/>
        <v>0</v>
      </c>
      <c r="K441" s="9" t="str">
        <f t="array" ref="K441:N441">_xlfn.XLOOKUP(C441,'Neiva 2022 FASE I ACTUAL (5)'!$C$6:$C$540,'Neiva 2022 FASE I ACTUAL (5)'!$C$6:$F$540,"NO ESTA")</f>
        <v xml:space="preserve">SUMINISTRO E INSTALACIÓNALIMENTADOR DESDE EL TABLERO GENERAL DE DISTRIBUCIÓN HASTA LA UPS1 PISO 1 EN 1 Ø 2" con 3#3/0+1#2/0N+1#2/OT AWG INCLUYENDO TERMINALES DE CONEXIÓN </v>
      </c>
      <c r="L441" s="9" t="str">
        <v xml:space="preserve">ML   </v>
      </c>
      <c r="M441" s="9">
        <v>60</v>
      </c>
      <c r="N441" s="9">
        <v>166558</v>
      </c>
      <c r="O441" s="124" t="str">
        <f t="shared" si="64"/>
        <v>FASE II</v>
      </c>
      <c r="P441" s="155">
        <f t="shared" si="59"/>
        <v>60</v>
      </c>
      <c r="Q441" s="156">
        <f t="shared" si="62"/>
        <v>175265</v>
      </c>
      <c r="R441" s="156">
        <f t="shared" si="63"/>
        <v>10515900</v>
      </c>
    </row>
    <row r="442" spans="2:18" s="9" customFormat="1" ht="35.1" customHeight="1" x14ac:dyDescent="0.25">
      <c r="B442" s="23" t="s">
        <v>624</v>
      </c>
      <c r="C442" s="22" t="s">
        <v>625</v>
      </c>
      <c r="D442" s="23" t="s">
        <v>269</v>
      </c>
      <c r="E442" s="12">
        <v>0</v>
      </c>
      <c r="F442" s="126">
        <v>99722</v>
      </c>
      <c r="G442" s="126">
        <f t="shared" si="67"/>
        <v>0</v>
      </c>
      <c r="H442" s="8"/>
      <c r="I442" s="8">
        <f t="shared" si="60"/>
        <v>102265</v>
      </c>
      <c r="J442" s="8">
        <f t="shared" si="61"/>
        <v>0</v>
      </c>
      <c r="K442" s="9" t="str">
        <f t="array" ref="K442:N442">_xlfn.XLOOKUP(C442,'Neiva 2022 FASE I ACTUAL (5)'!$C$6:$C$540,'Neiva 2022 FASE I ACTUAL (5)'!$C$6:$F$540,"NO ESTA")</f>
        <v xml:space="preserve">SUMINISTRO E INSTALACIÓN ALIMENTADOR DESDE UPS1 HASTA EL TABLERO REGULADO 1 PISO 1 EN 1 Ø 2" con 3#2+1#2N+1#8T AWG INCLUYENDO TERMINALES DE CONEXIÓN </v>
      </c>
      <c r="L442" s="9" t="str">
        <v xml:space="preserve">ML   </v>
      </c>
      <c r="M442" s="9">
        <v>7</v>
      </c>
      <c r="N442" s="9">
        <v>97183</v>
      </c>
      <c r="O442" s="124" t="str">
        <f t="shared" si="64"/>
        <v>FASE II</v>
      </c>
      <c r="P442" s="155">
        <f t="shared" si="59"/>
        <v>7</v>
      </c>
      <c r="Q442" s="156">
        <f t="shared" si="62"/>
        <v>102265</v>
      </c>
      <c r="R442" s="156">
        <f t="shared" si="63"/>
        <v>715855</v>
      </c>
    </row>
    <row r="443" spans="2:18" s="9" customFormat="1" ht="35.1" customHeight="1" x14ac:dyDescent="0.25">
      <c r="B443" s="23" t="s">
        <v>1230</v>
      </c>
      <c r="C443" s="22" t="s">
        <v>1231</v>
      </c>
      <c r="D443" s="23" t="s">
        <v>269</v>
      </c>
      <c r="E443" s="12">
        <v>72</v>
      </c>
      <c r="F443" s="126">
        <v>170978</v>
      </c>
      <c r="G443" s="126">
        <f t="shared" si="67"/>
        <v>12310416</v>
      </c>
      <c r="H443" s="8"/>
      <c r="I443" s="8">
        <f t="shared" si="60"/>
        <v>175338</v>
      </c>
      <c r="J443" s="8">
        <f t="shared" si="61"/>
        <v>12624336</v>
      </c>
      <c r="K443" s="9" t="str">
        <f t="array" ref="K443">_xlfn.XLOOKUP(C443,'Neiva 2022 FASE I ACTUAL (5)'!$C$6:$C$540,'Neiva 2022 FASE I ACTUAL (5)'!$C$6:$F$540,"NO ESTA")</f>
        <v>NO ESTA</v>
      </c>
      <c r="O443" s="124">
        <f t="shared" si="64"/>
        <v>0</v>
      </c>
      <c r="P443" s="155">
        <f t="shared" si="59"/>
        <v>72</v>
      </c>
      <c r="Q443" s="156">
        <f t="shared" si="62"/>
        <v>175338</v>
      </c>
      <c r="R443" s="156">
        <f t="shared" si="63"/>
        <v>12624336</v>
      </c>
    </row>
    <row r="444" spans="2:18" s="9" customFormat="1" ht="35.1" customHeight="1" x14ac:dyDescent="0.25">
      <c r="B444" s="23" t="s">
        <v>1232</v>
      </c>
      <c r="C444" s="22" t="s">
        <v>1233</v>
      </c>
      <c r="D444" s="23" t="s">
        <v>269</v>
      </c>
      <c r="E444" s="12">
        <v>7</v>
      </c>
      <c r="F444" s="126">
        <v>99722</v>
      </c>
      <c r="G444" s="126">
        <f t="shared" si="67"/>
        <v>698054</v>
      </c>
      <c r="H444" s="8"/>
      <c r="I444" s="8">
        <f t="shared" si="60"/>
        <v>102265</v>
      </c>
      <c r="J444" s="8">
        <f t="shared" si="61"/>
        <v>715855</v>
      </c>
      <c r="K444" s="9" t="str">
        <f t="array" ref="K444">_xlfn.XLOOKUP(C444,'Neiva 2022 FASE I ACTUAL (5)'!$C$6:$C$540,'Neiva 2022 FASE I ACTUAL (5)'!$C$6:$F$540,"NO ESTA")</f>
        <v>NO ESTA</v>
      </c>
      <c r="O444" s="124">
        <f t="shared" si="64"/>
        <v>0</v>
      </c>
      <c r="P444" s="155">
        <f t="shared" si="59"/>
        <v>7</v>
      </c>
      <c r="Q444" s="156">
        <f t="shared" si="62"/>
        <v>102265</v>
      </c>
      <c r="R444" s="156">
        <f t="shared" si="63"/>
        <v>715855</v>
      </c>
    </row>
    <row r="445" spans="2:18" s="9" customFormat="1" ht="35.1" customHeight="1" x14ac:dyDescent="0.25">
      <c r="B445" s="23" t="s">
        <v>1234</v>
      </c>
      <c r="C445" s="22" t="s">
        <v>1235</v>
      </c>
      <c r="D445" s="23" t="s">
        <v>269</v>
      </c>
      <c r="E445" s="12">
        <v>76</v>
      </c>
      <c r="F445" s="126">
        <v>474160</v>
      </c>
      <c r="G445" s="126">
        <f t="shared" si="67"/>
        <v>36036160</v>
      </c>
      <c r="H445" s="8"/>
      <c r="I445" s="8">
        <f t="shared" si="60"/>
        <v>486251</v>
      </c>
      <c r="J445" s="8">
        <f t="shared" si="61"/>
        <v>36955076</v>
      </c>
      <c r="K445" s="9" t="str">
        <f t="array" ref="K445">_xlfn.XLOOKUP(C445,'Neiva 2022 FASE I ACTUAL (5)'!$C$6:$C$540,'Neiva 2022 FASE I ACTUAL (5)'!$C$6:$F$540,"NO ESTA")</f>
        <v>NO ESTA</v>
      </c>
      <c r="O445" s="124">
        <f t="shared" si="64"/>
        <v>0</v>
      </c>
      <c r="P445" s="155">
        <f t="shared" si="59"/>
        <v>76</v>
      </c>
      <c r="Q445" s="156">
        <f t="shared" si="62"/>
        <v>486251</v>
      </c>
      <c r="R445" s="156">
        <f t="shared" si="63"/>
        <v>36955076</v>
      </c>
    </row>
    <row r="446" spans="2:18" s="9" customFormat="1" ht="35.1" customHeight="1" x14ac:dyDescent="0.25">
      <c r="B446" s="23" t="s">
        <v>1236</v>
      </c>
      <c r="C446" s="22" t="s">
        <v>1237</v>
      </c>
      <c r="D446" s="23" t="s">
        <v>269</v>
      </c>
      <c r="E446" s="12">
        <v>76</v>
      </c>
      <c r="F446" s="126">
        <v>474160</v>
      </c>
      <c r="G446" s="126">
        <f t="shared" si="67"/>
        <v>36036160</v>
      </c>
      <c r="H446" s="8"/>
      <c r="I446" s="8">
        <f t="shared" si="60"/>
        <v>486251</v>
      </c>
      <c r="J446" s="8">
        <f t="shared" si="61"/>
        <v>36955076</v>
      </c>
      <c r="K446" s="9" t="str">
        <f t="array" ref="K446">_xlfn.XLOOKUP(C446,'Neiva 2022 FASE I ACTUAL (5)'!$C$6:$C$540,'Neiva 2022 FASE I ACTUAL (5)'!$C$6:$F$540,"NO ESTA")</f>
        <v>NO ESTA</v>
      </c>
      <c r="O446" s="124">
        <f t="shared" si="64"/>
        <v>0</v>
      </c>
      <c r="P446" s="155">
        <f t="shared" si="59"/>
        <v>76</v>
      </c>
      <c r="Q446" s="156">
        <f t="shared" si="62"/>
        <v>486251</v>
      </c>
      <c r="R446" s="156">
        <f t="shared" si="63"/>
        <v>36955076</v>
      </c>
    </row>
    <row r="447" spans="2:18" s="9" customFormat="1" ht="35.1" customHeight="1" x14ac:dyDescent="0.25">
      <c r="B447" s="23" t="s">
        <v>626</v>
      </c>
      <c r="C447" s="22" t="s">
        <v>1238</v>
      </c>
      <c r="D447" s="23" t="s">
        <v>269</v>
      </c>
      <c r="E447" s="12">
        <v>0</v>
      </c>
      <c r="F447" s="126">
        <v>162435</v>
      </c>
      <c r="G447" s="126">
        <f t="shared" si="67"/>
        <v>0</v>
      </c>
      <c r="H447" s="8"/>
      <c r="I447" s="8">
        <f t="shared" si="60"/>
        <v>166577</v>
      </c>
      <c r="J447" s="8">
        <f t="shared" si="61"/>
        <v>0</v>
      </c>
      <c r="K447" s="9" t="str">
        <f t="array" ref="K447">_xlfn.XLOOKUP(C447,'Neiva 2022 FASE I ACTUAL (5)'!$C$6:$C$540,'Neiva 2022 FASE I ACTUAL (5)'!$C$6:$F$540,"NO ESTA")</f>
        <v>NO ESTA</v>
      </c>
      <c r="O447" s="124">
        <f t="shared" si="64"/>
        <v>0</v>
      </c>
      <c r="P447" s="155">
        <f t="shared" si="59"/>
        <v>0</v>
      </c>
      <c r="Q447" s="156">
        <f t="shared" si="62"/>
        <v>166577</v>
      </c>
      <c r="R447" s="156">
        <f t="shared" si="63"/>
        <v>0</v>
      </c>
    </row>
    <row r="448" spans="2:18" s="9" customFormat="1" ht="35.1" customHeight="1" x14ac:dyDescent="0.25">
      <c r="B448" s="53" t="s">
        <v>628</v>
      </c>
      <c r="C448" s="24" t="s">
        <v>629</v>
      </c>
      <c r="D448" s="24"/>
      <c r="E448" s="15"/>
      <c r="F448" s="126">
        <v>0</v>
      </c>
      <c r="G448" s="126">
        <f t="shared" si="67"/>
        <v>0</v>
      </c>
      <c r="H448" s="8"/>
      <c r="I448" s="8">
        <f t="shared" si="60"/>
        <v>0</v>
      </c>
      <c r="J448" s="8">
        <f t="shared" si="61"/>
        <v>0</v>
      </c>
      <c r="K448" s="9" t="str">
        <f t="array" ref="K448:N448">_xlfn.XLOOKUP(C448,'Neiva 2022 FASE I ACTUAL (5)'!$C$6:$C$540,'Neiva 2022 FASE I ACTUAL (5)'!$C$6:$F$540,"NO ESTA")</f>
        <v xml:space="preserve">SUMINISTRO E INSTALACIÓN DE CANALIZACIONES </v>
      </c>
      <c r="L448" s="9">
        <v>0</v>
      </c>
      <c r="M448" s="9">
        <v>0</v>
      </c>
      <c r="N448" s="9">
        <v>0</v>
      </c>
      <c r="O448" s="124">
        <f t="shared" si="64"/>
        <v>0</v>
      </c>
      <c r="P448" s="155">
        <f t="shared" si="59"/>
        <v>0</v>
      </c>
      <c r="Q448" s="156">
        <f t="shared" si="62"/>
        <v>0</v>
      </c>
      <c r="R448" s="156">
        <f t="shared" si="63"/>
        <v>0</v>
      </c>
    </row>
    <row r="449" spans="2:18" s="9" customFormat="1" ht="35.1" customHeight="1" x14ac:dyDescent="0.25">
      <c r="B449" s="23" t="s">
        <v>630</v>
      </c>
      <c r="C449" s="22" t="s">
        <v>631</v>
      </c>
      <c r="D449" s="23" t="s">
        <v>269</v>
      </c>
      <c r="E449" s="12">
        <v>0</v>
      </c>
      <c r="F449" s="126">
        <v>36352</v>
      </c>
      <c r="G449" s="126">
        <f t="shared" si="67"/>
        <v>0</v>
      </c>
      <c r="H449" s="8"/>
      <c r="I449" s="8">
        <f t="shared" si="60"/>
        <v>37279</v>
      </c>
      <c r="J449" s="8">
        <f t="shared" si="61"/>
        <v>0</v>
      </c>
      <c r="K449" s="9" t="str">
        <f t="array" ref="K449:N449">_xlfn.XLOOKUP(C449,'Neiva 2022 FASE I ACTUAL (5)'!$C$6:$C$540,'Neiva 2022 FASE I ACTUAL (5)'!$C$6:$F$540,"NO ESTA")</f>
        <v>SUMINISTRO E INSTALACIÓN TUBERÍA PVC Ø 4" (Incluye todos los materiales para su instalación)</v>
      </c>
      <c r="L449" s="9" t="str">
        <v xml:space="preserve">ML   </v>
      </c>
      <c r="M449" s="9">
        <v>50</v>
      </c>
      <c r="N449" s="9">
        <v>35427</v>
      </c>
      <c r="O449" s="124" t="str">
        <f t="shared" si="64"/>
        <v>FASE II</v>
      </c>
      <c r="P449" s="155">
        <f t="shared" si="59"/>
        <v>50</v>
      </c>
      <c r="Q449" s="156">
        <f t="shared" si="62"/>
        <v>37279</v>
      </c>
      <c r="R449" s="156">
        <f t="shared" si="63"/>
        <v>1863950</v>
      </c>
    </row>
    <row r="450" spans="2:18" s="9" customFormat="1" ht="35.1" customHeight="1" x14ac:dyDescent="0.25">
      <c r="B450" s="23" t="s">
        <v>632</v>
      </c>
      <c r="C450" s="22" t="s">
        <v>1239</v>
      </c>
      <c r="D450" s="23" t="s">
        <v>269</v>
      </c>
      <c r="E450" s="12">
        <v>0</v>
      </c>
      <c r="F450" s="126">
        <v>65836</v>
      </c>
      <c r="G450" s="126">
        <f t="shared" si="67"/>
        <v>0</v>
      </c>
      <c r="H450" s="8"/>
      <c r="I450" s="8">
        <f t="shared" si="60"/>
        <v>67515</v>
      </c>
      <c r="J450" s="8">
        <f t="shared" si="61"/>
        <v>0</v>
      </c>
      <c r="K450" s="9" t="str">
        <f t="array" ref="K450">_xlfn.XLOOKUP(C450,'Neiva 2022 FASE I ACTUAL (5)'!$C$6:$C$540,'Neiva 2022 FASE I ACTUAL (5)'!$C$6:$F$540,"NO ESTA")</f>
        <v>NO ESTA</v>
      </c>
      <c r="O450" s="124">
        <f t="shared" si="64"/>
        <v>0</v>
      </c>
      <c r="P450" s="155">
        <f t="shared" si="59"/>
        <v>0</v>
      </c>
      <c r="Q450" s="156">
        <f t="shared" si="62"/>
        <v>67515</v>
      </c>
      <c r="R450" s="156">
        <f t="shared" si="63"/>
        <v>0</v>
      </c>
    </row>
    <row r="451" spans="2:18" s="9" customFormat="1" ht="39.950000000000003" customHeight="1" x14ac:dyDescent="0.25">
      <c r="B451" s="53" t="s">
        <v>634</v>
      </c>
      <c r="C451" s="24" t="s">
        <v>635</v>
      </c>
      <c r="D451" s="24"/>
      <c r="E451" s="15"/>
      <c r="F451" s="129"/>
      <c r="G451" s="140"/>
      <c r="H451" s="8"/>
      <c r="I451" s="8">
        <f t="shared" si="60"/>
        <v>0</v>
      </c>
      <c r="J451" s="8">
        <f t="shared" si="61"/>
        <v>0</v>
      </c>
      <c r="K451" s="9" t="str">
        <f t="array" ref="K451:N451">_xlfn.XLOOKUP(C451,'Neiva 2022 FASE I ACTUAL (5)'!$C$6:$C$540,'Neiva 2022 FASE I ACTUAL (5)'!$C$6:$F$540,"NO ESTA")</f>
        <v>SUMINISTRO E INSTALACIÓN DE TABLEROS E INTERRUPTORES</v>
      </c>
      <c r="L451" s="9">
        <v>0</v>
      </c>
      <c r="M451" s="9">
        <v>0</v>
      </c>
      <c r="N451" s="9">
        <v>0</v>
      </c>
      <c r="O451" s="124">
        <f t="shared" si="64"/>
        <v>0</v>
      </c>
      <c r="P451" s="155">
        <f t="shared" si="59"/>
        <v>0</v>
      </c>
      <c r="Q451" s="156">
        <f t="shared" si="62"/>
        <v>0</v>
      </c>
      <c r="R451" s="156">
        <f t="shared" si="63"/>
        <v>0</v>
      </c>
    </row>
    <row r="452" spans="2:18" s="9" customFormat="1" ht="39.950000000000003" customHeight="1" x14ac:dyDescent="0.25">
      <c r="B452" s="23" t="s">
        <v>636</v>
      </c>
      <c r="C452" s="22" t="s">
        <v>637</v>
      </c>
      <c r="D452" s="23" t="s">
        <v>374</v>
      </c>
      <c r="E452" s="12">
        <v>0</v>
      </c>
      <c r="F452" s="126">
        <v>850198</v>
      </c>
      <c r="G452" s="126">
        <f t="shared" ref="G452:G460" si="68">ROUND(+F452*E452,2)</f>
        <v>0</v>
      </c>
      <c r="H452" s="8"/>
      <c r="I452" s="8">
        <f t="shared" si="60"/>
        <v>871878</v>
      </c>
      <c r="J452" s="8">
        <f t="shared" si="61"/>
        <v>0</v>
      </c>
      <c r="K452" s="9" t="str">
        <f t="array" ref="K452:N452">_xlfn.XLOOKUP(C452,'Neiva 2022 FASE I ACTUAL (5)'!$C$6:$C$540,'Neiva 2022 FASE I ACTUAL (5)'!$C$6:$F$540,"NO ESTA")</f>
        <v>SUMINISTRO E INSTALACIÓN TABLERO AUTOMATICO DE 38 CIRCUITOS TIPO PESADO CON PUERTA Y CERRRADURA DE CIERRE, CERRADURA Y ESPACIO TOTALIZADOR INDUSTRIAL (TNP4)</v>
      </c>
      <c r="L452" s="9" t="str">
        <v>UN</v>
      </c>
      <c r="M452" s="9">
        <v>1</v>
      </c>
      <c r="N452" s="9">
        <v>828556</v>
      </c>
      <c r="O452" s="124" t="str">
        <f t="shared" si="64"/>
        <v>FASE II</v>
      </c>
      <c r="P452" s="155">
        <f t="shared" si="59"/>
        <v>1</v>
      </c>
      <c r="Q452" s="156">
        <f t="shared" si="62"/>
        <v>871878</v>
      </c>
      <c r="R452" s="156">
        <f t="shared" si="63"/>
        <v>871878</v>
      </c>
    </row>
    <row r="453" spans="2:18" s="9" customFormat="1" ht="39.950000000000003" customHeight="1" x14ac:dyDescent="0.25">
      <c r="B453" s="23" t="s">
        <v>638</v>
      </c>
      <c r="C453" s="22" t="s">
        <v>639</v>
      </c>
      <c r="D453" s="23" t="s">
        <v>374</v>
      </c>
      <c r="E453" s="12">
        <v>0</v>
      </c>
      <c r="F453" s="126">
        <v>682920</v>
      </c>
      <c r="G453" s="126">
        <f t="shared" si="68"/>
        <v>0</v>
      </c>
      <c r="H453" s="8"/>
      <c r="I453" s="8">
        <f t="shared" si="60"/>
        <v>700334</v>
      </c>
      <c r="J453" s="8">
        <f t="shared" si="61"/>
        <v>0</v>
      </c>
      <c r="K453" s="9" t="str">
        <f t="array" ref="K453:N453">_xlfn.XLOOKUP(C453,'Neiva 2022 FASE I ACTUAL (5)'!$C$6:$C$540,'Neiva 2022 FASE I ACTUAL (5)'!$C$6:$F$540,"NO ESTA")</f>
        <v xml:space="preserve">SUMINISTRO E INSTALACIÓN TABLERO AUTOMATICO DE 18 CIRCUITOS TIPO PESADO CON PUERTA Y CERRRADURA DE CIERRE, CERRADURA Y ESPACIO TOTALIZADOR INDUSTRIAL CON BARRAJE DE TIERRA AISLADA. </v>
      </c>
      <c r="L453" s="9" t="str">
        <v>UN</v>
      </c>
      <c r="M453" s="9">
        <v>1</v>
      </c>
      <c r="N453" s="9">
        <v>665537</v>
      </c>
      <c r="O453" s="124" t="str">
        <f t="shared" si="64"/>
        <v>FASE II</v>
      </c>
      <c r="P453" s="155">
        <f t="shared" si="59"/>
        <v>1</v>
      </c>
      <c r="Q453" s="156">
        <f t="shared" si="62"/>
        <v>700334</v>
      </c>
      <c r="R453" s="156">
        <f t="shared" si="63"/>
        <v>700334</v>
      </c>
    </row>
    <row r="454" spans="2:18" s="9" customFormat="1" ht="39.950000000000003" customHeight="1" x14ac:dyDescent="0.25">
      <c r="B454" s="23" t="s">
        <v>640</v>
      </c>
      <c r="C454" s="22" t="s">
        <v>641</v>
      </c>
      <c r="D454" s="23" t="s">
        <v>374</v>
      </c>
      <c r="E454" s="12">
        <v>0</v>
      </c>
      <c r="F454" s="126">
        <v>686237</v>
      </c>
      <c r="G454" s="126">
        <f t="shared" si="68"/>
        <v>0</v>
      </c>
      <c r="H454" s="8"/>
      <c r="I454" s="8">
        <f t="shared" si="60"/>
        <v>703736</v>
      </c>
      <c r="J454" s="8">
        <f t="shared" si="61"/>
        <v>0</v>
      </c>
      <c r="K454" s="9" t="str">
        <f t="array" ref="K454:N454">_xlfn.XLOOKUP(C454,'Neiva 2022 FASE I ACTUAL (5)'!$C$6:$C$540,'Neiva 2022 FASE I ACTUAL (5)'!$C$6:$F$540,"NO ESTA")</f>
        <v>SUMINISTRO E INSTALACIÓN TABLERO AUTOMATICO DE 24 CIRCUITOS TIPO PESADO CON PUERTA Y CERRRADURA DE CIERRE, CERRADURA Y ESPACIO TOTALIZADOR INDUSTRIAL CON BARRAJE DE TIERRA AISLADA (TNS, TR1, TR2)</v>
      </c>
      <c r="L454" s="9" t="str">
        <v>UN</v>
      </c>
      <c r="M454" s="9">
        <v>3</v>
      </c>
      <c r="N454" s="9">
        <v>668770</v>
      </c>
      <c r="O454" s="124" t="str">
        <f t="shared" si="64"/>
        <v>FASE II</v>
      </c>
      <c r="P454" s="155">
        <f t="shared" ref="P454:P517" si="69">E454+M454</f>
        <v>3</v>
      </c>
      <c r="Q454" s="156">
        <f t="shared" si="62"/>
        <v>703736</v>
      </c>
      <c r="R454" s="156">
        <f t="shared" si="63"/>
        <v>2111208</v>
      </c>
    </row>
    <row r="455" spans="2:18" s="9" customFormat="1" ht="39.950000000000003" customHeight="1" x14ac:dyDescent="0.25">
      <c r="B455" s="23" t="s">
        <v>642</v>
      </c>
      <c r="C455" s="22" t="s">
        <v>643</v>
      </c>
      <c r="D455" s="23" t="s">
        <v>374</v>
      </c>
      <c r="E455" s="12">
        <v>0</v>
      </c>
      <c r="F455" s="126">
        <v>963294</v>
      </c>
      <c r="G455" s="126">
        <f t="shared" si="68"/>
        <v>0</v>
      </c>
      <c r="H455" s="8"/>
      <c r="I455" s="8">
        <f t="shared" ref="I455:I518" si="70">+ROUND(F455*(1+$I$4),0)</f>
        <v>987858</v>
      </c>
      <c r="J455" s="8">
        <f t="shared" ref="J455:J518" si="71">+I455*E455</f>
        <v>0</v>
      </c>
      <c r="K455" s="9" t="str">
        <f t="array" ref="K455:N455">_xlfn.XLOOKUP(C455,'Neiva 2022 FASE I ACTUAL (5)'!$C$6:$C$540,'Neiva 2022 FASE I ACTUAL (5)'!$C$6:$F$540,"NO ESTA")</f>
        <v>SUMINISTRO E INSTALACIÓN TABLERO AUTOMATICO DE 42 CIRCUITOS TIPO PESADO CON PUERTA Y CERRRADURA DE CIERRE, CERRADURA Y ESPACIO TOTALIZADOR INDUSTRIAL (TNP1, TNP2, TNP3)</v>
      </c>
      <c r="L455" s="9" t="str">
        <v>UN</v>
      </c>
      <c r="M455" s="9">
        <v>3</v>
      </c>
      <c r="N455" s="9">
        <v>938774</v>
      </c>
      <c r="O455" s="124" t="str">
        <f t="shared" si="64"/>
        <v>FASE II</v>
      </c>
      <c r="P455" s="155">
        <f t="shared" si="69"/>
        <v>3</v>
      </c>
      <c r="Q455" s="156">
        <f t="shared" ref="Q455:Q518" si="72">MAX(N455,F455,I455)</f>
        <v>987858</v>
      </c>
      <c r="R455" s="156">
        <f t="shared" ref="R455:R518" si="73">ROUND(P455*Q455,2)</f>
        <v>2963574</v>
      </c>
    </row>
    <row r="456" spans="2:18" s="9" customFormat="1" ht="39.950000000000003" customHeight="1" x14ac:dyDescent="0.25">
      <c r="B456" s="23" t="s">
        <v>644</v>
      </c>
      <c r="C456" s="87" t="s">
        <v>645</v>
      </c>
      <c r="D456" s="23" t="s">
        <v>374</v>
      </c>
      <c r="E456" s="12">
        <v>51</v>
      </c>
      <c r="F456" s="126">
        <v>20555</v>
      </c>
      <c r="G456" s="126">
        <f t="shared" si="68"/>
        <v>1048305</v>
      </c>
      <c r="H456" s="8"/>
      <c r="I456" s="8">
        <f t="shared" si="70"/>
        <v>21079</v>
      </c>
      <c r="J456" s="8">
        <f t="shared" si="71"/>
        <v>1075029</v>
      </c>
      <c r="K456" s="9" t="str">
        <f t="array" ref="K456:N456">_xlfn.XLOOKUP(C456,'Neiva 2022 FASE I ACTUAL (5)'!$C$6:$C$540,'Neiva 2022 FASE I ACTUAL (5)'!$C$6:$F$540,"NO ESTA")</f>
        <v>SUMINISTRO E INSTALACIÓN INTERRUPTORES AUTOMÁTICOS ENCHUFABLES 240 V. 10kA 1x20 AMPS. TIPO ENCHUFABLE 10 Ka 240V.</v>
      </c>
      <c r="L456" s="9" t="str">
        <v>UN</v>
      </c>
      <c r="M456" s="9">
        <v>19</v>
      </c>
      <c r="N456" s="9">
        <v>20032</v>
      </c>
      <c r="O456" s="124" t="str">
        <f t="shared" ref="O456:O519" si="74">IF(N456=0,0,(IF(F456&lt;N456, "FASE I","FASE II")))</f>
        <v>FASE II</v>
      </c>
      <c r="P456" s="155">
        <f t="shared" si="69"/>
        <v>70</v>
      </c>
      <c r="Q456" s="156">
        <f t="shared" si="72"/>
        <v>21079</v>
      </c>
      <c r="R456" s="156">
        <f t="shared" si="73"/>
        <v>1475530</v>
      </c>
    </row>
    <row r="457" spans="2:18" s="9" customFormat="1" ht="39.950000000000003" customHeight="1" x14ac:dyDescent="0.25">
      <c r="B457" s="23" t="s">
        <v>646</v>
      </c>
      <c r="C457" s="87" t="s">
        <v>647</v>
      </c>
      <c r="D457" s="23" t="s">
        <v>374</v>
      </c>
      <c r="E457" s="12">
        <v>36</v>
      </c>
      <c r="F457" s="126">
        <v>20555</v>
      </c>
      <c r="G457" s="126">
        <f t="shared" si="68"/>
        <v>739980</v>
      </c>
      <c r="H457" s="8"/>
      <c r="I457" s="8">
        <f t="shared" si="70"/>
        <v>21079</v>
      </c>
      <c r="J457" s="8">
        <f t="shared" si="71"/>
        <v>758844</v>
      </c>
      <c r="K457" s="9" t="str">
        <f t="array" ref="K457:N457">_xlfn.XLOOKUP(C457,'Neiva 2022 FASE I ACTUAL (5)'!$C$6:$C$540,'Neiva 2022 FASE I ACTUAL (5)'!$C$6:$F$540,"NO ESTA")</f>
        <v>SUMINISTRO E INSTALACIÓN INTERRUPTORES AUTOMÁTICOS ENCHUFABLES 240 V. 10kA 1x30 AMPS. TIPO ENCHUFABLE 10 Ka 240V.</v>
      </c>
      <c r="L457" s="9" t="str">
        <v>UN</v>
      </c>
      <c r="M457" s="9">
        <v>14</v>
      </c>
      <c r="N457" s="9">
        <v>20032</v>
      </c>
      <c r="O457" s="124" t="str">
        <f t="shared" si="74"/>
        <v>FASE II</v>
      </c>
      <c r="P457" s="155">
        <f t="shared" si="69"/>
        <v>50</v>
      </c>
      <c r="Q457" s="156">
        <f t="shared" si="72"/>
        <v>21079</v>
      </c>
      <c r="R457" s="156">
        <f t="shared" si="73"/>
        <v>1053950</v>
      </c>
    </row>
    <row r="458" spans="2:18" s="9" customFormat="1" ht="39.950000000000003" customHeight="1" x14ac:dyDescent="0.25">
      <c r="B458" s="23" t="s">
        <v>648</v>
      </c>
      <c r="C458" s="87" t="s">
        <v>649</v>
      </c>
      <c r="D458" s="23" t="s">
        <v>374</v>
      </c>
      <c r="E458" s="12">
        <v>4</v>
      </c>
      <c r="F458" s="126">
        <v>58041</v>
      </c>
      <c r="G458" s="126">
        <f t="shared" si="68"/>
        <v>232164</v>
      </c>
      <c r="H458" s="8"/>
      <c r="I458" s="8">
        <f t="shared" si="70"/>
        <v>59521</v>
      </c>
      <c r="J458" s="8">
        <f t="shared" si="71"/>
        <v>238084</v>
      </c>
      <c r="K458" s="9" t="str">
        <f t="array" ref="K458:N458">_xlfn.XLOOKUP(C458,'Neiva 2022 FASE I ACTUAL (5)'!$C$6:$C$540,'Neiva 2022 FASE I ACTUAL (5)'!$C$6:$F$540,"NO ESTA")</f>
        <v>SUMINISTRO E INSTALACIÓN INTERRUPTORES AUTOMÁTICOS ENCHUFABLES 240 V. 10kA 3x30 AMPS. TIPO ENCHUFABLE 10 Ka 240V.</v>
      </c>
      <c r="L458" s="9" t="str">
        <v>UN</v>
      </c>
      <c r="M458" s="9">
        <v>2</v>
      </c>
      <c r="N458" s="9">
        <v>56563</v>
      </c>
      <c r="O458" s="124" t="str">
        <f t="shared" si="74"/>
        <v>FASE II</v>
      </c>
      <c r="P458" s="155">
        <f t="shared" si="69"/>
        <v>6</v>
      </c>
      <c r="Q458" s="156">
        <f t="shared" si="72"/>
        <v>59521</v>
      </c>
      <c r="R458" s="156">
        <f t="shared" si="73"/>
        <v>357126</v>
      </c>
    </row>
    <row r="459" spans="2:18" s="9" customFormat="1" ht="39.950000000000003" customHeight="1" x14ac:dyDescent="0.25">
      <c r="B459" s="53" t="s">
        <v>650</v>
      </c>
      <c r="C459" s="24" t="s">
        <v>1240</v>
      </c>
      <c r="D459" s="24"/>
      <c r="E459" s="15">
        <v>0</v>
      </c>
      <c r="F459" s="126">
        <v>0</v>
      </c>
      <c r="G459" s="126">
        <f t="shared" si="68"/>
        <v>0</v>
      </c>
      <c r="H459" s="8"/>
      <c r="I459" s="8">
        <f t="shared" si="70"/>
        <v>0</v>
      </c>
      <c r="J459" s="8">
        <f t="shared" si="71"/>
        <v>0</v>
      </c>
      <c r="K459" s="9" t="str">
        <f t="array" ref="K459">_xlfn.XLOOKUP(C459,'Neiva 2022 FASE I ACTUAL (5)'!$C$6:$C$540,'Neiva 2022 FASE I ACTUAL (5)'!$C$6:$F$540,"NO ESTA")</f>
        <v>NO ESTA</v>
      </c>
      <c r="O459" s="124">
        <f t="shared" si="74"/>
        <v>0</v>
      </c>
      <c r="P459" s="155">
        <f t="shared" si="69"/>
        <v>0</v>
      </c>
      <c r="Q459" s="156">
        <f t="shared" si="72"/>
        <v>0</v>
      </c>
      <c r="R459" s="156">
        <f t="shared" si="73"/>
        <v>0</v>
      </c>
    </row>
    <row r="460" spans="2:18" s="9" customFormat="1" ht="39.950000000000003" customHeight="1" x14ac:dyDescent="0.25">
      <c r="B460" s="23" t="s">
        <v>652</v>
      </c>
      <c r="C460" s="22" t="s">
        <v>1241</v>
      </c>
      <c r="D460" s="23" t="s">
        <v>374</v>
      </c>
      <c r="E460" s="12">
        <v>0</v>
      </c>
      <c r="F460" s="126">
        <v>582207</v>
      </c>
      <c r="G460" s="126">
        <f t="shared" si="68"/>
        <v>0</v>
      </c>
      <c r="H460" s="8"/>
      <c r="I460" s="8">
        <f t="shared" si="70"/>
        <v>597053</v>
      </c>
      <c r="J460" s="8">
        <f t="shared" si="71"/>
        <v>0</v>
      </c>
      <c r="K460" s="9" t="str">
        <f t="array" ref="K460">_xlfn.XLOOKUP(C460,'Neiva 2022 FASE I ACTUAL (5)'!$C$6:$C$540,'Neiva 2022 FASE I ACTUAL (5)'!$C$6:$F$540,"NO ESTA")</f>
        <v>NO ESTA</v>
      </c>
      <c r="O460" s="124">
        <f t="shared" si="74"/>
        <v>0</v>
      </c>
      <c r="P460" s="155">
        <f t="shared" si="69"/>
        <v>0</v>
      </c>
      <c r="Q460" s="156">
        <f t="shared" si="72"/>
        <v>597053</v>
      </c>
      <c r="R460" s="156">
        <f t="shared" si="73"/>
        <v>0</v>
      </c>
    </row>
    <row r="461" spans="2:18" s="9" customFormat="1" ht="39.950000000000003" customHeight="1" x14ac:dyDescent="0.25">
      <c r="B461" s="53" t="s">
        <v>654</v>
      </c>
      <c r="C461" s="24" t="s">
        <v>655</v>
      </c>
      <c r="D461" s="24"/>
      <c r="E461" s="15"/>
      <c r="F461" s="129"/>
      <c r="G461" s="140"/>
      <c r="H461" s="8"/>
      <c r="I461" s="8">
        <f t="shared" si="70"/>
        <v>0</v>
      </c>
      <c r="J461" s="8">
        <f t="shared" si="71"/>
        <v>0</v>
      </c>
      <c r="K461" s="9" t="str">
        <f t="array" ref="K461:N461">_xlfn.XLOOKUP(C461,'Neiva 2022 FASE I ACTUAL (5)'!$C$6:$C$540,'Neiva 2022 FASE I ACTUAL (5)'!$C$6:$F$540,"NO ESTA")</f>
        <v>SUMINISTRO E INSTALACIÓN TABLEROS DE DISTRIBUCIÓN GENERAL</v>
      </c>
      <c r="L461" s="9">
        <v>0</v>
      </c>
      <c r="M461" s="9">
        <v>0</v>
      </c>
      <c r="N461" s="9">
        <v>0</v>
      </c>
      <c r="O461" s="124">
        <f t="shared" si="74"/>
        <v>0</v>
      </c>
      <c r="P461" s="155">
        <f t="shared" si="69"/>
        <v>0</v>
      </c>
      <c r="Q461" s="156">
        <f t="shared" si="72"/>
        <v>0</v>
      </c>
      <c r="R461" s="156">
        <f t="shared" si="73"/>
        <v>0</v>
      </c>
    </row>
    <row r="462" spans="2:18" s="9" customFormat="1" ht="39.950000000000003" customHeight="1" x14ac:dyDescent="0.25">
      <c r="B462" s="23" t="s">
        <v>656</v>
      </c>
      <c r="C462" s="22" t="s">
        <v>1242</v>
      </c>
      <c r="D462" s="23" t="s">
        <v>374</v>
      </c>
      <c r="E462" s="12">
        <v>0</v>
      </c>
      <c r="F462" s="126">
        <v>15777849</v>
      </c>
      <c r="G462" s="126">
        <f t="shared" ref="G462:G490" si="75">ROUND(+F462*E462,2)</f>
        <v>0</v>
      </c>
      <c r="H462" s="8"/>
      <c r="I462" s="8">
        <f t="shared" si="70"/>
        <v>16180184</v>
      </c>
      <c r="J462" s="8">
        <f t="shared" si="71"/>
        <v>0</v>
      </c>
      <c r="K462" s="9" t="str">
        <f t="array" ref="K462">_xlfn.XLOOKUP(C462,'Neiva 2022 FASE I ACTUAL (5)'!$C$6:$C$540,'Neiva 2022 FASE I ACTUAL (5)'!$C$6:$F$540,"NO ESTA")</f>
        <v>NO ESTA</v>
      </c>
      <c r="O462" s="124">
        <f t="shared" si="74"/>
        <v>0</v>
      </c>
      <c r="P462" s="155">
        <f t="shared" si="69"/>
        <v>0</v>
      </c>
      <c r="Q462" s="156">
        <f t="shared" si="72"/>
        <v>16180184</v>
      </c>
      <c r="R462" s="156">
        <f t="shared" si="73"/>
        <v>0</v>
      </c>
    </row>
    <row r="463" spans="2:18" s="9" customFormat="1" ht="39.950000000000003" customHeight="1" x14ac:dyDescent="0.25">
      <c r="B463" s="23" t="s">
        <v>658</v>
      </c>
      <c r="C463" s="87" t="s">
        <v>659</v>
      </c>
      <c r="D463" s="23" t="s">
        <v>374</v>
      </c>
      <c r="E463" s="12">
        <v>1</v>
      </c>
      <c r="F463" s="126">
        <v>11923749</v>
      </c>
      <c r="G463" s="126">
        <f t="shared" si="75"/>
        <v>11923749</v>
      </c>
      <c r="H463" s="8"/>
      <c r="I463" s="8">
        <f t="shared" si="70"/>
        <v>12227805</v>
      </c>
      <c r="J463" s="8">
        <f t="shared" si="71"/>
        <v>12227805</v>
      </c>
      <c r="K463" s="9" t="str">
        <f t="array" ref="K463">_xlfn.XLOOKUP(C463,'Neiva 2022 FASE I ACTUAL (5)'!$C$6:$C$540,'Neiva 2022 FASE I ACTUAL (5)'!$C$6:$F$540,"NO ESTA")</f>
        <v>NO ESTA</v>
      </c>
      <c r="O463" s="124">
        <f t="shared" si="74"/>
        <v>0</v>
      </c>
      <c r="P463" s="155">
        <f t="shared" si="69"/>
        <v>1</v>
      </c>
      <c r="Q463" s="156">
        <f t="shared" si="72"/>
        <v>12227805</v>
      </c>
      <c r="R463" s="156">
        <f t="shared" si="73"/>
        <v>12227805</v>
      </c>
    </row>
    <row r="464" spans="2:18" s="9" customFormat="1" ht="39.950000000000003" customHeight="1" x14ac:dyDescent="0.25">
      <c r="B464" s="23" t="s">
        <v>660</v>
      </c>
      <c r="C464" s="22" t="s">
        <v>1243</v>
      </c>
      <c r="D464" s="23" t="s">
        <v>374</v>
      </c>
      <c r="E464" s="12">
        <v>0</v>
      </c>
      <c r="F464" s="126">
        <v>13850799</v>
      </c>
      <c r="G464" s="126">
        <f t="shared" si="75"/>
        <v>0</v>
      </c>
      <c r="H464" s="8"/>
      <c r="I464" s="8">
        <f t="shared" si="70"/>
        <v>14203994</v>
      </c>
      <c r="J464" s="8">
        <f t="shared" si="71"/>
        <v>0</v>
      </c>
      <c r="K464" s="9" t="str">
        <f t="array" ref="K464">_xlfn.XLOOKUP(C464,'Neiva 2022 FASE I ACTUAL (5)'!$C$6:$C$540,'Neiva 2022 FASE I ACTUAL (5)'!$C$6:$F$540,"NO ESTA")</f>
        <v>NO ESTA</v>
      </c>
      <c r="O464" s="124">
        <f t="shared" si="74"/>
        <v>0</v>
      </c>
      <c r="P464" s="155">
        <f t="shared" si="69"/>
        <v>0</v>
      </c>
      <c r="Q464" s="156">
        <f t="shared" si="72"/>
        <v>14203994</v>
      </c>
      <c r="R464" s="156">
        <f t="shared" si="73"/>
        <v>0</v>
      </c>
    </row>
    <row r="465" spans="2:18" s="9" customFormat="1" ht="39.950000000000003" customHeight="1" x14ac:dyDescent="0.25">
      <c r="B465" s="54" t="s">
        <v>662</v>
      </c>
      <c r="C465" s="24" t="s">
        <v>663</v>
      </c>
      <c r="D465" s="24"/>
      <c r="E465" s="15"/>
      <c r="F465" s="126">
        <v>0</v>
      </c>
      <c r="G465" s="126">
        <f t="shared" si="75"/>
        <v>0</v>
      </c>
      <c r="H465" s="8"/>
      <c r="I465" s="8">
        <f t="shared" si="70"/>
        <v>0</v>
      </c>
      <c r="J465" s="8">
        <f t="shared" si="71"/>
        <v>0</v>
      </c>
      <c r="K465" s="9" t="str">
        <f t="array" ref="K465:N465">_xlfn.XLOOKUP(C465,'Neiva 2022 FASE I ACTUAL (5)'!$C$6:$C$540,'Neiva 2022 FASE I ACTUAL (5)'!$C$6:$F$540,"NO ESTA")</f>
        <v xml:space="preserve">SUMINISTRO E INSTALACIÓN PUESTA A TIERRA TRANSFORMADOR Y SUBESTACIÓN (Incluye preparación de tierra con la solución Sanick Gel para obtener una elevada conductividad eléctrica (ver especificaciones técnicas de diseño anexas) </v>
      </c>
      <c r="L465" s="9">
        <v>0</v>
      </c>
      <c r="M465" s="9">
        <v>0</v>
      </c>
      <c r="N465" s="9">
        <v>0</v>
      </c>
      <c r="O465" s="124">
        <f t="shared" si="74"/>
        <v>0</v>
      </c>
      <c r="P465" s="155">
        <f t="shared" si="69"/>
        <v>0</v>
      </c>
      <c r="Q465" s="156">
        <f t="shared" si="72"/>
        <v>0</v>
      </c>
      <c r="R465" s="156">
        <f t="shared" si="73"/>
        <v>0</v>
      </c>
    </row>
    <row r="466" spans="2:18" s="9" customFormat="1" ht="35.1" customHeight="1" x14ac:dyDescent="0.25">
      <c r="B466" s="23" t="s">
        <v>664</v>
      </c>
      <c r="C466" s="22" t="s">
        <v>665</v>
      </c>
      <c r="D466" s="23" t="s">
        <v>269</v>
      </c>
      <c r="E466" s="12">
        <v>0</v>
      </c>
      <c r="F466" s="126">
        <v>24409</v>
      </c>
      <c r="G466" s="126">
        <f t="shared" si="75"/>
        <v>0</v>
      </c>
      <c r="H466" s="8"/>
      <c r="I466" s="8">
        <f t="shared" si="70"/>
        <v>25031</v>
      </c>
      <c r="J466" s="8">
        <f t="shared" si="71"/>
        <v>0</v>
      </c>
      <c r="K466" s="9" t="str">
        <f t="array" ref="K466:N466">_xlfn.XLOOKUP(C466,'Neiva 2022 FASE I ACTUAL (5)'!$C$6:$C$540,'Neiva 2022 FASE I ACTUAL (5)'!$C$6:$F$540,"NO ESTA")</f>
        <v>SUMINISTRO E INSTALACIÓN CONDUCTOR 2/0 Cu. TEMPLE DURO</v>
      </c>
      <c r="L466" s="9" t="str">
        <v xml:space="preserve">ML   </v>
      </c>
      <c r="M466" s="9">
        <v>35</v>
      </c>
      <c r="N466" s="9">
        <v>23788</v>
      </c>
      <c r="O466" s="124" t="str">
        <f t="shared" si="74"/>
        <v>FASE II</v>
      </c>
      <c r="P466" s="155">
        <f t="shared" si="69"/>
        <v>35</v>
      </c>
      <c r="Q466" s="156">
        <f t="shared" si="72"/>
        <v>25031</v>
      </c>
      <c r="R466" s="156">
        <f t="shared" si="73"/>
        <v>876085</v>
      </c>
    </row>
    <row r="467" spans="2:18" s="9" customFormat="1" ht="35.1" customHeight="1" x14ac:dyDescent="0.25">
      <c r="B467" s="23" t="s">
        <v>666</v>
      </c>
      <c r="C467" s="22" t="s">
        <v>1244</v>
      </c>
      <c r="D467" s="23" t="s">
        <v>374</v>
      </c>
      <c r="E467" s="12">
        <v>0</v>
      </c>
      <c r="F467" s="126">
        <v>127634</v>
      </c>
      <c r="G467" s="126">
        <f t="shared" si="75"/>
        <v>0</v>
      </c>
      <c r="H467" s="8"/>
      <c r="I467" s="8">
        <f t="shared" si="70"/>
        <v>130889</v>
      </c>
      <c r="J467" s="8">
        <f t="shared" si="71"/>
        <v>0</v>
      </c>
      <c r="K467" s="9" t="str">
        <f t="array" ref="K467">_xlfn.XLOOKUP(C467,'Neiva 2022 FASE I ACTUAL (5)'!$C$6:$C$540,'Neiva 2022 FASE I ACTUAL (5)'!$C$6:$F$540,"NO ESTA")</f>
        <v>NO ESTA</v>
      </c>
      <c r="O467" s="124">
        <f t="shared" si="74"/>
        <v>0</v>
      </c>
      <c r="P467" s="155">
        <f t="shared" si="69"/>
        <v>0</v>
      </c>
      <c r="Q467" s="156">
        <f t="shared" si="72"/>
        <v>130889</v>
      </c>
      <c r="R467" s="156">
        <f t="shared" si="73"/>
        <v>0</v>
      </c>
    </row>
    <row r="468" spans="2:18" s="9" customFormat="1" ht="35.1" customHeight="1" x14ac:dyDescent="0.25">
      <c r="B468" s="23" t="s">
        <v>668</v>
      </c>
      <c r="C468" s="22" t="s">
        <v>1245</v>
      </c>
      <c r="D468" s="23" t="s">
        <v>374</v>
      </c>
      <c r="E468" s="12">
        <v>0</v>
      </c>
      <c r="F468" s="126">
        <v>132126</v>
      </c>
      <c r="G468" s="126">
        <f t="shared" si="75"/>
        <v>0</v>
      </c>
      <c r="H468" s="8"/>
      <c r="I468" s="8">
        <f t="shared" si="70"/>
        <v>135495</v>
      </c>
      <c r="J468" s="8">
        <f t="shared" si="71"/>
        <v>0</v>
      </c>
      <c r="K468" s="9" t="str">
        <f t="array" ref="K468">_xlfn.XLOOKUP(C468,'Neiva 2022 FASE I ACTUAL (5)'!$C$6:$C$540,'Neiva 2022 FASE I ACTUAL (5)'!$C$6:$F$540,"NO ESTA")</f>
        <v>NO ESTA</v>
      </c>
      <c r="O468" s="124">
        <f t="shared" si="74"/>
        <v>0</v>
      </c>
      <c r="P468" s="155">
        <f t="shared" si="69"/>
        <v>0</v>
      </c>
      <c r="Q468" s="156">
        <f t="shared" si="72"/>
        <v>135495</v>
      </c>
      <c r="R468" s="156">
        <f t="shared" si="73"/>
        <v>0</v>
      </c>
    </row>
    <row r="469" spans="2:18" s="9" customFormat="1" ht="35.1" customHeight="1" x14ac:dyDescent="0.25">
      <c r="B469" s="23" t="s">
        <v>670</v>
      </c>
      <c r="C469" s="22" t="s">
        <v>1246</v>
      </c>
      <c r="D469" s="23" t="s">
        <v>374</v>
      </c>
      <c r="E469" s="12">
        <v>0</v>
      </c>
      <c r="F469" s="126">
        <v>132126</v>
      </c>
      <c r="G469" s="126">
        <f t="shared" si="75"/>
        <v>0</v>
      </c>
      <c r="H469" s="8"/>
      <c r="I469" s="8">
        <f t="shared" si="70"/>
        <v>135495</v>
      </c>
      <c r="J469" s="8">
        <f t="shared" si="71"/>
        <v>0</v>
      </c>
      <c r="K469" s="9" t="str">
        <f t="array" ref="K469">_xlfn.XLOOKUP(C469,'Neiva 2022 FASE I ACTUAL (5)'!$C$6:$C$540,'Neiva 2022 FASE I ACTUAL (5)'!$C$6:$F$540,"NO ESTA")</f>
        <v>NO ESTA</v>
      </c>
      <c r="O469" s="124">
        <f t="shared" si="74"/>
        <v>0</v>
      </c>
      <c r="P469" s="155">
        <f t="shared" si="69"/>
        <v>0</v>
      </c>
      <c r="Q469" s="156">
        <f t="shared" si="72"/>
        <v>135495</v>
      </c>
      <c r="R469" s="156">
        <f t="shared" si="73"/>
        <v>0</v>
      </c>
    </row>
    <row r="470" spans="2:18" s="9" customFormat="1" ht="35.1" customHeight="1" x14ac:dyDescent="0.25">
      <c r="B470" s="23" t="s">
        <v>672</v>
      </c>
      <c r="C470" s="55" t="s">
        <v>1247</v>
      </c>
      <c r="D470" s="56" t="s">
        <v>16</v>
      </c>
      <c r="E470" s="12">
        <v>0</v>
      </c>
      <c r="F470" s="126">
        <v>166876</v>
      </c>
      <c r="G470" s="126">
        <f t="shared" si="75"/>
        <v>0</v>
      </c>
      <c r="H470" s="8"/>
      <c r="I470" s="8">
        <f t="shared" si="70"/>
        <v>171131</v>
      </c>
      <c r="J470" s="8">
        <f t="shared" si="71"/>
        <v>0</v>
      </c>
      <c r="K470" s="9" t="str">
        <f t="array" ref="K470">_xlfn.XLOOKUP(C470,'Neiva 2022 FASE I ACTUAL (5)'!$C$6:$C$540,'Neiva 2022 FASE I ACTUAL (5)'!$C$6:$F$540,"NO ESTA")</f>
        <v>NO ESTA</v>
      </c>
      <c r="O470" s="124">
        <f t="shared" si="74"/>
        <v>0</v>
      </c>
      <c r="P470" s="155">
        <f t="shared" si="69"/>
        <v>0</v>
      </c>
      <c r="Q470" s="156">
        <f t="shared" si="72"/>
        <v>171131</v>
      </c>
      <c r="R470" s="156">
        <f t="shared" si="73"/>
        <v>0</v>
      </c>
    </row>
    <row r="471" spans="2:18" s="9" customFormat="1" ht="35.1" customHeight="1" x14ac:dyDescent="0.25">
      <c r="B471" s="54" t="s">
        <v>674</v>
      </c>
      <c r="C471" s="24" t="s">
        <v>675</v>
      </c>
      <c r="D471" s="24"/>
      <c r="E471" s="15"/>
      <c r="F471" s="126">
        <v>0</v>
      </c>
      <c r="G471" s="126">
        <f t="shared" si="75"/>
        <v>0</v>
      </c>
      <c r="H471" s="8"/>
      <c r="I471" s="8">
        <f t="shared" si="70"/>
        <v>0</v>
      </c>
      <c r="J471" s="8">
        <f t="shared" si="71"/>
        <v>0</v>
      </c>
      <c r="K471" s="9" t="str">
        <f t="array" ref="K471:N471">_xlfn.XLOOKUP(C471,'Neiva 2022 FASE I ACTUAL (5)'!$C$6:$C$540,'Neiva 2022 FASE I ACTUAL (5)'!$C$6:$F$540,"NO ESTA")</f>
        <v xml:space="preserve">SUMINISTRO E INSTALACIÓN PUESTA A TIERRA TABLERO DE DISTRIBUCIÓN Y GENERAL (Incluye preparación de tierra con la solución Sanick Gel para obtener una elevada conductividad eléctrica (ver especificaciones técnicas de diseño anexas) </v>
      </c>
      <c r="L471" s="9">
        <v>0</v>
      </c>
      <c r="M471" s="9">
        <v>0</v>
      </c>
      <c r="N471" s="9">
        <v>0</v>
      </c>
      <c r="O471" s="124">
        <f t="shared" si="74"/>
        <v>0</v>
      </c>
      <c r="P471" s="155">
        <f t="shared" si="69"/>
        <v>0</v>
      </c>
      <c r="Q471" s="156">
        <f t="shared" si="72"/>
        <v>0</v>
      </c>
      <c r="R471" s="156">
        <f t="shared" si="73"/>
        <v>0</v>
      </c>
    </row>
    <row r="472" spans="2:18" s="9" customFormat="1" ht="35.1" customHeight="1" x14ac:dyDescent="0.25">
      <c r="B472" s="23" t="s">
        <v>676</v>
      </c>
      <c r="C472" s="22" t="s">
        <v>677</v>
      </c>
      <c r="D472" s="23" t="s">
        <v>269</v>
      </c>
      <c r="E472" s="12">
        <v>0</v>
      </c>
      <c r="F472" s="126">
        <v>7194</v>
      </c>
      <c r="G472" s="126">
        <f t="shared" si="75"/>
        <v>0</v>
      </c>
      <c r="H472" s="8"/>
      <c r="I472" s="8">
        <f t="shared" si="70"/>
        <v>7377</v>
      </c>
      <c r="J472" s="8">
        <f t="shared" si="71"/>
        <v>0</v>
      </c>
      <c r="K472" s="9" t="str">
        <f t="array" ref="K472:N472">_xlfn.XLOOKUP(C472,'Neiva 2022 FASE I ACTUAL (5)'!$C$6:$C$540,'Neiva 2022 FASE I ACTUAL (5)'!$C$6:$F$540,"NO ESTA")</f>
        <v>SUMINISTRO E INSTALACIÓN CONDUCTOR 6 Cu TEMPLE DURO</v>
      </c>
      <c r="L472" s="9" t="str">
        <v xml:space="preserve">ML   </v>
      </c>
      <c r="M472" s="9">
        <v>10</v>
      </c>
      <c r="N472" s="9">
        <v>7012</v>
      </c>
      <c r="O472" s="124" t="str">
        <f t="shared" si="74"/>
        <v>FASE II</v>
      </c>
      <c r="P472" s="155">
        <f t="shared" si="69"/>
        <v>10</v>
      </c>
      <c r="Q472" s="156">
        <f t="shared" si="72"/>
        <v>7377</v>
      </c>
      <c r="R472" s="156">
        <f t="shared" si="73"/>
        <v>73770</v>
      </c>
    </row>
    <row r="473" spans="2:18" s="9" customFormat="1" ht="35.1" customHeight="1" x14ac:dyDescent="0.25">
      <c r="B473" s="23" t="s">
        <v>678</v>
      </c>
      <c r="C473" s="22" t="s">
        <v>679</v>
      </c>
      <c r="D473" s="23" t="s">
        <v>374</v>
      </c>
      <c r="E473" s="12">
        <v>0</v>
      </c>
      <c r="F473" s="126">
        <v>127634</v>
      </c>
      <c r="G473" s="126">
        <f t="shared" si="75"/>
        <v>0</v>
      </c>
      <c r="H473" s="8"/>
      <c r="I473" s="8">
        <f t="shared" si="70"/>
        <v>130889</v>
      </c>
      <c r="J473" s="8">
        <f t="shared" si="71"/>
        <v>0</v>
      </c>
      <c r="K473" s="9" t="str">
        <f t="array" ref="K473:N473">_xlfn.XLOOKUP(C473,'Neiva 2022 FASE I ACTUAL (5)'!$C$6:$C$540,'Neiva 2022 FASE I ACTUAL (5)'!$C$6:$F$540,"NO ESTA")</f>
        <v>SUMINISTRO E INSTALACIÓN ELECTRODO DE PUESTA A TIERRA EN VARILLA DE COBRE DE 5/8" X 2.40 M</v>
      </c>
      <c r="L473" s="9" t="str">
        <v>UN</v>
      </c>
      <c r="M473" s="9">
        <v>1</v>
      </c>
      <c r="N473" s="9">
        <v>124386</v>
      </c>
      <c r="O473" s="124" t="str">
        <f t="shared" si="74"/>
        <v>FASE II</v>
      </c>
      <c r="P473" s="155">
        <f t="shared" si="69"/>
        <v>1</v>
      </c>
      <c r="Q473" s="156">
        <f t="shared" si="72"/>
        <v>130889</v>
      </c>
      <c r="R473" s="156">
        <f t="shared" si="73"/>
        <v>130889</v>
      </c>
    </row>
    <row r="474" spans="2:18" s="9" customFormat="1" ht="35.1" customHeight="1" x14ac:dyDescent="0.25">
      <c r="B474" s="23" t="s">
        <v>680</v>
      </c>
      <c r="C474" s="22" t="s">
        <v>681</v>
      </c>
      <c r="D474" s="23" t="s">
        <v>374</v>
      </c>
      <c r="E474" s="12">
        <v>0</v>
      </c>
      <c r="F474" s="126">
        <v>132126</v>
      </c>
      <c r="G474" s="126">
        <f t="shared" si="75"/>
        <v>0</v>
      </c>
      <c r="H474" s="8"/>
      <c r="I474" s="8">
        <f t="shared" si="70"/>
        <v>135495</v>
      </c>
      <c r="J474" s="8">
        <f t="shared" si="71"/>
        <v>0</v>
      </c>
      <c r="K474" s="9" t="str">
        <f t="array" ref="K474:N474">_xlfn.XLOOKUP(C474,'Neiva 2022 FASE I ACTUAL (5)'!$C$6:$C$540,'Neiva 2022 FASE I ACTUAL (5)'!$C$6:$F$540,"NO ESTA")</f>
        <v>SUMINISTRO E INSTALACIÓN CONEXIÓN TERMOSOLDADA DE VARILLA A CABLE DE COBRE DESNUDO # 6 AWG, INCLUYE SUMINISTRO DE MOLDE, FÚNDENTE Y DEMÁS ACCESORIOS.</v>
      </c>
      <c r="L474" s="9" t="str">
        <v>UN</v>
      </c>
      <c r="M474" s="9">
        <v>1</v>
      </c>
      <c r="N474" s="9">
        <v>128763</v>
      </c>
      <c r="O474" s="124" t="str">
        <f t="shared" si="74"/>
        <v>FASE II</v>
      </c>
      <c r="P474" s="155">
        <f t="shared" si="69"/>
        <v>1</v>
      </c>
      <c r="Q474" s="156">
        <f t="shared" si="72"/>
        <v>135495</v>
      </c>
      <c r="R474" s="156">
        <f t="shared" si="73"/>
        <v>135495</v>
      </c>
    </row>
    <row r="475" spans="2:18" s="9" customFormat="1" ht="35.1" customHeight="1" x14ac:dyDescent="0.25">
      <c r="B475" s="23" t="s">
        <v>682</v>
      </c>
      <c r="C475" s="22" t="s">
        <v>1248</v>
      </c>
      <c r="D475" s="23" t="s">
        <v>374</v>
      </c>
      <c r="E475" s="12">
        <v>0</v>
      </c>
      <c r="F475" s="126">
        <v>132126</v>
      </c>
      <c r="G475" s="126">
        <f t="shared" si="75"/>
        <v>0</v>
      </c>
      <c r="H475" s="8"/>
      <c r="I475" s="8">
        <f t="shared" si="70"/>
        <v>135495</v>
      </c>
      <c r="J475" s="8">
        <f t="shared" si="71"/>
        <v>0</v>
      </c>
      <c r="K475" s="9" t="str">
        <f t="array" ref="K475">_xlfn.XLOOKUP(C475,'Neiva 2022 FASE I ACTUAL (5)'!$C$6:$C$540,'Neiva 2022 FASE I ACTUAL (5)'!$C$6:$F$540,"NO ESTA")</f>
        <v>NO ESTA</v>
      </c>
      <c r="O475" s="124">
        <f t="shared" si="74"/>
        <v>0</v>
      </c>
      <c r="P475" s="155">
        <f t="shared" si="69"/>
        <v>0</v>
      </c>
      <c r="Q475" s="156">
        <f t="shared" si="72"/>
        <v>135495</v>
      </c>
      <c r="R475" s="156">
        <f t="shared" si="73"/>
        <v>0</v>
      </c>
    </row>
    <row r="476" spans="2:18" s="9" customFormat="1" ht="39.950000000000003" customHeight="1" x14ac:dyDescent="0.25">
      <c r="B476" s="23" t="s">
        <v>684</v>
      </c>
      <c r="C476" s="22" t="s">
        <v>1247</v>
      </c>
      <c r="D476" s="23" t="s">
        <v>374</v>
      </c>
      <c r="E476" s="12">
        <v>0</v>
      </c>
      <c r="F476" s="126">
        <v>166876</v>
      </c>
      <c r="G476" s="126">
        <f t="shared" si="75"/>
        <v>0</v>
      </c>
      <c r="H476" s="8"/>
      <c r="I476" s="8">
        <f t="shared" si="70"/>
        <v>171131</v>
      </c>
      <c r="J476" s="8">
        <f t="shared" si="71"/>
        <v>0</v>
      </c>
      <c r="K476" s="9" t="str">
        <f t="array" ref="K476">_xlfn.XLOOKUP(C476,'Neiva 2022 FASE I ACTUAL (5)'!$C$6:$C$540,'Neiva 2022 FASE I ACTUAL (5)'!$C$6:$F$540,"NO ESTA")</f>
        <v>NO ESTA</v>
      </c>
      <c r="O476" s="124">
        <f t="shared" si="74"/>
        <v>0</v>
      </c>
      <c r="P476" s="155">
        <f t="shared" si="69"/>
        <v>0</v>
      </c>
      <c r="Q476" s="156">
        <f t="shared" si="72"/>
        <v>171131</v>
      </c>
      <c r="R476" s="156">
        <f t="shared" si="73"/>
        <v>0</v>
      </c>
    </row>
    <row r="477" spans="2:18" s="9" customFormat="1" ht="35.1" customHeight="1" x14ac:dyDescent="0.25">
      <c r="B477" s="54" t="s">
        <v>685</v>
      </c>
      <c r="C477" s="24" t="s">
        <v>686</v>
      </c>
      <c r="D477" s="24"/>
      <c r="E477" s="15">
        <v>0</v>
      </c>
      <c r="F477" s="126">
        <v>0</v>
      </c>
      <c r="G477" s="126">
        <f t="shared" si="75"/>
        <v>0</v>
      </c>
      <c r="H477" s="8"/>
      <c r="I477" s="8">
        <f t="shared" si="70"/>
        <v>0</v>
      </c>
      <c r="J477" s="8">
        <f t="shared" si="71"/>
        <v>0</v>
      </c>
      <c r="K477" s="9" t="str">
        <f t="array" ref="K477:N477">_xlfn.XLOOKUP(C477,'Neiva 2022 FASE I ACTUAL (5)'!$C$6:$C$540,'Neiva 2022 FASE I ACTUAL (5)'!$C$6:$F$540,"NO ESTA")</f>
        <v xml:space="preserve">SUMINISTRO E INSTALACIÓN PUESTA A TIERRA PLANTA GENERADORA (Incluye preparación de tierra con la solución Sanick Gel para obtener una elevada conductividad eléctrica (ver especificaciones técnicas de diseño anexas) </v>
      </c>
      <c r="L477" s="9">
        <v>0</v>
      </c>
      <c r="M477" s="9">
        <v>0</v>
      </c>
      <c r="N477" s="9">
        <v>0</v>
      </c>
      <c r="O477" s="124">
        <f t="shared" si="74"/>
        <v>0</v>
      </c>
      <c r="P477" s="155">
        <f t="shared" si="69"/>
        <v>0</v>
      </c>
      <c r="Q477" s="156">
        <f t="shared" si="72"/>
        <v>0</v>
      </c>
      <c r="R477" s="156">
        <f t="shared" si="73"/>
        <v>0</v>
      </c>
    </row>
    <row r="478" spans="2:18" s="9" customFormat="1" ht="35.1" customHeight="1" x14ac:dyDescent="0.25">
      <c r="B478" s="23" t="s">
        <v>687</v>
      </c>
      <c r="C478" s="22" t="s">
        <v>665</v>
      </c>
      <c r="D478" s="23" t="s">
        <v>269</v>
      </c>
      <c r="E478" s="12">
        <v>0</v>
      </c>
      <c r="F478" s="126">
        <v>24409</v>
      </c>
      <c r="G478" s="126">
        <f t="shared" si="75"/>
        <v>0</v>
      </c>
      <c r="H478" s="8"/>
      <c r="I478" s="8">
        <f t="shared" si="70"/>
        <v>25031</v>
      </c>
      <c r="J478" s="8">
        <f t="shared" si="71"/>
        <v>0</v>
      </c>
      <c r="K478" s="9" t="str">
        <f t="array" ref="K478:N478">_xlfn.XLOOKUP(C478,'Neiva 2022 FASE I ACTUAL (5)'!$C$6:$C$540,'Neiva 2022 FASE I ACTUAL (5)'!$C$6:$F$540,"NO ESTA")</f>
        <v>SUMINISTRO E INSTALACIÓN CONDUCTOR 2/0 Cu. TEMPLE DURO</v>
      </c>
      <c r="L478" s="9" t="str">
        <v xml:space="preserve">ML   </v>
      </c>
      <c r="M478" s="9">
        <v>35</v>
      </c>
      <c r="N478" s="9">
        <v>23788</v>
      </c>
      <c r="O478" s="124" t="str">
        <f t="shared" si="74"/>
        <v>FASE II</v>
      </c>
      <c r="P478" s="155">
        <f t="shared" si="69"/>
        <v>35</v>
      </c>
      <c r="Q478" s="156">
        <f t="shared" si="72"/>
        <v>25031</v>
      </c>
      <c r="R478" s="156">
        <f t="shared" si="73"/>
        <v>876085</v>
      </c>
    </row>
    <row r="479" spans="2:18" s="9" customFormat="1" ht="57" customHeight="1" x14ac:dyDescent="0.25">
      <c r="B479" s="23" t="s">
        <v>688</v>
      </c>
      <c r="C479" s="22" t="s">
        <v>1249</v>
      </c>
      <c r="D479" s="23" t="s">
        <v>374</v>
      </c>
      <c r="E479" s="12">
        <v>0</v>
      </c>
      <c r="F479" s="126">
        <v>707808</v>
      </c>
      <c r="G479" s="126">
        <f t="shared" si="75"/>
        <v>0</v>
      </c>
      <c r="H479" s="8"/>
      <c r="I479" s="8">
        <f t="shared" si="70"/>
        <v>725857</v>
      </c>
      <c r="J479" s="8">
        <f t="shared" si="71"/>
        <v>0</v>
      </c>
      <c r="K479" s="9" t="str">
        <f t="array" ref="K479">_xlfn.XLOOKUP(C479,'Neiva 2022 FASE I ACTUAL (5)'!$C$6:$C$540,'Neiva 2022 FASE I ACTUAL (5)'!$C$6:$F$540,"NO ESTA")</f>
        <v>NO ESTA</v>
      </c>
      <c r="O479" s="124">
        <f t="shared" si="74"/>
        <v>0</v>
      </c>
      <c r="P479" s="155">
        <f t="shared" si="69"/>
        <v>0</v>
      </c>
      <c r="Q479" s="156">
        <f t="shared" si="72"/>
        <v>725857</v>
      </c>
      <c r="R479" s="156">
        <f t="shared" si="73"/>
        <v>0</v>
      </c>
    </row>
    <row r="480" spans="2:18" s="9" customFormat="1" ht="35.1" customHeight="1" x14ac:dyDescent="0.25">
      <c r="B480" s="13" t="s">
        <v>690</v>
      </c>
      <c r="C480" s="24" t="s">
        <v>691</v>
      </c>
      <c r="D480" s="24"/>
      <c r="E480" s="15">
        <v>0</v>
      </c>
      <c r="F480" s="126">
        <v>0</v>
      </c>
      <c r="G480" s="126">
        <f t="shared" si="75"/>
        <v>0</v>
      </c>
      <c r="H480" s="8"/>
      <c r="I480" s="8">
        <f t="shared" si="70"/>
        <v>0</v>
      </c>
      <c r="J480" s="8">
        <f t="shared" si="71"/>
        <v>0</v>
      </c>
      <c r="K480" s="9" t="str">
        <f t="array" ref="K480:N480">_xlfn.XLOOKUP(C480,'Neiva 2022 FASE I ACTUAL (5)'!$C$6:$C$540,'Neiva 2022 FASE I ACTUAL (5)'!$C$6:$F$540,"NO ESTA")</f>
        <v>SISTEMA DE PROTECCIÓN EXTERNA CONTRA DESCARGAS ATMOSFÉRICAS BAJANTES DE PARARRAYOS DESDE CUBIERTA A TERRENO</v>
      </c>
      <c r="L480" s="9">
        <v>0</v>
      </c>
      <c r="M480" s="9">
        <v>0</v>
      </c>
      <c r="N480" s="9">
        <v>0</v>
      </c>
      <c r="O480" s="124">
        <f t="shared" si="74"/>
        <v>0</v>
      </c>
      <c r="P480" s="155">
        <f t="shared" si="69"/>
        <v>0</v>
      </c>
      <c r="Q480" s="156">
        <f t="shared" si="72"/>
        <v>0</v>
      </c>
      <c r="R480" s="156">
        <f t="shared" si="73"/>
        <v>0</v>
      </c>
    </row>
    <row r="481" spans="2:18" s="9" customFormat="1" ht="35.1" customHeight="1" x14ac:dyDescent="0.25">
      <c r="B481" s="23" t="s">
        <v>692</v>
      </c>
      <c r="C481" s="22" t="s">
        <v>693</v>
      </c>
      <c r="D481" s="23" t="s">
        <v>269</v>
      </c>
      <c r="E481" s="12">
        <v>0</v>
      </c>
      <c r="F481" s="126">
        <v>4755</v>
      </c>
      <c r="G481" s="126">
        <f t="shared" si="75"/>
        <v>0</v>
      </c>
      <c r="H481" s="8"/>
      <c r="I481" s="8">
        <f t="shared" si="70"/>
        <v>4876</v>
      </c>
      <c r="J481" s="8">
        <f t="shared" si="71"/>
        <v>0</v>
      </c>
      <c r="K481" s="9" t="str">
        <f t="array" ref="K481:N481">_xlfn.XLOOKUP(C481,'Neiva 2022 FASE I ACTUAL (5)'!$C$6:$C$540,'Neiva 2022 FASE I ACTUAL (5)'!$C$6:$F$540,"NO ESTA")</f>
        <v>SUMINISTRO E INSTALACIÓN TENDIDO DE TUBERÍA Ø 3/4” PVC EMBEBIDO EN LAS COLUMNAS DE CONCRETO, DESDE LA CUBIERTA HASTA EL TERRENO.</v>
      </c>
      <c r="L481" s="9" t="str">
        <v xml:space="preserve">ML   </v>
      </c>
      <c r="M481" s="9">
        <v>65</v>
      </c>
      <c r="N481" s="9">
        <v>4633</v>
      </c>
      <c r="O481" s="124" t="str">
        <f t="shared" si="74"/>
        <v>FASE II</v>
      </c>
      <c r="P481" s="155">
        <f t="shared" si="69"/>
        <v>65</v>
      </c>
      <c r="Q481" s="156">
        <f t="shared" si="72"/>
        <v>4876</v>
      </c>
      <c r="R481" s="156">
        <f t="shared" si="73"/>
        <v>316940</v>
      </c>
    </row>
    <row r="482" spans="2:18" s="9" customFormat="1" ht="35.1" customHeight="1" x14ac:dyDescent="0.25">
      <c r="B482" s="23" t="s">
        <v>694</v>
      </c>
      <c r="C482" s="22" t="s">
        <v>695</v>
      </c>
      <c r="D482" s="23" t="s">
        <v>269</v>
      </c>
      <c r="E482" s="12">
        <v>0</v>
      </c>
      <c r="F482" s="126">
        <v>14774</v>
      </c>
      <c r="G482" s="126">
        <f t="shared" si="75"/>
        <v>0</v>
      </c>
      <c r="H482" s="8"/>
      <c r="I482" s="8">
        <f t="shared" si="70"/>
        <v>15151</v>
      </c>
      <c r="J482" s="8">
        <f t="shared" si="71"/>
        <v>0</v>
      </c>
      <c r="K482" s="9" t="str">
        <f t="array" ref="K482:N482">_xlfn.XLOOKUP(C482,'Neiva 2022 FASE I ACTUAL (5)'!$C$6:$C$540,'Neiva 2022 FASE I ACTUAL (5)'!$C$6:$F$540,"NO ESTA")</f>
        <v>SUMINISTRO E INSTALACIÓN TENDIDO DE CONDUCTOR DE COBRE DESNUDO # 2 AWG, DESDE LA CUBIERTA HASTA EL TERRENO POR LAS BAJANTES.</v>
      </c>
      <c r="L482" s="9" t="str">
        <v xml:space="preserve">ML   </v>
      </c>
      <c r="M482" s="9">
        <v>69</v>
      </c>
      <c r="N482" s="9">
        <v>14398</v>
      </c>
      <c r="O482" s="124" t="str">
        <f t="shared" si="74"/>
        <v>FASE II</v>
      </c>
      <c r="P482" s="155">
        <f t="shared" si="69"/>
        <v>69</v>
      </c>
      <c r="Q482" s="156">
        <f t="shared" si="72"/>
        <v>15151</v>
      </c>
      <c r="R482" s="156">
        <f t="shared" si="73"/>
        <v>1045419</v>
      </c>
    </row>
    <row r="483" spans="2:18" s="9" customFormat="1" ht="35.1" customHeight="1" x14ac:dyDescent="0.25">
      <c r="B483" s="23" t="s">
        <v>696</v>
      </c>
      <c r="C483" s="22" t="s">
        <v>697</v>
      </c>
      <c r="D483" s="23" t="s">
        <v>269</v>
      </c>
      <c r="E483" s="12">
        <v>0</v>
      </c>
      <c r="F483" s="126">
        <v>5396</v>
      </c>
      <c r="G483" s="126">
        <f t="shared" si="75"/>
        <v>0</v>
      </c>
      <c r="H483" s="8"/>
      <c r="I483" s="8">
        <f t="shared" si="70"/>
        <v>5534</v>
      </c>
      <c r="J483" s="8">
        <f t="shared" si="71"/>
        <v>0</v>
      </c>
      <c r="K483" s="9" t="str">
        <f t="array" ref="K483:N483">_xlfn.XLOOKUP(C483,'Neiva 2022 FASE I ACTUAL (5)'!$C$6:$C$540,'Neiva 2022 FASE I ACTUAL (5)'!$C$6:$F$540,"NO ESTA")</f>
        <v>SUMINISTRO E INSTALACIÓN TENDIDO DE ALAMBRON 8MM SOBREPUESTO EN LOS BORDES DE LA CUBIERTA PARA INTERCONEXIÓN DE PUNTAS CAPTADORAS Y BAJANTES A MALLA A TIERRA.</v>
      </c>
      <c r="L483" s="9" t="str">
        <v xml:space="preserve">ML   </v>
      </c>
      <c r="M483" s="9">
        <v>244</v>
      </c>
      <c r="N483" s="9">
        <v>5259</v>
      </c>
      <c r="O483" s="124" t="str">
        <f t="shared" si="74"/>
        <v>FASE II</v>
      </c>
      <c r="P483" s="155">
        <f t="shared" si="69"/>
        <v>244</v>
      </c>
      <c r="Q483" s="156">
        <f t="shared" si="72"/>
        <v>5534</v>
      </c>
      <c r="R483" s="156">
        <f t="shared" si="73"/>
        <v>1350296</v>
      </c>
    </row>
    <row r="484" spans="2:18" s="9" customFormat="1" ht="35.1" customHeight="1" x14ac:dyDescent="0.25">
      <c r="B484" s="23" t="s">
        <v>698</v>
      </c>
      <c r="C484" s="22" t="s">
        <v>1250</v>
      </c>
      <c r="D484" s="23" t="s">
        <v>269</v>
      </c>
      <c r="E484" s="12">
        <v>0</v>
      </c>
      <c r="F484" s="126">
        <v>14774</v>
      </c>
      <c r="G484" s="126">
        <f t="shared" si="75"/>
        <v>0</v>
      </c>
      <c r="H484" s="8"/>
      <c r="I484" s="8">
        <f t="shared" si="70"/>
        <v>15151</v>
      </c>
      <c r="J484" s="8">
        <f t="shared" si="71"/>
        <v>0</v>
      </c>
      <c r="K484" s="9" t="str">
        <f t="array" ref="K484">_xlfn.XLOOKUP(C484,'Neiva 2022 FASE I ACTUAL (5)'!$C$6:$C$540,'Neiva 2022 FASE I ACTUAL (5)'!$C$6:$F$540,"NO ESTA")</f>
        <v>NO ESTA</v>
      </c>
      <c r="O484" s="124">
        <f t="shared" si="74"/>
        <v>0</v>
      </c>
      <c r="P484" s="155">
        <f t="shared" si="69"/>
        <v>0</v>
      </c>
      <c r="Q484" s="156">
        <f t="shared" si="72"/>
        <v>15151</v>
      </c>
      <c r="R484" s="156">
        <f t="shared" si="73"/>
        <v>0</v>
      </c>
    </row>
    <row r="485" spans="2:18" s="9" customFormat="1" ht="54" customHeight="1" x14ac:dyDescent="0.25">
      <c r="B485" s="23" t="s">
        <v>700</v>
      </c>
      <c r="C485" s="22" t="s">
        <v>1251</v>
      </c>
      <c r="D485" s="23" t="s">
        <v>374</v>
      </c>
      <c r="E485" s="12">
        <v>0</v>
      </c>
      <c r="F485" s="126">
        <v>213900</v>
      </c>
      <c r="G485" s="126">
        <f t="shared" si="75"/>
        <v>0</v>
      </c>
      <c r="H485" s="8"/>
      <c r="I485" s="8">
        <f t="shared" si="70"/>
        <v>219354</v>
      </c>
      <c r="J485" s="8">
        <f t="shared" si="71"/>
        <v>0</v>
      </c>
      <c r="K485" s="9" t="str">
        <f t="array" ref="K485">_xlfn.XLOOKUP(C485,'Neiva 2022 FASE I ACTUAL (5)'!$C$6:$C$540,'Neiva 2022 FASE I ACTUAL (5)'!$C$6:$F$540,"NO ESTA")</f>
        <v>NO ESTA</v>
      </c>
      <c r="O485" s="124">
        <f t="shared" si="74"/>
        <v>0</v>
      </c>
      <c r="P485" s="155">
        <f t="shared" si="69"/>
        <v>0</v>
      </c>
      <c r="Q485" s="156">
        <f t="shared" si="72"/>
        <v>219354</v>
      </c>
      <c r="R485" s="156">
        <f t="shared" si="73"/>
        <v>0</v>
      </c>
    </row>
    <row r="486" spans="2:18" s="9" customFormat="1" ht="35.1" customHeight="1" x14ac:dyDescent="0.25">
      <c r="B486" s="23" t="s">
        <v>702</v>
      </c>
      <c r="C486" s="22" t="s">
        <v>703</v>
      </c>
      <c r="D486" s="23" t="s">
        <v>374</v>
      </c>
      <c r="E486" s="12">
        <v>0</v>
      </c>
      <c r="F486" s="126">
        <v>21111</v>
      </c>
      <c r="G486" s="126">
        <f t="shared" si="75"/>
        <v>0</v>
      </c>
      <c r="H486" s="8"/>
      <c r="I486" s="8">
        <f t="shared" si="70"/>
        <v>21649</v>
      </c>
      <c r="J486" s="8">
        <f t="shared" si="71"/>
        <v>0</v>
      </c>
      <c r="K486" s="9" t="str">
        <f t="array" ref="K486:N486">_xlfn.XLOOKUP(C486,'Neiva 2022 FASE I ACTUAL (5)'!$C$6:$C$540,'Neiva 2022 FASE I ACTUAL (5)'!$C$6:$F$540,"NO ESTA")</f>
        <v>SUMINISTRO E INSTALACIÓN ABRAZADERAS DE BRONCE PARA SOPORTAR EL CABLE AL MURO DE CONCRETO APROBADAS PARA INTEMPERIE.</v>
      </c>
      <c r="L486" s="9" t="str">
        <v>UN</v>
      </c>
      <c r="M486" s="9">
        <v>86</v>
      </c>
      <c r="N486" s="9">
        <v>20574</v>
      </c>
      <c r="O486" s="124" t="str">
        <f t="shared" si="74"/>
        <v>FASE II</v>
      </c>
      <c r="P486" s="155">
        <f t="shared" si="69"/>
        <v>86</v>
      </c>
      <c r="Q486" s="156">
        <f t="shared" si="72"/>
        <v>21649</v>
      </c>
      <c r="R486" s="156">
        <f t="shared" si="73"/>
        <v>1861814</v>
      </c>
    </row>
    <row r="487" spans="2:18" s="9" customFormat="1" ht="35.1" customHeight="1" x14ac:dyDescent="0.25">
      <c r="B487" s="23" t="s">
        <v>704</v>
      </c>
      <c r="C487" s="22" t="s">
        <v>705</v>
      </c>
      <c r="D487" s="23" t="s">
        <v>374</v>
      </c>
      <c r="E487" s="12">
        <v>0</v>
      </c>
      <c r="F487" s="126">
        <v>26196</v>
      </c>
      <c r="G487" s="126">
        <f t="shared" si="75"/>
        <v>0</v>
      </c>
      <c r="H487" s="8"/>
      <c r="I487" s="8">
        <f t="shared" si="70"/>
        <v>26864</v>
      </c>
      <c r="J487" s="8">
        <f t="shared" si="71"/>
        <v>0</v>
      </c>
      <c r="K487" s="9" t="str">
        <f t="array" ref="K487:N487">_xlfn.XLOOKUP(C487,'Neiva 2022 FASE I ACTUAL (5)'!$C$6:$C$540,'Neiva 2022 FASE I ACTUAL (5)'!$C$6:$F$540,"NO ESTA")</f>
        <v>SUMINISTRO E INSTALACIÓN GRAPA DERIVACIÓN EN T DE BRONCE PARA SOPORTAR EL CABLE AL MURO DE CONCRETO APROBADAS PARA INTEMPERIE.</v>
      </c>
      <c r="L487" s="9" t="str">
        <v>UN</v>
      </c>
      <c r="M487" s="9">
        <v>4</v>
      </c>
      <c r="N487" s="9">
        <v>25530</v>
      </c>
      <c r="O487" s="124" t="str">
        <f t="shared" si="74"/>
        <v>FASE II</v>
      </c>
      <c r="P487" s="155">
        <f t="shared" si="69"/>
        <v>4</v>
      </c>
      <c r="Q487" s="156">
        <f t="shared" si="72"/>
        <v>26864</v>
      </c>
      <c r="R487" s="156">
        <f t="shared" si="73"/>
        <v>107456</v>
      </c>
    </row>
    <row r="488" spans="2:18" s="9" customFormat="1" ht="35.1" customHeight="1" x14ac:dyDescent="0.25">
      <c r="B488" s="23" t="s">
        <v>706</v>
      </c>
      <c r="C488" s="22" t="s">
        <v>707</v>
      </c>
      <c r="D488" s="23" t="s">
        <v>374</v>
      </c>
      <c r="E488" s="12">
        <v>0</v>
      </c>
      <c r="F488" s="126">
        <v>214977</v>
      </c>
      <c r="G488" s="126">
        <f t="shared" si="75"/>
        <v>0</v>
      </c>
      <c r="H488" s="8"/>
      <c r="I488" s="8">
        <f t="shared" si="70"/>
        <v>220459</v>
      </c>
      <c r="J488" s="8">
        <f t="shared" si="71"/>
        <v>0</v>
      </c>
      <c r="K488" s="9" t="str">
        <f t="array" ref="K488:N488">_xlfn.XLOOKUP(C488,'Neiva 2022 FASE I ACTUAL (5)'!$C$6:$C$540,'Neiva 2022 FASE I ACTUAL (5)'!$C$6:$F$540,"NO ESTA")</f>
        <v>SUMINISTRO E INSTALACIÓN ELECTRODO DE PUESTA A TIERRA EN CU DE 5/8"X 8' + CONECTOR</v>
      </c>
      <c r="L488" s="9" t="str">
        <v>UN</v>
      </c>
      <c r="M488" s="9">
        <v>4</v>
      </c>
      <c r="N488" s="9">
        <v>209505</v>
      </c>
      <c r="O488" s="124" t="str">
        <f t="shared" si="74"/>
        <v>FASE II</v>
      </c>
      <c r="P488" s="155">
        <f t="shared" si="69"/>
        <v>4</v>
      </c>
      <c r="Q488" s="156">
        <f t="shared" si="72"/>
        <v>220459</v>
      </c>
      <c r="R488" s="156">
        <f t="shared" si="73"/>
        <v>881836</v>
      </c>
    </row>
    <row r="489" spans="2:18" s="9" customFormat="1" ht="35.1" customHeight="1" x14ac:dyDescent="0.25">
      <c r="B489" s="23" t="s">
        <v>708</v>
      </c>
      <c r="C489" s="22" t="s">
        <v>709</v>
      </c>
      <c r="D489" s="23" t="s">
        <v>374</v>
      </c>
      <c r="E489" s="12">
        <v>0</v>
      </c>
      <c r="F489" s="126">
        <v>132126</v>
      </c>
      <c r="G489" s="126">
        <f t="shared" si="75"/>
        <v>0</v>
      </c>
      <c r="H489" s="8"/>
      <c r="I489" s="8">
        <f t="shared" si="70"/>
        <v>135495</v>
      </c>
      <c r="J489" s="8">
        <f t="shared" si="71"/>
        <v>0</v>
      </c>
      <c r="K489" s="9" t="str">
        <f t="array" ref="K489:N489">_xlfn.XLOOKUP(C489,'Neiva 2022 FASE I ACTUAL (5)'!$C$6:$C$540,'Neiva 2022 FASE I ACTUAL (5)'!$C$6:$F$540,"NO ESTA")</f>
        <v>SUMINISTRO E INSTALACIÓN CONEXIÓN EXOTÉRMICA VARILLA-CABLE CALIBRE #2 AWG. INCLUYE SUMINISTRO DE MOLDE FÚNDENTE Y DEMÁS ACCESORIOS.</v>
      </c>
      <c r="L489" s="9" t="str">
        <v>UN</v>
      </c>
      <c r="M489" s="9">
        <v>4</v>
      </c>
      <c r="N489" s="9">
        <v>128763</v>
      </c>
      <c r="O489" s="124" t="str">
        <f t="shared" si="74"/>
        <v>FASE II</v>
      </c>
      <c r="P489" s="155">
        <f t="shared" si="69"/>
        <v>4</v>
      </c>
      <c r="Q489" s="156">
        <f t="shared" si="72"/>
        <v>135495</v>
      </c>
      <c r="R489" s="156">
        <f t="shared" si="73"/>
        <v>541980</v>
      </c>
    </row>
    <row r="490" spans="2:18" s="9" customFormat="1" ht="35.1" customHeight="1" x14ac:dyDescent="0.25">
      <c r="B490" s="23" t="s">
        <v>710</v>
      </c>
      <c r="C490" s="22" t="s">
        <v>1252</v>
      </c>
      <c r="D490" s="23" t="s">
        <v>374</v>
      </c>
      <c r="E490" s="12">
        <v>0</v>
      </c>
      <c r="F490" s="126">
        <v>262735</v>
      </c>
      <c r="G490" s="126">
        <f t="shared" si="75"/>
        <v>0</v>
      </c>
      <c r="H490" s="8"/>
      <c r="I490" s="8">
        <f t="shared" si="70"/>
        <v>269435</v>
      </c>
      <c r="J490" s="8">
        <f t="shared" si="71"/>
        <v>0</v>
      </c>
      <c r="K490" s="9" t="str">
        <f t="array" ref="K490">_xlfn.XLOOKUP(C490,'Neiva 2022 FASE I ACTUAL (5)'!$C$6:$C$540,'Neiva 2022 FASE I ACTUAL (5)'!$C$6:$F$540,"NO ESTA")</f>
        <v>NO ESTA</v>
      </c>
      <c r="O490" s="124">
        <f t="shared" si="74"/>
        <v>0</v>
      </c>
      <c r="P490" s="155">
        <f t="shared" si="69"/>
        <v>0</v>
      </c>
      <c r="Q490" s="156">
        <f t="shared" si="72"/>
        <v>269435</v>
      </c>
      <c r="R490" s="156">
        <f t="shared" si="73"/>
        <v>0</v>
      </c>
    </row>
    <row r="491" spans="2:18" s="9" customFormat="1" ht="35.1" customHeight="1" x14ac:dyDescent="0.25">
      <c r="B491" s="13" t="s">
        <v>1253</v>
      </c>
      <c r="C491" s="24" t="s">
        <v>1254</v>
      </c>
      <c r="D491" s="24"/>
      <c r="E491" s="15"/>
      <c r="F491" s="129"/>
      <c r="G491" s="140"/>
      <c r="H491" s="8"/>
      <c r="I491" s="8">
        <f t="shared" si="70"/>
        <v>0</v>
      </c>
      <c r="J491" s="8">
        <f t="shared" si="71"/>
        <v>0</v>
      </c>
      <c r="K491" s="9" t="str">
        <f t="array" ref="K491">_xlfn.XLOOKUP(C491,'Neiva 2022 FASE I ACTUAL (5)'!$C$6:$C$540,'Neiva 2022 FASE I ACTUAL (5)'!$C$6:$F$540,"NO ESTA")</f>
        <v>NO ESTA</v>
      </c>
      <c r="O491" s="124">
        <f t="shared" si="74"/>
        <v>0</v>
      </c>
      <c r="P491" s="155">
        <f t="shared" si="69"/>
        <v>0</v>
      </c>
      <c r="Q491" s="156">
        <f t="shared" si="72"/>
        <v>0</v>
      </c>
      <c r="R491" s="156">
        <f t="shared" si="73"/>
        <v>0</v>
      </c>
    </row>
    <row r="492" spans="2:18" s="9" customFormat="1" ht="108.75" customHeight="1" x14ac:dyDescent="0.25">
      <c r="B492" s="23" t="s">
        <v>1255</v>
      </c>
      <c r="C492" s="22" t="s">
        <v>1256</v>
      </c>
      <c r="D492" s="23" t="s">
        <v>374</v>
      </c>
      <c r="E492" s="12">
        <v>1</v>
      </c>
      <c r="F492" s="126">
        <v>206192449</v>
      </c>
      <c r="G492" s="126">
        <f t="shared" ref="G492:G503" si="76">ROUND(+F492*E492,2)</f>
        <v>206192449</v>
      </c>
      <c r="H492" s="8"/>
      <c r="I492" s="8">
        <f t="shared" si="70"/>
        <v>211450356</v>
      </c>
      <c r="J492" s="8">
        <f t="shared" si="71"/>
        <v>211450356</v>
      </c>
      <c r="K492" s="9" t="str">
        <f t="array" ref="K492">_xlfn.XLOOKUP(C492,'Neiva 2022 FASE I ACTUAL (5)'!$C$6:$C$540,'Neiva 2022 FASE I ACTUAL (5)'!$C$6:$F$540,"NO ESTA")</f>
        <v>NO ESTA</v>
      </c>
      <c r="O492" s="124">
        <f t="shared" si="74"/>
        <v>0</v>
      </c>
      <c r="P492" s="155">
        <f t="shared" si="69"/>
        <v>1</v>
      </c>
      <c r="Q492" s="156">
        <f t="shared" si="72"/>
        <v>211450356</v>
      </c>
      <c r="R492" s="156">
        <f t="shared" si="73"/>
        <v>211450356</v>
      </c>
    </row>
    <row r="493" spans="2:18" s="9" customFormat="1" ht="35.1" customHeight="1" x14ac:dyDescent="0.25">
      <c r="B493" s="23" t="s">
        <v>1257</v>
      </c>
      <c r="C493" s="22" t="s">
        <v>1258</v>
      </c>
      <c r="D493" s="23" t="s">
        <v>374</v>
      </c>
      <c r="E493" s="12">
        <v>1</v>
      </c>
      <c r="F493" s="126">
        <v>1002721</v>
      </c>
      <c r="G493" s="126">
        <f t="shared" si="76"/>
        <v>1002721</v>
      </c>
      <c r="H493" s="8"/>
      <c r="I493" s="8">
        <f t="shared" si="70"/>
        <v>1028290</v>
      </c>
      <c r="J493" s="8">
        <f t="shared" si="71"/>
        <v>1028290</v>
      </c>
      <c r="K493" s="9" t="str">
        <f t="array" ref="K493">_xlfn.XLOOKUP(C493,'Neiva 2022 FASE I ACTUAL (5)'!$C$6:$C$540,'Neiva 2022 FASE I ACTUAL (5)'!$C$6:$F$540,"NO ESTA")</f>
        <v>NO ESTA</v>
      </c>
      <c r="O493" s="124">
        <f t="shared" si="74"/>
        <v>0</v>
      </c>
      <c r="P493" s="155">
        <f t="shared" si="69"/>
        <v>1</v>
      </c>
      <c r="Q493" s="156">
        <f t="shared" si="72"/>
        <v>1028290</v>
      </c>
      <c r="R493" s="156">
        <f t="shared" si="73"/>
        <v>1028290</v>
      </c>
    </row>
    <row r="494" spans="2:18" s="9" customFormat="1" ht="35.1" customHeight="1" x14ac:dyDescent="0.25">
      <c r="B494" s="23" t="s">
        <v>1259</v>
      </c>
      <c r="C494" s="22" t="s">
        <v>1260</v>
      </c>
      <c r="D494" s="23" t="s">
        <v>374</v>
      </c>
      <c r="E494" s="12">
        <v>4</v>
      </c>
      <c r="F494" s="126">
        <v>187808</v>
      </c>
      <c r="G494" s="126">
        <f t="shared" si="76"/>
        <v>751232</v>
      </c>
      <c r="H494" s="8"/>
      <c r="I494" s="8">
        <f t="shared" si="70"/>
        <v>192597</v>
      </c>
      <c r="J494" s="8">
        <f t="shared" si="71"/>
        <v>770388</v>
      </c>
      <c r="K494" s="9" t="str">
        <f t="array" ref="K494">_xlfn.XLOOKUP(C494,'Neiva 2022 FASE I ACTUAL (5)'!$C$6:$C$540,'Neiva 2022 FASE I ACTUAL (5)'!$C$6:$F$540,"NO ESTA")</f>
        <v>NO ESTA</v>
      </c>
      <c r="O494" s="124">
        <f t="shared" si="74"/>
        <v>0</v>
      </c>
      <c r="P494" s="155">
        <f t="shared" si="69"/>
        <v>4</v>
      </c>
      <c r="Q494" s="156">
        <f t="shared" si="72"/>
        <v>192597</v>
      </c>
      <c r="R494" s="156">
        <f t="shared" si="73"/>
        <v>770388</v>
      </c>
    </row>
    <row r="495" spans="2:18" s="9" customFormat="1" ht="50.25" customHeight="1" x14ac:dyDescent="0.25">
      <c r="B495" s="23" t="s">
        <v>1261</v>
      </c>
      <c r="C495" s="22" t="s">
        <v>1262</v>
      </c>
      <c r="D495" s="23" t="s">
        <v>374</v>
      </c>
      <c r="E495" s="12">
        <v>1</v>
      </c>
      <c r="F495" s="126">
        <v>1546095</v>
      </c>
      <c r="G495" s="126">
        <f t="shared" si="76"/>
        <v>1546095</v>
      </c>
      <c r="H495" s="8"/>
      <c r="I495" s="8">
        <f t="shared" si="70"/>
        <v>1585520</v>
      </c>
      <c r="J495" s="8">
        <f t="shared" si="71"/>
        <v>1585520</v>
      </c>
      <c r="K495" s="9" t="str">
        <f t="array" ref="K495">_xlfn.XLOOKUP(C495,'Neiva 2022 FASE I ACTUAL (5)'!$C$6:$C$540,'Neiva 2022 FASE I ACTUAL (5)'!$C$6:$F$540,"NO ESTA")</f>
        <v>NO ESTA</v>
      </c>
      <c r="O495" s="124">
        <f t="shared" si="74"/>
        <v>0</v>
      </c>
      <c r="P495" s="155">
        <f t="shared" si="69"/>
        <v>1</v>
      </c>
      <c r="Q495" s="156">
        <f t="shared" si="72"/>
        <v>1585520</v>
      </c>
      <c r="R495" s="156">
        <f t="shared" si="73"/>
        <v>1585520</v>
      </c>
    </row>
    <row r="496" spans="2:18" s="9" customFormat="1" ht="35.1" customHeight="1" x14ac:dyDescent="0.25">
      <c r="B496" s="23" t="s">
        <v>1263</v>
      </c>
      <c r="C496" s="22" t="s">
        <v>1264</v>
      </c>
      <c r="D496" s="23" t="s">
        <v>374</v>
      </c>
      <c r="E496" s="12">
        <v>1</v>
      </c>
      <c r="F496" s="126">
        <v>779111</v>
      </c>
      <c r="G496" s="126">
        <f t="shared" si="76"/>
        <v>779111</v>
      </c>
      <c r="H496" s="8"/>
      <c r="I496" s="8">
        <f t="shared" si="70"/>
        <v>798978</v>
      </c>
      <c r="J496" s="8">
        <f t="shared" si="71"/>
        <v>798978</v>
      </c>
      <c r="K496" s="9" t="str">
        <f t="array" ref="K496">_xlfn.XLOOKUP(C496,'Neiva 2022 FASE I ACTUAL (5)'!$C$6:$C$540,'Neiva 2022 FASE I ACTUAL (5)'!$C$6:$F$540,"NO ESTA")</f>
        <v>NO ESTA</v>
      </c>
      <c r="O496" s="124">
        <f t="shared" si="74"/>
        <v>0</v>
      </c>
      <c r="P496" s="155">
        <f t="shared" si="69"/>
        <v>1</v>
      </c>
      <c r="Q496" s="156">
        <f t="shared" si="72"/>
        <v>798978</v>
      </c>
      <c r="R496" s="156">
        <f t="shared" si="73"/>
        <v>798978</v>
      </c>
    </row>
    <row r="497" spans="2:18" s="9" customFormat="1" ht="35.1" customHeight="1" x14ac:dyDescent="0.25">
      <c r="B497" s="23" t="s">
        <v>1265</v>
      </c>
      <c r="C497" s="22" t="s">
        <v>1266</v>
      </c>
      <c r="D497" s="23" t="s">
        <v>374</v>
      </c>
      <c r="E497" s="12">
        <v>1</v>
      </c>
      <c r="F497" s="126">
        <v>1474412</v>
      </c>
      <c r="G497" s="126">
        <f t="shared" si="76"/>
        <v>1474412</v>
      </c>
      <c r="H497" s="8"/>
      <c r="I497" s="8">
        <f t="shared" si="70"/>
        <v>1512010</v>
      </c>
      <c r="J497" s="8">
        <f t="shared" si="71"/>
        <v>1512010</v>
      </c>
      <c r="K497" s="9" t="str">
        <f t="array" ref="K497">_xlfn.XLOOKUP(C497,'Neiva 2022 FASE I ACTUAL (5)'!$C$6:$C$540,'Neiva 2022 FASE I ACTUAL (5)'!$C$6:$F$540,"NO ESTA")</f>
        <v>NO ESTA</v>
      </c>
      <c r="O497" s="124">
        <f t="shared" si="74"/>
        <v>0</v>
      </c>
      <c r="P497" s="155">
        <f t="shared" si="69"/>
        <v>1</v>
      </c>
      <c r="Q497" s="156">
        <f t="shared" si="72"/>
        <v>1512010</v>
      </c>
      <c r="R497" s="156">
        <f t="shared" si="73"/>
        <v>1512010</v>
      </c>
    </row>
    <row r="498" spans="2:18" s="9" customFormat="1" ht="42.75" customHeight="1" x14ac:dyDescent="0.25">
      <c r="B498" s="23" t="s">
        <v>1267</v>
      </c>
      <c r="C498" s="22" t="s">
        <v>1268</v>
      </c>
      <c r="D498" s="23" t="s">
        <v>269</v>
      </c>
      <c r="E498" s="12">
        <v>8</v>
      </c>
      <c r="F498" s="126">
        <v>218590</v>
      </c>
      <c r="G498" s="126">
        <f t="shared" si="76"/>
        <v>1748720</v>
      </c>
      <c r="H498" s="8"/>
      <c r="I498" s="8">
        <f t="shared" si="70"/>
        <v>224164</v>
      </c>
      <c r="J498" s="8">
        <f t="shared" si="71"/>
        <v>1793312</v>
      </c>
      <c r="K498" s="9" t="str">
        <f t="array" ref="K498">_xlfn.XLOOKUP(C498,'Neiva 2022 FASE I ACTUAL (5)'!$C$6:$C$540,'Neiva 2022 FASE I ACTUAL (5)'!$C$6:$F$540,"NO ESTA")</f>
        <v>NO ESTA</v>
      </c>
      <c r="O498" s="124">
        <f t="shared" si="74"/>
        <v>0</v>
      </c>
      <c r="P498" s="155">
        <f t="shared" si="69"/>
        <v>8</v>
      </c>
      <c r="Q498" s="156">
        <f t="shared" si="72"/>
        <v>224164</v>
      </c>
      <c r="R498" s="156">
        <f t="shared" si="73"/>
        <v>1793312</v>
      </c>
    </row>
    <row r="499" spans="2:18" s="9" customFormat="1" ht="35.1" customHeight="1" x14ac:dyDescent="0.25">
      <c r="B499" s="23" t="s">
        <v>1269</v>
      </c>
      <c r="C499" s="22" t="s">
        <v>1270</v>
      </c>
      <c r="D499" s="23" t="s">
        <v>374</v>
      </c>
      <c r="E499" s="12">
        <v>2</v>
      </c>
      <c r="F499" s="126">
        <v>218590</v>
      </c>
      <c r="G499" s="126">
        <f t="shared" si="76"/>
        <v>437180</v>
      </c>
      <c r="H499" s="8"/>
      <c r="I499" s="8">
        <f t="shared" si="70"/>
        <v>224164</v>
      </c>
      <c r="J499" s="8">
        <f t="shared" si="71"/>
        <v>448328</v>
      </c>
      <c r="K499" s="9" t="str">
        <f t="array" ref="K499">_xlfn.XLOOKUP(C499,'Neiva 2022 FASE I ACTUAL (5)'!$C$6:$C$540,'Neiva 2022 FASE I ACTUAL (5)'!$C$6:$F$540,"NO ESTA")</f>
        <v>NO ESTA</v>
      </c>
      <c r="O499" s="124">
        <f t="shared" si="74"/>
        <v>0</v>
      </c>
      <c r="P499" s="155">
        <f t="shared" si="69"/>
        <v>2</v>
      </c>
      <c r="Q499" s="156">
        <f t="shared" si="72"/>
        <v>224164</v>
      </c>
      <c r="R499" s="156">
        <f t="shared" si="73"/>
        <v>448328</v>
      </c>
    </row>
    <row r="500" spans="2:18" s="9" customFormat="1" ht="35.1" customHeight="1" x14ac:dyDescent="0.25">
      <c r="B500" s="23" t="s">
        <v>1271</v>
      </c>
      <c r="C500" s="22" t="s">
        <v>1272</v>
      </c>
      <c r="D500" s="23" t="s">
        <v>374</v>
      </c>
      <c r="E500" s="12">
        <v>1</v>
      </c>
      <c r="F500" s="126">
        <v>492365</v>
      </c>
      <c r="G500" s="126">
        <f t="shared" si="76"/>
        <v>492365</v>
      </c>
      <c r="H500" s="8"/>
      <c r="I500" s="8">
        <f t="shared" si="70"/>
        <v>504920</v>
      </c>
      <c r="J500" s="8">
        <f t="shared" si="71"/>
        <v>504920</v>
      </c>
      <c r="K500" s="9" t="str">
        <f t="array" ref="K500">_xlfn.XLOOKUP(C500,'Neiva 2022 FASE I ACTUAL (5)'!$C$6:$C$540,'Neiva 2022 FASE I ACTUAL (5)'!$C$6:$F$540,"NO ESTA")</f>
        <v>NO ESTA</v>
      </c>
      <c r="O500" s="124">
        <f t="shared" si="74"/>
        <v>0</v>
      </c>
      <c r="P500" s="155">
        <f t="shared" si="69"/>
        <v>1</v>
      </c>
      <c r="Q500" s="156">
        <f t="shared" si="72"/>
        <v>504920</v>
      </c>
      <c r="R500" s="156">
        <f t="shared" si="73"/>
        <v>504920</v>
      </c>
    </row>
    <row r="501" spans="2:18" s="9" customFormat="1" ht="37.5" customHeight="1" x14ac:dyDescent="0.25">
      <c r="B501" s="23" t="s">
        <v>1273</v>
      </c>
      <c r="C501" s="22" t="s">
        <v>1274</v>
      </c>
      <c r="D501" s="23" t="s">
        <v>374</v>
      </c>
      <c r="E501" s="12">
        <v>1</v>
      </c>
      <c r="F501" s="126">
        <v>448760</v>
      </c>
      <c r="G501" s="126">
        <f t="shared" si="76"/>
        <v>448760</v>
      </c>
      <c r="H501" s="8"/>
      <c r="I501" s="8">
        <f t="shared" si="70"/>
        <v>460203</v>
      </c>
      <c r="J501" s="8">
        <f t="shared" si="71"/>
        <v>460203</v>
      </c>
      <c r="K501" s="9" t="str">
        <f t="array" ref="K501">_xlfn.XLOOKUP(C501,'Neiva 2022 FASE I ACTUAL (5)'!$C$6:$C$540,'Neiva 2022 FASE I ACTUAL (5)'!$C$6:$F$540,"NO ESTA")</f>
        <v>NO ESTA</v>
      </c>
      <c r="O501" s="124">
        <f t="shared" si="74"/>
        <v>0</v>
      </c>
      <c r="P501" s="155">
        <f t="shared" si="69"/>
        <v>1</v>
      </c>
      <c r="Q501" s="156">
        <f t="shared" si="72"/>
        <v>460203</v>
      </c>
      <c r="R501" s="156">
        <f t="shared" si="73"/>
        <v>460203</v>
      </c>
    </row>
    <row r="502" spans="2:18" s="9" customFormat="1" ht="35.1" customHeight="1" x14ac:dyDescent="0.25">
      <c r="B502" s="23" t="s">
        <v>1275</v>
      </c>
      <c r="C502" s="22" t="s">
        <v>1276</v>
      </c>
      <c r="D502" s="23" t="s">
        <v>269</v>
      </c>
      <c r="E502" s="12">
        <v>8</v>
      </c>
      <c r="F502" s="126">
        <v>110064</v>
      </c>
      <c r="G502" s="126">
        <f t="shared" si="76"/>
        <v>880512</v>
      </c>
      <c r="H502" s="8"/>
      <c r="I502" s="8">
        <f t="shared" si="70"/>
        <v>112871</v>
      </c>
      <c r="J502" s="8">
        <f t="shared" si="71"/>
        <v>902968</v>
      </c>
      <c r="K502" s="9" t="str">
        <f t="array" ref="K502">_xlfn.XLOOKUP(C502,'Neiva 2022 FASE I ACTUAL (5)'!$C$6:$C$540,'Neiva 2022 FASE I ACTUAL (5)'!$C$6:$F$540,"NO ESTA")</f>
        <v>NO ESTA</v>
      </c>
      <c r="O502" s="124">
        <f t="shared" si="74"/>
        <v>0</v>
      </c>
      <c r="P502" s="155">
        <f t="shared" si="69"/>
        <v>8</v>
      </c>
      <c r="Q502" s="156">
        <f t="shared" si="72"/>
        <v>112871</v>
      </c>
      <c r="R502" s="156">
        <f t="shared" si="73"/>
        <v>902968</v>
      </c>
    </row>
    <row r="503" spans="2:18" s="9" customFormat="1" ht="35.1" customHeight="1" x14ac:dyDescent="0.25">
      <c r="B503" s="23" t="s">
        <v>1277</v>
      </c>
      <c r="C503" s="22" t="s">
        <v>1278</v>
      </c>
      <c r="D503" s="23" t="s">
        <v>269</v>
      </c>
      <c r="E503" s="12">
        <v>2</v>
      </c>
      <c r="F503" s="126">
        <v>110064</v>
      </c>
      <c r="G503" s="126">
        <f t="shared" si="76"/>
        <v>220128</v>
      </c>
      <c r="H503" s="8"/>
      <c r="I503" s="8">
        <f t="shared" si="70"/>
        <v>112871</v>
      </c>
      <c r="J503" s="8">
        <f t="shared" si="71"/>
        <v>225742</v>
      </c>
      <c r="K503" s="9" t="str">
        <f t="array" ref="K503">_xlfn.XLOOKUP(C503,'Neiva 2022 FASE I ACTUAL (5)'!$C$6:$C$540,'Neiva 2022 FASE I ACTUAL (5)'!$C$6:$F$540,"NO ESTA")</f>
        <v>NO ESTA</v>
      </c>
      <c r="O503" s="124">
        <f t="shared" si="74"/>
        <v>0</v>
      </c>
      <c r="P503" s="155">
        <f t="shared" si="69"/>
        <v>2</v>
      </c>
      <c r="Q503" s="156">
        <f t="shared" si="72"/>
        <v>112871</v>
      </c>
      <c r="R503" s="156">
        <f t="shared" si="73"/>
        <v>225742</v>
      </c>
    </row>
    <row r="504" spans="2:18" s="9" customFormat="1" ht="35.1" customHeight="1" x14ac:dyDescent="0.25">
      <c r="B504" s="13" t="s">
        <v>1279</v>
      </c>
      <c r="C504" s="14" t="s">
        <v>1280</v>
      </c>
      <c r="D504" s="24"/>
      <c r="E504" s="15"/>
      <c r="F504" s="129"/>
      <c r="G504" s="140"/>
      <c r="H504" s="8"/>
      <c r="I504" s="8">
        <f t="shared" si="70"/>
        <v>0</v>
      </c>
      <c r="J504" s="8">
        <f t="shared" si="71"/>
        <v>0</v>
      </c>
      <c r="K504" s="9" t="str">
        <f t="array" ref="K504">_xlfn.XLOOKUP(C504,'Neiva 2022 FASE I ACTUAL (5)'!$C$6:$C$540,'Neiva 2022 FASE I ACTUAL (5)'!$C$6:$F$540,"NO ESTA")</f>
        <v>NO ESTA</v>
      </c>
      <c r="O504" s="124">
        <f t="shared" si="74"/>
        <v>0</v>
      </c>
      <c r="P504" s="155">
        <f t="shared" si="69"/>
        <v>0</v>
      </c>
      <c r="Q504" s="156">
        <f t="shared" si="72"/>
        <v>0</v>
      </c>
      <c r="R504" s="156">
        <f t="shared" si="73"/>
        <v>0</v>
      </c>
    </row>
    <row r="505" spans="2:18" s="9" customFormat="1" ht="35.1" customHeight="1" x14ac:dyDescent="0.25">
      <c r="B505" s="23" t="s">
        <v>1281</v>
      </c>
      <c r="C505" s="22" t="s">
        <v>1282</v>
      </c>
      <c r="D505" s="23" t="s">
        <v>374</v>
      </c>
      <c r="E505" s="12">
        <v>1</v>
      </c>
      <c r="F505" s="126">
        <v>23219474</v>
      </c>
      <c r="G505" s="126">
        <f>ROUND(+F505*E505,2)</f>
        <v>23219474</v>
      </c>
      <c r="H505" s="8"/>
      <c r="I505" s="8">
        <f t="shared" si="70"/>
        <v>23811571</v>
      </c>
      <c r="J505" s="8">
        <f t="shared" si="71"/>
        <v>23811571</v>
      </c>
      <c r="K505" s="9" t="str">
        <f t="array" ref="K505">_xlfn.XLOOKUP(C505,'Neiva 2022 FASE I ACTUAL (5)'!$C$6:$C$540,'Neiva 2022 FASE I ACTUAL (5)'!$C$6:$F$540,"NO ESTA")</f>
        <v>NO ESTA</v>
      </c>
      <c r="O505" s="124">
        <f t="shared" si="74"/>
        <v>0</v>
      </c>
      <c r="P505" s="155">
        <f t="shared" si="69"/>
        <v>1</v>
      </c>
      <c r="Q505" s="156">
        <f t="shared" si="72"/>
        <v>23811571</v>
      </c>
      <c r="R505" s="156">
        <f t="shared" si="73"/>
        <v>23811571</v>
      </c>
    </row>
    <row r="506" spans="2:18" s="9" customFormat="1" ht="39.950000000000003" customHeight="1" x14ac:dyDescent="0.25">
      <c r="B506" s="13" t="s">
        <v>1283</v>
      </c>
      <c r="C506" s="14" t="s">
        <v>1284</v>
      </c>
      <c r="D506" s="24"/>
      <c r="E506" s="15"/>
      <c r="F506" s="129"/>
      <c r="G506" s="140"/>
      <c r="H506" s="8"/>
      <c r="I506" s="8">
        <f t="shared" si="70"/>
        <v>0</v>
      </c>
      <c r="J506" s="8">
        <f t="shared" si="71"/>
        <v>0</v>
      </c>
      <c r="K506" s="9" t="str">
        <f t="array" ref="K506">_xlfn.XLOOKUP(C506,'Neiva 2022 FASE I ACTUAL (5)'!$C$6:$C$540,'Neiva 2022 FASE I ACTUAL (5)'!$C$6:$F$540,"NO ESTA")</f>
        <v>NO ESTA</v>
      </c>
      <c r="O506" s="124">
        <f t="shared" si="74"/>
        <v>0</v>
      </c>
      <c r="P506" s="155">
        <f t="shared" si="69"/>
        <v>0</v>
      </c>
      <c r="Q506" s="156">
        <f t="shared" si="72"/>
        <v>0</v>
      </c>
      <c r="R506" s="156">
        <f t="shared" si="73"/>
        <v>0</v>
      </c>
    </row>
    <row r="507" spans="2:18" s="9" customFormat="1" ht="39.950000000000003" customHeight="1" x14ac:dyDescent="0.25">
      <c r="B507" s="23" t="s">
        <v>1285</v>
      </c>
      <c r="C507" s="22" t="s">
        <v>1286</v>
      </c>
      <c r="D507" s="23" t="s">
        <v>374</v>
      </c>
      <c r="E507" s="12">
        <v>1</v>
      </c>
      <c r="F507" s="126">
        <v>2269168</v>
      </c>
      <c r="G507" s="126">
        <f>ROUND(+F507*E507,2)</f>
        <v>2269168</v>
      </c>
      <c r="H507" s="8"/>
      <c r="I507" s="8">
        <f t="shared" si="70"/>
        <v>2327032</v>
      </c>
      <c r="J507" s="8">
        <f t="shared" si="71"/>
        <v>2327032</v>
      </c>
      <c r="K507" s="9" t="str">
        <f t="array" ref="K507">_xlfn.XLOOKUP(C507,'Neiva 2022 FASE I ACTUAL (5)'!$C$6:$C$540,'Neiva 2022 FASE I ACTUAL (5)'!$C$6:$F$540,"NO ESTA")</f>
        <v>NO ESTA</v>
      </c>
      <c r="O507" s="124">
        <f t="shared" si="74"/>
        <v>0</v>
      </c>
      <c r="P507" s="155">
        <f t="shared" si="69"/>
        <v>1</v>
      </c>
      <c r="Q507" s="156">
        <f t="shared" si="72"/>
        <v>2327032</v>
      </c>
      <c r="R507" s="156">
        <f t="shared" si="73"/>
        <v>2327032</v>
      </c>
    </row>
    <row r="508" spans="2:18" s="9" customFormat="1" ht="39.950000000000003" customHeight="1" x14ac:dyDescent="0.25">
      <c r="B508" s="23" t="s">
        <v>1287</v>
      </c>
      <c r="C508" s="22" t="s">
        <v>1288</v>
      </c>
      <c r="D508" s="23" t="s">
        <v>269</v>
      </c>
      <c r="E508" s="12">
        <v>10</v>
      </c>
      <c r="F508" s="126">
        <v>100733</v>
      </c>
      <c r="G508" s="126">
        <f>ROUND(+F508*E508,2)</f>
        <v>1007330</v>
      </c>
      <c r="H508" s="8">
        <f>ROUND(F508*(1+$H$3),0)</f>
        <v>196711</v>
      </c>
      <c r="I508" s="8">
        <f t="shared" si="70"/>
        <v>103302</v>
      </c>
      <c r="J508" s="8">
        <f t="shared" si="71"/>
        <v>1033020</v>
      </c>
      <c r="K508" s="9" t="str">
        <f t="array" ref="K508">_xlfn.XLOOKUP(C508,'Neiva 2022 FASE I ACTUAL (5)'!$C$6:$C$540,'Neiva 2022 FASE I ACTUAL (5)'!$C$6:$F$540,"NO ESTA")</f>
        <v>NO ESTA</v>
      </c>
      <c r="O508" s="124">
        <f t="shared" si="74"/>
        <v>0</v>
      </c>
      <c r="P508" s="155">
        <f t="shared" si="69"/>
        <v>10</v>
      </c>
      <c r="Q508" s="156">
        <f t="shared" si="72"/>
        <v>103302</v>
      </c>
      <c r="R508" s="156">
        <f t="shared" si="73"/>
        <v>1033020</v>
      </c>
    </row>
    <row r="509" spans="2:18" s="9" customFormat="1" ht="39.950000000000003" customHeight="1" x14ac:dyDescent="0.25">
      <c r="B509" s="23" t="s">
        <v>1289</v>
      </c>
      <c r="C509" s="22" t="s">
        <v>1290</v>
      </c>
      <c r="D509" s="23" t="s">
        <v>269</v>
      </c>
      <c r="E509" s="12">
        <v>5</v>
      </c>
      <c r="F509" s="126">
        <v>184288</v>
      </c>
      <c r="G509" s="126">
        <f>ROUND(+F509*E509,2)</f>
        <v>921440</v>
      </c>
      <c r="H509" s="8">
        <f>ROUND(F509*(1+$H$3),0)</f>
        <v>359878</v>
      </c>
      <c r="I509" s="8">
        <f t="shared" si="70"/>
        <v>188987</v>
      </c>
      <c r="J509" s="8">
        <f t="shared" si="71"/>
        <v>944935</v>
      </c>
      <c r="K509" s="9" t="str">
        <f t="array" ref="K509">_xlfn.XLOOKUP(C509,'Neiva 2022 FASE I ACTUAL (5)'!$C$6:$C$540,'Neiva 2022 FASE I ACTUAL (5)'!$C$6:$F$540,"NO ESTA")</f>
        <v>NO ESTA</v>
      </c>
      <c r="O509" s="124">
        <f t="shared" si="74"/>
        <v>0</v>
      </c>
      <c r="P509" s="155">
        <f t="shared" si="69"/>
        <v>5</v>
      </c>
      <c r="Q509" s="156">
        <f t="shared" si="72"/>
        <v>188987</v>
      </c>
      <c r="R509" s="156">
        <f t="shared" si="73"/>
        <v>944935</v>
      </c>
    </row>
    <row r="510" spans="2:18" s="9" customFormat="1" ht="39.950000000000003" customHeight="1" x14ac:dyDescent="0.25">
      <c r="B510" s="23" t="s">
        <v>1291</v>
      </c>
      <c r="C510" s="22" t="s">
        <v>1292</v>
      </c>
      <c r="D510" s="23" t="s">
        <v>269</v>
      </c>
      <c r="E510" s="12">
        <v>5</v>
      </c>
      <c r="F510" s="126">
        <v>184288</v>
      </c>
      <c r="G510" s="126">
        <f>ROUND(+F510*E510,2)</f>
        <v>921440</v>
      </c>
      <c r="H510" s="8">
        <f>ROUND(F510*(1+$H$3),0)</f>
        <v>359878</v>
      </c>
      <c r="I510" s="8">
        <f t="shared" si="70"/>
        <v>188987</v>
      </c>
      <c r="J510" s="8">
        <f t="shared" si="71"/>
        <v>944935</v>
      </c>
      <c r="K510" s="9" t="str">
        <f t="array" ref="K510">_xlfn.XLOOKUP(C510,'Neiva 2022 FASE I ACTUAL (5)'!$C$6:$C$540,'Neiva 2022 FASE I ACTUAL (5)'!$C$6:$F$540,"NO ESTA")</f>
        <v>NO ESTA</v>
      </c>
      <c r="O510" s="124">
        <f t="shared" si="74"/>
        <v>0</v>
      </c>
      <c r="P510" s="155">
        <f t="shared" si="69"/>
        <v>5</v>
      </c>
      <c r="Q510" s="156">
        <f t="shared" si="72"/>
        <v>188987</v>
      </c>
      <c r="R510" s="156">
        <f t="shared" si="73"/>
        <v>944935</v>
      </c>
    </row>
    <row r="511" spans="2:18" s="9" customFormat="1" ht="35.1" customHeight="1" x14ac:dyDescent="0.25">
      <c r="B511" s="23" t="s">
        <v>1293</v>
      </c>
      <c r="C511" s="22" t="s">
        <v>1294</v>
      </c>
      <c r="D511" s="23" t="s">
        <v>1182</v>
      </c>
      <c r="E511" s="12">
        <v>200</v>
      </c>
      <c r="F511" s="126">
        <v>12373</v>
      </c>
      <c r="G511" s="126">
        <f>ROUND(+F511*E511,2)</f>
        <v>2474600</v>
      </c>
      <c r="H511" s="8"/>
      <c r="I511" s="8">
        <f t="shared" si="70"/>
        <v>12689</v>
      </c>
      <c r="J511" s="8">
        <f t="shared" si="71"/>
        <v>2537800</v>
      </c>
      <c r="K511" s="9" t="str">
        <f t="array" ref="K511">_xlfn.XLOOKUP(C511,'Neiva 2022 FASE I ACTUAL (5)'!$C$6:$C$540,'Neiva 2022 FASE I ACTUAL (5)'!$C$6:$F$540,"NO ESTA")</f>
        <v>NO ESTA</v>
      </c>
      <c r="O511" s="124">
        <f t="shared" si="74"/>
        <v>0</v>
      </c>
      <c r="P511" s="155">
        <f t="shared" si="69"/>
        <v>200</v>
      </c>
      <c r="Q511" s="156">
        <f t="shared" si="72"/>
        <v>12689</v>
      </c>
      <c r="R511" s="156">
        <f t="shared" si="73"/>
        <v>2537800</v>
      </c>
    </row>
    <row r="512" spans="2:18" s="9" customFormat="1" ht="35.1" customHeight="1" x14ac:dyDescent="0.25">
      <c r="B512" s="57">
        <v>16</v>
      </c>
      <c r="C512" s="58" t="s">
        <v>712</v>
      </c>
      <c r="D512" s="34"/>
      <c r="E512" s="35"/>
      <c r="F512" s="132"/>
      <c r="G512" s="142"/>
      <c r="H512" s="8"/>
      <c r="I512" s="8">
        <f t="shared" si="70"/>
        <v>0</v>
      </c>
      <c r="J512" s="8">
        <f t="shared" si="71"/>
        <v>0</v>
      </c>
      <c r="K512" s="9" t="str">
        <f t="array" ref="K512:N512">_xlfn.XLOOKUP(C512,'Neiva 2022 FASE I ACTUAL (5)'!$C$6:$C$540,'Neiva 2022 FASE I ACTUAL (5)'!$C$6:$F$540,"NO ESTA")</f>
        <v>LUMINARIAS Y LAMPARAS</v>
      </c>
      <c r="L512" s="9">
        <v>0</v>
      </c>
      <c r="M512" s="9">
        <v>0</v>
      </c>
      <c r="N512" s="9">
        <v>0</v>
      </c>
      <c r="O512" s="124">
        <f t="shared" si="74"/>
        <v>0</v>
      </c>
      <c r="P512" s="155">
        <f t="shared" si="69"/>
        <v>0</v>
      </c>
      <c r="Q512" s="156">
        <f t="shared" si="72"/>
        <v>0</v>
      </c>
      <c r="R512" s="156">
        <f t="shared" si="73"/>
        <v>0</v>
      </c>
    </row>
    <row r="513" spans="2:18" s="9" customFormat="1" ht="35.1" customHeight="1" x14ac:dyDescent="0.25">
      <c r="B513" s="13" t="s">
        <v>713</v>
      </c>
      <c r="C513" s="24" t="s">
        <v>714</v>
      </c>
      <c r="D513" s="24"/>
      <c r="E513" s="15"/>
      <c r="F513" s="129"/>
      <c r="G513" s="140"/>
      <c r="H513" s="8"/>
      <c r="I513" s="8">
        <f t="shared" si="70"/>
        <v>0</v>
      </c>
      <c r="J513" s="8">
        <f t="shared" si="71"/>
        <v>0</v>
      </c>
      <c r="K513" s="9" t="str">
        <f t="array" ref="K513:N513">_xlfn.XLOOKUP(C513,'Neiva 2022 FASE I ACTUAL (5)'!$C$6:$C$540,'Neiva 2022 FASE I ACTUAL (5)'!$C$6:$F$540,"NO ESTA")</f>
        <v xml:space="preserve">SUMINISTRO E INSTALACIÓN DE LÁMPARAS FLUORESCENTES </v>
      </c>
      <c r="L513" s="9">
        <v>0</v>
      </c>
      <c r="M513" s="9">
        <v>0</v>
      </c>
      <c r="N513" s="9">
        <v>0</v>
      </c>
      <c r="O513" s="124">
        <f t="shared" si="74"/>
        <v>0</v>
      </c>
      <c r="P513" s="155">
        <f t="shared" si="69"/>
        <v>0</v>
      </c>
      <c r="Q513" s="156">
        <f t="shared" si="72"/>
        <v>0</v>
      </c>
      <c r="R513" s="156">
        <f t="shared" si="73"/>
        <v>0</v>
      </c>
    </row>
    <row r="514" spans="2:18" s="9" customFormat="1" ht="35.1" customHeight="1" x14ac:dyDescent="0.25">
      <c r="B514" s="23" t="s">
        <v>715</v>
      </c>
      <c r="C514" s="87" t="s">
        <v>716</v>
      </c>
      <c r="D514" s="23" t="s">
        <v>374</v>
      </c>
      <c r="E514" s="12">
        <v>153</v>
      </c>
      <c r="F514" s="126">
        <v>97894</v>
      </c>
      <c r="G514" s="126">
        <f t="shared" ref="G514:G522" si="77">ROUND(+F514*E514,2)</f>
        <v>14977782</v>
      </c>
      <c r="H514" s="8"/>
      <c r="I514" s="8">
        <f t="shared" si="70"/>
        <v>100390</v>
      </c>
      <c r="J514" s="8">
        <f t="shared" si="71"/>
        <v>15359670</v>
      </c>
      <c r="K514" s="9" t="str">
        <f t="array" ref="K514:N514">_xlfn.XLOOKUP(C514,'Neiva 2022 FASE I ACTUAL (5)'!$C$6:$C$540,'Neiva 2022 FASE I ACTUAL (5)'!$C$6:$F$540,"NO ESTA")</f>
        <v>SUMINISTRO E INSTALACIÓN LÁMPARA LED 1x28 W</v>
      </c>
      <c r="L514" s="9" t="str">
        <v>UN</v>
      </c>
      <c r="M514" s="9">
        <v>57</v>
      </c>
      <c r="N514" s="9">
        <v>132419</v>
      </c>
      <c r="O514" s="124" t="str">
        <f t="shared" si="74"/>
        <v>FASE I</v>
      </c>
      <c r="P514" s="155">
        <f t="shared" si="69"/>
        <v>210</v>
      </c>
      <c r="Q514" s="156">
        <f t="shared" si="72"/>
        <v>132419</v>
      </c>
      <c r="R514" s="156">
        <f t="shared" si="73"/>
        <v>27807990</v>
      </c>
    </row>
    <row r="515" spans="2:18" s="9" customFormat="1" ht="35.1" customHeight="1" x14ac:dyDescent="0.25">
      <c r="B515" s="23" t="s">
        <v>717</v>
      </c>
      <c r="C515" s="87" t="s">
        <v>718</v>
      </c>
      <c r="D515" s="23" t="s">
        <v>374</v>
      </c>
      <c r="E515" s="12">
        <v>82</v>
      </c>
      <c r="F515" s="126">
        <v>178068</v>
      </c>
      <c r="G515" s="126">
        <f t="shared" si="77"/>
        <v>14601576</v>
      </c>
      <c r="H515" s="8"/>
      <c r="I515" s="8">
        <f t="shared" si="70"/>
        <v>182609</v>
      </c>
      <c r="J515" s="8">
        <f t="shared" si="71"/>
        <v>14973938</v>
      </c>
      <c r="K515" s="9" t="str">
        <f t="array" ref="K515:N515">_xlfn.XLOOKUP(C515,'Neiva 2022 FASE I ACTUAL (5)'!$C$6:$C$540,'Neiva 2022 FASE I ACTUAL (5)'!$C$6:$F$540,"NO ESTA")</f>
        <v>SUMINISTRO E INSTALACIÓN LÁMPARA LED 2x54 W</v>
      </c>
      <c r="L515" s="9" t="str">
        <v>UN</v>
      </c>
      <c r="M515" s="9">
        <v>30</v>
      </c>
      <c r="N515" s="9">
        <v>214137</v>
      </c>
      <c r="O515" s="124" t="str">
        <f t="shared" si="74"/>
        <v>FASE I</v>
      </c>
      <c r="P515" s="155">
        <f t="shared" si="69"/>
        <v>112</v>
      </c>
      <c r="Q515" s="156">
        <f t="shared" si="72"/>
        <v>214137</v>
      </c>
      <c r="R515" s="156">
        <f t="shared" si="73"/>
        <v>23983344</v>
      </c>
    </row>
    <row r="516" spans="2:18" s="9" customFormat="1" ht="35.1" customHeight="1" x14ac:dyDescent="0.25">
      <c r="B516" s="23" t="s">
        <v>719</v>
      </c>
      <c r="C516" s="22" t="s">
        <v>720</v>
      </c>
      <c r="D516" s="23" t="s">
        <v>374</v>
      </c>
      <c r="E516" s="12">
        <v>121</v>
      </c>
      <c r="F516" s="126">
        <v>190945</v>
      </c>
      <c r="G516" s="126">
        <f t="shared" si="77"/>
        <v>23104345</v>
      </c>
      <c r="H516" s="8"/>
      <c r="I516" s="8">
        <f t="shared" si="70"/>
        <v>195814</v>
      </c>
      <c r="J516" s="8">
        <f t="shared" si="71"/>
        <v>23693494</v>
      </c>
      <c r="K516" s="9" t="str">
        <f t="array" ref="K516:N516">_xlfn.XLOOKUP(C516,'Neiva 2022 FASE I ACTUAL (5)'!$C$6:$C$540,'Neiva 2022 FASE I ACTUAL (5)'!$C$6:$F$540,"NO ESTA")</f>
        <v>SUMINISTRO E INSTALACIÓN BALA LED 35W 120 V</v>
      </c>
      <c r="L516" s="9" t="str">
        <v>UN</v>
      </c>
      <c r="M516" s="9">
        <v>45</v>
      </c>
      <c r="N516" s="9">
        <v>186084</v>
      </c>
      <c r="O516" s="124" t="str">
        <f t="shared" si="74"/>
        <v>FASE II</v>
      </c>
      <c r="P516" s="155">
        <f t="shared" si="69"/>
        <v>166</v>
      </c>
      <c r="Q516" s="156">
        <f t="shared" si="72"/>
        <v>195814</v>
      </c>
      <c r="R516" s="156">
        <f t="shared" si="73"/>
        <v>32505124</v>
      </c>
    </row>
    <row r="517" spans="2:18" s="9" customFormat="1" ht="35.1" customHeight="1" x14ac:dyDescent="0.25">
      <c r="B517" s="23" t="s">
        <v>721</v>
      </c>
      <c r="C517" s="22" t="s">
        <v>722</v>
      </c>
      <c r="D517" s="23" t="s">
        <v>374</v>
      </c>
      <c r="E517" s="12">
        <v>50</v>
      </c>
      <c r="F517" s="126">
        <v>140842</v>
      </c>
      <c r="G517" s="126">
        <f t="shared" si="77"/>
        <v>7042100</v>
      </c>
      <c r="H517" s="8"/>
      <c r="I517" s="8">
        <f t="shared" si="70"/>
        <v>144433</v>
      </c>
      <c r="J517" s="8">
        <f t="shared" si="71"/>
        <v>7221650</v>
      </c>
      <c r="K517" s="9" t="str">
        <f t="array" ref="K517:N517">_xlfn.XLOOKUP(C517,'Neiva 2022 FASE I ACTUAL (5)'!$C$6:$C$540,'Neiva 2022 FASE I ACTUAL (5)'!$C$6:$F$540,"NO ESTA")</f>
        <v>SUMINISTRO E INSTALACIÓN BALA RECESADA LED 10W 120 V</v>
      </c>
      <c r="L517" s="9" t="str">
        <v>UN</v>
      </c>
      <c r="M517" s="9">
        <v>19</v>
      </c>
      <c r="N517" s="9">
        <v>137257</v>
      </c>
      <c r="O517" s="124" t="str">
        <f t="shared" si="74"/>
        <v>FASE II</v>
      </c>
      <c r="P517" s="155">
        <f t="shared" si="69"/>
        <v>69</v>
      </c>
      <c r="Q517" s="156">
        <f t="shared" si="72"/>
        <v>144433</v>
      </c>
      <c r="R517" s="156">
        <f t="shared" si="73"/>
        <v>9965877</v>
      </c>
    </row>
    <row r="518" spans="2:18" s="9" customFormat="1" ht="35.1" customHeight="1" x14ac:dyDescent="0.25">
      <c r="B518" s="23" t="s">
        <v>723</v>
      </c>
      <c r="C518" s="22" t="s">
        <v>724</v>
      </c>
      <c r="D518" s="23" t="s">
        <v>374</v>
      </c>
      <c r="E518" s="12">
        <v>184</v>
      </c>
      <c r="F518" s="126">
        <v>226917</v>
      </c>
      <c r="G518" s="126">
        <f t="shared" si="77"/>
        <v>41752728</v>
      </c>
      <c r="H518" s="8"/>
      <c r="I518" s="8">
        <f t="shared" si="70"/>
        <v>232703</v>
      </c>
      <c r="J518" s="8">
        <f t="shared" si="71"/>
        <v>42817352</v>
      </c>
      <c r="K518" s="9" t="str">
        <f t="array" ref="K518:N518">_xlfn.XLOOKUP(C518,'Neiva 2022 FASE I ACTUAL (5)'!$C$6:$C$540,'Neiva 2022 FASE I ACTUAL (5)'!$C$6:$F$540,"NO ESTA")</f>
        <v>SUMINISTRO E INSTALACIÓN LUMINARIA LED 2x26W 120V</v>
      </c>
      <c r="L518" s="9" t="str">
        <v>UN</v>
      </c>
      <c r="M518" s="9">
        <v>68</v>
      </c>
      <c r="N518" s="9">
        <v>221141</v>
      </c>
      <c r="O518" s="124" t="str">
        <f t="shared" si="74"/>
        <v>FASE II</v>
      </c>
      <c r="P518" s="155">
        <f t="shared" ref="P518:P581" si="78">E518+M518</f>
        <v>252</v>
      </c>
      <c r="Q518" s="156">
        <f t="shared" si="72"/>
        <v>232703</v>
      </c>
      <c r="R518" s="156">
        <f t="shared" si="73"/>
        <v>58641156</v>
      </c>
    </row>
    <row r="519" spans="2:18" s="9" customFormat="1" ht="35.1" customHeight="1" x14ac:dyDescent="0.25">
      <c r="B519" s="23" t="s">
        <v>725</v>
      </c>
      <c r="C519" s="22" t="s">
        <v>726</v>
      </c>
      <c r="D519" s="23" t="s">
        <v>374</v>
      </c>
      <c r="E519" s="12">
        <v>6</v>
      </c>
      <c r="F519" s="126">
        <v>270567</v>
      </c>
      <c r="G519" s="126">
        <f t="shared" si="77"/>
        <v>1623402</v>
      </c>
      <c r="H519" s="8"/>
      <c r="I519" s="8">
        <f t="shared" ref="I519:I582" si="79">+ROUND(F519*(1+$I$4),0)</f>
        <v>277466</v>
      </c>
      <c r="J519" s="8">
        <f t="shared" ref="J519:J582" si="80">+I519*E519</f>
        <v>1664796</v>
      </c>
      <c r="K519" s="9" t="str">
        <f t="array" ref="K519:N519">_xlfn.XLOOKUP(C519,'Neiva 2022 FASE I ACTUAL (5)'!$C$6:$C$540,'Neiva 2022 FASE I ACTUAL (5)'!$C$6:$F$540,"NO ESTA")</f>
        <v>SUMINISTRO E INSTALACIÓN REFLECTOR DE LUZ INDIRECTA</v>
      </c>
      <c r="L519" s="9" t="str">
        <v>UN</v>
      </c>
      <c r="M519" s="9">
        <v>2</v>
      </c>
      <c r="N519" s="9">
        <v>263680</v>
      </c>
      <c r="O519" s="124" t="str">
        <f t="shared" si="74"/>
        <v>FASE II</v>
      </c>
      <c r="P519" s="155">
        <f t="shared" si="78"/>
        <v>8</v>
      </c>
      <c r="Q519" s="156">
        <f t="shared" ref="Q519:Q582" si="81">MAX(N519,F519,I519)</f>
        <v>277466</v>
      </c>
      <c r="R519" s="156">
        <f t="shared" ref="R519:R582" si="82">ROUND(P519*Q519,2)</f>
        <v>2219728</v>
      </c>
    </row>
    <row r="520" spans="2:18" s="9" customFormat="1" ht="35.1" customHeight="1" x14ac:dyDescent="0.25">
      <c r="B520" s="23" t="s">
        <v>727</v>
      </c>
      <c r="C520" s="22" t="s">
        <v>728</v>
      </c>
      <c r="D520" s="23" t="s">
        <v>374</v>
      </c>
      <c r="E520" s="12">
        <v>6</v>
      </c>
      <c r="F520" s="126">
        <v>199908</v>
      </c>
      <c r="G520" s="126">
        <f t="shared" si="77"/>
        <v>1199448</v>
      </c>
      <c r="H520" s="8"/>
      <c r="I520" s="8">
        <f t="shared" si="79"/>
        <v>205006</v>
      </c>
      <c r="J520" s="8">
        <f t="shared" si="80"/>
        <v>1230036</v>
      </c>
      <c r="K520" s="9" t="str">
        <f t="array" ref="K520:N520">_xlfn.XLOOKUP(C520,'Neiva 2022 FASE I ACTUAL (5)'!$C$6:$C$540,'Neiva 2022 FASE I ACTUAL (5)'!$C$6:$F$540,"NO ESTA")</f>
        <v>SUMINISTRO E INSTALACIÓN APLIQUE DE ESCALERA 1000W 120V</v>
      </c>
      <c r="L520" s="9" t="str">
        <v>UN</v>
      </c>
      <c r="M520" s="9">
        <v>2</v>
      </c>
      <c r="N520" s="9">
        <v>194820</v>
      </c>
      <c r="O520" s="124" t="str">
        <f t="shared" ref="O520:O583" si="83">IF(N520=0,0,(IF(F520&lt;N520, "FASE I","FASE II")))</f>
        <v>FASE II</v>
      </c>
      <c r="P520" s="155">
        <f t="shared" si="78"/>
        <v>8</v>
      </c>
      <c r="Q520" s="156">
        <f t="shared" si="81"/>
        <v>205006</v>
      </c>
      <c r="R520" s="156">
        <f t="shared" si="82"/>
        <v>1640048</v>
      </c>
    </row>
    <row r="521" spans="2:18" s="9" customFormat="1" ht="35.1" customHeight="1" x14ac:dyDescent="0.25">
      <c r="B521" s="23" t="s">
        <v>729</v>
      </c>
      <c r="C521" s="55" t="s">
        <v>730</v>
      </c>
      <c r="D521" s="56" t="s">
        <v>374</v>
      </c>
      <c r="E521" s="12">
        <v>67</v>
      </c>
      <c r="F521" s="126">
        <v>97132</v>
      </c>
      <c r="G521" s="126">
        <f t="shared" si="77"/>
        <v>6507844</v>
      </c>
      <c r="H521" s="8"/>
      <c r="I521" s="8">
        <f t="shared" si="79"/>
        <v>99609</v>
      </c>
      <c r="J521" s="8">
        <f t="shared" si="80"/>
        <v>6673803</v>
      </c>
      <c r="K521" s="9" t="str">
        <f t="array" ref="K521:N521">_xlfn.XLOOKUP(C521,'Neiva 2022 FASE I ACTUAL (5)'!$C$6:$C$540,'Neiva 2022 FASE I ACTUAL (5)'!$C$6:$F$540,"NO ESTA")</f>
        <v>SUMINISTRO E INSTALACIÓN BALAS LED DE PISO 3W 120V</v>
      </c>
      <c r="L521" s="9" t="str">
        <v>UN</v>
      </c>
      <c r="M521" s="9">
        <v>25</v>
      </c>
      <c r="N521" s="9">
        <v>94659</v>
      </c>
      <c r="O521" s="124" t="str">
        <f t="shared" si="83"/>
        <v>FASE II</v>
      </c>
      <c r="P521" s="155">
        <f t="shared" si="78"/>
        <v>92</v>
      </c>
      <c r="Q521" s="156">
        <f t="shared" si="81"/>
        <v>99609</v>
      </c>
      <c r="R521" s="156">
        <f t="shared" si="82"/>
        <v>9164028</v>
      </c>
    </row>
    <row r="522" spans="2:18" s="9" customFormat="1" ht="35.1" customHeight="1" x14ac:dyDescent="0.25">
      <c r="B522" s="23" t="s">
        <v>731</v>
      </c>
      <c r="C522" s="22" t="s">
        <v>732</v>
      </c>
      <c r="D522" s="23" t="s">
        <v>374</v>
      </c>
      <c r="E522" s="12">
        <v>10</v>
      </c>
      <c r="F522" s="126">
        <v>77862</v>
      </c>
      <c r="G522" s="126">
        <f t="shared" si="77"/>
        <v>778620</v>
      </c>
      <c r="H522" s="8"/>
      <c r="I522" s="8">
        <f t="shared" si="79"/>
        <v>79847</v>
      </c>
      <c r="J522" s="8">
        <f t="shared" si="80"/>
        <v>798470</v>
      </c>
      <c r="K522" s="9" t="str">
        <f t="array" ref="K522:N522">_xlfn.XLOOKUP(C522,'Neiva 2022 FASE I ACTUAL (5)'!$C$6:$C$540,'Neiva 2022 FASE I ACTUAL (5)'!$C$6:$F$540,"NO ESTA")</f>
        <v>SUMINISTRO E INSTALACIÓN BALAS DE PISO 50W 120 V</v>
      </c>
      <c r="L522" s="9" t="str">
        <v>UN</v>
      </c>
      <c r="M522" s="9">
        <v>4</v>
      </c>
      <c r="N522" s="9">
        <v>75880</v>
      </c>
      <c r="O522" s="124" t="str">
        <f t="shared" si="83"/>
        <v>FASE II</v>
      </c>
      <c r="P522" s="155">
        <f t="shared" si="78"/>
        <v>14</v>
      </c>
      <c r="Q522" s="156">
        <f t="shared" si="81"/>
        <v>79847</v>
      </c>
      <c r="R522" s="156">
        <f t="shared" si="82"/>
        <v>1117858</v>
      </c>
    </row>
    <row r="523" spans="2:18" s="9" customFormat="1" ht="35.1" customHeight="1" x14ac:dyDescent="0.25">
      <c r="B523" s="33">
        <v>17</v>
      </c>
      <c r="C523" s="34" t="s">
        <v>733</v>
      </c>
      <c r="D523" s="34"/>
      <c r="E523" s="35"/>
      <c r="F523" s="132"/>
      <c r="G523" s="142"/>
      <c r="H523" s="8"/>
      <c r="I523" s="8">
        <f t="shared" si="79"/>
        <v>0</v>
      </c>
      <c r="J523" s="8">
        <f t="shared" si="80"/>
        <v>0</v>
      </c>
      <c r="K523" s="9" t="str">
        <f t="array" ref="K523:N523">_xlfn.XLOOKUP(C523,'Neiva 2022 FASE I ACTUAL (5)'!$C$6:$C$540,'Neiva 2022 FASE I ACTUAL (5)'!$C$6:$F$540,"NO ESTA")</f>
        <v>AIRE ACONDICIONADO</v>
      </c>
      <c r="L523" s="9">
        <v>0</v>
      </c>
      <c r="M523" s="9">
        <v>0</v>
      </c>
      <c r="N523" s="9">
        <v>0</v>
      </c>
      <c r="O523" s="124">
        <f t="shared" si="83"/>
        <v>0</v>
      </c>
      <c r="P523" s="155">
        <f t="shared" si="78"/>
        <v>0</v>
      </c>
      <c r="Q523" s="156">
        <f t="shared" si="81"/>
        <v>0</v>
      </c>
      <c r="R523" s="156">
        <f t="shared" si="82"/>
        <v>0</v>
      </c>
    </row>
    <row r="524" spans="2:18" s="9" customFormat="1" ht="35.1" customHeight="1" x14ac:dyDescent="0.25">
      <c r="B524" s="13" t="s">
        <v>1295</v>
      </c>
      <c r="C524" s="24" t="s">
        <v>1296</v>
      </c>
      <c r="D524" s="24"/>
      <c r="E524" s="15"/>
      <c r="F524" s="129"/>
      <c r="G524" s="140"/>
      <c r="H524" s="8"/>
      <c r="I524" s="8">
        <f t="shared" si="79"/>
        <v>0</v>
      </c>
      <c r="J524" s="8">
        <f t="shared" si="80"/>
        <v>0</v>
      </c>
      <c r="K524" s="9" t="str">
        <f t="array" ref="K524">_xlfn.XLOOKUP(C524,'Neiva 2022 FASE I ACTUAL (5)'!$C$6:$C$540,'Neiva 2022 FASE I ACTUAL (5)'!$C$6:$F$540,"NO ESTA")</f>
        <v>NO ESTA</v>
      </c>
      <c r="O524" s="124">
        <f t="shared" si="83"/>
        <v>0</v>
      </c>
      <c r="P524" s="155">
        <f t="shared" si="78"/>
        <v>0</v>
      </c>
      <c r="Q524" s="156">
        <f t="shared" si="81"/>
        <v>0</v>
      </c>
      <c r="R524" s="156">
        <f t="shared" si="82"/>
        <v>0</v>
      </c>
    </row>
    <row r="525" spans="2:18" s="9" customFormat="1" ht="35.1" customHeight="1" x14ac:dyDescent="0.25">
      <c r="B525" s="23" t="s">
        <v>1297</v>
      </c>
      <c r="C525" s="22" t="s">
        <v>1298</v>
      </c>
      <c r="D525" s="10" t="s">
        <v>16</v>
      </c>
      <c r="E525" s="12">
        <v>1</v>
      </c>
      <c r="F525" s="126">
        <v>240166908</v>
      </c>
      <c r="G525" s="126">
        <f t="shared" ref="G525:G539" si="84">ROUND(+F525*E525,2)</f>
        <v>240166908</v>
      </c>
      <c r="H525" s="8"/>
      <c r="I525" s="8">
        <f t="shared" si="79"/>
        <v>246291164</v>
      </c>
      <c r="J525" s="8">
        <f t="shared" si="80"/>
        <v>246291164</v>
      </c>
      <c r="K525" s="9" t="str">
        <f t="array" ref="K525">_xlfn.XLOOKUP(C525,'Neiva 2022 FASE I ACTUAL (5)'!$C$6:$C$540,'Neiva 2022 FASE I ACTUAL (5)'!$C$6:$F$540,"NO ESTA")</f>
        <v>NO ESTA</v>
      </c>
      <c r="O525" s="124">
        <f t="shared" si="83"/>
        <v>0</v>
      </c>
      <c r="P525" s="155">
        <f t="shared" si="78"/>
        <v>1</v>
      </c>
      <c r="Q525" s="156">
        <f t="shared" si="81"/>
        <v>246291164</v>
      </c>
      <c r="R525" s="156">
        <f t="shared" si="82"/>
        <v>246291164</v>
      </c>
    </row>
    <row r="526" spans="2:18" s="9" customFormat="1" ht="35.1" customHeight="1" x14ac:dyDescent="0.25">
      <c r="B526" s="23" t="s">
        <v>1299</v>
      </c>
      <c r="C526" s="22" t="s">
        <v>1300</v>
      </c>
      <c r="D526" s="10" t="s">
        <v>16</v>
      </c>
      <c r="E526" s="12">
        <v>1</v>
      </c>
      <c r="F526" s="126">
        <v>192633008</v>
      </c>
      <c r="G526" s="126">
        <f t="shared" si="84"/>
        <v>192633008</v>
      </c>
      <c r="H526" s="8"/>
      <c r="I526" s="8">
        <f t="shared" si="79"/>
        <v>197545150</v>
      </c>
      <c r="J526" s="8">
        <f t="shared" si="80"/>
        <v>197545150</v>
      </c>
      <c r="K526" s="9" t="str">
        <f t="array" ref="K526">_xlfn.XLOOKUP(C526,'Neiva 2022 FASE I ACTUAL (5)'!$C$6:$C$540,'Neiva 2022 FASE I ACTUAL (5)'!$C$6:$F$540,"NO ESTA")</f>
        <v>NO ESTA</v>
      </c>
      <c r="O526" s="124">
        <f t="shared" si="83"/>
        <v>0</v>
      </c>
      <c r="P526" s="155">
        <f t="shared" si="78"/>
        <v>1</v>
      </c>
      <c r="Q526" s="156">
        <f t="shared" si="81"/>
        <v>197545150</v>
      </c>
      <c r="R526" s="156">
        <f t="shared" si="82"/>
        <v>197545150</v>
      </c>
    </row>
    <row r="527" spans="2:18" s="9" customFormat="1" ht="35.1" customHeight="1" x14ac:dyDescent="0.25">
      <c r="B527" s="23" t="s">
        <v>1301</v>
      </c>
      <c r="C527" s="22" t="s">
        <v>1302</v>
      </c>
      <c r="D527" s="10" t="s">
        <v>16</v>
      </c>
      <c r="E527" s="12">
        <v>2</v>
      </c>
      <c r="F527" s="126">
        <v>835146</v>
      </c>
      <c r="G527" s="126">
        <f t="shared" si="84"/>
        <v>1670292</v>
      </c>
      <c r="H527" s="8"/>
      <c r="I527" s="8">
        <f t="shared" si="79"/>
        <v>856442</v>
      </c>
      <c r="J527" s="8">
        <f t="shared" si="80"/>
        <v>1712884</v>
      </c>
      <c r="K527" s="9" t="str">
        <f t="array" ref="K527">_xlfn.XLOOKUP(C527,'Neiva 2022 FASE I ACTUAL (5)'!$C$6:$C$540,'Neiva 2022 FASE I ACTUAL (5)'!$C$6:$F$540,"NO ESTA")</f>
        <v>NO ESTA</v>
      </c>
      <c r="O527" s="124">
        <f t="shared" si="83"/>
        <v>0</v>
      </c>
      <c r="P527" s="155">
        <f t="shared" si="78"/>
        <v>2</v>
      </c>
      <c r="Q527" s="156">
        <f t="shared" si="81"/>
        <v>856442</v>
      </c>
      <c r="R527" s="156">
        <f t="shared" si="82"/>
        <v>1712884</v>
      </c>
    </row>
    <row r="528" spans="2:18" s="9" customFormat="1" ht="35.1" customHeight="1" x14ac:dyDescent="0.25">
      <c r="B528" s="23" t="s">
        <v>1303</v>
      </c>
      <c r="C528" s="22" t="s">
        <v>1304</v>
      </c>
      <c r="D528" s="10" t="s">
        <v>16</v>
      </c>
      <c r="E528" s="12">
        <v>9</v>
      </c>
      <c r="F528" s="126">
        <v>3210413</v>
      </c>
      <c r="G528" s="126">
        <f t="shared" si="84"/>
        <v>28893717</v>
      </c>
      <c r="H528" s="8"/>
      <c r="I528" s="8">
        <f t="shared" si="79"/>
        <v>3292279</v>
      </c>
      <c r="J528" s="8">
        <f t="shared" si="80"/>
        <v>29630511</v>
      </c>
      <c r="K528" s="9" t="str">
        <f t="array" ref="K528">_xlfn.XLOOKUP(C528,'Neiva 2022 FASE I ACTUAL (5)'!$C$6:$C$540,'Neiva 2022 FASE I ACTUAL (5)'!$C$6:$F$540,"NO ESTA")</f>
        <v>NO ESTA</v>
      </c>
      <c r="O528" s="124">
        <f t="shared" si="83"/>
        <v>0</v>
      </c>
      <c r="P528" s="155">
        <f t="shared" si="78"/>
        <v>9</v>
      </c>
      <c r="Q528" s="156">
        <f t="shared" si="81"/>
        <v>3292279</v>
      </c>
      <c r="R528" s="156">
        <f t="shared" si="82"/>
        <v>29630511</v>
      </c>
    </row>
    <row r="529" spans="2:18" s="9" customFormat="1" ht="35.1" customHeight="1" x14ac:dyDescent="0.25">
      <c r="B529" s="23" t="s">
        <v>1305</v>
      </c>
      <c r="C529" s="22" t="s">
        <v>1306</v>
      </c>
      <c r="D529" s="10" t="s">
        <v>16</v>
      </c>
      <c r="E529" s="12">
        <v>16</v>
      </c>
      <c r="F529" s="126">
        <v>2182653</v>
      </c>
      <c r="G529" s="126">
        <f t="shared" si="84"/>
        <v>34922448</v>
      </c>
      <c r="H529" s="8"/>
      <c r="I529" s="8">
        <f t="shared" si="79"/>
        <v>2238311</v>
      </c>
      <c r="J529" s="8">
        <f t="shared" si="80"/>
        <v>35812976</v>
      </c>
      <c r="K529" s="9" t="str">
        <f t="array" ref="K529">_xlfn.XLOOKUP(C529,'Neiva 2022 FASE I ACTUAL (5)'!$C$6:$C$540,'Neiva 2022 FASE I ACTUAL (5)'!$C$6:$F$540,"NO ESTA")</f>
        <v>NO ESTA</v>
      </c>
      <c r="O529" s="124">
        <f t="shared" si="83"/>
        <v>0</v>
      </c>
      <c r="P529" s="155">
        <f t="shared" si="78"/>
        <v>16</v>
      </c>
      <c r="Q529" s="156">
        <f t="shared" si="81"/>
        <v>2238311</v>
      </c>
      <c r="R529" s="156">
        <f t="shared" si="82"/>
        <v>35812976</v>
      </c>
    </row>
    <row r="530" spans="2:18" s="9" customFormat="1" ht="35.1" customHeight="1" x14ac:dyDescent="0.25">
      <c r="B530" s="23" t="s">
        <v>1307</v>
      </c>
      <c r="C530" s="22" t="s">
        <v>1308</v>
      </c>
      <c r="D530" s="10" t="s">
        <v>16</v>
      </c>
      <c r="E530" s="12">
        <v>1</v>
      </c>
      <c r="F530" s="126">
        <v>2054183</v>
      </c>
      <c r="G530" s="126">
        <f t="shared" si="84"/>
        <v>2054183</v>
      </c>
      <c r="H530" s="8"/>
      <c r="I530" s="8">
        <f t="shared" si="79"/>
        <v>2106565</v>
      </c>
      <c r="J530" s="8">
        <f t="shared" si="80"/>
        <v>2106565</v>
      </c>
      <c r="K530" s="9" t="str">
        <f t="array" ref="K530">_xlfn.XLOOKUP(C530,'Neiva 2022 FASE I ACTUAL (5)'!$C$6:$C$540,'Neiva 2022 FASE I ACTUAL (5)'!$C$6:$F$540,"NO ESTA")</f>
        <v>NO ESTA</v>
      </c>
      <c r="O530" s="124">
        <f t="shared" si="83"/>
        <v>0</v>
      </c>
      <c r="P530" s="155">
        <f t="shared" si="78"/>
        <v>1</v>
      </c>
      <c r="Q530" s="156">
        <f t="shared" si="81"/>
        <v>2106565</v>
      </c>
      <c r="R530" s="156">
        <f t="shared" si="82"/>
        <v>2106565</v>
      </c>
    </row>
    <row r="531" spans="2:18" s="9" customFormat="1" ht="35.1" customHeight="1" x14ac:dyDescent="0.25">
      <c r="B531" s="23" t="s">
        <v>1309</v>
      </c>
      <c r="C531" s="22" t="s">
        <v>1310</v>
      </c>
      <c r="D531" s="10" t="s">
        <v>16</v>
      </c>
      <c r="E531" s="12">
        <v>1</v>
      </c>
      <c r="F531" s="126">
        <v>1925713</v>
      </c>
      <c r="G531" s="126">
        <f t="shared" si="84"/>
        <v>1925713</v>
      </c>
      <c r="H531" s="8"/>
      <c r="I531" s="8">
        <f t="shared" si="79"/>
        <v>1974819</v>
      </c>
      <c r="J531" s="8">
        <f t="shared" si="80"/>
        <v>1974819</v>
      </c>
      <c r="K531" s="9" t="str">
        <f t="array" ref="K531">_xlfn.XLOOKUP(C531,'Neiva 2022 FASE I ACTUAL (5)'!$C$6:$C$540,'Neiva 2022 FASE I ACTUAL (5)'!$C$6:$F$540,"NO ESTA")</f>
        <v>NO ESTA</v>
      </c>
      <c r="O531" s="124">
        <f t="shared" si="83"/>
        <v>0</v>
      </c>
      <c r="P531" s="155">
        <f t="shared" si="78"/>
        <v>1</v>
      </c>
      <c r="Q531" s="156">
        <f t="shared" si="81"/>
        <v>1974819</v>
      </c>
      <c r="R531" s="156">
        <f t="shared" si="82"/>
        <v>1974819</v>
      </c>
    </row>
    <row r="532" spans="2:18" s="9" customFormat="1" ht="35.1" customHeight="1" x14ac:dyDescent="0.25">
      <c r="B532" s="23" t="s">
        <v>1311</v>
      </c>
      <c r="C532" s="22" t="s">
        <v>1312</v>
      </c>
      <c r="D532" s="10" t="s">
        <v>16</v>
      </c>
      <c r="E532" s="12">
        <v>3</v>
      </c>
      <c r="F532" s="126">
        <v>1154893</v>
      </c>
      <c r="G532" s="126">
        <f t="shared" si="84"/>
        <v>3464679</v>
      </c>
      <c r="H532" s="8"/>
      <c r="I532" s="8">
        <f t="shared" si="79"/>
        <v>1184343</v>
      </c>
      <c r="J532" s="8">
        <f t="shared" si="80"/>
        <v>3553029</v>
      </c>
      <c r="K532" s="9" t="str">
        <f t="array" ref="K532">_xlfn.XLOOKUP(C532,'Neiva 2022 FASE I ACTUAL (5)'!$C$6:$C$540,'Neiva 2022 FASE I ACTUAL (5)'!$C$6:$F$540,"NO ESTA")</f>
        <v>NO ESTA</v>
      </c>
      <c r="O532" s="124">
        <f t="shared" si="83"/>
        <v>0</v>
      </c>
      <c r="P532" s="155">
        <f t="shared" si="78"/>
        <v>3</v>
      </c>
      <c r="Q532" s="156">
        <f t="shared" si="81"/>
        <v>1184343</v>
      </c>
      <c r="R532" s="156">
        <f t="shared" si="82"/>
        <v>3553029</v>
      </c>
    </row>
    <row r="533" spans="2:18" s="9" customFormat="1" ht="35.1" customHeight="1" x14ac:dyDescent="0.25">
      <c r="B533" s="23" t="s">
        <v>1313</v>
      </c>
      <c r="C533" s="22" t="s">
        <v>1314</v>
      </c>
      <c r="D533" s="10" t="s">
        <v>16</v>
      </c>
      <c r="E533" s="12">
        <v>3</v>
      </c>
      <c r="F533" s="126">
        <v>1527456</v>
      </c>
      <c r="G533" s="126">
        <f t="shared" si="84"/>
        <v>4582368</v>
      </c>
      <c r="H533" s="8"/>
      <c r="I533" s="8">
        <f t="shared" si="79"/>
        <v>1566406</v>
      </c>
      <c r="J533" s="8">
        <f t="shared" si="80"/>
        <v>4699218</v>
      </c>
      <c r="K533" s="9" t="str">
        <f t="array" ref="K533">_xlfn.XLOOKUP(C533,'Neiva 2022 FASE I ACTUAL (5)'!$C$6:$C$540,'Neiva 2022 FASE I ACTUAL (5)'!$C$6:$F$540,"NO ESTA")</f>
        <v>NO ESTA</v>
      </c>
      <c r="O533" s="124">
        <f t="shared" si="83"/>
        <v>0</v>
      </c>
      <c r="P533" s="155">
        <f t="shared" si="78"/>
        <v>3</v>
      </c>
      <c r="Q533" s="156">
        <f t="shared" si="81"/>
        <v>1566406</v>
      </c>
      <c r="R533" s="156">
        <f t="shared" si="82"/>
        <v>4699218</v>
      </c>
    </row>
    <row r="534" spans="2:18" s="9" customFormat="1" ht="35.1" customHeight="1" x14ac:dyDescent="0.25">
      <c r="B534" s="23" t="s">
        <v>1315</v>
      </c>
      <c r="C534" s="22" t="s">
        <v>1316</v>
      </c>
      <c r="D534" s="10" t="s">
        <v>16</v>
      </c>
      <c r="E534" s="12">
        <v>1</v>
      </c>
      <c r="F534" s="126">
        <v>1649502</v>
      </c>
      <c r="G534" s="126">
        <f t="shared" si="84"/>
        <v>1649502</v>
      </c>
      <c r="H534" s="8"/>
      <c r="I534" s="8">
        <f t="shared" si="79"/>
        <v>1691564</v>
      </c>
      <c r="J534" s="8">
        <f t="shared" si="80"/>
        <v>1691564</v>
      </c>
      <c r="K534" s="9" t="str">
        <f t="array" ref="K534">_xlfn.XLOOKUP(C534,'Neiva 2022 FASE I ACTUAL (5)'!$C$6:$C$540,'Neiva 2022 FASE I ACTUAL (5)'!$C$6:$F$540,"NO ESTA")</f>
        <v>NO ESTA</v>
      </c>
      <c r="O534" s="124">
        <f t="shared" si="83"/>
        <v>0</v>
      </c>
      <c r="P534" s="155">
        <f t="shared" si="78"/>
        <v>1</v>
      </c>
      <c r="Q534" s="156">
        <f t="shared" si="81"/>
        <v>1691564</v>
      </c>
      <c r="R534" s="156">
        <f t="shared" si="82"/>
        <v>1691564</v>
      </c>
    </row>
    <row r="535" spans="2:18" s="9" customFormat="1" ht="35.1" customHeight="1" x14ac:dyDescent="0.25">
      <c r="B535" s="23" t="s">
        <v>1317</v>
      </c>
      <c r="C535" s="22" t="s">
        <v>1318</v>
      </c>
      <c r="D535" s="10" t="s">
        <v>16</v>
      </c>
      <c r="E535" s="12">
        <v>1</v>
      </c>
      <c r="F535" s="126">
        <v>1797243</v>
      </c>
      <c r="G535" s="126">
        <f t="shared" si="84"/>
        <v>1797243</v>
      </c>
      <c r="H535" s="8"/>
      <c r="I535" s="8">
        <f t="shared" si="79"/>
        <v>1843073</v>
      </c>
      <c r="J535" s="8">
        <f t="shared" si="80"/>
        <v>1843073</v>
      </c>
      <c r="K535" s="9" t="str">
        <f t="array" ref="K535">_xlfn.XLOOKUP(C535,'Neiva 2022 FASE I ACTUAL (5)'!$C$6:$C$540,'Neiva 2022 FASE I ACTUAL (5)'!$C$6:$F$540,"NO ESTA")</f>
        <v>NO ESTA</v>
      </c>
      <c r="O535" s="124">
        <f t="shared" si="83"/>
        <v>0</v>
      </c>
      <c r="P535" s="155">
        <f t="shared" si="78"/>
        <v>1</v>
      </c>
      <c r="Q535" s="156">
        <f t="shared" si="81"/>
        <v>1843073</v>
      </c>
      <c r="R535" s="156">
        <f t="shared" si="82"/>
        <v>1843073</v>
      </c>
    </row>
    <row r="536" spans="2:18" s="9" customFormat="1" ht="35.1" customHeight="1" x14ac:dyDescent="0.25">
      <c r="B536" s="23" t="s">
        <v>1319</v>
      </c>
      <c r="C536" s="22" t="s">
        <v>1320</v>
      </c>
      <c r="D536" s="10" t="s">
        <v>16</v>
      </c>
      <c r="E536" s="12">
        <v>2</v>
      </c>
      <c r="F536" s="126">
        <v>9892555</v>
      </c>
      <c r="G536" s="126">
        <f t="shared" si="84"/>
        <v>19785110</v>
      </c>
      <c r="H536" s="8"/>
      <c r="I536" s="8">
        <f t="shared" si="79"/>
        <v>10144815</v>
      </c>
      <c r="J536" s="8">
        <f t="shared" si="80"/>
        <v>20289630</v>
      </c>
      <c r="K536" s="9" t="str">
        <f t="array" ref="K536">_xlfn.XLOOKUP(C536,'Neiva 2022 FASE I ACTUAL (5)'!$C$6:$C$540,'Neiva 2022 FASE I ACTUAL (5)'!$C$6:$F$540,"NO ESTA")</f>
        <v>NO ESTA</v>
      </c>
      <c r="O536" s="124">
        <f t="shared" si="83"/>
        <v>0</v>
      </c>
      <c r="P536" s="155">
        <f t="shared" si="78"/>
        <v>2</v>
      </c>
      <c r="Q536" s="156">
        <f t="shared" si="81"/>
        <v>10144815</v>
      </c>
      <c r="R536" s="156">
        <f t="shared" si="82"/>
        <v>20289630</v>
      </c>
    </row>
    <row r="537" spans="2:18" s="9" customFormat="1" ht="35.1" customHeight="1" x14ac:dyDescent="0.25">
      <c r="B537" s="23" t="s">
        <v>1321</v>
      </c>
      <c r="C537" s="22" t="s">
        <v>1322</v>
      </c>
      <c r="D537" s="10" t="s">
        <v>16</v>
      </c>
      <c r="E537" s="12">
        <v>1</v>
      </c>
      <c r="F537" s="126">
        <v>15930736</v>
      </c>
      <c r="G537" s="126">
        <f t="shared" si="84"/>
        <v>15930736</v>
      </c>
      <c r="H537" s="8"/>
      <c r="I537" s="8">
        <f t="shared" si="79"/>
        <v>16336970</v>
      </c>
      <c r="J537" s="8">
        <f t="shared" si="80"/>
        <v>16336970</v>
      </c>
      <c r="K537" s="9" t="str">
        <f t="array" ref="K537">_xlfn.XLOOKUP(C537,'Neiva 2022 FASE I ACTUAL (5)'!$C$6:$C$540,'Neiva 2022 FASE I ACTUAL (5)'!$C$6:$F$540,"NO ESTA")</f>
        <v>NO ESTA</v>
      </c>
      <c r="O537" s="124">
        <f t="shared" si="83"/>
        <v>0</v>
      </c>
      <c r="P537" s="155">
        <f t="shared" si="78"/>
        <v>1</v>
      </c>
      <c r="Q537" s="156">
        <f t="shared" si="81"/>
        <v>16336970</v>
      </c>
      <c r="R537" s="156">
        <f t="shared" si="82"/>
        <v>16336970</v>
      </c>
    </row>
    <row r="538" spans="2:18" s="9" customFormat="1" ht="35.1" customHeight="1" x14ac:dyDescent="0.25">
      <c r="B538" s="23" t="s">
        <v>1323</v>
      </c>
      <c r="C538" s="22" t="s">
        <v>1324</v>
      </c>
      <c r="D538" s="10" t="s">
        <v>16</v>
      </c>
      <c r="E538" s="12">
        <v>4</v>
      </c>
      <c r="F538" s="126">
        <v>6637724</v>
      </c>
      <c r="G538" s="126">
        <f t="shared" si="84"/>
        <v>26550896</v>
      </c>
      <c r="H538" s="8"/>
      <c r="I538" s="8">
        <f t="shared" si="79"/>
        <v>6806986</v>
      </c>
      <c r="J538" s="8">
        <f t="shared" si="80"/>
        <v>27227944</v>
      </c>
      <c r="K538" s="9" t="str">
        <f t="array" ref="K538">_xlfn.XLOOKUP(C538,'Neiva 2022 FASE I ACTUAL (5)'!$C$6:$C$540,'Neiva 2022 FASE I ACTUAL (5)'!$C$6:$F$540,"NO ESTA")</f>
        <v>NO ESTA</v>
      </c>
      <c r="O538" s="124">
        <f t="shared" si="83"/>
        <v>0</v>
      </c>
      <c r="P538" s="155">
        <f t="shared" si="78"/>
        <v>4</v>
      </c>
      <c r="Q538" s="156">
        <f t="shared" si="81"/>
        <v>6806986</v>
      </c>
      <c r="R538" s="156">
        <f t="shared" si="82"/>
        <v>27227944</v>
      </c>
    </row>
    <row r="539" spans="2:18" s="9" customFormat="1" ht="35.1" customHeight="1" x14ac:dyDescent="0.25">
      <c r="B539" s="23" t="s">
        <v>1325</v>
      </c>
      <c r="C539" s="22" t="s">
        <v>1326</v>
      </c>
      <c r="D539" s="10" t="s">
        <v>16</v>
      </c>
      <c r="E539" s="12">
        <v>2</v>
      </c>
      <c r="F539" s="126">
        <v>23228066</v>
      </c>
      <c r="G539" s="126">
        <f t="shared" si="84"/>
        <v>46456132</v>
      </c>
      <c r="H539" s="8"/>
      <c r="I539" s="8">
        <f t="shared" si="79"/>
        <v>23820382</v>
      </c>
      <c r="J539" s="8">
        <f t="shared" si="80"/>
        <v>47640764</v>
      </c>
      <c r="K539" s="9" t="str">
        <f t="array" ref="K539">_xlfn.XLOOKUP(C539,'Neiva 2022 FASE I ACTUAL (5)'!$C$6:$C$540,'Neiva 2022 FASE I ACTUAL (5)'!$C$6:$F$540,"NO ESTA")</f>
        <v>NO ESTA</v>
      </c>
      <c r="O539" s="124">
        <f t="shared" si="83"/>
        <v>0</v>
      </c>
      <c r="P539" s="155">
        <f t="shared" si="78"/>
        <v>2</v>
      </c>
      <c r="Q539" s="156">
        <f t="shared" si="81"/>
        <v>23820382</v>
      </c>
      <c r="R539" s="156">
        <f t="shared" si="82"/>
        <v>47640764</v>
      </c>
    </row>
    <row r="540" spans="2:18" s="9" customFormat="1" ht="35.1" customHeight="1" x14ac:dyDescent="0.25">
      <c r="B540" s="13" t="s">
        <v>734</v>
      </c>
      <c r="C540" s="24" t="s">
        <v>735</v>
      </c>
      <c r="D540" s="24"/>
      <c r="E540" s="15"/>
      <c r="F540" s="129"/>
      <c r="G540" s="140"/>
      <c r="H540" s="8"/>
      <c r="I540" s="8">
        <f t="shared" si="79"/>
        <v>0</v>
      </c>
      <c r="J540" s="8">
        <f t="shared" si="80"/>
        <v>0</v>
      </c>
      <c r="K540" s="9" t="str">
        <f t="array" ref="K540:N540">_xlfn.XLOOKUP(C540,'Neiva 2022 FASE I ACTUAL (5)'!$C$6:$C$540,'Neiva 2022 FASE I ACTUAL (5)'!$C$6:$F$540,"NO ESTA")</f>
        <v>SUMINISTRO E INSTALACION DE TUBERIA AGUA FRIA PVC</v>
      </c>
      <c r="L540" s="9">
        <v>0</v>
      </c>
      <c r="M540" s="9">
        <v>0</v>
      </c>
      <c r="N540" s="9">
        <v>0</v>
      </c>
      <c r="O540" s="124">
        <f t="shared" si="83"/>
        <v>0</v>
      </c>
      <c r="P540" s="155">
        <f t="shared" si="78"/>
        <v>0</v>
      </c>
      <c r="Q540" s="156">
        <f t="shared" si="81"/>
        <v>0</v>
      </c>
      <c r="R540" s="156">
        <f t="shared" si="82"/>
        <v>0</v>
      </c>
    </row>
    <row r="541" spans="2:18" s="9" customFormat="1" ht="35.1" customHeight="1" x14ac:dyDescent="0.25">
      <c r="B541" s="23" t="s">
        <v>736</v>
      </c>
      <c r="C541" s="22" t="s">
        <v>737</v>
      </c>
      <c r="D541" s="10" t="s">
        <v>94</v>
      </c>
      <c r="E541" s="12">
        <v>45</v>
      </c>
      <c r="F541" s="126">
        <v>71680</v>
      </c>
      <c r="G541" s="126">
        <f t="shared" ref="G541:G548" si="85">ROUND(+F541*E541,2)</f>
        <v>3225600</v>
      </c>
      <c r="H541" s="8"/>
      <c r="I541" s="8">
        <f t="shared" si="79"/>
        <v>73508</v>
      </c>
      <c r="J541" s="8">
        <f t="shared" si="80"/>
        <v>3307860</v>
      </c>
      <c r="K541" s="9" t="str">
        <f t="array" ref="K541:N541">_xlfn.XLOOKUP(C541,'Neiva 2022 FASE I ACTUAL (5)'!$C$6:$C$540,'Neiva 2022 FASE I ACTUAL (5)'!$C$6:$F$540,"NO ESTA")</f>
        <v>SUMINISTRO E INSTALACION TUBERIA Y ACCESORIOS RDE 21 Ø DIAMETRO  4"</v>
      </c>
      <c r="L541" s="9" t="str">
        <v>ML</v>
      </c>
      <c r="M541" s="9">
        <v>17</v>
      </c>
      <c r="N541" s="9">
        <v>69855</v>
      </c>
      <c r="O541" s="124" t="str">
        <f t="shared" si="83"/>
        <v>FASE II</v>
      </c>
      <c r="P541" s="155">
        <f t="shared" si="78"/>
        <v>62</v>
      </c>
      <c r="Q541" s="156">
        <f t="shared" si="81"/>
        <v>73508</v>
      </c>
      <c r="R541" s="156">
        <f t="shared" si="82"/>
        <v>4557496</v>
      </c>
    </row>
    <row r="542" spans="2:18" s="9" customFormat="1" ht="35.1" customHeight="1" x14ac:dyDescent="0.25">
      <c r="B542" s="23" t="s">
        <v>738</v>
      </c>
      <c r="C542" s="22" t="s">
        <v>739</v>
      </c>
      <c r="D542" s="10" t="s">
        <v>94</v>
      </c>
      <c r="E542" s="12">
        <v>24</v>
      </c>
      <c r="F542" s="126">
        <v>46609</v>
      </c>
      <c r="G542" s="126">
        <f t="shared" si="85"/>
        <v>1118616</v>
      </c>
      <c r="H542" s="8"/>
      <c r="I542" s="8">
        <f t="shared" si="79"/>
        <v>47798</v>
      </c>
      <c r="J542" s="8">
        <f t="shared" si="80"/>
        <v>1147152</v>
      </c>
      <c r="K542" s="9" t="str">
        <f t="array" ref="K542:N542">_xlfn.XLOOKUP(C542,'Neiva 2022 FASE I ACTUAL (5)'!$C$6:$C$540,'Neiva 2022 FASE I ACTUAL (5)'!$C$6:$F$540,"NO ESTA")</f>
        <v>SUMINISTRO E INSTALACION TUBERIA Y ACCESORIOS RDE 21 Ø DIAMETRO  3"</v>
      </c>
      <c r="L542" s="9" t="str">
        <v>ML</v>
      </c>
      <c r="M542" s="9">
        <v>9</v>
      </c>
      <c r="N542" s="9">
        <v>45421</v>
      </c>
      <c r="O542" s="124" t="str">
        <f t="shared" si="83"/>
        <v>FASE II</v>
      </c>
      <c r="P542" s="155">
        <f t="shared" si="78"/>
        <v>33</v>
      </c>
      <c r="Q542" s="156">
        <f t="shared" si="81"/>
        <v>47798</v>
      </c>
      <c r="R542" s="156">
        <f t="shared" si="82"/>
        <v>1577334</v>
      </c>
    </row>
    <row r="543" spans="2:18" s="9" customFormat="1" ht="35.1" customHeight="1" x14ac:dyDescent="0.25">
      <c r="B543" s="23" t="s">
        <v>740</v>
      </c>
      <c r="C543" s="22" t="s">
        <v>741</v>
      </c>
      <c r="D543" s="10" t="s">
        <v>94</v>
      </c>
      <c r="E543" s="12">
        <v>64</v>
      </c>
      <c r="F543" s="126">
        <v>34736</v>
      </c>
      <c r="G543" s="126">
        <f t="shared" si="85"/>
        <v>2223104</v>
      </c>
      <c r="H543" s="8"/>
      <c r="I543" s="8">
        <f t="shared" si="79"/>
        <v>35622</v>
      </c>
      <c r="J543" s="8">
        <f t="shared" si="80"/>
        <v>2279808</v>
      </c>
      <c r="K543" s="9" t="str">
        <f t="array" ref="K543:N543">_xlfn.XLOOKUP(C543,'Neiva 2022 FASE I ACTUAL (5)'!$C$6:$C$540,'Neiva 2022 FASE I ACTUAL (5)'!$C$6:$F$540,"NO ESTA")</f>
        <v>SUMINISTRO E INSTALACION TUBERIA Y ACCESORIOS RDE 21 Ø DIAMETRO  2 1/2"</v>
      </c>
      <c r="L543" s="9" t="str">
        <v>ML</v>
      </c>
      <c r="M543" s="9">
        <v>24</v>
      </c>
      <c r="N543" s="9">
        <v>33851</v>
      </c>
      <c r="O543" s="124" t="str">
        <f t="shared" si="83"/>
        <v>FASE II</v>
      </c>
      <c r="P543" s="155">
        <f t="shared" si="78"/>
        <v>88</v>
      </c>
      <c r="Q543" s="156">
        <f t="shared" si="81"/>
        <v>35622</v>
      </c>
      <c r="R543" s="156">
        <f t="shared" si="82"/>
        <v>3134736</v>
      </c>
    </row>
    <row r="544" spans="2:18" s="9" customFormat="1" ht="35.1" customHeight="1" x14ac:dyDescent="0.25">
      <c r="B544" s="23" t="s">
        <v>742</v>
      </c>
      <c r="C544" s="22" t="s">
        <v>743</v>
      </c>
      <c r="D544" s="10" t="s">
        <v>94</v>
      </c>
      <c r="E544" s="12">
        <v>185.4</v>
      </c>
      <c r="F544" s="126">
        <v>23647</v>
      </c>
      <c r="G544" s="126">
        <f t="shared" si="85"/>
        <v>4384153.8</v>
      </c>
      <c r="H544" s="8"/>
      <c r="I544" s="8">
        <f t="shared" si="79"/>
        <v>24250</v>
      </c>
      <c r="J544" s="8">
        <f t="shared" si="80"/>
        <v>4495950</v>
      </c>
      <c r="K544" s="9" t="str">
        <f t="array" ref="K544:N544">_xlfn.XLOOKUP(C544,'Neiva 2022 FASE I ACTUAL (5)'!$C$6:$C$540,'Neiva 2022 FASE I ACTUAL (5)'!$C$6:$F$540,"NO ESTA")</f>
        <v>SUMINISTRO E INSTALACION TUBERIA Y ACCESORIOS RDE 21 Ø DIAMETRO  2"</v>
      </c>
      <c r="L544" s="9" t="str">
        <v>ML</v>
      </c>
      <c r="M544" s="9">
        <v>68</v>
      </c>
      <c r="N544" s="9">
        <v>23046</v>
      </c>
      <c r="O544" s="124" t="str">
        <f t="shared" si="83"/>
        <v>FASE II</v>
      </c>
      <c r="P544" s="155">
        <f t="shared" si="78"/>
        <v>253.4</v>
      </c>
      <c r="Q544" s="156">
        <f t="shared" si="81"/>
        <v>24250</v>
      </c>
      <c r="R544" s="156">
        <f t="shared" si="82"/>
        <v>6144950</v>
      </c>
    </row>
    <row r="545" spans="2:18" s="9" customFormat="1" ht="35.1" customHeight="1" x14ac:dyDescent="0.25">
      <c r="B545" s="23" t="s">
        <v>744</v>
      </c>
      <c r="C545" s="22" t="s">
        <v>745</v>
      </c>
      <c r="D545" s="10" t="s">
        <v>94</v>
      </c>
      <c r="E545" s="12">
        <v>106.80000000000001</v>
      </c>
      <c r="F545" s="126">
        <v>17230</v>
      </c>
      <c r="G545" s="126">
        <f t="shared" si="85"/>
        <v>1840164</v>
      </c>
      <c r="H545" s="8"/>
      <c r="I545" s="8">
        <f t="shared" si="79"/>
        <v>17669</v>
      </c>
      <c r="J545" s="8">
        <f t="shared" si="80"/>
        <v>1887049.2000000002</v>
      </c>
      <c r="K545" s="9" t="str">
        <f t="array" ref="K545:N545">_xlfn.XLOOKUP(C545,'Neiva 2022 FASE I ACTUAL (5)'!$C$6:$C$540,'Neiva 2022 FASE I ACTUAL (5)'!$C$6:$F$540,"NO ESTA")</f>
        <v>SUMINISTRO E INSTALACION TUBERIA Y ACCESORIOS RDE 21 Ø DIAMETRO  1 1/2"</v>
      </c>
      <c r="L545" s="9" t="str">
        <v>ML</v>
      </c>
      <c r="M545" s="9">
        <v>40</v>
      </c>
      <c r="N545" s="9">
        <v>16792</v>
      </c>
      <c r="O545" s="124" t="str">
        <f t="shared" si="83"/>
        <v>FASE II</v>
      </c>
      <c r="P545" s="155">
        <f t="shared" si="78"/>
        <v>146.80000000000001</v>
      </c>
      <c r="Q545" s="156">
        <f t="shared" si="81"/>
        <v>17669</v>
      </c>
      <c r="R545" s="156">
        <f t="shared" si="82"/>
        <v>2593809.2000000002</v>
      </c>
    </row>
    <row r="546" spans="2:18" s="9" customFormat="1" ht="35.1" customHeight="1" x14ac:dyDescent="0.25">
      <c r="B546" s="23" t="s">
        <v>746</v>
      </c>
      <c r="C546" s="22" t="s">
        <v>747</v>
      </c>
      <c r="D546" s="10" t="s">
        <v>94</v>
      </c>
      <c r="E546" s="12">
        <v>165.6</v>
      </c>
      <c r="F546" s="126">
        <v>14658</v>
      </c>
      <c r="G546" s="126">
        <f t="shared" si="85"/>
        <v>2427364.7999999998</v>
      </c>
      <c r="H546" s="8"/>
      <c r="I546" s="8">
        <f t="shared" si="79"/>
        <v>15032</v>
      </c>
      <c r="J546" s="8">
        <f t="shared" si="80"/>
        <v>2489299.1999999997</v>
      </c>
      <c r="K546" s="9" t="str">
        <f t="array" ref="K546:N546">_xlfn.XLOOKUP(C546,'Neiva 2022 FASE I ACTUAL (5)'!$C$6:$C$540,'Neiva 2022 FASE I ACTUAL (5)'!$C$6:$F$540,"NO ESTA")</f>
        <v>SUMINISTRO E INSTALACION TUBERIA Y ACCESORIOS RDE 21 Ø DIAMETRO  1 1/4"</v>
      </c>
      <c r="L546" s="9" t="str">
        <v>ML</v>
      </c>
      <c r="M546" s="9">
        <v>61</v>
      </c>
      <c r="N546" s="9">
        <v>14285</v>
      </c>
      <c r="O546" s="124" t="str">
        <f t="shared" si="83"/>
        <v>FASE II</v>
      </c>
      <c r="P546" s="155">
        <f t="shared" si="78"/>
        <v>226.6</v>
      </c>
      <c r="Q546" s="156">
        <f t="shared" si="81"/>
        <v>15032</v>
      </c>
      <c r="R546" s="156">
        <f t="shared" si="82"/>
        <v>3406251.2</v>
      </c>
    </row>
    <row r="547" spans="2:18" s="9" customFormat="1" ht="35.1" customHeight="1" x14ac:dyDescent="0.25">
      <c r="B547" s="23" t="s">
        <v>748</v>
      </c>
      <c r="C547" s="22" t="s">
        <v>749</v>
      </c>
      <c r="D547" s="10" t="s">
        <v>94</v>
      </c>
      <c r="E547" s="12">
        <v>28.799999999999997</v>
      </c>
      <c r="F547" s="126">
        <v>10725</v>
      </c>
      <c r="G547" s="126">
        <f t="shared" si="85"/>
        <v>308880</v>
      </c>
      <c r="H547" s="8"/>
      <c r="I547" s="8">
        <f t="shared" si="79"/>
        <v>10998</v>
      </c>
      <c r="J547" s="8">
        <f t="shared" si="80"/>
        <v>316742.39999999997</v>
      </c>
      <c r="K547" s="9" t="str">
        <f t="array" ref="K547:N547">_xlfn.XLOOKUP(C547,'Neiva 2022 FASE I ACTUAL (5)'!$C$6:$C$540,'Neiva 2022 FASE I ACTUAL (5)'!$C$6:$F$540,"NO ESTA")</f>
        <v>SUMINISTRO E INSTALACION TUBERIA Y ACCESORIOS RDE 21 Ø DIAMETRO  1"</v>
      </c>
      <c r="L547" s="9" t="str">
        <v>ML</v>
      </c>
      <c r="M547" s="9">
        <v>10</v>
      </c>
      <c r="N547" s="9">
        <v>10451</v>
      </c>
      <c r="O547" s="124" t="str">
        <f t="shared" si="83"/>
        <v>FASE II</v>
      </c>
      <c r="P547" s="155">
        <f t="shared" si="78"/>
        <v>38.799999999999997</v>
      </c>
      <c r="Q547" s="156">
        <f t="shared" si="81"/>
        <v>10998</v>
      </c>
      <c r="R547" s="156">
        <f t="shared" si="82"/>
        <v>426722.4</v>
      </c>
    </row>
    <row r="548" spans="2:18" s="9" customFormat="1" ht="35.1" customHeight="1" x14ac:dyDescent="0.25">
      <c r="B548" s="23" t="s">
        <v>750</v>
      </c>
      <c r="C548" s="22" t="s">
        <v>751</v>
      </c>
      <c r="D548" s="10" t="s">
        <v>94</v>
      </c>
      <c r="E548" s="12">
        <v>32</v>
      </c>
      <c r="F548" s="126">
        <v>9421</v>
      </c>
      <c r="G548" s="126">
        <f t="shared" si="85"/>
        <v>301472</v>
      </c>
      <c r="H548" s="8"/>
      <c r="I548" s="8">
        <f t="shared" si="79"/>
        <v>9661</v>
      </c>
      <c r="J548" s="8">
        <f t="shared" si="80"/>
        <v>309152</v>
      </c>
      <c r="K548" s="9" t="str">
        <f t="array" ref="K548:N548">_xlfn.XLOOKUP(C548,'Neiva 2022 FASE I ACTUAL (5)'!$C$6:$C$540,'Neiva 2022 FASE I ACTUAL (5)'!$C$6:$F$540,"NO ESTA")</f>
        <v>SUMINISTRO E INSTALACION TUBERIA Y ACCESORIOS RDE 21 Ø DIAMETRO  3/4"</v>
      </c>
      <c r="L548" s="9" t="str">
        <v>ML</v>
      </c>
      <c r="M548" s="9">
        <v>12</v>
      </c>
      <c r="N548" s="9">
        <v>9181</v>
      </c>
      <c r="O548" s="124" t="str">
        <f t="shared" si="83"/>
        <v>FASE II</v>
      </c>
      <c r="P548" s="155">
        <f t="shared" si="78"/>
        <v>44</v>
      </c>
      <c r="Q548" s="156">
        <f t="shared" si="81"/>
        <v>9661</v>
      </c>
      <c r="R548" s="156">
        <f t="shared" si="82"/>
        <v>425084</v>
      </c>
    </row>
    <row r="549" spans="2:18" s="9" customFormat="1" ht="35.1" customHeight="1" x14ac:dyDescent="0.25">
      <c r="B549" s="13" t="s">
        <v>752</v>
      </c>
      <c r="C549" s="24" t="s">
        <v>1327</v>
      </c>
      <c r="D549" s="24"/>
      <c r="E549" s="15"/>
      <c r="F549" s="129"/>
      <c r="G549" s="140"/>
      <c r="H549" s="8"/>
      <c r="I549" s="8">
        <f t="shared" si="79"/>
        <v>0</v>
      </c>
      <c r="J549" s="8">
        <f t="shared" si="80"/>
        <v>0</v>
      </c>
      <c r="K549" s="9" t="str">
        <f t="array" ref="K549">_xlfn.XLOOKUP(C549,'Neiva 2022 FASE I ACTUAL (5)'!$C$6:$C$540,'Neiva 2022 FASE I ACTUAL (5)'!$C$6:$F$540,"NO ESTA")</f>
        <v>NO ESTA</v>
      </c>
      <c r="O549" s="124">
        <f t="shared" si="83"/>
        <v>0</v>
      </c>
      <c r="P549" s="155">
        <f t="shared" si="78"/>
        <v>0</v>
      </c>
      <c r="Q549" s="156">
        <f t="shared" si="81"/>
        <v>0</v>
      </c>
      <c r="R549" s="156">
        <f t="shared" si="82"/>
        <v>0</v>
      </c>
    </row>
    <row r="550" spans="2:18" s="9" customFormat="1" ht="35.1" customHeight="1" x14ac:dyDescent="0.25">
      <c r="B550" s="10" t="s">
        <v>754</v>
      </c>
      <c r="C550" s="22" t="s">
        <v>755</v>
      </c>
      <c r="D550" s="10" t="s">
        <v>94</v>
      </c>
      <c r="E550" s="12">
        <v>45</v>
      </c>
      <c r="F550" s="126">
        <v>41384</v>
      </c>
      <c r="G550" s="126">
        <f t="shared" ref="G550:G557" si="86">ROUND(+F550*E550,2)</f>
        <v>1862280</v>
      </c>
      <c r="H550" s="8"/>
      <c r="I550" s="8">
        <f t="shared" si="79"/>
        <v>42439</v>
      </c>
      <c r="J550" s="8">
        <f t="shared" si="80"/>
        <v>1909755</v>
      </c>
      <c r="K550" s="9" t="str">
        <f t="array" ref="K550:N550">_xlfn.XLOOKUP(C550,'Neiva 2022 FASE I ACTUAL (5)'!$C$6:$C$540,'Neiva 2022 FASE I ACTUAL (5)'!$C$6:$F$540,"NO ESTA")</f>
        <v>SUMINISTRO E INSTALACION DE AISLAMIENTO TERMICO TUBERIA Y ACCESORIOS RDE 21 Ø DIAMETRO  4"</v>
      </c>
      <c r="L550" s="9" t="str">
        <v>ML</v>
      </c>
      <c r="M550" s="9">
        <v>17</v>
      </c>
      <c r="N550" s="9">
        <v>40331</v>
      </c>
      <c r="O550" s="124" t="str">
        <f t="shared" si="83"/>
        <v>FASE II</v>
      </c>
      <c r="P550" s="155">
        <f t="shared" si="78"/>
        <v>62</v>
      </c>
      <c r="Q550" s="156">
        <f t="shared" si="81"/>
        <v>42439</v>
      </c>
      <c r="R550" s="156">
        <f t="shared" si="82"/>
        <v>2631218</v>
      </c>
    </row>
    <row r="551" spans="2:18" s="9" customFormat="1" ht="35.1" customHeight="1" x14ac:dyDescent="0.25">
      <c r="B551" s="10" t="s">
        <v>756</v>
      </c>
      <c r="C551" s="87" t="s">
        <v>757</v>
      </c>
      <c r="D551" s="10" t="s">
        <v>94</v>
      </c>
      <c r="E551" s="12">
        <v>24</v>
      </c>
      <c r="F551" s="126">
        <v>37175</v>
      </c>
      <c r="G551" s="126">
        <f t="shared" si="86"/>
        <v>892200</v>
      </c>
      <c r="H551" s="8"/>
      <c r="I551" s="8">
        <f t="shared" si="79"/>
        <v>38123</v>
      </c>
      <c r="J551" s="8">
        <f t="shared" si="80"/>
        <v>914952</v>
      </c>
      <c r="K551" s="9" t="str">
        <f t="array" ref="K551:N551">_xlfn.XLOOKUP(C551,'Neiva 2022 FASE I ACTUAL (5)'!$C$6:$C$540,'Neiva 2022 FASE I ACTUAL (5)'!$C$6:$F$540,"NO ESTA")</f>
        <v>SUMINISTRO E INSTALACION DE AISLAMIENTO TERMICO TUBERIA Y ACCESORIOS RDE 21 Ø DIAMETRO  3"</v>
      </c>
      <c r="L551" s="9" t="str">
        <v>ML</v>
      </c>
      <c r="M551" s="9">
        <v>9</v>
      </c>
      <c r="N551" s="9">
        <v>36230</v>
      </c>
      <c r="O551" s="124" t="str">
        <f t="shared" si="83"/>
        <v>FASE II</v>
      </c>
      <c r="P551" s="155">
        <f t="shared" si="78"/>
        <v>33</v>
      </c>
      <c r="Q551" s="156">
        <f t="shared" si="81"/>
        <v>38123</v>
      </c>
      <c r="R551" s="156">
        <f t="shared" si="82"/>
        <v>1258059</v>
      </c>
    </row>
    <row r="552" spans="2:18" s="9" customFormat="1" ht="35.1" customHeight="1" x14ac:dyDescent="0.25">
      <c r="B552" s="23" t="s">
        <v>758</v>
      </c>
      <c r="C552" s="22" t="s">
        <v>759</v>
      </c>
      <c r="D552" s="10" t="s">
        <v>94</v>
      </c>
      <c r="E552" s="12">
        <v>64</v>
      </c>
      <c r="F552" s="126">
        <v>28505</v>
      </c>
      <c r="G552" s="126">
        <f t="shared" si="86"/>
        <v>1824320</v>
      </c>
      <c r="H552" s="8"/>
      <c r="I552" s="8">
        <f t="shared" si="79"/>
        <v>29232</v>
      </c>
      <c r="J552" s="8">
        <f t="shared" si="80"/>
        <v>1870848</v>
      </c>
      <c r="K552" s="9" t="str">
        <f t="array" ref="K552:N552">_xlfn.XLOOKUP(C552,'Neiva 2022 FASE I ACTUAL (5)'!$C$6:$C$540,'Neiva 2022 FASE I ACTUAL (5)'!$C$6:$F$540,"NO ESTA")</f>
        <v>SUMINISTRO E INSTALACION DE AISLAMIENTO TERMICO TUBERIA Y ACCESORIOS RDE 21 Ø DIAMETRO  2 1/2"</v>
      </c>
      <c r="L552" s="9" t="str">
        <v>ML</v>
      </c>
      <c r="M552" s="9">
        <v>24</v>
      </c>
      <c r="N552" s="9">
        <v>27779</v>
      </c>
      <c r="O552" s="124" t="str">
        <f t="shared" si="83"/>
        <v>FASE II</v>
      </c>
      <c r="P552" s="155">
        <f t="shared" si="78"/>
        <v>88</v>
      </c>
      <c r="Q552" s="156">
        <f t="shared" si="81"/>
        <v>29232</v>
      </c>
      <c r="R552" s="156">
        <f t="shared" si="82"/>
        <v>2572416</v>
      </c>
    </row>
    <row r="553" spans="2:18" s="9" customFormat="1" ht="35.1" customHeight="1" x14ac:dyDescent="0.25">
      <c r="B553" s="23" t="s">
        <v>760</v>
      </c>
      <c r="C553" s="22" t="s">
        <v>761</v>
      </c>
      <c r="D553" s="10" t="s">
        <v>94</v>
      </c>
      <c r="E553" s="12">
        <v>185.4</v>
      </c>
      <c r="F553" s="126">
        <v>22485</v>
      </c>
      <c r="G553" s="126">
        <f t="shared" si="86"/>
        <v>4168719</v>
      </c>
      <c r="H553" s="8"/>
      <c r="I553" s="8">
        <f t="shared" si="79"/>
        <v>23058</v>
      </c>
      <c r="J553" s="8">
        <f t="shared" si="80"/>
        <v>4274953.2</v>
      </c>
      <c r="K553" s="9" t="str">
        <f t="array" ref="K553:N553">_xlfn.XLOOKUP(C553,'Neiva 2022 FASE I ACTUAL (5)'!$C$6:$C$540,'Neiva 2022 FASE I ACTUAL (5)'!$C$6:$F$540,"NO ESTA")</f>
        <v>SUMINISTRO E INSTALACION DE AISLAMIENTO TERMICO TUBERIA Y ACCESORIOS RDE 21 Ø DIAMETRO  2"</v>
      </c>
      <c r="L553" s="9" t="str">
        <v>ML</v>
      </c>
      <c r="M553" s="9">
        <v>68</v>
      </c>
      <c r="N553" s="9">
        <v>21912</v>
      </c>
      <c r="O553" s="124" t="str">
        <f t="shared" si="83"/>
        <v>FASE II</v>
      </c>
      <c r="P553" s="155">
        <f t="shared" si="78"/>
        <v>253.4</v>
      </c>
      <c r="Q553" s="156">
        <f t="shared" si="81"/>
        <v>23058</v>
      </c>
      <c r="R553" s="156">
        <f t="shared" si="82"/>
        <v>5842897.2000000002</v>
      </c>
    </row>
    <row r="554" spans="2:18" s="9" customFormat="1" ht="35.1" customHeight="1" x14ac:dyDescent="0.25">
      <c r="B554" s="23" t="s">
        <v>762</v>
      </c>
      <c r="C554" s="87" t="s">
        <v>763</v>
      </c>
      <c r="D554" s="10" t="s">
        <v>94</v>
      </c>
      <c r="E554" s="12">
        <v>106.80000000000001</v>
      </c>
      <c r="F554" s="126">
        <v>16958</v>
      </c>
      <c r="G554" s="126">
        <f t="shared" si="86"/>
        <v>1811114.4</v>
      </c>
      <c r="H554" s="8"/>
      <c r="I554" s="8">
        <f t="shared" si="79"/>
        <v>17390</v>
      </c>
      <c r="J554" s="8">
        <f t="shared" si="80"/>
        <v>1857252.0000000002</v>
      </c>
      <c r="K554" s="9" t="str">
        <f t="array" ref="K554:N554">_xlfn.XLOOKUP(C554,'Neiva 2022 FASE I ACTUAL (5)'!$C$6:$C$540,'Neiva 2022 FASE I ACTUAL (5)'!$C$6:$F$540,"NO ESTA")</f>
        <v>SUMINISTRO E INSTALACION DE AISLAMIENTO TERMICO TUBERIA Y ACCESORIOS RDE 21 Ø DIAMETRO  1 1/2"</v>
      </c>
      <c r="L554" s="9" t="str">
        <v>ML</v>
      </c>
      <c r="M554" s="9">
        <v>40</v>
      </c>
      <c r="N554" s="9">
        <v>16527</v>
      </c>
      <c r="O554" s="124" t="str">
        <f t="shared" si="83"/>
        <v>FASE II</v>
      </c>
      <c r="P554" s="155">
        <f t="shared" si="78"/>
        <v>146.80000000000001</v>
      </c>
      <c r="Q554" s="156">
        <f t="shared" si="81"/>
        <v>17390</v>
      </c>
      <c r="R554" s="156">
        <f t="shared" si="82"/>
        <v>2552852</v>
      </c>
    </row>
    <row r="555" spans="2:18" s="9" customFormat="1" ht="35.1" customHeight="1" x14ac:dyDescent="0.25">
      <c r="B555" s="23" t="s">
        <v>764</v>
      </c>
      <c r="C555" s="87" t="s">
        <v>765</v>
      </c>
      <c r="D555" s="10" t="s">
        <v>94</v>
      </c>
      <c r="E555" s="12">
        <v>165.6</v>
      </c>
      <c r="F555" s="126">
        <v>14543</v>
      </c>
      <c r="G555" s="126">
        <f t="shared" si="86"/>
        <v>2408320.7999999998</v>
      </c>
      <c r="H555" s="8"/>
      <c r="I555" s="8">
        <f t="shared" si="79"/>
        <v>14914</v>
      </c>
      <c r="J555" s="8">
        <f t="shared" si="80"/>
        <v>2469758.4</v>
      </c>
      <c r="K555" s="9" t="str">
        <f t="array" ref="K555:N555">_xlfn.XLOOKUP(C555,'Neiva 2022 FASE I ACTUAL (5)'!$C$6:$C$540,'Neiva 2022 FASE I ACTUAL (5)'!$C$6:$F$540,"NO ESTA")</f>
        <v>SUMINISTRO E INSTALACION DE AISLAMIENTO TERMICO TUBERIA Y ACCESORIOS RDE 21 Ø DIAMETRO  1 1/4"</v>
      </c>
      <c r="L555" s="9" t="str">
        <v>ML</v>
      </c>
      <c r="M555" s="9">
        <v>61</v>
      </c>
      <c r="N555" s="9">
        <v>14173</v>
      </c>
      <c r="O555" s="124" t="str">
        <f t="shared" si="83"/>
        <v>FASE II</v>
      </c>
      <c r="P555" s="155">
        <f t="shared" si="78"/>
        <v>226.6</v>
      </c>
      <c r="Q555" s="156">
        <f t="shared" si="81"/>
        <v>14914</v>
      </c>
      <c r="R555" s="156">
        <f t="shared" si="82"/>
        <v>3379512.4</v>
      </c>
    </row>
    <row r="556" spans="2:18" s="9" customFormat="1" ht="35.1" customHeight="1" x14ac:dyDescent="0.25">
      <c r="B556" s="23" t="s">
        <v>766</v>
      </c>
      <c r="C556" s="22" t="s">
        <v>767</v>
      </c>
      <c r="D556" s="10" t="s">
        <v>94</v>
      </c>
      <c r="E556" s="12">
        <v>28.799999999999997</v>
      </c>
      <c r="F556" s="126">
        <v>10599</v>
      </c>
      <c r="G556" s="126">
        <f t="shared" si="86"/>
        <v>305251.20000000001</v>
      </c>
      <c r="H556" s="8"/>
      <c r="I556" s="8">
        <f t="shared" si="79"/>
        <v>10869</v>
      </c>
      <c r="J556" s="8">
        <f t="shared" si="80"/>
        <v>313027.19999999995</v>
      </c>
      <c r="K556" s="9" t="str">
        <f t="array" ref="K556:N556">_xlfn.XLOOKUP(C556,'Neiva 2022 FASE I ACTUAL (5)'!$C$6:$C$540,'Neiva 2022 FASE I ACTUAL (5)'!$C$6:$F$540,"NO ESTA")</f>
        <v>SUMINISTRO E INSTALACION DE AISLAMIENTO TERMICO TUBERIA Y ACCESORIOS RDE 21 Ø DIAMETRO  1"</v>
      </c>
      <c r="L556" s="9" t="str">
        <v>ML</v>
      </c>
      <c r="M556" s="9">
        <v>10</v>
      </c>
      <c r="N556" s="9">
        <v>10329</v>
      </c>
      <c r="O556" s="124" t="str">
        <f t="shared" si="83"/>
        <v>FASE II</v>
      </c>
      <c r="P556" s="155">
        <f t="shared" si="78"/>
        <v>38.799999999999997</v>
      </c>
      <c r="Q556" s="156">
        <f t="shared" si="81"/>
        <v>10869</v>
      </c>
      <c r="R556" s="156">
        <f t="shared" si="82"/>
        <v>421717.2</v>
      </c>
    </row>
    <row r="557" spans="2:18" s="9" customFormat="1" ht="35.1" customHeight="1" x14ac:dyDescent="0.25">
      <c r="B557" s="23" t="s">
        <v>768</v>
      </c>
      <c r="C557" s="22" t="s">
        <v>769</v>
      </c>
      <c r="D557" s="10" t="s">
        <v>94</v>
      </c>
      <c r="E557" s="12">
        <v>32</v>
      </c>
      <c r="F557" s="126">
        <v>9250</v>
      </c>
      <c r="G557" s="126">
        <f t="shared" si="86"/>
        <v>296000</v>
      </c>
      <c r="H557" s="8"/>
      <c r="I557" s="8">
        <f t="shared" si="79"/>
        <v>9486</v>
      </c>
      <c r="J557" s="8">
        <f t="shared" si="80"/>
        <v>303552</v>
      </c>
      <c r="K557" s="9" t="str">
        <f t="array" ref="K557:N557">_xlfn.XLOOKUP(C557,'Neiva 2022 FASE I ACTUAL (5)'!$C$6:$C$540,'Neiva 2022 FASE I ACTUAL (5)'!$C$6:$F$540,"NO ESTA")</f>
        <v>SUMINISTRO E INSTALACION DE AISLAMIENTO TERMICO TUBERIA Y ACCESORIOS RDE 21 Ø DIAMETRO  3/4"</v>
      </c>
      <c r="L557" s="9" t="str">
        <v>ML</v>
      </c>
      <c r="M557" s="9">
        <v>12</v>
      </c>
      <c r="N557" s="9">
        <v>9015</v>
      </c>
      <c r="O557" s="124" t="str">
        <f t="shared" si="83"/>
        <v>FASE II</v>
      </c>
      <c r="P557" s="155">
        <f t="shared" si="78"/>
        <v>44</v>
      </c>
      <c r="Q557" s="156">
        <f t="shared" si="81"/>
        <v>9486</v>
      </c>
      <c r="R557" s="156">
        <f t="shared" si="82"/>
        <v>417384</v>
      </c>
    </row>
    <row r="558" spans="2:18" s="9" customFormat="1" ht="35.1" customHeight="1" x14ac:dyDescent="0.25">
      <c r="B558" s="13" t="s">
        <v>770</v>
      </c>
      <c r="C558" s="24" t="s">
        <v>1328</v>
      </c>
      <c r="D558" s="24"/>
      <c r="E558" s="15"/>
      <c r="F558" s="129"/>
      <c r="G558" s="140"/>
      <c r="H558" s="8"/>
      <c r="I558" s="8">
        <f t="shared" si="79"/>
        <v>0</v>
      </c>
      <c r="J558" s="8">
        <f t="shared" si="80"/>
        <v>0</v>
      </c>
      <c r="K558" s="9" t="str">
        <f t="array" ref="K558">_xlfn.XLOOKUP(C558,'Neiva 2022 FASE I ACTUAL (5)'!$C$6:$C$540,'Neiva 2022 FASE I ACTUAL (5)'!$C$6:$F$540,"NO ESTA")</f>
        <v>NO ESTA</v>
      </c>
      <c r="O558" s="124">
        <f t="shared" si="83"/>
        <v>0</v>
      </c>
      <c r="P558" s="155">
        <f t="shared" si="78"/>
        <v>0</v>
      </c>
      <c r="Q558" s="156">
        <f t="shared" si="81"/>
        <v>0</v>
      </c>
      <c r="R558" s="156">
        <f t="shared" si="82"/>
        <v>0</v>
      </c>
    </row>
    <row r="559" spans="2:18" s="9" customFormat="1" ht="35.1" customHeight="1" x14ac:dyDescent="0.25">
      <c r="B559" s="23" t="s">
        <v>772</v>
      </c>
      <c r="C559" s="22" t="s">
        <v>773</v>
      </c>
      <c r="D559" s="10" t="s">
        <v>16</v>
      </c>
      <c r="E559" s="12">
        <v>3</v>
      </c>
      <c r="F559" s="126">
        <v>288532</v>
      </c>
      <c r="G559" s="126">
        <f t="shared" ref="G559:G595" si="87">ROUND(+F559*E559,2)</f>
        <v>865596</v>
      </c>
      <c r="H559" s="8"/>
      <c r="I559" s="8">
        <f t="shared" si="79"/>
        <v>295890</v>
      </c>
      <c r="J559" s="8">
        <f t="shared" si="80"/>
        <v>887670</v>
      </c>
      <c r="K559" s="9" t="str">
        <f t="array" ref="K559:N559">_xlfn.XLOOKUP(C559,'Neiva 2022 FASE I ACTUAL (5)'!$C$6:$C$540,'Neiva 2022 FASE I ACTUAL (5)'!$C$6:$F$540,"NO ESTA")</f>
        <v>SUMINISTRO E INSTALACION MANOMETROS 4", INCLUYE GRIFOS DE PRUEBA Y ACCESORIOS</v>
      </c>
      <c r="L559" s="9" t="str">
        <v>UND</v>
      </c>
      <c r="M559" s="9">
        <v>1</v>
      </c>
      <c r="N559" s="9">
        <v>281188</v>
      </c>
      <c r="O559" s="124" t="str">
        <f t="shared" si="83"/>
        <v>FASE II</v>
      </c>
      <c r="P559" s="155">
        <f t="shared" si="78"/>
        <v>4</v>
      </c>
      <c r="Q559" s="156">
        <f t="shared" si="81"/>
        <v>295890</v>
      </c>
      <c r="R559" s="156">
        <f t="shared" si="82"/>
        <v>1183560</v>
      </c>
    </row>
    <row r="560" spans="2:18" s="9" customFormat="1" ht="35.1" customHeight="1" x14ac:dyDescent="0.25">
      <c r="B560" s="23" t="s">
        <v>774</v>
      </c>
      <c r="C560" s="22" t="s">
        <v>775</v>
      </c>
      <c r="D560" s="10" t="s">
        <v>16</v>
      </c>
      <c r="E560" s="12">
        <v>3</v>
      </c>
      <c r="F560" s="126">
        <v>555192</v>
      </c>
      <c r="G560" s="126">
        <f t="shared" si="87"/>
        <v>1665576</v>
      </c>
      <c r="H560" s="8"/>
      <c r="I560" s="8">
        <f t="shared" si="79"/>
        <v>569349</v>
      </c>
      <c r="J560" s="8">
        <f t="shared" si="80"/>
        <v>1708047</v>
      </c>
      <c r="K560" s="9" t="str">
        <f t="array" ref="K560:N560">_xlfn.XLOOKUP(C560,'Neiva 2022 FASE I ACTUAL (5)'!$C$6:$C$540,'Neiva 2022 FASE I ACTUAL (5)'!$C$6:$F$540,"NO ESTA")</f>
        <v>SUMINISTRO E INSTALACION TERMOMETROS 0-100F DE COLUMNA 7"</v>
      </c>
      <c r="L560" s="9" t="str">
        <v>UND</v>
      </c>
      <c r="M560" s="9">
        <v>1</v>
      </c>
      <c r="N560" s="9">
        <v>541061</v>
      </c>
      <c r="O560" s="124" t="str">
        <f t="shared" si="83"/>
        <v>FASE II</v>
      </c>
      <c r="P560" s="155">
        <f t="shared" si="78"/>
        <v>4</v>
      </c>
      <c r="Q560" s="156">
        <f t="shared" si="81"/>
        <v>569349</v>
      </c>
      <c r="R560" s="156">
        <f t="shared" si="82"/>
        <v>2277396</v>
      </c>
    </row>
    <row r="561" spans="2:18" s="9" customFormat="1" ht="35.1" customHeight="1" x14ac:dyDescent="0.25">
      <c r="B561" s="23" t="s">
        <v>776</v>
      </c>
      <c r="C561" s="22" t="s">
        <v>777</v>
      </c>
      <c r="D561" s="10" t="s">
        <v>16</v>
      </c>
      <c r="E561" s="12">
        <v>3</v>
      </c>
      <c r="F561" s="126">
        <v>195476</v>
      </c>
      <c r="G561" s="126">
        <f t="shared" si="87"/>
        <v>586428</v>
      </c>
      <c r="H561" s="8"/>
      <c r="I561" s="8">
        <f t="shared" si="79"/>
        <v>200461</v>
      </c>
      <c r="J561" s="8">
        <f t="shared" si="80"/>
        <v>601383</v>
      </c>
      <c r="K561" s="9" t="str">
        <f t="array" ref="K561:N561">_xlfn.XLOOKUP(C561,'Neiva 2022 FASE I ACTUAL (5)'!$C$6:$C$540,'Neiva 2022 FASE I ACTUAL (5)'!$C$6:$F$540,"NO ESTA")</f>
        <v>SUMINISTRO E INSTALACION ELIMINADORES DE AIRE</v>
      </c>
      <c r="L561" s="9" t="str">
        <v>UND</v>
      </c>
      <c r="M561" s="9">
        <v>1</v>
      </c>
      <c r="N561" s="9">
        <v>190501</v>
      </c>
      <c r="O561" s="124" t="str">
        <f t="shared" si="83"/>
        <v>FASE II</v>
      </c>
      <c r="P561" s="155">
        <f t="shared" si="78"/>
        <v>4</v>
      </c>
      <c r="Q561" s="156">
        <f t="shared" si="81"/>
        <v>200461</v>
      </c>
      <c r="R561" s="156">
        <f t="shared" si="82"/>
        <v>801844</v>
      </c>
    </row>
    <row r="562" spans="2:18" s="9" customFormat="1" ht="35.1" customHeight="1" x14ac:dyDescent="0.25">
      <c r="B562" s="23" t="s">
        <v>778</v>
      </c>
      <c r="C562" s="22" t="s">
        <v>779</v>
      </c>
      <c r="D562" s="10" t="s">
        <v>16</v>
      </c>
      <c r="E562" s="12">
        <v>1</v>
      </c>
      <c r="F562" s="126">
        <v>452416</v>
      </c>
      <c r="G562" s="126">
        <f t="shared" si="87"/>
        <v>452416</v>
      </c>
      <c r="H562" s="8"/>
      <c r="I562" s="8">
        <f t="shared" si="79"/>
        <v>463953</v>
      </c>
      <c r="J562" s="8">
        <f t="shared" si="80"/>
        <v>463953</v>
      </c>
      <c r="K562" s="9" t="str">
        <f t="array" ref="K562:N562">_xlfn.XLOOKUP(C562,'Neiva 2022 FASE I ACTUAL (5)'!$C$6:$C$540,'Neiva 2022 FASE I ACTUAL (5)'!$C$6:$F$540,"NO ESTA")</f>
        <v xml:space="preserve">SUMINISTRO E INSTALACION TANQUE DE EXPANSIÓN PVC CON VALVULA DE NIVEL </v>
      </c>
      <c r="L562" s="9" t="str">
        <v>UND</v>
      </c>
      <c r="M562" s="9">
        <v>1</v>
      </c>
      <c r="N562" s="9">
        <v>440902</v>
      </c>
      <c r="O562" s="124" t="str">
        <f t="shared" si="83"/>
        <v>FASE II</v>
      </c>
      <c r="P562" s="155">
        <f t="shared" si="78"/>
        <v>2</v>
      </c>
      <c r="Q562" s="156">
        <f t="shared" si="81"/>
        <v>463953</v>
      </c>
      <c r="R562" s="156">
        <f t="shared" si="82"/>
        <v>927906</v>
      </c>
    </row>
    <row r="563" spans="2:18" s="9" customFormat="1" ht="35.1" customHeight="1" x14ac:dyDescent="0.25">
      <c r="B563" s="23" t="s">
        <v>780</v>
      </c>
      <c r="C563" s="22" t="s">
        <v>781</v>
      </c>
      <c r="D563" s="10" t="s">
        <v>16</v>
      </c>
      <c r="E563" s="12">
        <v>3</v>
      </c>
      <c r="F563" s="126">
        <v>2334368</v>
      </c>
      <c r="G563" s="126">
        <f t="shared" si="87"/>
        <v>7003104</v>
      </c>
      <c r="H563" s="8"/>
      <c r="I563" s="8">
        <f t="shared" si="79"/>
        <v>2393894</v>
      </c>
      <c r="J563" s="8">
        <f t="shared" si="80"/>
        <v>7181682</v>
      </c>
      <c r="K563" s="9" t="str">
        <f t="array" ref="K563:N563">_xlfn.XLOOKUP(C563,'Neiva 2022 FASE I ACTUAL (5)'!$C$6:$C$540,'Neiva 2022 FASE I ACTUAL (5)'!$C$6:$F$540,"NO ESTA")</f>
        <v>SUMINISTRO E INSTALACION VALVULAS MARIPOSA DE 4" SUCCIÓN DE BOMBA</v>
      </c>
      <c r="L563" s="9" t="str">
        <v>UND</v>
      </c>
      <c r="M563" s="9">
        <v>1</v>
      </c>
      <c r="N563" s="9">
        <v>2274950</v>
      </c>
      <c r="O563" s="124" t="str">
        <f t="shared" si="83"/>
        <v>FASE II</v>
      </c>
      <c r="P563" s="155">
        <f t="shared" si="78"/>
        <v>4</v>
      </c>
      <c r="Q563" s="156">
        <f t="shared" si="81"/>
        <v>2393894</v>
      </c>
      <c r="R563" s="156">
        <f t="shared" si="82"/>
        <v>9575576</v>
      </c>
    </row>
    <row r="564" spans="2:18" s="9" customFormat="1" ht="35.1" customHeight="1" x14ac:dyDescent="0.25">
      <c r="B564" s="23" t="s">
        <v>782</v>
      </c>
      <c r="C564" s="22" t="s">
        <v>783</v>
      </c>
      <c r="D564" s="10" t="s">
        <v>16</v>
      </c>
      <c r="E564" s="12">
        <v>3</v>
      </c>
      <c r="F564" s="126">
        <v>2334368</v>
      </c>
      <c r="G564" s="126">
        <f t="shared" si="87"/>
        <v>7003104</v>
      </c>
      <c r="H564" s="8"/>
      <c r="I564" s="8">
        <f t="shared" si="79"/>
        <v>2393894</v>
      </c>
      <c r="J564" s="8">
        <f t="shared" si="80"/>
        <v>7181682</v>
      </c>
      <c r="K564" s="9" t="str">
        <f t="array" ref="K564:N564">_xlfn.XLOOKUP(C564,'Neiva 2022 FASE I ACTUAL (5)'!$C$6:$C$540,'Neiva 2022 FASE I ACTUAL (5)'!$C$6:$F$540,"NO ESTA")</f>
        <v>SUMINISTRO E INSTALACION VALVULAS MARIPOSA DE 4" DESCARGA DE BOMBA</v>
      </c>
      <c r="L564" s="9" t="str">
        <v>UND</v>
      </c>
      <c r="M564" s="9">
        <v>1</v>
      </c>
      <c r="N564" s="9">
        <v>2274950</v>
      </c>
      <c r="O564" s="124" t="str">
        <f t="shared" si="83"/>
        <v>FASE II</v>
      </c>
      <c r="P564" s="155">
        <f t="shared" si="78"/>
        <v>4</v>
      </c>
      <c r="Q564" s="156">
        <f t="shared" si="81"/>
        <v>2393894</v>
      </c>
      <c r="R564" s="156">
        <f t="shared" si="82"/>
        <v>9575576</v>
      </c>
    </row>
    <row r="565" spans="2:18" s="9" customFormat="1" ht="35.1" customHeight="1" x14ac:dyDescent="0.25">
      <c r="B565" s="23" t="s">
        <v>784</v>
      </c>
      <c r="C565" s="22" t="s">
        <v>785</v>
      </c>
      <c r="D565" s="10" t="s">
        <v>16</v>
      </c>
      <c r="E565" s="12">
        <v>1</v>
      </c>
      <c r="F565" s="126">
        <v>1233385</v>
      </c>
      <c r="G565" s="126">
        <f t="shared" si="87"/>
        <v>1233385</v>
      </c>
      <c r="H565" s="8"/>
      <c r="I565" s="8">
        <f t="shared" si="79"/>
        <v>1264836</v>
      </c>
      <c r="J565" s="8">
        <f t="shared" si="80"/>
        <v>1264836</v>
      </c>
      <c r="K565" s="9" t="str">
        <f t="array" ref="K565:N565">_xlfn.XLOOKUP(C565,'Neiva 2022 FASE I ACTUAL (5)'!$C$6:$C$540,'Neiva 2022 FASE I ACTUAL (5)'!$C$6:$F$540,"NO ESTA")</f>
        <v>SUMINISTRO E INSTALACION VALVULA TRIPLE - FLOTREX</v>
      </c>
      <c r="L565" s="9" t="str">
        <v>UND</v>
      </c>
      <c r="M565" s="9">
        <v>1</v>
      </c>
      <c r="N565" s="9">
        <v>1201991</v>
      </c>
      <c r="O565" s="124" t="str">
        <f t="shared" si="83"/>
        <v>FASE II</v>
      </c>
      <c r="P565" s="155">
        <f t="shared" si="78"/>
        <v>2</v>
      </c>
      <c r="Q565" s="156">
        <f t="shared" si="81"/>
        <v>1264836</v>
      </c>
      <c r="R565" s="156">
        <f t="shared" si="82"/>
        <v>2529672</v>
      </c>
    </row>
    <row r="566" spans="2:18" s="9" customFormat="1" ht="35.1" customHeight="1" x14ac:dyDescent="0.25">
      <c r="B566" s="23" t="s">
        <v>786</v>
      </c>
      <c r="C566" s="22" t="s">
        <v>787</v>
      </c>
      <c r="D566" s="10" t="s">
        <v>16</v>
      </c>
      <c r="E566" s="12">
        <v>0</v>
      </c>
      <c r="F566" s="126">
        <v>363171</v>
      </c>
      <c r="G566" s="141">
        <f t="shared" si="87"/>
        <v>0</v>
      </c>
      <c r="H566" s="8"/>
      <c r="I566" s="8">
        <f t="shared" si="79"/>
        <v>372432</v>
      </c>
      <c r="J566" s="8">
        <f t="shared" si="80"/>
        <v>0</v>
      </c>
      <c r="K566" s="9" t="str">
        <f t="array" ref="K566:N566">_xlfn.XLOOKUP(C566,'Neiva 2022 FASE I ACTUAL (5)'!$C$6:$C$540,'Neiva 2022 FASE I ACTUAL (5)'!$C$6:$F$540,"NO ESTA")</f>
        <v>SUMINISTRO E INSTALACION VALVULA CORTINA 3" 125PSI - PISO 3</v>
      </c>
      <c r="L566" s="9" t="str">
        <v>UND</v>
      </c>
      <c r="M566" s="9">
        <v>1</v>
      </c>
      <c r="N566" s="9">
        <v>353927</v>
      </c>
      <c r="O566" s="124" t="str">
        <f t="shared" si="83"/>
        <v>FASE II</v>
      </c>
      <c r="P566" s="155">
        <f t="shared" si="78"/>
        <v>1</v>
      </c>
      <c r="Q566" s="156">
        <f t="shared" si="81"/>
        <v>372432</v>
      </c>
      <c r="R566" s="156">
        <f t="shared" si="82"/>
        <v>372432</v>
      </c>
    </row>
    <row r="567" spans="2:18" s="9" customFormat="1" ht="35.1" customHeight="1" x14ac:dyDescent="0.25">
      <c r="B567" s="23" t="s">
        <v>788</v>
      </c>
      <c r="C567" s="22" t="s">
        <v>789</v>
      </c>
      <c r="D567" s="10" t="s">
        <v>16</v>
      </c>
      <c r="E567" s="12">
        <v>0</v>
      </c>
      <c r="F567" s="126">
        <v>507699</v>
      </c>
      <c r="G567" s="141">
        <f t="shared" si="87"/>
        <v>0</v>
      </c>
      <c r="H567" s="8"/>
      <c r="I567" s="8">
        <f t="shared" si="79"/>
        <v>520645</v>
      </c>
      <c r="J567" s="8">
        <f t="shared" si="80"/>
        <v>0</v>
      </c>
      <c r="K567" s="9" t="str">
        <f t="array" ref="K567:N567">_xlfn.XLOOKUP(C567,'Neiva 2022 FASE I ACTUAL (5)'!$C$6:$C$540,'Neiva 2022 FASE I ACTUAL (5)'!$C$6:$F$540,"NO ESTA")</f>
        <v>SUMINISTRO E INSTALACION VALVULA GLOBO 3" 125PSI - PISO 3</v>
      </c>
      <c r="L567" s="9" t="str">
        <v>UND</v>
      </c>
      <c r="M567" s="9">
        <v>1</v>
      </c>
      <c r="N567" s="9">
        <v>494776</v>
      </c>
      <c r="O567" s="124" t="str">
        <f t="shared" si="83"/>
        <v>FASE II</v>
      </c>
      <c r="P567" s="155">
        <f t="shared" si="78"/>
        <v>1</v>
      </c>
      <c r="Q567" s="156">
        <f t="shared" si="81"/>
        <v>520645</v>
      </c>
      <c r="R567" s="156">
        <f t="shared" si="82"/>
        <v>520645</v>
      </c>
    </row>
    <row r="568" spans="2:18" s="9" customFormat="1" ht="35.1" customHeight="1" x14ac:dyDescent="0.25">
      <c r="B568" s="23" t="s">
        <v>790</v>
      </c>
      <c r="C568" s="22" t="s">
        <v>791</v>
      </c>
      <c r="D568" s="10" t="s">
        <v>16</v>
      </c>
      <c r="E568" s="12">
        <v>5</v>
      </c>
      <c r="F568" s="126">
        <v>322703</v>
      </c>
      <c r="G568" s="126">
        <f t="shared" si="87"/>
        <v>1613515</v>
      </c>
      <c r="H568" s="8"/>
      <c r="I568" s="8">
        <f t="shared" si="79"/>
        <v>330932</v>
      </c>
      <c r="J568" s="8">
        <f t="shared" si="80"/>
        <v>1654660</v>
      </c>
      <c r="K568" s="9" t="str">
        <f t="array" ref="K568:N568">_xlfn.XLOOKUP(C568,'Neiva 2022 FASE I ACTUAL (5)'!$C$6:$C$540,'Neiva 2022 FASE I ACTUAL (5)'!$C$6:$F$540,"NO ESTA")</f>
        <v>SUMINISTRO E INSTALACION VALVULAS CORTINA 2 1/2" 125PSI - PISOS 2,3,4</v>
      </c>
      <c r="L568" s="9" t="str">
        <v>UND</v>
      </c>
      <c r="M568" s="9">
        <v>2</v>
      </c>
      <c r="N568" s="9">
        <v>314488</v>
      </c>
      <c r="O568" s="124" t="str">
        <f t="shared" si="83"/>
        <v>FASE II</v>
      </c>
      <c r="P568" s="155">
        <f t="shared" si="78"/>
        <v>7</v>
      </c>
      <c r="Q568" s="156">
        <f t="shared" si="81"/>
        <v>330932</v>
      </c>
      <c r="R568" s="156">
        <f t="shared" si="82"/>
        <v>2316524</v>
      </c>
    </row>
    <row r="569" spans="2:18" s="9" customFormat="1" ht="35.1" customHeight="1" x14ac:dyDescent="0.25">
      <c r="B569" s="23" t="s">
        <v>792</v>
      </c>
      <c r="C569" s="22" t="s">
        <v>793</v>
      </c>
      <c r="D569" s="10" t="s">
        <v>16</v>
      </c>
      <c r="E569" s="12">
        <v>5</v>
      </c>
      <c r="F569" s="126">
        <v>455284</v>
      </c>
      <c r="G569" s="126">
        <f t="shared" si="87"/>
        <v>2276420</v>
      </c>
      <c r="H569" s="8"/>
      <c r="I569" s="8">
        <f t="shared" si="79"/>
        <v>466894</v>
      </c>
      <c r="J569" s="8">
        <f t="shared" si="80"/>
        <v>2334470</v>
      </c>
      <c r="K569" s="9" t="str">
        <f t="array" ref="K569:N569">_xlfn.XLOOKUP(C569,'Neiva 2022 FASE I ACTUAL (5)'!$C$6:$C$540,'Neiva 2022 FASE I ACTUAL (5)'!$C$6:$F$540,"NO ESTA")</f>
        <v>SUMINISTRO E INSTALACION VALVULAS GLOBO 2 1/2" 125PSI - PISOS 2,3,4</v>
      </c>
      <c r="L569" s="9" t="str">
        <v>UND</v>
      </c>
      <c r="M569" s="9">
        <v>2</v>
      </c>
      <c r="N569" s="9">
        <v>443695</v>
      </c>
      <c r="O569" s="124" t="str">
        <f t="shared" si="83"/>
        <v>FASE II</v>
      </c>
      <c r="P569" s="155">
        <f t="shared" si="78"/>
        <v>7</v>
      </c>
      <c r="Q569" s="156">
        <f t="shared" si="81"/>
        <v>466894</v>
      </c>
      <c r="R569" s="156">
        <f t="shared" si="82"/>
        <v>3268258</v>
      </c>
    </row>
    <row r="570" spans="2:18" s="9" customFormat="1" ht="35.1" customHeight="1" x14ac:dyDescent="0.25">
      <c r="B570" s="23" t="s">
        <v>794</v>
      </c>
      <c r="C570" s="22" t="s">
        <v>795</v>
      </c>
      <c r="D570" s="10" t="s">
        <v>16</v>
      </c>
      <c r="E570" s="12">
        <v>1</v>
      </c>
      <c r="F570" s="126">
        <v>238683</v>
      </c>
      <c r="G570" s="126">
        <f t="shared" si="87"/>
        <v>238683</v>
      </c>
      <c r="H570" s="8"/>
      <c r="I570" s="8">
        <f t="shared" si="79"/>
        <v>244769</v>
      </c>
      <c r="J570" s="8">
        <f t="shared" si="80"/>
        <v>244769</v>
      </c>
      <c r="K570" s="9" t="str">
        <f t="array" ref="K570:N570">_xlfn.XLOOKUP(C570,'Neiva 2022 FASE I ACTUAL (5)'!$C$6:$C$540,'Neiva 2022 FASE I ACTUAL (5)'!$C$6:$F$540,"NO ESTA")</f>
        <v>SUMINISTRO E INSTALACION VALVULAS CORTINA 2" 125PSI - PISO 1,4</v>
      </c>
      <c r="L570" s="9" t="str">
        <v>UND</v>
      </c>
      <c r="M570" s="9">
        <v>1</v>
      </c>
      <c r="N570" s="9">
        <v>232608</v>
      </c>
      <c r="O570" s="124" t="str">
        <f t="shared" si="83"/>
        <v>FASE II</v>
      </c>
      <c r="P570" s="155">
        <f t="shared" si="78"/>
        <v>2</v>
      </c>
      <c r="Q570" s="156">
        <f t="shared" si="81"/>
        <v>244769</v>
      </c>
      <c r="R570" s="156">
        <f t="shared" si="82"/>
        <v>489538</v>
      </c>
    </row>
    <row r="571" spans="2:18" s="9" customFormat="1" ht="35.1" customHeight="1" x14ac:dyDescent="0.25">
      <c r="B571" s="23" t="s">
        <v>796</v>
      </c>
      <c r="C571" s="22" t="s">
        <v>797</v>
      </c>
      <c r="D571" s="10" t="s">
        <v>16</v>
      </c>
      <c r="E571" s="12">
        <v>1</v>
      </c>
      <c r="F571" s="126">
        <v>260152</v>
      </c>
      <c r="G571" s="126">
        <f t="shared" si="87"/>
        <v>260152</v>
      </c>
      <c r="H571" s="8"/>
      <c r="I571" s="8">
        <f t="shared" si="79"/>
        <v>266786</v>
      </c>
      <c r="J571" s="8">
        <f t="shared" si="80"/>
        <v>266786</v>
      </c>
      <c r="K571" s="9" t="str">
        <f t="array" ref="K571:N571">_xlfn.XLOOKUP(C571,'Neiva 2022 FASE I ACTUAL (5)'!$C$6:$C$540,'Neiva 2022 FASE I ACTUAL (5)'!$C$6:$F$540,"NO ESTA")</f>
        <v>SUMINISTRO E INSTALACION VALVULAS GLOBO 2" 125PSI - PISO 1,4</v>
      </c>
      <c r="L571" s="9" t="str">
        <v>UND</v>
      </c>
      <c r="M571" s="9">
        <v>1</v>
      </c>
      <c r="N571" s="9">
        <v>253530</v>
      </c>
      <c r="O571" s="124" t="str">
        <f t="shared" si="83"/>
        <v>FASE II</v>
      </c>
      <c r="P571" s="155">
        <f t="shared" si="78"/>
        <v>2</v>
      </c>
      <c r="Q571" s="156">
        <f t="shared" si="81"/>
        <v>266786</v>
      </c>
      <c r="R571" s="156">
        <f t="shared" si="82"/>
        <v>533572</v>
      </c>
    </row>
    <row r="572" spans="2:18" s="9" customFormat="1" ht="35.1" customHeight="1" x14ac:dyDescent="0.25">
      <c r="B572" s="23" t="s">
        <v>1329</v>
      </c>
      <c r="C572" s="22" t="s">
        <v>1330</v>
      </c>
      <c r="D572" s="10" t="s">
        <v>16</v>
      </c>
      <c r="E572" s="12">
        <v>2</v>
      </c>
      <c r="F572" s="126">
        <v>125501</v>
      </c>
      <c r="G572" s="126">
        <f t="shared" si="87"/>
        <v>251002</v>
      </c>
      <c r="H572" s="8"/>
      <c r="I572" s="8">
        <f t="shared" si="79"/>
        <v>128701</v>
      </c>
      <c r="J572" s="8">
        <f t="shared" si="80"/>
        <v>257402</v>
      </c>
      <c r="K572" s="9" t="str">
        <f t="array" ref="K572">_xlfn.XLOOKUP(C572,'Neiva 2022 FASE I ACTUAL (5)'!$C$6:$C$540,'Neiva 2022 FASE I ACTUAL (5)'!$C$6:$F$540,"NO ESTA")</f>
        <v>NO ESTA</v>
      </c>
      <c r="O572" s="124">
        <f t="shared" si="83"/>
        <v>0</v>
      </c>
      <c r="P572" s="155">
        <f t="shared" si="78"/>
        <v>2</v>
      </c>
      <c r="Q572" s="156">
        <f t="shared" si="81"/>
        <v>128701</v>
      </c>
      <c r="R572" s="156">
        <f t="shared" si="82"/>
        <v>257402</v>
      </c>
    </row>
    <row r="573" spans="2:18" s="9" customFormat="1" ht="35.1" customHeight="1" x14ac:dyDescent="0.25">
      <c r="B573" s="23" t="s">
        <v>1331</v>
      </c>
      <c r="C573" s="22" t="s">
        <v>1332</v>
      </c>
      <c r="D573" s="10" t="s">
        <v>16</v>
      </c>
      <c r="E573" s="12">
        <v>2</v>
      </c>
      <c r="F573" s="126">
        <v>160830</v>
      </c>
      <c r="G573" s="126">
        <f t="shared" si="87"/>
        <v>321660</v>
      </c>
      <c r="H573" s="8"/>
      <c r="I573" s="8">
        <f t="shared" si="79"/>
        <v>164931</v>
      </c>
      <c r="J573" s="8">
        <f t="shared" si="80"/>
        <v>329862</v>
      </c>
      <c r="K573" s="9" t="str">
        <f t="array" ref="K573">_xlfn.XLOOKUP(C573,'Neiva 2022 FASE I ACTUAL (5)'!$C$6:$C$540,'Neiva 2022 FASE I ACTUAL (5)'!$C$6:$F$540,"NO ESTA")</f>
        <v>NO ESTA</v>
      </c>
      <c r="O573" s="124">
        <f t="shared" si="83"/>
        <v>0</v>
      </c>
      <c r="P573" s="155">
        <f t="shared" si="78"/>
        <v>2</v>
      </c>
      <c r="Q573" s="156">
        <f t="shared" si="81"/>
        <v>164931</v>
      </c>
      <c r="R573" s="156">
        <f t="shared" si="82"/>
        <v>329862</v>
      </c>
    </row>
    <row r="574" spans="2:18" s="9" customFormat="1" ht="35.1" customHeight="1" x14ac:dyDescent="0.25">
      <c r="B574" s="23" t="s">
        <v>798</v>
      </c>
      <c r="C574" s="22" t="s">
        <v>799</v>
      </c>
      <c r="D574" s="10" t="s">
        <v>16</v>
      </c>
      <c r="E574" s="12">
        <v>1</v>
      </c>
      <c r="F574" s="126">
        <v>584781</v>
      </c>
      <c r="G574" s="126">
        <f t="shared" si="87"/>
        <v>584781</v>
      </c>
      <c r="H574" s="8"/>
      <c r="I574" s="8">
        <f t="shared" si="79"/>
        <v>599693</v>
      </c>
      <c r="J574" s="8">
        <f t="shared" si="80"/>
        <v>599693</v>
      </c>
      <c r="K574" s="9" t="str">
        <f t="array" ref="K574:N574">_xlfn.XLOOKUP(C574,'Neiva 2022 FASE I ACTUAL (5)'!$C$6:$C$540,'Neiva 2022 FASE I ACTUAL (5)'!$C$6:$F$540,"NO ESTA")</f>
        <v>SUMINISTRO E INSTALACION FILTRO / STRAINER incluye SOPORTERIA</v>
      </c>
      <c r="L574" s="9" t="str">
        <v>UND</v>
      </c>
      <c r="M574" s="9">
        <v>1</v>
      </c>
      <c r="N574" s="9">
        <v>569896</v>
      </c>
      <c r="O574" s="124" t="str">
        <f t="shared" si="83"/>
        <v>FASE II</v>
      </c>
      <c r="P574" s="155">
        <f t="shared" si="78"/>
        <v>2</v>
      </c>
      <c r="Q574" s="156">
        <f t="shared" si="81"/>
        <v>599693</v>
      </c>
      <c r="R574" s="156">
        <f t="shared" si="82"/>
        <v>1199386</v>
      </c>
    </row>
    <row r="575" spans="2:18" s="9" customFormat="1" ht="35.1" customHeight="1" x14ac:dyDescent="0.25">
      <c r="B575" s="23" t="s">
        <v>800</v>
      </c>
      <c r="C575" s="22" t="s">
        <v>801</v>
      </c>
      <c r="D575" s="10" t="s">
        <v>16</v>
      </c>
      <c r="E575" s="12">
        <v>1</v>
      </c>
      <c r="F575" s="126">
        <v>3213217</v>
      </c>
      <c r="G575" s="126">
        <f t="shared" si="87"/>
        <v>3213217</v>
      </c>
      <c r="H575" s="8"/>
      <c r="I575" s="8">
        <f t="shared" si="79"/>
        <v>3295154</v>
      </c>
      <c r="J575" s="8">
        <f t="shared" si="80"/>
        <v>3295154</v>
      </c>
      <c r="K575" s="9" t="str">
        <f t="array" ref="K575:N575">_xlfn.XLOOKUP(C575,'Neiva 2022 FASE I ACTUAL (5)'!$C$6:$C$540,'Neiva 2022 FASE I ACTUAL (5)'!$C$6:$F$540,"NO ESTA")</f>
        <v>SUMINISTRO E INSTALACION FLANCHES, CABEZALES Y ACCESORIOS VARIOS ASOCIADOS</v>
      </c>
      <c r="L575" s="9" t="str">
        <v>UND</v>
      </c>
      <c r="M575" s="9">
        <v>1</v>
      </c>
      <c r="N575" s="9">
        <v>3131428</v>
      </c>
      <c r="O575" s="124" t="str">
        <f t="shared" si="83"/>
        <v>FASE II</v>
      </c>
      <c r="P575" s="155">
        <f t="shared" si="78"/>
        <v>2</v>
      </c>
      <c r="Q575" s="156">
        <f t="shared" si="81"/>
        <v>3295154</v>
      </c>
      <c r="R575" s="156">
        <f t="shared" si="82"/>
        <v>6590308</v>
      </c>
    </row>
    <row r="576" spans="2:18" s="9" customFormat="1" ht="35.1" customHeight="1" x14ac:dyDescent="0.25">
      <c r="B576" s="23" t="s">
        <v>802</v>
      </c>
      <c r="C576" s="22" t="s">
        <v>803</v>
      </c>
      <c r="D576" s="10" t="s">
        <v>16</v>
      </c>
      <c r="E576" s="12">
        <v>2</v>
      </c>
      <c r="F576" s="126">
        <v>1006067</v>
      </c>
      <c r="G576" s="126">
        <f t="shared" si="87"/>
        <v>2012134</v>
      </c>
      <c r="H576" s="8"/>
      <c r="I576" s="8">
        <f t="shared" si="79"/>
        <v>1031722</v>
      </c>
      <c r="J576" s="8">
        <f t="shared" si="80"/>
        <v>2063444</v>
      </c>
      <c r="K576" s="9" t="str">
        <f t="array" ref="K576:N576">_xlfn.XLOOKUP(C576,'Neiva 2022 FASE I ACTUAL (5)'!$C$6:$C$540,'Neiva 2022 FASE I ACTUAL (5)'!$C$6:$F$540,"NO ESTA")</f>
        <v>SUMINISTRO E INSTALACION JUNTAS FLEXIBLES CHILLER 4"</v>
      </c>
      <c r="L576" s="9" t="str">
        <v>UND</v>
      </c>
      <c r="M576" s="9">
        <v>2</v>
      </c>
      <c r="N576" s="9">
        <v>980458</v>
      </c>
      <c r="O576" s="124" t="str">
        <f t="shared" si="83"/>
        <v>FASE II</v>
      </c>
      <c r="P576" s="155">
        <f t="shared" si="78"/>
        <v>4</v>
      </c>
      <c r="Q576" s="156">
        <f t="shared" si="81"/>
        <v>1031722</v>
      </c>
      <c r="R576" s="156">
        <f t="shared" si="82"/>
        <v>4126888</v>
      </c>
    </row>
    <row r="577" spans="2:18" s="9" customFormat="1" ht="35.1" customHeight="1" x14ac:dyDescent="0.25">
      <c r="B577" s="23" t="s">
        <v>804</v>
      </c>
      <c r="C577" s="22" t="s">
        <v>805</v>
      </c>
      <c r="D577" s="10" t="s">
        <v>16</v>
      </c>
      <c r="E577" s="12">
        <v>2</v>
      </c>
      <c r="F577" s="126">
        <v>960934</v>
      </c>
      <c r="G577" s="126">
        <f t="shared" si="87"/>
        <v>1921868</v>
      </c>
      <c r="H577" s="8"/>
      <c r="I577" s="8">
        <f t="shared" si="79"/>
        <v>985438</v>
      </c>
      <c r="J577" s="8">
        <f t="shared" si="80"/>
        <v>1970876</v>
      </c>
      <c r="K577" s="9" t="str">
        <f t="array" ref="K577:N577">_xlfn.XLOOKUP(C577,'Neiva 2022 FASE I ACTUAL (5)'!$C$6:$C$540,'Neiva 2022 FASE I ACTUAL (5)'!$C$6:$F$540,"NO ESTA")</f>
        <v>SUMINISTRO E INSTALACION JUNTAS FLEXIBLES BOMBA VERTICAL 3"</v>
      </c>
      <c r="L577" s="9" t="str">
        <v>UND</v>
      </c>
      <c r="M577" s="9">
        <v>2</v>
      </c>
      <c r="N577" s="9">
        <v>936475</v>
      </c>
      <c r="O577" s="124" t="str">
        <f t="shared" si="83"/>
        <v>FASE II</v>
      </c>
      <c r="P577" s="155">
        <f t="shared" si="78"/>
        <v>4</v>
      </c>
      <c r="Q577" s="156">
        <f t="shared" si="81"/>
        <v>985438</v>
      </c>
      <c r="R577" s="156">
        <f t="shared" si="82"/>
        <v>3941752</v>
      </c>
    </row>
    <row r="578" spans="2:18" s="9" customFormat="1" ht="35.1" customHeight="1" x14ac:dyDescent="0.25">
      <c r="B578" s="23" t="s">
        <v>806</v>
      </c>
      <c r="C578" s="22" t="s">
        <v>807</v>
      </c>
      <c r="D578" s="10" t="s">
        <v>16</v>
      </c>
      <c r="E578" s="12">
        <v>0</v>
      </c>
      <c r="F578" s="126">
        <v>254114</v>
      </c>
      <c r="G578" s="126">
        <f t="shared" si="87"/>
        <v>0</v>
      </c>
      <c r="H578" s="8"/>
      <c r="I578" s="8">
        <f t="shared" si="79"/>
        <v>260594</v>
      </c>
      <c r="J578" s="8">
        <f t="shared" si="80"/>
        <v>0</v>
      </c>
      <c r="K578" s="9" t="str">
        <f t="array" ref="K578:N578">_xlfn.XLOOKUP(C578,'Neiva 2022 FASE I ACTUAL (5)'!$C$6:$C$540,'Neiva 2022 FASE I ACTUAL (5)'!$C$6:$F$540,"NO ESTA")</f>
        <v>SUMINISTRO E INSTALACION VALVULA DE CORTINA 2" FC 150 PSI</v>
      </c>
      <c r="L578" s="9" t="str">
        <v>UND</v>
      </c>
      <c r="M578" s="9">
        <v>1</v>
      </c>
      <c r="N578" s="9">
        <v>247647</v>
      </c>
      <c r="O578" s="124" t="str">
        <f t="shared" si="83"/>
        <v>FASE II</v>
      </c>
      <c r="P578" s="155">
        <f t="shared" si="78"/>
        <v>1</v>
      </c>
      <c r="Q578" s="156">
        <f t="shared" si="81"/>
        <v>260594</v>
      </c>
      <c r="R578" s="156">
        <f t="shared" si="82"/>
        <v>260594</v>
      </c>
    </row>
    <row r="579" spans="2:18" s="9" customFormat="1" ht="35.1" customHeight="1" x14ac:dyDescent="0.25">
      <c r="B579" s="23" t="s">
        <v>808</v>
      </c>
      <c r="C579" s="22" t="s">
        <v>809</v>
      </c>
      <c r="D579" s="10" t="s">
        <v>16</v>
      </c>
      <c r="E579" s="12">
        <v>0</v>
      </c>
      <c r="F579" s="126">
        <v>282827</v>
      </c>
      <c r="G579" s="126">
        <f t="shared" si="87"/>
        <v>0</v>
      </c>
      <c r="H579" s="8"/>
      <c r="I579" s="8">
        <f t="shared" si="79"/>
        <v>290039</v>
      </c>
      <c r="J579" s="8">
        <f t="shared" si="80"/>
        <v>0</v>
      </c>
      <c r="K579" s="9" t="str">
        <f t="array" ref="K579:N579">_xlfn.XLOOKUP(C579,'Neiva 2022 FASE I ACTUAL (5)'!$C$6:$C$540,'Neiva 2022 FASE I ACTUAL (5)'!$C$6:$F$540,"NO ESTA")</f>
        <v>SUMINISTRO E INSTALACION VALVULA DE GLOBO 2" FC 150 PSI</v>
      </c>
      <c r="L579" s="9" t="str">
        <v>UND</v>
      </c>
      <c r="M579" s="9">
        <v>1</v>
      </c>
      <c r="N579" s="9">
        <v>275628</v>
      </c>
      <c r="O579" s="124" t="str">
        <f t="shared" si="83"/>
        <v>FASE II</v>
      </c>
      <c r="P579" s="155">
        <f t="shared" si="78"/>
        <v>1</v>
      </c>
      <c r="Q579" s="156">
        <f t="shared" si="81"/>
        <v>290039</v>
      </c>
      <c r="R579" s="156">
        <f t="shared" si="82"/>
        <v>290039</v>
      </c>
    </row>
    <row r="580" spans="2:18" s="9" customFormat="1" ht="35.1" customHeight="1" x14ac:dyDescent="0.25">
      <c r="B580" s="23" t="s">
        <v>810</v>
      </c>
      <c r="C580" s="87" t="s">
        <v>811</v>
      </c>
      <c r="D580" s="10" t="s">
        <v>16</v>
      </c>
      <c r="E580" s="12">
        <v>17</v>
      </c>
      <c r="F580" s="126">
        <v>214747</v>
      </c>
      <c r="G580" s="126">
        <f t="shared" si="87"/>
        <v>3650699</v>
      </c>
      <c r="H580" s="8"/>
      <c r="I580" s="8">
        <f t="shared" si="79"/>
        <v>220223</v>
      </c>
      <c r="J580" s="8">
        <f t="shared" si="80"/>
        <v>3743791</v>
      </c>
      <c r="K580" s="9" t="str">
        <f t="array" ref="K580:N580">_xlfn.XLOOKUP(C580,'Neiva 2022 FASE I ACTUAL (5)'!$C$6:$C$540,'Neiva 2022 FASE I ACTUAL (5)'!$C$6:$F$540,"NO ESTA")</f>
        <v>SUMINISTRO E INSTALACION VALVULAS DE CORTINA 1 1/4" FC 125 PSI</v>
      </c>
      <c r="L580" s="9" t="str">
        <v>UND</v>
      </c>
      <c r="M580" s="9">
        <v>6</v>
      </c>
      <c r="N580" s="9">
        <v>209281</v>
      </c>
      <c r="O580" s="124" t="str">
        <f t="shared" si="83"/>
        <v>FASE II</v>
      </c>
      <c r="P580" s="155">
        <f t="shared" si="78"/>
        <v>23</v>
      </c>
      <c r="Q580" s="156">
        <f t="shared" si="81"/>
        <v>220223</v>
      </c>
      <c r="R580" s="156">
        <f t="shared" si="82"/>
        <v>5065129</v>
      </c>
    </row>
    <row r="581" spans="2:18" s="9" customFormat="1" ht="35.1" customHeight="1" x14ac:dyDescent="0.25">
      <c r="B581" s="23" t="s">
        <v>812</v>
      </c>
      <c r="C581" s="87" t="s">
        <v>813</v>
      </c>
      <c r="D581" s="10" t="s">
        <v>16</v>
      </c>
      <c r="E581" s="12">
        <v>17</v>
      </c>
      <c r="F581" s="126">
        <v>324203</v>
      </c>
      <c r="G581" s="126">
        <f t="shared" si="87"/>
        <v>5511451</v>
      </c>
      <c r="H581" s="8"/>
      <c r="I581" s="8">
        <f t="shared" si="79"/>
        <v>332470</v>
      </c>
      <c r="J581" s="8">
        <f t="shared" si="80"/>
        <v>5651990</v>
      </c>
      <c r="K581" s="9" t="str">
        <f t="array" ref="K581:N581">_xlfn.XLOOKUP(C581,'Neiva 2022 FASE I ACTUAL (5)'!$C$6:$C$540,'Neiva 2022 FASE I ACTUAL (5)'!$C$6:$F$540,"NO ESTA")</f>
        <v>SUMINISTRO E INSTALACION VALVULAS DE GLOBO 1 1/4" FC 125 PSI</v>
      </c>
      <c r="L581" s="9" t="str">
        <v>UND</v>
      </c>
      <c r="M581" s="9">
        <v>6</v>
      </c>
      <c r="N581" s="9">
        <v>315952</v>
      </c>
      <c r="O581" s="124" t="str">
        <f t="shared" si="83"/>
        <v>FASE II</v>
      </c>
      <c r="P581" s="155">
        <f t="shared" si="78"/>
        <v>23</v>
      </c>
      <c r="Q581" s="156">
        <f t="shared" si="81"/>
        <v>332470</v>
      </c>
      <c r="R581" s="156">
        <f t="shared" si="82"/>
        <v>7646810</v>
      </c>
    </row>
    <row r="582" spans="2:18" s="9" customFormat="1" ht="35.1" customHeight="1" x14ac:dyDescent="0.25">
      <c r="B582" s="23" t="s">
        <v>814</v>
      </c>
      <c r="C582" s="87" t="s">
        <v>815</v>
      </c>
      <c r="D582" s="10" t="s">
        <v>16</v>
      </c>
      <c r="E582" s="12">
        <v>1</v>
      </c>
      <c r="F582" s="126">
        <v>234017</v>
      </c>
      <c r="G582" s="126">
        <f t="shared" si="87"/>
        <v>234017</v>
      </c>
      <c r="H582" s="59"/>
      <c r="I582" s="8">
        <f t="shared" si="79"/>
        <v>239984</v>
      </c>
      <c r="J582" s="8">
        <f t="shared" si="80"/>
        <v>239984</v>
      </c>
      <c r="K582" s="9" t="str">
        <f t="array" ref="K582:N582">_xlfn.XLOOKUP(C582,'Neiva 2022 FASE I ACTUAL (5)'!$C$6:$C$540,'Neiva 2022 FASE I ACTUAL (5)'!$C$6:$F$540,"NO ESTA")</f>
        <v>SUMINISTRO E INSTALACION VALVULAS DE CORTINA 1 1/2" FC 125-150 PSI</v>
      </c>
      <c r="L582" s="9" t="str">
        <v>UND</v>
      </c>
      <c r="M582" s="9">
        <v>1</v>
      </c>
      <c r="N582" s="9">
        <v>228061</v>
      </c>
      <c r="O582" s="124" t="str">
        <f t="shared" si="83"/>
        <v>FASE II</v>
      </c>
      <c r="P582" s="155">
        <f t="shared" ref="P582:P645" si="88">E582+M582</f>
        <v>2</v>
      </c>
      <c r="Q582" s="156">
        <f t="shared" si="81"/>
        <v>239984</v>
      </c>
      <c r="R582" s="156">
        <f t="shared" si="82"/>
        <v>479968</v>
      </c>
    </row>
    <row r="583" spans="2:18" s="9" customFormat="1" ht="35.1" customHeight="1" x14ac:dyDescent="0.25">
      <c r="B583" s="23" t="s">
        <v>816</v>
      </c>
      <c r="C583" s="87" t="s">
        <v>817</v>
      </c>
      <c r="D583" s="10" t="s">
        <v>16</v>
      </c>
      <c r="E583" s="12">
        <v>1</v>
      </c>
      <c r="F583" s="126">
        <v>336793</v>
      </c>
      <c r="G583" s="126">
        <f t="shared" si="87"/>
        <v>336793</v>
      </c>
      <c r="H583" s="8"/>
      <c r="I583" s="8">
        <f t="shared" ref="I583:I646" si="89">+ROUND(F583*(1+$I$4),0)</f>
        <v>345381</v>
      </c>
      <c r="J583" s="8">
        <f t="shared" ref="J583:J646" si="90">+I583*E583</f>
        <v>345381</v>
      </c>
      <c r="K583" s="9" t="str">
        <f t="array" ref="K583:N583">_xlfn.XLOOKUP(C583,'Neiva 2022 FASE I ACTUAL (5)'!$C$6:$C$540,'Neiva 2022 FASE I ACTUAL (5)'!$C$6:$F$540,"NO ESTA")</f>
        <v>SUMINISTRO E INSTALACIONVALVULAS DE GLOBO 1   1/2" FC 125-150 PSI</v>
      </c>
      <c r="L583" s="9" t="str">
        <v>UND</v>
      </c>
      <c r="M583" s="9">
        <v>1</v>
      </c>
      <c r="N583" s="9">
        <v>328221</v>
      </c>
      <c r="O583" s="124" t="str">
        <f t="shared" si="83"/>
        <v>FASE II</v>
      </c>
      <c r="P583" s="155">
        <f t="shared" si="88"/>
        <v>2</v>
      </c>
      <c r="Q583" s="156">
        <f t="shared" ref="Q583:Q646" si="91">MAX(N583,F583,I583)</f>
        <v>345381</v>
      </c>
      <c r="R583" s="156">
        <f t="shared" ref="R583:R646" si="92">ROUND(P583*Q583,2)</f>
        <v>690762</v>
      </c>
    </row>
    <row r="584" spans="2:18" s="9" customFormat="1" ht="35.1" customHeight="1" x14ac:dyDescent="0.25">
      <c r="B584" s="23" t="s">
        <v>818</v>
      </c>
      <c r="C584" s="87" t="s">
        <v>819</v>
      </c>
      <c r="D584" s="10" t="s">
        <v>16</v>
      </c>
      <c r="E584" s="12">
        <v>2</v>
      </c>
      <c r="F584" s="126">
        <v>156935</v>
      </c>
      <c r="G584" s="126">
        <f t="shared" si="87"/>
        <v>313870</v>
      </c>
      <c r="H584" s="8"/>
      <c r="I584" s="8">
        <f t="shared" si="89"/>
        <v>160937</v>
      </c>
      <c r="J584" s="8">
        <f t="shared" si="90"/>
        <v>321874</v>
      </c>
      <c r="K584" s="9" t="str">
        <f t="array" ref="K584:N584">_xlfn.XLOOKUP(C584,'Neiva 2022 FASE I ACTUAL (5)'!$C$6:$C$540,'Neiva 2022 FASE I ACTUAL (5)'!$C$6:$F$540,"NO ESTA")</f>
        <v>SUMINISTRO E INSTALACION VALVULAS DE CORTINA 1" FC 125 PSI</v>
      </c>
      <c r="L584" s="9" t="str">
        <v>UND</v>
      </c>
      <c r="M584" s="9">
        <v>2</v>
      </c>
      <c r="N584" s="9">
        <v>152941</v>
      </c>
      <c r="O584" s="124" t="str">
        <f t="shared" ref="O584:O647" si="93">IF(N584=0,0,(IF(F584&lt;N584, "FASE I","FASE II")))</f>
        <v>FASE II</v>
      </c>
      <c r="P584" s="155">
        <f t="shared" si="88"/>
        <v>4</v>
      </c>
      <c r="Q584" s="156">
        <f t="shared" si="91"/>
        <v>160937</v>
      </c>
      <c r="R584" s="156">
        <f t="shared" si="92"/>
        <v>643748</v>
      </c>
    </row>
    <row r="585" spans="2:18" s="9" customFormat="1" ht="35.1" customHeight="1" x14ac:dyDescent="0.25">
      <c r="B585" s="23" t="s">
        <v>820</v>
      </c>
      <c r="C585" s="22" t="s">
        <v>821</v>
      </c>
      <c r="D585" s="10" t="s">
        <v>16</v>
      </c>
      <c r="E585" s="12">
        <v>2</v>
      </c>
      <c r="F585" s="126">
        <v>195476</v>
      </c>
      <c r="G585" s="126">
        <f t="shared" si="87"/>
        <v>390952</v>
      </c>
      <c r="H585" s="8"/>
      <c r="I585" s="8">
        <f t="shared" si="89"/>
        <v>200461</v>
      </c>
      <c r="J585" s="8">
        <f t="shared" si="90"/>
        <v>400922</v>
      </c>
      <c r="K585" s="9" t="str">
        <f t="array" ref="K585:N585">_xlfn.XLOOKUP(C585,'Neiva 2022 FASE I ACTUAL (5)'!$C$6:$C$540,'Neiva 2022 FASE I ACTUAL (5)'!$C$6:$F$540,"NO ESTA")</f>
        <v>SUMINISTRO E INSTALACION VALVULAS DE GLOBO 1" FC 125 PSI</v>
      </c>
      <c r="L585" s="9" t="str">
        <v>UND</v>
      </c>
      <c r="M585" s="9">
        <v>2</v>
      </c>
      <c r="N585" s="9">
        <v>190501</v>
      </c>
      <c r="O585" s="124" t="str">
        <f t="shared" si="93"/>
        <v>FASE II</v>
      </c>
      <c r="P585" s="155">
        <f t="shared" si="88"/>
        <v>4</v>
      </c>
      <c r="Q585" s="156">
        <f t="shared" si="91"/>
        <v>200461</v>
      </c>
      <c r="R585" s="156">
        <f t="shared" si="92"/>
        <v>801844</v>
      </c>
    </row>
    <row r="586" spans="2:18" s="9" customFormat="1" ht="35.1" customHeight="1" x14ac:dyDescent="0.25">
      <c r="B586" s="23" t="s">
        <v>822</v>
      </c>
      <c r="C586" s="87" t="s">
        <v>823</v>
      </c>
      <c r="D586" s="10" t="s">
        <v>16</v>
      </c>
      <c r="E586" s="12">
        <v>4</v>
      </c>
      <c r="F586" s="126">
        <v>125501</v>
      </c>
      <c r="G586" s="126">
        <f t="shared" si="87"/>
        <v>502004</v>
      </c>
      <c r="H586" s="8"/>
      <c r="I586" s="8">
        <f t="shared" si="89"/>
        <v>128701</v>
      </c>
      <c r="J586" s="8">
        <f t="shared" si="90"/>
        <v>514804</v>
      </c>
      <c r="K586" s="9" t="str">
        <f t="array" ref="K586:N586">_xlfn.XLOOKUP(C586,'Neiva 2022 FASE I ACTUAL (5)'!$C$6:$C$540,'Neiva 2022 FASE I ACTUAL (5)'!$C$6:$F$540,"NO ESTA")</f>
        <v>SUMINISTRO E INSTALACION VALVULAS DE CORTINA 3/4" FC 125 PSI</v>
      </c>
      <c r="L586" s="9" t="str">
        <v>UND</v>
      </c>
      <c r="M586" s="9">
        <v>4</v>
      </c>
      <c r="N586" s="9">
        <v>122306</v>
      </c>
      <c r="O586" s="124" t="str">
        <f t="shared" si="93"/>
        <v>FASE II</v>
      </c>
      <c r="P586" s="155">
        <f t="shared" si="88"/>
        <v>8</v>
      </c>
      <c r="Q586" s="156">
        <f t="shared" si="91"/>
        <v>128701</v>
      </c>
      <c r="R586" s="156">
        <f t="shared" si="92"/>
        <v>1029608</v>
      </c>
    </row>
    <row r="587" spans="2:18" s="9" customFormat="1" ht="35.1" customHeight="1" x14ac:dyDescent="0.25">
      <c r="B587" s="23" t="s">
        <v>824</v>
      </c>
      <c r="C587" s="22" t="s">
        <v>825</v>
      </c>
      <c r="D587" s="10" t="s">
        <v>16</v>
      </c>
      <c r="E587" s="12">
        <v>4</v>
      </c>
      <c r="F587" s="126">
        <v>160830</v>
      </c>
      <c r="G587" s="126">
        <f t="shared" si="87"/>
        <v>643320</v>
      </c>
      <c r="H587" s="8"/>
      <c r="I587" s="8">
        <f t="shared" si="89"/>
        <v>164931</v>
      </c>
      <c r="J587" s="8">
        <f t="shared" si="90"/>
        <v>659724</v>
      </c>
      <c r="K587" s="9" t="str">
        <f t="array" ref="K587:N587">_xlfn.XLOOKUP(C587,'Neiva 2022 FASE I ACTUAL (5)'!$C$6:$C$540,'Neiva 2022 FASE I ACTUAL (5)'!$C$6:$F$540,"NO ESTA")</f>
        <v>SUMINISTRO E INSTALACION VALVULAS DE GLOBO 3/4" FC 125 PSI</v>
      </c>
      <c r="L587" s="9" t="str">
        <v>UND</v>
      </c>
      <c r="M587" s="9">
        <v>4</v>
      </c>
      <c r="N587" s="9">
        <v>156737</v>
      </c>
      <c r="O587" s="124" t="str">
        <f t="shared" si="93"/>
        <v>FASE II</v>
      </c>
      <c r="P587" s="155">
        <f t="shared" si="88"/>
        <v>8</v>
      </c>
      <c r="Q587" s="156">
        <f t="shared" si="91"/>
        <v>164931</v>
      </c>
      <c r="R587" s="156">
        <f t="shared" si="92"/>
        <v>1319448</v>
      </c>
    </row>
    <row r="588" spans="2:18" s="9" customFormat="1" ht="35.1" customHeight="1" x14ac:dyDescent="0.25">
      <c r="B588" s="23" t="s">
        <v>826</v>
      </c>
      <c r="C588" s="22" t="s">
        <v>827</v>
      </c>
      <c r="D588" s="10" t="s">
        <v>16</v>
      </c>
      <c r="E588" s="12">
        <v>6</v>
      </c>
      <c r="F588" s="126">
        <v>195476</v>
      </c>
      <c r="G588" s="126">
        <f t="shared" si="87"/>
        <v>1172856</v>
      </c>
      <c r="H588" s="8"/>
      <c r="I588" s="8">
        <f t="shared" si="89"/>
        <v>200461</v>
      </c>
      <c r="J588" s="8">
        <f t="shared" si="90"/>
        <v>1202766</v>
      </c>
      <c r="K588" s="9" t="str">
        <f t="array" ref="K588:N588">_xlfn.XLOOKUP(C588,'Neiva 2022 FASE I ACTUAL (5)'!$C$6:$C$540,'Neiva 2022 FASE I ACTUAL (5)'!$C$6:$F$540,"NO ESTA")</f>
        <v>SUMINISTRO E INSTALACION TERMOTATOS DIGITALES NO PROGRAMABLES FC</v>
      </c>
      <c r="L588" s="9" t="str">
        <v>UND</v>
      </c>
      <c r="M588" s="9">
        <v>2</v>
      </c>
      <c r="N588" s="9">
        <v>190501</v>
      </c>
      <c r="O588" s="124" t="str">
        <f t="shared" si="93"/>
        <v>FASE II</v>
      </c>
      <c r="P588" s="155">
        <f t="shared" si="88"/>
        <v>8</v>
      </c>
      <c r="Q588" s="156">
        <f t="shared" si="91"/>
        <v>200461</v>
      </c>
      <c r="R588" s="156">
        <f t="shared" si="92"/>
        <v>1603688</v>
      </c>
    </row>
    <row r="589" spans="2:18" s="9" customFormat="1" ht="35.1" customHeight="1" x14ac:dyDescent="0.25">
      <c r="B589" s="23" t="s">
        <v>828</v>
      </c>
      <c r="C589" s="22" t="s">
        <v>829</v>
      </c>
      <c r="D589" s="10" t="s">
        <v>16</v>
      </c>
      <c r="E589" s="12">
        <v>22</v>
      </c>
      <c r="F589" s="126">
        <v>323946</v>
      </c>
      <c r="G589" s="126">
        <f t="shared" si="87"/>
        <v>7126812</v>
      </c>
      <c r="H589" s="8"/>
      <c r="I589" s="8">
        <f t="shared" si="89"/>
        <v>332207</v>
      </c>
      <c r="J589" s="8">
        <f t="shared" si="90"/>
        <v>7308554</v>
      </c>
      <c r="K589" s="9" t="str">
        <f t="array" ref="K589:N589">_xlfn.XLOOKUP(C589,'Neiva 2022 FASE I ACTUAL (5)'!$C$6:$C$540,'Neiva 2022 FASE I ACTUAL (5)'!$C$6:$F$540,"NO ESTA")</f>
        <v xml:space="preserve">SUMINISTRO E INSTALACION TERMOSTATOS PROPORCIONALES DIGITALES </v>
      </c>
      <c r="L589" s="9" t="str">
        <v>UND</v>
      </c>
      <c r="M589" s="9">
        <v>8</v>
      </c>
      <c r="N589" s="9">
        <v>315701</v>
      </c>
      <c r="O589" s="124" t="str">
        <f t="shared" si="93"/>
        <v>FASE II</v>
      </c>
      <c r="P589" s="155">
        <f t="shared" si="88"/>
        <v>30</v>
      </c>
      <c r="Q589" s="156">
        <f t="shared" si="91"/>
        <v>332207</v>
      </c>
      <c r="R589" s="156">
        <f t="shared" si="92"/>
        <v>9966210</v>
      </c>
    </row>
    <row r="590" spans="2:18" s="9" customFormat="1" ht="35.1" customHeight="1" x14ac:dyDescent="0.25">
      <c r="B590" s="23" t="s">
        <v>830</v>
      </c>
      <c r="C590" s="22" t="s">
        <v>831</v>
      </c>
      <c r="D590" s="10" t="s">
        <v>16</v>
      </c>
      <c r="E590" s="12">
        <v>6</v>
      </c>
      <c r="F590" s="126">
        <v>246864</v>
      </c>
      <c r="G590" s="126">
        <f t="shared" si="87"/>
        <v>1481184</v>
      </c>
      <c r="H590" s="8"/>
      <c r="I590" s="8">
        <f t="shared" si="89"/>
        <v>253159</v>
      </c>
      <c r="J590" s="8">
        <f t="shared" si="90"/>
        <v>1518954</v>
      </c>
      <c r="K590" s="9" t="str">
        <f t="array" ref="K590:N590">_xlfn.XLOOKUP(C590,'Neiva 2022 FASE I ACTUAL (5)'!$C$6:$C$540,'Neiva 2022 FASE I ACTUAL (5)'!$C$6:$F$540,"NO ESTA")</f>
        <v>SUMINISTRO E INSTALACION ELECTROVALVULAS ON-OFF  110V</v>
      </c>
      <c r="L590" s="9" t="str">
        <v>UND</v>
      </c>
      <c r="M590" s="9">
        <v>2</v>
      </c>
      <c r="N590" s="9">
        <v>240581</v>
      </c>
      <c r="O590" s="124" t="str">
        <f t="shared" si="93"/>
        <v>FASE II</v>
      </c>
      <c r="P590" s="155">
        <f t="shared" si="88"/>
        <v>8</v>
      </c>
      <c r="Q590" s="156">
        <f t="shared" si="91"/>
        <v>253159</v>
      </c>
      <c r="R590" s="156">
        <f t="shared" si="92"/>
        <v>2025272</v>
      </c>
    </row>
    <row r="591" spans="2:18" s="9" customFormat="1" ht="35.1" customHeight="1" x14ac:dyDescent="0.25">
      <c r="B591" s="23" t="s">
        <v>832</v>
      </c>
      <c r="C591" s="22" t="s">
        <v>833</v>
      </c>
      <c r="D591" s="10" t="s">
        <v>16</v>
      </c>
      <c r="E591" s="12">
        <v>0</v>
      </c>
      <c r="F591" s="126">
        <v>818556</v>
      </c>
      <c r="G591" s="126">
        <f t="shared" si="87"/>
        <v>0</v>
      </c>
      <c r="H591" s="8"/>
      <c r="I591" s="8">
        <f t="shared" si="89"/>
        <v>839429</v>
      </c>
      <c r="J591" s="8">
        <f t="shared" si="90"/>
        <v>0</v>
      </c>
      <c r="K591" s="9" t="str">
        <f t="array" ref="K591:N591">_xlfn.XLOOKUP(C591,'Neiva 2022 FASE I ACTUAL (5)'!$C$6:$C$540,'Neiva 2022 FASE I ACTUAL (5)'!$C$6:$F$540,"NO ESTA")</f>
        <v>SUMINISTRO E INSTALACION ELECTROVALVULAS PROPORCIONALES 2 " - 2 VIAS - 24V</v>
      </c>
      <c r="L591" s="9" t="str">
        <v>UND</v>
      </c>
      <c r="M591" s="9">
        <v>1</v>
      </c>
      <c r="N591" s="9">
        <v>797720</v>
      </c>
      <c r="O591" s="124" t="str">
        <f t="shared" si="93"/>
        <v>FASE II</v>
      </c>
      <c r="P591" s="155">
        <f t="shared" si="88"/>
        <v>1</v>
      </c>
      <c r="Q591" s="156">
        <f t="shared" si="91"/>
        <v>839429</v>
      </c>
      <c r="R591" s="156">
        <f t="shared" si="92"/>
        <v>839429</v>
      </c>
    </row>
    <row r="592" spans="2:18" s="9" customFormat="1" ht="35.1" customHeight="1" x14ac:dyDescent="0.25">
      <c r="B592" s="23" t="s">
        <v>834</v>
      </c>
      <c r="C592" s="87" t="s">
        <v>835</v>
      </c>
      <c r="D592" s="10" t="s">
        <v>16</v>
      </c>
      <c r="E592" s="12">
        <v>2</v>
      </c>
      <c r="F592" s="126">
        <v>818556</v>
      </c>
      <c r="G592" s="126">
        <f t="shared" si="87"/>
        <v>1637112</v>
      </c>
      <c r="H592" s="8"/>
      <c r="I592" s="8">
        <f t="shared" si="89"/>
        <v>839429</v>
      </c>
      <c r="J592" s="8">
        <f t="shared" si="90"/>
        <v>1678858</v>
      </c>
      <c r="K592" s="9" t="str">
        <f t="array" ref="K592:N592">_xlfn.XLOOKUP(C592,'Neiva 2022 FASE I ACTUAL (5)'!$C$6:$C$540,'Neiva 2022 FASE I ACTUAL (5)'!$C$6:$F$540,"NO ESTA")</f>
        <v>SUMINISTRO E INSTALACION ELECTROVALVULAS PROPORCIONALES  1 1/2 " - 2 VIAS - 24V</v>
      </c>
      <c r="L592" s="9" t="str">
        <v>UND</v>
      </c>
      <c r="M592" s="9">
        <v>1</v>
      </c>
      <c r="N592" s="9">
        <v>797720</v>
      </c>
      <c r="O592" s="124" t="str">
        <f t="shared" si="93"/>
        <v>FASE II</v>
      </c>
      <c r="P592" s="155">
        <f t="shared" si="88"/>
        <v>3</v>
      </c>
      <c r="Q592" s="156">
        <f t="shared" si="91"/>
        <v>839429</v>
      </c>
      <c r="R592" s="156">
        <f t="shared" si="92"/>
        <v>2518287</v>
      </c>
    </row>
    <row r="593" spans="2:18" s="9" customFormat="1" ht="35.1" customHeight="1" x14ac:dyDescent="0.25">
      <c r="B593" s="23" t="s">
        <v>836</v>
      </c>
      <c r="C593" s="87" t="s">
        <v>837</v>
      </c>
      <c r="D593" s="10" t="s">
        <v>16</v>
      </c>
      <c r="E593" s="12">
        <v>0</v>
      </c>
      <c r="F593" s="126">
        <v>818556</v>
      </c>
      <c r="G593" s="141">
        <f t="shared" si="87"/>
        <v>0</v>
      </c>
      <c r="H593" s="8"/>
      <c r="I593" s="8">
        <f t="shared" si="89"/>
        <v>839429</v>
      </c>
      <c r="J593" s="8">
        <f t="shared" si="90"/>
        <v>0</v>
      </c>
      <c r="K593" s="9" t="str">
        <f t="array" ref="K593:N593">_xlfn.XLOOKUP(C593,'Neiva 2022 FASE I ACTUAL (5)'!$C$6:$C$540,'Neiva 2022 FASE I ACTUAL (5)'!$C$6:$F$540,"NO ESTA")</f>
        <v>SUMINISTRO E INSTALACION ELECTROVALVULAS PROPORCIONALES  1 1/2 " - 3 VIAS - 24V</v>
      </c>
      <c r="L593" s="9" t="str">
        <v>UND</v>
      </c>
      <c r="M593" s="9">
        <v>1</v>
      </c>
      <c r="N593" s="9">
        <v>797720</v>
      </c>
      <c r="O593" s="124" t="str">
        <f t="shared" si="93"/>
        <v>FASE II</v>
      </c>
      <c r="P593" s="155">
        <f t="shared" si="88"/>
        <v>1</v>
      </c>
      <c r="Q593" s="156">
        <f t="shared" si="91"/>
        <v>839429</v>
      </c>
      <c r="R593" s="156">
        <f t="shared" si="92"/>
        <v>839429</v>
      </c>
    </row>
    <row r="594" spans="2:18" s="9" customFormat="1" ht="35.1" customHeight="1" x14ac:dyDescent="0.25">
      <c r="B594" s="23" t="s">
        <v>838</v>
      </c>
      <c r="C594" s="87" t="s">
        <v>839</v>
      </c>
      <c r="D594" s="10" t="s">
        <v>16</v>
      </c>
      <c r="E594" s="12">
        <v>15</v>
      </c>
      <c r="F594" s="126">
        <v>722203</v>
      </c>
      <c r="G594" s="126">
        <f t="shared" si="87"/>
        <v>10833045</v>
      </c>
      <c r="H594" s="8"/>
      <c r="I594" s="8">
        <f t="shared" si="89"/>
        <v>740619</v>
      </c>
      <c r="J594" s="8">
        <f t="shared" si="90"/>
        <v>11109285</v>
      </c>
      <c r="K594" s="9" t="str">
        <f t="array" ref="K594:N594">_xlfn.XLOOKUP(C594,'Neiva 2022 FASE I ACTUAL (5)'!$C$6:$C$540,'Neiva 2022 FASE I ACTUAL (5)'!$C$6:$F$540,"NO ESTA")</f>
        <v>SUMINISTRO E INSTALACION ELECTROVALVULAS PROPORCIONALES 1 1/4 " - 24V</v>
      </c>
      <c r="L594" s="9" t="str">
        <v>UND</v>
      </c>
      <c r="M594" s="9">
        <v>5</v>
      </c>
      <c r="N594" s="9">
        <v>703821</v>
      </c>
      <c r="O594" s="124" t="str">
        <f t="shared" si="93"/>
        <v>FASE II</v>
      </c>
      <c r="P594" s="155">
        <f t="shared" si="88"/>
        <v>20</v>
      </c>
      <c r="Q594" s="156">
        <f t="shared" si="91"/>
        <v>740619</v>
      </c>
      <c r="R594" s="156">
        <f t="shared" si="92"/>
        <v>14812380</v>
      </c>
    </row>
    <row r="595" spans="2:18" s="9" customFormat="1" ht="35.1" customHeight="1" x14ac:dyDescent="0.25">
      <c r="B595" s="23" t="s">
        <v>840</v>
      </c>
      <c r="C595" s="22" t="s">
        <v>841</v>
      </c>
      <c r="D595" s="10" t="s">
        <v>16</v>
      </c>
      <c r="E595" s="12">
        <v>0</v>
      </c>
      <c r="F595" s="126">
        <v>582428</v>
      </c>
      <c r="G595" s="141">
        <f t="shared" si="87"/>
        <v>0</v>
      </c>
      <c r="H595" s="8"/>
      <c r="I595" s="8">
        <f t="shared" si="89"/>
        <v>597280</v>
      </c>
      <c r="J595" s="8">
        <f t="shared" si="90"/>
        <v>0</v>
      </c>
      <c r="K595" s="9" t="str">
        <f t="array" ref="K595:N595">_xlfn.XLOOKUP(C595,'Neiva 2022 FASE I ACTUAL (5)'!$C$6:$C$540,'Neiva 2022 FASE I ACTUAL (5)'!$C$6:$F$540,"NO ESTA")</f>
        <v>SUMINISTRO E INSTALACION ELECTROVALVULAS PROPORCIONALES 1 " - 24V</v>
      </c>
      <c r="L595" s="9" t="str">
        <v>UND</v>
      </c>
      <c r="M595" s="9">
        <v>1</v>
      </c>
      <c r="N595" s="9">
        <v>567603</v>
      </c>
      <c r="O595" s="124" t="str">
        <f t="shared" si="93"/>
        <v>FASE II</v>
      </c>
      <c r="P595" s="155">
        <f t="shared" si="88"/>
        <v>1</v>
      </c>
      <c r="Q595" s="156">
        <f t="shared" si="91"/>
        <v>597280</v>
      </c>
      <c r="R595" s="156">
        <f t="shared" si="92"/>
        <v>597280</v>
      </c>
    </row>
    <row r="596" spans="2:18" s="9" customFormat="1" ht="35.1" customHeight="1" x14ac:dyDescent="0.25">
      <c r="B596" s="13" t="s">
        <v>842</v>
      </c>
      <c r="C596" s="24" t="s">
        <v>843</v>
      </c>
      <c r="D596" s="24"/>
      <c r="E596" s="15"/>
      <c r="F596" s="129"/>
      <c r="G596" s="140"/>
      <c r="H596" s="8"/>
      <c r="I596" s="8">
        <f t="shared" si="89"/>
        <v>0</v>
      </c>
      <c r="J596" s="8">
        <f t="shared" si="90"/>
        <v>0</v>
      </c>
      <c r="K596" s="9" t="str">
        <f t="array" ref="K596:N596">_xlfn.XLOOKUP(C596,'Neiva 2022 FASE I ACTUAL (5)'!$C$6:$C$540,'Neiva 2022 FASE I ACTUAL (5)'!$C$6:$F$540,"NO ESTA")</f>
        <v>SUMINISTRO, MONTAJE E INSTALACIÓN DE DUCTOS DE AIRE ACONDICIONADO</v>
      </c>
      <c r="L596" s="9">
        <v>0</v>
      </c>
      <c r="M596" s="9">
        <v>0</v>
      </c>
      <c r="N596" s="9">
        <v>0</v>
      </c>
      <c r="O596" s="124">
        <f t="shared" si="93"/>
        <v>0</v>
      </c>
      <c r="P596" s="155">
        <f t="shared" si="88"/>
        <v>0</v>
      </c>
      <c r="Q596" s="156">
        <f t="shared" si="91"/>
        <v>0</v>
      </c>
      <c r="R596" s="156">
        <f t="shared" si="92"/>
        <v>0</v>
      </c>
    </row>
    <row r="597" spans="2:18" s="9" customFormat="1" ht="35.1" customHeight="1" x14ac:dyDescent="0.25">
      <c r="B597" s="23" t="s">
        <v>844</v>
      </c>
      <c r="C597" s="22" t="s">
        <v>845</v>
      </c>
      <c r="D597" s="60" t="s">
        <v>13</v>
      </c>
      <c r="E597" s="12">
        <v>77</v>
      </c>
      <c r="F597" s="126">
        <v>63805</v>
      </c>
      <c r="G597" s="126">
        <f t="shared" ref="G597:G602" si="94">ROUND(+F597*E597,2)</f>
        <v>4912985</v>
      </c>
      <c r="H597" s="8"/>
      <c r="I597" s="8">
        <f t="shared" si="89"/>
        <v>65432</v>
      </c>
      <c r="J597" s="8">
        <f t="shared" si="90"/>
        <v>5038264</v>
      </c>
      <c r="K597" s="9" t="str">
        <f t="array" ref="K597:N597">_xlfn.XLOOKUP(C597,'Neiva 2022 FASE I ACTUAL (5)'!$C$6:$C$540,'Neiva 2022 FASE I ACTUAL (5)'!$C$6:$F$540,"NO ESTA")</f>
        <v>SUMINISTRO E INSTALACION DUCTOS EN LAMINA GALVANIZADA CAL. 24 Wrap FC</v>
      </c>
      <c r="L597" s="9" t="str">
        <v>M2</v>
      </c>
      <c r="M597" s="9">
        <v>28</v>
      </c>
      <c r="N597" s="9">
        <v>62181</v>
      </c>
      <c r="O597" s="124" t="str">
        <f t="shared" si="93"/>
        <v>FASE II</v>
      </c>
      <c r="P597" s="155">
        <f t="shared" si="88"/>
        <v>105</v>
      </c>
      <c r="Q597" s="156">
        <f t="shared" si="91"/>
        <v>65432</v>
      </c>
      <c r="R597" s="156">
        <f t="shared" si="92"/>
        <v>6870360</v>
      </c>
    </row>
    <row r="598" spans="2:18" s="9" customFormat="1" ht="35.1" customHeight="1" x14ac:dyDescent="0.25">
      <c r="B598" s="23" t="s">
        <v>846</v>
      </c>
      <c r="C598" s="22" t="s">
        <v>847</v>
      </c>
      <c r="D598" s="60" t="s">
        <v>13</v>
      </c>
      <c r="E598" s="12">
        <v>540</v>
      </c>
      <c r="F598" s="126">
        <v>70179</v>
      </c>
      <c r="G598" s="126">
        <f t="shared" si="94"/>
        <v>37896660</v>
      </c>
      <c r="H598" s="8"/>
      <c r="I598" s="8">
        <f t="shared" si="89"/>
        <v>71969</v>
      </c>
      <c r="J598" s="8">
        <f t="shared" si="90"/>
        <v>38863260</v>
      </c>
      <c r="K598" s="9" t="str">
        <f t="array" ref="K598:N598">_xlfn.XLOOKUP(C598,'Neiva 2022 FASE I ACTUAL (5)'!$C$6:$C$540,'Neiva 2022 FASE I ACTUAL (5)'!$C$6:$F$540,"NO ESTA")</f>
        <v>SUMINISTRO E INSTALACION DUCTOS EN LAMINA GALVANIZADA CAL. 22 Wrap FC</v>
      </c>
      <c r="L598" s="9" t="str">
        <v>M2</v>
      </c>
      <c r="M598" s="9">
        <v>200</v>
      </c>
      <c r="N598" s="9">
        <v>68392</v>
      </c>
      <c r="O598" s="124" t="str">
        <f t="shared" si="93"/>
        <v>FASE II</v>
      </c>
      <c r="P598" s="155">
        <f t="shared" si="88"/>
        <v>740</v>
      </c>
      <c r="Q598" s="156">
        <f t="shared" si="91"/>
        <v>71969</v>
      </c>
      <c r="R598" s="156">
        <f t="shared" si="92"/>
        <v>53257060</v>
      </c>
    </row>
    <row r="599" spans="2:18" s="9" customFormat="1" ht="35.1" customHeight="1" x14ac:dyDescent="0.25">
      <c r="B599" s="23" t="s">
        <v>848</v>
      </c>
      <c r="C599" s="22" t="s">
        <v>849</v>
      </c>
      <c r="D599" s="60" t="s">
        <v>13</v>
      </c>
      <c r="E599" s="12">
        <v>617</v>
      </c>
      <c r="F599" s="126">
        <v>19457</v>
      </c>
      <c r="G599" s="126">
        <f t="shared" si="94"/>
        <v>12004969</v>
      </c>
      <c r="H599" s="8"/>
      <c r="I599" s="8">
        <f t="shared" si="89"/>
        <v>19953</v>
      </c>
      <c r="J599" s="8">
        <f t="shared" si="90"/>
        <v>12311001</v>
      </c>
      <c r="K599" s="9" t="str">
        <f t="array" ref="K599:N599">_xlfn.XLOOKUP(C599,'Neiva 2022 FASE I ACTUAL (5)'!$C$6:$C$540,'Neiva 2022 FASE I ACTUAL (5)'!$C$6:$F$540,"NO ESTA")</f>
        <v>SUMINISTRO E INSTALACION AISLAMIENTO DUCTOS EN JUMBOLON FC</v>
      </c>
      <c r="L599" s="9" t="str">
        <v>M2</v>
      </c>
      <c r="M599" s="9">
        <v>228</v>
      </c>
      <c r="N599" s="9">
        <v>18961</v>
      </c>
      <c r="O599" s="124" t="str">
        <f t="shared" si="93"/>
        <v>FASE II</v>
      </c>
      <c r="P599" s="155">
        <f t="shared" si="88"/>
        <v>845</v>
      </c>
      <c r="Q599" s="156">
        <f t="shared" si="91"/>
        <v>19953</v>
      </c>
      <c r="R599" s="156">
        <f t="shared" si="92"/>
        <v>16860285</v>
      </c>
    </row>
    <row r="600" spans="2:18" s="9" customFormat="1" ht="35.1" customHeight="1" x14ac:dyDescent="0.25">
      <c r="B600" s="23" t="s">
        <v>850</v>
      </c>
      <c r="C600" s="22" t="s">
        <v>851</v>
      </c>
      <c r="D600" s="60" t="s">
        <v>13</v>
      </c>
      <c r="E600" s="12">
        <v>150</v>
      </c>
      <c r="F600" s="126">
        <v>76603</v>
      </c>
      <c r="G600" s="126">
        <f t="shared" si="94"/>
        <v>11490450</v>
      </c>
      <c r="H600" s="8"/>
      <c r="I600" s="8">
        <f t="shared" si="89"/>
        <v>78556</v>
      </c>
      <c r="J600" s="8">
        <f t="shared" si="90"/>
        <v>11783400</v>
      </c>
      <c r="K600" s="9" t="str">
        <f t="array" ref="K600:N600">_xlfn.XLOOKUP(C600,'Neiva 2022 FASE I ACTUAL (5)'!$C$6:$C$540,'Neiva 2022 FASE I ACTUAL (5)'!$C$6:$F$540,"NO ESTA")</f>
        <v>SUMINISTRO E INSTALACION DUCTOS EN LAMINA GALVANIZADA CAL. 20 Wrap UMAS</v>
      </c>
      <c r="L600" s="9" t="str">
        <v>M2</v>
      </c>
      <c r="M600" s="9">
        <v>55</v>
      </c>
      <c r="N600" s="9">
        <v>74652</v>
      </c>
      <c r="O600" s="124" t="str">
        <f t="shared" si="93"/>
        <v>FASE II</v>
      </c>
      <c r="P600" s="155">
        <f t="shared" si="88"/>
        <v>205</v>
      </c>
      <c r="Q600" s="156">
        <f t="shared" si="91"/>
        <v>78556</v>
      </c>
      <c r="R600" s="156">
        <f t="shared" si="92"/>
        <v>16103980</v>
      </c>
    </row>
    <row r="601" spans="2:18" s="9" customFormat="1" ht="35.1" customHeight="1" x14ac:dyDescent="0.25">
      <c r="B601" s="23" t="s">
        <v>852</v>
      </c>
      <c r="C601" s="22" t="s">
        <v>853</v>
      </c>
      <c r="D601" s="60" t="s">
        <v>13</v>
      </c>
      <c r="E601" s="12">
        <v>150</v>
      </c>
      <c r="F601" s="126">
        <v>19457</v>
      </c>
      <c r="G601" s="126">
        <f t="shared" si="94"/>
        <v>2918550</v>
      </c>
      <c r="H601" s="8"/>
      <c r="I601" s="8">
        <f t="shared" si="89"/>
        <v>19953</v>
      </c>
      <c r="J601" s="8">
        <f t="shared" si="90"/>
        <v>2992950</v>
      </c>
      <c r="K601" s="9" t="str">
        <f t="array" ref="K601:N601">_xlfn.XLOOKUP(C601,'Neiva 2022 FASE I ACTUAL (5)'!$C$6:$C$540,'Neiva 2022 FASE I ACTUAL (5)'!$C$6:$F$540,"NO ESTA")</f>
        <v>SUMINISTRO E INSTALACION AISLAMIENTO DUCTOS EN DUCT WRAP UMAS</v>
      </c>
      <c r="L601" s="9" t="str">
        <v>M2</v>
      </c>
      <c r="M601" s="9">
        <v>55</v>
      </c>
      <c r="N601" s="9">
        <v>18961</v>
      </c>
      <c r="O601" s="124" t="str">
        <f t="shared" si="93"/>
        <v>FASE II</v>
      </c>
      <c r="P601" s="155">
        <f t="shared" si="88"/>
        <v>205</v>
      </c>
      <c r="Q601" s="156">
        <f t="shared" si="91"/>
        <v>19953</v>
      </c>
      <c r="R601" s="156">
        <f t="shared" si="92"/>
        <v>4090365</v>
      </c>
    </row>
    <row r="602" spans="2:18" s="9" customFormat="1" ht="35.1" customHeight="1" x14ac:dyDescent="0.25">
      <c r="B602" s="23" t="s">
        <v>854</v>
      </c>
      <c r="C602" s="22" t="s">
        <v>855</v>
      </c>
      <c r="D602" s="10" t="s">
        <v>16</v>
      </c>
      <c r="E602" s="12">
        <v>24</v>
      </c>
      <c r="F602" s="126">
        <v>33394</v>
      </c>
      <c r="G602" s="126">
        <f t="shared" si="94"/>
        <v>801456</v>
      </c>
      <c r="H602" s="8"/>
      <c r="I602" s="8">
        <f t="shared" si="89"/>
        <v>34246</v>
      </c>
      <c r="J602" s="8">
        <f t="shared" si="90"/>
        <v>821904</v>
      </c>
      <c r="K602" s="9" t="str">
        <f t="array" ref="K602:N602">_xlfn.XLOOKUP(C602,'Neiva 2022 FASE I ACTUAL (5)'!$C$6:$C$540,'Neiva 2022 FASE I ACTUAL (5)'!$C$6:$F$540,"NO ESTA")</f>
        <v>SUMINISTRO E INSTALACION ACOPLE FLEXIBLE DUCTOS - EQUIPOS</v>
      </c>
      <c r="L602" s="9" t="str">
        <v>UND</v>
      </c>
      <c r="M602" s="9">
        <v>9</v>
      </c>
      <c r="N602" s="9">
        <v>32544</v>
      </c>
      <c r="O602" s="124" t="str">
        <f t="shared" si="93"/>
        <v>FASE II</v>
      </c>
      <c r="P602" s="155">
        <f t="shared" si="88"/>
        <v>33</v>
      </c>
      <c r="Q602" s="156">
        <f t="shared" si="91"/>
        <v>34246</v>
      </c>
      <c r="R602" s="156">
        <f t="shared" si="92"/>
        <v>1130118</v>
      </c>
    </row>
    <row r="603" spans="2:18" s="9" customFormat="1" ht="35.1" customHeight="1" x14ac:dyDescent="0.25">
      <c r="B603" s="13" t="s">
        <v>856</v>
      </c>
      <c r="C603" s="14" t="s">
        <v>857</v>
      </c>
      <c r="D603" s="27"/>
      <c r="E603" s="15"/>
      <c r="F603" s="129"/>
      <c r="G603" s="140"/>
      <c r="H603" s="8"/>
      <c r="I603" s="8">
        <f t="shared" si="89"/>
        <v>0</v>
      </c>
      <c r="J603" s="8">
        <f t="shared" si="90"/>
        <v>0</v>
      </c>
      <c r="K603" s="9" t="str">
        <f t="array" ref="K603:N603">_xlfn.XLOOKUP(C603,'Neiva 2022 FASE I ACTUAL (5)'!$C$6:$C$540,'Neiva 2022 FASE I ACTUAL (5)'!$C$6:$F$540,"NO ESTA")</f>
        <v>SUMINISTRO E INSTALACIÓN DIFUSORES Y REJILLAS</v>
      </c>
      <c r="L603" s="9">
        <v>0</v>
      </c>
      <c r="M603" s="9">
        <v>0</v>
      </c>
      <c r="N603" s="9">
        <v>0</v>
      </c>
      <c r="O603" s="124">
        <f t="shared" si="93"/>
        <v>0</v>
      </c>
      <c r="P603" s="155">
        <f t="shared" si="88"/>
        <v>0</v>
      </c>
      <c r="Q603" s="156">
        <f t="shared" si="91"/>
        <v>0</v>
      </c>
      <c r="R603" s="156">
        <f t="shared" si="92"/>
        <v>0</v>
      </c>
    </row>
    <row r="604" spans="2:18" s="9" customFormat="1" ht="35.1" customHeight="1" x14ac:dyDescent="0.25">
      <c r="B604" s="10" t="s">
        <v>858</v>
      </c>
      <c r="C604" s="22" t="s">
        <v>859</v>
      </c>
      <c r="D604" s="10" t="s">
        <v>16</v>
      </c>
      <c r="E604" s="12">
        <v>82</v>
      </c>
      <c r="F604" s="126">
        <v>157287</v>
      </c>
      <c r="G604" s="126">
        <f t="shared" ref="G604:G617" si="95">ROUND(+F604*E604,2)</f>
        <v>12897534</v>
      </c>
      <c r="H604" s="8"/>
      <c r="I604" s="8">
        <f t="shared" si="89"/>
        <v>161298</v>
      </c>
      <c r="J604" s="8">
        <f t="shared" si="90"/>
        <v>13226436</v>
      </c>
      <c r="K604" s="9" t="str">
        <f t="array" ref="K604:N604">_xlfn.XLOOKUP(C604,'Neiva 2022 FASE I ACTUAL (5)'!$C$6:$C$540,'Neiva 2022 FASE I ACTUAL (5)'!$C$6:$F$540,"NO ESTA")</f>
        <v>SUMINISTRO E INSTALACION DIFUSORES SUMINISTRO DE 12" x 12" 4V (Tipo Descolgado) con Damper OB</v>
      </c>
      <c r="L604" s="9" t="str">
        <v>UND</v>
      </c>
      <c r="M604" s="9">
        <v>30</v>
      </c>
      <c r="N604" s="9">
        <v>153283</v>
      </c>
      <c r="O604" s="124" t="str">
        <f t="shared" si="93"/>
        <v>FASE II</v>
      </c>
      <c r="P604" s="155">
        <f t="shared" si="88"/>
        <v>112</v>
      </c>
      <c r="Q604" s="156">
        <f t="shared" si="91"/>
        <v>161298</v>
      </c>
      <c r="R604" s="156">
        <f t="shared" si="92"/>
        <v>18065376</v>
      </c>
    </row>
    <row r="605" spans="2:18" s="9" customFormat="1" ht="35.1" customHeight="1" x14ac:dyDescent="0.25">
      <c r="B605" s="10" t="s">
        <v>860</v>
      </c>
      <c r="C605" s="22" t="s">
        <v>861</v>
      </c>
      <c r="D605" s="10" t="s">
        <v>16</v>
      </c>
      <c r="E605" s="12">
        <v>4</v>
      </c>
      <c r="F605" s="126">
        <v>109753</v>
      </c>
      <c r="G605" s="126">
        <f t="shared" si="95"/>
        <v>439012</v>
      </c>
      <c r="H605" s="8"/>
      <c r="I605" s="8">
        <f t="shared" si="89"/>
        <v>112552</v>
      </c>
      <c r="J605" s="8">
        <f t="shared" si="90"/>
        <v>450208</v>
      </c>
      <c r="K605" s="9" t="str">
        <f t="array" ref="K605:N605">_xlfn.XLOOKUP(C605,'Neiva 2022 FASE I ACTUAL (5)'!$C$6:$C$540,'Neiva 2022 FASE I ACTUAL (5)'!$C$6:$F$540,"NO ESTA")</f>
        <v>SUMINISTRO E INSTALACION DIFUSORES SUMINISTRO DE 9" x 9" 4V (Tipo Descolgado) con Damper OB</v>
      </c>
      <c r="L605" s="9" t="str">
        <v>UND</v>
      </c>
      <c r="M605" s="9">
        <v>2</v>
      </c>
      <c r="N605" s="9">
        <v>106960</v>
      </c>
      <c r="O605" s="124" t="str">
        <f t="shared" si="93"/>
        <v>FASE II</v>
      </c>
      <c r="P605" s="155">
        <f t="shared" si="88"/>
        <v>6</v>
      </c>
      <c r="Q605" s="156">
        <f t="shared" si="91"/>
        <v>112552</v>
      </c>
      <c r="R605" s="156">
        <f t="shared" si="92"/>
        <v>675312</v>
      </c>
    </row>
    <row r="606" spans="2:18" s="9" customFormat="1" ht="35.1" customHeight="1" x14ac:dyDescent="0.25">
      <c r="B606" s="10" t="s">
        <v>862</v>
      </c>
      <c r="C606" s="22" t="s">
        <v>863</v>
      </c>
      <c r="D606" s="10" t="s">
        <v>16</v>
      </c>
      <c r="E606" s="12">
        <v>4</v>
      </c>
      <c r="F606" s="126">
        <v>231800</v>
      </c>
      <c r="G606" s="126">
        <f t="shared" si="95"/>
        <v>927200</v>
      </c>
      <c r="H606" s="8"/>
      <c r="I606" s="8">
        <f t="shared" si="89"/>
        <v>237711</v>
      </c>
      <c r="J606" s="8">
        <f t="shared" si="90"/>
        <v>950844</v>
      </c>
      <c r="K606" s="9" t="str">
        <f t="array" ref="K606:N606">_xlfn.XLOOKUP(C606,'Neiva 2022 FASE I ACTUAL (5)'!$C$6:$C$540,'Neiva 2022 FASE I ACTUAL (5)'!$C$6:$F$540,"NO ESTA")</f>
        <v>SUMINISTRO E INSTALACION REJILLAS SUMINISTRO DE 48" X 12" (TIPO DOBLE ALETA) con Damper incluye EXTRACTORES DE AIRE</v>
      </c>
      <c r="L606" s="9" t="str">
        <v>UND</v>
      </c>
      <c r="M606" s="9">
        <v>1</v>
      </c>
      <c r="N606" s="9">
        <v>225899</v>
      </c>
      <c r="O606" s="124" t="str">
        <f t="shared" si="93"/>
        <v>FASE II</v>
      </c>
      <c r="P606" s="155">
        <f t="shared" si="88"/>
        <v>5</v>
      </c>
      <c r="Q606" s="156">
        <f t="shared" si="91"/>
        <v>237711</v>
      </c>
      <c r="R606" s="156">
        <f t="shared" si="92"/>
        <v>1188555</v>
      </c>
    </row>
    <row r="607" spans="2:18" s="9" customFormat="1" ht="35.1" customHeight="1" x14ac:dyDescent="0.25">
      <c r="B607" s="10" t="s">
        <v>864</v>
      </c>
      <c r="C607" s="87" t="s">
        <v>865</v>
      </c>
      <c r="D607" s="10" t="s">
        <v>16</v>
      </c>
      <c r="E607" s="12">
        <v>2</v>
      </c>
      <c r="F607" s="126">
        <v>58365</v>
      </c>
      <c r="G607" s="126">
        <f t="shared" si="95"/>
        <v>116730</v>
      </c>
      <c r="H607" s="8"/>
      <c r="I607" s="8">
        <f t="shared" si="89"/>
        <v>59853</v>
      </c>
      <c r="J607" s="8">
        <f t="shared" si="90"/>
        <v>119706</v>
      </c>
      <c r="K607" s="9" t="str">
        <f t="array" ref="K607:N607">_xlfn.XLOOKUP(C607,'Neiva 2022 FASE I ACTUAL (5)'!$C$6:$C$540,'Neiva 2022 FASE I ACTUAL (5)'!$C$6:$F$540,"NO ESTA")</f>
        <v>SUMINISTRO E INSTALACION REJILLAS DE ACCESO/ RETORNO A FC DE 18" x 8" 160 CFM</v>
      </c>
      <c r="L607" s="9" t="str">
        <v>UND</v>
      </c>
      <c r="M607" s="9">
        <v>1</v>
      </c>
      <c r="N607" s="9">
        <v>56880</v>
      </c>
      <c r="O607" s="124" t="str">
        <f t="shared" si="93"/>
        <v>FASE II</v>
      </c>
      <c r="P607" s="155">
        <f t="shared" si="88"/>
        <v>3</v>
      </c>
      <c r="Q607" s="156">
        <f t="shared" si="91"/>
        <v>59853</v>
      </c>
      <c r="R607" s="156">
        <f t="shared" si="92"/>
        <v>179559</v>
      </c>
    </row>
    <row r="608" spans="2:18" s="9" customFormat="1" ht="35.1" customHeight="1" x14ac:dyDescent="0.25">
      <c r="B608" s="10" t="s">
        <v>866</v>
      </c>
      <c r="C608" s="22" t="s">
        <v>867</v>
      </c>
      <c r="D608" s="10" t="s">
        <v>16</v>
      </c>
      <c r="E608" s="12">
        <v>12</v>
      </c>
      <c r="F608" s="126">
        <v>218953</v>
      </c>
      <c r="G608" s="126">
        <f t="shared" si="95"/>
        <v>2627436</v>
      </c>
      <c r="H608" s="8"/>
      <c r="I608" s="8">
        <f t="shared" si="89"/>
        <v>224536</v>
      </c>
      <c r="J608" s="8">
        <f t="shared" si="90"/>
        <v>2694432</v>
      </c>
      <c r="K608" s="9" t="str">
        <f t="array" ref="K608:N608">_xlfn.XLOOKUP(C608,'Neiva 2022 FASE I ACTUAL (5)'!$C$6:$C$540,'Neiva 2022 FASE I ACTUAL (5)'!$C$6:$F$540,"NO ESTA")</f>
        <v>SUMINISTRO E INSTALACION REJILLAS DE ACCESO/ RETORNO A FC DE 40" x 8"   320 CFM</v>
      </c>
      <c r="L608" s="9" t="str">
        <v>UND</v>
      </c>
      <c r="M608" s="9">
        <v>4</v>
      </c>
      <c r="N608" s="9">
        <v>213380</v>
      </c>
      <c r="O608" s="124" t="str">
        <f t="shared" si="93"/>
        <v>FASE II</v>
      </c>
      <c r="P608" s="155">
        <f t="shared" si="88"/>
        <v>16</v>
      </c>
      <c r="Q608" s="156">
        <f t="shared" si="91"/>
        <v>224536</v>
      </c>
      <c r="R608" s="156">
        <f t="shared" si="92"/>
        <v>3592576</v>
      </c>
    </row>
    <row r="609" spans="2:18" s="9" customFormat="1" ht="35.1" customHeight="1" x14ac:dyDescent="0.25">
      <c r="B609" s="10" t="s">
        <v>868</v>
      </c>
      <c r="C609" s="22" t="s">
        <v>869</v>
      </c>
      <c r="D609" s="10" t="s">
        <v>16</v>
      </c>
      <c r="E609" s="12">
        <v>8</v>
      </c>
      <c r="F609" s="126">
        <v>231800</v>
      </c>
      <c r="G609" s="126">
        <f t="shared" si="95"/>
        <v>1854400</v>
      </c>
      <c r="H609" s="8"/>
      <c r="I609" s="8">
        <f t="shared" si="89"/>
        <v>237711</v>
      </c>
      <c r="J609" s="8">
        <f t="shared" si="90"/>
        <v>1901688</v>
      </c>
      <c r="K609" s="9" t="str">
        <f t="array" ref="K609:N609">_xlfn.XLOOKUP(C609,'Neiva 2022 FASE I ACTUAL (5)'!$C$6:$C$540,'Neiva 2022 FASE I ACTUAL (5)'!$C$6:$F$540,"NO ESTA")</f>
        <v>SUMINISTRO E INSTALACION REJILLAS DE ACCESO/ RETORNO A FC DE 48" x 12" 400 CFM</v>
      </c>
      <c r="L609" s="9" t="str">
        <v>UND</v>
      </c>
      <c r="M609" s="9">
        <v>3</v>
      </c>
      <c r="N609" s="9">
        <v>225899</v>
      </c>
      <c r="O609" s="124" t="str">
        <f t="shared" si="93"/>
        <v>FASE II</v>
      </c>
      <c r="P609" s="155">
        <f t="shared" si="88"/>
        <v>11</v>
      </c>
      <c r="Q609" s="156">
        <f t="shared" si="91"/>
        <v>237711</v>
      </c>
      <c r="R609" s="156">
        <f t="shared" si="92"/>
        <v>2614821</v>
      </c>
    </row>
    <row r="610" spans="2:18" s="9" customFormat="1" ht="35.1" customHeight="1" x14ac:dyDescent="0.25">
      <c r="B610" s="10" t="s">
        <v>870</v>
      </c>
      <c r="C610" s="87" t="s">
        <v>871</v>
      </c>
      <c r="D610" s="10" t="s">
        <v>16</v>
      </c>
      <c r="E610" s="12">
        <v>1</v>
      </c>
      <c r="F610" s="126">
        <v>499017</v>
      </c>
      <c r="G610" s="126">
        <f t="shared" si="95"/>
        <v>499017</v>
      </c>
      <c r="H610" s="8"/>
      <c r="I610" s="8">
        <f t="shared" si="89"/>
        <v>511742</v>
      </c>
      <c r="J610" s="8">
        <f t="shared" si="90"/>
        <v>511742</v>
      </c>
      <c r="K610" s="9" t="str">
        <f t="array" ref="K610:N610">_xlfn.XLOOKUP(C610,'Neiva 2022 FASE I ACTUAL (5)'!$C$6:$C$540,'Neiva 2022 FASE I ACTUAL (5)'!$C$6:$F$540,"NO ESTA")</f>
        <v>SUMINISTRO E INSTALACION REJILLAS DE ACCESO/ RETORNO A FC DE 48" x 20" 2400 CFM</v>
      </c>
      <c r="L610" s="9" t="str">
        <v>UND</v>
      </c>
      <c r="M610" s="9">
        <v>1</v>
      </c>
      <c r="N610" s="9">
        <v>486315</v>
      </c>
      <c r="O610" s="124" t="str">
        <f t="shared" si="93"/>
        <v>FASE II</v>
      </c>
      <c r="P610" s="155">
        <f t="shared" si="88"/>
        <v>2</v>
      </c>
      <c r="Q610" s="156">
        <f t="shared" si="91"/>
        <v>511742</v>
      </c>
      <c r="R610" s="156">
        <f t="shared" si="92"/>
        <v>1023484</v>
      </c>
    </row>
    <row r="611" spans="2:18" s="9" customFormat="1" ht="35.1" customHeight="1" x14ac:dyDescent="0.25">
      <c r="B611" s="10" t="s">
        <v>872</v>
      </c>
      <c r="C611" s="87" t="s">
        <v>873</v>
      </c>
      <c r="D611" s="10" t="s">
        <v>16</v>
      </c>
      <c r="E611" s="12">
        <v>3</v>
      </c>
      <c r="F611" s="126">
        <v>443775</v>
      </c>
      <c r="G611" s="126">
        <f t="shared" si="95"/>
        <v>1331325</v>
      </c>
      <c r="H611" s="8"/>
      <c r="I611" s="8">
        <f t="shared" si="89"/>
        <v>455091</v>
      </c>
      <c r="J611" s="8">
        <f t="shared" si="90"/>
        <v>1365273</v>
      </c>
      <c r="K611" s="9" t="str">
        <f t="array" ref="K611:N611">_xlfn.XLOOKUP(C611,'Neiva 2022 FASE I ACTUAL (5)'!$C$6:$C$540,'Neiva 2022 FASE I ACTUAL (5)'!$C$6:$F$540,"NO ESTA")</f>
        <v>SUMINISTRO E INSTALACION REJILLAS DE ACCESO/ RETORNO A FC DE 48" x 24" 3600 CFM</v>
      </c>
      <c r="L611" s="9" t="str">
        <v>UND</v>
      </c>
      <c r="M611" s="9">
        <v>1</v>
      </c>
      <c r="N611" s="9">
        <v>432480</v>
      </c>
      <c r="O611" s="124" t="str">
        <f t="shared" si="93"/>
        <v>FASE II</v>
      </c>
      <c r="P611" s="155">
        <f t="shared" si="88"/>
        <v>4</v>
      </c>
      <c r="Q611" s="156">
        <f t="shared" si="91"/>
        <v>455091</v>
      </c>
      <c r="R611" s="156">
        <f t="shared" si="92"/>
        <v>1820364</v>
      </c>
    </row>
    <row r="612" spans="2:18" s="9" customFormat="1" ht="35.1" customHeight="1" x14ac:dyDescent="0.25">
      <c r="B612" s="10" t="s">
        <v>874</v>
      </c>
      <c r="C612" s="22" t="s">
        <v>875</v>
      </c>
      <c r="D612" s="10" t="s">
        <v>16</v>
      </c>
      <c r="E612" s="12">
        <v>0</v>
      </c>
      <c r="F612" s="126">
        <v>23678</v>
      </c>
      <c r="G612" s="126">
        <f t="shared" si="95"/>
        <v>0</v>
      </c>
      <c r="H612" s="8"/>
      <c r="I612" s="8">
        <f t="shared" si="89"/>
        <v>24282</v>
      </c>
      <c r="J612" s="8">
        <f t="shared" si="90"/>
        <v>0</v>
      </c>
      <c r="K612" s="9" t="str">
        <f t="array" ref="K612:N612">_xlfn.XLOOKUP(C612,'Neiva 2022 FASE I ACTUAL (5)'!$C$6:$C$540,'Neiva 2022 FASE I ACTUAL (5)'!$C$6:$F$540,"NO ESTA")</f>
        <v>SUMINISTRO E INSTALACION REJILLAS DE TOMA AIRE EXTERNO TAE 6" x 6"</v>
      </c>
      <c r="L612" s="9" t="str">
        <v>UND</v>
      </c>
      <c r="M612" s="9">
        <v>1</v>
      </c>
      <c r="N612" s="9">
        <v>23075</v>
      </c>
      <c r="O612" s="124" t="str">
        <f t="shared" si="93"/>
        <v>FASE II</v>
      </c>
      <c r="P612" s="155">
        <f t="shared" si="88"/>
        <v>1</v>
      </c>
      <c r="Q612" s="156">
        <f t="shared" si="91"/>
        <v>24282</v>
      </c>
      <c r="R612" s="156">
        <f t="shared" si="92"/>
        <v>24282</v>
      </c>
    </row>
    <row r="613" spans="2:18" s="9" customFormat="1" ht="35.1" customHeight="1" x14ac:dyDescent="0.25">
      <c r="B613" s="10" t="s">
        <v>876</v>
      </c>
      <c r="C613" s="22" t="s">
        <v>877</v>
      </c>
      <c r="D613" s="10" t="s">
        <v>16</v>
      </c>
      <c r="E613" s="12">
        <v>0</v>
      </c>
      <c r="F613" s="126">
        <v>32671</v>
      </c>
      <c r="G613" s="126">
        <f t="shared" si="95"/>
        <v>0</v>
      </c>
      <c r="H613" s="8"/>
      <c r="I613" s="8">
        <f t="shared" si="89"/>
        <v>33504</v>
      </c>
      <c r="J613" s="8">
        <f t="shared" si="90"/>
        <v>0</v>
      </c>
      <c r="K613" s="9" t="str">
        <f t="array" ref="K613:N613">_xlfn.XLOOKUP(C613,'Neiva 2022 FASE I ACTUAL (5)'!$C$6:$C$540,'Neiva 2022 FASE I ACTUAL (5)'!$C$6:$F$540,"NO ESTA")</f>
        <v>SUMINISTRO E INSTALACION REJILLAS DE TOMA AIRE EXTERNO TAE 10" x 8"</v>
      </c>
      <c r="L613" s="9" t="str">
        <v>UND</v>
      </c>
      <c r="M613" s="9">
        <v>1</v>
      </c>
      <c r="N613" s="9">
        <v>31839</v>
      </c>
      <c r="O613" s="124" t="str">
        <f t="shared" si="93"/>
        <v>FASE II</v>
      </c>
      <c r="P613" s="155">
        <f t="shared" si="88"/>
        <v>1</v>
      </c>
      <c r="Q613" s="156">
        <f t="shared" si="91"/>
        <v>33504</v>
      </c>
      <c r="R613" s="156">
        <f t="shared" si="92"/>
        <v>33504</v>
      </c>
    </row>
    <row r="614" spans="2:18" s="9" customFormat="1" ht="35.1" customHeight="1" x14ac:dyDescent="0.25">
      <c r="B614" s="10" t="s">
        <v>878</v>
      </c>
      <c r="C614" s="22" t="s">
        <v>879</v>
      </c>
      <c r="D614" s="10" t="s">
        <v>16</v>
      </c>
      <c r="E614" s="12">
        <v>16</v>
      </c>
      <c r="F614" s="126">
        <v>45518</v>
      </c>
      <c r="G614" s="126">
        <f t="shared" si="95"/>
        <v>728288</v>
      </c>
      <c r="H614" s="8"/>
      <c r="I614" s="8">
        <f t="shared" si="89"/>
        <v>46679</v>
      </c>
      <c r="J614" s="8">
        <f t="shared" si="90"/>
        <v>746864</v>
      </c>
      <c r="K614" s="9" t="str">
        <f t="array" ref="K614:N614">_xlfn.XLOOKUP(C614,'Neiva 2022 FASE I ACTUAL (5)'!$C$6:$C$540,'Neiva 2022 FASE I ACTUAL (5)'!$C$6:$F$540,"NO ESTA")</f>
        <v>SUMINISTRO E INSTALACION REJILLAS DE TOMA AIRE EXTERNO TAE 12" x 8"</v>
      </c>
      <c r="L614" s="9" t="str">
        <v>UND</v>
      </c>
      <c r="M614" s="9">
        <v>6</v>
      </c>
      <c r="N614" s="9">
        <v>44360</v>
      </c>
      <c r="O614" s="124" t="str">
        <f t="shared" si="93"/>
        <v>FASE II</v>
      </c>
      <c r="P614" s="155">
        <f t="shared" si="88"/>
        <v>22</v>
      </c>
      <c r="Q614" s="156">
        <f t="shared" si="91"/>
        <v>46679</v>
      </c>
      <c r="R614" s="156">
        <f t="shared" si="92"/>
        <v>1026938</v>
      </c>
    </row>
    <row r="615" spans="2:18" s="9" customFormat="1" ht="35.1" customHeight="1" x14ac:dyDescent="0.25">
      <c r="B615" s="10" t="s">
        <v>880</v>
      </c>
      <c r="C615" s="22" t="s">
        <v>881</v>
      </c>
      <c r="D615" s="10" t="s">
        <v>16</v>
      </c>
      <c r="E615" s="12">
        <v>2</v>
      </c>
      <c r="F615" s="126">
        <v>58365</v>
      </c>
      <c r="G615" s="126">
        <f t="shared" si="95"/>
        <v>116730</v>
      </c>
      <c r="H615" s="8"/>
      <c r="I615" s="8">
        <f t="shared" si="89"/>
        <v>59853</v>
      </c>
      <c r="J615" s="8">
        <f t="shared" si="90"/>
        <v>119706</v>
      </c>
      <c r="K615" s="9" t="str">
        <f t="array" ref="K615:N615">_xlfn.XLOOKUP(C615,'Neiva 2022 FASE I ACTUAL (5)'!$C$6:$C$540,'Neiva 2022 FASE I ACTUAL (5)'!$C$6:$F$540,"NO ESTA")</f>
        <v>SUMINISTRO E INSTALACION REJILLAS DE TOMA AIRE EXTERNO TAE 18" x 8"</v>
      </c>
      <c r="L615" s="9" t="str">
        <v>UND</v>
      </c>
      <c r="M615" s="9">
        <v>1</v>
      </c>
      <c r="N615" s="9">
        <v>56880</v>
      </c>
      <c r="O615" s="124" t="str">
        <f t="shared" si="93"/>
        <v>FASE II</v>
      </c>
      <c r="P615" s="155">
        <f t="shared" si="88"/>
        <v>3</v>
      </c>
      <c r="Q615" s="156">
        <f t="shared" si="91"/>
        <v>59853</v>
      </c>
      <c r="R615" s="156">
        <f t="shared" si="92"/>
        <v>179559</v>
      </c>
    </row>
    <row r="616" spans="2:18" s="9" customFormat="1" ht="35.1" customHeight="1" x14ac:dyDescent="0.25">
      <c r="B616" s="10" t="s">
        <v>882</v>
      </c>
      <c r="C616" s="22" t="s">
        <v>1333</v>
      </c>
      <c r="D616" s="10" t="s">
        <v>16</v>
      </c>
      <c r="E616" s="12">
        <v>0</v>
      </c>
      <c r="F616" s="126">
        <v>578669</v>
      </c>
      <c r="G616" s="126">
        <f t="shared" si="95"/>
        <v>0</v>
      </c>
      <c r="H616" s="8"/>
      <c r="I616" s="8">
        <f t="shared" si="89"/>
        <v>593425</v>
      </c>
      <c r="J616" s="8">
        <f t="shared" si="90"/>
        <v>0</v>
      </c>
      <c r="K616" s="9" t="str">
        <f t="array" ref="K616">_xlfn.XLOOKUP(C616,'Neiva 2022 FASE I ACTUAL (5)'!$C$6:$C$540,'Neiva 2022 FASE I ACTUAL (5)'!$C$6:$F$540,"NO ESTA")</f>
        <v>NO ESTA</v>
      </c>
      <c r="O616" s="124">
        <f t="shared" si="93"/>
        <v>0</v>
      </c>
      <c r="P616" s="155">
        <f t="shared" si="88"/>
        <v>0</v>
      </c>
      <c r="Q616" s="156">
        <f t="shared" si="91"/>
        <v>593425</v>
      </c>
      <c r="R616" s="156">
        <f t="shared" si="92"/>
        <v>0</v>
      </c>
    </row>
    <row r="617" spans="2:18" s="9" customFormat="1" ht="35.1" customHeight="1" x14ac:dyDescent="0.25">
      <c r="B617" s="10" t="s">
        <v>884</v>
      </c>
      <c r="C617" s="22" t="s">
        <v>1334</v>
      </c>
      <c r="D617" s="10" t="s">
        <v>16</v>
      </c>
      <c r="E617" s="12">
        <v>0</v>
      </c>
      <c r="F617" s="126">
        <v>668044</v>
      </c>
      <c r="G617" s="126">
        <f t="shared" si="95"/>
        <v>0</v>
      </c>
      <c r="H617" s="8"/>
      <c r="I617" s="8">
        <f t="shared" si="89"/>
        <v>685079</v>
      </c>
      <c r="J617" s="8">
        <f t="shared" si="90"/>
        <v>0</v>
      </c>
      <c r="K617" s="9" t="str">
        <f t="array" ref="K617">_xlfn.XLOOKUP(C617,'Neiva 2022 FASE I ACTUAL (5)'!$C$6:$C$540,'Neiva 2022 FASE I ACTUAL (5)'!$C$6:$F$540,"NO ESTA")</f>
        <v>NO ESTA</v>
      </c>
      <c r="O617" s="124">
        <f t="shared" si="93"/>
        <v>0</v>
      </c>
      <c r="P617" s="155">
        <f t="shared" si="88"/>
        <v>0</v>
      </c>
      <c r="Q617" s="156">
        <f t="shared" si="91"/>
        <v>685079</v>
      </c>
      <c r="R617" s="156">
        <f t="shared" si="92"/>
        <v>0</v>
      </c>
    </row>
    <row r="618" spans="2:18" s="9" customFormat="1" ht="35.1" customHeight="1" x14ac:dyDescent="0.25">
      <c r="B618" s="13" t="s">
        <v>886</v>
      </c>
      <c r="C618" s="24" t="s">
        <v>887</v>
      </c>
      <c r="D618" s="24"/>
      <c r="E618" s="15"/>
      <c r="F618" s="129"/>
      <c r="G618" s="140"/>
      <c r="H618" s="8"/>
      <c r="I618" s="8">
        <f t="shared" si="89"/>
        <v>0</v>
      </c>
      <c r="J618" s="8">
        <f t="shared" si="90"/>
        <v>0</v>
      </c>
      <c r="K618" s="9" t="str">
        <f t="array" ref="K618:N618">_xlfn.XLOOKUP(C618,'Neiva 2022 FASE I ACTUAL (5)'!$C$6:$C$540,'Neiva 2022 FASE I ACTUAL (5)'!$C$6:$F$540,"NO ESTA")</f>
        <v>SUMINSITRO, MONTAJE E INSTALACIÓN DE VENTILACIÓN MECANICA</v>
      </c>
      <c r="L618" s="9">
        <v>0</v>
      </c>
      <c r="M618" s="9">
        <v>0</v>
      </c>
      <c r="N618" s="9">
        <v>0</v>
      </c>
      <c r="O618" s="124">
        <f t="shared" si="93"/>
        <v>0</v>
      </c>
      <c r="P618" s="155">
        <f t="shared" si="88"/>
        <v>0</v>
      </c>
      <c r="Q618" s="156">
        <f t="shared" si="91"/>
        <v>0</v>
      </c>
      <c r="R618" s="156">
        <f t="shared" si="92"/>
        <v>0</v>
      </c>
    </row>
    <row r="619" spans="2:18" s="9" customFormat="1" ht="35.1" customHeight="1" x14ac:dyDescent="0.25">
      <c r="B619" s="23" t="s">
        <v>1335</v>
      </c>
      <c r="C619" s="22" t="s">
        <v>1336</v>
      </c>
      <c r="D619" s="10" t="s">
        <v>16</v>
      </c>
      <c r="E619" s="12">
        <v>1</v>
      </c>
      <c r="F619" s="126">
        <v>11241761</v>
      </c>
      <c r="G619" s="126">
        <f>ROUND(+F619*E619,2)</f>
        <v>11241761</v>
      </c>
      <c r="H619" s="8"/>
      <c r="I619" s="8">
        <f t="shared" si="89"/>
        <v>11528426</v>
      </c>
      <c r="J619" s="8">
        <f t="shared" si="90"/>
        <v>11528426</v>
      </c>
      <c r="K619" s="9" t="str">
        <f t="array" ref="K619">_xlfn.XLOOKUP(C619,'Neiva 2022 FASE I ACTUAL (5)'!$C$6:$C$540,'Neiva 2022 FASE I ACTUAL (5)'!$C$6:$F$540,"NO ESTA")</f>
        <v>NO ESTA</v>
      </c>
      <c r="O619" s="124">
        <f t="shared" si="93"/>
        <v>0</v>
      </c>
      <c r="P619" s="155">
        <f t="shared" si="88"/>
        <v>1</v>
      </c>
      <c r="Q619" s="156">
        <f t="shared" si="91"/>
        <v>11528426</v>
      </c>
      <c r="R619" s="156">
        <f t="shared" si="92"/>
        <v>11528426</v>
      </c>
    </row>
    <row r="620" spans="2:18" s="9" customFormat="1" ht="35.1" customHeight="1" x14ac:dyDescent="0.25">
      <c r="B620" s="23" t="s">
        <v>1337</v>
      </c>
      <c r="C620" s="22" t="s">
        <v>1338</v>
      </c>
      <c r="D620" s="10" t="s">
        <v>16</v>
      </c>
      <c r="E620" s="12">
        <v>1</v>
      </c>
      <c r="F620" s="126">
        <v>9700121</v>
      </c>
      <c r="G620" s="126">
        <f>ROUND(+F620*E620,2)</f>
        <v>9700121</v>
      </c>
      <c r="H620" s="8"/>
      <c r="I620" s="8">
        <f t="shared" si="89"/>
        <v>9947474</v>
      </c>
      <c r="J620" s="8">
        <f t="shared" si="90"/>
        <v>9947474</v>
      </c>
      <c r="K620" s="9" t="str">
        <f t="array" ref="K620">_xlfn.XLOOKUP(C620,'Neiva 2022 FASE I ACTUAL (5)'!$C$6:$C$540,'Neiva 2022 FASE I ACTUAL (5)'!$C$6:$F$540,"NO ESTA")</f>
        <v>NO ESTA</v>
      </c>
      <c r="O620" s="124">
        <f t="shared" si="93"/>
        <v>0</v>
      </c>
      <c r="P620" s="155">
        <f t="shared" si="88"/>
        <v>1</v>
      </c>
      <c r="Q620" s="156">
        <f t="shared" si="91"/>
        <v>9947474</v>
      </c>
      <c r="R620" s="156">
        <f t="shared" si="92"/>
        <v>9947474</v>
      </c>
    </row>
    <row r="621" spans="2:18" s="9" customFormat="1" ht="35.1" customHeight="1" x14ac:dyDescent="0.25">
      <c r="B621" s="23" t="s">
        <v>888</v>
      </c>
      <c r="C621" s="22" t="s">
        <v>851</v>
      </c>
      <c r="D621" s="60" t="s">
        <v>13</v>
      </c>
      <c r="E621" s="12">
        <v>88</v>
      </c>
      <c r="F621" s="126">
        <v>90015</v>
      </c>
      <c r="G621" s="126">
        <f>ROUND(+F621*E621,2)</f>
        <v>7921320</v>
      </c>
      <c r="H621" s="8"/>
      <c r="I621" s="8">
        <f t="shared" si="89"/>
        <v>92310</v>
      </c>
      <c r="J621" s="8">
        <f t="shared" si="90"/>
        <v>8123280</v>
      </c>
      <c r="K621" s="9" t="str">
        <f t="array" ref="K621:N621">_xlfn.XLOOKUP(C621,'Neiva 2022 FASE I ACTUAL (5)'!$C$6:$C$540,'Neiva 2022 FASE I ACTUAL (5)'!$C$6:$F$540,"NO ESTA")</f>
        <v>SUMINISTRO E INSTALACION DUCTOS EN LAMINA GALVANIZADA CAL. 20 Wrap UMAS</v>
      </c>
      <c r="L621" s="9" t="str">
        <v>M2</v>
      </c>
      <c r="M621" s="9">
        <v>55</v>
      </c>
      <c r="N621" s="9">
        <v>74652</v>
      </c>
      <c r="O621" s="124" t="str">
        <f t="shared" si="93"/>
        <v>FASE II</v>
      </c>
      <c r="P621" s="155">
        <f t="shared" si="88"/>
        <v>143</v>
      </c>
      <c r="Q621" s="156">
        <f t="shared" si="91"/>
        <v>92310</v>
      </c>
      <c r="R621" s="156">
        <f t="shared" si="92"/>
        <v>13200330</v>
      </c>
    </row>
    <row r="622" spans="2:18" s="9" customFormat="1" ht="35.1" customHeight="1" x14ac:dyDescent="0.25">
      <c r="B622" s="23" t="s">
        <v>889</v>
      </c>
      <c r="C622" s="22" t="s">
        <v>890</v>
      </c>
      <c r="D622" s="60" t="s">
        <v>13</v>
      </c>
      <c r="E622" s="12">
        <v>191</v>
      </c>
      <c r="F622" s="126">
        <v>83592</v>
      </c>
      <c r="G622" s="126">
        <f>ROUND(+F622*E622,2)</f>
        <v>15966072</v>
      </c>
      <c r="H622" s="8"/>
      <c r="I622" s="8">
        <f t="shared" si="89"/>
        <v>85724</v>
      </c>
      <c r="J622" s="8">
        <f t="shared" si="90"/>
        <v>16373284</v>
      </c>
      <c r="K622" s="9" t="str">
        <f t="array" ref="K622:N622">_xlfn.XLOOKUP(C622,'Neiva 2022 FASE I ACTUAL (5)'!$C$6:$C$540,'Neiva 2022 FASE I ACTUAL (5)'!$C$6:$F$540,"NO ESTA")</f>
        <v>SUMINISTRO E INSTALACION DUCTOS EN LAMINA GALVANIZADA CAL. 22 Wrap UMAS</v>
      </c>
      <c r="L622" s="9" t="str">
        <v>M2</v>
      </c>
      <c r="M622" s="9">
        <v>71</v>
      </c>
      <c r="N622" s="9">
        <v>81464</v>
      </c>
      <c r="O622" s="124" t="str">
        <f t="shared" si="93"/>
        <v>FASE II</v>
      </c>
      <c r="P622" s="155">
        <f t="shared" si="88"/>
        <v>262</v>
      </c>
      <c r="Q622" s="156">
        <f t="shared" si="91"/>
        <v>85724</v>
      </c>
      <c r="R622" s="156">
        <f t="shared" si="92"/>
        <v>22459688</v>
      </c>
    </row>
    <row r="623" spans="2:18" s="9" customFormat="1" ht="35.1" customHeight="1" x14ac:dyDescent="0.25">
      <c r="B623" s="23" t="s">
        <v>891</v>
      </c>
      <c r="C623" s="22" t="s">
        <v>892</v>
      </c>
      <c r="D623" s="10" t="s">
        <v>16</v>
      </c>
      <c r="E623" s="12">
        <v>2</v>
      </c>
      <c r="F623" s="126">
        <v>498443</v>
      </c>
      <c r="G623" s="126">
        <f>ROUND(+F623*E623,2)</f>
        <v>996886</v>
      </c>
      <c r="H623" s="8"/>
      <c r="I623" s="8">
        <f t="shared" si="89"/>
        <v>511153</v>
      </c>
      <c r="J623" s="8">
        <f t="shared" si="90"/>
        <v>1022306</v>
      </c>
      <c r="K623" s="9" t="str">
        <f t="array" ref="K623:N623">_xlfn.XLOOKUP(C623,'Neiva 2022 FASE I ACTUAL (5)'!$C$6:$C$540,'Neiva 2022 FASE I ACTUAL (5)'!$C$6:$F$540,"NO ESTA")</f>
        <v>SUMINISTRO E INSTALACION BANCO DE FILTROS</v>
      </c>
      <c r="L623" s="9" t="str">
        <v>UND</v>
      </c>
      <c r="M623" s="9">
        <v>1</v>
      </c>
      <c r="N623" s="9">
        <v>485756</v>
      </c>
      <c r="O623" s="124" t="str">
        <f t="shared" si="93"/>
        <v>FASE II</v>
      </c>
      <c r="P623" s="155">
        <f t="shared" si="88"/>
        <v>3</v>
      </c>
      <c r="Q623" s="156">
        <f t="shared" si="91"/>
        <v>511153</v>
      </c>
      <c r="R623" s="156">
        <f t="shared" si="92"/>
        <v>1533459</v>
      </c>
    </row>
    <row r="624" spans="2:18" s="9" customFormat="1" ht="35.1" customHeight="1" x14ac:dyDescent="0.25">
      <c r="B624" s="13" t="s">
        <v>893</v>
      </c>
      <c r="C624" s="24" t="s">
        <v>894</v>
      </c>
      <c r="D624" s="24"/>
      <c r="E624" s="15"/>
      <c r="F624" s="129"/>
      <c r="G624" s="140"/>
      <c r="H624" s="8"/>
      <c r="I624" s="8">
        <f t="shared" si="89"/>
        <v>0</v>
      </c>
      <c r="J624" s="8">
        <f t="shared" si="90"/>
        <v>0</v>
      </c>
      <c r="K624" s="9" t="str">
        <f t="array" ref="K624:N624">_xlfn.XLOOKUP(C624,'Neiva 2022 FASE I ACTUAL (5)'!$C$6:$C$540,'Neiva 2022 FASE I ACTUAL (5)'!$C$6:$F$540,"NO ESTA")</f>
        <v>SUMNISTRO, INSTALACION Y MONTAJE CONTROL</v>
      </c>
      <c r="L624" s="9">
        <v>0</v>
      </c>
      <c r="M624" s="9">
        <v>0</v>
      </c>
      <c r="N624" s="9">
        <v>0</v>
      </c>
      <c r="O624" s="124">
        <f t="shared" si="93"/>
        <v>0</v>
      </c>
      <c r="P624" s="155">
        <f t="shared" si="88"/>
        <v>0</v>
      </c>
      <c r="Q624" s="156">
        <f t="shared" si="91"/>
        <v>0</v>
      </c>
      <c r="R624" s="156">
        <f t="shared" si="92"/>
        <v>0</v>
      </c>
    </row>
    <row r="625" spans="2:18" s="9" customFormat="1" ht="35.1" customHeight="1" x14ac:dyDescent="0.25">
      <c r="B625" s="10" t="s">
        <v>1339</v>
      </c>
      <c r="C625" s="22" t="s">
        <v>1340</v>
      </c>
      <c r="D625" s="10" t="s">
        <v>16</v>
      </c>
      <c r="E625" s="12">
        <v>2</v>
      </c>
      <c r="F625" s="126">
        <v>11604897</v>
      </c>
      <c r="G625" s="126">
        <f t="shared" ref="G625:G635" si="96">ROUND(+F625*E625,2)</f>
        <v>23209794</v>
      </c>
      <c r="H625" s="8"/>
      <c r="I625" s="8">
        <f t="shared" si="89"/>
        <v>11900822</v>
      </c>
      <c r="J625" s="8">
        <f t="shared" si="90"/>
        <v>23801644</v>
      </c>
      <c r="K625" s="9" t="str">
        <f t="array" ref="K625">_xlfn.XLOOKUP(C625,'Neiva 2022 FASE I ACTUAL (5)'!$C$6:$C$540,'Neiva 2022 FASE I ACTUAL (5)'!$C$6:$F$540,"NO ESTA")</f>
        <v>NO ESTA</v>
      </c>
      <c r="O625" s="124">
        <f t="shared" si="93"/>
        <v>0</v>
      </c>
      <c r="P625" s="155">
        <f t="shared" si="88"/>
        <v>2</v>
      </c>
      <c r="Q625" s="156">
        <f t="shared" si="91"/>
        <v>11900822</v>
      </c>
      <c r="R625" s="156">
        <f t="shared" si="92"/>
        <v>23801644</v>
      </c>
    </row>
    <row r="626" spans="2:18" s="9" customFormat="1" ht="35.1" customHeight="1" x14ac:dyDescent="0.25">
      <c r="B626" s="10" t="s">
        <v>895</v>
      </c>
      <c r="C626" s="22" t="s">
        <v>896</v>
      </c>
      <c r="D626" s="10" t="s">
        <v>16</v>
      </c>
      <c r="E626" s="12">
        <v>1</v>
      </c>
      <c r="F626" s="126">
        <v>1978337</v>
      </c>
      <c r="G626" s="126">
        <f t="shared" si="96"/>
        <v>1978337</v>
      </c>
      <c r="H626" s="8"/>
      <c r="I626" s="8">
        <f t="shared" si="89"/>
        <v>2028785</v>
      </c>
      <c r="J626" s="8">
        <f t="shared" si="90"/>
        <v>2028785</v>
      </c>
      <c r="K626" s="9" t="str">
        <f t="array" ref="K626:N626">_xlfn.XLOOKUP(C626,'Neiva 2022 FASE I ACTUAL (5)'!$C$6:$C$540,'Neiva 2022 FASE I ACTUAL (5)'!$C$6:$F$540,"NO ESTA")</f>
        <v>SUMINISTRO E INSTALACION VALVULA BYPASS 2"</v>
      </c>
      <c r="L626" s="9" t="str">
        <v>UND</v>
      </c>
      <c r="M626" s="9">
        <v>1</v>
      </c>
      <c r="N626" s="9">
        <v>1927980</v>
      </c>
      <c r="O626" s="124" t="str">
        <f t="shared" si="93"/>
        <v>FASE II</v>
      </c>
      <c r="P626" s="155">
        <f t="shared" si="88"/>
        <v>2</v>
      </c>
      <c r="Q626" s="156">
        <f t="shared" si="91"/>
        <v>2028785</v>
      </c>
      <c r="R626" s="156">
        <f t="shared" si="92"/>
        <v>4057570</v>
      </c>
    </row>
    <row r="627" spans="2:18" s="9" customFormat="1" ht="35.1" customHeight="1" x14ac:dyDescent="0.25">
      <c r="B627" s="10" t="s">
        <v>897</v>
      </c>
      <c r="C627" s="22" t="s">
        <v>898</v>
      </c>
      <c r="D627" s="10" t="s">
        <v>16</v>
      </c>
      <c r="E627" s="12">
        <v>2</v>
      </c>
      <c r="F627" s="126">
        <v>1207567</v>
      </c>
      <c r="G627" s="126">
        <f t="shared" si="96"/>
        <v>2415134</v>
      </c>
      <c r="H627" s="8"/>
      <c r="I627" s="8">
        <f t="shared" si="89"/>
        <v>1238360</v>
      </c>
      <c r="J627" s="8">
        <f t="shared" si="90"/>
        <v>2476720</v>
      </c>
      <c r="K627" s="9" t="str">
        <f t="array" ref="K627:N627">_xlfn.XLOOKUP(C627,'Neiva 2022 FASE I ACTUAL (5)'!$C$6:$C$540,'Neiva 2022 FASE I ACTUAL (5)'!$C$6:$F$540,"NO ESTA")</f>
        <v>SUMINISTRO E INSTALACION SENSOR DIFERENCIAL DE PRESIÓN SISTEMA AGUA FRIA</v>
      </c>
      <c r="L627" s="9" t="str">
        <v>UND</v>
      </c>
      <c r="M627" s="9">
        <v>2</v>
      </c>
      <c r="N627" s="9">
        <v>1176830</v>
      </c>
      <c r="O627" s="124" t="str">
        <f t="shared" si="93"/>
        <v>FASE II</v>
      </c>
      <c r="P627" s="155">
        <f t="shared" si="88"/>
        <v>4</v>
      </c>
      <c r="Q627" s="156">
        <f t="shared" si="91"/>
        <v>1238360</v>
      </c>
      <c r="R627" s="156">
        <f t="shared" si="92"/>
        <v>4953440</v>
      </c>
    </row>
    <row r="628" spans="2:18" s="9" customFormat="1" ht="35.1" customHeight="1" x14ac:dyDescent="0.25">
      <c r="B628" s="10" t="s">
        <v>899</v>
      </c>
      <c r="C628" s="22" t="s">
        <v>900</v>
      </c>
      <c r="D628" s="10" t="s">
        <v>16</v>
      </c>
      <c r="E628" s="12">
        <v>1</v>
      </c>
      <c r="F628" s="126">
        <v>867763</v>
      </c>
      <c r="G628" s="126">
        <f t="shared" si="96"/>
        <v>867763</v>
      </c>
      <c r="H628" s="8"/>
      <c r="I628" s="8">
        <f t="shared" si="89"/>
        <v>889891</v>
      </c>
      <c r="J628" s="8">
        <f t="shared" si="90"/>
        <v>889891</v>
      </c>
      <c r="K628" s="9" t="str">
        <f t="array" ref="K628:N628">_xlfn.XLOOKUP(C628,'Neiva 2022 FASE I ACTUAL (5)'!$C$6:$C$540,'Neiva 2022 FASE I ACTUAL (5)'!$C$6:$F$540,"NO ESTA")</f>
        <v>SUMINISTRO E INSTALACION SENSOR DIFERENCIAL DE PRESIÓN SISTEMA AIRE UMAS</v>
      </c>
      <c r="L628" s="9" t="str">
        <v>UND</v>
      </c>
      <c r="M628" s="9">
        <v>1</v>
      </c>
      <c r="N628" s="9">
        <v>845675</v>
      </c>
      <c r="O628" s="124" t="str">
        <f t="shared" si="93"/>
        <v>FASE II</v>
      </c>
      <c r="P628" s="155">
        <f t="shared" si="88"/>
        <v>2</v>
      </c>
      <c r="Q628" s="156">
        <f t="shared" si="91"/>
        <v>889891</v>
      </c>
      <c r="R628" s="156">
        <f t="shared" si="92"/>
        <v>1779782</v>
      </c>
    </row>
    <row r="629" spans="2:18" s="9" customFormat="1" ht="35.1" customHeight="1" x14ac:dyDescent="0.25">
      <c r="B629" s="10" t="s">
        <v>901</v>
      </c>
      <c r="C629" s="22" t="s">
        <v>902</v>
      </c>
      <c r="D629" s="10" t="s">
        <v>16</v>
      </c>
      <c r="E629" s="12">
        <v>2</v>
      </c>
      <c r="F629" s="126">
        <v>867763</v>
      </c>
      <c r="G629" s="126">
        <f t="shared" si="96"/>
        <v>1735526</v>
      </c>
      <c r="H629" s="8"/>
      <c r="I629" s="8">
        <f t="shared" si="89"/>
        <v>889891</v>
      </c>
      <c r="J629" s="8">
        <f t="shared" si="90"/>
        <v>1779782</v>
      </c>
      <c r="K629" s="9" t="str">
        <f t="array" ref="K629:N629">_xlfn.XLOOKUP(C629,'Neiva 2022 FASE I ACTUAL (5)'!$C$6:$C$540,'Neiva 2022 FASE I ACTUAL (5)'!$C$6:$F$540,"NO ESTA")</f>
        <v>SUMINISTRO E INSTALACION SENSOR DE FLUJO AIRE UMAS</v>
      </c>
      <c r="L629" s="9" t="str">
        <v>UND</v>
      </c>
      <c r="M629" s="9">
        <v>1</v>
      </c>
      <c r="N629" s="9">
        <v>845675</v>
      </c>
      <c r="O629" s="124" t="str">
        <f t="shared" si="93"/>
        <v>FASE II</v>
      </c>
      <c r="P629" s="155">
        <f t="shared" si="88"/>
        <v>3</v>
      </c>
      <c r="Q629" s="156">
        <f t="shared" si="91"/>
        <v>889891</v>
      </c>
      <c r="R629" s="156">
        <f t="shared" si="92"/>
        <v>2669673</v>
      </c>
    </row>
    <row r="630" spans="2:18" s="9" customFormat="1" ht="35.1" customHeight="1" x14ac:dyDescent="0.25">
      <c r="B630" s="10" t="s">
        <v>1341</v>
      </c>
      <c r="C630" s="22" t="s">
        <v>1342</v>
      </c>
      <c r="D630" s="10" t="s">
        <v>16</v>
      </c>
      <c r="E630" s="12">
        <v>2</v>
      </c>
      <c r="F630" s="126">
        <v>3301628</v>
      </c>
      <c r="G630" s="126">
        <f t="shared" si="96"/>
        <v>6603256</v>
      </c>
      <c r="H630" s="8"/>
      <c r="I630" s="8">
        <f t="shared" si="89"/>
        <v>3385820</v>
      </c>
      <c r="J630" s="8">
        <f t="shared" si="90"/>
        <v>6771640</v>
      </c>
      <c r="K630" s="9" t="str">
        <f t="array" ref="K630">_xlfn.XLOOKUP(C630,'Neiva 2022 FASE I ACTUAL (5)'!$C$6:$C$540,'Neiva 2022 FASE I ACTUAL (5)'!$C$6:$F$540,"NO ESTA")</f>
        <v>NO ESTA</v>
      </c>
      <c r="O630" s="124">
        <f t="shared" si="93"/>
        <v>0</v>
      </c>
      <c r="P630" s="155">
        <f t="shared" si="88"/>
        <v>2</v>
      </c>
      <c r="Q630" s="156">
        <f t="shared" si="91"/>
        <v>3385820</v>
      </c>
      <c r="R630" s="156">
        <f t="shared" si="92"/>
        <v>6771640</v>
      </c>
    </row>
    <row r="631" spans="2:18" s="9" customFormat="1" ht="35.1" customHeight="1" x14ac:dyDescent="0.25">
      <c r="B631" s="10" t="s">
        <v>1343</v>
      </c>
      <c r="C631" s="22" t="s">
        <v>1344</v>
      </c>
      <c r="D631" s="10" t="s">
        <v>16</v>
      </c>
      <c r="E631" s="12">
        <v>2</v>
      </c>
      <c r="F631" s="126">
        <v>5806708</v>
      </c>
      <c r="G631" s="126">
        <f t="shared" si="96"/>
        <v>11613416</v>
      </c>
      <c r="H631" s="8"/>
      <c r="I631" s="8">
        <f t="shared" si="89"/>
        <v>5954779</v>
      </c>
      <c r="J631" s="8">
        <f t="shared" si="90"/>
        <v>11909558</v>
      </c>
      <c r="K631" s="9" t="str">
        <f t="array" ref="K631">_xlfn.XLOOKUP(C631,'Neiva 2022 FASE I ACTUAL (5)'!$C$6:$C$540,'Neiva 2022 FASE I ACTUAL (5)'!$C$6:$F$540,"NO ESTA")</f>
        <v>NO ESTA</v>
      </c>
      <c r="O631" s="124">
        <f t="shared" si="93"/>
        <v>0</v>
      </c>
      <c r="P631" s="155">
        <f t="shared" si="88"/>
        <v>2</v>
      </c>
      <c r="Q631" s="156">
        <f t="shared" si="91"/>
        <v>5954779</v>
      </c>
      <c r="R631" s="156">
        <f t="shared" si="92"/>
        <v>11909558</v>
      </c>
    </row>
    <row r="632" spans="2:18" s="9" customFormat="1" ht="35.1" customHeight="1" x14ac:dyDescent="0.25">
      <c r="B632" s="10" t="s">
        <v>1345</v>
      </c>
      <c r="C632" s="22" t="s">
        <v>1346</v>
      </c>
      <c r="D632" s="10" t="s">
        <v>16</v>
      </c>
      <c r="E632" s="12">
        <v>2</v>
      </c>
      <c r="F632" s="126">
        <v>1978337</v>
      </c>
      <c r="G632" s="126">
        <f t="shared" si="96"/>
        <v>3956674</v>
      </c>
      <c r="H632" s="8"/>
      <c r="I632" s="8">
        <f t="shared" si="89"/>
        <v>2028785</v>
      </c>
      <c r="J632" s="8">
        <f t="shared" si="90"/>
        <v>4057570</v>
      </c>
      <c r="K632" s="9" t="str">
        <f t="array" ref="K632">_xlfn.XLOOKUP(C632,'Neiva 2022 FASE I ACTUAL (5)'!$C$6:$C$540,'Neiva 2022 FASE I ACTUAL (5)'!$C$6:$F$540,"NO ESTA")</f>
        <v>NO ESTA</v>
      </c>
      <c r="O632" s="124">
        <f t="shared" si="93"/>
        <v>0</v>
      </c>
      <c r="P632" s="155">
        <f t="shared" si="88"/>
        <v>2</v>
      </c>
      <c r="Q632" s="156">
        <f t="shared" si="91"/>
        <v>2028785</v>
      </c>
      <c r="R632" s="156">
        <f t="shared" si="92"/>
        <v>4057570</v>
      </c>
    </row>
    <row r="633" spans="2:18" s="9" customFormat="1" ht="35.1" customHeight="1" x14ac:dyDescent="0.25">
      <c r="B633" s="10" t="s">
        <v>903</v>
      </c>
      <c r="C633" s="22" t="s">
        <v>904</v>
      </c>
      <c r="D633" s="10" t="s">
        <v>16</v>
      </c>
      <c r="E633" s="12">
        <v>3</v>
      </c>
      <c r="F633" s="126">
        <v>1104774</v>
      </c>
      <c r="G633" s="126">
        <f t="shared" si="96"/>
        <v>3314322</v>
      </c>
      <c r="H633" s="8"/>
      <c r="I633" s="8">
        <f t="shared" si="89"/>
        <v>1132946</v>
      </c>
      <c r="J633" s="8">
        <f t="shared" si="90"/>
        <v>3398838</v>
      </c>
      <c r="K633" s="9" t="str">
        <f t="array" ref="K633:N633">_xlfn.XLOOKUP(C633,'Neiva 2022 FASE I ACTUAL (5)'!$C$6:$C$540,'Neiva 2022 FASE I ACTUAL (5)'!$C$6:$F$540,"NO ESTA")</f>
        <v>SUMINISTRO E INSTALACION SENSOR CO</v>
      </c>
      <c r="L633" s="9" t="str">
        <v>UND</v>
      </c>
      <c r="M633" s="9">
        <v>2</v>
      </c>
      <c r="N633" s="9">
        <v>1076654</v>
      </c>
      <c r="O633" s="124" t="str">
        <f t="shared" si="93"/>
        <v>FASE II</v>
      </c>
      <c r="P633" s="155">
        <f t="shared" si="88"/>
        <v>5</v>
      </c>
      <c r="Q633" s="156">
        <f t="shared" si="91"/>
        <v>1132946</v>
      </c>
      <c r="R633" s="156">
        <f t="shared" si="92"/>
        <v>5664730</v>
      </c>
    </row>
    <row r="634" spans="2:18" s="9" customFormat="1" ht="35.1" customHeight="1" x14ac:dyDescent="0.25">
      <c r="B634" s="10" t="s">
        <v>905</v>
      </c>
      <c r="C634" s="22" t="s">
        <v>906</v>
      </c>
      <c r="D634" s="10" t="s">
        <v>16</v>
      </c>
      <c r="E634" s="12">
        <v>2</v>
      </c>
      <c r="F634" s="126">
        <v>331432</v>
      </c>
      <c r="G634" s="126">
        <f t="shared" si="96"/>
        <v>662864</v>
      </c>
      <c r="H634" s="8"/>
      <c r="I634" s="8">
        <f t="shared" si="89"/>
        <v>339884</v>
      </c>
      <c r="J634" s="8">
        <f t="shared" si="90"/>
        <v>679768</v>
      </c>
      <c r="K634" s="9" t="str">
        <f t="array" ref="K634:N634">_xlfn.XLOOKUP(C634,'Neiva 2022 FASE I ACTUAL (5)'!$C$6:$C$540,'Neiva 2022 FASE I ACTUAL (5)'!$C$6:$F$540,"NO ESTA")</f>
        <v>SUMINISTRO E INSTALACION SENSOR CONTROL CO2 UMAS</v>
      </c>
      <c r="L634" s="9" t="str">
        <v>UND</v>
      </c>
      <c r="M634" s="9">
        <v>2</v>
      </c>
      <c r="N634" s="9">
        <v>322996</v>
      </c>
      <c r="O634" s="124" t="str">
        <f t="shared" si="93"/>
        <v>FASE II</v>
      </c>
      <c r="P634" s="155">
        <f t="shared" si="88"/>
        <v>4</v>
      </c>
      <c r="Q634" s="156">
        <f t="shared" si="91"/>
        <v>339884</v>
      </c>
      <c r="R634" s="156">
        <f t="shared" si="92"/>
        <v>1359536</v>
      </c>
    </row>
    <row r="635" spans="2:18" s="9" customFormat="1" ht="35.1" customHeight="1" x14ac:dyDescent="0.25">
      <c r="B635" s="10" t="s">
        <v>1347</v>
      </c>
      <c r="C635" s="22" t="s">
        <v>1348</v>
      </c>
      <c r="D635" s="10" t="s">
        <v>16</v>
      </c>
      <c r="E635" s="12">
        <v>2</v>
      </c>
      <c r="F635" s="126">
        <v>1978337</v>
      </c>
      <c r="G635" s="126">
        <f t="shared" si="96"/>
        <v>3956674</v>
      </c>
      <c r="H635" s="8"/>
      <c r="I635" s="8">
        <f t="shared" si="89"/>
        <v>2028785</v>
      </c>
      <c r="J635" s="8">
        <f t="shared" si="90"/>
        <v>4057570</v>
      </c>
      <c r="K635" s="9" t="str">
        <f t="array" ref="K635">_xlfn.XLOOKUP(C635,'Neiva 2022 FASE I ACTUAL (5)'!$C$6:$C$540,'Neiva 2022 FASE I ACTUAL (5)'!$C$6:$F$540,"NO ESTA")</f>
        <v>NO ESTA</v>
      </c>
      <c r="O635" s="124">
        <f t="shared" si="93"/>
        <v>0</v>
      </c>
      <c r="P635" s="155">
        <f t="shared" si="88"/>
        <v>2</v>
      </c>
      <c r="Q635" s="156">
        <f t="shared" si="91"/>
        <v>2028785</v>
      </c>
      <c r="R635" s="156">
        <f t="shared" si="92"/>
        <v>4057570</v>
      </c>
    </row>
    <row r="636" spans="2:18" s="9" customFormat="1" ht="35.1" customHeight="1" x14ac:dyDescent="0.25">
      <c r="B636" s="33">
        <v>18</v>
      </c>
      <c r="C636" s="34" t="s">
        <v>907</v>
      </c>
      <c r="D636" s="34"/>
      <c r="E636" s="35"/>
      <c r="F636" s="132"/>
      <c r="G636" s="142"/>
      <c r="H636" s="8"/>
      <c r="I636" s="8">
        <f t="shared" si="89"/>
        <v>0</v>
      </c>
      <c r="J636" s="8">
        <f t="shared" si="90"/>
        <v>0</v>
      </c>
      <c r="K636" s="9" t="str">
        <f t="array" ref="K636:N636">_xlfn.XLOOKUP(C636,'Neiva 2022 FASE I ACTUAL (5)'!$C$6:$C$540,'Neiva 2022 FASE I ACTUAL (5)'!$C$6:$F$540,"NO ESTA")</f>
        <v>RED DE VOZ Y DATOS Cat. 6A BLINDADO LSZH (Low Smoke Zero Halogen)</v>
      </c>
      <c r="L636" s="9">
        <v>0</v>
      </c>
      <c r="M636" s="9">
        <v>0</v>
      </c>
      <c r="N636" s="9">
        <v>0</v>
      </c>
      <c r="O636" s="124">
        <f t="shared" si="93"/>
        <v>0</v>
      </c>
      <c r="P636" s="155">
        <f t="shared" si="88"/>
        <v>0</v>
      </c>
      <c r="Q636" s="156">
        <f t="shared" si="91"/>
        <v>0</v>
      </c>
      <c r="R636" s="156">
        <f t="shared" si="92"/>
        <v>0</v>
      </c>
    </row>
    <row r="637" spans="2:18" s="9" customFormat="1" ht="35.1" customHeight="1" x14ac:dyDescent="0.25">
      <c r="B637" s="13" t="s">
        <v>908</v>
      </c>
      <c r="C637" s="24" t="s">
        <v>909</v>
      </c>
      <c r="D637" s="24"/>
      <c r="E637" s="15"/>
      <c r="F637" s="129"/>
      <c r="G637" s="140"/>
      <c r="H637" s="8"/>
      <c r="I637" s="8">
        <f t="shared" si="89"/>
        <v>0</v>
      </c>
      <c r="J637" s="8">
        <f t="shared" si="90"/>
        <v>0</v>
      </c>
      <c r="K637" s="9" t="str">
        <f t="array" ref="K637:N637">_xlfn.XLOOKUP(C637,'Neiva 2022 FASE I ACTUAL (5)'!$C$6:$C$540,'Neiva 2022 FASE I ACTUAL (5)'!$C$6:$F$540,"NO ESTA")</f>
        <v>SUMINISTRO E INSTALACION DE TOMAS PUESTOS DE TRABAJO</v>
      </c>
      <c r="L637" s="9">
        <v>0</v>
      </c>
      <c r="M637" s="9">
        <v>0</v>
      </c>
      <c r="N637" s="9">
        <v>0</v>
      </c>
      <c r="O637" s="124">
        <f t="shared" si="93"/>
        <v>0</v>
      </c>
      <c r="P637" s="155">
        <f t="shared" si="88"/>
        <v>0</v>
      </c>
      <c r="Q637" s="156">
        <f t="shared" si="91"/>
        <v>0</v>
      </c>
      <c r="R637" s="156">
        <f t="shared" si="92"/>
        <v>0</v>
      </c>
    </row>
    <row r="638" spans="2:18" s="9" customFormat="1" ht="35.1" customHeight="1" x14ac:dyDescent="0.25">
      <c r="B638" s="23" t="s">
        <v>910</v>
      </c>
      <c r="C638" s="48" t="s">
        <v>911</v>
      </c>
      <c r="D638" s="10" t="s">
        <v>16</v>
      </c>
      <c r="E638" s="12">
        <v>172</v>
      </c>
      <c r="F638" s="126">
        <v>37593</v>
      </c>
      <c r="G638" s="126">
        <f>ROUND(+F638*E638,2)</f>
        <v>6465996</v>
      </c>
      <c r="H638" s="8"/>
      <c r="I638" s="8">
        <f t="shared" si="89"/>
        <v>38552</v>
      </c>
      <c r="J638" s="8">
        <f t="shared" si="90"/>
        <v>6630944</v>
      </c>
      <c r="K638" s="9" t="str">
        <f t="array" ref="K638:N638">_xlfn.XLOOKUP(C638,'Neiva 2022 FASE I ACTUAL (5)'!$C$6:$C$540,'Neiva 2022 FASE I ACTUAL (5)'!$C$6:$F$540,"NO ESTA")</f>
        <v xml:space="preserve">SUMINISTRO E INSTALACION TOMAS SENCILLA RJ45 Cat. 6A DATOS BLINDADO INCLUYE MARQUILLAS </v>
      </c>
      <c r="L638" s="9" t="str">
        <v>UND</v>
      </c>
      <c r="M638" s="9">
        <v>64</v>
      </c>
      <c r="N638" s="9">
        <v>36636</v>
      </c>
      <c r="O638" s="124" t="str">
        <f t="shared" si="93"/>
        <v>FASE II</v>
      </c>
      <c r="P638" s="155">
        <f t="shared" si="88"/>
        <v>236</v>
      </c>
      <c r="Q638" s="156">
        <f t="shared" si="91"/>
        <v>38552</v>
      </c>
      <c r="R638" s="156">
        <f t="shared" si="92"/>
        <v>9098272</v>
      </c>
    </row>
    <row r="639" spans="2:18" s="9" customFormat="1" ht="35.1" customHeight="1" x14ac:dyDescent="0.25">
      <c r="B639" s="23" t="s">
        <v>912</v>
      </c>
      <c r="C639" s="22" t="s">
        <v>913</v>
      </c>
      <c r="D639" s="10" t="s">
        <v>16</v>
      </c>
      <c r="E639" s="12">
        <v>38</v>
      </c>
      <c r="F639" s="126">
        <v>37593</v>
      </c>
      <c r="G639" s="126">
        <f>ROUND(+F639*E639,2)</f>
        <v>1428534</v>
      </c>
      <c r="H639" s="8"/>
      <c r="I639" s="8">
        <f t="shared" si="89"/>
        <v>38552</v>
      </c>
      <c r="J639" s="8">
        <f t="shared" si="90"/>
        <v>1464976</v>
      </c>
      <c r="K639" s="9" t="str">
        <f t="array" ref="K639:N639">_xlfn.XLOOKUP(C639,'Neiva 2022 FASE I ACTUAL (5)'!$C$6:$C$540,'Neiva 2022 FASE I ACTUAL (5)'!$C$6:$F$540,"NO ESTA")</f>
        <v>SUMINISTRO E INSTALACION TOMAS SENCILLA RJ45 Cat. 6A VOZ BLINDADO INCLUYE MARQUILLAS</v>
      </c>
      <c r="L639" s="9" t="str">
        <v>UND</v>
      </c>
      <c r="M639" s="9">
        <v>14</v>
      </c>
      <c r="N639" s="9">
        <v>36636</v>
      </c>
      <c r="O639" s="124" t="str">
        <f t="shared" si="93"/>
        <v>FASE II</v>
      </c>
      <c r="P639" s="155">
        <f t="shared" si="88"/>
        <v>52</v>
      </c>
      <c r="Q639" s="156">
        <f t="shared" si="91"/>
        <v>38552</v>
      </c>
      <c r="R639" s="156">
        <f t="shared" si="92"/>
        <v>2004704</v>
      </c>
    </row>
    <row r="640" spans="2:18" s="9" customFormat="1" ht="35.1" customHeight="1" x14ac:dyDescent="0.25">
      <c r="B640" s="23" t="s">
        <v>914</v>
      </c>
      <c r="C640" s="22" t="s">
        <v>915</v>
      </c>
      <c r="D640" s="10" t="s">
        <v>16</v>
      </c>
      <c r="E640" s="12">
        <v>172</v>
      </c>
      <c r="F640" s="126">
        <v>9923</v>
      </c>
      <c r="G640" s="126">
        <f>ROUND(+F640*E640,2)</f>
        <v>1706756</v>
      </c>
      <c r="H640" s="8"/>
      <c r="I640" s="8">
        <f t="shared" si="89"/>
        <v>10176</v>
      </c>
      <c r="J640" s="8">
        <f t="shared" si="90"/>
        <v>1750272</v>
      </c>
      <c r="K640" s="9" t="str">
        <f t="array" ref="K640:N640">_xlfn.XLOOKUP(C640,'Neiva 2022 FASE I ACTUAL (5)'!$C$6:$C$540,'Neiva 2022 FASE I ACTUAL (5)'!$C$6:$F$540,"NO ESTA")</f>
        <v>SUMINISTRO E INSTALACION FACE PLATE DOBLE PARA TOMA RJ45</v>
      </c>
      <c r="L640" s="9" t="str">
        <v>UND</v>
      </c>
      <c r="M640" s="9">
        <v>64</v>
      </c>
      <c r="N640" s="9">
        <v>9671</v>
      </c>
      <c r="O640" s="124" t="str">
        <f t="shared" si="93"/>
        <v>FASE II</v>
      </c>
      <c r="P640" s="155">
        <f t="shared" si="88"/>
        <v>236</v>
      </c>
      <c r="Q640" s="156">
        <f t="shared" si="91"/>
        <v>10176</v>
      </c>
      <c r="R640" s="156">
        <f t="shared" si="92"/>
        <v>2401536</v>
      </c>
    </row>
    <row r="641" spans="2:18" s="9" customFormat="1" ht="35.1" customHeight="1" x14ac:dyDescent="0.25">
      <c r="B641" s="23" t="s">
        <v>916</v>
      </c>
      <c r="C641" s="22" t="s">
        <v>917</v>
      </c>
      <c r="D641" s="10" t="s">
        <v>16</v>
      </c>
      <c r="E641" s="12">
        <v>172</v>
      </c>
      <c r="F641" s="126">
        <v>45221</v>
      </c>
      <c r="G641" s="126">
        <f>ROUND(+F641*E641,2)</f>
        <v>7778012</v>
      </c>
      <c r="H641" s="8"/>
      <c r="I641" s="8">
        <f t="shared" si="89"/>
        <v>46374</v>
      </c>
      <c r="J641" s="8">
        <f t="shared" si="90"/>
        <v>7976328</v>
      </c>
      <c r="K641" s="9" t="str">
        <f t="array" ref="K641:N641">_xlfn.XLOOKUP(C641,'Neiva 2022 FASE I ACTUAL (5)'!$C$6:$C$540,'Neiva 2022 FASE I ACTUAL (5)'!$C$6:$F$540,"NO ESTA")</f>
        <v>SUMINISTRO E INSTALACION PATCH CORD. RJ45-RJ45 1,5 m Cat. 6A BLINDADO</v>
      </c>
      <c r="L641" s="9" t="str">
        <v>UND</v>
      </c>
      <c r="M641" s="9">
        <v>64</v>
      </c>
      <c r="N641" s="9">
        <v>44070</v>
      </c>
      <c r="O641" s="124" t="str">
        <f t="shared" si="93"/>
        <v>FASE II</v>
      </c>
      <c r="P641" s="155">
        <f t="shared" si="88"/>
        <v>236</v>
      </c>
      <c r="Q641" s="156">
        <f t="shared" si="91"/>
        <v>46374</v>
      </c>
      <c r="R641" s="156">
        <f t="shared" si="92"/>
        <v>10944264</v>
      </c>
    </row>
    <row r="642" spans="2:18" s="9" customFormat="1" ht="35.1" customHeight="1" x14ac:dyDescent="0.25">
      <c r="B642" s="13" t="s">
        <v>918</v>
      </c>
      <c r="C642" s="24" t="s">
        <v>919</v>
      </c>
      <c r="D642" s="24"/>
      <c r="E642" s="15"/>
      <c r="F642" s="129"/>
      <c r="G642" s="140"/>
      <c r="H642" s="8"/>
      <c r="I642" s="8">
        <f t="shared" si="89"/>
        <v>0</v>
      </c>
      <c r="J642" s="8">
        <f t="shared" si="90"/>
        <v>0</v>
      </c>
      <c r="K642" s="9" t="str">
        <f t="array" ref="K642:N642">_xlfn.XLOOKUP(C642,'Neiva 2022 FASE I ACTUAL (5)'!$C$6:$C$540,'Neiva 2022 FASE I ACTUAL (5)'!$C$6:$F$540,"NO ESTA")</f>
        <v>SUMINISTRO E INSTALACION DE CABLES</v>
      </c>
      <c r="L642" s="9">
        <v>0</v>
      </c>
      <c r="M642" s="9">
        <v>0</v>
      </c>
      <c r="N642" s="9">
        <v>0</v>
      </c>
      <c r="O642" s="124">
        <f t="shared" si="93"/>
        <v>0</v>
      </c>
      <c r="P642" s="155">
        <f t="shared" si="88"/>
        <v>0</v>
      </c>
      <c r="Q642" s="156">
        <f t="shared" si="91"/>
        <v>0</v>
      </c>
      <c r="R642" s="156">
        <f t="shared" si="92"/>
        <v>0</v>
      </c>
    </row>
    <row r="643" spans="2:18" s="9" customFormat="1" ht="35.1" customHeight="1" x14ac:dyDescent="0.25">
      <c r="B643" s="23" t="s">
        <v>920</v>
      </c>
      <c r="C643" s="22" t="s">
        <v>921</v>
      </c>
      <c r="D643" s="10" t="s">
        <v>94</v>
      </c>
      <c r="E643" s="12">
        <v>11247</v>
      </c>
      <c r="F643" s="126">
        <v>4503</v>
      </c>
      <c r="G643" s="126">
        <f>ROUND(+F643*E643,2)</f>
        <v>50645241</v>
      </c>
      <c r="H643" s="8"/>
      <c r="I643" s="8">
        <f t="shared" si="89"/>
        <v>4618</v>
      </c>
      <c r="J643" s="8">
        <f t="shared" si="90"/>
        <v>51938646</v>
      </c>
      <c r="K643" s="9" t="str">
        <f t="array" ref="K643:N643">_xlfn.XLOOKUP(C643,'Neiva 2022 FASE I ACTUAL (5)'!$C$6:$C$540,'Neiva 2022 FASE I ACTUAL (5)'!$C$6:$F$540,"NO ESTA")</f>
        <v>SUMINISTRO E INSTALACION CABLE 10 G F/UTP Cat. 6A CON CHAQUETA LSZH (LOW SMOKE ZERO HALOGEN)</v>
      </c>
      <c r="L643" s="9" t="str">
        <v>ML</v>
      </c>
      <c r="M643" s="9">
        <v>1765</v>
      </c>
      <c r="N643" s="9">
        <v>4389</v>
      </c>
      <c r="O643" s="124" t="str">
        <f t="shared" si="93"/>
        <v>FASE II</v>
      </c>
      <c r="P643" s="155">
        <f t="shared" si="88"/>
        <v>13012</v>
      </c>
      <c r="Q643" s="156">
        <f t="shared" si="91"/>
        <v>4618</v>
      </c>
      <c r="R643" s="156">
        <f t="shared" si="92"/>
        <v>60089416</v>
      </c>
    </row>
    <row r="644" spans="2:18" s="9" customFormat="1" ht="35.1" customHeight="1" x14ac:dyDescent="0.25">
      <c r="B644" s="13" t="s">
        <v>922</v>
      </c>
      <c r="C644" s="24" t="s">
        <v>923</v>
      </c>
      <c r="D644" s="24"/>
      <c r="E644" s="15"/>
      <c r="F644" s="129"/>
      <c r="G644" s="140"/>
      <c r="H644" s="8"/>
      <c r="I644" s="8">
        <f t="shared" si="89"/>
        <v>0</v>
      </c>
      <c r="J644" s="8">
        <f t="shared" si="90"/>
        <v>0</v>
      </c>
      <c r="K644" s="9" t="str">
        <f t="array" ref="K644:N644">_xlfn.XLOOKUP(C644,'Neiva 2022 FASE I ACTUAL (5)'!$C$6:$C$540,'Neiva 2022 FASE I ACTUAL (5)'!$C$6:$F$540,"NO ESTA")</f>
        <v xml:space="preserve">SUMINISTRO E INSTALACION DE ELEMENTOS DE ADMINISTRACIÓN </v>
      </c>
      <c r="L644" s="9">
        <v>0</v>
      </c>
      <c r="M644" s="9">
        <v>0</v>
      </c>
      <c r="N644" s="9">
        <v>0</v>
      </c>
      <c r="O644" s="124">
        <f t="shared" si="93"/>
        <v>0</v>
      </c>
      <c r="P644" s="155">
        <f t="shared" si="88"/>
        <v>0</v>
      </c>
      <c r="Q644" s="156">
        <f t="shared" si="91"/>
        <v>0</v>
      </c>
      <c r="R644" s="156">
        <f t="shared" si="92"/>
        <v>0</v>
      </c>
    </row>
    <row r="645" spans="2:18" s="9" customFormat="1" ht="35.1" customHeight="1" x14ac:dyDescent="0.25">
      <c r="B645" s="23" t="s">
        <v>924</v>
      </c>
      <c r="C645" s="22" t="s">
        <v>925</v>
      </c>
      <c r="D645" s="10" t="s">
        <v>16</v>
      </c>
      <c r="E645" s="12">
        <v>9</v>
      </c>
      <c r="F645" s="126">
        <v>268628</v>
      </c>
      <c r="G645" s="126">
        <f t="shared" ref="G645:G650" si="97">ROUND(+F645*E645,2)</f>
        <v>2417652</v>
      </c>
      <c r="H645" s="8"/>
      <c r="I645" s="8">
        <f t="shared" si="89"/>
        <v>275478</v>
      </c>
      <c r="J645" s="8">
        <f t="shared" si="90"/>
        <v>2479302</v>
      </c>
      <c r="K645" s="9" t="str">
        <f t="array" ref="K645:N645">_xlfn.XLOOKUP(C645,'Neiva 2022 FASE I ACTUAL (5)'!$C$6:$C$540,'Neiva 2022 FASE I ACTUAL (5)'!$C$6:$F$540,"NO ESTA")</f>
        <v>SUMINISTRO E INSTALACION HERRAJE PATVH PANEL 24 Pts Cat. 6A BLINDADO</v>
      </c>
      <c r="L645" s="9" t="str">
        <v>UND</v>
      </c>
      <c r="M645" s="9">
        <v>4</v>
      </c>
      <c r="N645" s="9">
        <v>261791</v>
      </c>
      <c r="O645" s="124" t="str">
        <f t="shared" si="93"/>
        <v>FASE II</v>
      </c>
      <c r="P645" s="155">
        <f t="shared" si="88"/>
        <v>13</v>
      </c>
      <c r="Q645" s="156">
        <f t="shared" si="91"/>
        <v>275478</v>
      </c>
      <c r="R645" s="156">
        <f t="shared" si="92"/>
        <v>3581214</v>
      </c>
    </row>
    <row r="646" spans="2:18" s="9" customFormat="1" ht="35.1" customHeight="1" x14ac:dyDescent="0.25">
      <c r="B646" s="23" t="s">
        <v>926</v>
      </c>
      <c r="C646" s="22" t="s">
        <v>927</v>
      </c>
      <c r="D646" s="10" t="s">
        <v>16</v>
      </c>
      <c r="E646" s="12">
        <v>172</v>
      </c>
      <c r="F646" s="126">
        <v>37595</v>
      </c>
      <c r="G646" s="126">
        <f t="shared" si="97"/>
        <v>6466340</v>
      </c>
      <c r="H646" s="8"/>
      <c r="I646" s="8">
        <f t="shared" si="89"/>
        <v>38554</v>
      </c>
      <c r="J646" s="8">
        <f t="shared" si="90"/>
        <v>6631288</v>
      </c>
      <c r="K646" s="9" t="str">
        <f t="array" ref="K646:N646">_xlfn.XLOOKUP(C646,'Neiva 2022 FASE I ACTUAL (5)'!$C$6:$C$540,'Neiva 2022 FASE I ACTUAL (5)'!$C$6:$F$540,"NO ESTA")</f>
        <v>SUMINISTRO E INSTALACION TOMA SENCILLA RJ45 Cat. 6A AZUL DATOS BLINDADO INCLUYE MARQUILLAS</v>
      </c>
      <c r="L646" s="9" t="str">
        <v>UND</v>
      </c>
      <c r="M646" s="9">
        <v>64</v>
      </c>
      <c r="N646" s="9">
        <v>36638</v>
      </c>
      <c r="O646" s="124" t="str">
        <f t="shared" si="93"/>
        <v>FASE II</v>
      </c>
      <c r="P646" s="155">
        <f t="shared" ref="P646:P709" si="98">E646+M646</f>
        <v>236</v>
      </c>
      <c r="Q646" s="156">
        <f t="shared" si="91"/>
        <v>38554</v>
      </c>
      <c r="R646" s="156">
        <f t="shared" si="92"/>
        <v>9098744</v>
      </c>
    </row>
    <row r="647" spans="2:18" s="9" customFormat="1" ht="35.1" customHeight="1" x14ac:dyDescent="0.25">
      <c r="B647" s="23" t="s">
        <v>928</v>
      </c>
      <c r="C647" s="22" t="s">
        <v>929</v>
      </c>
      <c r="D647" s="10" t="s">
        <v>16</v>
      </c>
      <c r="E647" s="12">
        <v>38</v>
      </c>
      <c r="F647" s="126">
        <v>37595</v>
      </c>
      <c r="G647" s="126">
        <f t="shared" si="97"/>
        <v>1428610</v>
      </c>
      <c r="H647" s="8"/>
      <c r="I647" s="8">
        <f t="shared" ref="I647:I710" si="99">+ROUND(F647*(1+$I$4),0)</f>
        <v>38554</v>
      </c>
      <c r="J647" s="8">
        <f t="shared" ref="J647:J710" si="100">+I647*E647</f>
        <v>1465052</v>
      </c>
      <c r="K647" s="9" t="str">
        <f t="array" ref="K647:N647">_xlfn.XLOOKUP(C647,'Neiva 2022 FASE I ACTUAL (5)'!$C$6:$C$540,'Neiva 2022 FASE I ACTUAL (5)'!$C$6:$F$540,"NO ESTA")</f>
        <v>SUMINISTRO E INSTALACION TOMA SENCILLA RJ45 Cat. 6A ROJO VOZ BLINDADO INCLUYE MARQUILLAS</v>
      </c>
      <c r="L647" s="9" t="str">
        <v>UND</v>
      </c>
      <c r="M647" s="9">
        <v>14</v>
      </c>
      <c r="N647" s="9">
        <v>36638</v>
      </c>
      <c r="O647" s="124" t="str">
        <f t="shared" si="93"/>
        <v>FASE II</v>
      </c>
      <c r="P647" s="155">
        <f t="shared" si="98"/>
        <v>52</v>
      </c>
      <c r="Q647" s="156">
        <f t="shared" ref="Q647:Q710" si="101">MAX(N647,F647,I647)</f>
        <v>38554</v>
      </c>
      <c r="R647" s="156">
        <f t="shared" ref="R647:R710" si="102">ROUND(P647*Q647,2)</f>
        <v>2004808</v>
      </c>
    </row>
    <row r="648" spans="2:18" s="9" customFormat="1" ht="35.1" customHeight="1" x14ac:dyDescent="0.25">
      <c r="B648" s="23" t="s">
        <v>930</v>
      </c>
      <c r="C648" s="22" t="s">
        <v>931</v>
      </c>
      <c r="D648" s="10" t="s">
        <v>16</v>
      </c>
      <c r="E648" s="12">
        <v>172</v>
      </c>
      <c r="F648" s="126">
        <v>48221</v>
      </c>
      <c r="G648" s="126">
        <f t="shared" si="97"/>
        <v>8294012</v>
      </c>
      <c r="H648" s="8"/>
      <c r="I648" s="8">
        <f t="shared" si="99"/>
        <v>49451</v>
      </c>
      <c r="J648" s="8">
        <f t="shared" si="100"/>
        <v>8505572</v>
      </c>
      <c r="K648" s="9" t="str">
        <f t="array" ref="K648:N648">_xlfn.XLOOKUP(C648,'Neiva 2022 FASE I ACTUAL (5)'!$C$6:$C$540,'Neiva 2022 FASE I ACTUAL (5)'!$C$6:$F$540,"NO ESTA")</f>
        <v>SUMINISTRO E INSTALACION PATCH CORD. RJ45-RJ45 3 m Cat. 6A DATOS BLINDADO</v>
      </c>
      <c r="L648" s="9" t="str">
        <v>UND</v>
      </c>
      <c r="M648" s="9">
        <v>64</v>
      </c>
      <c r="N648" s="9">
        <v>46993</v>
      </c>
      <c r="O648" s="124" t="str">
        <f t="shared" ref="O648:O711" si="103">IF(N648=0,0,(IF(F648&lt;N648, "FASE I","FASE II")))</f>
        <v>FASE II</v>
      </c>
      <c r="P648" s="155">
        <f t="shared" si="98"/>
        <v>236</v>
      </c>
      <c r="Q648" s="156">
        <f t="shared" si="101"/>
        <v>49451</v>
      </c>
      <c r="R648" s="156">
        <f t="shared" si="102"/>
        <v>11670436</v>
      </c>
    </row>
    <row r="649" spans="2:18" s="9" customFormat="1" ht="35.1" customHeight="1" x14ac:dyDescent="0.25">
      <c r="B649" s="23" t="s">
        <v>932</v>
      </c>
      <c r="C649" s="22" t="s">
        <v>933</v>
      </c>
      <c r="D649" s="10" t="s">
        <v>16</v>
      </c>
      <c r="E649" s="12">
        <v>38</v>
      </c>
      <c r="F649" s="126">
        <v>48221</v>
      </c>
      <c r="G649" s="126">
        <f t="shared" si="97"/>
        <v>1832398</v>
      </c>
      <c r="H649" s="8"/>
      <c r="I649" s="8">
        <f t="shared" si="99"/>
        <v>49451</v>
      </c>
      <c r="J649" s="8">
        <f t="shared" si="100"/>
        <v>1879138</v>
      </c>
      <c r="K649" s="9" t="str">
        <f t="array" ref="K649:N649">_xlfn.XLOOKUP(C649,'Neiva 2022 FASE I ACTUAL (5)'!$C$6:$C$540,'Neiva 2022 FASE I ACTUAL (5)'!$C$6:$F$540,"NO ESTA")</f>
        <v>SUMINISTRO E INSTALACION PATCH CORD. RJ45-RJ45 3 m Cat. 6A VOZ BLINDADO</v>
      </c>
      <c r="L649" s="9" t="str">
        <v>UND</v>
      </c>
      <c r="M649" s="9">
        <v>14</v>
      </c>
      <c r="N649" s="9">
        <v>46993</v>
      </c>
      <c r="O649" s="124" t="str">
        <f t="shared" si="103"/>
        <v>FASE II</v>
      </c>
      <c r="P649" s="155">
        <f t="shared" si="98"/>
        <v>52</v>
      </c>
      <c r="Q649" s="156">
        <f t="shared" si="101"/>
        <v>49451</v>
      </c>
      <c r="R649" s="156">
        <f t="shared" si="102"/>
        <v>2571452</v>
      </c>
    </row>
    <row r="650" spans="2:18" s="9" customFormat="1" ht="35.1" customHeight="1" x14ac:dyDescent="0.25">
      <c r="B650" s="23" t="s">
        <v>934</v>
      </c>
      <c r="C650" s="22" t="s">
        <v>935</v>
      </c>
      <c r="D650" s="10" t="s">
        <v>16</v>
      </c>
      <c r="E650" s="12">
        <v>9</v>
      </c>
      <c r="F650" s="126">
        <v>250719</v>
      </c>
      <c r="G650" s="126">
        <f t="shared" si="97"/>
        <v>2256471</v>
      </c>
      <c r="H650" s="8"/>
      <c r="I650" s="8">
        <f t="shared" si="99"/>
        <v>257112</v>
      </c>
      <c r="J650" s="8">
        <f t="shared" si="100"/>
        <v>2314008</v>
      </c>
      <c r="K650" s="9" t="str">
        <f t="array" ref="K650:N650">_xlfn.XLOOKUP(C650,'Neiva 2022 FASE I ACTUAL (5)'!$C$6:$C$540,'Neiva 2022 FASE I ACTUAL (5)'!$C$6:$F$540,"NO ESTA")</f>
        <v>SUMINISTRO E INSTALACION ORGANIZADOR HORIZONTAL 2U</v>
      </c>
      <c r="L650" s="9" t="str">
        <v>UND</v>
      </c>
      <c r="M650" s="9">
        <v>4</v>
      </c>
      <c r="N650" s="9">
        <v>244338</v>
      </c>
      <c r="O650" s="124" t="str">
        <f t="shared" si="103"/>
        <v>FASE II</v>
      </c>
      <c r="P650" s="155">
        <f t="shared" si="98"/>
        <v>13</v>
      </c>
      <c r="Q650" s="156">
        <f t="shared" si="101"/>
        <v>257112</v>
      </c>
      <c r="R650" s="156">
        <f t="shared" si="102"/>
        <v>3342456</v>
      </c>
    </row>
    <row r="651" spans="2:18" s="9" customFormat="1" ht="35.1" customHeight="1" x14ac:dyDescent="0.25">
      <c r="B651" s="13" t="s">
        <v>936</v>
      </c>
      <c r="C651" s="14" t="s">
        <v>937</v>
      </c>
      <c r="D651" s="13"/>
      <c r="E651" s="15"/>
      <c r="F651" s="129"/>
      <c r="G651" s="140"/>
      <c r="H651" s="8"/>
      <c r="I651" s="8">
        <f t="shared" si="99"/>
        <v>0</v>
      </c>
      <c r="J651" s="8">
        <f t="shared" si="100"/>
        <v>0</v>
      </c>
      <c r="K651" s="9" t="str">
        <f t="array" ref="K651:N651">_xlfn.XLOOKUP(C651,'Neiva 2022 FASE I ACTUAL (5)'!$C$6:$C$540,'Neiva 2022 FASE I ACTUAL (5)'!$C$6:$F$540,"NO ESTA")</f>
        <v>SUMINISTRO E INSTALACIÓN INTEGRACIÓN TELEFÓNICA</v>
      </c>
      <c r="L651" s="9">
        <v>0</v>
      </c>
      <c r="M651" s="9">
        <v>0</v>
      </c>
      <c r="N651" s="9">
        <v>0</v>
      </c>
      <c r="O651" s="124">
        <f t="shared" si="103"/>
        <v>0</v>
      </c>
      <c r="P651" s="155">
        <f t="shared" si="98"/>
        <v>0</v>
      </c>
      <c r="Q651" s="156">
        <f t="shared" si="101"/>
        <v>0</v>
      </c>
      <c r="R651" s="156">
        <f t="shared" si="102"/>
        <v>0</v>
      </c>
    </row>
    <row r="652" spans="2:18" s="9" customFormat="1" ht="35.1" customHeight="1" x14ac:dyDescent="0.25">
      <c r="B652" s="23" t="s">
        <v>938</v>
      </c>
      <c r="C652" s="22" t="s">
        <v>939</v>
      </c>
      <c r="D652" s="10" t="s">
        <v>16</v>
      </c>
      <c r="E652" s="12">
        <v>1</v>
      </c>
      <c r="F652" s="126">
        <v>581760</v>
      </c>
      <c r="G652" s="126">
        <f>ROUND(+F652*E652,2)</f>
        <v>581760</v>
      </c>
      <c r="H652" s="8"/>
      <c r="I652" s="8">
        <f t="shared" si="99"/>
        <v>596595</v>
      </c>
      <c r="J652" s="8">
        <f t="shared" si="100"/>
        <v>596595</v>
      </c>
      <c r="K652" s="9" t="str">
        <f t="array" ref="K652:N652">_xlfn.XLOOKUP(C652,'Neiva 2022 FASE I ACTUAL (5)'!$C$6:$C$540,'Neiva 2022 FASE I ACTUAL (5)'!$C$6:$F$540,"NO ESTA")</f>
        <v>SUMINISTRO E INSTALACION PATCH PANEL 24 Pts Cat. 5E BLINDADO PARA INTEGRACIÓN TELEFONICA</v>
      </c>
      <c r="L652" s="9" t="str">
        <v>UND</v>
      </c>
      <c r="M652" s="9">
        <v>1</v>
      </c>
      <c r="N652" s="9">
        <v>566952</v>
      </c>
      <c r="O652" s="124" t="str">
        <f t="shared" si="103"/>
        <v>FASE II</v>
      </c>
      <c r="P652" s="155">
        <f t="shared" si="98"/>
        <v>2</v>
      </c>
      <c r="Q652" s="156">
        <f t="shared" si="101"/>
        <v>596595</v>
      </c>
      <c r="R652" s="156">
        <f t="shared" si="102"/>
        <v>1193190</v>
      </c>
    </row>
    <row r="653" spans="2:18" s="9" customFormat="1" ht="35.1" customHeight="1" x14ac:dyDescent="0.25">
      <c r="B653" s="23" t="s">
        <v>940</v>
      </c>
      <c r="C653" s="22" t="s">
        <v>941</v>
      </c>
      <c r="D653" s="10" t="s">
        <v>16</v>
      </c>
      <c r="E653" s="12">
        <v>38</v>
      </c>
      <c r="F653" s="126">
        <v>35336</v>
      </c>
      <c r="G653" s="126">
        <f>ROUND(+F653*E653,2)</f>
        <v>1342768</v>
      </c>
      <c r="H653" s="8"/>
      <c r="I653" s="8">
        <f t="shared" si="99"/>
        <v>36237</v>
      </c>
      <c r="J653" s="8">
        <f t="shared" si="100"/>
        <v>1377006</v>
      </c>
      <c r="K653" s="9" t="str">
        <f t="array" ref="K653:N653">_xlfn.XLOOKUP(C653,'Neiva 2022 FASE I ACTUAL (5)'!$C$6:$C$540,'Neiva 2022 FASE I ACTUAL (5)'!$C$6:$F$540,"NO ESTA")</f>
        <v>SUMINISTRO E INSTALACION PATCH CORD RJ45-RJ45 1m Cat 5E INTEGRACIÓN TELEFÓNICA INCLUYE MARQUILLAS</v>
      </c>
      <c r="L653" s="9" t="str">
        <v>UND</v>
      </c>
      <c r="M653" s="9">
        <v>14</v>
      </c>
      <c r="N653" s="9">
        <v>34436</v>
      </c>
      <c r="O653" s="124" t="str">
        <f t="shared" si="103"/>
        <v>FASE II</v>
      </c>
      <c r="P653" s="155">
        <f t="shared" si="98"/>
        <v>52</v>
      </c>
      <c r="Q653" s="156">
        <f t="shared" si="101"/>
        <v>36237</v>
      </c>
      <c r="R653" s="156">
        <f t="shared" si="102"/>
        <v>1884324</v>
      </c>
    </row>
    <row r="654" spans="2:18" s="9" customFormat="1" ht="35.1" customHeight="1" x14ac:dyDescent="0.25">
      <c r="B654" s="23" t="s">
        <v>942</v>
      </c>
      <c r="C654" s="22" t="s">
        <v>935</v>
      </c>
      <c r="D654" s="10" t="s">
        <v>16</v>
      </c>
      <c r="E654" s="12">
        <v>1</v>
      </c>
      <c r="F654" s="126">
        <v>250719</v>
      </c>
      <c r="G654" s="126">
        <f>ROUND(+F654*E654,2)</f>
        <v>250719</v>
      </c>
      <c r="H654" s="8"/>
      <c r="I654" s="8">
        <f t="shared" si="99"/>
        <v>257112</v>
      </c>
      <c r="J654" s="8">
        <f t="shared" si="100"/>
        <v>257112</v>
      </c>
      <c r="K654" s="9" t="str">
        <f t="array" ref="K654:N654">_xlfn.XLOOKUP(C654,'Neiva 2022 FASE I ACTUAL (5)'!$C$6:$C$540,'Neiva 2022 FASE I ACTUAL (5)'!$C$6:$F$540,"NO ESTA")</f>
        <v>SUMINISTRO E INSTALACION ORGANIZADOR HORIZONTAL 2U</v>
      </c>
      <c r="L654" s="9" t="str">
        <v>UND</v>
      </c>
      <c r="M654" s="9">
        <v>4</v>
      </c>
      <c r="N654" s="9">
        <v>244338</v>
      </c>
      <c r="O654" s="124" t="str">
        <f t="shared" si="103"/>
        <v>FASE II</v>
      </c>
      <c r="P654" s="155">
        <f t="shared" si="98"/>
        <v>5</v>
      </c>
      <c r="Q654" s="156">
        <f t="shared" si="101"/>
        <v>257112</v>
      </c>
      <c r="R654" s="156">
        <f t="shared" si="102"/>
        <v>1285560</v>
      </c>
    </row>
    <row r="655" spans="2:18" s="9" customFormat="1" ht="35.1" customHeight="1" x14ac:dyDescent="0.25">
      <c r="B655" s="13" t="s">
        <v>943</v>
      </c>
      <c r="C655" s="14" t="s">
        <v>944</v>
      </c>
      <c r="D655" s="27"/>
      <c r="E655" s="15"/>
      <c r="F655" s="129"/>
      <c r="G655" s="140"/>
      <c r="H655" s="8"/>
      <c r="I655" s="8">
        <f t="shared" si="99"/>
        <v>0</v>
      </c>
      <c r="J655" s="8">
        <f t="shared" si="100"/>
        <v>0</v>
      </c>
      <c r="K655" s="9" t="str">
        <f t="array" ref="K655:N655">_xlfn.XLOOKUP(C655,'Neiva 2022 FASE I ACTUAL (5)'!$C$6:$C$540,'Neiva 2022 FASE I ACTUAL (5)'!$C$6:$F$540,"NO ESTA")</f>
        <v>SUMINISTRO E INSTALACIÓN DE BACKBONE</v>
      </c>
      <c r="L655" s="9">
        <v>0</v>
      </c>
      <c r="M655" s="9">
        <v>0</v>
      </c>
      <c r="N655" s="9">
        <v>0</v>
      </c>
      <c r="O655" s="124">
        <f t="shared" si="103"/>
        <v>0</v>
      </c>
      <c r="P655" s="155">
        <f t="shared" si="98"/>
        <v>0</v>
      </c>
      <c r="Q655" s="156">
        <f t="shared" si="101"/>
        <v>0</v>
      </c>
      <c r="R655" s="156">
        <f t="shared" si="102"/>
        <v>0</v>
      </c>
    </row>
    <row r="656" spans="2:18" s="9" customFormat="1" ht="35.1" customHeight="1" x14ac:dyDescent="0.25">
      <c r="B656" s="23" t="s">
        <v>945</v>
      </c>
      <c r="C656" s="22" t="s">
        <v>946</v>
      </c>
      <c r="D656" s="10" t="s">
        <v>94</v>
      </c>
      <c r="E656" s="12">
        <v>32</v>
      </c>
      <c r="F656" s="126">
        <v>19602</v>
      </c>
      <c r="G656" s="126">
        <f>ROUND(+F656*E656,2)</f>
        <v>627264</v>
      </c>
      <c r="H656" s="8"/>
      <c r="I656" s="8">
        <f t="shared" si="99"/>
        <v>20102</v>
      </c>
      <c r="J656" s="8">
        <f t="shared" si="100"/>
        <v>643264</v>
      </c>
      <c r="K656" s="9" t="str">
        <f t="array" ref="K656:N656">_xlfn.XLOOKUP(C656,'Neiva 2022 FASE I ACTUAL (5)'!$C$6:$C$540,'Neiva 2022 FASE I ACTUAL (5)'!$C$6:$F$540,"NO ESTA")</f>
        <v>SUMINISTRO E INSTALACION FIBRA OPTICA 6 HILOS MULTIMODO 50/125 u.</v>
      </c>
      <c r="L656" s="9" t="str">
        <v>ML</v>
      </c>
      <c r="M656" s="9">
        <v>12</v>
      </c>
      <c r="N656" s="9">
        <v>19104</v>
      </c>
      <c r="O656" s="124" t="str">
        <f t="shared" si="103"/>
        <v>FASE II</v>
      </c>
      <c r="P656" s="155">
        <f t="shared" si="98"/>
        <v>44</v>
      </c>
      <c r="Q656" s="156">
        <f t="shared" si="101"/>
        <v>20102</v>
      </c>
      <c r="R656" s="156">
        <f t="shared" si="102"/>
        <v>884488</v>
      </c>
    </row>
    <row r="657" spans="2:18" s="9" customFormat="1" ht="35.1" customHeight="1" x14ac:dyDescent="0.25">
      <c r="B657" s="23" t="s">
        <v>947</v>
      </c>
      <c r="C657" s="22" t="s">
        <v>948</v>
      </c>
      <c r="D657" s="10" t="s">
        <v>16</v>
      </c>
      <c r="E657" s="12">
        <v>2</v>
      </c>
      <c r="F657" s="126">
        <v>706677</v>
      </c>
      <c r="G657" s="126">
        <f>ROUND(+F657*E657,2)</f>
        <v>1413354</v>
      </c>
      <c r="H657" s="8"/>
      <c r="I657" s="8">
        <f t="shared" si="99"/>
        <v>724697</v>
      </c>
      <c r="J657" s="8">
        <f t="shared" si="100"/>
        <v>1449394</v>
      </c>
      <c r="K657" s="9" t="str">
        <f t="array" ref="K657:N657">_xlfn.XLOOKUP(C657,'Neiva 2022 FASE I ACTUAL (5)'!$C$6:$C$540,'Neiva 2022 FASE I ACTUAL (5)'!$C$6:$F$540,"NO ESTA")</f>
        <v>SUMINISTRO E INSTALACION BANDEJA DE FIBRA OPTICA DE 24 PUERTOS</v>
      </c>
      <c r="L657" s="9" t="str">
        <v>UND</v>
      </c>
      <c r="M657" s="9">
        <v>2</v>
      </c>
      <c r="N657" s="9">
        <v>688690</v>
      </c>
      <c r="O657" s="124" t="str">
        <f t="shared" si="103"/>
        <v>FASE II</v>
      </c>
      <c r="P657" s="155">
        <f t="shared" si="98"/>
        <v>4</v>
      </c>
      <c r="Q657" s="156">
        <f t="shared" si="101"/>
        <v>724697</v>
      </c>
      <c r="R657" s="156">
        <f t="shared" si="102"/>
        <v>2898788</v>
      </c>
    </row>
    <row r="658" spans="2:18" s="9" customFormat="1" ht="35.1" customHeight="1" x14ac:dyDescent="0.25">
      <c r="B658" s="23" t="s">
        <v>949</v>
      </c>
      <c r="C658" s="22" t="s">
        <v>950</v>
      </c>
      <c r="D658" s="10" t="s">
        <v>16</v>
      </c>
      <c r="E658" s="12">
        <v>2</v>
      </c>
      <c r="F658" s="126">
        <v>250719</v>
      </c>
      <c r="G658" s="126">
        <f>ROUND(+F658*E658,2)</f>
        <v>501438</v>
      </c>
      <c r="H658" s="8"/>
      <c r="I658" s="8">
        <f t="shared" si="99"/>
        <v>257112</v>
      </c>
      <c r="J658" s="8">
        <f t="shared" si="100"/>
        <v>514224</v>
      </c>
      <c r="K658" s="9" t="str">
        <f t="array" ref="K658:N658">_xlfn.XLOOKUP(C658,'Neiva 2022 FASE I ACTUAL (5)'!$C$6:$C$540,'Neiva 2022 FASE I ACTUAL (5)'!$C$6:$F$540,"NO ESTA")</f>
        <v>SUMINISTRO E INSTALACION ORGANIZADOR HORIZONTAL 1U</v>
      </c>
      <c r="L658" s="9" t="str">
        <v>UND</v>
      </c>
      <c r="M658" s="9">
        <v>2</v>
      </c>
      <c r="N658" s="9">
        <v>244338</v>
      </c>
      <c r="O658" s="124" t="str">
        <f t="shared" si="103"/>
        <v>FASE II</v>
      </c>
      <c r="P658" s="155">
        <f t="shared" si="98"/>
        <v>4</v>
      </c>
      <c r="Q658" s="156">
        <f t="shared" si="101"/>
        <v>257112</v>
      </c>
      <c r="R658" s="156">
        <f t="shared" si="102"/>
        <v>1028448</v>
      </c>
    </row>
    <row r="659" spans="2:18" s="9" customFormat="1" ht="35.1" customHeight="1" x14ac:dyDescent="0.25">
      <c r="B659" s="13" t="s">
        <v>951</v>
      </c>
      <c r="C659" s="14" t="s">
        <v>952</v>
      </c>
      <c r="D659" s="27"/>
      <c r="E659" s="15"/>
      <c r="F659" s="129"/>
      <c r="G659" s="140"/>
      <c r="H659" s="8"/>
      <c r="I659" s="8">
        <f t="shared" si="99"/>
        <v>0</v>
      </c>
      <c r="J659" s="8">
        <f t="shared" si="100"/>
        <v>0</v>
      </c>
      <c r="K659" s="9" t="str">
        <f t="array" ref="K659:N659">_xlfn.XLOOKUP(C659,'Neiva 2022 FASE I ACTUAL (5)'!$C$6:$C$540,'Neiva 2022 FASE I ACTUAL (5)'!$C$6:$F$540,"NO ESTA")</f>
        <v xml:space="preserve">SUMINISTRO E INSTALACIÓN DE OTROS </v>
      </c>
      <c r="L659" s="9">
        <v>0</v>
      </c>
      <c r="M659" s="9">
        <v>0</v>
      </c>
      <c r="N659" s="9">
        <v>0</v>
      </c>
      <c r="O659" s="124">
        <f t="shared" si="103"/>
        <v>0</v>
      </c>
      <c r="P659" s="155">
        <f t="shared" si="98"/>
        <v>0</v>
      </c>
      <c r="Q659" s="156">
        <f t="shared" si="101"/>
        <v>0</v>
      </c>
      <c r="R659" s="156">
        <f t="shared" si="102"/>
        <v>0</v>
      </c>
    </row>
    <row r="660" spans="2:18" s="9" customFormat="1" ht="35.1" customHeight="1" x14ac:dyDescent="0.25">
      <c r="B660" s="23" t="s">
        <v>953</v>
      </c>
      <c r="C660" s="22" t="s">
        <v>954</v>
      </c>
      <c r="D660" s="10" t="s">
        <v>16</v>
      </c>
      <c r="E660" s="12">
        <v>3</v>
      </c>
      <c r="F660" s="126">
        <v>4504726</v>
      </c>
      <c r="G660" s="126">
        <f t="shared" ref="G660:G671" si="104">ROUND(+F660*E660,2)</f>
        <v>13514178</v>
      </c>
      <c r="H660" s="8"/>
      <c r="I660" s="8">
        <f t="shared" si="99"/>
        <v>4619597</v>
      </c>
      <c r="J660" s="8">
        <f t="shared" si="100"/>
        <v>13858791</v>
      </c>
      <c r="K660" s="9" t="str">
        <f t="array" ref="K660:N660">_xlfn.XLOOKUP(C660,'Neiva 2022 FASE I ACTUAL (5)'!$C$6:$C$540,'Neiva 2022 FASE I ACTUAL (5)'!$C$6:$F$540,"NO ESTA")</f>
        <v>SUMINISTRO E INSTALACION GABINETE 2,10 m ALTO X 0,71 m PROFUNDO Y 0,81 m DE ANCHO</v>
      </c>
      <c r="L660" s="9" t="str">
        <v>UND</v>
      </c>
      <c r="M660" s="9">
        <v>1</v>
      </c>
      <c r="N660" s="9">
        <v>4390063</v>
      </c>
      <c r="O660" s="124" t="str">
        <f t="shared" si="103"/>
        <v>FASE II</v>
      </c>
      <c r="P660" s="155">
        <f t="shared" si="98"/>
        <v>4</v>
      </c>
      <c r="Q660" s="156">
        <f t="shared" si="101"/>
        <v>4619597</v>
      </c>
      <c r="R660" s="156">
        <f t="shared" si="102"/>
        <v>18478388</v>
      </c>
    </row>
    <row r="661" spans="2:18" s="9" customFormat="1" ht="35.1" customHeight="1" x14ac:dyDescent="0.25">
      <c r="B661" s="23" t="s">
        <v>955</v>
      </c>
      <c r="C661" s="22" t="s">
        <v>956</v>
      </c>
      <c r="D661" s="10" t="s">
        <v>16</v>
      </c>
      <c r="E661" s="12">
        <v>6</v>
      </c>
      <c r="F661" s="126">
        <v>578906</v>
      </c>
      <c r="G661" s="126">
        <f t="shared" si="104"/>
        <v>3473436</v>
      </c>
      <c r="H661" s="8"/>
      <c r="I661" s="8">
        <f t="shared" si="99"/>
        <v>593668</v>
      </c>
      <c r="J661" s="8">
        <f t="shared" si="100"/>
        <v>3562008</v>
      </c>
      <c r="K661" s="9" t="str">
        <f t="array" ref="K661:N661">_xlfn.XLOOKUP(C661,'Neiva 2022 FASE I ACTUAL (5)'!$C$6:$C$540,'Neiva 2022 FASE I ACTUAL (5)'!$C$6:$F$540,"NO ESTA")</f>
        <v>SUMINISTRO E INSTALACION ORGANIZADOR VERTICAL</v>
      </c>
      <c r="L661" s="9" t="str">
        <v>UND</v>
      </c>
      <c r="M661" s="9">
        <v>2</v>
      </c>
      <c r="N661" s="9">
        <v>564171</v>
      </c>
      <c r="O661" s="124" t="str">
        <f t="shared" si="103"/>
        <v>FASE II</v>
      </c>
      <c r="P661" s="155">
        <f t="shared" si="98"/>
        <v>8</v>
      </c>
      <c r="Q661" s="156">
        <f t="shared" si="101"/>
        <v>593668</v>
      </c>
      <c r="R661" s="156">
        <f t="shared" si="102"/>
        <v>4749344</v>
      </c>
    </row>
    <row r="662" spans="2:18" s="9" customFormat="1" ht="35.1" customHeight="1" x14ac:dyDescent="0.25">
      <c r="B662" s="23" t="s">
        <v>957</v>
      </c>
      <c r="C662" s="22" t="s">
        <v>958</v>
      </c>
      <c r="D662" s="10" t="s">
        <v>16</v>
      </c>
      <c r="E662" s="12">
        <v>3</v>
      </c>
      <c r="F662" s="126">
        <v>501331</v>
      </c>
      <c r="G662" s="126">
        <f t="shared" si="104"/>
        <v>1503993</v>
      </c>
      <c r="H662" s="8"/>
      <c r="I662" s="8">
        <f t="shared" si="99"/>
        <v>514115</v>
      </c>
      <c r="J662" s="8">
        <f t="shared" si="100"/>
        <v>1542345</v>
      </c>
      <c r="K662" s="9" t="str">
        <f t="array" ref="K662:N662">_xlfn.XLOOKUP(C662,'Neiva 2022 FASE I ACTUAL (5)'!$C$6:$C$540,'Neiva 2022 FASE I ACTUAL (5)'!$C$6:$F$540,"NO ESTA")</f>
        <v>SUMINISTRO E INSTALACION MULTITOMA CON 5 SALIDAS ELECTRICAS GRADO HOSPITALARIO</v>
      </c>
      <c r="L662" s="9" t="str">
        <v>UND</v>
      </c>
      <c r="M662" s="9">
        <v>1</v>
      </c>
      <c r="N662" s="9">
        <v>488570</v>
      </c>
      <c r="O662" s="124" t="str">
        <f t="shared" si="103"/>
        <v>FASE II</v>
      </c>
      <c r="P662" s="155">
        <f t="shared" si="98"/>
        <v>4</v>
      </c>
      <c r="Q662" s="156">
        <f t="shared" si="101"/>
        <v>514115</v>
      </c>
      <c r="R662" s="156">
        <f t="shared" si="102"/>
        <v>2056460</v>
      </c>
    </row>
    <row r="663" spans="2:18" s="9" customFormat="1" ht="35.1" customHeight="1" x14ac:dyDescent="0.25">
      <c r="B663" s="23" t="s">
        <v>959</v>
      </c>
      <c r="C663" s="22" t="s">
        <v>960</v>
      </c>
      <c r="D663" s="10" t="s">
        <v>94</v>
      </c>
      <c r="E663" s="12">
        <v>29</v>
      </c>
      <c r="F663" s="126">
        <v>4631</v>
      </c>
      <c r="G663" s="126">
        <f t="shared" si="104"/>
        <v>134299</v>
      </c>
      <c r="H663" s="8"/>
      <c r="I663" s="8">
        <f t="shared" si="99"/>
        <v>4749</v>
      </c>
      <c r="J663" s="8">
        <f t="shared" si="100"/>
        <v>137721</v>
      </c>
      <c r="K663" s="9" t="str">
        <f t="array" ref="K663:N663">_xlfn.XLOOKUP(C663,'Neiva 2022 FASE I ACTUAL (5)'!$C$6:$C$540,'Neiva 2022 FASE I ACTUAL (5)'!$C$6:$F$540,"NO ESTA")</f>
        <v>SUMINISTRO E INSTALACION CABLE THHN No. 6 AWG VERDE. PARA ATERRIZAJE DE ELEMENTOS Y GABINATE</v>
      </c>
      <c r="L663" s="9" t="str">
        <v>ML</v>
      </c>
      <c r="M663" s="9">
        <v>11</v>
      </c>
      <c r="N663" s="9">
        <v>4514</v>
      </c>
      <c r="O663" s="124" t="str">
        <f t="shared" si="103"/>
        <v>FASE II</v>
      </c>
      <c r="P663" s="155">
        <f t="shared" si="98"/>
        <v>40</v>
      </c>
      <c r="Q663" s="156">
        <f t="shared" si="101"/>
        <v>4749</v>
      </c>
      <c r="R663" s="156">
        <f t="shared" si="102"/>
        <v>189960</v>
      </c>
    </row>
    <row r="664" spans="2:18" s="9" customFormat="1" ht="35.1" customHeight="1" x14ac:dyDescent="0.25">
      <c r="B664" s="23" t="s">
        <v>961</v>
      </c>
      <c r="C664" s="22" t="s">
        <v>962</v>
      </c>
      <c r="D664" s="23" t="s">
        <v>94</v>
      </c>
      <c r="E664" s="12">
        <v>316</v>
      </c>
      <c r="F664" s="126">
        <v>154235</v>
      </c>
      <c r="G664" s="126">
        <f t="shared" si="104"/>
        <v>48738260</v>
      </c>
      <c r="H664" s="8"/>
      <c r="I664" s="8">
        <f t="shared" si="99"/>
        <v>158168</v>
      </c>
      <c r="J664" s="8">
        <f t="shared" si="100"/>
        <v>49981088</v>
      </c>
      <c r="K664" s="9" t="str">
        <f t="array" ref="K664:N664">_xlfn.XLOOKUP(C664,'Neiva 2022 FASE I ACTUAL (5)'!$C$6:$C$540,'Neiva 2022 FASE I ACTUAL (5)'!$C$6:$F$540,"NO ESTA")</f>
        <v>SUMINISTRO E INSTALACION BANDEJA TIPO MALLA DE 40 x 8 cm CON ACCESORIOS</v>
      </c>
      <c r="L664" s="9" t="str">
        <v>ML</v>
      </c>
      <c r="M664" s="9">
        <v>230</v>
      </c>
      <c r="N664" s="9">
        <v>150309</v>
      </c>
      <c r="O664" s="124" t="str">
        <f t="shared" si="103"/>
        <v>FASE II</v>
      </c>
      <c r="P664" s="155">
        <f t="shared" si="98"/>
        <v>546</v>
      </c>
      <c r="Q664" s="156">
        <f t="shared" si="101"/>
        <v>158168</v>
      </c>
      <c r="R664" s="156">
        <f t="shared" si="102"/>
        <v>86359728</v>
      </c>
    </row>
    <row r="665" spans="2:18" s="9" customFormat="1" ht="35.1" customHeight="1" x14ac:dyDescent="0.25">
      <c r="B665" s="23" t="s">
        <v>963</v>
      </c>
      <c r="C665" s="22" t="s">
        <v>964</v>
      </c>
      <c r="D665" s="10" t="s">
        <v>94</v>
      </c>
      <c r="E665" s="12">
        <v>245</v>
      </c>
      <c r="F665" s="126">
        <v>36543</v>
      </c>
      <c r="G665" s="126">
        <f t="shared" si="104"/>
        <v>8953035</v>
      </c>
      <c r="H665" s="8"/>
      <c r="I665" s="8">
        <f t="shared" si="99"/>
        <v>37475</v>
      </c>
      <c r="J665" s="8">
        <f t="shared" si="100"/>
        <v>9181375</v>
      </c>
      <c r="K665" s="9" t="str">
        <f t="array" ref="K665:N665">_xlfn.XLOOKUP(C665,'Neiva 2022 FASE I ACTUAL (5)'!$C$6:$C$540,'Neiva 2022 FASE I ACTUAL (5)'!$C$6:$F$540,"NO ESTA")</f>
        <v>SUMINISTRO E INSTALACION CANALETA METÁLICA DE 12 x 5 cm.</v>
      </c>
      <c r="L665" s="9" t="str">
        <v>ML</v>
      </c>
      <c r="M665" s="9">
        <v>91</v>
      </c>
      <c r="N665" s="9">
        <v>35614</v>
      </c>
      <c r="O665" s="124" t="str">
        <f t="shared" si="103"/>
        <v>FASE II</v>
      </c>
      <c r="P665" s="155">
        <f t="shared" si="98"/>
        <v>336</v>
      </c>
      <c r="Q665" s="156">
        <f t="shared" si="101"/>
        <v>37475</v>
      </c>
      <c r="R665" s="156">
        <f t="shared" si="102"/>
        <v>12591600</v>
      </c>
    </row>
    <row r="666" spans="2:18" s="9" customFormat="1" ht="35.1" customHeight="1" x14ac:dyDescent="0.25">
      <c r="B666" s="23" t="s">
        <v>965</v>
      </c>
      <c r="C666" s="22" t="s">
        <v>966</v>
      </c>
      <c r="D666" s="10" t="s">
        <v>94</v>
      </c>
      <c r="E666" s="12">
        <v>64</v>
      </c>
      <c r="F666" s="126">
        <v>20181</v>
      </c>
      <c r="G666" s="126">
        <f t="shared" si="104"/>
        <v>1291584</v>
      </c>
      <c r="H666" s="8"/>
      <c r="I666" s="8">
        <f t="shared" si="99"/>
        <v>20696</v>
      </c>
      <c r="J666" s="8">
        <f t="shared" si="100"/>
        <v>1324544</v>
      </c>
      <c r="K666" s="9" t="str">
        <f t="array" ref="K666:N666">_xlfn.XLOOKUP(C666,'Neiva 2022 FASE I ACTUAL (5)'!$C$6:$C$540,'Neiva 2022 FASE I ACTUAL (5)'!$C$6:$F$540,"NO ESTA")</f>
        <v>SUMINISTRO E INSTALACION TUBERÍA EMT DE 1" INCLUYE ACCESORIOS</v>
      </c>
      <c r="L666" s="9" t="str">
        <v>ML</v>
      </c>
      <c r="M666" s="9">
        <v>23</v>
      </c>
      <c r="N666" s="9">
        <v>19668</v>
      </c>
      <c r="O666" s="124" t="str">
        <f t="shared" si="103"/>
        <v>FASE II</v>
      </c>
      <c r="P666" s="155">
        <f t="shared" si="98"/>
        <v>87</v>
      </c>
      <c r="Q666" s="156">
        <f t="shared" si="101"/>
        <v>20696</v>
      </c>
      <c r="R666" s="156">
        <f t="shared" si="102"/>
        <v>1800552</v>
      </c>
    </row>
    <row r="667" spans="2:18" s="9" customFormat="1" ht="35.1" customHeight="1" x14ac:dyDescent="0.25">
      <c r="B667" s="23" t="s">
        <v>967</v>
      </c>
      <c r="C667" s="22" t="s">
        <v>968</v>
      </c>
      <c r="D667" s="10" t="s">
        <v>94</v>
      </c>
      <c r="E667" s="12">
        <v>166</v>
      </c>
      <c r="F667" s="126">
        <v>16039</v>
      </c>
      <c r="G667" s="126">
        <f t="shared" si="104"/>
        <v>2662474</v>
      </c>
      <c r="H667" s="8"/>
      <c r="I667" s="8">
        <f t="shared" si="99"/>
        <v>16448</v>
      </c>
      <c r="J667" s="8">
        <f t="shared" si="100"/>
        <v>2730368</v>
      </c>
      <c r="K667" s="9" t="str">
        <f t="array" ref="K667:N667">_xlfn.XLOOKUP(C667,'Neiva 2022 FASE I ACTUAL (5)'!$C$6:$C$540,'Neiva 2022 FASE I ACTUAL (5)'!$C$6:$F$540,"NO ESTA")</f>
        <v>SUMINISTRO E INSTALACION TUBERÍA EMT DE 3/4" INCLUYE ACCESORIOS</v>
      </c>
      <c r="L667" s="9" t="str">
        <v>ML</v>
      </c>
      <c r="M667" s="9">
        <v>61</v>
      </c>
      <c r="N667" s="9">
        <v>15631</v>
      </c>
      <c r="O667" s="124" t="str">
        <f t="shared" si="103"/>
        <v>FASE II</v>
      </c>
      <c r="P667" s="155">
        <f t="shared" si="98"/>
        <v>227</v>
      </c>
      <c r="Q667" s="156">
        <f t="shared" si="101"/>
        <v>16448</v>
      </c>
      <c r="R667" s="156">
        <f t="shared" si="102"/>
        <v>3733696</v>
      </c>
    </row>
    <row r="668" spans="2:18" s="9" customFormat="1" ht="35.1" customHeight="1" x14ac:dyDescent="0.25">
      <c r="B668" s="23" t="s">
        <v>969</v>
      </c>
      <c r="C668" s="22" t="s">
        <v>970</v>
      </c>
      <c r="D668" s="10" t="s">
        <v>94</v>
      </c>
      <c r="E668" s="12">
        <v>22</v>
      </c>
      <c r="F668" s="126">
        <v>5910</v>
      </c>
      <c r="G668" s="126">
        <f t="shared" si="104"/>
        <v>130020</v>
      </c>
      <c r="H668" s="8"/>
      <c r="I668" s="8">
        <f t="shared" si="99"/>
        <v>6061</v>
      </c>
      <c r="J668" s="8">
        <f t="shared" si="100"/>
        <v>133342</v>
      </c>
      <c r="K668" s="9" t="str">
        <f t="array" ref="K668:N668">_xlfn.XLOOKUP(C668,'Neiva 2022 FASE I ACTUAL (5)'!$C$6:$C$540,'Neiva 2022 FASE I ACTUAL (5)'!$C$6:$F$540,"NO ESTA")</f>
        <v>SUMINISTRO E INSTALACION TUBERÍA PVC DE 1" INCLUYE ACCESORIOS</v>
      </c>
      <c r="L668" s="9" t="str">
        <v>ML</v>
      </c>
      <c r="M668" s="9">
        <v>8</v>
      </c>
      <c r="N668" s="9">
        <v>5759</v>
      </c>
      <c r="O668" s="124" t="str">
        <f t="shared" si="103"/>
        <v>FASE II</v>
      </c>
      <c r="P668" s="155">
        <f t="shared" si="98"/>
        <v>30</v>
      </c>
      <c r="Q668" s="156">
        <f t="shared" si="101"/>
        <v>6061</v>
      </c>
      <c r="R668" s="156">
        <f t="shared" si="102"/>
        <v>181830</v>
      </c>
    </row>
    <row r="669" spans="2:18" s="9" customFormat="1" ht="35.1" customHeight="1" x14ac:dyDescent="0.25">
      <c r="B669" s="23" t="s">
        <v>971</v>
      </c>
      <c r="C669" s="22" t="s">
        <v>972</v>
      </c>
      <c r="D669" s="10" t="s">
        <v>94</v>
      </c>
      <c r="E669" s="12">
        <v>84</v>
      </c>
      <c r="F669" s="126">
        <v>4755</v>
      </c>
      <c r="G669" s="126">
        <f t="shared" si="104"/>
        <v>399420</v>
      </c>
      <c r="H669" s="8"/>
      <c r="I669" s="8">
        <f t="shared" si="99"/>
        <v>4876</v>
      </c>
      <c r="J669" s="8">
        <f t="shared" si="100"/>
        <v>409584</v>
      </c>
      <c r="K669" s="9" t="str">
        <f t="array" ref="K669:N669">_xlfn.XLOOKUP(C669,'Neiva 2022 FASE I ACTUAL (5)'!$C$6:$C$540,'Neiva 2022 FASE I ACTUAL (5)'!$C$6:$F$540,"NO ESTA")</f>
        <v>SUMINISTRO E INSTALACION TUBERÍA PVC DE 3/4" INCLUYE ACCESORIOS</v>
      </c>
      <c r="L669" s="9" t="str">
        <v>ML</v>
      </c>
      <c r="M669" s="9">
        <v>31</v>
      </c>
      <c r="N669" s="9">
        <v>4633</v>
      </c>
      <c r="O669" s="124" t="str">
        <f t="shared" si="103"/>
        <v>FASE II</v>
      </c>
      <c r="P669" s="155">
        <f t="shared" si="98"/>
        <v>115</v>
      </c>
      <c r="Q669" s="156">
        <f t="shared" si="101"/>
        <v>4876</v>
      </c>
      <c r="R669" s="156">
        <f t="shared" si="102"/>
        <v>560740</v>
      </c>
    </row>
    <row r="670" spans="2:18" s="9" customFormat="1" ht="35.1" customHeight="1" x14ac:dyDescent="0.25">
      <c r="B670" s="23" t="s">
        <v>973</v>
      </c>
      <c r="C670" s="22" t="s">
        <v>974</v>
      </c>
      <c r="D670" s="10" t="s">
        <v>16</v>
      </c>
      <c r="E670" s="12">
        <v>2</v>
      </c>
      <c r="F670" s="126">
        <v>771142</v>
      </c>
      <c r="G670" s="126">
        <f t="shared" si="104"/>
        <v>1542284</v>
      </c>
      <c r="H670" s="8"/>
      <c r="I670" s="8">
        <f t="shared" si="99"/>
        <v>790806</v>
      </c>
      <c r="J670" s="8">
        <f t="shared" si="100"/>
        <v>1581612</v>
      </c>
      <c r="K670" s="9" t="str">
        <f t="array" ref="K670:N670">_xlfn.XLOOKUP(C670,'Neiva 2022 FASE I ACTUAL (5)'!$C$6:$C$540,'Neiva 2022 FASE I ACTUAL (5)'!$C$6:$F$540,"NO ESTA")</f>
        <v>SUMINISTRO E INSTALACION PARRILLA ORGANIZADORA DE CABLES DE 1,20 x 0,6 m</v>
      </c>
      <c r="L670" s="9" t="str">
        <v>UND</v>
      </c>
      <c r="M670" s="9">
        <v>4</v>
      </c>
      <c r="N670" s="9">
        <v>751513</v>
      </c>
      <c r="O670" s="124" t="str">
        <f t="shared" si="103"/>
        <v>FASE II</v>
      </c>
      <c r="P670" s="155">
        <f t="shared" si="98"/>
        <v>6</v>
      </c>
      <c r="Q670" s="156">
        <f t="shared" si="101"/>
        <v>790806</v>
      </c>
      <c r="R670" s="156">
        <f t="shared" si="102"/>
        <v>4744836</v>
      </c>
    </row>
    <row r="671" spans="2:18" s="9" customFormat="1" ht="35.1" customHeight="1" x14ac:dyDescent="0.25">
      <c r="B671" s="23" t="s">
        <v>975</v>
      </c>
      <c r="C671" s="22" t="s">
        <v>976</v>
      </c>
      <c r="D671" s="10" t="s">
        <v>16</v>
      </c>
      <c r="E671" s="12">
        <v>4</v>
      </c>
      <c r="F671" s="126">
        <v>12928</v>
      </c>
      <c r="G671" s="126">
        <f t="shared" si="104"/>
        <v>51712</v>
      </c>
      <c r="H671" s="8"/>
      <c r="I671" s="8">
        <f t="shared" si="99"/>
        <v>13258</v>
      </c>
      <c r="J671" s="8">
        <f t="shared" si="100"/>
        <v>53032</v>
      </c>
      <c r="K671" s="9" t="str">
        <f t="array" ref="K671:N671">_xlfn.XLOOKUP(C671,'Neiva 2022 FASE I ACTUAL (5)'!$C$6:$C$540,'Neiva 2022 FASE I ACTUAL (5)'!$C$6:$F$540,"NO ESTA")</f>
        <v>SUMINISTRO E INSTALACION CAJA DE PASO 10 x 10 m DOBLE FONDO</v>
      </c>
      <c r="L671" s="9" t="str">
        <v>UND</v>
      </c>
      <c r="M671" s="9">
        <v>4</v>
      </c>
      <c r="N671" s="9">
        <v>12598</v>
      </c>
      <c r="O671" s="124" t="str">
        <f t="shared" si="103"/>
        <v>FASE II</v>
      </c>
      <c r="P671" s="155">
        <f t="shared" si="98"/>
        <v>8</v>
      </c>
      <c r="Q671" s="156">
        <f t="shared" si="101"/>
        <v>13258</v>
      </c>
      <c r="R671" s="156">
        <f t="shared" si="102"/>
        <v>106064</v>
      </c>
    </row>
    <row r="672" spans="2:18" s="9" customFormat="1" ht="35.1" customHeight="1" x14ac:dyDescent="0.25">
      <c r="B672" s="13" t="s">
        <v>977</v>
      </c>
      <c r="C672" s="24" t="s">
        <v>978</v>
      </c>
      <c r="D672" s="24"/>
      <c r="E672" s="15"/>
      <c r="F672" s="129"/>
      <c r="G672" s="140"/>
      <c r="H672" s="8"/>
      <c r="I672" s="8">
        <f t="shared" si="99"/>
        <v>0</v>
      </c>
      <c r="J672" s="8">
        <f t="shared" si="100"/>
        <v>0</v>
      </c>
      <c r="K672" s="9" t="str">
        <f t="array" ref="K672:N672">_xlfn.XLOOKUP(C672,'Neiva 2022 FASE I ACTUAL (5)'!$C$6:$C$540,'Neiva 2022 FASE I ACTUAL (5)'!$C$6:$F$540,"NO ESTA")</f>
        <v xml:space="preserve">SUMINISTRO E INSTALACIÓN DE REDES ELECTRICAS ESPECIALES </v>
      </c>
      <c r="L672" s="9">
        <v>0</v>
      </c>
      <c r="M672" s="9">
        <v>0</v>
      </c>
      <c r="N672" s="9">
        <v>0</v>
      </c>
      <c r="O672" s="124">
        <f t="shared" si="103"/>
        <v>0</v>
      </c>
      <c r="P672" s="155">
        <f t="shared" si="98"/>
        <v>0</v>
      </c>
      <c r="Q672" s="156">
        <f t="shared" si="101"/>
        <v>0</v>
      </c>
      <c r="R672" s="156">
        <f t="shared" si="102"/>
        <v>0</v>
      </c>
    </row>
    <row r="673" spans="2:18" s="9" customFormat="1" ht="35.1" customHeight="1" x14ac:dyDescent="0.25">
      <c r="B673" s="23" t="s">
        <v>979</v>
      </c>
      <c r="C673" s="22" t="s">
        <v>980</v>
      </c>
      <c r="D673" s="10" t="s">
        <v>16</v>
      </c>
      <c r="E673" s="12">
        <v>2</v>
      </c>
      <c r="F673" s="126">
        <v>64235</v>
      </c>
      <c r="G673" s="126">
        <f>ROUND(+F673*E673,2)</f>
        <v>128470</v>
      </c>
      <c r="H673" s="8"/>
      <c r="I673" s="8">
        <f t="shared" si="99"/>
        <v>65873</v>
      </c>
      <c r="J673" s="8">
        <f t="shared" si="100"/>
        <v>131746</v>
      </c>
      <c r="K673" s="9" t="str">
        <f t="array" ref="K673:N673">_xlfn.XLOOKUP(C673,'Neiva 2022 FASE I ACTUAL (5)'!$C$6:$C$540,'Neiva 2022 FASE I ACTUAL (5)'!$C$6:$F$540,"NO ESTA")</f>
        <v>SUMINISTRO E INSTALACION SALIDA TOMA NEMA L5-30 RAWELT</v>
      </c>
      <c r="L673" s="9" t="str">
        <v>UND</v>
      </c>
      <c r="M673" s="9">
        <v>2</v>
      </c>
      <c r="N673" s="9">
        <v>62600</v>
      </c>
      <c r="O673" s="124" t="str">
        <f t="shared" si="103"/>
        <v>FASE II</v>
      </c>
      <c r="P673" s="155">
        <f t="shared" si="98"/>
        <v>4</v>
      </c>
      <c r="Q673" s="156">
        <f t="shared" si="101"/>
        <v>65873</v>
      </c>
      <c r="R673" s="156">
        <f t="shared" si="102"/>
        <v>263492</v>
      </c>
    </row>
    <row r="674" spans="2:18" s="9" customFormat="1" ht="35.1" customHeight="1" x14ac:dyDescent="0.25">
      <c r="B674" s="23" t="s">
        <v>981</v>
      </c>
      <c r="C674" s="22" t="s">
        <v>982</v>
      </c>
      <c r="D674" s="10" t="s">
        <v>94</v>
      </c>
      <c r="E674" s="12">
        <v>2</v>
      </c>
      <c r="F674" s="126">
        <v>6470</v>
      </c>
      <c r="G674" s="126">
        <f>ROUND(+F674*E674,2)</f>
        <v>12940</v>
      </c>
      <c r="H674" s="8"/>
      <c r="I674" s="8">
        <f t="shared" si="99"/>
        <v>6635</v>
      </c>
      <c r="J674" s="8">
        <f t="shared" si="100"/>
        <v>13270</v>
      </c>
      <c r="K674" s="9" t="str">
        <f t="array" ref="K674:N674">_xlfn.XLOOKUP(C674,'Neiva 2022 FASE I ACTUAL (5)'!$C$6:$C$540,'Neiva 2022 FASE I ACTUAL (5)'!$C$6:$F$540,"NO ESTA")</f>
        <v>SUMINISTRO E INSTALACION CIRCUITO PREENSAMBLADO AZUL MONOFÁSICO NORMAL PARA RACK</v>
      </c>
      <c r="L674" s="9" t="str">
        <v>ML</v>
      </c>
      <c r="M674" s="9">
        <v>2</v>
      </c>
      <c r="N674" s="9">
        <v>6306</v>
      </c>
      <c r="O674" s="124" t="str">
        <f t="shared" si="103"/>
        <v>FASE II</v>
      </c>
      <c r="P674" s="155">
        <f t="shared" si="98"/>
        <v>4</v>
      </c>
      <c r="Q674" s="156">
        <f t="shared" si="101"/>
        <v>6635</v>
      </c>
      <c r="R674" s="156">
        <f t="shared" si="102"/>
        <v>26540</v>
      </c>
    </row>
    <row r="675" spans="2:18" s="9" customFormat="1" ht="35.1" customHeight="1" x14ac:dyDescent="0.25">
      <c r="B675" s="23" t="s">
        <v>983</v>
      </c>
      <c r="C675" s="22" t="s">
        <v>984</v>
      </c>
      <c r="D675" s="10" t="s">
        <v>94</v>
      </c>
      <c r="E675" s="12">
        <v>2</v>
      </c>
      <c r="F675" s="126">
        <v>6470</v>
      </c>
      <c r="G675" s="126">
        <f>ROUND(+F675*E675,2)</f>
        <v>12940</v>
      </c>
      <c r="H675" s="8"/>
      <c r="I675" s="8">
        <f t="shared" si="99"/>
        <v>6635</v>
      </c>
      <c r="J675" s="8">
        <f t="shared" si="100"/>
        <v>13270</v>
      </c>
      <c r="K675" s="9" t="str">
        <f t="array" ref="K675:N675">_xlfn.XLOOKUP(C675,'Neiva 2022 FASE I ACTUAL (5)'!$C$6:$C$540,'Neiva 2022 FASE I ACTUAL (5)'!$C$6:$F$540,"NO ESTA")</f>
        <v>SUMINISTRO E INSTALACION CIRCUITO PREENSAMBLADO ROJO MONOFÁSICO REGULADO PARA RACK</v>
      </c>
      <c r="L675" s="9" t="str">
        <v>ML</v>
      </c>
      <c r="M675" s="9">
        <v>2</v>
      </c>
      <c r="N675" s="9">
        <v>6306</v>
      </c>
      <c r="O675" s="124" t="str">
        <f t="shared" si="103"/>
        <v>FASE II</v>
      </c>
      <c r="P675" s="155">
        <f t="shared" si="98"/>
        <v>4</v>
      </c>
      <c r="Q675" s="156">
        <f t="shared" si="101"/>
        <v>6635</v>
      </c>
      <c r="R675" s="156">
        <f t="shared" si="102"/>
        <v>26540</v>
      </c>
    </row>
    <row r="676" spans="2:18" s="9" customFormat="1" ht="35.1" customHeight="1" x14ac:dyDescent="0.25">
      <c r="B676" s="23" t="s">
        <v>985</v>
      </c>
      <c r="C676" s="22" t="s">
        <v>986</v>
      </c>
      <c r="D676" s="10" t="s">
        <v>16</v>
      </c>
      <c r="E676" s="12">
        <v>2</v>
      </c>
      <c r="F676" s="126">
        <v>632913</v>
      </c>
      <c r="G676" s="126">
        <f>ROUND(+F676*E676,2)</f>
        <v>1265826</v>
      </c>
      <c r="H676" s="8"/>
      <c r="I676" s="8">
        <f t="shared" si="99"/>
        <v>649052</v>
      </c>
      <c r="J676" s="8">
        <f t="shared" si="100"/>
        <v>1298104</v>
      </c>
      <c r="K676" s="9" t="str">
        <f t="array" ref="K676:N676">_xlfn.XLOOKUP(C676,'Neiva 2022 FASE I ACTUAL (5)'!$C$6:$C$540,'Neiva 2022 FASE I ACTUAL (5)'!$C$6:$F$540,"NO ESTA")</f>
        <v>SUMINISTRO E INSTALACION BARRAJE DE PUESTA A TIERRA PARA RACK TGB</v>
      </c>
      <c r="L676" s="9" t="str">
        <v>UND</v>
      </c>
      <c r="M676" s="9">
        <v>2</v>
      </c>
      <c r="N676" s="9">
        <v>616802</v>
      </c>
      <c r="O676" s="124" t="str">
        <f t="shared" si="103"/>
        <v>FASE II</v>
      </c>
      <c r="P676" s="155">
        <f t="shared" si="98"/>
        <v>4</v>
      </c>
      <c r="Q676" s="156">
        <f t="shared" si="101"/>
        <v>649052</v>
      </c>
      <c r="R676" s="156">
        <f t="shared" si="102"/>
        <v>2596208</v>
      </c>
    </row>
    <row r="677" spans="2:18" s="9" customFormat="1" ht="35.1" customHeight="1" x14ac:dyDescent="0.25">
      <c r="B677" s="13" t="s">
        <v>987</v>
      </c>
      <c r="C677" s="24" t="s">
        <v>988</v>
      </c>
      <c r="D677" s="24"/>
      <c r="E677" s="15"/>
      <c r="F677" s="129"/>
      <c r="G677" s="140"/>
      <c r="H677" s="8"/>
      <c r="I677" s="8">
        <f t="shared" si="99"/>
        <v>0</v>
      </c>
      <c r="J677" s="8">
        <f t="shared" si="100"/>
        <v>0</v>
      </c>
      <c r="K677" s="9" t="str">
        <f t="array" ref="K677:N677">_xlfn.XLOOKUP(C677,'Neiva 2022 FASE I ACTUAL (5)'!$C$6:$C$540,'Neiva 2022 FASE I ACTUAL (5)'!$C$6:$F$540,"NO ESTA")</f>
        <v>SUMINISTRO E INSTALACION DE EQUIPOS ACTIVOS</v>
      </c>
      <c r="L677" s="9">
        <v>0</v>
      </c>
      <c r="M677" s="9">
        <v>0</v>
      </c>
      <c r="N677" s="9">
        <v>0</v>
      </c>
      <c r="O677" s="124">
        <f t="shared" si="103"/>
        <v>0</v>
      </c>
      <c r="P677" s="155">
        <f t="shared" si="98"/>
        <v>0</v>
      </c>
      <c r="Q677" s="156">
        <f t="shared" si="101"/>
        <v>0</v>
      </c>
      <c r="R677" s="156">
        <f t="shared" si="102"/>
        <v>0</v>
      </c>
    </row>
    <row r="678" spans="2:18" s="9" customFormat="1" ht="35.1" customHeight="1" x14ac:dyDescent="0.25">
      <c r="B678" s="10" t="s">
        <v>989</v>
      </c>
      <c r="C678" s="22" t="s">
        <v>990</v>
      </c>
      <c r="D678" s="10" t="s">
        <v>16</v>
      </c>
      <c r="E678" s="12">
        <v>13</v>
      </c>
      <c r="F678" s="126">
        <v>7344406</v>
      </c>
      <c r="G678" s="126">
        <f>ROUND(+F678*E678,2)</f>
        <v>95477278</v>
      </c>
      <c r="H678" s="8"/>
      <c r="I678" s="8">
        <f t="shared" si="99"/>
        <v>7531688</v>
      </c>
      <c r="J678" s="8">
        <f t="shared" si="100"/>
        <v>97911944</v>
      </c>
      <c r="K678" s="9" t="str">
        <f t="array" ref="K678:N678">_xlfn.XLOOKUP(C678,'Neiva 2022 FASE I ACTUAL (5)'!$C$6:$C$540,'Neiva 2022 FASE I ACTUAL (5)'!$C$6:$F$540,"NO ESTA")</f>
        <v xml:space="preserve">SUMINISTRO E INSTALACION SWITCHE DE BORDE DE 24 PoE PUERTOS GIGABIT ETHERNET 10/100/1000 Gbps CON PUERTO DE ADMINSITRACION POR CONSOLA </v>
      </c>
      <c r="L678" s="9" t="str">
        <v>UND</v>
      </c>
      <c r="M678" s="9">
        <v>1</v>
      </c>
      <c r="N678" s="9">
        <v>7157462</v>
      </c>
      <c r="O678" s="124" t="str">
        <f t="shared" si="103"/>
        <v>FASE II</v>
      </c>
      <c r="P678" s="155">
        <f t="shared" si="98"/>
        <v>14</v>
      </c>
      <c r="Q678" s="156">
        <f t="shared" si="101"/>
        <v>7531688</v>
      </c>
      <c r="R678" s="156">
        <f t="shared" si="102"/>
        <v>105443632</v>
      </c>
    </row>
    <row r="679" spans="2:18" s="9" customFormat="1" ht="35.1" customHeight="1" x14ac:dyDescent="0.25">
      <c r="B679" s="10" t="s">
        <v>991</v>
      </c>
      <c r="C679" s="22" t="s">
        <v>992</v>
      </c>
      <c r="D679" s="10" t="s">
        <v>16</v>
      </c>
      <c r="E679" s="12">
        <v>0</v>
      </c>
      <c r="F679" s="126">
        <v>841635</v>
      </c>
      <c r="G679" s="126">
        <f>ROUND(+F679*E679,2)</f>
        <v>0</v>
      </c>
      <c r="H679" s="8"/>
      <c r="I679" s="8">
        <f t="shared" si="99"/>
        <v>863097</v>
      </c>
      <c r="J679" s="8">
        <f t="shared" si="100"/>
        <v>0</v>
      </c>
      <c r="K679" s="9" t="str">
        <f t="array" ref="K679:N679">_xlfn.XLOOKUP(C679,'Neiva 2022 FASE I ACTUAL (5)'!$C$6:$C$540,'Neiva 2022 FASE I ACTUAL (5)'!$C$6:$F$540,"NO ESTA")</f>
        <v>SUMINISTRO E INSTALACION MODULO SFP 10G</v>
      </c>
      <c r="L679" s="9" t="str">
        <v>UND</v>
      </c>
      <c r="M679" s="9">
        <v>1</v>
      </c>
      <c r="N679" s="9">
        <v>820212</v>
      </c>
      <c r="O679" s="124" t="str">
        <f t="shared" si="103"/>
        <v>FASE II</v>
      </c>
      <c r="P679" s="155">
        <f t="shared" si="98"/>
        <v>1</v>
      </c>
      <c r="Q679" s="156">
        <f t="shared" si="101"/>
        <v>863097</v>
      </c>
      <c r="R679" s="156">
        <f t="shared" si="102"/>
        <v>863097</v>
      </c>
    </row>
    <row r="680" spans="2:18" s="9" customFormat="1" ht="35.1" customHeight="1" x14ac:dyDescent="0.25">
      <c r="B680" s="33">
        <v>19</v>
      </c>
      <c r="C680" s="34" t="s">
        <v>993</v>
      </c>
      <c r="D680" s="34"/>
      <c r="E680" s="35"/>
      <c r="F680" s="132"/>
      <c r="G680" s="142"/>
      <c r="H680" s="8"/>
      <c r="I680" s="8">
        <f t="shared" si="99"/>
        <v>0</v>
      </c>
      <c r="J680" s="8">
        <f t="shared" si="100"/>
        <v>0</v>
      </c>
      <c r="K680" s="9" t="str">
        <f t="array" ref="K680:N680">_xlfn.XLOOKUP(C680,'Neiva 2022 FASE I ACTUAL (5)'!$C$6:$C$540,'Neiva 2022 FASE I ACTUAL (5)'!$C$6:$F$540,"NO ESTA")</f>
        <v>SEGURIDAD ELÉCTRONICA (CCTV, CONTROL ACCESOS, DETECCION INCENDIOS Y SONIDO)</v>
      </c>
      <c r="L680" s="9">
        <v>0</v>
      </c>
      <c r="M680" s="9">
        <v>0</v>
      </c>
      <c r="N680" s="9">
        <v>0</v>
      </c>
      <c r="O680" s="124">
        <f t="shared" si="103"/>
        <v>0</v>
      </c>
      <c r="P680" s="155">
        <f t="shared" si="98"/>
        <v>0</v>
      </c>
      <c r="Q680" s="156">
        <f t="shared" si="101"/>
        <v>0</v>
      </c>
      <c r="R680" s="156">
        <f t="shared" si="102"/>
        <v>0</v>
      </c>
    </row>
    <row r="681" spans="2:18" s="9" customFormat="1" ht="35.1" customHeight="1" x14ac:dyDescent="0.25">
      <c r="B681" s="61" t="s">
        <v>1349</v>
      </c>
      <c r="C681" s="62" t="s">
        <v>1350</v>
      </c>
      <c r="D681" s="63"/>
      <c r="E681" s="64"/>
      <c r="F681" s="129"/>
      <c r="G681" s="140"/>
      <c r="H681" s="8"/>
      <c r="I681" s="8">
        <f t="shared" si="99"/>
        <v>0</v>
      </c>
      <c r="J681" s="8">
        <f t="shared" si="100"/>
        <v>0</v>
      </c>
      <c r="K681" s="9" t="str">
        <f t="array" ref="K681">_xlfn.XLOOKUP(C681,'Neiva 2022 FASE I ACTUAL (5)'!$C$6:$C$540,'Neiva 2022 FASE I ACTUAL (5)'!$C$6:$F$540,"NO ESTA")</f>
        <v>NO ESTA</v>
      </c>
      <c r="O681" s="124">
        <f t="shared" si="103"/>
        <v>0</v>
      </c>
      <c r="P681" s="155">
        <f t="shared" si="98"/>
        <v>0</v>
      </c>
      <c r="Q681" s="156">
        <f t="shared" si="101"/>
        <v>0</v>
      </c>
      <c r="R681" s="156">
        <f t="shared" si="102"/>
        <v>0</v>
      </c>
    </row>
    <row r="682" spans="2:18" s="9" customFormat="1" ht="35.1" customHeight="1" x14ac:dyDescent="0.25">
      <c r="B682" s="23" t="s">
        <v>1351</v>
      </c>
      <c r="C682" s="22" t="s">
        <v>1352</v>
      </c>
      <c r="D682" s="10" t="s">
        <v>16</v>
      </c>
      <c r="E682" s="12">
        <v>10</v>
      </c>
      <c r="F682" s="126">
        <v>1260653</v>
      </c>
      <c r="G682" s="126">
        <f t="shared" ref="G682:G688" si="105">ROUND(+F682*E682,2)</f>
        <v>12606530</v>
      </c>
      <c r="H682" s="8"/>
      <c r="I682" s="8">
        <f t="shared" si="99"/>
        <v>1292800</v>
      </c>
      <c r="J682" s="8">
        <f t="shared" si="100"/>
        <v>12928000</v>
      </c>
      <c r="K682" s="9" t="str">
        <f t="array" ref="K682">_xlfn.XLOOKUP(C682,'Neiva 2022 FASE I ACTUAL (5)'!$C$6:$C$540,'Neiva 2022 FASE I ACTUAL (5)'!$C$6:$F$540,"NO ESTA")</f>
        <v>NO ESTA</v>
      </c>
      <c r="O682" s="124">
        <f t="shared" si="103"/>
        <v>0</v>
      </c>
      <c r="P682" s="155">
        <f t="shared" si="98"/>
        <v>10</v>
      </c>
      <c r="Q682" s="156">
        <f t="shared" si="101"/>
        <v>1292800</v>
      </c>
      <c r="R682" s="156">
        <f t="shared" si="102"/>
        <v>12928000</v>
      </c>
    </row>
    <row r="683" spans="2:18" s="9" customFormat="1" ht="35.1" customHeight="1" x14ac:dyDescent="0.25">
      <c r="B683" s="23" t="s">
        <v>1353</v>
      </c>
      <c r="C683" s="22" t="s">
        <v>1354</v>
      </c>
      <c r="D683" s="10" t="s">
        <v>16</v>
      </c>
      <c r="E683" s="12">
        <v>19</v>
      </c>
      <c r="F683" s="126">
        <v>1710298</v>
      </c>
      <c r="G683" s="126">
        <f t="shared" si="105"/>
        <v>32495662</v>
      </c>
      <c r="H683" s="8"/>
      <c r="I683" s="8">
        <f t="shared" si="99"/>
        <v>1753911</v>
      </c>
      <c r="J683" s="8">
        <f t="shared" si="100"/>
        <v>33324309</v>
      </c>
      <c r="K683" s="9" t="str">
        <f t="array" ref="K683">_xlfn.XLOOKUP(C683,'Neiva 2022 FASE I ACTUAL (5)'!$C$6:$C$540,'Neiva 2022 FASE I ACTUAL (5)'!$C$6:$F$540,"NO ESTA")</f>
        <v>NO ESTA</v>
      </c>
      <c r="O683" s="124">
        <f t="shared" si="103"/>
        <v>0</v>
      </c>
      <c r="P683" s="155">
        <f t="shared" si="98"/>
        <v>19</v>
      </c>
      <c r="Q683" s="156">
        <f t="shared" si="101"/>
        <v>1753911</v>
      </c>
      <c r="R683" s="156">
        <f t="shared" si="102"/>
        <v>33324309</v>
      </c>
    </row>
    <row r="684" spans="2:18" s="9" customFormat="1" ht="35.1" customHeight="1" x14ac:dyDescent="0.25">
      <c r="B684" s="23" t="s">
        <v>1355</v>
      </c>
      <c r="C684" s="22" t="s">
        <v>1356</v>
      </c>
      <c r="D684" s="10" t="s">
        <v>16</v>
      </c>
      <c r="E684" s="12">
        <v>2</v>
      </c>
      <c r="F684" s="126">
        <v>3681238</v>
      </c>
      <c r="G684" s="126">
        <f t="shared" si="105"/>
        <v>7362476</v>
      </c>
      <c r="H684" s="8"/>
      <c r="I684" s="8">
        <f t="shared" si="99"/>
        <v>3775110</v>
      </c>
      <c r="J684" s="8">
        <f t="shared" si="100"/>
        <v>7550220</v>
      </c>
      <c r="K684" s="9" t="str">
        <f t="array" ref="K684">_xlfn.XLOOKUP(C684,'Neiva 2022 FASE I ACTUAL (5)'!$C$6:$C$540,'Neiva 2022 FASE I ACTUAL (5)'!$C$6:$F$540,"NO ESTA")</f>
        <v>NO ESTA</v>
      </c>
      <c r="O684" s="124">
        <f t="shared" si="103"/>
        <v>0</v>
      </c>
      <c r="P684" s="155">
        <f t="shared" si="98"/>
        <v>2</v>
      </c>
      <c r="Q684" s="156">
        <f t="shared" si="101"/>
        <v>3775110</v>
      </c>
      <c r="R684" s="156">
        <f t="shared" si="102"/>
        <v>7550220</v>
      </c>
    </row>
    <row r="685" spans="2:18" s="9" customFormat="1" ht="35.1" customHeight="1" x14ac:dyDescent="0.25">
      <c r="B685" s="23" t="s">
        <v>1357</v>
      </c>
      <c r="C685" s="22" t="s">
        <v>1358</v>
      </c>
      <c r="D685" s="10" t="s">
        <v>16</v>
      </c>
      <c r="E685" s="12">
        <v>29</v>
      </c>
      <c r="F685" s="126">
        <v>360550</v>
      </c>
      <c r="G685" s="126">
        <f t="shared" si="105"/>
        <v>10455950</v>
      </c>
      <c r="H685" s="8"/>
      <c r="I685" s="8">
        <f t="shared" si="99"/>
        <v>369744</v>
      </c>
      <c r="J685" s="8">
        <f t="shared" si="100"/>
        <v>10722576</v>
      </c>
      <c r="K685" s="9" t="str">
        <f t="array" ref="K685">_xlfn.XLOOKUP(C685,'Neiva 2022 FASE I ACTUAL (5)'!$C$6:$C$540,'Neiva 2022 FASE I ACTUAL (5)'!$C$6:$F$540,"NO ESTA")</f>
        <v>NO ESTA</v>
      </c>
      <c r="O685" s="124">
        <f t="shared" si="103"/>
        <v>0</v>
      </c>
      <c r="P685" s="155">
        <f t="shared" si="98"/>
        <v>29</v>
      </c>
      <c r="Q685" s="156">
        <f t="shared" si="101"/>
        <v>369744</v>
      </c>
      <c r="R685" s="156">
        <f t="shared" si="102"/>
        <v>10722576</v>
      </c>
    </row>
    <row r="686" spans="2:18" s="9" customFormat="1" ht="35.1" customHeight="1" x14ac:dyDescent="0.25">
      <c r="B686" s="23" t="s">
        <v>1359</v>
      </c>
      <c r="C686" s="22" t="s">
        <v>1360</v>
      </c>
      <c r="D686" s="10" t="s">
        <v>16</v>
      </c>
      <c r="E686" s="12">
        <v>2</v>
      </c>
      <c r="F686" s="126">
        <v>8387259</v>
      </c>
      <c r="G686" s="126">
        <f t="shared" si="105"/>
        <v>16774518</v>
      </c>
      <c r="H686" s="8"/>
      <c r="I686" s="8">
        <f t="shared" si="99"/>
        <v>8601134</v>
      </c>
      <c r="J686" s="8">
        <f t="shared" si="100"/>
        <v>17202268</v>
      </c>
      <c r="K686" s="9" t="str">
        <f t="array" ref="K686">_xlfn.XLOOKUP(C686,'Neiva 2022 FASE I ACTUAL (5)'!$C$6:$C$540,'Neiva 2022 FASE I ACTUAL (5)'!$C$6:$F$540,"NO ESTA")</f>
        <v>NO ESTA</v>
      </c>
      <c r="O686" s="124">
        <f t="shared" si="103"/>
        <v>0</v>
      </c>
      <c r="P686" s="155">
        <f t="shared" si="98"/>
        <v>2</v>
      </c>
      <c r="Q686" s="156">
        <f t="shared" si="101"/>
        <v>8601134</v>
      </c>
      <c r="R686" s="156">
        <f t="shared" si="102"/>
        <v>17202268</v>
      </c>
    </row>
    <row r="687" spans="2:18" s="9" customFormat="1" ht="35.1" customHeight="1" x14ac:dyDescent="0.25">
      <c r="B687" s="23" t="s">
        <v>1361</v>
      </c>
      <c r="C687" s="22" t="s">
        <v>1362</v>
      </c>
      <c r="D687" s="10" t="s">
        <v>16</v>
      </c>
      <c r="E687" s="12">
        <v>2</v>
      </c>
      <c r="F687" s="126">
        <v>8922704</v>
      </c>
      <c r="G687" s="126">
        <f t="shared" si="105"/>
        <v>17845408</v>
      </c>
      <c r="H687" s="8"/>
      <c r="I687" s="8">
        <f t="shared" si="99"/>
        <v>9150233</v>
      </c>
      <c r="J687" s="8">
        <f t="shared" si="100"/>
        <v>18300466</v>
      </c>
      <c r="K687" s="9" t="str">
        <f t="array" ref="K687">_xlfn.XLOOKUP(C687,'Neiva 2022 FASE I ACTUAL (5)'!$C$6:$C$540,'Neiva 2022 FASE I ACTUAL (5)'!$C$6:$F$540,"NO ESTA")</f>
        <v>NO ESTA</v>
      </c>
      <c r="O687" s="124">
        <f t="shared" si="103"/>
        <v>0</v>
      </c>
      <c r="P687" s="155">
        <f t="shared" si="98"/>
        <v>2</v>
      </c>
      <c r="Q687" s="156">
        <f t="shared" si="101"/>
        <v>9150233</v>
      </c>
      <c r="R687" s="156">
        <f t="shared" si="102"/>
        <v>18300466</v>
      </c>
    </row>
    <row r="688" spans="2:18" s="9" customFormat="1" ht="35.1" customHeight="1" x14ac:dyDescent="0.25">
      <c r="B688" s="23" t="s">
        <v>1363</v>
      </c>
      <c r="C688" s="22" t="s">
        <v>1364</v>
      </c>
      <c r="D688" s="10" t="s">
        <v>1182</v>
      </c>
      <c r="E688" s="12">
        <v>1</v>
      </c>
      <c r="F688" s="126">
        <v>2856916</v>
      </c>
      <c r="G688" s="126">
        <f t="shared" si="105"/>
        <v>2856916</v>
      </c>
      <c r="H688" s="8"/>
      <c r="I688" s="8">
        <f t="shared" si="99"/>
        <v>2929767</v>
      </c>
      <c r="J688" s="8">
        <f t="shared" si="100"/>
        <v>2929767</v>
      </c>
      <c r="K688" s="9" t="str">
        <f t="array" ref="K688">_xlfn.XLOOKUP(C688,'Neiva 2022 FASE I ACTUAL (5)'!$C$6:$C$540,'Neiva 2022 FASE I ACTUAL (5)'!$C$6:$F$540,"NO ESTA")</f>
        <v>NO ESTA</v>
      </c>
      <c r="O688" s="124">
        <f t="shared" si="103"/>
        <v>0</v>
      </c>
      <c r="P688" s="155">
        <f t="shared" si="98"/>
        <v>1</v>
      </c>
      <c r="Q688" s="156">
        <f t="shared" si="101"/>
        <v>2929767</v>
      </c>
      <c r="R688" s="156">
        <f t="shared" si="102"/>
        <v>2929767</v>
      </c>
    </row>
    <row r="689" spans="2:18" s="9" customFormat="1" ht="35.1" customHeight="1" x14ac:dyDescent="0.25">
      <c r="B689" s="13" t="s">
        <v>1365</v>
      </c>
      <c r="C689" s="14" t="s">
        <v>1366</v>
      </c>
      <c r="D689" s="27"/>
      <c r="E689" s="15"/>
      <c r="F689" s="129"/>
      <c r="G689" s="140"/>
      <c r="H689" s="8"/>
      <c r="I689" s="8">
        <f t="shared" si="99"/>
        <v>0</v>
      </c>
      <c r="J689" s="8">
        <f t="shared" si="100"/>
        <v>0</v>
      </c>
      <c r="K689" s="9" t="str">
        <f t="array" ref="K689">_xlfn.XLOOKUP(C689,'Neiva 2022 FASE I ACTUAL (5)'!$C$6:$C$540,'Neiva 2022 FASE I ACTUAL (5)'!$C$6:$F$540,"NO ESTA")</f>
        <v>NO ESTA</v>
      </c>
      <c r="O689" s="124">
        <f t="shared" si="103"/>
        <v>0</v>
      </c>
      <c r="P689" s="155">
        <f t="shared" si="98"/>
        <v>0</v>
      </c>
      <c r="Q689" s="156">
        <f t="shared" si="101"/>
        <v>0</v>
      </c>
      <c r="R689" s="156">
        <f t="shared" si="102"/>
        <v>0</v>
      </c>
    </row>
    <row r="690" spans="2:18" s="9" customFormat="1" ht="35.1" customHeight="1" x14ac:dyDescent="0.25">
      <c r="B690" s="23" t="s">
        <v>1367</v>
      </c>
      <c r="C690" s="22" t="s">
        <v>1368</v>
      </c>
      <c r="D690" s="10" t="s">
        <v>16</v>
      </c>
      <c r="E690" s="12">
        <v>19</v>
      </c>
      <c r="F690" s="126">
        <v>231646</v>
      </c>
      <c r="G690" s="126">
        <f t="shared" ref="G690:G699" si="106">ROUND(+F690*E690,2)</f>
        <v>4401274</v>
      </c>
      <c r="H690" s="8"/>
      <c r="I690" s="8">
        <f t="shared" si="99"/>
        <v>237553</v>
      </c>
      <c r="J690" s="8">
        <f t="shared" si="100"/>
        <v>4513507</v>
      </c>
      <c r="K690" s="9" t="str">
        <f t="array" ref="K690">_xlfn.XLOOKUP(C690,'Neiva 2022 FASE I ACTUAL (5)'!$C$6:$C$540,'Neiva 2022 FASE I ACTUAL (5)'!$C$6:$F$540,"NO ESTA")</f>
        <v>NO ESTA</v>
      </c>
      <c r="O690" s="124">
        <f t="shared" si="103"/>
        <v>0</v>
      </c>
      <c r="P690" s="155">
        <f t="shared" si="98"/>
        <v>19</v>
      </c>
      <c r="Q690" s="156">
        <f t="shared" si="101"/>
        <v>237553</v>
      </c>
      <c r="R690" s="156">
        <f t="shared" si="102"/>
        <v>4513507</v>
      </c>
    </row>
    <row r="691" spans="2:18" s="9" customFormat="1" ht="35.1" customHeight="1" x14ac:dyDescent="0.25">
      <c r="B691" s="23" t="s">
        <v>1369</v>
      </c>
      <c r="C691" s="22" t="s">
        <v>1370</v>
      </c>
      <c r="D691" s="10" t="s">
        <v>16</v>
      </c>
      <c r="E691" s="12">
        <v>16</v>
      </c>
      <c r="F691" s="126">
        <v>1695852</v>
      </c>
      <c r="G691" s="126">
        <f t="shared" si="106"/>
        <v>27133632</v>
      </c>
      <c r="H691" s="8"/>
      <c r="I691" s="8">
        <f t="shared" si="99"/>
        <v>1739096</v>
      </c>
      <c r="J691" s="8">
        <f t="shared" si="100"/>
        <v>27825536</v>
      </c>
      <c r="K691" s="9" t="str">
        <f t="array" ref="K691">_xlfn.XLOOKUP(C691,'Neiva 2022 FASE I ACTUAL (5)'!$C$6:$C$540,'Neiva 2022 FASE I ACTUAL (5)'!$C$6:$F$540,"NO ESTA")</f>
        <v>NO ESTA</v>
      </c>
      <c r="O691" s="124">
        <f t="shared" si="103"/>
        <v>0</v>
      </c>
      <c r="P691" s="155">
        <f t="shared" si="98"/>
        <v>16</v>
      </c>
      <c r="Q691" s="156">
        <f t="shared" si="101"/>
        <v>1739096</v>
      </c>
      <c r="R691" s="156">
        <f t="shared" si="102"/>
        <v>27825536</v>
      </c>
    </row>
    <row r="692" spans="2:18" s="9" customFormat="1" ht="35.1" customHeight="1" x14ac:dyDescent="0.25">
      <c r="B692" s="23" t="s">
        <v>1371</v>
      </c>
      <c r="C692" s="22" t="s">
        <v>1372</v>
      </c>
      <c r="D692" s="10" t="s">
        <v>16</v>
      </c>
      <c r="E692" s="12">
        <v>18</v>
      </c>
      <c r="F692" s="126">
        <v>358570</v>
      </c>
      <c r="G692" s="126">
        <f t="shared" si="106"/>
        <v>6454260</v>
      </c>
      <c r="H692" s="8"/>
      <c r="I692" s="8">
        <f t="shared" si="99"/>
        <v>367714</v>
      </c>
      <c r="J692" s="8">
        <f t="shared" si="100"/>
        <v>6618852</v>
      </c>
      <c r="K692" s="9" t="str">
        <f t="array" ref="K692">_xlfn.XLOOKUP(C692,'Neiva 2022 FASE I ACTUAL (5)'!$C$6:$C$540,'Neiva 2022 FASE I ACTUAL (5)'!$C$6:$F$540,"NO ESTA")</f>
        <v>NO ESTA</v>
      </c>
      <c r="O692" s="124">
        <f t="shared" si="103"/>
        <v>0</v>
      </c>
      <c r="P692" s="155">
        <f t="shared" si="98"/>
        <v>18</v>
      </c>
      <c r="Q692" s="156">
        <f t="shared" si="101"/>
        <v>367714</v>
      </c>
      <c r="R692" s="156">
        <f t="shared" si="102"/>
        <v>6618852</v>
      </c>
    </row>
    <row r="693" spans="2:18" s="9" customFormat="1" ht="35.1" customHeight="1" x14ac:dyDescent="0.25">
      <c r="B693" s="23" t="s">
        <v>1373</v>
      </c>
      <c r="C693" s="22" t="s">
        <v>1374</v>
      </c>
      <c r="D693" s="10" t="s">
        <v>16</v>
      </c>
      <c r="E693" s="12">
        <v>20</v>
      </c>
      <c r="F693" s="126">
        <v>449218</v>
      </c>
      <c r="G693" s="126">
        <f t="shared" si="106"/>
        <v>8984360</v>
      </c>
      <c r="H693" s="8"/>
      <c r="I693" s="8">
        <f t="shared" si="99"/>
        <v>460673</v>
      </c>
      <c r="J693" s="8">
        <f t="shared" si="100"/>
        <v>9213460</v>
      </c>
      <c r="K693" s="9" t="str">
        <f t="array" ref="K693">_xlfn.XLOOKUP(C693,'Neiva 2022 FASE I ACTUAL (5)'!$C$6:$C$540,'Neiva 2022 FASE I ACTUAL (5)'!$C$6:$F$540,"NO ESTA")</f>
        <v>NO ESTA</v>
      </c>
      <c r="O693" s="124">
        <f t="shared" si="103"/>
        <v>0</v>
      </c>
      <c r="P693" s="155">
        <f t="shared" si="98"/>
        <v>20</v>
      </c>
      <c r="Q693" s="156">
        <f t="shared" si="101"/>
        <v>460673</v>
      </c>
      <c r="R693" s="156">
        <f t="shared" si="102"/>
        <v>9213460</v>
      </c>
    </row>
    <row r="694" spans="2:18" s="9" customFormat="1" ht="35.1" customHeight="1" x14ac:dyDescent="0.25">
      <c r="B694" s="23" t="s">
        <v>1375</v>
      </c>
      <c r="C694" s="22" t="s">
        <v>1376</v>
      </c>
      <c r="D694" s="10" t="s">
        <v>16</v>
      </c>
      <c r="E694" s="12">
        <v>14</v>
      </c>
      <c r="F694" s="126">
        <v>12246</v>
      </c>
      <c r="G694" s="126">
        <f t="shared" si="106"/>
        <v>171444</v>
      </c>
      <c r="H694" s="8"/>
      <c r="I694" s="8">
        <f t="shared" si="99"/>
        <v>12558</v>
      </c>
      <c r="J694" s="8">
        <f t="shared" si="100"/>
        <v>175812</v>
      </c>
      <c r="K694" s="9" t="str">
        <f t="array" ref="K694">_xlfn.XLOOKUP(C694,'Neiva 2022 FASE I ACTUAL (5)'!$C$6:$C$540,'Neiva 2022 FASE I ACTUAL (5)'!$C$6:$F$540,"NO ESTA")</f>
        <v>NO ESTA</v>
      </c>
      <c r="O694" s="124">
        <f t="shared" si="103"/>
        <v>0</v>
      </c>
      <c r="P694" s="155">
        <f t="shared" si="98"/>
        <v>14</v>
      </c>
      <c r="Q694" s="156">
        <f t="shared" si="101"/>
        <v>12558</v>
      </c>
      <c r="R694" s="156">
        <f t="shared" si="102"/>
        <v>175812</v>
      </c>
    </row>
    <row r="695" spans="2:18" s="9" customFormat="1" ht="35.1" customHeight="1" x14ac:dyDescent="0.25">
      <c r="B695" s="23" t="s">
        <v>1377</v>
      </c>
      <c r="C695" s="22" t="s">
        <v>976</v>
      </c>
      <c r="D695" s="10" t="s">
        <v>16</v>
      </c>
      <c r="E695" s="12">
        <v>18</v>
      </c>
      <c r="F695" s="126">
        <v>12928</v>
      </c>
      <c r="G695" s="126">
        <f t="shared" si="106"/>
        <v>232704</v>
      </c>
      <c r="H695" s="8"/>
      <c r="I695" s="8">
        <f t="shared" si="99"/>
        <v>13258</v>
      </c>
      <c r="J695" s="8">
        <f t="shared" si="100"/>
        <v>238644</v>
      </c>
      <c r="K695" s="9" t="str">
        <f t="array" ref="K695:N695">_xlfn.XLOOKUP(C695,'Neiva 2022 FASE I ACTUAL (5)'!$C$6:$C$540,'Neiva 2022 FASE I ACTUAL (5)'!$C$6:$F$540,"NO ESTA")</f>
        <v>SUMINISTRO E INSTALACION CAJA DE PASO 10 x 10 m DOBLE FONDO</v>
      </c>
      <c r="L695" s="9" t="str">
        <v>UND</v>
      </c>
      <c r="M695" s="9">
        <v>4</v>
      </c>
      <c r="N695" s="9">
        <v>12598</v>
      </c>
      <c r="O695" s="124" t="str">
        <f t="shared" si="103"/>
        <v>FASE II</v>
      </c>
      <c r="P695" s="155">
        <f t="shared" si="98"/>
        <v>22</v>
      </c>
      <c r="Q695" s="156">
        <f t="shared" si="101"/>
        <v>13258</v>
      </c>
      <c r="R695" s="156">
        <f t="shared" si="102"/>
        <v>291676</v>
      </c>
    </row>
    <row r="696" spans="2:18" s="9" customFormat="1" ht="35.1" customHeight="1" x14ac:dyDescent="0.25">
      <c r="B696" s="23" t="s">
        <v>1378</v>
      </c>
      <c r="C696" s="22" t="s">
        <v>1379</v>
      </c>
      <c r="D696" s="10" t="s">
        <v>16</v>
      </c>
      <c r="E696" s="12">
        <v>2</v>
      </c>
      <c r="F696" s="126">
        <v>5824460</v>
      </c>
      <c r="G696" s="126">
        <f t="shared" si="106"/>
        <v>11648920</v>
      </c>
      <c r="H696" s="8"/>
      <c r="I696" s="8">
        <f t="shared" si="99"/>
        <v>5972984</v>
      </c>
      <c r="J696" s="8">
        <f t="shared" si="100"/>
        <v>11945968</v>
      </c>
      <c r="K696" s="9" t="str">
        <f t="array" ref="K696">_xlfn.XLOOKUP(C696,'Neiva 2022 FASE I ACTUAL (5)'!$C$6:$C$540,'Neiva 2022 FASE I ACTUAL (5)'!$C$6:$F$540,"NO ESTA")</f>
        <v>NO ESTA</v>
      </c>
      <c r="O696" s="124">
        <f t="shared" si="103"/>
        <v>0</v>
      </c>
      <c r="P696" s="155">
        <f t="shared" si="98"/>
        <v>2</v>
      </c>
      <c r="Q696" s="156">
        <f t="shared" si="101"/>
        <v>5972984</v>
      </c>
      <c r="R696" s="156">
        <f t="shared" si="102"/>
        <v>11945968</v>
      </c>
    </row>
    <row r="697" spans="2:18" s="9" customFormat="1" ht="35.1" customHeight="1" x14ac:dyDescent="0.25">
      <c r="B697" s="23" t="s">
        <v>1380</v>
      </c>
      <c r="C697" s="22" t="s">
        <v>1381</v>
      </c>
      <c r="D697" s="10" t="s">
        <v>16</v>
      </c>
      <c r="E697" s="12">
        <v>2</v>
      </c>
      <c r="F697" s="126">
        <v>5564822</v>
      </c>
      <c r="G697" s="126">
        <f t="shared" si="106"/>
        <v>11129644</v>
      </c>
      <c r="H697" s="8"/>
      <c r="I697" s="8">
        <f t="shared" si="99"/>
        <v>5706725</v>
      </c>
      <c r="J697" s="8">
        <f t="shared" si="100"/>
        <v>11413450</v>
      </c>
      <c r="K697" s="9" t="str">
        <f t="array" ref="K697">_xlfn.XLOOKUP(C697,'Neiva 2022 FASE I ACTUAL (5)'!$C$6:$C$540,'Neiva 2022 FASE I ACTUAL (5)'!$C$6:$F$540,"NO ESTA")</f>
        <v>NO ESTA</v>
      </c>
      <c r="O697" s="124">
        <f t="shared" si="103"/>
        <v>0</v>
      </c>
      <c r="P697" s="155">
        <f t="shared" si="98"/>
        <v>2</v>
      </c>
      <c r="Q697" s="156">
        <f t="shared" si="101"/>
        <v>5706725</v>
      </c>
      <c r="R697" s="156">
        <f t="shared" si="102"/>
        <v>11413450</v>
      </c>
    </row>
    <row r="698" spans="2:18" s="9" customFormat="1" ht="35.1" customHeight="1" x14ac:dyDescent="0.25">
      <c r="B698" s="23" t="s">
        <v>1382</v>
      </c>
      <c r="C698" s="22" t="s">
        <v>1383</v>
      </c>
      <c r="D698" s="10" t="s">
        <v>16</v>
      </c>
      <c r="E698" s="12">
        <v>2</v>
      </c>
      <c r="F698" s="126">
        <v>3681238</v>
      </c>
      <c r="G698" s="126">
        <f t="shared" si="106"/>
        <v>7362476</v>
      </c>
      <c r="H698" s="8"/>
      <c r="I698" s="8">
        <f t="shared" si="99"/>
        <v>3775110</v>
      </c>
      <c r="J698" s="8">
        <f t="shared" si="100"/>
        <v>7550220</v>
      </c>
      <c r="K698" s="9" t="str">
        <f t="array" ref="K698">_xlfn.XLOOKUP(C698,'Neiva 2022 FASE I ACTUAL (5)'!$C$6:$C$540,'Neiva 2022 FASE I ACTUAL (5)'!$C$6:$F$540,"NO ESTA")</f>
        <v>NO ESTA</v>
      </c>
      <c r="O698" s="124">
        <f t="shared" si="103"/>
        <v>0</v>
      </c>
      <c r="P698" s="155">
        <f t="shared" si="98"/>
        <v>2</v>
      </c>
      <c r="Q698" s="156">
        <f t="shared" si="101"/>
        <v>3775110</v>
      </c>
      <c r="R698" s="156">
        <f t="shared" si="102"/>
        <v>7550220</v>
      </c>
    </row>
    <row r="699" spans="2:18" s="9" customFormat="1" ht="35.1" customHeight="1" x14ac:dyDescent="0.25">
      <c r="B699" s="23" t="s">
        <v>1384</v>
      </c>
      <c r="C699" s="22" t="s">
        <v>1385</v>
      </c>
      <c r="D699" s="10" t="s">
        <v>1182</v>
      </c>
      <c r="E699" s="12">
        <v>1</v>
      </c>
      <c r="F699" s="126">
        <v>2856916</v>
      </c>
      <c r="G699" s="126">
        <f t="shared" si="106"/>
        <v>2856916</v>
      </c>
      <c r="H699" s="8"/>
      <c r="I699" s="8">
        <f t="shared" si="99"/>
        <v>2929767</v>
      </c>
      <c r="J699" s="8">
        <f t="shared" si="100"/>
        <v>2929767</v>
      </c>
      <c r="K699" s="9" t="str">
        <f t="array" ref="K699">_xlfn.XLOOKUP(C699,'Neiva 2022 FASE I ACTUAL (5)'!$C$6:$C$540,'Neiva 2022 FASE I ACTUAL (5)'!$C$6:$F$540,"NO ESTA")</f>
        <v>NO ESTA</v>
      </c>
      <c r="O699" s="124">
        <f t="shared" si="103"/>
        <v>0</v>
      </c>
      <c r="P699" s="155">
        <f t="shared" si="98"/>
        <v>1</v>
      </c>
      <c r="Q699" s="156">
        <f t="shared" si="101"/>
        <v>2929767</v>
      </c>
      <c r="R699" s="156">
        <f t="shared" si="102"/>
        <v>2929767</v>
      </c>
    </row>
    <row r="700" spans="2:18" s="9" customFormat="1" ht="35.1" customHeight="1" x14ac:dyDescent="0.25">
      <c r="B700" s="13" t="s">
        <v>994</v>
      </c>
      <c r="C700" s="14" t="s">
        <v>995</v>
      </c>
      <c r="D700" s="27"/>
      <c r="E700" s="15"/>
      <c r="F700" s="129"/>
      <c r="G700" s="140"/>
      <c r="H700" s="8"/>
      <c r="I700" s="8">
        <f t="shared" si="99"/>
        <v>0</v>
      </c>
      <c r="J700" s="8">
        <f t="shared" si="100"/>
        <v>0</v>
      </c>
      <c r="K700" s="9" t="str">
        <f t="array" ref="K700:N700">_xlfn.XLOOKUP(C700,'Neiva 2022 FASE I ACTUAL (5)'!$C$6:$C$540,'Neiva 2022 FASE I ACTUAL (5)'!$C$6:$F$540,"NO ESTA")</f>
        <v>SUMINISTRO E INSTALACION DE DETECCIÓN DE INDENDIO</v>
      </c>
      <c r="L700" s="9">
        <v>0</v>
      </c>
      <c r="M700" s="9">
        <v>0</v>
      </c>
      <c r="N700" s="9">
        <v>0</v>
      </c>
      <c r="O700" s="124">
        <f t="shared" si="103"/>
        <v>0</v>
      </c>
      <c r="P700" s="155">
        <f t="shared" si="98"/>
        <v>0</v>
      </c>
      <c r="Q700" s="156">
        <f t="shared" si="101"/>
        <v>0</v>
      </c>
      <c r="R700" s="156">
        <f t="shared" si="102"/>
        <v>0</v>
      </c>
    </row>
    <row r="701" spans="2:18" s="9" customFormat="1" ht="35.1" customHeight="1" x14ac:dyDescent="0.25">
      <c r="B701" s="23" t="s">
        <v>996</v>
      </c>
      <c r="C701" s="22" t="s">
        <v>997</v>
      </c>
      <c r="D701" s="10" t="s">
        <v>16</v>
      </c>
      <c r="E701" s="12">
        <v>8</v>
      </c>
      <c r="F701" s="126">
        <v>503198</v>
      </c>
      <c r="G701" s="126">
        <f t="shared" ref="G701:G711" si="107">ROUND(+F701*E701,2)</f>
        <v>4025584</v>
      </c>
      <c r="H701" s="8"/>
      <c r="I701" s="8">
        <f t="shared" si="99"/>
        <v>516030</v>
      </c>
      <c r="J701" s="8">
        <f t="shared" si="100"/>
        <v>4128240</v>
      </c>
      <c r="K701" s="9" t="str">
        <f t="array" ref="K701:N701">_xlfn.XLOOKUP(C701,'Neiva 2022 FASE I ACTUAL (5)'!$C$6:$C$540,'Neiva 2022 FASE I ACTUAL (5)'!$C$6:$F$540,"NO ESTA")</f>
        <v>SUMINISTRO E INSTALACION ESTACION MANUAL DIRECCIONABLE DE AVISO, CON CUBIERTA ACRILICA</v>
      </c>
      <c r="L701" s="9" t="str">
        <v>UND</v>
      </c>
      <c r="M701" s="9">
        <v>3</v>
      </c>
      <c r="N701" s="9">
        <v>497032</v>
      </c>
      <c r="O701" s="124" t="str">
        <f t="shared" si="103"/>
        <v>FASE II</v>
      </c>
      <c r="P701" s="155">
        <f t="shared" si="98"/>
        <v>11</v>
      </c>
      <c r="Q701" s="156">
        <f t="shared" si="101"/>
        <v>516030</v>
      </c>
      <c r="R701" s="156">
        <f t="shared" si="102"/>
        <v>5676330</v>
      </c>
    </row>
    <row r="702" spans="2:18" s="9" customFormat="1" ht="35.1" customHeight="1" x14ac:dyDescent="0.25">
      <c r="B702" s="23" t="s">
        <v>998</v>
      </c>
      <c r="C702" s="87" t="s">
        <v>999</v>
      </c>
      <c r="D702" s="10" t="s">
        <v>16</v>
      </c>
      <c r="E702" s="12">
        <v>8</v>
      </c>
      <c r="F702" s="126">
        <v>360098</v>
      </c>
      <c r="G702" s="126">
        <f t="shared" si="107"/>
        <v>2880784</v>
      </c>
      <c r="H702" s="8"/>
      <c r="I702" s="8">
        <f t="shared" si="99"/>
        <v>369280</v>
      </c>
      <c r="J702" s="8">
        <f t="shared" si="100"/>
        <v>2954240</v>
      </c>
      <c r="K702" s="9" t="str">
        <f t="array" ref="K702:N702">_xlfn.XLOOKUP(C702,'Neiva 2022 FASE I ACTUAL (5)'!$C$6:$C$540,'Neiva 2022 FASE I ACTUAL (5)'!$C$6:$F$540,"NO ESTA")</f>
        <v>SUMINISTRO E INSTALACION SIRENA / ESTROBO CON SUS MODULOS DE CONTROL</v>
      </c>
      <c r="L702" s="9" t="str">
        <v>UND</v>
      </c>
      <c r="M702" s="9">
        <v>3</v>
      </c>
      <c r="N702" s="9">
        <v>355685</v>
      </c>
      <c r="O702" s="124" t="str">
        <f t="shared" si="103"/>
        <v>FASE II</v>
      </c>
      <c r="P702" s="155">
        <f t="shared" si="98"/>
        <v>11</v>
      </c>
      <c r="Q702" s="156">
        <f t="shared" si="101"/>
        <v>369280</v>
      </c>
      <c r="R702" s="156">
        <f t="shared" si="102"/>
        <v>4062080</v>
      </c>
    </row>
    <row r="703" spans="2:18" s="9" customFormat="1" ht="35.1" customHeight="1" x14ac:dyDescent="0.25">
      <c r="B703" s="23" t="s">
        <v>1000</v>
      </c>
      <c r="C703" s="22" t="s">
        <v>1001</v>
      </c>
      <c r="D703" s="10" t="s">
        <v>16</v>
      </c>
      <c r="E703" s="12">
        <v>96</v>
      </c>
      <c r="F703" s="126">
        <v>405062</v>
      </c>
      <c r="G703" s="126">
        <f t="shared" si="107"/>
        <v>38885952</v>
      </c>
      <c r="H703" s="8"/>
      <c r="I703" s="8">
        <f t="shared" si="99"/>
        <v>415391</v>
      </c>
      <c r="J703" s="8">
        <f t="shared" si="100"/>
        <v>39877536</v>
      </c>
      <c r="K703" s="9" t="str">
        <f t="array" ref="K703:N703">_xlfn.XLOOKUP(C703,'Neiva 2022 FASE I ACTUAL (5)'!$C$6:$C$540,'Neiva 2022 FASE I ACTUAL (5)'!$C$6:$F$540,"NO ESTA")</f>
        <v>SUMINISTRO E INSTALACION DETECTOR DE HUMO DIRECCIONABLE CON BASE</v>
      </c>
      <c r="L703" s="9" t="str">
        <v>UND</v>
      </c>
      <c r="M703" s="9">
        <v>46</v>
      </c>
      <c r="N703" s="9">
        <v>400099</v>
      </c>
      <c r="O703" s="124" t="str">
        <f t="shared" si="103"/>
        <v>FASE II</v>
      </c>
      <c r="P703" s="155">
        <f t="shared" si="98"/>
        <v>142</v>
      </c>
      <c r="Q703" s="156">
        <f t="shared" si="101"/>
        <v>415391</v>
      </c>
      <c r="R703" s="156">
        <f t="shared" si="102"/>
        <v>58985522</v>
      </c>
    </row>
    <row r="704" spans="2:18" s="9" customFormat="1" ht="35.1" customHeight="1" x14ac:dyDescent="0.25">
      <c r="B704" s="23" t="s">
        <v>1002</v>
      </c>
      <c r="C704" s="87" t="s">
        <v>1003</v>
      </c>
      <c r="D704" s="10" t="s">
        <v>16</v>
      </c>
      <c r="E704" s="12">
        <v>6</v>
      </c>
      <c r="F704" s="126">
        <v>379368</v>
      </c>
      <c r="G704" s="126">
        <f t="shared" si="107"/>
        <v>2276208</v>
      </c>
      <c r="H704" s="8"/>
      <c r="I704" s="8">
        <f t="shared" si="99"/>
        <v>389042</v>
      </c>
      <c r="J704" s="8">
        <f t="shared" si="100"/>
        <v>2334252</v>
      </c>
      <c r="K704" s="9" t="str">
        <f t="array" ref="K704:N704">_xlfn.XLOOKUP(C704,'Neiva 2022 FASE I ACTUAL (5)'!$C$6:$C$540,'Neiva 2022 FASE I ACTUAL (5)'!$C$6:$F$540,"NO ESTA")</f>
        <v>SUMINISTRO E INSTALACION DETECTOR DE MONOXIDO DIRECCIONABLE CON BASE</v>
      </c>
      <c r="L704" s="9" t="str">
        <v>UND</v>
      </c>
      <c r="M704" s="9">
        <v>2</v>
      </c>
      <c r="N704" s="9">
        <v>374720</v>
      </c>
      <c r="O704" s="124" t="str">
        <f t="shared" si="103"/>
        <v>FASE II</v>
      </c>
      <c r="P704" s="155">
        <f t="shared" si="98"/>
        <v>8</v>
      </c>
      <c r="Q704" s="156">
        <f t="shared" si="101"/>
        <v>389042</v>
      </c>
      <c r="R704" s="156">
        <f t="shared" si="102"/>
        <v>3112336</v>
      </c>
    </row>
    <row r="705" spans="2:18" s="9" customFormat="1" ht="35.1" customHeight="1" x14ac:dyDescent="0.25">
      <c r="B705" s="23" t="s">
        <v>1004</v>
      </c>
      <c r="C705" s="22" t="s">
        <v>1005</v>
      </c>
      <c r="D705" s="10" t="s">
        <v>16</v>
      </c>
      <c r="E705" s="12">
        <v>5</v>
      </c>
      <c r="F705" s="126">
        <v>400477</v>
      </c>
      <c r="G705" s="126">
        <f t="shared" si="107"/>
        <v>2002385</v>
      </c>
      <c r="H705" s="8"/>
      <c r="I705" s="8">
        <f t="shared" si="99"/>
        <v>410689</v>
      </c>
      <c r="J705" s="8">
        <f t="shared" si="100"/>
        <v>2053445</v>
      </c>
      <c r="K705" s="9" t="str">
        <f t="array" ref="K705:N705">_xlfn.XLOOKUP(C705,'Neiva 2022 FASE I ACTUAL (5)'!$C$6:$C$540,'Neiva 2022 FASE I ACTUAL (5)'!$C$6:$F$540,"NO ESTA")</f>
        <v>SUMINISTRO E INSTALACION CITOFONO DE EMERGENCIA</v>
      </c>
      <c r="L705" s="9" t="str">
        <v>UND</v>
      </c>
      <c r="M705" s="9">
        <v>2</v>
      </c>
      <c r="N705" s="9">
        <v>395570</v>
      </c>
      <c r="O705" s="124" t="str">
        <f t="shared" si="103"/>
        <v>FASE II</v>
      </c>
      <c r="P705" s="155">
        <f t="shared" si="98"/>
        <v>7</v>
      </c>
      <c r="Q705" s="156">
        <f t="shared" si="101"/>
        <v>410689</v>
      </c>
      <c r="R705" s="156">
        <f t="shared" si="102"/>
        <v>2874823</v>
      </c>
    </row>
    <row r="706" spans="2:18" s="9" customFormat="1" ht="35.1" customHeight="1" x14ac:dyDescent="0.25">
      <c r="B706" s="23" t="s">
        <v>1006</v>
      </c>
      <c r="C706" s="22" t="s">
        <v>1007</v>
      </c>
      <c r="D706" s="10" t="s">
        <v>16</v>
      </c>
      <c r="E706" s="12">
        <v>1</v>
      </c>
      <c r="F706" s="126">
        <v>8411205</v>
      </c>
      <c r="G706" s="126">
        <f t="shared" si="107"/>
        <v>8411205</v>
      </c>
      <c r="H706" s="8"/>
      <c r="I706" s="8">
        <f t="shared" si="99"/>
        <v>8625691</v>
      </c>
      <c r="J706" s="8">
        <f t="shared" si="100"/>
        <v>8625691</v>
      </c>
      <c r="K706" s="9" t="str">
        <f t="array" ref="K706:N706">_xlfn.XLOOKUP(C706,'Neiva 2022 FASE I ACTUAL (5)'!$C$6:$C$540,'Neiva 2022 FASE I ACTUAL (5)'!$C$6:$F$540,"NO ESTA")</f>
        <v xml:space="preserve">SUMINISTRO E INSTALACION CENTRAL DE DETECCION DE INCENDIO E INTRUSIÓN, CONSU GABINETE, FUENTE, CPU, DISPLAY Y TECLEDO, CON UN 30% DE RESERVA PARA AMPLIACIÓN. </v>
      </c>
      <c r="L706" s="9" t="str">
        <v>UND</v>
      </c>
      <c r="M706" s="9">
        <v>1</v>
      </c>
      <c r="N706" s="9">
        <v>8308139</v>
      </c>
      <c r="O706" s="124" t="str">
        <f t="shared" si="103"/>
        <v>FASE II</v>
      </c>
      <c r="P706" s="155">
        <f t="shared" si="98"/>
        <v>2</v>
      </c>
      <c r="Q706" s="156">
        <f t="shared" si="101"/>
        <v>8625691</v>
      </c>
      <c r="R706" s="156">
        <f t="shared" si="102"/>
        <v>17251382</v>
      </c>
    </row>
    <row r="707" spans="2:18" s="9" customFormat="1" ht="35.1" customHeight="1" x14ac:dyDescent="0.25">
      <c r="B707" s="23" t="s">
        <v>1008</v>
      </c>
      <c r="C707" s="22" t="s">
        <v>1009</v>
      </c>
      <c r="D707" s="10" t="s">
        <v>94</v>
      </c>
      <c r="E707" s="12">
        <v>1277</v>
      </c>
      <c r="F707" s="126">
        <v>5267</v>
      </c>
      <c r="G707" s="126">
        <f t="shared" si="107"/>
        <v>6725959</v>
      </c>
      <c r="H707" s="8"/>
      <c r="I707" s="8">
        <f t="shared" si="99"/>
        <v>5401</v>
      </c>
      <c r="J707" s="8">
        <f t="shared" si="100"/>
        <v>6897077</v>
      </c>
      <c r="K707" s="9" t="str">
        <f t="array" ref="K707:N707">_xlfn.XLOOKUP(C707,'Neiva 2022 FASE I ACTUAL (5)'!$C$6:$C$540,'Neiva 2022 FASE I ACTUAL (5)'!$C$6:$F$540,"NO ESTA")</f>
        <v>SUMINISTRO E INSTALACION CABLE BLINDADO 2 x 16 AWG FPL</v>
      </c>
      <c r="L707" s="9" t="str">
        <v>ML</v>
      </c>
      <c r="M707" s="9">
        <v>496</v>
      </c>
      <c r="N707" s="9">
        <v>5202</v>
      </c>
      <c r="O707" s="124" t="str">
        <f t="shared" si="103"/>
        <v>FASE II</v>
      </c>
      <c r="P707" s="155">
        <f t="shared" si="98"/>
        <v>1773</v>
      </c>
      <c r="Q707" s="156">
        <f t="shared" si="101"/>
        <v>5401</v>
      </c>
      <c r="R707" s="156">
        <f t="shared" si="102"/>
        <v>9575973</v>
      </c>
    </row>
    <row r="708" spans="2:18" s="9" customFormat="1" ht="35.1" customHeight="1" x14ac:dyDescent="0.25">
      <c r="B708" s="23" t="s">
        <v>1010</v>
      </c>
      <c r="C708" s="22" t="s">
        <v>968</v>
      </c>
      <c r="D708" s="10" t="s">
        <v>94</v>
      </c>
      <c r="E708" s="12">
        <v>854</v>
      </c>
      <c r="F708" s="126">
        <v>16039</v>
      </c>
      <c r="G708" s="126">
        <f t="shared" si="107"/>
        <v>13697306</v>
      </c>
      <c r="H708" s="8"/>
      <c r="I708" s="8">
        <f t="shared" si="99"/>
        <v>16448</v>
      </c>
      <c r="J708" s="8">
        <f t="shared" si="100"/>
        <v>14046592</v>
      </c>
      <c r="K708" s="9" t="str">
        <f t="array" ref="K708:N708">_xlfn.XLOOKUP(C708,'Neiva 2022 FASE I ACTUAL (5)'!$C$6:$C$540,'Neiva 2022 FASE I ACTUAL (5)'!$C$6:$F$540,"NO ESTA")</f>
        <v>SUMINISTRO E INSTALACION TUBERÍA EMT DE 3/4" INCLUYE ACCESORIOS</v>
      </c>
      <c r="L708" s="9" t="str">
        <v>ML</v>
      </c>
      <c r="M708" s="9">
        <v>61</v>
      </c>
      <c r="N708" s="9">
        <v>15631</v>
      </c>
      <c r="O708" s="124" t="str">
        <f t="shared" si="103"/>
        <v>FASE II</v>
      </c>
      <c r="P708" s="155">
        <f t="shared" si="98"/>
        <v>915</v>
      </c>
      <c r="Q708" s="156">
        <f t="shared" si="101"/>
        <v>16448</v>
      </c>
      <c r="R708" s="156">
        <f t="shared" si="102"/>
        <v>15049920</v>
      </c>
    </row>
    <row r="709" spans="2:18" s="9" customFormat="1" ht="35.1" customHeight="1" x14ac:dyDescent="0.25">
      <c r="B709" s="23" t="s">
        <v>1011</v>
      </c>
      <c r="C709" s="22" t="s">
        <v>972</v>
      </c>
      <c r="D709" s="10" t="s">
        <v>94</v>
      </c>
      <c r="E709" s="12">
        <v>15</v>
      </c>
      <c r="F709" s="126">
        <v>4755</v>
      </c>
      <c r="G709" s="126">
        <f t="shared" si="107"/>
        <v>71325</v>
      </c>
      <c r="H709" s="8"/>
      <c r="I709" s="8">
        <f t="shared" si="99"/>
        <v>4876</v>
      </c>
      <c r="J709" s="8">
        <f t="shared" si="100"/>
        <v>73140</v>
      </c>
      <c r="K709" s="9" t="str">
        <f t="array" ref="K709:N709">_xlfn.XLOOKUP(C709,'Neiva 2022 FASE I ACTUAL (5)'!$C$6:$C$540,'Neiva 2022 FASE I ACTUAL (5)'!$C$6:$F$540,"NO ESTA")</f>
        <v>SUMINISTRO E INSTALACION TUBERÍA PVC DE 3/4" INCLUYE ACCESORIOS</v>
      </c>
      <c r="L709" s="9" t="str">
        <v>ML</v>
      </c>
      <c r="M709" s="9">
        <v>31</v>
      </c>
      <c r="N709" s="9">
        <v>4633</v>
      </c>
      <c r="O709" s="124" t="str">
        <f t="shared" si="103"/>
        <v>FASE II</v>
      </c>
      <c r="P709" s="155">
        <f t="shared" si="98"/>
        <v>46</v>
      </c>
      <c r="Q709" s="156">
        <f t="shared" si="101"/>
        <v>4876</v>
      </c>
      <c r="R709" s="156">
        <f t="shared" si="102"/>
        <v>224296</v>
      </c>
    </row>
    <row r="710" spans="2:18" s="9" customFormat="1" ht="35.1" customHeight="1" x14ac:dyDescent="0.25">
      <c r="B710" s="23" t="s">
        <v>1012</v>
      </c>
      <c r="C710" s="22" t="s">
        <v>976</v>
      </c>
      <c r="D710" s="10" t="s">
        <v>16</v>
      </c>
      <c r="E710" s="12">
        <v>23</v>
      </c>
      <c r="F710" s="126">
        <v>12928</v>
      </c>
      <c r="G710" s="126">
        <f t="shared" si="107"/>
        <v>297344</v>
      </c>
      <c r="H710" s="8"/>
      <c r="I710" s="8">
        <f t="shared" si="99"/>
        <v>13258</v>
      </c>
      <c r="J710" s="8">
        <f t="shared" si="100"/>
        <v>304934</v>
      </c>
      <c r="K710" s="9" t="str">
        <f t="array" ref="K710:N710">_xlfn.XLOOKUP(C710,'Neiva 2022 FASE I ACTUAL (5)'!$C$6:$C$540,'Neiva 2022 FASE I ACTUAL (5)'!$C$6:$F$540,"NO ESTA")</f>
        <v>SUMINISTRO E INSTALACION CAJA DE PASO 10 x 10 m DOBLE FONDO</v>
      </c>
      <c r="L710" s="9" t="str">
        <v>UND</v>
      </c>
      <c r="M710" s="9">
        <v>4</v>
      </c>
      <c r="N710" s="9">
        <v>12598</v>
      </c>
      <c r="O710" s="124" t="str">
        <f t="shared" si="103"/>
        <v>FASE II</v>
      </c>
      <c r="P710" s="155">
        <f t="shared" ref="P710:P720" si="108">E710+M710</f>
        <v>27</v>
      </c>
      <c r="Q710" s="156">
        <f t="shared" si="101"/>
        <v>13258</v>
      </c>
      <c r="R710" s="156">
        <f t="shared" si="102"/>
        <v>357966</v>
      </c>
    </row>
    <row r="711" spans="2:18" s="9" customFormat="1" ht="35.1" customHeight="1" x14ac:dyDescent="0.25">
      <c r="B711" s="23" t="s">
        <v>1386</v>
      </c>
      <c r="C711" s="22" t="s">
        <v>1385</v>
      </c>
      <c r="D711" s="10" t="s">
        <v>1182</v>
      </c>
      <c r="E711" s="12">
        <v>0</v>
      </c>
      <c r="F711" s="126">
        <v>2856916</v>
      </c>
      <c r="G711" s="126">
        <f t="shared" si="107"/>
        <v>0</v>
      </c>
      <c r="H711" s="8"/>
      <c r="I711" s="8">
        <f t="shared" ref="I711:I719" si="109">+ROUND(F711*(1+$I$4),0)</f>
        <v>2929767</v>
      </c>
      <c r="J711" s="8">
        <f t="shared" ref="J711:J720" si="110">+I711*E711</f>
        <v>0</v>
      </c>
      <c r="K711" s="9" t="str">
        <f t="array" ref="K711">_xlfn.XLOOKUP(C711,'Neiva 2022 FASE I ACTUAL (5)'!$C$6:$C$540,'Neiva 2022 FASE I ACTUAL (5)'!$C$6:$F$540,"NO ESTA")</f>
        <v>NO ESTA</v>
      </c>
      <c r="O711" s="124">
        <f t="shared" si="103"/>
        <v>0</v>
      </c>
      <c r="P711" s="155">
        <f t="shared" si="108"/>
        <v>0</v>
      </c>
      <c r="Q711" s="156">
        <f t="shared" ref="Q711:Q720" si="111">MAX(N711,F711,I711)</f>
        <v>2929767</v>
      </c>
      <c r="R711" s="156">
        <f t="shared" ref="R711:R720" si="112">ROUND(P711*Q711,2)</f>
        <v>0</v>
      </c>
    </row>
    <row r="712" spans="2:18" s="9" customFormat="1" ht="35.1" customHeight="1" x14ac:dyDescent="0.25">
      <c r="B712" s="13" t="s">
        <v>1387</v>
      </c>
      <c r="C712" s="14" t="s">
        <v>1388</v>
      </c>
      <c r="D712" s="27"/>
      <c r="E712" s="15"/>
      <c r="F712" s="129"/>
      <c r="G712" s="140"/>
      <c r="H712" s="8"/>
      <c r="I712" s="8">
        <f t="shared" si="109"/>
        <v>0</v>
      </c>
      <c r="J712" s="8">
        <f t="shared" si="110"/>
        <v>0</v>
      </c>
      <c r="K712" s="9" t="str">
        <f t="array" ref="K712">_xlfn.XLOOKUP(C712,'Neiva 2022 FASE I ACTUAL (5)'!$C$6:$C$540,'Neiva 2022 FASE I ACTUAL (5)'!$C$6:$F$540,"NO ESTA")</f>
        <v>NO ESTA</v>
      </c>
      <c r="O712" s="124">
        <f t="shared" ref="O712:O720" si="113">IF(N712=0,0,(IF(F712&lt;N712, "FASE I","FASE II")))</f>
        <v>0</v>
      </c>
      <c r="P712" s="155">
        <f t="shared" si="108"/>
        <v>0</v>
      </c>
      <c r="Q712" s="156">
        <f t="shared" si="111"/>
        <v>0</v>
      </c>
      <c r="R712" s="156">
        <f t="shared" si="112"/>
        <v>0</v>
      </c>
    </row>
    <row r="713" spans="2:18" s="9" customFormat="1" ht="35.1" customHeight="1" x14ac:dyDescent="0.25">
      <c r="B713" s="23" t="s">
        <v>1389</v>
      </c>
      <c r="C713" s="22" t="s">
        <v>1390</v>
      </c>
      <c r="D713" s="10" t="s">
        <v>16</v>
      </c>
      <c r="E713" s="12">
        <v>64</v>
      </c>
      <c r="F713" s="126">
        <v>385558</v>
      </c>
      <c r="G713" s="126">
        <f t="shared" ref="G713:G720" si="114">ROUND(+F713*E713,2)</f>
        <v>24675712</v>
      </c>
      <c r="H713" s="8"/>
      <c r="I713" s="8">
        <f t="shared" si="109"/>
        <v>395390</v>
      </c>
      <c r="J713" s="8">
        <f t="shared" si="110"/>
        <v>25304960</v>
      </c>
      <c r="K713" s="9" t="str">
        <f t="array" ref="K713">_xlfn.XLOOKUP(C713,'Neiva 2022 FASE I ACTUAL (5)'!$C$6:$C$540,'Neiva 2022 FASE I ACTUAL (5)'!$C$6:$F$540,"NO ESTA")</f>
        <v>NO ESTA</v>
      </c>
      <c r="O713" s="124">
        <f t="shared" si="113"/>
        <v>0</v>
      </c>
      <c r="P713" s="155">
        <f t="shared" si="108"/>
        <v>64</v>
      </c>
      <c r="Q713" s="156">
        <f t="shared" si="111"/>
        <v>395390</v>
      </c>
      <c r="R713" s="156">
        <f t="shared" si="112"/>
        <v>25304960</v>
      </c>
    </row>
    <row r="714" spans="2:18" s="9" customFormat="1" ht="35.1" customHeight="1" x14ac:dyDescent="0.25">
      <c r="B714" s="23" t="s">
        <v>1391</v>
      </c>
      <c r="C714" s="22" t="s">
        <v>1392</v>
      </c>
      <c r="D714" s="10" t="s">
        <v>16</v>
      </c>
      <c r="E714" s="12">
        <v>2</v>
      </c>
      <c r="F714" s="126">
        <v>8931653</v>
      </c>
      <c r="G714" s="126">
        <f t="shared" si="114"/>
        <v>17863306</v>
      </c>
      <c r="H714" s="8"/>
      <c r="I714" s="8">
        <f t="shared" si="109"/>
        <v>9159410</v>
      </c>
      <c r="J714" s="8">
        <f t="shared" si="110"/>
        <v>18318820</v>
      </c>
      <c r="K714" s="9" t="str">
        <f t="array" ref="K714">_xlfn.XLOOKUP(C714,'Neiva 2022 FASE I ACTUAL (5)'!$C$6:$C$540,'Neiva 2022 FASE I ACTUAL (5)'!$C$6:$F$540,"NO ESTA")</f>
        <v>NO ESTA</v>
      </c>
      <c r="O714" s="124">
        <f t="shared" si="113"/>
        <v>0</v>
      </c>
      <c r="P714" s="155">
        <f t="shared" si="108"/>
        <v>2</v>
      </c>
      <c r="Q714" s="156">
        <f t="shared" si="111"/>
        <v>9159410</v>
      </c>
      <c r="R714" s="156">
        <f t="shared" si="112"/>
        <v>18318820</v>
      </c>
    </row>
    <row r="715" spans="2:18" s="9" customFormat="1" ht="35.1" customHeight="1" x14ac:dyDescent="0.25">
      <c r="B715" s="23" t="s">
        <v>1393</v>
      </c>
      <c r="C715" s="22" t="s">
        <v>1394</v>
      </c>
      <c r="D715" s="10" t="s">
        <v>16</v>
      </c>
      <c r="E715" s="12">
        <v>2</v>
      </c>
      <c r="F715" s="126">
        <v>16541720</v>
      </c>
      <c r="G715" s="126">
        <f t="shared" si="114"/>
        <v>33083440</v>
      </c>
      <c r="H715" s="8"/>
      <c r="I715" s="8">
        <f t="shared" si="109"/>
        <v>16963534</v>
      </c>
      <c r="J715" s="8">
        <f t="shared" si="110"/>
        <v>33927068</v>
      </c>
      <c r="K715" s="9" t="str">
        <f t="array" ref="K715">_xlfn.XLOOKUP(C715,'Neiva 2022 FASE I ACTUAL (5)'!$C$6:$C$540,'Neiva 2022 FASE I ACTUAL (5)'!$C$6:$F$540,"NO ESTA")</f>
        <v>NO ESTA</v>
      </c>
      <c r="O715" s="124">
        <f t="shared" si="113"/>
        <v>0</v>
      </c>
      <c r="P715" s="155">
        <f t="shared" si="108"/>
        <v>2</v>
      </c>
      <c r="Q715" s="156">
        <f t="shared" si="111"/>
        <v>16963534</v>
      </c>
      <c r="R715" s="156">
        <f t="shared" si="112"/>
        <v>33927068</v>
      </c>
    </row>
    <row r="716" spans="2:18" s="9" customFormat="1" ht="35.1" customHeight="1" x14ac:dyDescent="0.25">
      <c r="B716" s="23" t="s">
        <v>1395</v>
      </c>
      <c r="C716" s="22" t="s">
        <v>1396</v>
      </c>
      <c r="D716" s="10" t="s">
        <v>16</v>
      </c>
      <c r="E716" s="12">
        <v>2</v>
      </c>
      <c r="F716" s="126">
        <v>1641662</v>
      </c>
      <c r="G716" s="126">
        <f t="shared" si="114"/>
        <v>3283324</v>
      </c>
      <c r="H716" s="8"/>
      <c r="I716" s="8">
        <f t="shared" si="109"/>
        <v>1683524</v>
      </c>
      <c r="J716" s="8">
        <f t="shared" si="110"/>
        <v>3367048</v>
      </c>
      <c r="K716" s="9" t="str">
        <f t="array" ref="K716">_xlfn.XLOOKUP(C716,'Neiva 2022 FASE I ACTUAL (5)'!$C$6:$C$540,'Neiva 2022 FASE I ACTUAL (5)'!$C$6:$F$540,"NO ESTA")</f>
        <v>NO ESTA</v>
      </c>
      <c r="O716" s="124">
        <f t="shared" si="113"/>
        <v>0</v>
      </c>
      <c r="P716" s="155">
        <f t="shared" si="108"/>
        <v>2</v>
      </c>
      <c r="Q716" s="156">
        <f t="shared" si="111"/>
        <v>1683524</v>
      </c>
      <c r="R716" s="156">
        <f t="shared" si="112"/>
        <v>3367048</v>
      </c>
    </row>
    <row r="717" spans="2:18" s="9" customFormat="1" ht="35.1" customHeight="1" x14ac:dyDescent="0.25">
      <c r="B717" s="23" t="s">
        <v>1397</v>
      </c>
      <c r="C717" s="22" t="s">
        <v>968</v>
      </c>
      <c r="D717" s="10" t="s">
        <v>94</v>
      </c>
      <c r="E717" s="12">
        <v>159</v>
      </c>
      <c r="F717" s="126">
        <v>16039</v>
      </c>
      <c r="G717" s="126">
        <f t="shared" si="114"/>
        <v>2550201</v>
      </c>
      <c r="H717" s="8"/>
      <c r="I717" s="8">
        <f t="shared" si="109"/>
        <v>16448</v>
      </c>
      <c r="J717" s="8">
        <f t="shared" si="110"/>
        <v>2615232</v>
      </c>
      <c r="K717" s="9" t="str">
        <f t="array" ref="K717:N717">_xlfn.XLOOKUP(C717,'Neiva 2022 FASE I ACTUAL (5)'!$C$6:$C$540,'Neiva 2022 FASE I ACTUAL (5)'!$C$6:$F$540,"NO ESTA")</f>
        <v>SUMINISTRO E INSTALACION TUBERÍA EMT DE 3/4" INCLUYE ACCESORIOS</v>
      </c>
      <c r="L717" s="9" t="str">
        <v>ML</v>
      </c>
      <c r="M717" s="9">
        <v>61</v>
      </c>
      <c r="N717" s="9">
        <v>15631</v>
      </c>
      <c r="O717" s="124" t="str">
        <f t="shared" si="113"/>
        <v>FASE II</v>
      </c>
      <c r="P717" s="155">
        <f t="shared" si="108"/>
        <v>220</v>
      </c>
      <c r="Q717" s="156">
        <f t="shared" si="111"/>
        <v>16448</v>
      </c>
      <c r="R717" s="156">
        <f t="shared" si="112"/>
        <v>3618560</v>
      </c>
    </row>
    <row r="718" spans="2:18" s="9" customFormat="1" ht="35.1" customHeight="1" x14ac:dyDescent="0.25">
      <c r="B718" s="23" t="s">
        <v>1398</v>
      </c>
      <c r="C718" s="22" t="s">
        <v>976</v>
      </c>
      <c r="D718" s="10" t="s">
        <v>16</v>
      </c>
      <c r="E718" s="12">
        <v>4</v>
      </c>
      <c r="F718" s="126">
        <v>12928</v>
      </c>
      <c r="G718" s="126">
        <f t="shared" si="114"/>
        <v>51712</v>
      </c>
      <c r="H718" s="8"/>
      <c r="I718" s="8">
        <f t="shared" si="109"/>
        <v>13258</v>
      </c>
      <c r="J718" s="8">
        <f t="shared" si="110"/>
        <v>53032</v>
      </c>
      <c r="K718" s="9" t="str">
        <f t="array" ref="K718:N718">_xlfn.XLOOKUP(C718,'Neiva 2022 FASE I ACTUAL (5)'!$C$6:$C$540,'Neiva 2022 FASE I ACTUAL (5)'!$C$6:$F$540,"NO ESTA")</f>
        <v>SUMINISTRO E INSTALACION CAJA DE PASO 10 x 10 m DOBLE FONDO</v>
      </c>
      <c r="L718" s="9" t="str">
        <v>UND</v>
      </c>
      <c r="M718" s="9">
        <v>4</v>
      </c>
      <c r="N718" s="9">
        <v>12598</v>
      </c>
      <c r="O718" s="124" t="str">
        <f t="shared" si="113"/>
        <v>FASE II</v>
      </c>
      <c r="P718" s="155">
        <f t="shared" si="108"/>
        <v>8</v>
      </c>
      <c r="Q718" s="156">
        <f t="shared" si="111"/>
        <v>13258</v>
      </c>
      <c r="R718" s="156">
        <f t="shared" si="112"/>
        <v>106064</v>
      </c>
    </row>
    <row r="719" spans="2:18" s="9" customFormat="1" ht="35.1" customHeight="1" x14ac:dyDescent="0.25">
      <c r="B719" s="23" t="s">
        <v>1399</v>
      </c>
      <c r="C719" s="22" t="s">
        <v>1400</v>
      </c>
      <c r="D719" s="23" t="s">
        <v>94</v>
      </c>
      <c r="E719" s="12">
        <v>2380</v>
      </c>
      <c r="F719" s="126">
        <v>8415</v>
      </c>
      <c r="G719" s="126">
        <f t="shared" si="114"/>
        <v>20027700</v>
      </c>
      <c r="H719" s="8"/>
      <c r="I719" s="8">
        <f t="shared" si="109"/>
        <v>8630</v>
      </c>
      <c r="J719" s="8">
        <f t="shared" si="110"/>
        <v>20539400</v>
      </c>
      <c r="K719" s="9" t="str">
        <f t="array" ref="K719">_xlfn.XLOOKUP(C719,'Neiva 2022 FASE I ACTUAL (5)'!$C$6:$C$540,'Neiva 2022 FASE I ACTUAL (5)'!$C$6:$F$540,"NO ESTA")</f>
        <v>NO ESTA</v>
      </c>
      <c r="O719" s="124">
        <f t="shared" si="113"/>
        <v>0</v>
      </c>
      <c r="P719" s="155">
        <f t="shared" si="108"/>
        <v>2380</v>
      </c>
      <c r="Q719" s="156">
        <f t="shared" si="111"/>
        <v>8630</v>
      </c>
      <c r="R719" s="156">
        <f t="shared" si="112"/>
        <v>20539400</v>
      </c>
    </row>
    <row r="720" spans="2:18" s="9" customFormat="1" ht="35.1" customHeight="1" x14ac:dyDescent="0.25">
      <c r="B720" s="23" t="s">
        <v>1401</v>
      </c>
      <c r="C720" s="22" t="s">
        <v>1385</v>
      </c>
      <c r="D720" s="10" t="s">
        <v>1182</v>
      </c>
      <c r="E720" s="12">
        <v>1</v>
      </c>
      <c r="F720" s="126">
        <v>2856916</v>
      </c>
      <c r="G720" s="126">
        <f t="shared" si="114"/>
        <v>2856916</v>
      </c>
      <c r="H720" s="8"/>
      <c r="I720" s="8">
        <f>+ROUND(F720*(1+$I$4),0)</f>
        <v>2929767</v>
      </c>
      <c r="J720" s="8">
        <f t="shared" si="110"/>
        <v>2929767</v>
      </c>
      <c r="K720" s="9" t="str">
        <f t="array" ref="K720">_xlfn.XLOOKUP(C720,'Neiva 2022 FASE I ACTUAL (5)'!$C$6:$C$540,'Neiva 2022 FASE I ACTUAL (5)'!$C$6:$F$540,"NO ESTA")</f>
        <v>NO ESTA</v>
      </c>
      <c r="O720" s="124">
        <f t="shared" si="113"/>
        <v>0</v>
      </c>
      <c r="P720" s="155">
        <f t="shared" si="108"/>
        <v>1</v>
      </c>
      <c r="Q720" s="156">
        <f t="shared" si="111"/>
        <v>2929767</v>
      </c>
      <c r="R720" s="156">
        <f t="shared" si="112"/>
        <v>2929767</v>
      </c>
    </row>
    <row r="721" spans="2:19" ht="15" x14ac:dyDescent="0.25">
      <c r="B721" s="428" t="s">
        <v>1032</v>
      </c>
      <c r="C721" s="429"/>
      <c r="D721" s="429"/>
      <c r="E721" s="429"/>
      <c r="F721" s="430"/>
      <c r="G721" s="65">
        <f>+R726</f>
        <v>13144211903.370008</v>
      </c>
      <c r="J721" s="65">
        <f>SUM(J1:J720)</f>
        <v>6301006256.4112186</v>
      </c>
      <c r="K721" s="65">
        <f>6353512589.28+5886807197</f>
        <v>12240319786.279999</v>
      </c>
      <c r="P721" s="157"/>
      <c r="Q721" s="157"/>
      <c r="R721" s="158">
        <f>SUM(R6:R720)</f>
        <v>10445586192.060009</v>
      </c>
      <c r="S721" s="1">
        <f>+'Neiva 2022 FASE I ACTUAL (5)'!O541</f>
        <v>2698625711.309999</v>
      </c>
    </row>
    <row r="722" spans="2:19" x14ac:dyDescent="0.25">
      <c r="B722" s="425" t="s">
        <v>1034</v>
      </c>
      <c r="C722" s="425"/>
      <c r="D722" s="425"/>
      <c r="E722" s="425"/>
      <c r="F722" s="136">
        <v>0.18379999999999999</v>
      </c>
      <c r="G722" s="66">
        <f>ROUND(F722*G721,2)</f>
        <v>2415906147.8400002</v>
      </c>
      <c r="P722" s="157"/>
      <c r="Q722" s="157"/>
      <c r="R722" s="157"/>
    </row>
    <row r="723" spans="2:19" x14ac:dyDescent="0.25">
      <c r="B723" s="425" t="s">
        <v>1035</v>
      </c>
      <c r="C723" s="425"/>
      <c r="D723" s="425"/>
      <c r="E723" s="425"/>
      <c r="F723" s="137">
        <v>0.01</v>
      </c>
      <c r="G723" s="66">
        <f>ROUND(F723*G721,2)</f>
        <v>131442119.03</v>
      </c>
      <c r="P723" s="157"/>
      <c r="Q723" s="157"/>
      <c r="R723" s="158">
        <f>R721+S721</f>
        <v>13144211903.370008</v>
      </c>
    </row>
    <row r="724" spans="2:19" x14ac:dyDescent="0.25">
      <c r="B724" s="425" t="s">
        <v>1036</v>
      </c>
      <c r="C724" s="425"/>
      <c r="D724" s="425"/>
      <c r="E724" s="425"/>
      <c r="F724" s="136">
        <v>0.05</v>
      </c>
      <c r="G724" s="66">
        <f>ROUND(F724*G721,2)</f>
        <v>657210595.16999996</v>
      </c>
    </row>
    <row r="725" spans="2:19" ht="15" x14ac:dyDescent="0.25">
      <c r="B725" s="431" t="s">
        <v>1033</v>
      </c>
      <c r="C725" s="432"/>
      <c r="D725" s="432"/>
      <c r="E725" s="432"/>
      <c r="F725" s="433"/>
      <c r="G725" s="67">
        <f>ROUND(G722+G723+G724,2)</f>
        <v>3204558862.04</v>
      </c>
    </row>
    <row r="726" spans="2:19" x14ac:dyDescent="0.25">
      <c r="B726" s="425" t="s">
        <v>1038</v>
      </c>
      <c r="C726" s="425"/>
      <c r="D726" s="425"/>
      <c r="E726" s="425"/>
      <c r="F726" s="136">
        <v>0.19</v>
      </c>
      <c r="G726" s="66">
        <f>ROUND(F726*G724,2)</f>
        <v>124870013.08</v>
      </c>
      <c r="R726" s="65">
        <f>+R723</f>
        <v>13144211903.370008</v>
      </c>
    </row>
    <row r="727" spans="2:19" x14ac:dyDescent="0.25">
      <c r="B727" s="426" t="s">
        <v>1402</v>
      </c>
      <c r="C727" s="426"/>
      <c r="D727" s="426"/>
      <c r="E727" s="426"/>
      <c r="F727" s="138"/>
      <c r="G727" s="65">
        <f>ROUND(G721+G725+G726,2)</f>
        <v>16473640778.49</v>
      </c>
    </row>
    <row r="728" spans="2:19" x14ac:dyDescent="0.3">
      <c r="E728"/>
      <c r="G728" s="65">
        <v>9238797411</v>
      </c>
      <c r="I728" s="1" t="s">
        <v>1403</v>
      </c>
      <c r="J728" s="1">
        <f>+G728-G729</f>
        <v>570797411</v>
      </c>
    </row>
    <row r="729" spans="2:19" x14ac:dyDescent="0.3">
      <c r="E729"/>
      <c r="G729" s="65">
        <v>8668000000</v>
      </c>
      <c r="H729" s="1">
        <f>G721+'Neiva 2021 FASE I UNIFICADO'!G541</f>
        <v>18781782705.530006</v>
      </c>
      <c r="I729" s="1" t="s">
        <v>1404</v>
      </c>
      <c r="K729" s="146">
        <f>H729-K721</f>
        <v>6541462919.2500076</v>
      </c>
      <c r="M729" s="1">
        <f>+R723-H729</f>
        <v>-5637570802.1599979</v>
      </c>
      <c r="O729" s="221">
        <f>+R723-K721</f>
        <v>903892117.09000969</v>
      </c>
    </row>
    <row r="730" spans="2:19" x14ac:dyDescent="0.3">
      <c r="E730"/>
      <c r="G730" s="222">
        <f>+G729+7475000000</f>
        <v>16143000000</v>
      </c>
      <c r="I730" s="1" t="s">
        <v>1405</v>
      </c>
    </row>
    <row r="731" spans="2:19" x14ac:dyDescent="0.3">
      <c r="E731"/>
      <c r="I731" s="224">
        <v>16180368229.139999</v>
      </c>
      <c r="J731" s="158">
        <f>+G730-I731</f>
        <v>-37368229.13999939</v>
      </c>
    </row>
    <row r="732" spans="2:19" x14ac:dyDescent="0.3">
      <c r="E732"/>
      <c r="I732" s="1" t="s">
        <v>1406</v>
      </c>
      <c r="J732" s="1" t="s">
        <v>1407</v>
      </c>
    </row>
    <row r="733" spans="2:19" x14ac:dyDescent="0.3">
      <c r="E733"/>
      <c r="I733" s="224">
        <f>+I731+J740</f>
        <v>16905304790.99</v>
      </c>
    </row>
    <row r="734" spans="2:19" x14ac:dyDescent="0.3">
      <c r="E734"/>
      <c r="J734" s="158"/>
    </row>
    <row r="735" spans="2:19" x14ac:dyDescent="0.3">
      <c r="E735"/>
    </row>
    <row r="736" spans="2:19" x14ac:dyDescent="0.3">
      <c r="E736"/>
    </row>
    <row r="737" spans="5:12" x14ac:dyDescent="0.3">
      <c r="E737"/>
      <c r="J737" s="1" t="s">
        <v>1408</v>
      </c>
      <c r="K737" t="s">
        <v>1409</v>
      </c>
    </row>
    <row r="738" spans="5:12" x14ac:dyDescent="0.3">
      <c r="E738"/>
      <c r="I738" s="312">
        <f>+I733-K742</f>
        <v>-301481918.01000023</v>
      </c>
      <c r="J738" s="1">
        <f>+I731*0.08</f>
        <v>1294429458.3311999</v>
      </c>
      <c r="K738" t="s">
        <v>1410</v>
      </c>
      <c r="L738" t="s">
        <v>1411</v>
      </c>
    </row>
    <row r="739" spans="5:12" x14ac:dyDescent="0.3">
      <c r="E739"/>
      <c r="K739" s="225">
        <v>492921520</v>
      </c>
      <c r="L739" s="1">
        <v>526264970</v>
      </c>
    </row>
    <row r="740" spans="5:12" x14ac:dyDescent="0.3">
      <c r="E740"/>
      <c r="J740" s="224">
        <v>724936561.85000002</v>
      </c>
      <c r="K740" s="225">
        <v>7475067778</v>
      </c>
    </row>
    <row r="741" spans="5:12" x14ac:dyDescent="0.3">
      <c r="E741"/>
      <c r="K741" s="1">
        <f>SUM(K739:K740)</f>
        <v>7967989298</v>
      </c>
    </row>
    <row r="742" spans="5:12" ht="30.75" x14ac:dyDescent="0.3">
      <c r="E742"/>
      <c r="I742" s="227" t="s">
        <v>1412</v>
      </c>
      <c r="K742" s="226">
        <f>+K741+G728</f>
        <v>17206786709</v>
      </c>
    </row>
    <row r="743" spans="5:12" x14ac:dyDescent="0.3">
      <c r="E743"/>
      <c r="I743" s="1">
        <v>15000000</v>
      </c>
      <c r="K743" t="s">
        <v>1413</v>
      </c>
    </row>
    <row r="744" spans="5:12" x14ac:dyDescent="0.3">
      <c r="E744"/>
      <c r="I744" s="1">
        <v>17694791</v>
      </c>
    </row>
    <row r="745" spans="5:12" x14ac:dyDescent="0.3">
      <c r="E745"/>
      <c r="I745" s="1">
        <f>+I744+I743</f>
        <v>32694791</v>
      </c>
    </row>
    <row r="746" spans="5:12" x14ac:dyDescent="0.3">
      <c r="E746"/>
    </row>
    <row r="747" spans="5:12" x14ac:dyDescent="0.3">
      <c r="E747"/>
    </row>
    <row r="748" spans="5:12" x14ac:dyDescent="0.3">
      <c r="E748"/>
    </row>
    <row r="749" spans="5:12" x14ac:dyDescent="0.3">
      <c r="E749"/>
    </row>
    <row r="750" spans="5:12" x14ac:dyDescent="0.3">
      <c r="E750"/>
    </row>
    <row r="751" spans="5:12" x14ac:dyDescent="0.3">
      <c r="E751"/>
    </row>
    <row r="752" spans="5:12" x14ac:dyDescent="0.3">
      <c r="E752"/>
    </row>
    <row r="753" spans="5:5" x14ac:dyDescent="0.3">
      <c r="E753"/>
    </row>
    <row r="754" spans="5:5" x14ac:dyDescent="0.3">
      <c r="E754"/>
    </row>
    <row r="755" spans="5:5" x14ac:dyDescent="0.3">
      <c r="E755"/>
    </row>
    <row r="756" spans="5:5" x14ac:dyDescent="0.3">
      <c r="E756"/>
    </row>
    <row r="757" spans="5:5" x14ac:dyDescent="0.3">
      <c r="E757"/>
    </row>
    <row r="758" spans="5:5" x14ac:dyDescent="0.3">
      <c r="E758"/>
    </row>
    <row r="759" spans="5:5" x14ac:dyDescent="0.3">
      <c r="E759"/>
    </row>
    <row r="760" spans="5:5" x14ac:dyDescent="0.3">
      <c r="E760"/>
    </row>
    <row r="761" spans="5:5" x14ac:dyDescent="0.3">
      <c r="E761"/>
    </row>
    <row r="762" spans="5:5" x14ac:dyDescent="0.3">
      <c r="E762"/>
    </row>
    <row r="763" spans="5:5" x14ac:dyDescent="0.3">
      <c r="E763"/>
    </row>
    <row r="764" spans="5:5" x14ac:dyDescent="0.3">
      <c r="E764"/>
    </row>
    <row r="765" spans="5:5" x14ac:dyDescent="0.3">
      <c r="E765"/>
    </row>
    <row r="766" spans="5:5" x14ac:dyDescent="0.3">
      <c r="E766"/>
    </row>
    <row r="767" spans="5:5" x14ac:dyDescent="0.3">
      <c r="E767"/>
    </row>
    <row r="768" spans="5:5" x14ac:dyDescent="0.3">
      <c r="E768"/>
    </row>
    <row r="769" spans="5:5" x14ac:dyDescent="0.3">
      <c r="E769"/>
    </row>
    <row r="770" spans="5:5" x14ac:dyDescent="0.3">
      <c r="E770"/>
    </row>
    <row r="771" spans="5:5" x14ac:dyDescent="0.3">
      <c r="E771"/>
    </row>
    <row r="772" spans="5:5" x14ac:dyDescent="0.3">
      <c r="E772"/>
    </row>
    <row r="773" spans="5:5" x14ac:dyDescent="0.3">
      <c r="E773"/>
    </row>
    <row r="774" spans="5:5" x14ac:dyDescent="0.3">
      <c r="E774"/>
    </row>
    <row r="775" spans="5:5" x14ac:dyDescent="0.3">
      <c r="E775"/>
    </row>
    <row r="776" spans="5:5" x14ac:dyDescent="0.3">
      <c r="E776"/>
    </row>
    <row r="777" spans="5:5" x14ac:dyDescent="0.3">
      <c r="E777"/>
    </row>
    <row r="778" spans="5:5" x14ac:dyDescent="0.3">
      <c r="E778"/>
    </row>
    <row r="779" spans="5:5" x14ac:dyDescent="0.3">
      <c r="E779"/>
    </row>
    <row r="780" spans="5:5" x14ac:dyDescent="0.3">
      <c r="E780"/>
    </row>
    <row r="781" spans="5:5" x14ac:dyDescent="0.3">
      <c r="E781"/>
    </row>
    <row r="782" spans="5:5" x14ac:dyDescent="0.3">
      <c r="E782"/>
    </row>
    <row r="783" spans="5:5" x14ac:dyDescent="0.3">
      <c r="E783"/>
    </row>
    <row r="784" spans="5:5" x14ac:dyDescent="0.3">
      <c r="E784"/>
    </row>
    <row r="785" spans="5:5" x14ac:dyDescent="0.3">
      <c r="E785"/>
    </row>
    <row r="786" spans="5:5" x14ac:dyDescent="0.3">
      <c r="E786"/>
    </row>
    <row r="787" spans="5:5" x14ac:dyDescent="0.3">
      <c r="E787"/>
    </row>
    <row r="788" spans="5:5" x14ac:dyDescent="0.3">
      <c r="E788"/>
    </row>
    <row r="789" spans="5:5" x14ac:dyDescent="0.3">
      <c r="E789"/>
    </row>
    <row r="790" spans="5:5" x14ac:dyDescent="0.3">
      <c r="E790"/>
    </row>
    <row r="1048564" spans="11:11" x14ac:dyDescent="0.3">
      <c r="K1048564" s="68"/>
    </row>
    <row r="1048576" spans="11:11" ht="15" customHeight="1" x14ac:dyDescent="0.3"/>
  </sheetData>
  <mergeCells count="8">
    <mergeCell ref="B726:E726"/>
    <mergeCell ref="B727:E727"/>
    <mergeCell ref="B2:G3"/>
    <mergeCell ref="B721:F721"/>
    <mergeCell ref="B722:E722"/>
    <mergeCell ref="B723:E723"/>
    <mergeCell ref="B724:E724"/>
    <mergeCell ref="B725:F725"/>
  </mergeCells>
  <conditionalFormatting sqref="G2:G4 G6:G15 G18:G21 G23:G26 G28 G30:G31 G34:G35 G37:G39 G41:G45 G47:G48 G50:G52 G58:G59 G61:G62 G64:G67 G70:G79 G81:G86 G88:G93 G95:G100 G102:G107 G109:G111 G118:G119 G121:G125 G127:G129 G131:G133 G135:G136 G150:G153 G155 G158:G161 G163:G169 G171:G176 G178:G183 G199:G204 G206:G211 G213:G220 G222 G225 G227:G228 G230 G233:G235 G237:G238 G240 G242:G246 G248:G251 G253:G258 G260 G263:G291 G293:G311 G313:G320 G322:G344 G347:G359 G361:G375 G378:G393 G395:G399 G401:G404 G407:G412 G414:G415 G417:G430 G432:G450 G452:G460 G462:G490 G492:G503 G505 G507:G511 G514:G522 G525:G539 G541:G548 G550:G557 G559:G595 G597:G602 G604:G617 G619:G623 G625:G635 G638:G641 G643 G645:G650 G652:G654 G656:G658 G660:G671 G673:G676 G678:G679 G682:G688 G690:G699 G701:G711 G763:G1048576 G726:G727 G713:G724 G54:G56 G113:G116 G138:G148 G185:G197">
    <cfRule type="cellIs" dxfId="51" priority="7" operator="equal">
      <formula>0</formula>
    </cfRule>
  </conditionalFormatting>
  <conditionalFormatting sqref="G725">
    <cfRule type="cellIs" dxfId="50" priority="6" operator="equal">
      <formula>0</formula>
    </cfRule>
  </conditionalFormatting>
  <conditionalFormatting sqref="K721">
    <cfRule type="cellIs" dxfId="49" priority="5" operator="equal">
      <formula>0</formula>
    </cfRule>
  </conditionalFormatting>
  <conditionalFormatting sqref="J721">
    <cfRule type="cellIs" dxfId="48" priority="4" operator="equal">
      <formula>0</formula>
    </cfRule>
  </conditionalFormatting>
  <conditionalFormatting sqref="R726">
    <cfRule type="cellIs" dxfId="47" priority="3" operator="equal">
      <formula>0</formula>
    </cfRule>
  </conditionalFormatting>
  <conditionalFormatting sqref="G728">
    <cfRule type="cellIs" dxfId="46" priority="2" operator="equal">
      <formula>0</formula>
    </cfRule>
  </conditionalFormatting>
  <conditionalFormatting sqref="G729">
    <cfRule type="cellIs" dxfId="45" priority="1" operator="equal">
      <formula>0</formula>
    </cfRule>
  </conditionalFormatting>
  <printOptions horizontalCentered="1"/>
  <pageMargins left="0.70866141732283472" right="0.70866141732283472" top="0.74803149606299213" bottom="0.74803149606299213" header="0.31496062992125984" footer="0.31496062992125984"/>
  <pageSetup scale="5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U1048576"/>
  <sheetViews>
    <sheetView view="pageBreakPreview" topLeftCell="D1" zoomScale="60" zoomScaleNormal="91" workbookViewId="0">
      <pane ySplit="5" topLeftCell="A6" activePane="bottomLeft" state="frozen"/>
      <selection activeCell="M553" sqref="M553"/>
      <selection pane="bottomLeft" activeCell="M553" sqref="M553"/>
    </sheetView>
  </sheetViews>
  <sheetFormatPr baseColWidth="10" defaultColWidth="11.42578125" defaultRowHeight="16.5" x14ac:dyDescent="0.25"/>
  <cols>
    <col min="1" max="1" width="4.5703125" style="215" customWidth="1"/>
    <col min="2" max="2" width="9" style="215" customWidth="1"/>
    <col min="3" max="3" width="62" style="215" customWidth="1"/>
    <col min="4" max="4" width="10.28515625" style="215" customWidth="1"/>
    <col min="5" max="7" width="15.42578125" style="69" customWidth="1"/>
    <col min="8" max="8" width="18.42578125" style="234" customWidth="1"/>
    <col min="9" max="9" width="22.5703125" style="234" customWidth="1"/>
    <col min="10" max="10" width="20.140625" style="1" customWidth="1"/>
    <col min="11" max="11" width="26.42578125" style="1" customWidth="1"/>
    <col min="12" max="12" width="23.7109375" style="1" customWidth="1"/>
    <col min="13" max="13" width="59.28515625" customWidth="1"/>
    <col min="14" max="14" width="15.28515625" bestFit="1" customWidth="1"/>
    <col min="15" max="15" width="19" customWidth="1"/>
    <col min="17" max="17" width="16.28515625" style="118" customWidth="1"/>
    <col min="19" max="19" width="15.140625" customWidth="1"/>
    <col min="20" max="20" width="22.5703125" bestFit="1" customWidth="1"/>
    <col min="21" max="21" width="17" customWidth="1"/>
  </cols>
  <sheetData>
    <row r="1" spans="1:20" ht="17.25" thickBot="1" x14ac:dyDescent="0.3">
      <c r="A1" s="352"/>
    </row>
    <row r="2" spans="1:20" ht="15" customHeight="1" x14ac:dyDescent="0.25">
      <c r="B2" s="427" t="s">
        <v>1042</v>
      </c>
      <c r="C2" s="427"/>
      <c r="D2" s="427"/>
      <c r="E2" s="427"/>
      <c r="F2" s="427"/>
      <c r="G2" s="427"/>
      <c r="H2" s="427"/>
      <c r="I2" s="427"/>
    </row>
    <row r="3" spans="1:20" ht="23.25" customHeight="1" x14ac:dyDescent="0.25">
      <c r="B3" s="427"/>
      <c r="C3" s="427"/>
      <c r="D3" s="427"/>
      <c r="E3" s="427"/>
      <c r="F3" s="427"/>
      <c r="G3" s="427"/>
      <c r="H3" s="427"/>
      <c r="I3" s="427"/>
      <c r="J3" s="1">
        <v>0.95279999999999998</v>
      </c>
    </row>
    <row r="4" spans="1:20" ht="27" customHeight="1" x14ac:dyDescent="0.25">
      <c r="B4" s="2" t="s">
        <v>1</v>
      </c>
      <c r="C4" s="2" t="s">
        <v>2</v>
      </c>
      <c r="D4" s="2" t="s">
        <v>3</v>
      </c>
      <c r="E4" s="3" t="s">
        <v>1414</v>
      </c>
      <c r="F4" s="3" t="s">
        <v>1415</v>
      </c>
      <c r="G4" s="3" t="s">
        <v>1047</v>
      </c>
      <c r="H4" s="2" t="s">
        <v>5</v>
      </c>
      <c r="I4" s="2" t="s">
        <v>6</v>
      </c>
      <c r="K4" s="121">
        <v>0</v>
      </c>
      <c r="M4" s="123" t="s">
        <v>1043</v>
      </c>
      <c r="N4" t="s">
        <v>16</v>
      </c>
      <c r="O4" t="s">
        <v>1044</v>
      </c>
      <c r="P4" t="s">
        <v>1045</v>
      </c>
      <c r="Q4" s="118" t="s">
        <v>1046</v>
      </c>
    </row>
    <row r="5" spans="1:20" s="9" customFormat="1" ht="35.1" customHeight="1" x14ac:dyDescent="0.25">
      <c r="A5" s="215"/>
      <c r="B5" s="235" t="s">
        <v>9</v>
      </c>
      <c r="C5" s="236" t="s">
        <v>10</v>
      </c>
      <c r="D5" s="237"/>
      <c r="E5" s="238"/>
      <c r="F5" s="238"/>
      <c r="G5" s="238"/>
      <c r="H5" s="239"/>
      <c r="I5" s="238"/>
      <c r="J5" s="8"/>
      <c r="K5" s="8"/>
      <c r="L5" s="8"/>
      <c r="Q5" s="124"/>
      <c r="R5" s="153" t="s">
        <v>1047</v>
      </c>
      <c r="S5" s="153" t="s">
        <v>1048</v>
      </c>
      <c r="T5" s="154" t="s">
        <v>1041</v>
      </c>
    </row>
    <row r="6" spans="1:20" s="9" customFormat="1" ht="35.1" customHeight="1" x14ac:dyDescent="0.25">
      <c r="A6" s="215"/>
      <c r="B6" s="240" t="s">
        <v>11</v>
      </c>
      <c r="C6" s="241" t="s">
        <v>12</v>
      </c>
      <c r="D6" s="240" t="s">
        <v>13</v>
      </c>
      <c r="E6" s="242">
        <v>295</v>
      </c>
      <c r="F6" s="242">
        <v>250</v>
      </c>
      <c r="G6" s="242">
        <v>545</v>
      </c>
      <c r="H6" s="243">
        <v>27093</v>
      </c>
      <c r="I6" s="243">
        <f>ROUND(+H6*G6,2)</f>
        <v>14765685</v>
      </c>
      <c r="J6" s="8"/>
      <c r="K6" s="8">
        <f>+ROUND(H6*(1+$K$4),0)</f>
        <v>27093</v>
      </c>
      <c r="L6" s="8">
        <f>+K6*E6</f>
        <v>7992435</v>
      </c>
      <c r="M6" s="9" t="str">
        <f t="array" ref="M6:P6">_xlfn.XLOOKUP(C6,'Neiva 2022 FASE I ACTUAL (5)'!$C$6:$C$540,'Neiva 2022 FASE I ACTUAL (5)'!$C$6:$F$540,"NO ESTA")</f>
        <v>DESCAPOTE A MAQUINA (INCLUYE RETIRO)</v>
      </c>
      <c r="N6" s="9" t="str">
        <v>M2</v>
      </c>
      <c r="O6" s="9">
        <v>250</v>
      </c>
      <c r="P6" s="9">
        <v>27093</v>
      </c>
      <c r="Q6" s="124" t="str">
        <f>IF(P6=0,0,(IF(H6&lt;P6, "FASE I","FASE II")))</f>
        <v>FASE II</v>
      </c>
      <c r="R6" s="155">
        <f t="shared" ref="R6:R69" si="0">E6+O6</f>
        <v>545</v>
      </c>
      <c r="S6" s="156">
        <f>MAX(P6,H6,K6)</f>
        <v>27093</v>
      </c>
      <c r="T6" s="156">
        <f>ROUND(R6*S6,2)</f>
        <v>14765685</v>
      </c>
    </row>
    <row r="7" spans="1:20" s="9" customFormat="1" ht="35.1" customHeight="1" x14ac:dyDescent="0.25">
      <c r="A7" s="215"/>
      <c r="B7" s="240" t="s">
        <v>1049</v>
      </c>
      <c r="C7" s="241" t="s">
        <v>1050</v>
      </c>
      <c r="D7" s="240" t="s">
        <v>13</v>
      </c>
      <c r="E7" s="242">
        <v>580</v>
      </c>
      <c r="F7" s="242"/>
      <c r="G7" s="242">
        <v>580</v>
      </c>
      <c r="H7" s="243">
        <v>3521</v>
      </c>
      <c r="I7" s="243">
        <f t="shared" ref="I7:I70" si="1">ROUND(+H7*G7,2)</f>
        <v>2042180</v>
      </c>
      <c r="J7" s="8"/>
      <c r="K7" s="8">
        <f t="shared" ref="K7:K29" si="2">+ROUND(H7*(1+$K$4),0)</f>
        <v>3521</v>
      </c>
      <c r="L7" s="8">
        <f t="shared" ref="L7:L70" si="3">+K7*E7</f>
        <v>2042180</v>
      </c>
      <c r="M7" s="9" t="str">
        <f t="array" ref="M7">_xlfn.XLOOKUP(C7,'Neiva 2022 FASE I ACTUAL (5)'!$C$6:$C$540,'Neiva 2022 FASE I ACTUAL (5)'!$C$6:$F$540,"NO ESTA")</f>
        <v>NO ESTA</v>
      </c>
      <c r="Q7" s="124">
        <f>IF(P7=0,0,(IF(H7&lt;P7, "FASE I","FASE II")))</f>
        <v>0</v>
      </c>
      <c r="R7" s="155">
        <f t="shared" si="0"/>
        <v>580</v>
      </c>
      <c r="S7" s="156">
        <f t="shared" ref="S7:S70" si="4">MAX(P7,H7,K7)</f>
        <v>3521</v>
      </c>
      <c r="T7" s="156">
        <f t="shared" ref="T7:T70" si="5">ROUND(R7*S7,2)</f>
        <v>2042180</v>
      </c>
    </row>
    <row r="8" spans="1:20" s="9" customFormat="1" ht="35.1" customHeight="1" x14ac:dyDescent="0.25">
      <c r="A8" s="215"/>
      <c r="B8" s="240" t="s">
        <v>1051</v>
      </c>
      <c r="C8" s="241" t="s">
        <v>1052</v>
      </c>
      <c r="D8" s="240" t="s">
        <v>94</v>
      </c>
      <c r="E8" s="242">
        <v>40</v>
      </c>
      <c r="F8" s="242"/>
      <c r="G8" s="242">
        <v>40</v>
      </c>
      <c r="H8" s="243">
        <v>34084</v>
      </c>
      <c r="I8" s="243">
        <f t="shared" si="1"/>
        <v>1363360</v>
      </c>
      <c r="J8" s="8"/>
      <c r="K8" s="8">
        <f t="shared" si="2"/>
        <v>34084</v>
      </c>
      <c r="L8" s="8">
        <f t="shared" si="3"/>
        <v>1363360</v>
      </c>
      <c r="M8" s="9" t="str">
        <f t="array" ref="M8">_xlfn.XLOOKUP(C8,'Neiva 2022 FASE I ACTUAL (5)'!$C$6:$C$540,'Neiva 2022 FASE I ACTUAL (5)'!$C$6:$F$540,"NO ESTA")</f>
        <v>NO ESTA</v>
      </c>
      <c r="Q8" s="124">
        <f t="shared" ref="Q8:Q71" si="6">IF(P8=0,0,(IF(H8&lt;P8, "FASE I","FASE II")))</f>
        <v>0</v>
      </c>
      <c r="R8" s="155">
        <f t="shared" si="0"/>
        <v>40</v>
      </c>
      <c r="S8" s="156">
        <f t="shared" si="4"/>
        <v>34084</v>
      </c>
      <c r="T8" s="156">
        <f t="shared" si="5"/>
        <v>1363360</v>
      </c>
    </row>
    <row r="9" spans="1:20" s="9" customFormat="1" ht="35.1" customHeight="1" x14ac:dyDescent="0.25">
      <c r="A9" s="215"/>
      <c r="B9" s="240" t="s">
        <v>14</v>
      </c>
      <c r="C9" s="241" t="s">
        <v>15</v>
      </c>
      <c r="D9" s="240" t="s">
        <v>16</v>
      </c>
      <c r="E9" s="242">
        <v>0</v>
      </c>
      <c r="F9" s="242">
        <v>8</v>
      </c>
      <c r="G9" s="242">
        <v>8</v>
      </c>
      <c r="H9" s="243">
        <v>35600</v>
      </c>
      <c r="I9" s="243">
        <f t="shared" si="1"/>
        <v>284800</v>
      </c>
      <c r="J9" s="8"/>
      <c r="K9" s="8">
        <f t="shared" si="2"/>
        <v>35600</v>
      </c>
      <c r="L9" s="8">
        <f t="shared" si="3"/>
        <v>0</v>
      </c>
      <c r="M9" s="9" t="str">
        <f t="array" ref="M9:P9">_xlfn.XLOOKUP(C9,'Neiva 2022 FASE I ACTUAL (5)'!$C$6:$C$540,'Neiva 2022 FASE I ACTUAL (5)'!$C$6:$F$540,"NO ESTA")</f>
        <v>BARRERA DE PROTECCIÓN PARA ARBOLES EXISTENTES</v>
      </c>
      <c r="N9" s="9" t="str">
        <v>UND</v>
      </c>
      <c r="O9" s="9">
        <v>8</v>
      </c>
      <c r="P9" s="9">
        <v>34164</v>
      </c>
      <c r="Q9" s="124" t="str">
        <f t="shared" si="6"/>
        <v>FASE II</v>
      </c>
      <c r="R9" s="155">
        <f t="shared" si="0"/>
        <v>8</v>
      </c>
      <c r="S9" s="156">
        <f t="shared" si="4"/>
        <v>35600</v>
      </c>
      <c r="T9" s="156">
        <f t="shared" si="5"/>
        <v>284800</v>
      </c>
    </row>
    <row r="10" spans="1:20" s="9" customFormat="1" ht="35.1" customHeight="1" x14ac:dyDescent="0.25">
      <c r="A10" s="215"/>
      <c r="B10" s="244" t="s">
        <v>17</v>
      </c>
      <c r="C10" s="245" t="s">
        <v>18</v>
      </c>
      <c r="D10" s="244"/>
      <c r="E10" s="246"/>
      <c r="F10" s="246"/>
      <c r="G10" s="246"/>
      <c r="H10" s="246"/>
      <c r="I10" s="246"/>
      <c r="J10" s="8"/>
      <c r="K10" s="8">
        <f t="shared" si="2"/>
        <v>0</v>
      </c>
      <c r="L10" s="8">
        <f t="shared" si="3"/>
        <v>0</v>
      </c>
      <c r="M10" s="9" t="str">
        <f t="array" ref="M10:P10">_xlfn.XLOOKUP(C10,'Neiva 2022 FASE I ACTUAL (5)'!$C$6:$C$540,'Neiva 2022 FASE I ACTUAL (5)'!$C$6:$F$540,"NO ESTA")</f>
        <v>INSTALACION SERVICIOS PROVISIONALES</v>
      </c>
      <c r="N10" s="9">
        <v>0</v>
      </c>
      <c r="O10" s="9">
        <v>0</v>
      </c>
      <c r="P10" s="9">
        <v>0</v>
      </c>
      <c r="Q10" s="124">
        <f t="shared" si="6"/>
        <v>0</v>
      </c>
      <c r="R10" s="155">
        <f t="shared" si="0"/>
        <v>0</v>
      </c>
      <c r="S10" s="156">
        <f t="shared" si="4"/>
        <v>0</v>
      </c>
      <c r="T10" s="156">
        <f t="shared" si="5"/>
        <v>0</v>
      </c>
    </row>
    <row r="11" spans="1:20" s="9" customFormat="1" ht="35.1" customHeight="1" x14ac:dyDescent="0.25">
      <c r="A11" s="215"/>
      <c r="B11" s="240" t="s">
        <v>1053</v>
      </c>
      <c r="C11" s="241" t="s">
        <v>1054</v>
      </c>
      <c r="D11" s="240" t="s">
        <v>374</v>
      </c>
      <c r="E11" s="242">
        <v>0</v>
      </c>
      <c r="F11" s="242"/>
      <c r="G11" s="242">
        <v>0</v>
      </c>
      <c r="H11" s="243">
        <v>558358</v>
      </c>
      <c r="I11" s="243">
        <f t="shared" si="1"/>
        <v>0</v>
      </c>
      <c r="J11" s="8"/>
      <c r="K11" s="8">
        <f t="shared" si="2"/>
        <v>558358</v>
      </c>
      <c r="L11" s="8">
        <f t="shared" si="3"/>
        <v>0</v>
      </c>
      <c r="M11" s="9" t="str">
        <f t="array" ref="M11">_xlfn.XLOOKUP(C11,'Neiva 2022 FASE I ACTUAL (5)'!$C$6:$C$540,'Neiva 2022 FASE I ACTUAL (5)'!$C$6:$F$540,"NO ESTA")</f>
        <v>NO ESTA</v>
      </c>
      <c r="Q11" s="124">
        <f t="shared" si="6"/>
        <v>0</v>
      </c>
      <c r="R11" s="155">
        <f t="shared" si="0"/>
        <v>0</v>
      </c>
      <c r="S11" s="156">
        <f t="shared" si="4"/>
        <v>558358</v>
      </c>
      <c r="T11" s="156">
        <f t="shared" si="5"/>
        <v>0</v>
      </c>
    </row>
    <row r="12" spans="1:20" s="9" customFormat="1" ht="35.1" customHeight="1" x14ac:dyDescent="0.25">
      <c r="A12" s="215"/>
      <c r="B12" s="240" t="s">
        <v>1055</v>
      </c>
      <c r="C12" s="241" t="s">
        <v>1056</v>
      </c>
      <c r="D12" s="240" t="s">
        <v>374</v>
      </c>
      <c r="E12" s="242">
        <v>0</v>
      </c>
      <c r="F12" s="242"/>
      <c r="G12" s="242">
        <v>0</v>
      </c>
      <c r="H12" s="243">
        <v>4001595</v>
      </c>
      <c r="I12" s="243">
        <f t="shared" si="1"/>
        <v>0</v>
      </c>
      <c r="J12" s="8"/>
      <c r="K12" s="8">
        <f t="shared" si="2"/>
        <v>4001595</v>
      </c>
      <c r="L12" s="8">
        <f t="shared" si="3"/>
        <v>0</v>
      </c>
      <c r="M12" s="9" t="str">
        <f t="array" ref="M12">_xlfn.XLOOKUP(C12,'Neiva 2022 FASE I ACTUAL (5)'!$C$6:$C$540,'Neiva 2022 FASE I ACTUAL (5)'!$C$6:$F$540,"NO ESTA")</f>
        <v>NO ESTA</v>
      </c>
      <c r="Q12" s="124">
        <f t="shared" si="6"/>
        <v>0</v>
      </c>
      <c r="R12" s="155">
        <f t="shared" si="0"/>
        <v>0</v>
      </c>
      <c r="S12" s="156">
        <f t="shared" si="4"/>
        <v>4001595</v>
      </c>
      <c r="T12" s="156">
        <f t="shared" si="5"/>
        <v>0</v>
      </c>
    </row>
    <row r="13" spans="1:20" s="9" customFormat="1" ht="35.1" customHeight="1" x14ac:dyDescent="0.25">
      <c r="A13" s="215"/>
      <c r="B13" s="244" t="s">
        <v>19</v>
      </c>
      <c r="C13" s="245" t="s">
        <v>20</v>
      </c>
      <c r="D13" s="244"/>
      <c r="E13" s="246"/>
      <c r="F13" s="246"/>
      <c r="G13" s="246"/>
      <c r="H13" s="246"/>
      <c r="I13" s="246"/>
      <c r="J13" s="8"/>
      <c r="K13" s="8">
        <f t="shared" si="2"/>
        <v>0</v>
      </c>
      <c r="L13" s="8">
        <f t="shared" si="3"/>
        <v>0</v>
      </c>
      <c r="M13" s="9" t="str">
        <f t="array" ref="M13:P13">_xlfn.XLOOKUP(C13,'Neiva 2022 FASE I ACTUAL (5)'!$C$6:$C$540,'Neiva 2022 FASE I ACTUAL (5)'!$C$6:$F$540,"NO ESTA")</f>
        <v>DEMOLICIONES</v>
      </c>
      <c r="N13" s="9">
        <v>0</v>
      </c>
      <c r="O13" s="9">
        <v>0</v>
      </c>
      <c r="P13" s="9">
        <v>0</v>
      </c>
      <c r="Q13" s="124">
        <f t="shared" si="6"/>
        <v>0</v>
      </c>
      <c r="R13" s="155">
        <f t="shared" si="0"/>
        <v>0</v>
      </c>
      <c r="S13" s="156">
        <f t="shared" si="4"/>
        <v>0</v>
      </c>
      <c r="T13" s="156">
        <f t="shared" si="5"/>
        <v>0</v>
      </c>
    </row>
    <row r="14" spans="1:20" s="9" customFormat="1" ht="35.1" customHeight="1" x14ac:dyDescent="0.25">
      <c r="A14" s="215"/>
      <c r="B14" s="240" t="s">
        <v>21</v>
      </c>
      <c r="C14" s="241" t="s">
        <v>1057</v>
      </c>
      <c r="D14" s="240" t="s">
        <v>13</v>
      </c>
      <c r="E14" s="242">
        <v>0</v>
      </c>
      <c r="F14" s="242"/>
      <c r="G14" s="242">
        <v>0</v>
      </c>
      <c r="H14" s="243">
        <v>16960</v>
      </c>
      <c r="I14" s="243">
        <f t="shared" si="1"/>
        <v>0</v>
      </c>
      <c r="J14" s="8"/>
      <c r="K14" s="8">
        <f t="shared" si="2"/>
        <v>16960</v>
      </c>
      <c r="L14" s="8">
        <f t="shared" si="3"/>
        <v>0</v>
      </c>
      <c r="M14" s="9" t="str">
        <f t="array" ref="M14">_xlfn.XLOOKUP(C14,'Neiva 2022 FASE I ACTUAL (5)'!$C$6:$C$540,'Neiva 2022 FASE I ACTUAL (5)'!$C$6:$F$540,"NO ESTA")</f>
        <v>NO ESTA</v>
      </c>
      <c r="Q14" s="124">
        <f t="shared" si="6"/>
        <v>0</v>
      </c>
      <c r="R14" s="155">
        <f t="shared" si="0"/>
        <v>0</v>
      </c>
      <c r="S14" s="156">
        <f t="shared" si="4"/>
        <v>16960</v>
      </c>
      <c r="T14" s="156">
        <f t="shared" si="5"/>
        <v>0</v>
      </c>
    </row>
    <row r="15" spans="1:20" s="9" customFormat="1" ht="35.1" customHeight="1" x14ac:dyDescent="0.25">
      <c r="A15" s="215"/>
      <c r="B15" s="240" t="s">
        <v>23</v>
      </c>
      <c r="C15" s="241" t="s">
        <v>1058</v>
      </c>
      <c r="D15" s="240" t="s">
        <v>13</v>
      </c>
      <c r="E15" s="242">
        <v>0</v>
      </c>
      <c r="F15" s="242">
        <v>151</v>
      </c>
      <c r="G15" s="242">
        <f>+E15+F15</f>
        <v>151</v>
      </c>
      <c r="H15" s="243">
        <v>30048</v>
      </c>
      <c r="I15" s="243">
        <f t="shared" si="1"/>
        <v>4537248</v>
      </c>
      <c r="J15" s="8"/>
      <c r="K15" s="8">
        <f t="shared" si="2"/>
        <v>30048</v>
      </c>
      <c r="L15" s="8">
        <f t="shared" si="3"/>
        <v>0</v>
      </c>
      <c r="M15" s="9" t="str">
        <f t="array" ref="M15">_xlfn.XLOOKUP(C15,'Neiva 2022 FASE I ACTUAL (5)'!$C$6:$C$540,'Neiva 2022 FASE I ACTUAL (5)'!$C$6:$F$540,"NO ESTA")</f>
        <v>NO ESTA</v>
      </c>
      <c r="Q15" s="124">
        <f t="shared" si="6"/>
        <v>0</v>
      </c>
      <c r="R15" s="155">
        <f t="shared" si="0"/>
        <v>0</v>
      </c>
      <c r="S15" s="156">
        <f t="shared" si="4"/>
        <v>30048</v>
      </c>
      <c r="T15" s="156">
        <f t="shared" si="5"/>
        <v>0</v>
      </c>
    </row>
    <row r="16" spans="1:20" s="9" customFormat="1" ht="35.1" customHeight="1" x14ac:dyDescent="0.25">
      <c r="A16" s="215"/>
      <c r="B16" s="247">
        <v>2</v>
      </c>
      <c r="C16" s="248" t="s">
        <v>25</v>
      </c>
      <c r="D16" s="248"/>
      <c r="E16" s="249"/>
      <c r="F16" s="249"/>
      <c r="G16" s="249"/>
      <c r="H16" s="250"/>
      <c r="I16" s="249"/>
      <c r="J16" s="8"/>
      <c r="K16" s="8">
        <f t="shared" si="2"/>
        <v>0</v>
      </c>
      <c r="L16" s="8">
        <f t="shared" si="3"/>
        <v>0</v>
      </c>
      <c r="M16" s="9" t="str">
        <f t="array" ref="M16:P16">_xlfn.XLOOKUP(C16,'Neiva 2022 FASE I ACTUAL (5)'!$C$6:$C$540,'Neiva 2022 FASE I ACTUAL (5)'!$C$6:$F$540,"NO ESTA")</f>
        <v>CIMENTACION</v>
      </c>
      <c r="N16" s="9">
        <v>0</v>
      </c>
      <c r="O16" s="9">
        <v>0</v>
      </c>
      <c r="P16" s="9">
        <v>0</v>
      </c>
      <c r="Q16" s="124">
        <f t="shared" si="6"/>
        <v>0</v>
      </c>
      <c r="R16" s="155">
        <f t="shared" si="0"/>
        <v>0</v>
      </c>
      <c r="S16" s="156">
        <f t="shared" si="4"/>
        <v>0</v>
      </c>
      <c r="T16" s="156">
        <f t="shared" si="5"/>
        <v>0</v>
      </c>
    </row>
    <row r="17" spans="1:20" s="9" customFormat="1" ht="35.1" customHeight="1" x14ac:dyDescent="0.25">
      <c r="A17" s="215"/>
      <c r="B17" s="244" t="s">
        <v>26</v>
      </c>
      <c r="C17" s="245" t="s">
        <v>27</v>
      </c>
      <c r="D17" s="244"/>
      <c r="E17" s="246"/>
      <c r="F17" s="246"/>
      <c r="G17" s="246"/>
      <c r="H17" s="246"/>
      <c r="I17" s="246"/>
      <c r="J17" s="8"/>
      <c r="K17" s="8">
        <f t="shared" si="2"/>
        <v>0</v>
      </c>
      <c r="L17" s="8">
        <f t="shared" si="3"/>
        <v>0</v>
      </c>
      <c r="M17" s="9" t="str">
        <f t="array" ref="M17:P17">_xlfn.XLOOKUP(C17,'Neiva 2022 FASE I ACTUAL (5)'!$C$6:$C$540,'Neiva 2022 FASE I ACTUAL (5)'!$C$6:$F$540,"NO ESTA")</f>
        <v>EXCAVACIONES, RELLENOS Y OTROS</v>
      </c>
      <c r="N17" s="9">
        <v>0</v>
      </c>
      <c r="O17" s="9">
        <v>0</v>
      </c>
      <c r="P17" s="9">
        <v>0</v>
      </c>
      <c r="Q17" s="124">
        <f t="shared" si="6"/>
        <v>0</v>
      </c>
      <c r="R17" s="155">
        <f t="shared" si="0"/>
        <v>0</v>
      </c>
      <c r="S17" s="156">
        <f t="shared" si="4"/>
        <v>0</v>
      </c>
      <c r="T17" s="156">
        <f t="shared" si="5"/>
        <v>0</v>
      </c>
    </row>
    <row r="18" spans="1:20" s="9" customFormat="1" ht="35.1" customHeight="1" x14ac:dyDescent="0.25">
      <c r="A18" s="215"/>
      <c r="B18" s="240" t="s">
        <v>28</v>
      </c>
      <c r="C18" s="241" t="s">
        <v>29</v>
      </c>
      <c r="D18" s="240" t="s">
        <v>30</v>
      </c>
      <c r="E18" s="242">
        <v>400</v>
      </c>
      <c r="F18" s="242">
        <v>0</v>
      </c>
      <c r="G18" s="242">
        <v>400</v>
      </c>
      <c r="H18" s="243">
        <v>32132</v>
      </c>
      <c r="I18" s="243">
        <f t="shared" si="1"/>
        <v>12852800</v>
      </c>
      <c r="J18" s="8"/>
      <c r="K18" s="8">
        <f t="shared" si="2"/>
        <v>32132</v>
      </c>
      <c r="L18" s="8">
        <f t="shared" si="3"/>
        <v>12852800</v>
      </c>
      <c r="M18" s="9" t="str">
        <f t="array" ref="M18:P18">_xlfn.XLOOKUP(C18,'Neiva 2022 FASE I ACTUAL (5)'!$C$6:$C$540,'Neiva 2022 FASE I ACTUAL (5)'!$C$6:$F$540,"NO ESTA")</f>
        <v>EXCAVACIÓN MECÁNICA EN MATERIAL COMÚN (incluye cargue y retiro)</v>
      </c>
      <c r="N18" s="9" t="str">
        <v>M3</v>
      </c>
      <c r="O18" s="9">
        <v>0</v>
      </c>
      <c r="P18" s="9">
        <v>30837</v>
      </c>
      <c r="Q18" s="124" t="str">
        <f t="shared" si="6"/>
        <v>FASE II</v>
      </c>
      <c r="R18" s="155">
        <f t="shared" si="0"/>
        <v>400</v>
      </c>
      <c r="S18" s="156">
        <f t="shared" si="4"/>
        <v>32132</v>
      </c>
      <c r="T18" s="156">
        <f t="shared" si="5"/>
        <v>12852800</v>
      </c>
    </row>
    <row r="19" spans="1:20" s="9" customFormat="1" ht="35.1" customHeight="1" x14ac:dyDescent="0.25">
      <c r="A19" s="215"/>
      <c r="B19" s="240" t="s">
        <v>31</v>
      </c>
      <c r="C19" s="241" t="s">
        <v>32</v>
      </c>
      <c r="D19" s="240" t="s">
        <v>30</v>
      </c>
      <c r="E19" s="242">
        <v>57.945499999999981</v>
      </c>
      <c r="F19" s="242">
        <v>299.45</v>
      </c>
      <c r="G19" s="242">
        <v>357.39549999999997</v>
      </c>
      <c r="H19" s="243">
        <v>40591</v>
      </c>
      <c r="I19" s="243">
        <f t="shared" si="1"/>
        <v>14507040.74</v>
      </c>
      <c r="J19" s="8"/>
      <c r="K19" s="8">
        <f t="shared" si="2"/>
        <v>40591</v>
      </c>
      <c r="L19" s="8">
        <f t="shared" si="3"/>
        <v>2352065.7904999992</v>
      </c>
      <c r="M19" s="9" t="str">
        <f t="array" ref="M19:P19">_xlfn.XLOOKUP(C19,'Neiva 2022 FASE I ACTUAL (5)'!$C$6:$C$540,'Neiva 2022 FASE I ACTUAL (5)'!$C$6:$F$540,"NO ESTA")</f>
        <v>EXCAVACIÓN MANUAL EN MATERIAL COMÚN (incluye cargue y retiro)</v>
      </c>
      <c r="N19" s="9" t="str">
        <v>M3</v>
      </c>
      <c r="O19" s="9">
        <v>299.45</v>
      </c>
      <c r="P19" s="9">
        <v>38954</v>
      </c>
      <c r="Q19" s="124" t="str">
        <f t="shared" si="6"/>
        <v>FASE II</v>
      </c>
      <c r="R19" s="155">
        <f t="shared" si="0"/>
        <v>357.39549999999997</v>
      </c>
      <c r="S19" s="156">
        <f t="shared" si="4"/>
        <v>40591</v>
      </c>
      <c r="T19" s="156">
        <f t="shared" si="5"/>
        <v>14507040.74</v>
      </c>
    </row>
    <row r="20" spans="1:20" s="9" customFormat="1" ht="35.1" customHeight="1" x14ac:dyDescent="0.25">
      <c r="A20" s="215"/>
      <c r="B20" s="240" t="s">
        <v>33</v>
      </c>
      <c r="C20" s="251" t="s">
        <v>34</v>
      </c>
      <c r="D20" s="240" t="s">
        <v>30</v>
      </c>
      <c r="E20" s="242">
        <v>56.107679999999959</v>
      </c>
      <c r="F20" s="242">
        <v>524.07000000000005</v>
      </c>
      <c r="G20" s="242">
        <v>580.17768000000001</v>
      </c>
      <c r="H20" s="243">
        <v>12694</v>
      </c>
      <c r="I20" s="243">
        <f t="shared" si="1"/>
        <v>7364775.4699999997</v>
      </c>
      <c r="J20" s="8"/>
      <c r="K20" s="8">
        <f t="shared" si="2"/>
        <v>12694</v>
      </c>
      <c r="L20" s="8">
        <f t="shared" si="3"/>
        <v>712230.88991999952</v>
      </c>
      <c r="M20" s="9" t="str">
        <f t="array" ref="M20:P20">_xlfn.XLOOKUP(C20,'Neiva 2022 FASE I ACTUAL (5)'!$C$6:$C$540,'Neiva 2022 FASE I ACTUAL (5)'!$C$6:$F$540,"NO ESTA")</f>
        <v>RELLENOS EN MATERIAL COMÚN, SELECCIONADO DE OBRA (Incluye Compactación)</v>
      </c>
      <c r="N20" s="9" t="str">
        <v>M3</v>
      </c>
      <c r="O20" s="9">
        <v>524.07000000000005</v>
      </c>
      <c r="P20" s="9">
        <v>12182</v>
      </c>
      <c r="Q20" s="124" t="str">
        <f t="shared" si="6"/>
        <v>FASE II</v>
      </c>
      <c r="R20" s="155">
        <f t="shared" si="0"/>
        <v>580.17768000000001</v>
      </c>
      <c r="S20" s="156">
        <f t="shared" si="4"/>
        <v>12694</v>
      </c>
      <c r="T20" s="156">
        <f t="shared" si="5"/>
        <v>7364775.4699999997</v>
      </c>
    </row>
    <row r="21" spans="1:20" s="9" customFormat="1" ht="35.1" customHeight="1" x14ac:dyDescent="0.25">
      <c r="A21" s="215"/>
      <c r="B21" s="240" t="s">
        <v>35</v>
      </c>
      <c r="C21" s="241" t="s">
        <v>36</v>
      </c>
      <c r="D21" s="240" t="s">
        <v>30</v>
      </c>
      <c r="E21" s="242">
        <v>70.485000000000014</v>
      </c>
      <c r="F21" s="242">
        <v>122.54</v>
      </c>
      <c r="G21" s="242">
        <v>193.02500000000003</v>
      </c>
      <c r="H21" s="243">
        <v>63907</v>
      </c>
      <c r="I21" s="243">
        <f t="shared" si="1"/>
        <v>12335648.68</v>
      </c>
      <c r="J21" s="8"/>
      <c r="K21" s="8">
        <f t="shared" si="2"/>
        <v>63907</v>
      </c>
      <c r="L21" s="8">
        <f t="shared" si="3"/>
        <v>4504484.8950000005</v>
      </c>
      <c r="M21" s="9" t="str">
        <f t="array" ref="M21:P21">_xlfn.XLOOKUP(C21,'Neiva 2022 FASE I ACTUAL (5)'!$C$6:$C$540,'Neiva 2022 FASE I ACTUAL (5)'!$C$6:$F$540,"NO ESTA")</f>
        <v>RELLENO EN RECEBO COMÚN (Incluye Compactación)</v>
      </c>
      <c r="N21" s="9" t="str">
        <v>M3</v>
      </c>
      <c r="O21" s="9">
        <v>122.54</v>
      </c>
      <c r="P21" s="9">
        <v>61330</v>
      </c>
      <c r="Q21" s="124" t="str">
        <f t="shared" si="6"/>
        <v>FASE II</v>
      </c>
      <c r="R21" s="155">
        <f t="shared" si="0"/>
        <v>193.02500000000003</v>
      </c>
      <c r="S21" s="156">
        <f t="shared" si="4"/>
        <v>63907</v>
      </c>
      <c r="T21" s="156">
        <f t="shared" si="5"/>
        <v>12335648.68</v>
      </c>
    </row>
    <row r="22" spans="1:20" s="9" customFormat="1" ht="35.1" customHeight="1" x14ac:dyDescent="0.25">
      <c r="A22" s="215"/>
      <c r="B22" s="244" t="s">
        <v>37</v>
      </c>
      <c r="C22" s="245" t="s">
        <v>38</v>
      </c>
      <c r="D22" s="244"/>
      <c r="E22" s="246"/>
      <c r="F22" s="246"/>
      <c r="G22" s="246"/>
      <c r="H22" s="252"/>
      <c r="I22" s="246"/>
      <c r="J22" s="8"/>
      <c r="K22" s="8">
        <f t="shared" si="2"/>
        <v>0</v>
      </c>
      <c r="L22" s="8">
        <f t="shared" si="3"/>
        <v>0</v>
      </c>
      <c r="M22" s="9" t="str">
        <f t="array" ref="M22:P22">_xlfn.XLOOKUP(C22,'Neiva 2022 FASE I ACTUAL (5)'!$C$6:$C$540,'Neiva 2022 FASE I ACTUAL (5)'!$C$6:$F$540,"NO ESTA")</f>
        <v xml:space="preserve">CONCRETOS DE CIMENTACIÓN </v>
      </c>
      <c r="N22" s="9">
        <v>0</v>
      </c>
      <c r="O22" s="9">
        <v>0</v>
      </c>
      <c r="P22" s="9">
        <v>0</v>
      </c>
      <c r="Q22" s="124">
        <f t="shared" si="6"/>
        <v>0</v>
      </c>
      <c r="R22" s="155">
        <f t="shared" si="0"/>
        <v>0</v>
      </c>
      <c r="S22" s="156">
        <f t="shared" si="4"/>
        <v>0</v>
      </c>
      <c r="T22" s="156">
        <f t="shared" si="5"/>
        <v>0</v>
      </c>
    </row>
    <row r="23" spans="1:20" s="9" customFormat="1" ht="35.1" customHeight="1" x14ac:dyDescent="0.25">
      <c r="A23" s="215"/>
      <c r="B23" s="253" t="s">
        <v>39</v>
      </c>
      <c r="C23" s="254" t="s">
        <v>40</v>
      </c>
      <c r="D23" s="255" t="s">
        <v>13</v>
      </c>
      <c r="E23" s="242">
        <v>72.123000000000047</v>
      </c>
      <c r="F23" s="242">
        <v>1111.51</v>
      </c>
      <c r="G23" s="242">
        <v>1183.633</v>
      </c>
      <c r="H23" s="243">
        <v>25836</v>
      </c>
      <c r="I23" s="243">
        <f t="shared" si="1"/>
        <v>30580342.190000001</v>
      </c>
      <c r="J23" s="8"/>
      <c r="K23" s="8">
        <f t="shared" si="2"/>
        <v>25836</v>
      </c>
      <c r="L23" s="8">
        <f t="shared" si="3"/>
        <v>1863369.8280000011</v>
      </c>
      <c r="M23" s="9" t="str">
        <f t="array" ref="M23:P23">_xlfn.XLOOKUP(C23,'Neiva 2022 FASE I ACTUAL (5)'!$C$6:$C$540,'Neiva 2022 FASE I ACTUAL (5)'!$C$6:$F$540,"NO ESTA")</f>
        <v>CONCRETO POBRE DE LIMPIEZA  e=0.05 m</v>
      </c>
      <c r="N23" s="9" t="str">
        <v>M2</v>
      </c>
      <c r="O23" s="9">
        <v>1111.51</v>
      </c>
      <c r="P23" s="9">
        <v>23864</v>
      </c>
      <c r="Q23" s="124" t="str">
        <f t="shared" si="6"/>
        <v>FASE II</v>
      </c>
      <c r="R23" s="155">
        <f t="shared" si="0"/>
        <v>1183.633</v>
      </c>
      <c r="S23" s="156">
        <f t="shared" si="4"/>
        <v>25836</v>
      </c>
      <c r="T23" s="156">
        <f t="shared" si="5"/>
        <v>30580342.190000001</v>
      </c>
    </row>
    <row r="24" spans="1:20" s="9" customFormat="1" ht="35.1" customHeight="1" x14ac:dyDescent="0.25">
      <c r="A24" s="215"/>
      <c r="B24" s="253" t="s">
        <v>41</v>
      </c>
      <c r="C24" s="241" t="s">
        <v>42</v>
      </c>
      <c r="D24" s="240" t="s">
        <v>30</v>
      </c>
      <c r="E24" s="242">
        <v>36</v>
      </c>
      <c r="F24" s="242">
        <v>46.48</v>
      </c>
      <c r="G24" s="242">
        <v>82.47999999999999</v>
      </c>
      <c r="H24" s="243">
        <v>705830</v>
      </c>
      <c r="I24" s="243">
        <f t="shared" si="1"/>
        <v>58216858.399999999</v>
      </c>
      <c r="J24" s="8"/>
      <c r="K24" s="8">
        <f t="shared" si="2"/>
        <v>705830</v>
      </c>
      <c r="L24" s="8">
        <f t="shared" si="3"/>
        <v>25409880</v>
      </c>
      <c r="M24" s="9" t="str">
        <f t="array" ref="M24:P24">_xlfn.XLOOKUP(C24,'Neiva 2022 FASE I ACTUAL (5)'!$C$6:$C$540,'Neiva 2022 FASE I ACTUAL (5)'!$C$6:$F$540,"NO ESTA")</f>
        <v>CONCRETO PARA ZAPATAS DE 4000 psi</v>
      </c>
      <c r="N24" s="9" t="str">
        <v>M3</v>
      </c>
      <c r="O24" s="9">
        <v>46.48</v>
      </c>
      <c r="P24" s="9">
        <v>705830</v>
      </c>
      <c r="Q24" s="124" t="str">
        <f t="shared" si="6"/>
        <v>FASE II</v>
      </c>
      <c r="R24" s="155">
        <f t="shared" si="0"/>
        <v>82.47999999999999</v>
      </c>
      <c r="S24" s="156">
        <f t="shared" si="4"/>
        <v>705830</v>
      </c>
      <c r="T24" s="156">
        <f t="shared" si="5"/>
        <v>58216858.399999999</v>
      </c>
    </row>
    <row r="25" spans="1:20" s="9" customFormat="1" ht="35.1" customHeight="1" x14ac:dyDescent="0.25">
      <c r="A25" s="215"/>
      <c r="B25" s="253" t="s">
        <v>43</v>
      </c>
      <c r="C25" s="241" t="s">
        <v>44</v>
      </c>
      <c r="D25" s="240" t="s">
        <v>30</v>
      </c>
      <c r="E25" s="242">
        <v>36.5</v>
      </c>
      <c r="F25" s="242">
        <v>45.04</v>
      </c>
      <c r="G25" s="242">
        <v>81.539999999999992</v>
      </c>
      <c r="H25" s="243">
        <v>705830</v>
      </c>
      <c r="I25" s="243">
        <f t="shared" si="1"/>
        <v>57553378.200000003</v>
      </c>
      <c r="J25" s="8"/>
      <c r="K25" s="8">
        <f t="shared" si="2"/>
        <v>705830</v>
      </c>
      <c r="L25" s="8">
        <f t="shared" si="3"/>
        <v>25762795</v>
      </c>
      <c r="M25" s="9" t="str">
        <f t="array" ref="M25:P25">_xlfn.XLOOKUP(C25,'Neiva 2022 FASE I ACTUAL (5)'!$C$6:$C$540,'Neiva 2022 FASE I ACTUAL (5)'!$C$6:$F$540,"NO ESTA")</f>
        <v>VIGAS DE CIMENTACIÓN DE 4000 psi</v>
      </c>
      <c r="N25" s="9" t="str">
        <v>M3</v>
      </c>
      <c r="O25" s="9">
        <v>45.04</v>
      </c>
      <c r="P25" s="9">
        <v>705830</v>
      </c>
      <c r="Q25" s="124" t="str">
        <f t="shared" si="6"/>
        <v>FASE II</v>
      </c>
      <c r="R25" s="155">
        <f t="shared" si="0"/>
        <v>81.539999999999992</v>
      </c>
      <c r="S25" s="156">
        <f t="shared" si="4"/>
        <v>705830</v>
      </c>
      <c r="T25" s="156">
        <f t="shared" si="5"/>
        <v>57553378.200000003</v>
      </c>
    </row>
    <row r="26" spans="1:20" s="9" customFormat="1" ht="35.1" customHeight="1" x14ac:dyDescent="0.25">
      <c r="A26" s="215"/>
      <c r="B26" s="253" t="s">
        <v>45</v>
      </c>
      <c r="C26" s="241" t="s">
        <v>46</v>
      </c>
      <c r="D26" s="240" t="s">
        <v>30</v>
      </c>
      <c r="E26" s="242">
        <v>13</v>
      </c>
      <c r="F26" s="242">
        <v>34.93</v>
      </c>
      <c r="G26" s="242">
        <v>47.93</v>
      </c>
      <c r="H26" s="243">
        <v>807348</v>
      </c>
      <c r="I26" s="243">
        <f t="shared" si="1"/>
        <v>38696189.640000001</v>
      </c>
      <c r="J26" s="8"/>
      <c r="K26" s="8">
        <f t="shared" si="2"/>
        <v>807348</v>
      </c>
      <c r="L26" s="8">
        <f t="shared" si="3"/>
        <v>10495524</v>
      </c>
      <c r="M26" s="9" t="str">
        <f t="array" ref="M26:P26">_xlfn.XLOOKUP(C26,'Neiva 2022 FASE I ACTUAL (5)'!$C$6:$C$540,'Neiva 2022 FASE I ACTUAL (5)'!$C$6:$F$540,"NO ESTA")</f>
        <v>MURO DE CONTENCIÓN SOTANO EN CONCRETO DE 4000 PSI</v>
      </c>
      <c r="N26" s="9" t="str">
        <v>M3</v>
      </c>
      <c r="O26" s="9">
        <v>34.93</v>
      </c>
      <c r="P26" s="9">
        <v>782307</v>
      </c>
      <c r="Q26" s="124" t="str">
        <f t="shared" si="6"/>
        <v>FASE II</v>
      </c>
      <c r="R26" s="155">
        <f t="shared" si="0"/>
        <v>47.93</v>
      </c>
      <c r="S26" s="156">
        <f t="shared" si="4"/>
        <v>807348</v>
      </c>
      <c r="T26" s="156">
        <f t="shared" si="5"/>
        <v>38696189.640000001</v>
      </c>
    </row>
    <row r="27" spans="1:20" s="9" customFormat="1" ht="35.1" customHeight="1" x14ac:dyDescent="0.25">
      <c r="A27" s="215"/>
      <c r="B27" s="244" t="s">
        <v>47</v>
      </c>
      <c r="C27" s="245" t="s">
        <v>1059</v>
      </c>
      <c r="D27" s="244"/>
      <c r="E27" s="246"/>
      <c r="F27" s="246">
        <v>0</v>
      </c>
      <c r="G27" s="246">
        <v>0</v>
      </c>
      <c r="H27" s="252">
        <v>0</v>
      </c>
      <c r="I27" s="243">
        <f t="shared" si="1"/>
        <v>0</v>
      </c>
      <c r="J27" s="8"/>
      <c r="K27" s="8">
        <f t="shared" si="2"/>
        <v>0</v>
      </c>
      <c r="L27" s="8">
        <f t="shared" si="3"/>
        <v>0</v>
      </c>
      <c r="M27" s="9" t="str">
        <f t="array" ref="M27:P27">_xlfn.XLOOKUP(C27,'Neiva 2022 FASE I ACTUAL (5)'!$C$6:$C$540,'Neiva 2022 FASE I ACTUAL (5)'!$C$6:$F$540,"NO ESTA")</f>
        <v xml:space="preserve">CONSTRUCCIÓN VARIOS EN CONCRETO </v>
      </c>
      <c r="N27" s="9">
        <v>0</v>
      </c>
      <c r="O27" s="9">
        <v>0</v>
      </c>
      <c r="P27" s="9">
        <v>0</v>
      </c>
      <c r="Q27" s="124">
        <f t="shared" si="6"/>
        <v>0</v>
      </c>
      <c r="R27" s="155">
        <f t="shared" si="0"/>
        <v>0</v>
      </c>
      <c r="S27" s="156">
        <f t="shared" si="4"/>
        <v>0</v>
      </c>
      <c r="T27" s="156">
        <f t="shared" si="5"/>
        <v>0</v>
      </c>
    </row>
    <row r="28" spans="1:20" s="9" customFormat="1" ht="35.1" customHeight="1" x14ac:dyDescent="0.25">
      <c r="A28" s="215"/>
      <c r="B28" s="255" t="s">
        <v>49</v>
      </c>
      <c r="C28" s="241" t="s">
        <v>50</v>
      </c>
      <c r="D28" s="240" t="s">
        <v>30</v>
      </c>
      <c r="E28" s="242">
        <v>13.700000000000003</v>
      </c>
      <c r="F28" s="242">
        <v>50.62</v>
      </c>
      <c r="G28" s="242">
        <v>64.319999999999993</v>
      </c>
      <c r="H28" s="243">
        <v>833964</v>
      </c>
      <c r="I28" s="243">
        <f t="shared" si="1"/>
        <v>53640564.479999997</v>
      </c>
      <c r="J28" s="8"/>
      <c r="K28" s="8">
        <f t="shared" si="2"/>
        <v>833964</v>
      </c>
      <c r="L28" s="8">
        <f t="shared" si="3"/>
        <v>11425306.800000003</v>
      </c>
      <c r="M28" s="9" t="str">
        <f t="array" ref="M28:P28">_xlfn.XLOOKUP(C28,'Neiva 2022 FASE I ACTUAL (5)'!$C$6:$C$540,'Neiva 2022 FASE I ACTUAL (5)'!$C$6:$F$540,"NO ESTA")</f>
        <v>TANQUE DE ALMACENAMIENTO Y RESERVA EN CONCRETO DE 4000 PSI</v>
      </c>
      <c r="N28" s="9" t="str">
        <v>M3</v>
      </c>
      <c r="O28" s="9">
        <v>50.62</v>
      </c>
      <c r="P28" s="9">
        <v>782307</v>
      </c>
      <c r="Q28" s="124" t="str">
        <f t="shared" si="6"/>
        <v>FASE II</v>
      </c>
      <c r="R28" s="155">
        <f t="shared" si="0"/>
        <v>64.319999999999993</v>
      </c>
      <c r="S28" s="156">
        <f t="shared" si="4"/>
        <v>833964</v>
      </c>
      <c r="T28" s="156">
        <f t="shared" si="5"/>
        <v>53640564.479999997</v>
      </c>
    </row>
    <row r="29" spans="1:20" s="9" customFormat="1" ht="35.1" customHeight="1" x14ac:dyDescent="0.25">
      <c r="A29" s="215"/>
      <c r="B29" s="244" t="s">
        <v>51</v>
      </c>
      <c r="C29" s="256" t="s">
        <v>52</v>
      </c>
      <c r="D29" s="256"/>
      <c r="E29" s="246"/>
      <c r="F29" s="246">
        <v>0</v>
      </c>
      <c r="G29" s="246">
        <v>0</v>
      </c>
      <c r="H29" s="252">
        <v>0</v>
      </c>
      <c r="I29" s="243">
        <f t="shared" si="1"/>
        <v>0</v>
      </c>
      <c r="J29" s="8"/>
      <c r="K29" s="8">
        <f t="shared" si="2"/>
        <v>0</v>
      </c>
      <c r="L29" s="8">
        <f t="shared" si="3"/>
        <v>0</v>
      </c>
      <c r="M29" s="9" t="str">
        <f t="array" ref="M29:P29">_xlfn.XLOOKUP(C29,'Neiva 2022 FASE I ACTUAL (5)'!$C$6:$C$540,'Neiva 2022 FASE I ACTUAL (5)'!$C$6:$F$540,"NO ESTA")</f>
        <v>SUMINISTRO E INSTALACIÓN ACERO DE REFUERZO CIMENTACIÓN</v>
      </c>
      <c r="N29" s="9">
        <v>0</v>
      </c>
      <c r="O29" s="9">
        <v>0</v>
      </c>
      <c r="P29" s="9">
        <v>0</v>
      </c>
      <c r="Q29" s="124">
        <f t="shared" si="6"/>
        <v>0</v>
      </c>
      <c r="R29" s="155">
        <f t="shared" si="0"/>
        <v>0</v>
      </c>
      <c r="S29" s="156">
        <f t="shared" si="4"/>
        <v>0</v>
      </c>
      <c r="T29" s="156">
        <f t="shared" si="5"/>
        <v>0</v>
      </c>
    </row>
    <row r="30" spans="1:20" s="9" customFormat="1" ht="35.1" customHeight="1" x14ac:dyDescent="0.25">
      <c r="A30" s="215"/>
      <c r="B30" s="240" t="s">
        <v>53</v>
      </c>
      <c r="C30" s="257" t="s">
        <v>54</v>
      </c>
      <c r="D30" s="240" t="s">
        <v>55</v>
      </c>
      <c r="E30" s="242">
        <v>8230.6999999999971</v>
      </c>
      <c r="F30" s="242">
        <v>16621.25</v>
      </c>
      <c r="G30" s="242">
        <v>24851.949999999997</v>
      </c>
      <c r="H30" s="258">
        <v>5265</v>
      </c>
      <c r="I30" s="243">
        <f t="shared" si="1"/>
        <v>130845516.75</v>
      </c>
      <c r="J30" s="26">
        <v>3687</v>
      </c>
      <c r="K30" s="8">
        <f>+H30</f>
        <v>5265</v>
      </c>
      <c r="L30" s="8">
        <f t="shared" si="3"/>
        <v>43334635.499999985</v>
      </c>
      <c r="M30" s="9" t="str">
        <f t="array" ref="M30:P30">_xlfn.XLOOKUP(C30,'Neiva 2022 FASE I ACTUAL (5)'!$C$6:$C$540,'Neiva 2022 FASE I ACTUAL (5)'!$C$6:$F$540,"NO ESTA")</f>
        <v>ACERO DE REFUERZO 60000 psi Incluye ALAMBRE DE AMARRE</v>
      </c>
      <c r="N30" s="9" t="str">
        <v>KG</v>
      </c>
      <c r="O30" s="9">
        <v>16621.25</v>
      </c>
      <c r="P30" s="9">
        <v>5265</v>
      </c>
      <c r="Q30" s="124" t="str">
        <f t="shared" si="6"/>
        <v>FASE II</v>
      </c>
      <c r="R30" s="155">
        <f t="shared" si="0"/>
        <v>24851.949999999997</v>
      </c>
      <c r="S30" s="156">
        <f t="shared" si="4"/>
        <v>5265</v>
      </c>
      <c r="T30" s="156">
        <f t="shared" si="5"/>
        <v>130845516.75</v>
      </c>
    </row>
    <row r="31" spans="1:20" s="9" customFormat="1" ht="35.1" customHeight="1" x14ac:dyDescent="0.25">
      <c r="A31" s="215"/>
      <c r="B31" s="253" t="s">
        <v>56</v>
      </c>
      <c r="C31" s="257" t="s">
        <v>57</v>
      </c>
      <c r="D31" s="240" t="s">
        <v>13</v>
      </c>
      <c r="E31" s="242">
        <v>242.5</v>
      </c>
      <c r="F31" s="242">
        <v>1871.1</v>
      </c>
      <c r="G31" s="242">
        <v>2113.6</v>
      </c>
      <c r="H31" s="243">
        <v>7898</v>
      </c>
      <c r="I31" s="243">
        <f t="shared" si="1"/>
        <v>16693212.800000001</v>
      </c>
      <c r="J31" s="26">
        <v>5139</v>
      </c>
      <c r="K31" s="8">
        <f>+H31</f>
        <v>7898</v>
      </c>
      <c r="L31" s="8">
        <f t="shared" si="3"/>
        <v>1915265</v>
      </c>
      <c r="M31" s="9" t="str">
        <f t="array" ref="M31:P31">_xlfn.XLOOKUP(C31,'Neiva 2022 FASE I ACTUAL (5)'!$C$6:$C$540,'Neiva 2022 FASE I ACTUAL (5)'!$C$6:$F$540,"NO ESTA")</f>
        <v>MALLA ELECTROSOLDADA PLACA CONTRAPISO Q84 Ø4 mm separación 15x15 cm o similar</v>
      </c>
      <c r="N31" s="9" t="str">
        <v>M2</v>
      </c>
      <c r="O31" s="9">
        <v>1871.1</v>
      </c>
      <c r="P31" s="9">
        <v>7898</v>
      </c>
      <c r="Q31" s="124" t="str">
        <f t="shared" si="6"/>
        <v>FASE II</v>
      </c>
      <c r="R31" s="155">
        <f t="shared" si="0"/>
        <v>2113.6</v>
      </c>
      <c r="S31" s="156">
        <f t="shared" si="4"/>
        <v>7898</v>
      </c>
      <c r="T31" s="156">
        <f t="shared" si="5"/>
        <v>16693212.800000001</v>
      </c>
    </row>
    <row r="32" spans="1:20" s="9" customFormat="1" ht="35.1" customHeight="1" x14ac:dyDescent="0.25">
      <c r="A32" s="215"/>
      <c r="B32" s="247">
        <v>3</v>
      </c>
      <c r="C32" s="248" t="s">
        <v>58</v>
      </c>
      <c r="D32" s="248"/>
      <c r="E32" s="249"/>
      <c r="F32" s="249">
        <v>0</v>
      </c>
      <c r="G32" s="249">
        <v>0</v>
      </c>
      <c r="H32" s="259">
        <v>0</v>
      </c>
      <c r="I32" s="243">
        <f t="shared" si="1"/>
        <v>0</v>
      </c>
      <c r="J32" s="8"/>
      <c r="K32" s="8">
        <f t="shared" ref="K32:K46" si="7">+ROUND(H32*(1+$K$4),0)</f>
        <v>0</v>
      </c>
      <c r="L32" s="8">
        <f t="shared" si="3"/>
        <v>0</v>
      </c>
      <c r="M32" s="9" t="str">
        <f t="array" ref="M32:P32">_xlfn.XLOOKUP(C32,'Neiva 2022 FASE I ACTUAL (5)'!$C$6:$C$540,'Neiva 2022 FASE I ACTUAL (5)'!$C$6:$F$540,"NO ESTA")</f>
        <v>ESTRUCTURAS EN CONCRETO Y METALICAS</v>
      </c>
      <c r="N32" s="9">
        <v>0</v>
      </c>
      <c r="O32" s="9">
        <v>0</v>
      </c>
      <c r="P32" s="9">
        <v>0</v>
      </c>
      <c r="Q32" s="124">
        <f t="shared" si="6"/>
        <v>0</v>
      </c>
      <c r="R32" s="155">
        <f t="shared" si="0"/>
        <v>0</v>
      </c>
      <c r="S32" s="156">
        <f t="shared" si="4"/>
        <v>0</v>
      </c>
      <c r="T32" s="156">
        <f t="shared" si="5"/>
        <v>0</v>
      </c>
    </row>
    <row r="33" spans="1:20" s="9" customFormat="1" ht="35.1" customHeight="1" x14ac:dyDescent="0.25">
      <c r="A33" s="215"/>
      <c r="B33" s="244" t="s">
        <v>59</v>
      </c>
      <c r="C33" s="245" t="s">
        <v>60</v>
      </c>
      <c r="D33" s="244"/>
      <c r="E33" s="246"/>
      <c r="F33" s="246">
        <v>0</v>
      </c>
      <c r="G33" s="246">
        <v>0</v>
      </c>
      <c r="H33" s="252">
        <v>0</v>
      </c>
      <c r="I33" s="243">
        <f t="shared" si="1"/>
        <v>0</v>
      </c>
      <c r="J33" s="8"/>
      <c r="K33" s="8">
        <f t="shared" si="7"/>
        <v>0</v>
      </c>
      <c r="L33" s="8">
        <f t="shared" si="3"/>
        <v>0</v>
      </c>
      <c r="M33" s="9" t="str">
        <f t="array" ref="M33:P33">_xlfn.XLOOKUP(C33,'Neiva 2022 FASE I ACTUAL (5)'!$C$6:$C$540,'Neiva 2022 FASE I ACTUAL (5)'!$C$6:$F$540,"NO ESTA")</f>
        <v>ELEMENTOS ESTRUCTURALES</v>
      </c>
      <c r="N33" s="9">
        <v>0</v>
      </c>
      <c r="O33" s="9">
        <v>0</v>
      </c>
      <c r="P33" s="9">
        <v>0</v>
      </c>
      <c r="Q33" s="124">
        <f t="shared" si="6"/>
        <v>0</v>
      </c>
      <c r="R33" s="155">
        <f t="shared" si="0"/>
        <v>0</v>
      </c>
      <c r="S33" s="156">
        <f t="shared" si="4"/>
        <v>0</v>
      </c>
      <c r="T33" s="156">
        <f t="shared" si="5"/>
        <v>0</v>
      </c>
    </row>
    <row r="34" spans="1:20" s="9" customFormat="1" ht="35.1" customHeight="1" x14ac:dyDescent="0.25">
      <c r="A34" s="215"/>
      <c r="B34" s="255" t="s">
        <v>61</v>
      </c>
      <c r="C34" s="241" t="s">
        <v>62</v>
      </c>
      <c r="D34" s="240" t="s">
        <v>30</v>
      </c>
      <c r="E34" s="242">
        <v>24.939999999999998</v>
      </c>
      <c r="F34" s="242">
        <v>247.78</v>
      </c>
      <c r="G34" s="242">
        <v>272.72000000000003</v>
      </c>
      <c r="H34" s="243">
        <v>831289</v>
      </c>
      <c r="I34" s="243">
        <f t="shared" si="1"/>
        <v>226709136.08000001</v>
      </c>
      <c r="J34" s="8"/>
      <c r="K34" s="8">
        <f t="shared" si="7"/>
        <v>831289</v>
      </c>
      <c r="L34" s="8">
        <f t="shared" si="3"/>
        <v>20732347.659999996</v>
      </c>
      <c r="M34" s="9" t="str">
        <f t="array" ref="M34:P34">_xlfn.XLOOKUP(C34,'Neiva 2022 FASE I ACTUAL (5)'!$C$6:$C$540,'Neiva 2022 FASE I ACTUAL (5)'!$C$6:$F$540,"NO ESTA")</f>
        <v>COLUMNAS EN CONCRETO DE 4000 psi</v>
      </c>
      <c r="N34" s="9" t="str">
        <v>M3</v>
      </c>
      <c r="O34" s="9">
        <v>247.78</v>
      </c>
      <c r="P34" s="9">
        <v>831289</v>
      </c>
      <c r="Q34" s="124" t="str">
        <f t="shared" si="6"/>
        <v>FASE II</v>
      </c>
      <c r="R34" s="155">
        <f t="shared" si="0"/>
        <v>272.72000000000003</v>
      </c>
      <c r="S34" s="156">
        <f t="shared" si="4"/>
        <v>831289</v>
      </c>
      <c r="T34" s="156">
        <f t="shared" si="5"/>
        <v>226709136.08000001</v>
      </c>
    </row>
    <row r="35" spans="1:20" s="9" customFormat="1" ht="35.1" customHeight="1" x14ac:dyDescent="0.25">
      <c r="A35" s="215"/>
      <c r="B35" s="255" t="s">
        <v>63</v>
      </c>
      <c r="C35" s="241" t="s">
        <v>64</v>
      </c>
      <c r="D35" s="240" t="s">
        <v>30</v>
      </c>
      <c r="E35" s="242">
        <v>15.569999999999993</v>
      </c>
      <c r="F35" s="242">
        <v>152.63999999999999</v>
      </c>
      <c r="G35" s="242">
        <v>168.20999999999998</v>
      </c>
      <c r="H35" s="243">
        <v>831289</v>
      </c>
      <c r="I35" s="243">
        <f t="shared" si="1"/>
        <v>139831122.69</v>
      </c>
      <c r="J35" s="8"/>
      <c r="K35" s="8">
        <f t="shared" si="7"/>
        <v>831289</v>
      </c>
      <c r="L35" s="8">
        <f t="shared" si="3"/>
        <v>12943169.729999995</v>
      </c>
      <c r="M35" s="9" t="str">
        <f t="array" ref="M35:P35">_xlfn.XLOOKUP(C35,'Neiva 2022 FASE I ACTUAL (5)'!$C$6:$C$540,'Neiva 2022 FASE I ACTUAL (5)'!$C$6:$F$540,"NO ESTA")</f>
        <v>PANTALLAS ASCENSORES Y ESCALERA EJES F2 Y K2 EN CONCRETO DE 4000 PSI</v>
      </c>
      <c r="N35" s="9" t="str">
        <v>M3</v>
      </c>
      <c r="O35" s="9">
        <v>152.63999999999999</v>
      </c>
      <c r="P35" s="9">
        <v>831289</v>
      </c>
      <c r="Q35" s="124" t="str">
        <f t="shared" si="6"/>
        <v>FASE II</v>
      </c>
      <c r="R35" s="155">
        <f t="shared" si="0"/>
        <v>168.20999999999998</v>
      </c>
      <c r="S35" s="156">
        <f t="shared" si="4"/>
        <v>831289</v>
      </c>
      <c r="T35" s="156">
        <f t="shared" si="5"/>
        <v>139831122.69</v>
      </c>
    </row>
    <row r="36" spans="1:20" s="9" customFormat="1" ht="35.1" customHeight="1" x14ac:dyDescent="0.25">
      <c r="A36" s="215"/>
      <c r="B36" s="244" t="s">
        <v>65</v>
      </c>
      <c r="C36" s="245" t="s">
        <v>66</v>
      </c>
      <c r="D36" s="244"/>
      <c r="E36" s="246"/>
      <c r="F36" s="246">
        <v>0</v>
      </c>
      <c r="G36" s="246">
        <v>0</v>
      </c>
      <c r="H36" s="252">
        <v>0</v>
      </c>
      <c r="I36" s="243">
        <f t="shared" si="1"/>
        <v>0</v>
      </c>
      <c r="J36" s="8"/>
      <c r="K36" s="8">
        <f t="shared" si="7"/>
        <v>0</v>
      </c>
      <c r="L36" s="8">
        <f t="shared" si="3"/>
        <v>0</v>
      </c>
      <c r="M36" s="9" t="str">
        <f t="array" ref="M36:P36">_xlfn.XLOOKUP(C36,'Neiva 2022 FASE I ACTUAL (5)'!$C$6:$C$540,'Neiva 2022 FASE I ACTUAL (5)'!$C$6:$F$540,"NO ESTA")</f>
        <v>PLACAS Y LOSAS DE ENTREPISO</v>
      </c>
      <c r="N36" s="9">
        <v>0</v>
      </c>
      <c r="O36" s="9">
        <v>0</v>
      </c>
      <c r="P36" s="9">
        <v>0</v>
      </c>
      <c r="Q36" s="124">
        <f t="shared" si="6"/>
        <v>0</v>
      </c>
      <c r="R36" s="155">
        <f t="shared" si="0"/>
        <v>0</v>
      </c>
      <c r="S36" s="156">
        <f t="shared" si="4"/>
        <v>0</v>
      </c>
      <c r="T36" s="156">
        <f t="shared" si="5"/>
        <v>0</v>
      </c>
    </row>
    <row r="37" spans="1:20" s="9" customFormat="1" ht="35.1" customHeight="1" x14ac:dyDescent="0.25">
      <c r="A37" s="215"/>
      <c r="B37" s="253" t="s">
        <v>67</v>
      </c>
      <c r="C37" s="241" t="s">
        <v>1060</v>
      </c>
      <c r="D37" s="255" t="s">
        <v>30</v>
      </c>
      <c r="E37" s="242">
        <v>0</v>
      </c>
      <c r="F37" s="242">
        <v>2128.8200000000002</v>
      </c>
      <c r="G37" s="242">
        <f>+F37+E37</f>
        <v>2128.8200000000002</v>
      </c>
      <c r="H37" s="243">
        <v>919820</v>
      </c>
      <c r="I37" s="243">
        <f t="shared" si="1"/>
        <v>1958131212.4000001</v>
      </c>
      <c r="J37" s="8"/>
      <c r="K37" s="8">
        <f t="shared" si="7"/>
        <v>919820</v>
      </c>
      <c r="L37" s="8">
        <f t="shared" si="3"/>
        <v>0</v>
      </c>
      <c r="M37" s="9" t="str">
        <f t="array" ref="M37">_xlfn.XLOOKUP(C37,'Neiva 2022 FASE I ACTUAL (5)'!$C$6:$C$540,'Neiva 2022 FASE I ACTUAL (5)'!$C$6:$F$540,"NO ESTA")</f>
        <v>NO ESTA</v>
      </c>
      <c r="Q37" s="124">
        <f t="shared" si="6"/>
        <v>0</v>
      </c>
      <c r="R37" s="155">
        <f t="shared" si="0"/>
        <v>0</v>
      </c>
      <c r="S37" s="156">
        <f t="shared" si="4"/>
        <v>919820</v>
      </c>
      <c r="T37" s="156">
        <f t="shared" si="5"/>
        <v>0</v>
      </c>
    </row>
    <row r="38" spans="1:20" s="9" customFormat="1" ht="35.1" customHeight="1" x14ac:dyDescent="0.25">
      <c r="A38" s="215"/>
      <c r="B38" s="253" t="s">
        <v>69</v>
      </c>
      <c r="C38" s="241" t="s">
        <v>70</v>
      </c>
      <c r="D38" s="255" t="s">
        <v>13</v>
      </c>
      <c r="E38" s="242">
        <v>235.59999999999991</v>
      </c>
      <c r="F38" s="242">
        <v>1581</v>
      </c>
      <c r="G38" s="242">
        <v>1816.6</v>
      </c>
      <c r="H38" s="243">
        <v>100365</v>
      </c>
      <c r="I38" s="243">
        <f t="shared" si="1"/>
        <v>182323059</v>
      </c>
      <c r="J38" s="8"/>
      <c r="K38" s="8">
        <f t="shared" si="7"/>
        <v>100365</v>
      </c>
      <c r="L38" s="8">
        <f t="shared" si="3"/>
        <v>23645993.999999993</v>
      </c>
      <c r="M38" s="9" t="str">
        <f t="array" ref="M38:P38">_xlfn.XLOOKUP(C38,'Neiva 2022 FASE I ACTUAL (5)'!$C$6:$C$540,'Neiva 2022 FASE I ACTUAL (5)'!$C$6:$F$540,"NO ESTA")</f>
        <v>PLACA MACIZA CONTRAPISO CIMENTACION E: 15 cms</v>
      </c>
      <c r="N38" s="9" t="str">
        <v>M2</v>
      </c>
      <c r="O38" s="9">
        <v>1581</v>
      </c>
      <c r="P38" s="9">
        <v>100365</v>
      </c>
      <c r="Q38" s="124" t="str">
        <f t="shared" si="6"/>
        <v>FASE II</v>
      </c>
      <c r="R38" s="155">
        <f t="shared" si="0"/>
        <v>1816.6</v>
      </c>
      <c r="S38" s="156">
        <f t="shared" si="4"/>
        <v>100365</v>
      </c>
      <c r="T38" s="156">
        <f t="shared" si="5"/>
        <v>182323059</v>
      </c>
    </row>
    <row r="39" spans="1:20" s="9" customFormat="1" ht="35.1" customHeight="1" x14ac:dyDescent="0.25">
      <c r="A39" s="215"/>
      <c r="B39" s="253" t="s">
        <v>71</v>
      </c>
      <c r="C39" s="241" t="s">
        <v>72</v>
      </c>
      <c r="D39" s="255" t="s">
        <v>30</v>
      </c>
      <c r="E39" s="242">
        <v>0</v>
      </c>
      <c r="F39" s="242">
        <v>8.9</v>
      </c>
      <c r="G39" s="242">
        <v>8.9</v>
      </c>
      <c r="H39" s="243">
        <v>801684</v>
      </c>
      <c r="I39" s="243">
        <f t="shared" si="1"/>
        <v>7134987.5999999996</v>
      </c>
      <c r="J39" s="8"/>
      <c r="K39" s="8">
        <f t="shared" si="7"/>
        <v>801684</v>
      </c>
      <c r="L39" s="8">
        <f t="shared" si="3"/>
        <v>0</v>
      </c>
      <c r="M39" s="9" t="str">
        <f t="array" ref="M39:P39">_xlfn.XLOOKUP(C39,'Neiva 2022 FASE I ACTUAL (5)'!$C$6:$C$540,'Neiva 2022 FASE I ACTUAL (5)'!$C$6:$F$540,"NO ESTA")</f>
        <v xml:space="preserve">PLACA MACIZA ZONA ASCENSOR 2DA PLANTA </v>
      </c>
      <c r="N39" s="9" t="str">
        <v>M3</v>
      </c>
      <c r="O39" s="9">
        <v>8.9</v>
      </c>
      <c r="P39" s="9">
        <v>743087</v>
      </c>
      <c r="Q39" s="124" t="str">
        <f t="shared" si="6"/>
        <v>FASE II</v>
      </c>
      <c r="R39" s="155">
        <f t="shared" si="0"/>
        <v>8.9</v>
      </c>
      <c r="S39" s="156">
        <f t="shared" si="4"/>
        <v>801684</v>
      </c>
      <c r="T39" s="156">
        <f t="shared" si="5"/>
        <v>7134987.5999999996</v>
      </c>
    </row>
    <row r="40" spans="1:20" s="9" customFormat="1" ht="35.1" customHeight="1" x14ac:dyDescent="0.25">
      <c r="A40" s="215"/>
      <c r="B40" s="244" t="s">
        <v>73</v>
      </c>
      <c r="C40" s="245" t="s">
        <v>74</v>
      </c>
      <c r="D40" s="244"/>
      <c r="E40" s="246"/>
      <c r="F40" s="246"/>
      <c r="G40" s="246"/>
      <c r="H40" s="252">
        <v>0</v>
      </c>
      <c r="I40" s="243">
        <f t="shared" si="1"/>
        <v>0</v>
      </c>
      <c r="J40" s="8"/>
      <c r="K40" s="8">
        <f t="shared" si="7"/>
        <v>0</v>
      </c>
      <c r="L40" s="8">
        <f t="shared" si="3"/>
        <v>0</v>
      </c>
      <c r="M40" s="9" t="str">
        <f t="array" ref="M40:P40">_xlfn.XLOOKUP(C40,'Neiva 2022 FASE I ACTUAL (5)'!$C$6:$C$540,'Neiva 2022 FASE I ACTUAL (5)'!$C$6:$F$540,"NO ESTA")</f>
        <v>CONSTRUCCIONES VARIAS EN CONCRETO</v>
      </c>
      <c r="N40" s="9">
        <v>0</v>
      </c>
      <c r="O40" s="9">
        <v>0</v>
      </c>
      <c r="P40" s="9">
        <v>0</v>
      </c>
      <c r="Q40" s="124">
        <f t="shared" si="6"/>
        <v>0</v>
      </c>
      <c r="R40" s="155">
        <f t="shared" si="0"/>
        <v>0</v>
      </c>
      <c r="S40" s="156">
        <f t="shared" si="4"/>
        <v>0</v>
      </c>
      <c r="T40" s="156">
        <f t="shared" si="5"/>
        <v>0</v>
      </c>
    </row>
    <row r="41" spans="1:20" s="9" customFormat="1" ht="35.1" customHeight="1" x14ac:dyDescent="0.25">
      <c r="A41" s="215"/>
      <c r="B41" s="253" t="s">
        <v>75</v>
      </c>
      <c r="C41" s="257" t="s">
        <v>76</v>
      </c>
      <c r="D41" s="255" t="s">
        <v>30</v>
      </c>
      <c r="E41" s="242">
        <v>11.299999999999997</v>
      </c>
      <c r="F41" s="242">
        <v>73</v>
      </c>
      <c r="G41" s="242">
        <v>84.3</v>
      </c>
      <c r="H41" s="243">
        <v>807348</v>
      </c>
      <c r="I41" s="243">
        <f t="shared" si="1"/>
        <v>68059436.400000006</v>
      </c>
      <c r="J41" s="8"/>
      <c r="K41" s="8">
        <f t="shared" si="7"/>
        <v>807348</v>
      </c>
      <c r="L41" s="8">
        <f t="shared" si="3"/>
        <v>9123032.3999999985</v>
      </c>
      <c r="M41" s="9" t="str">
        <f t="array" ref="M41:P41">_xlfn.XLOOKUP(C41,'Neiva 2022 FASE I ACTUAL (5)'!$C$6:$C$540,'Neiva 2022 FASE I ACTUAL (5)'!$C$6:$F$540,"NO ESTA")</f>
        <v>MURO EN CONCRETO DE 4000 PSI DESCOLGADO VIGA 00C 30x120</v>
      </c>
      <c r="N41" s="9" t="str">
        <v>M3</v>
      </c>
      <c r="O41" s="9">
        <v>73</v>
      </c>
      <c r="P41" s="9">
        <v>724119</v>
      </c>
      <c r="Q41" s="124" t="str">
        <f t="shared" si="6"/>
        <v>FASE II</v>
      </c>
      <c r="R41" s="155">
        <f t="shared" si="0"/>
        <v>84.3</v>
      </c>
      <c r="S41" s="156">
        <f t="shared" si="4"/>
        <v>807348</v>
      </c>
      <c r="T41" s="156">
        <f t="shared" si="5"/>
        <v>68059436.400000006</v>
      </c>
    </row>
    <row r="42" spans="1:20" s="9" customFormat="1" ht="35.1" customHeight="1" x14ac:dyDescent="0.25">
      <c r="A42" s="215"/>
      <c r="B42" s="253" t="s">
        <v>77</v>
      </c>
      <c r="C42" s="257" t="s">
        <v>78</v>
      </c>
      <c r="D42" s="255" t="s">
        <v>30</v>
      </c>
      <c r="E42" s="242">
        <v>15.900000000000006</v>
      </c>
      <c r="F42" s="242">
        <v>109</v>
      </c>
      <c r="G42" s="242">
        <v>124.9</v>
      </c>
      <c r="H42" s="243">
        <v>778647</v>
      </c>
      <c r="I42" s="243">
        <f t="shared" si="1"/>
        <v>97253010.299999997</v>
      </c>
      <c r="J42" s="8"/>
      <c r="K42" s="8">
        <f t="shared" si="7"/>
        <v>778647</v>
      </c>
      <c r="L42" s="8">
        <f t="shared" si="3"/>
        <v>12380487.300000004</v>
      </c>
      <c r="M42" s="9" t="str">
        <f t="array" ref="M42:P42">_xlfn.XLOOKUP(C42,'Neiva 2022 FASE I ACTUAL (5)'!$C$6:$C$540,'Neiva 2022 FASE I ACTUAL (5)'!$C$6:$F$540,"NO ESTA")</f>
        <v>MURO ESTRUCTURAL EN CONCRETO DE 4000 PSI FACHADA EXTERIOR</v>
      </c>
      <c r="N42" s="9" t="str">
        <v>M3</v>
      </c>
      <c r="O42" s="9">
        <v>109</v>
      </c>
      <c r="P42" s="9">
        <v>724119</v>
      </c>
      <c r="Q42" s="124" t="str">
        <f t="shared" si="6"/>
        <v>FASE II</v>
      </c>
      <c r="R42" s="155">
        <f t="shared" si="0"/>
        <v>124.9</v>
      </c>
      <c r="S42" s="156">
        <f t="shared" si="4"/>
        <v>778647</v>
      </c>
      <c r="T42" s="156">
        <f t="shared" si="5"/>
        <v>97253010.299999997</v>
      </c>
    </row>
    <row r="43" spans="1:20" s="9" customFormat="1" ht="35.1" customHeight="1" x14ac:dyDescent="0.25">
      <c r="A43" s="215"/>
      <c r="B43" s="253" t="s">
        <v>79</v>
      </c>
      <c r="C43" s="257" t="s">
        <v>80</v>
      </c>
      <c r="D43" s="240" t="s">
        <v>30</v>
      </c>
      <c r="E43" s="242">
        <v>4.7000000000000028</v>
      </c>
      <c r="F43" s="242">
        <v>30</v>
      </c>
      <c r="G43" s="242">
        <v>34.700000000000003</v>
      </c>
      <c r="H43" s="243">
        <v>924742</v>
      </c>
      <c r="I43" s="243">
        <f t="shared" si="1"/>
        <v>32088547.399999999</v>
      </c>
      <c r="J43" s="145" t="s">
        <v>1061</v>
      </c>
      <c r="K43" s="8">
        <f t="shared" si="7"/>
        <v>924742</v>
      </c>
      <c r="L43" s="8">
        <f t="shared" si="3"/>
        <v>4346287.4000000022</v>
      </c>
      <c r="M43" s="9" t="str">
        <f t="array" ref="M43:P43">_xlfn.XLOOKUP(C43,'Neiva 2022 FASE I ACTUAL (5)'!$C$6:$C$540,'Neiva 2022 FASE I ACTUAL (5)'!$C$6:$F$540,"NO ESTA")</f>
        <v>ESCALERAS INTERNAS</v>
      </c>
      <c r="N43" s="9" t="str">
        <v>M3</v>
      </c>
      <c r="O43" s="9">
        <v>30</v>
      </c>
      <c r="P43" s="9">
        <v>743087</v>
      </c>
      <c r="Q43" s="124" t="str">
        <f t="shared" si="6"/>
        <v>FASE II</v>
      </c>
      <c r="R43" s="155">
        <f t="shared" si="0"/>
        <v>34.700000000000003</v>
      </c>
      <c r="S43" s="156">
        <f t="shared" si="4"/>
        <v>924742</v>
      </c>
      <c r="T43" s="156">
        <f t="shared" si="5"/>
        <v>32088547.399999999</v>
      </c>
    </row>
    <row r="44" spans="1:20" s="9" customFormat="1" ht="35.1" customHeight="1" x14ac:dyDescent="0.25">
      <c r="A44" s="215"/>
      <c r="B44" s="253" t="s">
        <v>81</v>
      </c>
      <c r="C44" s="257" t="s">
        <v>82</v>
      </c>
      <c r="D44" s="240" t="s">
        <v>30</v>
      </c>
      <c r="E44" s="242">
        <v>2</v>
      </c>
      <c r="F44" s="242">
        <v>17</v>
      </c>
      <c r="G44" s="242">
        <v>19</v>
      </c>
      <c r="H44" s="243">
        <v>924742</v>
      </c>
      <c r="I44" s="243">
        <f t="shared" si="1"/>
        <v>17570098</v>
      </c>
      <c r="J44" s="8"/>
      <c r="K44" s="8">
        <f t="shared" si="7"/>
        <v>924742</v>
      </c>
      <c r="L44" s="8">
        <f t="shared" si="3"/>
        <v>1849484</v>
      </c>
      <c r="M44" s="9" t="str">
        <f t="array" ref="M44:P44">_xlfn.XLOOKUP(C44,'Neiva 2022 FASE I ACTUAL (5)'!$C$6:$C$540,'Neiva 2022 FASE I ACTUAL (5)'!$C$6:$F$540,"NO ESTA")</f>
        <v>ESCALERA ACCESO SEGUNDO (2DO) Y TERCER (3ER) PISO EJES 1 Y 4'</v>
      </c>
      <c r="N44" s="9" t="str">
        <v>M3</v>
      </c>
      <c r="O44" s="9">
        <v>17</v>
      </c>
      <c r="P44" s="9">
        <v>743087</v>
      </c>
      <c r="Q44" s="124" t="str">
        <f t="shared" si="6"/>
        <v>FASE II</v>
      </c>
      <c r="R44" s="155">
        <f t="shared" si="0"/>
        <v>19</v>
      </c>
      <c r="S44" s="156">
        <f t="shared" si="4"/>
        <v>924742</v>
      </c>
      <c r="T44" s="156">
        <f t="shared" si="5"/>
        <v>17570098</v>
      </c>
    </row>
    <row r="45" spans="1:20" s="9" customFormat="1" ht="35.1" customHeight="1" x14ac:dyDescent="0.25">
      <c r="A45" s="215"/>
      <c r="B45" s="253" t="s">
        <v>83</v>
      </c>
      <c r="C45" s="257" t="s">
        <v>84</v>
      </c>
      <c r="D45" s="255" t="s">
        <v>30</v>
      </c>
      <c r="E45" s="242">
        <v>9</v>
      </c>
      <c r="F45" s="242">
        <v>63</v>
      </c>
      <c r="G45" s="242">
        <v>72</v>
      </c>
      <c r="H45" s="243">
        <v>865328</v>
      </c>
      <c r="I45" s="243">
        <f t="shared" si="1"/>
        <v>62303616</v>
      </c>
      <c r="J45" s="8">
        <f>ROUND(H45+H45*20%*$J$3,0)</f>
        <v>1030225</v>
      </c>
      <c r="K45" s="8">
        <f t="shared" si="7"/>
        <v>865328</v>
      </c>
      <c r="L45" s="8">
        <f t="shared" si="3"/>
        <v>7787952</v>
      </c>
      <c r="M45" s="9" t="str">
        <f t="array" ref="M45:P45">_xlfn.XLOOKUP(C45,'Neiva 2022 FASE I ACTUAL (5)'!$C$6:$C$540,'Neiva 2022 FASE I ACTUAL (5)'!$C$6:$F$540,"NO ESTA")</f>
        <v>RAMPAS DE ACCESO Incluye ACERO DE REFUERZO</v>
      </c>
      <c r="N45" s="9" t="str">
        <v>M3</v>
      </c>
      <c r="O45" s="9">
        <v>63</v>
      </c>
      <c r="P45" s="9">
        <v>761561</v>
      </c>
      <c r="Q45" s="124" t="str">
        <f t="shared" si="6"/>
        <v>FASE II</v>
      </c>
      <c r="R45" s="155">
        <f t="shared" si="0"/>
        <v>72</v>
      </c>
      <c r="S45" s="156">
        <f t="shared" si="4"/>
        <v>865328</v>
      </c>
      <c r="T45" s="156">
        <f t="shared" si="5"/>
        <v>62303616</v>
      </c>
    </row>
    <row r="46" spans="1:20" s="9" customFormat="1" ht="35.1" customHeight="1" x14ac:dyDescent="0.25">
      <c r="A46" s="215"/>
      <c r="B46" s="244" t="s">
        <v>85</v>
      </c>
      <c r="C46" s="256" t="s">
        <v>86</v>
      </c>
      <c r="D46" s="256"/>
      <c r="E46" s="246"/>
      <c r="F46" s="246"/>
      <c r="G46" s="246"/>
      <c r="H46" s="252">
        <v>0</v>
      </c>
      <c r="I46" s="243">
        <f t="shared" si="1"/>
        <v>0</v>
      </c>
      <c r="J46" s="8"/>
      <c r="K46" s="8">
        <f t="shared" si="7"/>
        <v>0</v>
      </c>
      <c r="L46" s="8">
        <f t="shared" si="3"/>
        <v>0</v>
      </c>
      <c r="M46" s="9" t="str">
        <f t="array" ref="M46:P46">_xlfn.XLOOKUP(C46,'Neiva 2022 FASE I ACTUAL (5)'!$C$6:$C$540,'Neiva 2022 FASE I ACTUAL (5)'!$C$6:$F$540,"NO ESTA")</f>
        <v>SUMINISTRO E INSTALACIÓN ACERO DE REFUERZO ELEMENTOS ESTRUCTURALES, PLACAS MACIZAS, CONSTRUCCIONES VARIAS EN CONCRETOS</v>
      </c>
      <c r="N46" s="9">
        <v>0</v>
      </c>
      <c r="O46" s="9">
        <v>0</v>
      </c>
      <c r="P46" s="9">
        <v>0</v>
      </c>
      <c r="Q46" s="124">
        <f t="shared" si="6"/>
        <v>0</v>
      </c>
      <c r="R46" s="155">
        <f t="shared" si="0"/>
        <v>0</v>
      </c>
      <c r="S46" s="156">
        <f t="shared" si="4"/>
        <v>0</v>
      </c>
      <c r="T46" s="156">
        <f t="shared" si="5"/>
        <v>0</v>
      </c>
    </row>
    <row r="47" spans="1:20" s="9" customFormat="1" ht="35.1" customHeight="1" x14ac:dyDescent="0.25">
      <c r="A47" s="215"/>
      <c r="B47" s="240" t="s">
        <v>87</v>
      </c>
      <c r="C47" s="251" t="s">
        <v>54</v>
      </c>
      <c r="D47" s="240" t="s">
        <v>55</v>
      </c>
      <c r="E47" s="242">
        <v>84343.400000000023</v>
      </c>
      <c r="F47" s="242">
        <v>16621.25</v>
      </c>
      <c r="G47" s="242">
        <v>100964.65000000002</v>
      </c>
      <c r="H47" s="243">
        <v>5265</v>
      </c>
      <c r="I47" s="243">
        <f t="shared" si="1"/>
        <v>531578882.25</v>
      </c>
      <c r="J47" s="8"/>
      <c r="K47" s="8">
        <f>+H47</f>
        <v>5265</v>
      </c>
      <c r="L47" s="8">
        <f t="shared" si="3"/>
        <v>444068001.00000012</v>
      </c>
      <c r="M47" s="9" t="str">
        <f t="array" ref="M47:P47">_xlfn.XLOOKUP(C47,'Neiva 2022 FASE I ACTUAL (5)'!$C$6:$C$540,'Neiva 2022 FASE I ACTUAL (5)'!$C$6:$F$540,"NO ESTA")</f>
        <v>ACERO DE REFUERZO 60000 psi Incluye ALAMBRE DE AMARRE</v>
      </c>
      <c r="N47" s="9" t="str">
        <v>KG</v>
      </c>
      <c r="O47" s="9">
        <v>16621.25</v>
      </c>
      <c r="P47" s="9">
        <v>5265</v>
      </c>
      <c r="Q47" s="124" t="str">
        <f t="shared" si="6"/>
        <v>FASE II</v>
      </c>
      <c r="R47" s="155">
        <f t="shared" si="0"/>
        <v>100964.65000000002</v>
      </c>
      <c r="S47" s="156">
        <f t="shared" si="4"/>
        <v>5265</v>
      </c>
      <c r="T47" s="156">
        <f t="shared" si="5"/>
        <v>531578882.25</v>
      </c>
    </row>
    <row r="48" spans="1:20" s="9" customFormat="1" ht="35.1" customHeight="1" x14ac:dyDescent="0.25">
      <c r="A48" s="215"/>
      <c r="B48" s="253" t="s">
        <v>88</v>
      </c>
      <c r="C48" s="254" t="s">
        <v>89</v>
      </c>
      <c r="D48" s="240" t="s">
        <v>13</v>
      </c>
      <c r="E48" s="242">
        <v>938.19999999999982</v>
      </c>
      <c r="F48" s="242">
        <v>6220.01</v>
      </c>
      <c r="G48" s="242">
        <v>7158.21</v>
      </c>
      <c r="H48" s="243">
        <v>7898</v>
      </c>
      <c r="I48" s="243">
        <f t="shared" si="1"/>
        <v>56535542.579999998</v>
      </c>
      <c r="J48" s="8"/>
      <c r="K48" s="8">
        <f>+H48</f>
        <v>7898</v>
      </c>
      <c r="L48" s="8">
        <f t="shared" si="3"/>
        <v>7409903.5999999987</v>
      </c>
      <c r="M48" s="9" t="str">
        <f t="array" ref="M48:P48">_xlfn.XLOOKUP(C48,'Neiva 2022 FASE I ACTUAL (5)'!$C$6:$C$540,'Neiva 2022 FASE I ACTUAL (5)'!$C$6:$F$540,"NO ESTA")</f>
        <v>MALLA ELECTROSOLDADA PLACA ENTREPISO Q85 Ø4 mm separación 15x15 cm o similar</v>
      </c>
      <c r="N48" s="9" t="str">
        <v>M2</v>
      </c>
      <c r="O48" s="9">
        <v>6220.01</v>
      </c>
      <c r="P48" s="9">
        <v>7898</v>
      </c>
      <c r="Q48" s="124" t="str">
        <f t="shared" si="6"/>
        <v>FASE II</v>
      </c>
      <c r="R48" s="155">
        <f t="shared" si="0"/>
        <v>7158.21</v>
      </c>
      <c r="S48" s="156">
        <f t="shared" si="4"/>
        <v>7898</v>
      </c>
      <c r="T48" s="156">
        <f t="shared" si="5"/>
        <v>56535542.579999998</v>
      </c>
    </row>
    <row r="49" spans="1:20" s="9" customFormat="1" ht="35.1" customHeight="1" x14ac:dyDescent="0.25">
      <c r="A49" s="215"/>
      <c r="B49" s="244" t="s">
        <v>90</v>
      </c>
      <c r="C49" s="256" t="s">
        <v>91</v>
      </c>
      <c r="D49" s="256"/>
      <c r="E49" s="246"/>
      <c r="F49" s="246"/>
      <c r="G49" s="246"/>
      <c r="H49" s="252">
        <v>0</v>
      </c>
      <c r="I49" s="243">
        <f t="shared" si="1"/>
        <v>0</v>
      </c>
      <c r="J49" s="8"/>
      <c r="K49" s="8">
        <f t="shared" ref="K49:K112" si="8">+ROUND(H49*(1+$K$4),0)</f>
        <v>0</v>
      </c>
      <c r="L49" s="8">
        <f t="shared" si="3"/>
        <v>0</v>
      </c>
      <c r="M49" s="9" t="str">
        <f t="array" ref="M49:P49">_xlfn.XLOOKUP(C49,'Neiva 2022 FASE I ACTUAL (5)'!$C$6:$C$540,'Neiva 2022 FASE I ACTUAL (5)'!$C$6:$F$540,"NO ESTA")</f>
        <v>SUMINISTRO E INSTALACION DE ESTRUCTURA METALICA CUBIERTA</v>
      </c>
      <c r="N49" s="9">
        <v>0</v>
      </c>
      <c r="O49" s="9">
        <v>0</v>
      </c>
      <c r="P49" s="9">
        <v>0</v>
      </c>
      <c r="Q49" s="124">
        <f t="shared" si="6"/>
        <v>0</v>
      </c>
      <c r="R49" s="155">
        <f t="shared" si="0"/>
        <v>0</v>
      </c>
      <c r="S49" s="156">
        <f t="shared" si="4"/>
        <v>0</v>
      </c>
      <c r="T49" s="156">
        <f t="shared" si="5"/>
        <v>0</v>
      </c>
    </row>
    <row r="50" spans="1:20" s="9" customFormat="1" ht="35.1" customHeight="1" x14ac:dyDescent="0.25">
      <c r="A50" s="215"/>
      <c r="B50" s="240" t="s">
        <v>92</v>
      </c>
      <c r="C50" s="251" t="s">
        <v>93</v>
      </c>
      <c r="D50" s="240" t="s">
        <v>94</v>
      </c>
      <c r="E50" s="242">
        <v>14.099999999999994</v>
      </c>
      <c r="F50" s="242">
        <v>194</v>
      </c>
      <c r="G50" s="242">
        <v>208.1</v>
      </c>
      <c r="H50" s="243">
        <v>111088</v>
      </c>
      <c r="I50" s="243">
        <f t="shared" si="1"/>
        <v>23117412.800000001</v>
      </c>
      <c r="J50" s="8">
        <f>ROUND(+H50*(1+$J$3),0)</f>
        <v>216933</v>
      </c>
      <c r="K50" s="8">
        <f t="shared" si="8"/>
        <v>111088</v>
      </c>
      <c r="L50" s="8">
        <f t="shared" si="3"/>
        <v>1566340.7999999993</v>
      </c>
      <c r="M50" s="9" t="str">
        <f t="array" ref="M50:P50">_xlfn.XLOOKUP(C50,'Neiva 2022 FASE I ACTUAL (5)'!$C$6:$C$540,'Neiva 2022 FASE I ACTUAL (5)'!$C$6:$F$540,"NO ESTA")</f>
        <v>CERCHA METALICA CUBIERTA</v>
      </c>
      <c r="N50" s="9" t="str">
        <v>ML</v>
      </c>
      <c r="O50" s="9">
        <v>194</v>
      </c>
      <c r="P50" s="9">
        <v>107633</v>
      </c>
      <c r="Q50" s="124" t="str">
        <f t="shared" si="6"/>
        <v>FASE II</v>
      </c>
      <c r="R50" s="155">
        <f t="shared" si="0"/>
        <v>208.1</v>
      </c>
      <c r="S50" s="156">
        <f t="shared" si="4"/>
        <v>111088</v>
      </c>
      <c r="T50" s="156">
        <f t="shared" si="5"/>
        <v>23117412.800000001</v>
      </c>
    </row>
    <row r="51" spans="1:20" s="9" customFormat="1" ht="35.1" customHeight="1" x14ac:dyDescent="0.25">
      <c r="A51" s="215"/>
      <c r="B51" s="240" t="s">
        <v>95</v>
      </c>
      <c r="C51" s="251" t="s">
        <v>96</v>
      </c>
      <c r="D51" s="240" t="s">
        <v>94</v>
      </c>
      <c r="E51" s="242">
        <v>28.599999999999994</v>
      </c>
      <c r="F51" s="242">
        <v>1240</v>
      </c>
      <c r="G51" s="242">
        <v>1268.5999999999999</v>
      </c>
      <c r="H51" s="243">
        <v>79477</v>
      </c>
      <c r="I51" s="243">
        <f t="shared" si="1"/>
        <v>100824522.2</v>
      </c>
      <c r="J51" s="8">
        <f>ROUND(+H51*(1+$J$3),0)</f>
        <v>155203</v>
      </c>
      <c r="K51" s="8">
        <f t="shared" si="8"/>
        <v>79477</v>
      </c>
      <c r="L51" s="8">
        <f t="shared" si="3"/>
        <v>2273042.1999999997</v>
      </c>
      <c r="M51" s="9" t="str">
        <f t="array" ref="M51:P51">_xlfn.XLOOKUP(C51,'Neiva 2022 FASE I ACTUAL (5)'!$C$6:$C$540,'Neiva 2022 FASE I ACTUAL (5)'!$C$6:$F$540,"NO ESTA")</f>
        <v>CORREAS METALICAS CUBIERTA</v>
      </c>
      <c r="N51" s="9" t="str">
        <v>ML</v>
      </c>
      <c r="O51" s="9">
        <v>1240</v>
      </c>
      <c r="P51" s="9">
        <v>76272</v>
      </c>
      <c r="Q51" s="124" t="str">
        <f t="shared" si="6"/>
        <v>FASE II</v>
      </c>
      <c r="R51" s="155">
        <f t="shared" si="0"/>
        <v>1268.5999999999999</v>
      </c>
      <c r="S51" s="156">
        <f t="shared" si="4"/>
        <v>79477</v>
      </c>
      <c r="T51" s="156">
        <f t="shared" si="5"/>
        <v>100824522.2</v>
      </c>
    </row>
    <row r="52" spans="1:20" s="9" customFormat="1" ht="35.1" customHeight="1" x14ac:dyDescent="0.25">
      <c r="A52" s="215"/>
      <c r="B52" s="240" t="s">
        <v>97</v>
      </c>
      <c r="C52" s="254" t="s">
        <v>98</v>
      </c>
      <c r="D52" s="255" t="s">
        <v>13</v>
      </c>
      <c r="E52" s="242">
        <v>488.5</v>
      </c>
      <c r="F52" s="242">
        <v>508</v>
      </c>
      <c r="G52" s="242">
        <v>996.5</v>
      </c>
      <c r="H52" s="243">
        <v>105087</v>
      </c>
      <c r="I52" s="243">
        <f t="shared" si="1"/>
        <v>104719195.5</v>
      </c>
      <c r="J52" s="8"/>
      <c r="K52" s="8">
        <f t="shared" si="8"/>
        <v>105087</v>
      </c>
      <c r="L52" s="8">
        <f t="shared" si="3"/>
        <v>51334999.5</v>
      </c>
      <c r="M52" s="9" t="str">
        <f t="array" ref="M52:P52">_xlfn.XLOOKUP(C52,'Neiva 2022 FASE I ACTUAL (5)'!$C$6:$C$540,'Neiva 2022 FASE I ACTUAL (5)'!$C$6:$F$540,"NO ESTA")</f>
        <v>CUBIERTA TIPO SANDWICH</v>
      </c>
      <c r="N52" s="9" t="str">
        <v>M2</v>
      </c>
      <c r="O52" s="9">
        <v>508</v>
      </c>
      <c r="P52" s="9">
        <v>100848</v>
      </c>
      <c r="Q52" s="124" t="str">
        <f t="shared" si="6"/>
        <v>FASE II</v>
      </c>
      <c r="R52" s="155">
        <f t="shared" si="0"/>
        <v>996.5</v>
      </c>
      <c r="S52" s="156">
        <f t="shared" si="4"/>
        <v>105087</v>
      </c>
      <c r="T52" s="156">
        <f t="shared" si="5"/>
        <v>104719195.5</v>
      </c>
    </row>
    <row r="53" spans="1:20" s="9" customFormat="1" ht="35.1" customHeight="1" x14ac:dyDescent="0.25">
      <c r="A53" s="215"/>
      <c r="B53" s="247">
        <v>4</v>
      </c>
      <c r="C53" s="248" t="s">
        <v>99</v>
      </c>
      <c r="D53" s="248"/>
      <c r="E53" s="249"/>
      <c r="F53" s="249"/>
      <c r="G53" s="249"/>
      <c r="H53" s="250">
        <v>0</v>
      </c>
      <c r="I53" s="243">
        <f t="shared" si="1"/>
        <v>0</v>
      </c>
      <c r="J53" s="8"/>
      <c r="K53" s="8">
        <f t="shared" si="8"/>
        <v>0</v>
      </c>
      <c r="L53" s="8">
        <f t="shared" si="3"/>
        <v>0</v>
      </c>
      <c r="M53" s="9" t="str">
        <f t="array" ref="M53:P53">_xlfn.XLOOKUP(C53,'Neiva 2022 FASE I ACTUAL (5)'!$C$6:$C$540,'Neiva 2022 FASE I ACTUAL (5)'!$C$6:$F$540,"NO ESTA")</f>
        <v>CIELO RASOS</v>
      </c>
      <c r="N53" s="9">
        <v>0</v>
      </c>
      <c r="O53" s="9">
        <v>0</v>
      </c>
      <c r="P53" s="9">
        <v>0</v>
      </c>
      <c r="Q53" s="124">
        <f t="shared" si="6"/>
        <v>0</v>
      </c>
      <c r="R53" s="155">
        <f t="shared" si="0"/>
        <v>0</v>
      </c>
      <c r="S53" s="156">
        <f t="shared" si="4"/>
        <v>0</v>
      </c>
      <c r="T53" s="156">
        <f t="shared" si="5"/>
        <v>0</v>
      </c>
    </row>
    <row r="54" spans="1:20" s="9" customFormat="1" ht="35.1" customHeight="1" x14ac:dyDescent="0.25">
      <c r="A54" s="215"/>
      <c r="B54" s="244" t="s">
        <v>100</v>
      </c>
      <c r="C54" s="245" t="s">
        <v>101</v>
      </c>
      <c r="D54" s="260"/>
      <c r="E54" s="246"/>
      <c r="F54" s="246"/>
      <c r="G54" s="246"/>
      <c r="H54" s="243">
        <v>0</v>
      </c>
      <c r="I54" s="243">
        <f t="shared" si="1"/>
        <v>0</v>
      </c>
      <c r="J54" s="8"/>
      <c r="K54" s="8">
        <f t="shared" si="8"/>
        <v>0</v>
      </c>
      <c r="L54" s="8">
        <f t="shared" si="3"/>
        <v>0</v>
      </c>
      <c r="M54" s="9" t="str">
        <f t="array" ref="M54:P54">_xlfn.XLOOKUP(C54,'Neiva 2022 FASE I ACTUAL (5)'!$C$6:$C$540,'Neiva 2022 FASE I ACTUAL (5)'!$C$6:$F$540,"NO ESTA")</f>
        <v>SUMINISTRO E INSTALACION DE CIELOS RASOS PISO 1</v>
      </c>
      <c r="N54" s="9">
        <v>0</v>
      </c>
      <c r="O54" s="9">
        <v>0</v>
      </c>
      <c r="P54" s="9">
        <v>0</v>
      </c>
      <c r="Q54" s="124">
        <f t="shared" si="6"/>
        <v>0</v>
      </c>
      <c r="R54" s="155">
        <f t="shared" si="0"/>
        <v>0</v>
      </c>
      <c r="S54" s="156">
        <f t="shared" si="4"/>
        <v>0</v>
      </c>
      <c r="T54" s="156">
        <f t="shared" si="5"/>
        <v>0</v>
      </c>
    </row>
    <row r="55" spans="1:20" s="9" customFormat="1" ht="35.1" customHeight="1" x14ac:dyDescent="0.25">
      <c r="A55" s="215"/>
      <c r="B55" s="255" t="s">
        <v>102</v>
      </c>
      <c r="C55" s="254" t="s">
        <v>1062</v>
      </c>
      <c r="D55" s="255" t="s">
        <v>13</v>
      </c>
      <c r="E55" s="242">
        <v>0</v>
      </c>
      <c r="F55" s="242"/>
      <c r="G55" s="242">
        <v>0</v>
      </c>
      <c r="H55" s="243">
        <v>53489</v>
      </c>
      <c r="I55" s="243">
        <f t="shared" si="1"/>
        <v>0</v>
      </c>
      <c r="J55" s="8"/>
      <c r="K55" s="8">
        <f t="shared" si="8"/>
        <v>53489</v>
      </c>
      <c r="L55" s="8">
        <f t="shared" si="3"/>
        <v>0</v>
      </c>
      <c r="M55" s="9" t="str">
        <f t="array" ref="M55">_xlfn.XLOOKUP(C55,'Neiva 2022 FASE I ACTUAL (5)'!$C$6:$C$540,'Neiva 2022 FASE I ACTUAL (5)'!$C$6:$F$540,"NO ESTA")</f>
        <v>NO ESTA</v>
      </c>
      <c r="Q55" s="124">
        <f t="shared" si="6"/>
        <v>0</v>
      </c>
      <c r="R55" s="155">
        <f t="shared" si="0"/>
        <v>0</v>
      </c>
      <c r="S55" s="156">
        <f t="shared" si="4"/>
        <v>53489</v>
      </c>
      <c r="T55" s="156">
        <f t="shared" si="5"/>
        <v>0</v>
      </c>
    </row>
    <row r="56" spans="1:20" s="9" customFormat="1" ht="35.1" customHeight="1" x14ac:dyDescent="0.25">
      <c r="A56" s="215"/>
      <c r="B56" s="255" t="s">
        <v>104</v>
      </c>
      <c r="C56" s="254" t="s">
        <v>105</v>
      </c>
      <c r="D56" s="255" t="s">
        <v>13</v>
      </c>
      <c r="E56" s="242">
        <v>0</v>
      </c>
      <c r="F56" s="242">
        <v>388.43</v>
      </c>
      <c r="G56" s="242">
        <v>388.43</v>
      </c>
      <c r="H56" s="243">
        <v>53489</v>
      </c>
      <c r="I56" s="243">
        <f t="shared" si="1"/>
        <v>20776732.27</v>
      </c>
      <c r="J56" s="8"/>
      <c r="K56" s="8">
        <f t="shared" si="8"/>
        <v>53489</v>
      </c>
      <c r="L56" s="8">
        <f t="shared" si="3"/>
        <v>0</v>
      </c>
      <c r="M56" s="9" t="str">
        <f t="array" ref="M56:P56">_xlfn.XLOOKUP(C56,'Neiva 2022 FASE I ACTUAL (5)'!$C$6:$C$540,'Neiva 2022 FASE I ACTUAL (5)'!$C$6:$F$540,"NO ESTA")</f>
        <v>SUMINISTRO E INSTALACION CIELO RASO EN DRYWALL LAMINA BLANCA PINTADO A 3 MANOS PINTURA VINILO TIPO 1  BLANCA Ref. Planos 09511</v>
      </c>
      <c r="N56" s="9" t="str">
        <v>M2</v>
      </c>
      <c r="O56" s="9">
        <v>388.43</v>
      </c>
      <c r="P56" s="9">
        <v>43820</v>
      </c>
      <c r="Q56" s="124" t="str">
        <f t="shared" si="6"/>
        <v>FASE II</v>
      </c>
      <c r="R56" s="155">
        <f t="shared" si="0"/>
        <v>388.43</v>
      </c>
      <c r="S56" s="156">
        <f t="shared" si="4"/>
        <v>53489</v>
      </c>
      <c r="T56" s="156">
        <f t="shared" si="5"/>
        <v>20776732.27</v>
      </c>
    </row>
    <row r="57" spans="1:20" s="9" customFormat="1" ht="35.1" customHeight="1" x14ac:dyDescent="0.25">
      <c r="A57" s="215"/>
      <c r="B57" s="261" t="s">
        <v>1063</v>
      </c>
      <c r="C57" s="262" t="s">
        <v>1064</v>
      </c>
      <c r="D57" s="263"/>
      <c r="E57" s="264"/>
      <c r="F57" s="264"/>
      <c r="G57" s="264"/>
      <c r="H57" s="252">
        <v>0</v>
      </c>
      <c r="I57" s="243">
        <f t="shared" si="1"/>
        <v>0</v>
      </c>
      <c r="J57" s="8"/>
      <c r="K57" s="8">
        <f t="shared" si="8"/>
        <v>0</v>
      </c>
      <c r="L57" s="8">
        <f t="shared" si="3"/>
        <v>0</v>
      </c>
      <c r="M57" s="9" t="str">
        <f t="array" ref="M57">_xlfn.XLOOKUP(C57,'Neiva 2022 FASE I ACTUAL (5)'!$C$6:$C$540,'Neiva 2022 FASE I ACTUAL (5)'!$C$6:$F$540,"NO ESTA")</f>
        <v>NO ESTA</v>
      </c>
      <c r="Q57" s="124">
        <f t="shared" si="6"/>
        <v>0</v>
      </c>
      <c r="R57" s="155">
        <f t="shared" si="0"/>
        <v>0</v>
      </c>
      <c r="S57" s="156">
        <f t="shared" si="4"/>
        <v>0</v>
      </c>
      <c r="T57" s="156">
        <f t="shared" si="5"/>
        <v>0</v>
      </c>
    </row>
    <row r="58" spans="1:20" s="9" customFormat="1" ht="49.15" customHeight="1" x14ac:dyDescent="0.25">
      <c r="A58" s="215"/>
      <c r="B58" s="255" t="s">
        <v>1065</v>
      </c>
      <c r="C58" s="254" t="s">
        <v>103</v>
      </c>
      <c r="D58" s="255" t="s">
        <v>13</v>
      </c>
      <c r="E58" s="242">
        <v>68.989999999999995</v>
      </c>
      <c r="F58" s="242">
        <v>59.86</v>
      </c>
      <c r="G58" s="242">
        <v>128.85</v>
      </c>
      <c r="H58" s="243">
        <v>53489</v>
      </c>
      <c r="I58" s="243">
        <f t="shared" si="1"/>
        <v>6892057.6500000004</v>
      </c>
      <c r="J58" s="8"/>
      <c r="K58" s="8">
        <f t="shared" si="8"/>
        <v>53489</v>
      </c>
      <c r="L58" s="8">
        <f t="shared" si="3"/>
        <v>3690206.11</v>
      </c>
      <c r="M58" s="9" t="str">
        <f t="array" ref="M58:P58">_xlfn.XLOOKUP(C58,'Neiva 2022 FASE I ACTUAL (5)'!$C$6:$C$540,'Neiva 2022 FASE I ACTUAL (5)'!$C$6:$F$540,"NO ESTA")</f>
        <v>SUMINISTRO E INSTALACION CIELO RASO EN DRYWALL LAMINA VERDE RH  PINTADO A 3 MANOS PINTURA VINILO TIPO 1 o similar  BLANCA Ref. Planos 09512</v>
      </c>
      <c r="N58" s="9" t="str">
        <v>M2</v>
      </c>
      <c r="O58" s="9">
        <v>59.86</v>
      </c>
      <c r="P58" s="9">
        <v>43820</v>
      </c>
      <c r="Q58" s="124" t="str">
        <f t="shared" si="6"/>
        <v>FASE II</v>
      </c>
      <c r="R58" s="155">
        <f t="shared" si="0"/>
        <v>128.85</v>
      </c>
      <c r="S58" s="156">
        <f t="shared" si="4"/>
        <v>53489</v>
      </c>
      <c r="T58" s="156">
        <f t="shared" si="5"/>
        <v>6892057.6500000004</v>
      </c>
    </row>
    <row r="59" spans="1:20" s="9" customFormat="1" ht="35.1" customHeight="1" x14ac:dyDescent="0.25">
      <c r="A59" s="215"/>
      <c r="B59" s="255" t="s">
        <v>1066</v>
      </c>
      <c r="C59" s="254" t="s">
        <v>105</v>
      </c>
      <c r="D59" s="255" t="s">
        <v>13</v>
      </c>
      <c r="E59" s="242">
        <v>701.75</v>
      </c>
      <c r="F59" s="242">
        <v>388.43</v>
      </c>
      <c r="G59" s="242">
        <v>1090.18</v>
      </c>
      <c r="H59" s="243">
        <v>53489</v>
      </c>
      <c r="I59" s="243">
        <f t="shared" si="1"/>
        <v>58312638.020000003</v>
      </c>
      <c r="J59" s="8"/>
      <c r="K59" s="8">
        <f t="shared" si="8"/>
        <v>53489</v>
      </c>
      <c r="L59" s="8">
        <f t="shared" si="3"/>
        <v>37535905.75</v>
      </c>
      <c r="M59" s="9" t="str">
        <f t="array" ref="M59:P59">_xlfn.XLOOKUP(C59,'Neiva 2022 FASE I ACTUAL (5)'!$C$6:$C$540,'Neiva 2022 FASE I ACTUAL (5)'!$C$6:$F$540,"NO ESTA")</f>
        <v>SUMINISTRO E INSTALACION CIELO RASO EN DRYWALL LAMINA BLANCA PINTADO A 3 MANOS PINTURA VINILO TIPO 1  BLANCA Ref. Planos 09511</v>
      </c>
      <c r="N59" s="9" t="str">
        <v>M2</v>
      </c>
      <c r="O59" s="9">
        <v>388.43</v>
      </c>
      <c r="P59" s="9">
        <v>43820</v>
      </c>
      <c r="Q59" s="124" t="str">
        <f t="shared" si="6"/>
        <v>FASE II</v>
      </c>
      <c r="R59" s="155">
        <f t="shared" si="0"/>
        <v>1090.18</v>
      </c>
      <c r="S59" s="156">
        <f t="shared" si="4"/>
        <v>53489</v>
      </c>
      <c r="T59" s="156">
        <f t="shared" si="5"/>
        <v>58312638.020000003</v>
      </c>
    </row>
    <row r="60" spans="1:20" s="9" customFormat="1" ht="35.1" customHeight="1" x14ac:dyDescent="0.25">
      <c r="A60" s="215"/>
      <c r="B60" s="244" t="s">
        <v>1067</v>
      </c>
      <c r="C60" s="245" t="s">
        <v>1068</v>
      </c>
      <c r="D60" s="260"/>
      <c r="E60" s="246"/>
      <c r="F60" s="246"/>
      <c r="G60" s="246"/>
      <c r="H60" s="252">
        <v>0</v>
      </c>
      <c r="I60" s="243">
        <f t="shared" si="1"/>
        <v>0</v>
      </c>
      <c r="J60" s="8"/>
      <c r="K60" s="8">
        <f t="shared" si="8"/>
        <v>0</v>
      </c>
      <c r="L60" s="8">
        <f t="shared" si="3"/>
        <v>0</v>
      </c>
      <c r="M60" s="9" t="str">
        <f t="array" ref="M60">_xlfn.XLOOKUP(C60,'Neiva 2022 FASE I ACTUAL (5)'!$C$6:$C$540,'Neiva 2022 FASE I ACTUAL (5)'!$C$6:$F$540,"NO ESTA")</f>
        <v>NO ESTA</v>
      </c>
      <c r="Q60" s="124">
        <f t="shared" si="6"/>
        <v>0</v>
      </c>
      <c r="R60" s="155">
        <f t="shared" si="0"/>
        <v>0</v>
      </c>
      <c r="S60" s="156">
        <f t="shared" si="4"/>
        <v>0</v>
      </c>
      <c r="T60" s="156">
        <f t="shared" si="5"/>
        <v>0</v>
      </c>
    </row>
    <row r="61" spans="1:20" s="9" customFormat="1" ht="46.15" customHeight="1" x14ac:dyDescent="0.25">
      <c r="A61" s="215"/>
      <c r="B61" s="255" t="s">
        <v>1069</v>
      </c>
      <c r="C61" s="254" t="s">
        <v>103</v>
      </c>
      <c r="D61" s="255" t="s">
        <v>13</v>
      </c>
      <c r="E61" s="242">
        <v>68.989999999999995</v>
      </c>
      <c r="F61" s="242">
        <v>59.86</v>
      </c>
      <c r="G61" s="242">
        <v>128.85</v>
      </c>
      <c r="H61" s="243">
        <v>74019</v>
      </c>
      <c r="I61" s="243">
        <f t="shared" si="1"/>
        <v>9537348.1500000004</v>
      </c>
      <c r="J61" s="8"/>
      <c r="K61" s="8">
        <f t="shared" si="8"/>
        <v>74019</v>
      </c>
      <c r="L61" s="8">
        <f t="shared" si="3"/>
        <v>5106570.8099999996</v>
      </c>
      <c r="M61" s="9" t="str">
        <f t="array" ref="M61:P61">_xlfn.XLOOKUP(C61,'Neiva 2022 FASE I ACTUAL (5)'!$C$6:$C$540,'Neiva 2022 FASE I ACTUAL (5)'!$C$6:$F$540,"NO ESTA")</f>
        <v>SUMINISTRO E INSTALACION CIELO RASO EN DRYWALL LAMINA VERDE RH  PINTADO A 3 MANOS PINTURA VINILO TIPO 1 o similar  BLANCA Ref. Planos 09512</v>
      </c>
      <c r="N61" s="9" t="str">
        <v>M2</v>
      </c>
      <c r="O61" s="9">
        <v>59.86</v>
      </c>
      <c r="P61" s="9">
        <v>43820</v>
      </c>
      <c r="Q61" s="124" t="str">
        <f t="shared" si="6"/>
        <v>FASE II</v>
      </c>
      <c r="R61" s="155">
        <f t="shared" si="0"/>
        <v>128.85</v>
      </c>
      <c r="S61" s="156">
        <f t="shared" si="4"/>
        <v>74019</v>
      </c>
      <c r="T61" s="156">
        <f t="shared" si="5"/>
        <v>9537348.1500000004</v>
      </c>
    </row>
    <row r="62" spans="1:20" s="9" customFormat="1" ht="35.1" customHeight="1" x14ac:dyDescent="0.25">
      <c r="A62" s="215"/>
      <c r="B62" s="255" t="s">
        <v>1070</v>
      </c>
      <c r="C62" s="254" t="s">
        <v>105</v>
      </c>
      <c r="D62" s="255" t="s">
        <v>13</v>
      </c>
      <c r="E62" s="242">
        <v>565.59</v>
      </c>
      <c r="F62" s="242">
        <v>388.43</v>
      </c>
      <c r="G62" s="242">
        <v>954.02</v>
      </c>
      <c r="H62" s="243">
        <v>70094</v>
      </c>
      <c r="I62" s="243">
        <f t="shared" si="1"/>
        <v>66871077.880000003</v>
      </c>
      <c r="J62" s="8"/>
      <c r="K62" s="8">
        <f t="shared" si="8"/>
        <v>70094</v>
      </c>
      <c r="L62" s="8">
        <f t="shared" si="3"/>
        <v>39644465.460000001</v>
      </c>
      <c r="M62" s="9" t="str">
        <f t="array" ref="M62:P62">_xlfn.XLOOKUP(C62,'Neiva 2022 FASE I ACTUAL (5)'!$C$6:$C$540,'Neiva 2022 FASE I ACTUAL (5)'!$C$6:$F$540,"NO ESTA")</f>
        <v>SUMINISTRO E INSTALACION CIELO RASO EN DRYWALL LAMINA BLANCA PINTADO A 3 MANOS PINTURA VINILO TIPO 1  BLANCA Ref. Planos 09511</v>
      </c>
      <c r="N62" s="9" t="str">
        <v>M2</v>
      </c>
      <c r="O62" s="9">
        <v>388.43</v>
      </c>
      <c r="P62" s="9">
        <v>43820</v>
      </c>
      <c r="Q62" s="124" t="str">
        <f t="shared" si="6"/>
        <v>FASE II</v>
      </c>
      <c r="R62" s="155">
        <f t="shared" si="0"/>
        <v>954.02</v>
      </c>
      <c r="S62" s="156">
        <f t="shared" si="4"/>
        <v>70094</v>
      </c>
      <c r="T62" s="156">
        <f t="shared" si="5"/>
        <v>66871077.880000003</v>
      </c>
    </row>
    <row r="63" spans="1:20" s="9" customFormat="1" ht="35.1" customHeight="1" x14ac:dyDescent="0.25">
      <c r="A63" s="215"/>
      <c r="B63" s="265" t="s">
        <v>1071</v>
      </c>
      <c r="C63" s="245" t="s">
        <v>1072</v>
      </c>
      <c r="D63" s="260"/>
      <c r="E63" s="246"/>
      <c r="F63" s="246"/>
      <c r="G63" s="246"/>
      <c r="H63" s="252">
        <v>0</v>
      </c>
      <c r="I63" s="243">
        <f t="shared" si="1"/>
        <v>0</v>
      </c>
      <c r="J63" s="8"/>
      <c r="K63" s="8">
        <f t="shared" si="8"/>
        <v>0</v>
      </c>
      <c r="L63" s="8">
        <f t="shared" si="3"/>
        <v>0</v>
      </c>
      <c r="M63" s="9" t="str">
        <f t="array" ref="M63">_xlfn.XLOOKUP(C63,'Neiva 2022 FASE I ACTUAL (5)'!$C$6:$C$540,'Neiva 2022 FASE I ACTUAL (5)'!$C$6:$F$540,"NO ESTA")</f>
        <v>NO ESTA</v>
      </c>
      <c r="Q63" s="124">
        <f t="shared" si="6"/>
        <v>0</v>
      </c>
      <c r="R63" s="155">
        <f t="shared" si="0"/>
        <v>0</v>
      </c>
      <c r="S63" s="156">
        <f t="shared" si="4"/>
        <v>0</v>
      </c>
      <c r="T63" s="156">
        <f t="shared" si="5"/>
        <v>0</v>
      </c>
    </row>
    <row r="64" spans="1:20" s="9" customFormat="1" ht="50.45" customHeight="1" x14ac:dyDescent="0.25">
      <c r="A64" s="215"/>
      <c r="B64" s="255" t="s">
        <v>1073</v>
      </c>
      <c r="C64" s="254" t="s">
        <v>103</v>
      </c>
      <c r="D64" s="255" t="s">
        <v>13</v>
      </c>
      <c r="E64" s="242">
        <v>51.89</v>
      </c>
      <c r="F64" s="242">
        <v>59.86</v>
      </c>
      <c r="G64" s="242">
        <v>111.75</v>
      </c>
      <c r="H64" s="243">
        <v>74019</v>
      </c>
      <c r="I64" s="243">
        <f t="shared" si="1"/>
        <v>8271623.25</v>
      </c>
      <c r="J64" s="8"/>
      <c r="K64" s="8">
        <f t="shared" si="8"/>
        <v>74019</v>
      </c>
      <c r="L64" s="8">
        <f t="shared" si="3"/>
        <v>3840845.91</v>
      </c>
      <c r="M64" s="9" t="str">
        <f t="array" ref="M64:P64">_xlfn.XLOOKUP(C64,'Neiva 2022 FASE I ACTUAL (5)'!$C$6:$C$540,'Neiva 2022 FASE I ACTUAL (5)'!$C$6:$F$540,"NO ESTA")</f>
        <v>SUMINISTRO E INSTALACION CIELO RASO EN DRYWALL LAMINA VERDE RH  PINTADO A 3 MANOS PINTURA VINILO TIPO 1 o similar  BLANCA Ref. Planos 09512</v>
      </c>
      <c r="N64" s="9" t="str">
        <v>M2</v>
      </c>
      <c r="O64" s="9">
        <v>59.86</v>
      </c>
      <c r="P64" s="9">
        <v>43820</v>
      </c>
      <c r="Q64" s="124" t="str">
        <f t="shared" si="6"/>
        <v>FASE II</v>
      </c>
      <c r="R64" s="155">
        <f t="shared" si="0"/>
        <v>111.75</v>
      </c>
      <c r="S64" s="156">
        <f t="shared" si="4"/>
        <v>74019</v>
      </c>
      <c r="T64" s="156">
        <f t="shared" si="5"/>
        <v>8271623.25</v>
      </c>
    </row>
    <row r="65" spans="1:20" s="9" customFormat="1" ht="35.1" customHeight="1" x14ac:dyDescent="0.25">
      <c r="A65" s="215"/>
      <c r="B65" s="255" t="s">
        <v>1074</v>
      </c>
      <c r="C65" s="254" t="s">
        <v>105</v>
      </c>
      <c r="D65" s="255" t="s">
        <v>13</v>
      </c>
      <c r="E65" s="242">
        <v>1250.28</v>
      </c>
      <c r="F65" s="242">
        <v>388.43</v>
      </c>
      <c r="G65" s="242">
        <v>1638.71</v>
      </c>
      <c r="H65" s="243">
        <v>70094</v>
      </c>
      <c r="I65" s="243">
        <f t="shared" si="1"/>
        <v>114863738.73999999</v>
      </c>
      <c r="J65" s="8"/>
      <c r="K65" s="8">
        <f t="shared" si="8"/>
        <v>70094</v>
      </c>
      <c r="L65" s="8">
        <f t="shared" si="3"/>
        <v>87637126.319999993</v>
      </c>
      <c r="M65" s="9" t="str">
        <f t="array" ref="M65:P65">_xlfn.XLOOKUP(C65,'Neiva 2022 FASE I ACTUAL (5)'!$C$6:$C$540,'Neiva 2022 FASE I ACTUAL (5)'!$C$6:$F$540,"NO ESTA")</f>
        <v>SUMINISTRO E INSTALACION CIELO RASO EN DRYWALL LAMINA BLANCA PINTADO A 3 MANOS PINTURA VINILO TIPO 1  BLANCA Ref. Planos 09511</v>
      </c>
      <c r="N65" s="9" t="str">
        <v>M2</v>
      </c>
      <c r="O65" s="9">
        <v>388.43</v>
      </c>
      <c r="P65" s="9">
        <v>43820</v>
      </c>
      <c r="Q65" s="124" t="str">
        <f t="shared" si="6"/>
        <v>FASE II</v>
      </c>
      <c r="R65" s="155">
        <f t="shared" si="0"/>
        <v>1638.71</v>
      </c>
      <c r="S65" s="156">
        <f t="shared" si="4"/>
        <v>70094</v>
      </c>
      <c r="T65" s="156">
        <f t="shared" si="5"/>
        <v>114863738.73999999</v>
      </c>
    </row>
    <row r="66" spans="1:20" s="9" customFormat="1" ht="35.1" customHeight="1" x14ac:dyDescent="0.25">
      <c r="A66" s="215"/>
      <c r="B66" s="255" t="s">
        <v>1075</v>
      </c>
      <c r="C66" s="254" t="s">
        <v>1076</v>
      </c>
      <c r="D66" s="255" t="s">
        <v>94</v>
      </c>
      <c r="E66" s="242">
        <v>250.05600000000001</v>
      </c>
      <c r="F66" s="242"/>
      <c r="G66" s="242">
        <v>250.05600000000001</v>
      </c>
      <c r="H66" s="243">
        <v>17794</v>
      </c>
      <c r="I66" s="243">
        <f t="shared" si="1"/>
        <v>4449496.46</v>
      </c>
      <c r="J66" s="8"/>
      <c r="K66" s="8">
        <f t="shared" si="8"/>
        <v>17794</v>
      </c>
      <c r="L66" s="8">
        <f t="shared" si="3"/>
        <v>4449496.4640000006</v>
      </c>
      <c r="M66" s="9" t="str">
        <f t="array" ref="M66">_xlfn.XLOOKUP(C66,'Neiva 2022 FASE I ACTUAL (5)'!$C$6:$C$540,'Neiva 2022 FASE I ACTUAL (5)'!$C$6:$F$540,"NO ESTA")</f>
        <v>NO ESTA</v>
      </c>
      <c r="Q66" s="124">
        <f t="shared" si="6"/>
        <v>0</v>
      </c>
      <c r="R66" s="155">
        <f t="shared" si="0"/>
        <v>250.05600000000001</v>
      </c>
      <c r="S66" s="156">
        <f t="shared" si="4"/>
        <v>17794</v>
      </c>
      <c r="T66" s="156">
        <f t="shared" si="5"/>
        <v>4449496.46</v>
      </c>
    </row>
    <row r="67" spans="1:20" s="9" customFormat="1" ht="35.1" customHeight="1" x14ac:dyDescent="0.25">
      <c r="A67" s="215"/>
      <c r="B67" s="255" t="s">
        <v>1077</v>
      </c>
      <c r="C67" s="254" t="s">
        <v>1078</v>
      </c>
      <c r="D67" s="255" t="s">
        <v>13</v>
      </c>
      <c r="E67" s="242">
        <v>149.82</v>
      </c>
      <c r="F67" s="242"/>
      <c r="G67" s="242">
        <v>149.82</v>
      </c>
      <c r="H67" s="243">
        <v>48848</v>
      </c>
      <c r="I67" s="243">
        <f t="shared" si="1"/>
        <v>7318407.3600000003</v>
      </c>
      <c r="J67" s="8"/>
      <c r="K67" s="8">
        <f t="shared" si="8"/>
        <v>48848</v>
      </c>
      <c r="L67" s="8">
        <f t="shared" si="3"/>
        <v>7318407.3599999994</v>
      </c>
      <c r="M67" s="9" t="str">
        <f t="array" ref="M67">_xlfn.XLOOKUP(C67,'Neiva 2022 FASE I ACTUAL (5)'!$C$6:$C$540,'Neiva 2022 FASE I ACTUAL (5)'!$C$6:$F$540,"NO ESTA")</f>
        <v>NO ESTA</v>
      </c>
      <c r="Q67" s="124">
        <f t="shared" si="6"/>
        <v>0</v>
      </c>
      <c r="R67" s="155">
        <f t="shared" si="0"/>
        <v>149.82</v>
      </c>
      <c r="S67" s="156">
        <f t="shared" si="4"/>
        <v>48848</v>
      </c>
      <c r="T67" s="156">
        <f t="shared" si="5"/>
        <v>7318407.3600000003</v>
      </c>
    </row>
    <row r="68" spans="1:20" s="9" customFormat="1" ht="35.1" customHeight="1" x14ac:dyDescent="0.25">
      <c r="A68" s="215"/>
      <c r="B68" s="247">
        <v>5</v>
      </c>
      <c r="C68" s="248" t="s">
        <v>106</v>
      </c>
      <c r="D68" s="248"/>
      <c r="E68" s="249"/>
      <c r="F68" s="249"/>
      <c r="G68" s="249"/>
      <c r="H68" s="250">
        <v>0</v>
      </c>
      <c r="I68" s="243">
        <f t="shared" si="1"/>
        <v>0</v>
      </c>
      <c r="J68" s="8"/>
      <c r="K68" s="8">
        <f t="shared" si="8"/>
        <v>0</v>
      </c>
      <c r="L68" s="8">
        <f t="shared" si="3"/>
        <v>0</v>
      </c>
      <c r="M68" s="9" t="str">
        <f t="array" ref="M68:P68">_xlfn.XLOOKUP(C68,'Neiva 2022 FASE I ACTUAL (5)'!$C$6:$C$540,'Neiva 2022 FASE I ACTUAL (5)'!$C$6:$F$540,"NO ESTA")</f>
        <v>CONSTRUCCIÓN DE MUROS ARQUITECTONICOS</v>
      </c>
      <c r="N68" s="9">
        <v>0</v>
      </c>
      <c r="O68" s="9">
        <v>0</v>
      </c>
      <c r="P68" s="9">
        <v>0</v>
      </c>
      <c r="Q68" s="124">
        <f t="shared" si="6"/>
        <v>0</v>
      </c>
      <c r="R68" s="155">
        <f t="shared" si="0"/>
        <v>0</v>
      </c>
      <c r="S68" s="156">
        <f t="shared" si="4"/>
        <v>0</v>
      </c>
      <c r="T68" s="156">
        <f t="shared" si="5"/>
        <v>0</v>
      </c>
    </row>
    <row r="69" spans="1:20" s="9" customFormat="1" ht="35.1" customHeight="1" x14ac:dyDescent="0.25">
      <c r="A69" s="215"/>
      <c r="B69" s="244" t="s">
        <v>107</v>
      </c>
      <c r="C69" s="256" t="s">
        <v>108</v>
      </c>
      <c r="D69" s="256"/>
      <c r="E69" s="246"/>
      <c r="F69" s="246"/>
      <c r="G69" s="246"/>
      <c r="H69" s="252">
        <v>0</v>
      </c>
      <c r="I69" s="243">
        <f t="shared" si="1"/>
        <v>0</v>
      </c>
      <c r="J69" s="8"/>
      <c r="K69" s="8">
        <f t="shared" si="8"/>
        <v>0</v>
      </c>
      <c r="L69" s="8">
        <f t="shared" si="3"/>
        <v>0</v>
      </c>
      <c r="M69" s="9" t="str">
        <f t="array" ref="M69:P69">_xlfn.XLOOKUP(C69,'Neiva 2022 FASE I ACTUAL (5)'!$C$6:$C$540,'Neiva 2022 FASE I ACTUAL (5)'!$C$6:$F$540,"NO ESTA")</f>
        <v>CONSTRUCCIÓN MUROS ARQUITECTONICOS SEMISOTANO</v>
      </c>
      <c r="N69" s="9">
        <v>0</v>
      </c>
      <c r="O69" s="9">
        <v>0</v>
      </c>
      <c r="P69" s="9">
        <v>0</v>
      </c>
      <c r="Q69" s="124">
        <f t="shared" si="6"/>
        <v>0</v>
      </c>
      <c r="R69" s="155">
        <f t="shared" si="0"/>
        <v>0</v>
      </c>
      <c r="S69" s="156">
        <f t="shared" si="4"/>
        <v>0</v>
      </c>
      <c r="T69" s="156">
        <f t="shared" si="5"/>
        <v>0</v>
      </c>
    </row>
    <row r="70" spans="1:20" s="9" customFormat="1" ht="35.1" customHeight="1" x14ac:dyDescent="0.25">
      <c r="A70" s="215"/>
      <c r="B70" s="255" t="s">
        <v>109</v>
      </c>
      <c r="C70" s="241" t="s">
        <v>110</v>
      </c>
      <c r="D70" s="240" t="s">
        <v>30</v>
      </c>
      <c r="E70" s="242">
        <v>0</v>
      </c>
      <c r="F70" s="242">
        <v>0.73</v>
      </c>
      <c r="G70" s="242">
        <v>0.73</v>
      </c>
      <c r="H70" s="243">
        <v>833964</v>
      </c>
      <c r="I70" s="243">
        <f t="shared" si="1"/>
        <v>608793.72</v>
      </c>
      <c r="J70" s="8"/>
      <c r="K70" s="8">
        <f t="shared" si="8"/>
        <v>833964</v>
      </c>
      <c r="L70" s="8">
        <f t="shared" si="3"/>
        <v>0</v>
      </c>
      <c r="M70" s="9" t="str">
        <f t="array" ref="M70:P70">_xlfn.XLOOKUP(C70,'Neiva 2022 FASE I ACTUAL (5)'!$C$6:$C$540,'Neiva 2022 FASE I ACTUAL (5)'!$C$6:$F$540,"NO ESTA")</f>
        <v>MURO EN CONCRETO DE 4000 PSI e=0.12 m Ver. Planos Tipo Muro M-1</v>
      </c>
      <c r="N70" s="9" t="str">
        <v>M3</v>
      </c>
      <c r="O70" s="9">
        <v>0.73</v>
      </c>
      <c r="P70" s="9">
        <v>724119</v>
      </c>
      <c r="Q70" s="124" t="str">
        <f t="shared" si="6"/>
        <v>FASE II</v>
      </c>
      <c r="R70" s="155">
        <f t="shared" ref="R70:R133" si="9">E70+O70</f>
        <v>0.73</v>
      </c>
      <c r="S70" s="156">
        <f t="shared" si="4"/>
        <v>833964</v>
      </c>
      <c r="T70" s="156">
        <f t="shared" si="5"/>
        <v>608793.72</v>
      </c>
    </row>
    <row r="71" spans="1:20" s="9" customFormat="1" ht="35.1" customHeight="1" x14ac:dyDescent="0.25">
      <c r="A71" s="215"/>
      <c r="B71" s="255" t="s">
        <v>111</v>
      </c>
      <c r="C71" s="241" t="s">
        <v>112</v>
      </c>
      <c r="D71" s="240" t="s">
        <v>30</v>
      </c>
      <c r="E71" s="242">
        <v>11.33</v>
      </c>
      <c r="F71" s="242">
        <v>11.33</v>
      </c>
      <c r="G71" s="242">
        <v>22.66</v>
      </c>
      <c r="H71" s="243">
        <v>833964</v>
      </c>
      <c r="I71" s="243">
        <f t="shared" ref="I71:I134" si="10">ROUND(+H71*G71,2)</f>
        <v>18897624.239999998</v>
      </c>
      <c r="J71" s="8"/>
      <c r="K71" s="8">
        <f t="shared" si="8"/>
        <v>833964</v>
      </c>
      <c r="L71" s="8">
        <f t="shared" ref="L71:L134" si="11">+K71*E71</f>
        <v>9448812.1199999992</v>
      </c>
      <c r="M71" s="9" t="str">
        <f t="array" ref="M71:P71">_xlfn.XLOOKUP(C71,'Neiva 2022 FASE I ACTUAL (5)'!$C$6:$C$540,'Neiva 2022 FASE I ACTUAL (5)'!$C$6:$F$540,"NO ESTA")</f>
        <v>MURO EN CONCRETO DE 4000 PSI e=0.15 m Ver. Planos Tipo Muro M-2</v>
      </c>
      <c r="N71" s="9" t="str">
        <v>M3</v>
      </c>
      <c r="O71" s="9">
        <v>11.33</v>
      </c>
      <c r="P71" s="9">
        <v>724119</v>
      </c>
      <c r="Q71" s="124" t="str">
        <f t="shared" si="6"/>
        <v>FASE II</v>
      </c>
      <c r="R71" s="155">
        <f t="shared" si="9"/>
        <v>22.66</v>
      </c>
      <c r="S71" s="156">
        <f t="shared" ref="S71:S134" si="12">MAX(P71,H71,K71)</f>
        <v>833964</v>
      </c>
      <c r="T71" s="156">
        <f t="shared" ref="T71:T134" si="13">ROUND(R71*S71,2)</f>
        <v>18897624.239999998</v>
      </c>
    </row>
    <row r="72" spans="1:20" s="9" customFormat="1" ht="35.1" customHeight="1" x14ac:dyDescent="0.25">
      <c r="A72" s="215"/>
      <c r="B72" s="255" t="s">
        <v>113</v>
      </c>
      <c r="C72" s="241" t="s">
        <v>114</v>
      </c>
      <c r="D72" s="240" t="s">
        <v>30</v>
      </c>
      <c r="E72" s="242">
        <v>95.594999999999999</v>
      </c>
      <c r="F72" s="242">
        <v>95.6</v>
      </c>
      <c r="G72" s="242">
        <v>191.19499999999999</v>
      </c>
      <c r="H72" s="243">
        <v>833964</v>
      </c>
      <c r="I72" s="243">
        <f t="shared" si="10"/>
        <v>159449746.97999999</v>
      </c>
      <c r="J72" s="8"/>
      <c r="K72" s="8">
        <f t="shared" si="8"/>
        <v>833964</v>
      </c>
      <c r="L72" s="8">
        <f t="shared" si="11"/>
        <v>79722788.579999998</v>
      </c>
      <c r="M72" s="9" t="str">
        <f t="array" ref="M72:P72">_xlfn.XLOOKUP(C72,'Neiva 2022 FASE I ACTUAL (5)'!$C$6:$C$540,'Neiva 2022 FASE I ACTUAL (5)'!$C$6:$F$540,"NO ESTA")</f>
        <v>MURO EN CONCRETO DE 4000 PSI e=0.25 m Ver. Planos Tipo Muro M-3</v>
      </c>
      <c r="N72" s="9" t="str">
        <v>M3</v>
      </c>
      <c r="O72" s="9">
        <v>95.6</v>
      </c>
      <c r="P72" s="9">
        <v>724119</v>
      </c>
      <c r="Q72" s="124" t="str">
        <f t="shared" ref="Q72:Q135" si="14">IF(P72=0,0,(IF(H72&lt;P72, "FASE I","FASE II")))</f>
        <v>FASE II</v>
      </c>
      <c r="R72" s="155">
        <f t="shared" si="9"/>
        <v>191.19499999999999</v>
      </c>
      <c r="S72" s="156">
        <f t="shared" si="12"/>
        <v>833964</v>
      </c>
      <c r="T72" s="156">
        <f t="shared" si="13"/>
        <v>159449746.97999999</v>
      </c>
    </row>
    <row r="73" spans="1:20" s="9" customFormat="1" ht="35.1" customHeight="1" x14ac:dyDescent="0.25">
      <c r="A73" s="215"/>
      <c r="B73" s="255" t="s">
        <v>115</v>
      </c>
      <c r="C73" s="241" t="s">
        <v>116</v>
      </c>
      <c r="D73" s="240" t="s">
        <v>30</v>
      </c>
      <c r="E73" s="242">
        <v>20.12</v>
      </c>
      <c r="F73" s="242">
        <v>20.12</v>
      </c>
      <c r="G73" s="242">
        <v>40.24</v>
      </c>
      <c r="H73" s="243">
        <v>833964</v>
      </c>
      <c r="I73" s="243">
        <f t="shared" si="10"/>
        <v>33558711.359999999</v>
      </c>
      <c r="J73" s="8"/>
      <c r="K73" s="8">
        <f t="shared" si="8"/>
        <v>833964</v>
      </c>
      <c r="L73" s="8">
        <f t="shared" si="11"/>
        <v>16779355.68</v>
      </c>
      <c r="M73" s="9" t="str">
        <f t="array" ref="M73:P73">_xlfn.XLOOKUP(C73,'Neiva 2022 FASE I ACTUAL (5)'!$C$6:$C$540,'Neiva 2022 FASE I ACTUAL (5)'!$C$6:$F$540,"NO ESTA")</f>
        <v>MURO EN CONCRETO DE 4000 PSI e=0.30 m Ver. Planos Tipo Muro M-4</v>
      </c>
      <c r="N73" s="9" t="str">
        <v>M3</v>
      </c>
      <c r="O73" s="9">
        <v>20.12</v>
      </c>
      <c r="P73" s="9">
        <v>724119</v>
      </c>
      <c r="Q73" s="124" t="str">
        <f t="shared" si="14"/>
        <v>FASE II</v>
      </c>
      <c r="R73" s="155">
        <f t="shared" si="9"/>
        <v>40.24</v>
      </c>
      <c r="S73" s="156">
        <f t="shared" si="12"/>
        <v>833964</v>
      </c>
      <c r="T73" s="156">
        <f t="shared" si="13"/>
        <v>33558711.359999999</v>
      </c>
    </row>
    <row r="74" spans="1:20" s="9" customFormat="1" ht="35.1" customHeight="1" x14ac:dyDescent="0.25">
      <c r="A74" s="215"/>
      <c r="B74" s="255" t="s">
        <v>117</v>
      </c>
      <c r="C74" s="241" t="s">
        <v>118</v>
      </c>
      <c r="D74" s="240" t="s">
        <v>30</v>
      </c>
      <c r="E74" s="242">
        <v>80.484999999999999</v>
      </c>
      <c r="F74" s="242">
        <v>80.489999999999995</v>
      </c>
      <c r="G74" s="242">
        <v>160.97499999999999</v>
      </c>
      <c r="H74" s="243">
        <v>833964</v>
      </c>
      <c r="I74" s="243">
        <f t="shared" si="10"/>
        <v>134247354.90000001</v>
      </c>
      <c r="J74" s="8"/>
      <c r="K74" s="8">
        <f t="shared" si="8"/>
        <v>833964</v>
      </c>
      <c r="L74" s="8">
        <f t="shared" si="11"/>
        <v>67121592.540000007</v>
      </c>
      <c r="M74" s="9" t="str">
        <f t="array" ref="M74:P74">_xlfn.XLOOKUP(C74,'Neiva 2022 FASE I ACTUAL (5)'!$C$6:$C$540,'Neiva 2022 FASE I ACTUAL (5)'!$C$6:$F$540,"NO ESTA")</f>
        <v>MURO EN CONCRETO DE 4000 PSI e=0.40 m Ver. Planos Tipo Muro M-5</v>
      </c>
      <c r="N74" s="9" t="str">
        <v>M3</v>
      </c>
      <c r="O74" s="9">
        <v>80.489999999999995</v>
      </c>
      <c r="P74" s="9">
        <v>724119</v>
      </c>
      <c r="Q74" s="124" t="str">
        <f t="shared" si="14"/>
        <v>FASE II</v>
      </c>
      <c r="R74" s="155">
        <f t="shared" si="9"/>
        <v>160.97499999999999</v>
      </c>
      <c r="S74" s="156">
        <f t="shared" si="12"/>
        <v>833964</v>
      </c>
      <c r="T74" s="156">
        <f t="shared" si="13"/>
        <v>134247354.90000001</v>
      </c>
    </row>
    <row r="75" spans="1:20" s="9" customFormat="1" ht="35.1" customHeight="1" x14ac:dyDescent="0.25">
      <c r="A75" s="215"/>
      <c r="B75" s="255" t="s">
        <v>119</v>
      </c>
      <c r="C75" s="241" t="s">
        <v>120</v>
      </c>
      <c r="D75" s="240" t="s">
        <v>13</v>
      </c>
      <c r="E75" s="242">
        <v>79.69</v>
      </c>
      <c r="F75" s="242">
        <v>79.69</v>
      </c>
      <c r="G75" s="242">
        <v>159.38</v>
      </c>
      <c r="H75" s="243">
        <v>153751</v>
      </c>
      <c r="I75" s="243">
        <f t="shared" si="10"/>
        <v>24504834.379999999</v>
      </c>
      <c r="J75" s="8"/>
      <c r="K75" s="8">
        <f t="shared" si="8"/>
        <v>153751</v>
      </c>
      <c r="L75" s="8">
        <f t="shared" si="11"/>
        <v>12252417.189999999</v>
      </c>
      <c r="M75" s="9" t="str">
        <f t="array" ref="M75:P75">_xlfn.XLOOKUP(C75,'Neiva 2022 FASE I ACTUAL (5)'!$C$6:$C$540,'Neiva 2022 FASE I ACTUAL (5)'!$C$6:$F$540,"NO ESTA")</f>
        <v>MURO EN LADRILLO GRAN FORMATO e= 0.12 m Ref. Tierra Ver. Planos Tipo Muro M-6</v>
      </c>
      <c r="N75" s="9" t="str">
        <v>M2</v>
      </c>
      <c r="O75" s="9">
        <v>79.69</v>
      </c>
      <c r="P75" s="9">
        <v>153751</v>
      </c>
      <c r="Q75" s="124" t="str">
        <f t="shared" si="14"/>
        <v>FASE II</v>
      </c>
      <c r="R75" s="155">
        <f t="shared" si="9"/>
        <v>159.38</v>
      </c>
      <c r="S75" s="156">
        <f t="shared" si="12"/>
        <v>153751</v>
      </c>
      <c r="T75" s="156">
        <f t="shared" si="13"/>
        <v>24504834.379999999</v>
      </c>
    </row>
    <row r="76" spans="1:20" s="9" customFormat="1" ht="35.1" customHeight="1" x14ac:dyDescent="0.25">
      <c r="A76" s="215"/>
      <c r="B76" s="255" t="s">
        <v>121</v>
      </c>
      <c r="C76" s="254" t="s">
        <v>122</v>
      </c>
      <c r="D76" s="255" t="s">
        <v>13</v>
      </c>
      <c r="E76" s="242">
        <v>21.32</v>
      </c>
      <c r="F76" s="242">
        <v>21.32</v>
      </c>
      <c r="G76" s="242">
        <v>42.64</v>
      </c>
      <c r="H76" s="243">
        <v>307503</v>
      </c>
      <c r="I76" s="243">
        <f t="shared" si="10"/>
        <v>13111927.92</v>
      </c>
      <c r="J76" s="8"/>
      <c r="K76" s="8">
        <f t="shared" si="8"/>
        <v>307503</v>
      </c>
      <c r="L76" s="8">
        <f t="shared" si="11"/>
        <v>6555963.96</v>
      </c>
      <c r="M76" s="9" t="str">
        <f t="array" ref="M76:P76">_xlfn.XLOOKUP(C76,'Neiva 2022 FASE I ACTUAL (5)'!$C$6:$C$540,'Neiva 2022 FASE I ACTUAL (5)'!$C$6:$F$540,"NO ESTA")</f>
        <v xml:space="preserve">MURO EN LADRILLO GRAN FORMATO e= 0.25 m Ref. Tierra Ver. Planos Tipo Muro M-7 </v>
      </c>
      <c r="N76" s="9" t="str">
        <v>M2</v>
      </c>
      <c r="O76" s="9">
        <v>21.32</v>
      </c>
      <c r="P76" s="9">
        <v>307503</v>
      </c>
      <c r="Q76" s="124" t="str">
        <f t="shared" si="14"/>
        <v>FASE II</v>
      </c>
      <c r="R76" s="155">
        <f t="shared" si="9"/>
        <v>42.64</v>
      </c>
      <c r="S76" s="156">
        <f t="shared" si="12"/>
        <v>307503</v>
      </c>
      <c r="T76" s="156">
        <f t="shared" si="13"/>
        <v>13111927.92</v>
      </c>
    </row>
    <row r="77" spans="1:20" s="9" customFormat="1" ht="35.1" customHeight="1" x14ac:dyDescent="0.25">
      <c r="A77" s="215"/>
      <c r="B77" s="244" t="s">
        <v>123</v>
      </c>
      <c r="C77" s="256" t="s">
        <v>124</v>
      </c>
      <c r="D77" s="256"/>
      <c r="E77" s="246"/>
      <c r="F77" s="246"/>
      <c r="G77" s="246"/>
      <c r="H77" s="246">
        <v>0</v>
      </c>
      <c r="I77" s="243">
        <f t="shared" si="10"/>
        <v>0</v>
      </c>
      <c r="J77" s="8"/>
      <c r="K77" s="8">
        <f t="shared" si="8"/>
        <v>0</v>
      </c>
      <c r="L77" s="8">
        <f t="shared" si="11"/>
        <v>0</v>
      </c>
      <c r="M77" s="9" t="str">
        <f t="array" ref="M77:P77">_xlfn.XLOOKUP(C77,'Neiva 2022 FASE I ACTUAL (5)'!$C$6:$C$540,'Neiva 2022 FASE I ACTUAL (5)'!$C$6:$F$540,"NO ESTA")</f>
        <v>CONSTRUCCIÓN MUROS ARQUITECTONICOS EXTERIORES</v>
      </c>
      <c r="N77" s="9">
        <v>0</v>
      </c>
      <c r="O77" s="9">
        <v>0</v>
      </c>
      <c r="P77" s="9">
        <v>0</v>
      </c>
      <c r="Q77" s="124">
        <f t="shared" si="14"/>
        <v>0</v>
      </c>
      <c r="R77" s="155">
        <f t="shared" si="9"/>
        <v>0</v>
      </c>
      <c r="S77" s="156">
        <f t="shared" si="12"/>
        <v>0</v>
      </c>
      <c r="T77" s="156">
        <f t="shared" si="13"/>
        <v>0</v>
      </c>
    </row>
    <row r="78" spans="1:20" s="9" customFormat="1" ht="35.1" customHeight="1" x14ac:dyDescent="0.25">
      <c r="A78" s="215"/>
      <c r="B78" s="255" t="s">
        <v>125</v>
      </c>
      <c r="C78" s="241" t="s">
        <v>1079</v>
      </c>
      <c r="D78" s="240" t="s">
        <v>30</v>
      </c>
      <c r="E78" s="242">
        <v>0</v>
      </c>
      <c r="F78" s="242"/>
      <c r="G78" s="242">
        <v>0</v>
      </c>
      <c r="H78" s="243">
        <v>833964</v>
      </c>
      <c r="I78" s="243">
        <f t="shared" si="10"/>
        <v>0</v>
      </c>
      <c r="J78" s="8"/>
      <c r="K78" s="8">
        <f t="shared" si="8"/>
        <v>833964</v>
      </c>
      <c r="L78" s="8">
        <f t="shared" si="11"/>
        <v>0</v>
      </c>
      <c r="M78" s="9" t="str">
        <f t="array" ref="M78">_xlfn.XLOOKUP(C78,'Neiva 2022 FASE I ACTUAL (5)'!$C$6:$C$540,'Neiva 2022 FASE I ACTUAL (5)'!$C$6:$F$540,"NO ESTA")</f>
        <v>NO ESTA</v>
      </c>
      <c r="Q78" s="124">
        <f t="shared" si="14"/>
        <v>0</v>
      </c>
      <c r="R78" s="155">
        <f t="shared" si="9"/>
        <v>0</v>
      </c>
      <c r="S78" s="156">
        <f t="shared" si="12"/>
        <v>833964</v>
      </c>
      <c r="T78" s="156">
        <f t="shared" si="13"/>
        <v>0</v>
      </c>
    </row>
    <row r="79" spans="1:20" s="9" customFormat="1" ht="35.1" customHeight="1" x14ac:dyDescent="0.25">
      <c r="A79" s="215"/>
      <c r="B79" s="255" t="s">
        <v>126</v>
      </c>
      <c r="C79" s="241" t="s">
        <v>1080</v>
      </c>
      <c r="D79" s="240" t="s">
        <v>30</v>
      </c>
      <c r="E79" s="242">
        <v>0</v>
      </c>
      <c r="F79" s="242"/>
      <c r="G79" s="242">
        <v>0</v>
      </c>
      <c r="H79" s="243">
        <v>833964</v>
      </c>
      <c r="I79" s="243">
        <f t="shared" si="10"/>
        <v>0</v>
      </c>
      <c r="J79" s="8"/>
      <c r="K79" s="8">
        <f t="shared" si="8"/>
        <v>833964</v>
      </c>
      <c r="L79" s="8">
        <f t="shared" si="11"/>
        <v>0</v>
      </c>
      <c r="M79" s="9" t="str">
        <f t="array" ref="M79">_xlfn.XLOOKUP(C79,'Neiva 2022 FASE I ACTUAL (5)'!$C$6:$C$540,'Neiva 2022 FASE I ACTUAL (5)'!$C$6:$F$540,"NO ESTA")</f>
        <v>NO ESTA</v>
      </c>
      <c r="Q79" s="124">
        <f t="shared" si="14"/>
        <v>0</v>
      </c>
      <c r="R79" s="155">
        <f t="shared" si="9"/>
        <v>0</v>
      </c>
      <c r="S79" s="156">
        <f t="shared" si="12"/>
        <v>833964</v>
      </c>
      <c r="T79" s="156">
        <f t="shared" si="13"/>
        <v>0</v>
      </c>
    </row>
    <row r="80" spans="1:20" s="9" customFormat="1" ht="35.1" customHeight="1" x14ac:dyDescent="0.25">
      <c r="A80" s="215"/>
      <c r="B80" s="244" t="s">
        <v>127</v>
      </c>
      <c r="C80" s="245" t="s">
        <v>128</v>
      </c>
      <c r="D80" s="244"/>
      <c r="E80" s="246"/>
      <c r="F80" s="246"/>
      <c r="G80" s="246"/>
      <c r="H80" s="252">
        <v>0</v>
      </c>
      <c r="I80" s="243">
        <f t="shared" si="10"/>
        <v>0</v>
      </c>
      <c r="J80" s="8"/>
      <c r="K80" s="8">
        <f t="shared" si="8"/>
        <v>0</v>
      </c>
      <c r="L80" s="8">
        <f t="shared" si="11"/>
        <v>0</v>
      </c>
      <c r="M80" s="9" t="str">
        <f t="array" ref="M80:P80">_xlfn.XLOOKUP(C80,'Neiva 2022 FASE I ACTUAL (5)'!$C$6:$C$540,'Neiva 2022 FASE I ACTUAL (5)'!$C$6:$F$540,"NO ESTA")</f>
        <v>CONSTRUCCIÓN MUROS ARQUITECTONICOS PISO 1</v>
      </c>
      <c r="N80" s="9">
        <v>0</v>
      </c>
      <c r="O80" s="9">
        <v>0</v>
      </c>
      <c r="P80" s="9">
        <v>0</v>
      </c>
      <c r="Q80" s="124">
        <f t="shared" si="14"/>
        <v>0</v>
      </c>
      <c r="R80" s="155">
        <f t="shared" si="9"/>
        <v>0</v>
      </c>
      <c r="S80" s="156">
        <f t="shared" si="12"/>
        <v>0</v>
      </c>
      <c r="T80" s="156">
        <f t="shared" si="13"/>
        <v>0</v>
      </c>
    </row>
    <row r="81" spans="1:20" s="9" customFormat="1" ht="35.1" customHeight="1" x14ac:dyDescent="0.25">
      <c r="A81" s="215"/>
      <c r="B81" s="255" t="s">
        <v>129</v>
      </c>
      <c r="C81" s="87" t="s">
        <v>130</v>
      </c>
      <c r="D81" s="240" t="s">
        <v>13</v>
      </c>
      <c r="E81" s="242">
        <v>91.915000000000006</v>
      </c>
      <c r="F81" s="242">
        <v>91.92</v>
      </c>
      <c r="G81" s="242">
        <v>183.83500000000001</v>
      </c>
      <c r="H81" s="243">
        <v>110927</v>
      </c>
      <c r="I81" s="243">
        <f t="shared" si="10"/>
        <v>20392265.050000001</v>
      </c>
      <c r="J81" s="8"/>
      <c r="K81" s="8">
        <f t="shared" si="8"/>
        <v>110927</v>
      </c>
      <c r="L81" s="8">
        <f t="shared" si="11"/>
        <v>10195855.205</v>
      </c>
      <c r="M81" s="9" t="str">
        <f t="array" ref="M81:P81">_xlfn.XLOOKUP(C81,'Neiva 2022 FASE I ACTUAL (5)'!$C$6:$C$540,'Neiva 2022 FASE I ACTUAL (5)'!$C$6:$F$540,"NO ESTA")</f>
        <v>ENCHAPE DE MURO BAÑOS PORCELANATO GRIS 30*40CM</v>
      </c>
      <c r="N81" s="9" t="str">
        <v>M2</v>
      </c>
      <c r="O81" s="9">
        <v>91.92</v>
      </c>
      <c r="P81" s="9">
        <v>110927</v>
      </c>
      <c r="Q81" s="124" t="str">
        <f t="shared" si="14"/>
        <v>FASE II</v>
      </c>
      <c r="R81" s="155">
        <f t="shared" si="9"/>
        <v>183.83500000000001</v>
      </c>
      <c r="S81" s="156">
        <f t="shared" si="12"/>
        <v>110927</v>
      </c>
      <c r="T81" s="156">
        <f t="shared" si="13"/>
        <v>20392265.050000001</v>
      </c>
    </row>
    <row r="82" spans="1:20" s="9" customFormat="1" ht="35.1" customHeight="1" x14ac:dyDescent="0.25">
      <c r="A82" s="215"/>
      <c r="B82" s="255" t="s">
        <v>131</v>
      </c>
      <c r="C82" s="87" t="s">
        <v>112</v>
      </c>
      <c r="D82" s="240" t="s">
        <v>30</v>
      </c>
      <c r="E82" s="242">
        <v>29.659999999999997</v>
      </c>
      <c r="F82" s="242">
        <v>11.33</v>
      </c>
      <c r="G82" s="242">
        <v>40.989999999999995</v>
      </c>
      <c r="H82" s="243">
        <v>833964</v>
      </c>
      <c r="I82" s="243">
        <f t="shared" si="10"/>
        <v>34184184.359999999</v>
      </c>
      <c r="J82" s="8"/>
      <c r="K82" s="8">
        <f t="shared" si="8"/>
        <v>833964</v>
      </c>
      <c r="L82" s="8">
        <f t="shared" si="11"/>
        <v>24735372.239999998</v>
      </c>
      <c r="M82" s="9" t="str">
        <f t="array" ref="M82:P82">_xlfn.XLOOKUP(C82,'Neiva 2022 FASE I ACTUAL (5)'!$C$6:$C$540,'Neiva 2022 FASE I ACTUAL (5)'!$C$6:$F$540,"NO ESTA")</f>
        <v>MURO EN CONCRETO DE 4000 PSI e=0.15 m Ver. Planos Tipo Muro M-2</v>
      </c>
      <c r="N82" s="9" t="str">
        <v>M3</v>
      </c>
      <c r="O82" s="9">
        <v>11.33</v>
      </c>
      <c r="P82" s="9">
        <v>724119</v>
      </c>
      <c r="Q82" s="124" t="str">
        <f t="shared" si="14"/>
        <v>FASE II</v>
      </c>
      <c r="R82" s="155">
        <f t="shared" si="9"/>
        <v>40.989999999999995</v>
      </c>
      <c r="S82" s="156">
        <f t="shared" si="12"/>
        <v>833964</v>
      </c>
      <c r="T82" s="156">
        <f t="shared" si="13"/>
        <v>34184184.359999999</v>
      </c>
    </row>
    <row r="83" spans="1:20" s="9" customFormat="1" ht="35.1" customHeight="1" x14ac:dyDescent="0.25">
      <c r="A83" s="215"/>
      <c r="B83" s="255" t="s">
        <v>132</v>
      </c>
      <c r="C83" s="87" t="s">
        <v>114</v>
      </c>
      <c r="D83" s="240" t="s">
        <v>30</v>
      </c>
      <c r="E83" s="242">
        <v>8.76</v>
      </c>
      <c r="F83" s="242">
        <v>95.6</v>
      </c>
      <c r="G83" s="242">
        <v>104.36</v>
      </c>
      <c r="H83" s="243">
        <v>833964</v>
      </c>
      <c r="I83" s="243">
        <f t="shared" si="10"/>
        <v>87032483.040000007</v>
      </c>
      <c r="J83" s="8"/>
      <c r="K83" s="8">
        <f t="shared" si="8"/>
        <v>833964</v>
      </c>
      <c r="L83" s="8">
        <f t="shared" si="11"/>
        <v>7305524.6399999997</v>
      </c>
      <c r="M83" s="9" t="str">
        <f t="array" ref="M83:P83">_xlfn.XLOOKUP(C83,'Neiva 2022 FASE I ACTUAL (5)'!$C$6:$C$540,'Neiva 2022 FASE I ACTUAL (5)'!$C$6:$F$540,"NO ESTA")</f>
        <v>MURO EN CONCRETO DE 4000 PSI e=0.25 m Ver. Planos Tipo Muro M-3</v>
      </c>
      <c r="N83" s="9" t="str">
        <v>M3</v>
      </c>
      <c r="O83" s="9">
        <v>95.6</v>
      </c>
      <c r="P83" s="9">
        <v>724119</v>
      </c>
      <c r="Q83" s="124" t="str">
        <f t="shared" si="14"/>
        <v>FASE II</v>
      </c>
      <c r="R83" s="155">
        <f t="shared" si="9"/>
        <v>104.36</v>
      </c>
      <c r="S83" s="156">
        <f t="shared" si="12"/>
        <v>833964</v>
      </c>
      <c r="T83" s="156">
        <f t="shared" si="13"/>
        <v>87032483.040000007</v>
      </c>
    </row>
    <row r="84" spans="1:20" s="9" customFormat="1" ht="35.1" customHeight="1" x14ac:dyDescent="0.25">
      <c r="A84" s="215"/>
      <c r="B84" s="255" t="s">
        <v>133</v>
      </c>
      <c r="C84" s="87" t="s">
        <v>118</v>
      </c>
      <c r="D84" s="240" t="s">
        <v>30</v>
      </c>
      <c r="E84" s="242">
        <v>54.390000000000008</v>
      </c>
      <c r="F84" s="242">
        <v>80.489999999999995</v>
      </c>
      <c r="G84" s="242">
        <v>134.88</v>
      </c>
      <c r="H84" s="243">
        <v>833964</v>
      </c>
      <c r="I84" s="243">
        <f t="shared" si="10"/>
        <v>112485064.31999999</v>
      </c>
      <c r="J84" s="8"/>
      <c r="K84" s="8">
        <f t="shared" si="8"/>
        <v>833964</v>
      </c>
      <c r="L84" s="8">
        <f t="shared" si="11"/>
        <v>45359301.960000008</v>
      </c>
      <c r="M84" s="9" t="str">
        <f t="array" ref="M84:P84">_xlfn.XLOOKUP(C84,'Neiva 2022 FASE I ACTUAL (5)'!$C$6:$C$540,'Neiva 2022 FASE I ACTUAL (5)'!$C$6:$F$540,"NO ESTA")</f>
        <v>MURO EN CONCRETO DE 4000 PSI e=0.40 m Ver. Planos Tipo Muro M-5</v>
      </c>
      <c r="N84" s="9" t="str">
        <v>M3</v>
      </c>
      <c r="O84" s="9">
        <v>80.489999999999995</v>
      </c>
      <c r="P84" s="9">
        <v>724119</v>
      </c>
      <c r="Q84" s="124" t="str">
        <f t="shared" si="14"/>
        <v>FASE II</v>
      </c>
      <c r="R84" s="155">
        <f t="shared" si="9"/>
        <v>134.88</v>
      </c>
      <c r="S84" s="156">
        <f t="shared" si="12"/>
        <v>833964</v>
      </c>
      <c r="T84" s="156">
        <f t="shared" si="13"/>
        <v>112485064.31999999</v>
      </c>
    </row>
    <row r="85" spans="1:20" s="9" customFormat="1" ht="35.1" customHeight="1" x14ac:dyDescent="0.25">
      <c r="A85" s="215"/>
      <c r="B85" s="255" t="s">
        <v>135</v>
      </c>
      <c r="C85" s="87" t="s">
        <v>120</v>
      </c>
      <c r="D85" s="240" t="s">
        <v>13</v>
      </c>
      <c r="E85" s="242">
        <v>204.56</v>
      </c>
      <c r="F85" s="242">
        <v>79.69</v>
      </c>
      <c r="G85" s="242">
        <v>284.25</v>
      </c>
      <c r="H85" s="243">
        <v>153751</v>
      </c>
      <c r="I85" s="243">
        <f t="shared" si="10"/>
        <v>43703721.75</v>
      </c>
      <c r="J85" s="8"/>
      <c r="K85" s="8">
        <f t="shared" si="8"/>
        <v>153751</v>
      </c>
      <c r="L85" s="8">
        <f t="shared" si="11"/>
        <v>31451304.559999999</v>
      </c>
      <c r="M85" s="9" t="str">
        <f t="array" ref="M85:P85">_xlfn.XLOOKUP(C85,'Neiva 2022 FASE I ACTUAL (5)'!$C$6:$C$540,'Neiva 2022 FASE I ACTUAL (5)'!$C$6:$F$540,"NO ESTA")</f>
        <v>MURO EN LADRILLO GRAN FORMATO e= 0.12 m Ref. Tierra Ver. Planos Tipo Muro M-6</v>
      </c>
      <c r="N85" s="9" t="str">
        <v>M2</v>
      </c>
      <c r="O85" s="9">
        <v>79.69</v>
      </c>
      <c r="P85" s="9">
        <v>153751</v>
      </c>
      <c r="Q85" s="124" t="str">
        <f t="shared" si="14"/>
        <v>FASE II</v>
      </c>
      <c r="R85" s="155">
        <f t="shared" si="9"/>
        <v>284.25</v>
      </c>
      <c r="S85" s="156">
        <f t="shared" si="12"/>
        <v>153751</v>
      </c>
      <c r="T85" s="156">
        <f t="shared" si="13"/>
        <v>43703721.75</v>
      </c>
    </row>
    <row r="86" spans="1:20" s="9" customFormat="1" ht="35.1" customHeight="1" x14ac:dyDescent="0.25">
      <c r="A86" s="215"/>
      <c r="B86" s="255" t="s">
        <v>136</v>
      </c>
      <c r="C86" s="87" t="s">
        <v>122</v>
      </c>
      <c r="D86" s="255" t="s">
        <v>13</v>
      </c>
      <c r="E86" s="242">
        <v>76.37</v>
      </c>
      <c r="F86" s="242">
        <v>21.32</v>
      </c>
      <c r="G86" s="242">
        <v>97.69</v>
      </c>
      <c r="H86" s="243">
        <v>307503</v>
      </c>
      <c r="I86" s="243">
        <f t="shared" si="10"/>
        <v>30039968.07</v>
      </c>
      <c r="J86" s="8"/>
      <c r="K86" s="8">
        <f t="shared" si="8"/>
        <v>307503</v>
      </c>
      <c r="L86" s="8">
        <f t="shared" si="11"/>
        <v>23484004.110000003</v>
      </c>
      <c r="M86" s="9" t="str">
        <f t="array" ref="M86:P86">_xlfn.XLOOKUP(C86,'Neiva 2022 FASE I ACTUAL (5)'!$C$6:$C$540,'Neiva 2022 FASE I ACTUAL (5)'!$C$6:$F$540,"NO ESTA")</f>
        <v xml:space="preserve">MURO EN LADRILLO GRAN FORMATO e= 0.25 m Ref. Tierra Ver. Planos Tipo Muro M-7 </v>
      </c>
      <c r="N86" s="9" t="str">
        <v>M2</v>
      </c>
      <c r="O86" s="9">
        <v>21.32</v>
      </c>
      <c r="P86" s="9">
        <v>307503</v>
      </c>
      <c r="Q86" s="124" t="str">
        <f t="shared" si="14"/>
        <v>FASE II</v>
      </c>
      <c r="R86" s="155">
        <f t="shared" si="9"/>
        <v>97.69</v>
      </c>
      <c r="S86" s="156">
        <f t="shared" si="12"/>
        <v>307503</v>
      </c>
      <c r="T86" s="156">
        <f t="shared" si="13"/>
        <v>30039968.07</v>
      </c>
    </row>
    <row r="87" spans="1:20" s="9" customFormat="1" ht="35.1" customHeight="1" x14ac:dyDescent="0.25">
      <c r="A87" s="215"/>
      <c r="B87" s="244" t="s">
        <v>137</v>
      </c>
      <c r="C87" s="245" t="s">
        <v>138</v>
      </c>
      <c r="D87" s="244"/>
      <c r="E87" s="246"/>
      <c r="F87" s="246"/>
      <c r="G87" s="246"/>
      <c r="H87" s="252">
        <v>0</v>
      </c>
      <c r="I87" s="243">
        <f t="shared" si="10"/>
        <v>0</v>
      </c>
      <c r="J87" s="8"/>
      <c r="K87" s="8">
        <f t="shared" si="8"/>
        <v>0</v>
      </c>
      <c r="L87" s="8">
        <f t="shared" si="11"/>
        <v>0</v>
      </c>
      <c r="M87" s="9" t="str">
        <f t="array" ref="M87:P87">_xlfn.XLOOKUP(C87,'Neiva 2022 FASE I ACTUAL (5)'!$C$6:$C$540,'Neiva 2022 FASE I ACTUAL (5)'!$C$6:$F$540,"NO ESTA")</f>
        <v>CONSTRUCCIÓN MUROS ARQUITECTONICOS PISO 2</v>
      </c>
      <c r="N87" s="9">
        <v>0</v>
      </c>
      <c r="O87" s="9">
        <v>0</v>
      </c>
      <c r="P87" s="9">
        <v>0</v>
      </c>
      <c r="Q87" s="124">
        <f t="shared" si="14"/>
        <v>0</v>
      </c>
      <c r="R87" s="155">
        <f t="shared" si="9"/>
        <v>0</v>
      </c>
      <c r="S87" s="156">
        <f t="shared" si="12"/>
        <v>0</v>
      </c>
      <c r="T87" s="156">
        <f t="shared" si="13"/>
        <v>0</v>
      </c>
    </row>
    <row r="88" spans="1:20" s="9" customFormat="1" ht="35.1" customHeight="1" x14ac:dyDescent="0.25">
      <c r="A88" s="215"/>
      <c r="B88" s="255" t="s">
        <v>139</v>
      </c>
      <c r="C88" s="87" t="s">
        <v>130</v>
      </c>
      <c r="D88" s="240" t="s">
        <v>13</v>
      </c>
      <c r="E88" s="242">
        <v>89.605000000000004</v>
      </c>
      <c r="F88" s="242">
        <v>91.92</v>
      </c>
      <c r="G88" s="242">
        <v>181.52500000000001</v>
      </c>
      <c r="H88" s="243">
        <v>110927</v>
      </c>
      <c r="I88" s="243">
        <f t="shared" si="10"/>
        <v>20136023.68</v>
      </c>
      <c r="J88" s="8"/>
      <c r="K88" s="8">
        <f t="shared" si="8"/>
        <v>110927</v>
      </c>
      <c r="L88" s="8">
        <f t="shared" si="11"/>
        <v>9939613.8350000009</v>
      </c>
      <c r="M88" s="9" t="str">
        <f t="array" ref="M88:P88">_xlfn.XLOOKUP(C88,'Neiva 2022 FASE I ACTUAL (5)'!$C$6:$C$540,'Neiva 2022 FASE I ACTUAL (5)'!$C$6:$F$540,"NO ESTA")</f>
        <v>ENCHAPE DE MURO BAÑOS PORCELANATO GRIS 30*40CM</v>
      </c>
      <c r="N88" s="9" t="str">
        <v>M2</v>
      </c>
      <c r="O88" s="9">
        <v>91.92</v>
      </c>
      <c r="P88" s="9">
        <v>110927</v>
      </c>
      <c r="Q88" s="124" t="str">
        <f t="shared" si="14"/>
        <v>FASE II</v>
      </c>
      <c r="R88" s="155">
        <f t="shared" si="9"/>
        <v>181.52500000000001</v>
      </c>
      <c r="S88" s="156">
        <f t="shared" si="12"/>
        <v>110927</v>
      </c>
      <c r="T88" s="156">
        <f t="shared" si="13"/>
        <v>20136023.68</v>
      </c>
    </row>
    <row r="89" spans="1:20" s="9" customFormat="1" ht="35.1" customHeight="1" x14ac:dyDescent="0.25">
      <c r="A89" s="215"/>
      <c r="B89" s="255" t="s">
        <v>140</v>
      </c>
      <c r="C89" s="87" t="s">
        <v>112</v>
      </c>
      <c r="D89" s="240" t="s">
        <v>30</v>
      </c>
      <c r="E89" s="242">
        <v>1.1200000000000001</v>
      </c>
      <c r="F89" s="242">
        <v>11.33</v>
      </c>
      <c r="G89" s="242">
        <v>12.45</v>
      </c>
      <c r="H89" s="243">
        <v>833964</v>
      </c>
      <c r="I89" s="243">
        <f t="shared" si="10"/>
        <v>10382851.800000001</v>
      </c>
      <c r="J89" s="8"/>
      <c r="K89" s="8">
        <f t="shared" si="8"/>
        <v>833964</v>
      </c>
      <c r="L89" s="8">
        <f t="shared" si="11"/>
        <v>934039.68</v>
      </c>
      <c r="M89" s="9" t="str">
        <f t="array" ref="M89:P89">_xlfn.XLOOKUP(C89,'Neiva 2022 FASE I ACTUAL (5)'!$C$6:$C$540,'Neiva 2022 FASE I ACTUAL (5)'!$C$6:$F$540,"NO ESTA")</f>
        <v>MURO EN CONCRETO DE 4000 PSI e=0.15 m Ver. Planos Tipo Muro M-2</v>
      </c>
      <c r="N89" s="9" t="str">
        <v>M3</v>
      </c>
      <c r="O89" s="9">
        <v>11.33</v>
      </c>
      <c r="P89" s="9">
        <v>724119</v>
      </c>
      <c r="Q89" s="124" t="str">
        <f t="shared" si="14"/>
        <v>FASE II</v>
      </c>
      <c r="R89" s="155">
        <f t="shared" si="9"/>
        <v>12.45</v>
      </c>
      <c r="S89" s="156">
        <f t="shared" si="12"/>
        <v>833964</v>
      </c>
      <c r="T89" s="156">
        <f t="shared" si="13"/>
        <v>10382851.800000001</v>
      </c>
    </row>
    <row r="90" spans="1:20" s="9" customFormat="1" ht="35.1" customHeight="1" x14ac:dyDescent="0.25">
      <c r="A90" s="215"/>
      <c r="B90" s="255" t="s">
        <v>141</v>
      </c>
      <c r="C90" s="87" t="s">
        <v>114</v>
      </c>
      <c r="D90" s="240" t="s">
        <v>30</v>
      </c>
      <c r="E90" s="242">
        <v>31.71</v>
      </c>
      <c r="F90" s="242">
        <v>95.6</v>
      </c>
      <c r="G90" s="242">
        <v>127.31</v>
      </c>
      <c r="H90" s="243">
        <v>833964</v>
      </c>
      <c r="I90" s="243">
        <f t="shared" si="10"/>
        <v>106171956.84</v>
      </c>
      <c r="J90" s="8"/>
      <c r="K90" s="8">
        <f t="shared" si="8"/>
        <v>833964</v>
      </c>
      <c r="L90" s="8">
        <f t="shared" si="11"/>
        <v>26444998.440000001</v>
      </c>
      <c r="M90" s="9" t="str">
        <f t="array" ref="M90:P90">_xlfn.XLOOKUP(C90,'Neiva 2022 FASE I ACTUAL (5)'!$C$6:$C$540,'Neiva 2022 FASE I ACTUAL (5)'!$C$6:$F$540,"NO ESTA")</f>
        <v>MURO EN CONCRETO DE 4000 PSI e=0.25 m Ver. Planos Tipo Muro M-3</v>
      </c>
      <c r="N90" s="9" t="str">
        <v>M3</v>
      </c>
      <c r="O90" s="9">
        <v>95.6</v>
      </c>
      <c r="P90" s="9">
        <v>724119</v>
      </c>
      <c r="Q90" s="124" t="str">
        <f t="shared" si="14"/>
        <v>FASE II</v>
      </c>
      <c r="R90" s="155">
        <f t="shared" si="9"/>
        <v>127.31</v>
      </c>
      <c r="S90" s="156">
        <f t="shared" si="12"/>
        <v>833964</v>
      </c>
      <c r="T90" s="156">
        <f t="shared" si="13"/>
        <v>106171956.84</v>
      </c>
    </row>
    <row r="91" spans="1:20" s="9" customFormat="1" ht="35.1" customHeight="1" x14ac:dyDescent="0.25">
      <c r="A91" s="215"/>
      <c r="B91" s="255" t="s">
        <v>142</v>
      </c>
      <c r="C91" s="87" t="s">
        <v>118</v>
      </c>
      <c r="D91" s="240" t="s">
        <v>30</v>
      </c>
      <c r="E91" s="242">
        <v>81.89</v>
      </c>
      <c r="F91" s="242">
        <v>80.489999999999995</v>
      </c>
      <c r="G91" s="242">
        <v>162.38</v>
      </c>
      <c r="H91" s="243">
        <v>833964</v>
      </c>
      <c r="I91" s="243">
        <f t="shared" si="10"/>
        <v>135419074.31999999</v>
      </c>
      <c r="J91" s="8"/>
      <c r="K91" s="8">
        <f t="shared" si="8"/>
        <v>833964</v>
      </c>
      <c r="L91" s="8">
        <f t="shared" si="11"/>
        <v>68293311.959999993</v>
      </c>
      <c r="M91" s="9" t="str">
        <f t="array" ref="M91:P91">_xlfn.XLOOKUP(C91,'Neiva 2022 FASE I ACTUAL (5)'!$C$6:$C$540,'Neiva 2022 FASE I ACTUAL (5)'!$C$6:$F$540,"NO ESTA")</f>
        <v>MURO EN CONCRETO DE 4000 PSI e=0.40 m Ver. Planos Tipo Muro M-5</v>
      </c>
      <c r="N91" s="9" t="str">
        <v>M3</v>
      </c>
      <c r="O91" s="9">
        <v>80.489999999999995</v>
      </c>
      <c r="P91" s="9">
        <v>724119</v>
      </c>
      <c r="Q91" s="124" t="str">
        <f t="shared" si="14"/>
        <v>FASE II</v>
      </c>
      <c r="R91" s="155">
        <f t="shared" si="9"/>
        <v>162.38</v>
      </c>
      <c r="S91" s="156">
        <f t="shared" si="12"/>
        <v>833964</v>
      </c>
      <c r="T91" s="156">
        <f t="shared" si="13"/>
        <v>135419074.31999999</v>
      </c>
    </row>
    <row r="92" spans="1:20" s="9" customFormat="1" ht="35.1" customHeight="1" x14ac:dyDescent="0.25">
      <c r="A92" s="215"/>
      <c r="B92" s="255" t="s">
        <v>143</v>
      </c>
      <c r="C92" s="87" t="s">
        <v>120</v>
      </c>
      <c r="D92" s="240" t="s">
        <v>13</v>
      </c>
      <c r="E92" s="242">
        <v>139.68</v>
      </c>
      <c r="F92" s="242">
        <v>79.69</v>
      </c>
      <c r="G92" s="242">
        <v>219.37</v>
      </c>
      <c r="H92" s="243">
        <v>153751</v>
      </c>
      <c r="I92" s="243">
        <f t="shared" si="10"/>
        <v>33728356.869999997</v>
      </c>
      <c r="J92" s="8"/>
      <c r="K92" s="8">
        <f t="shared" si="8"/>
        <v>153751</v>
      </c>
      <c r="L92" s="8">
        <f t="shared" si="11"/>
        <v>21475939.68</v>
      </c>
      <c r="M92" s="9" t="str">
        <f t="array" ref="M92:P92">_xlfn.XLOOKUP(C92,'Neiva 2022 FASE I ACTUAL (5)'!$C$6:$C$540,'Neiva 2022 FASE I ACTUAL (5)'!$C$6:$F$540,"NO ESTA")</f>
        <v>MURO EN LADRILLO GRAN FORMATO e= 0.12 m Ref. Tierra Ver. Planos Tipo Muro M-6</v>
      </c>
      <c r="N92" s="9" t="str">
        <v>M2</v>
      </c>
      <c r="O92" s="9">
        <v>79.69</v>
      </c>
      <c r="P92" s="9">
        <v>153751</v>
      </c>
      <c r="Q92" s="124" t="str">
        <f t="shared" si="14"/>
        <v>FASE II</v>
      </c>
      <c r="R92" s="155">
        <f t="shared" si="9"/>
        <v>219.37</v>
      </c>
      <c r="S92" s="156">
        <f t="shared" si="12"/>
        <v>153751</v>
      </c>
      <c r="T92" s="156">
        <f t="shared" si="13"/>
        <v>33728356.869999997</v>
      </c>
    </row>
    <row r="93" spans="1:20" s="9" customFormat="1" ht="35.1" customHeight="1" x14ac:dyDescent="0.25">
      <c r="A93" s="215"/>
      <c r="B93" s="255" t="s">
        <v>144</v>
      </c>
      <c r="C93" s="87" t="s">
        <v>122</v>
      </c>
      <c r="D93" s="240" t="s">
        <v>13</v>
      </c>
      <c r="E93" s="242">
        <v>124.47</v>
      </c>
      <c r="F93" s="242">
        <v>21.32</v>
      </c>
      <c r="G93" s="242">
        <v>145.79</v>
      </c>
      <c r="H93" s="243">
        <v>307503</v>
      </c>
      <c r="I93" s="243">
        <f t="shared" si="10"/>
        <v>44830862.369999997</v>
      </c>
      <c r="J93" s="8"/>
      <c r="K93" s="8">
        <f t="shared" si="8"/>
        <v>307503</v>
      </c>
      <c r="L93" s="8">
        <f t="shared" si="11"/>
        <v>38274898.409999996</v>
      </c>
      <c r="M93" s="9" t="str">
        <f t="array" ref="M93:P93">_xlfn.XLOOKUP(C93,'Neiva 2022 FASE I ACTUAL (5)'!$C$6:$C$540,'Neiva 2022 FASE I ACTUAL (5)'!$C$6:$F$540,"NO ESTA")</f>
        <v xml:space="preserve">MURO EN LADRILLO GRAN FORMATO e= 0.25 m Ref. Tierra Ver. Planos Tipo Muro M-7 </v>
      </c>
      <c r="N93" s="9" t="str">
        <v>M2</v>
      </c>
      <c r="O93" s="9">
        <v>21.32</v>
      </c>
      <c r="P93" s="9">
        <v>307503</v>
      </c>
      <c r="Q93" s="124" t="str">
        <f t="shared" si="14"/>
        <v>FASE II</v>
      </c>
      <c r="R93" s="155">
        <f t="shared" si="9"/>
        <v>145.79</v>
      </c>
      <c r="S93" s="156">
        <f t="shared" si="12"/>
        <v>307503</v>
      </c>
      <c r="T93" s="156">
        <f t="shared" si="13"/>
        <v>44830862.369999997</v>
      </c>
    </row>
    <row r="94" spans="1:20" s="9" customFormat="1" ht="35.1" customHeight="1" x14ac:dyDescent="0.25">
      <c r="A94" s="215"/>
      <c r="B94" s="244" t="s">
        <v>1081</v>
      </c>
      <c r="C94" s="245" t="s">
        <v>1082</v>
      </c>
      <c r="D94" s="244"/>
      <c r="E94" s="246"/>
      <c r="F94" s="246"/>
      <c r="G94" s="246"/>
      <c r="H94" s="252">
        <v>0</v>
      </c>
      <c r="I94" s="243">
        <f t="shared" si="10"/>
        <v>0</v>
      </c>
      <c r="J94" s="8"/>
      <c r="K94" s="8">
        <f t="shared" si="8"/>
        <v>0</v>
      </c>
      <c r="L94" s="8">
        <f t="shared" si="11"/>
        <v>0</v>
      </c>
      <c r="M94" s="9" t="str">
        <f t="array" ref="M94">_xlfn.XLOOKUP(C94,'Neiva 2022 FASE I ACTUAL (5)'!$C$6:$C$540,'Neiva 2022 FASE I ACTUAL (5)'!$C$6:$F$540,"NO ESTA")</f>
        <v>NO ESTA</v>
      </c>
      <c r="Q94" s="124">
        <f t="shared" si="14"/>
        <v>0</v>
      </c>
      <c r="R94" s="155">
        <f t="shared" si="9"/>
        <v>0</v>
      </c>
      <c r="S94" s="156">
        <f t="shared" si="12"/>
        <v>0</v>
      </c>
      <c r="T94" s="156">
        <f t="shared" si="13"/>
        <v>0</v>
      </c>
    </row>
    <row r="95" spans="1:20" s="9" customFormat="1" ht="35.1" customHeight="1" x14ac:dyDescent="0.25">
      <c r="A95" s="215"/>
      <c r="B95" s="255" t="s">
        <v>1083</v>
      </c>
      <c r="C95" s="87" t="s">
        <v>130</v>
      </c>
      <c r="D95" s="255" t="s">
        <v>13</v>
      </c>
      <c r="E95" s="242">
        <v>179.21</v>
      </c>
      <c r="F95" s="242">
        <v>91.92</v>
      </c>
      <c r="G95" s="242">
        <v>271.13</v>
      </c>
      <c r="H95" s="243">
        <v>110927</v>
      </c>
      <c r="I95" s="243">
        <f t="shared" si="10"/>
        <v>30075637.510000002</v>
      </c>
      <c r="J95" s="8"/>
      <c r="K95" s="8">
        <f t="shared" si="8"/>
        <v>110927</v>
      </c>
      <c r="L95" s="8">
        <f t="shared" si="11"/>
        <v>19879227.670000002</v>
      </c>
      <c r="M95" s="9" t="str">
        <f t="array" ref="M95:P95">_xlfn.XLOOKUP(C95,'Neiva 2022 FASE I ACTUAL (5)'!$C$6:$C$540,'Neiva 2022 FASE I ACTUAL (5)'!$C$6:$F$540,"NO ESTA")</f>
        <v>ENCHAPE DE MURO BAÑOS PORCELANATO GRIS 30*40CM</v>
      </c>
      <c r="N95" s="9" t="str">
        <v>M2</v>
      </c>
      <c r="O95" s="9">
        <v>91.92</v>
      </c>
      <c r="P95" s="9">
        <v>110927</v>
      </c>
      <c r="Q95" s="124" t="str">
        <f t="shared" si="14"/>
        <v>FASE II</v>
      </c>
      <c r="R95" s="155">
        <f t="shared" si="9"/>
        <v>271.13</v>
      </c>
      <c r="S95" s="156">
        <f t="shared" si="12"/>
        <v>110927</v>
      </c>
      <c r="T95" s="156">
        <f t="shared" si="13"/>
        <v>30075637.510000002</v>
      </c>
    </row>
    <row r="96" spans="1:20" s="9" customFormat="1" ht="35.1" customHeight="1" x14ac:dyDescent="0.25">
      <c r="A96" s="215"/>
      <c r="B96" s="255" t="s">
        <v>1084</v>
      </c>
      <c r="C96" s="87" t="s">
        <v>112</v>
      </c>
      <c r="D96" s="255" t="s">
        <v>30</v>
      </c>
      <c r="E96" s="242">
        <v>1.45</v>
      </c>
      <c r="F96" s="242">
        <v>11.33</v>
      </c>
      <c r="G96" s="242">
        <v>12.78</v>
      </c>
      <c r="H96" s="243">
        <v>833964</v>
      </c>
      <c r="I96" s="243">
        <f t="shared" si="10"/>
        <v>10658059.92</v>
      </c>
      <c r="J96" s="8"/>
      <c r="K96" s="8">
        <f t="shared" si="8"/>
        <v>833964</v>
      </c>
      <c r="L96" s="8">
        <f t="shared" si="11"/>
        <v>1209247.8</v>
      </c>
      <c r="M96" s="9" t="str">
        <f t="array" ref="M96:P96">_xlfn.XLOOKUP(C96,'Neiva 2022 FASE I ACTUAL (5)'!$C$6:$C$540,'Neiva 2022 FASE I ACTUAL (5)'!$C$6:$F$540,"NO ESTA")</f>
        <v>MURO EN CONCRETO DE 4000 PSI e=0.15 m Ver. Planos Tipo Muro M-2</v>
      </c>
      <c r="N96" s="9" t="str">
        <v>M3</v>
      </c>
      <c r="O96" s="9">
        <v>11.33</v>
      </c>
      <c r="P96" s="9">
        <v>724119</v>
      </c>
      <c r="Q96" s="124" t="str">
        <f t="shared" si="14"/>
        <v>FASE II</v>
      </c>
      <c r="R96" s="155">
        <f t="shared" si="9"/>
        <v>12.78</v>
      </c>
      <c r="S96" s="156">
        <f t="shared" si="12"/>
        <v>833964</v>
      </c>
      <c r="T96" s="156">
        <f t="shared" si="13"/>
        <v>10658059.92</v>
      </c>
    </row>
    <row r="97" spans="1:20" s="9" customFormat="1" ht="35.1" customHeight="1" x14ac:dyDescent="0.25">
      <c r="A97" s="215"/>
      <c r="B97" s="255" t="s">
        <v>1085</v>
      </c>
      <c r="C97" s="87" t="s">
        <v>114</v>
      </c>
      <c r="D97" s="255" t="s">
        <v>30</v>
      </c>
      <c r="E97" s="242">
        <v>31.54</v>
      </c>
      <c r="F97" s="242">
        <v>95.6</v>
      </c>
      <c r="G97" s="242">
        <v>127.13999999999999</v>
      </c>
      <c r="H97" s="243">
        <v>833964</v>
      </c>
      <c r="I97" s="243">
        <f t="shared" si="10"/>
        <v>106030182.95999999</v>
      </c>
      <c r="J97" s="8"/>
      <c r="K97" s="8">
        <f t="shared" si="8"/>
        <v>833964</v>
      </c>
      <c r="L97" s="8">
        <f t="shared" si="11"/>
        <v>26303224.559999999</v>
      </c>
      <c r="M97" s="9" t="str">
        <f t="array" ref="M97:P97">_xlfn.XLOOKUP(C97,'Neiva 2022 FASE I ACTUAL (5)'!$C$6:$C$540,'Neiva 2022 FASE I ACTUAL (5)'!$C$6:$F$540,"NO ESTA")</f>
        <v>MURO EN CONCRETO DE 4000 PSI e=0.25 m Ver. Planos Tipo Muro M-3</v>
      </c>
      <c r="N97" s="9" t="str">
        <v>M3</v>
      </c>
      <c r="O97" s="9">
        <v>95.6</v>
      </c>
      <c r="P97" s="9">
        <v>724119</v>
      </c>
      <c r="Q97" s="124" t="str">
        <f t="shared" si="14"/>
        <v>FASE II</v>
      </c>
      <c r="R97" s="155">
        <f t="shared" si="9"/>
        <v>127.13999999999999</v>
      </c>
      <c r="S97" s="156">
        <f t="shared" si="12"/>
        <v>833964</v>
      </c>
      <c r="T97" s="156">
        <f t="shared" si="13"/>
        <v>106030182.95999999</v>
      </c>
    </row>
    <row r="98" spans="1:20" s="9" customFormat="1" ht="35.1" customHeight="1" x14ac:dyDescent="0.25">
      <c r="A98" s="215"/>
      <c r="B98" s="255" t="s">
        <v>1086</v>
      </c>
      <c r="C98" s="87" t="s">
        <v>118</v>
      </c>
      <c r="D98" s="255" t="s">
        <v>30</v>
      </c>
      <c r="E98" s="242">
        <v>69.08</v>
      </c>
      <c r="F98" s="242">
        <v>80.489999999999995</v>
      </c>
      <c r="G98" s="242">
        <v>149.57</v>
      </c>
      <c r="H98" s="243">
        <v>833964</v>
      </c>
      <c r="I98" s="243">
        <f t="shared" si="10"/>
        <v>124735995.48</v>
      </c>
      <c r="J98" s="8"/>
      <c r="K98" s="8">
        <f t="shared" si="8"/>
        <v>833964</v>
      </c>
      <c r="L98" s="8">
        <f t="shared" si="11"/>
        <v>57610233.119999997</v>
      </c>
      <c r="M98" s="9" t="str">
        <f t="array" ref="M98:P98">_xlfn.XLOOKUP(C98,'Neiva 2022 FASE I ACTUAL (5)'!$C$6:$C$540,'Neiva 2022 FASE I ACTUAL (5)'!$C$6:$F$540,"NO ESTA")</f>
        <v>MURO EN CONCRETO DE 4000 PSI e=0.40 m Ver. Planos Tipo Muro M-5</v>
      </c>
      <c r="N98" s="9" t="str">
        <v>M3</v>
      </c>
      <c r="O98" s="9">
        <v>80.489999999999995</v>
      </c>
      <c r="P98" s="9">
        <v>724119</v>
      </c>
      <c r="Q98" s="124" t="str">
        <f t="shared" si="14"/>
        <v>FASE II</v>
      </c>
      <c r="R98" s="155">
        <f t="shared" si="9"/>
        <v>149.57</v>
      </c>
      <c r="S98" s="156">
        <f t="shared" si="12"/>
        <v>833964</v>
      </c>
      <c r="T98" s="156">
        <f t="shared" si="13"/>
        <v>124735995.48</v>
      </c>
    </row>
    <row r="99" spans="1:20" s="9" customFormat="1" ht="35.1" customHeight="1" x14ac:dyDescent="0.25">
      <c r="A99" s="215"/>
      <c r="B99" s="255" t="s">
        <v>1087</v>
      </c>
      <c r="C99" s="87" t="s">
        <v>120</v>
      </c>
      <c r="D99" s="255" t="s">
        <v>13</v>
      </c>
      <c r="E99" s="242">
        <v>276.55</v>
      </c>
      <c r="F99" s="242">
        <v>79.69</v>
      </c>
      <c r="G99" s="242">
        <v>356.24</v>
      </c>
      <c r="H99" s="243">
        <v>160213</v>
      </c>
      <c r="I99" s="243">
        <f t="shared" si="10"/>
        <v>57074279.119999997</v>
      </c>
      <c r="J99" s="8"/>
      <c r="K99" s="8">
        <f t="shared" si="8"/>
        <v>160213</v>
      </c>
      <c r="L99" s="8">
        <f t="shared" si="11"/>
        <v>44306905.149999999</v>
      </c>
      <c r="M99" s="9" t="str">
        <f t="array" ref="M99:P99">_xlfn.XLOOKUP(C99,'Neiva 2022 FASE I ACTUAL (5)'!$C$6:$C$540,'Neiva 2022 FASE I ACTUAL (5)'!$C$6:$F$540,"NO ESTA")</f>
        <v>MURO EN LADRILLO GRAN FORMATO e= 0.12 m Ref. Tierra Ver. Planos Tipo Muro M-6</v>
      </c>
      <c r="N99" s="9" t="str">
        <v>M2</v>
      </c>
      <c r="O99" s="9">
        <v>79.69</v>
      </c>
      <c r="P99" s="9">
        <v>153751</v>
      </c>
      <c r="Q99" s="124" t="str">
        <f t="shared" si="14"/>
        <v>FASE II</v>
      </c>
      <c r="R99" s="155">
        <f t="shared" si="9"/>
        <v>356.24</v>
      </c>
      <c r="S99" s="156">
        <f t="shared" si="12"/>
        <v>160213</v>
      </c>
      <c r="T99" s="156">
        <f t="shared" si="13"/>
        <v>57074279.119999997</v>
      </c>
    </row>
    <row r="100" spans="1:20" s="9" customFormat="1" ht="35.1" customHeight="1" x14ac:dyDescent="0.25">
      <c r="A100" s="215"/>
      <c r="B100" s="255" t="s">
        <v>1088</v>
      </c>
      <c r="C100" s="87" t="s">
        <v>122</v>
      </c>
      <c r="D100" s="255" t="s">
        <v>13</v>
      </c>
      <c r="E100" s="242">
        <v>132.12</v>
      </c>
      <c r="F100" s="242">
        <v>21.32</v>
      </c>
      <c r="G100" s="242">
        <v>153.44</v>
      </c>
      <c r="H100" s="243">
        <v>320425</v>
      </c>
      <c r="I100" s="243">
        <f t="shared" si="10"/>
        <v>49166012</v>
      </c>
      <c r="J100" s="8"/>
      <c r="K100" s="8">
        <f t="shared" si="8"/>
        <v>320425</v>
      </c>
      <c r="L100" s="8">
        <f t="shared" si="11"/>
        <v>42334551</v>
      </c>
      <c r="M100" s="9" t="str">
        <f t="array" ref="M100:P100">_xlfn.XLOOKUP(C100,'Neiva 2022 FASE I ACTUAL (5)'!$C$6:$C$540,'Neiva 2022 FASE I ACTUAL (5)'!$C$6:$F$540,"NO ESTA")</f>
        <v xml:space="preserve">MURO EN LADRILLO GRAN FORMATO e= 0.25 m Ref. Tierra Ver. Planos Tipo Muro M-7 </v>
      </c>
      <c r="N100" s="9" t="str">
        <v>M2</v>
      </c>
      <c r="O100" s="9">
        <v>21.32</v>
      </c>
      <c r="P100" s="9">
        <v>307503</v>
      </c>
      <c r="Q100" s="124" t="str">
        <f t="shared" si="14"/>
        <v>FASE II</v>
      </c>
      <c r="R100" s="155">
        <f t="shared" si="9"/>
        <v>153.44</v>
      </c>
      <c r="S100" s="156">
        <f t="shared" si="12"/>
        <v>320425</v>
      </c>
      <c r="T100" s="156">
        <f t="shared" si="13"/>
        <v>49166012</v>
      </c>
    </row>
    <row r="101" spans="1:20" s="9" customFormat="1" ht="35.1" customHeight="1" x14ac:dyDescent="0.25">
      <c r="A101" s="215"/>
      <c r="B101" s="244" t="s">
        <v>1089</v>
      </c>
      <c r="C101" s="245" t="s">
        <v>1090</v>
      </c>
      <c r="D101" s="244"/>
      <c r="E101" s="246"/>
      <c r="F101" s="246"/>
      <c r="G101" s="246"/>
      <c r="H101" s="252">
        <v>0</v>
      </c>
      <c r="I101" s="243">
        <f t="shared" si="10"/>
        <v>0</v>
      </c>
      <c r="J101" s="8"/>
      <c r="K101" s="8">
        <f t="shared" si="8"/>
        <v>0</v>
      </c>
      <c r="L101" s="8">
        <f t="shared" si="11"/>
        <v>0</v>
      </c>
      <c r="M101" s="9" t="str">
        <f t="array" ref="M101">_xlfn.XLOOKUP(C101,'Neiva 2022 FASE I ACTUAL (5)'!$C$6:$C$540,'Neiva 2022 FASE I ACTUAL (5)'!$C$6:$F$540,"NO ESTA")</f>
        <v>NO ESTA</v>
      </c>
      <c r="Q101" s="124">
        <f t="shared" si="14"/>
        <v>0</v>
      </c>
      <c r="R101" s="155">
        <f t="shared" si="9"/>
        <v>0</v>
      </c>
      <c r="S101" s="156">
        <f t="shared" si="12"/>
        <v>0</v>
      </c>
      <c r="T101" s="156">
        <f t="shared" si="13"/>
        <v>0</v>
      </c>
    </row>
    <row r="102" spans="1:20" s="9" customFormat="1" ht="35.1" customHeight="1" x14ac:dyDescent="0.25">
      <c r="A102" s="215"/>
      <c r="B102" s="240" t="s">
        <v>1091</v>
      </c>
      <c r="C102" s="87" t="s">
        <v>130</v>
      </c>
      <c r="D102" s="240" t="s">
        <v>13</v>
      </c>
      <c r="E102" s="242">
        <v>142.06</v>
      </c>
      <c r="F102" s="242">
        <v>91.92</v>
      </c>
      <c r="G102" s="242">
        <v>233.98000000000002</v>
      </c>
      <c r="H102" s="243">
        <v>110927</v>
      </c>
      <c r="I102" s="243">
        <f t="shared" si="10"/>
        <v>25954699.460000001</v>
      </c>
      <c r="J102" s="8"/>
      <c r="K102" s="8">
        <f t="shared" si="8"/>
        <v>110927</v>
      </c>
      <c r="L102" s="8">
        <f t="shared" si="11"/>
        <v>15758289.620000001</v>
      </c>
      <c r="M102" s="9" t="str">
        <f t="array" ref="M102:P102">_xlfn.XLOOKUP(C102,'Neiva 2022 FASE I ACTUAL (5)'!$C$6:$C$540,'Neiva 2022 FASE I ACTUAL (5)'!$C$6:$F$540,"NO ESTA")</f>
        <v>ENCHAPE DE MURO BAÑOS PORCELANATO GRIS 30*40CM</v>
      </c>
      <c r="N102" s="9" t="str">
        <v>M2</v>
      </c>
      <c r="O102" s="9">
        <v>91.92</v>
      </c>
      <c r="P102" s="9">
        <v>110927</v>
      </c>
      <c r="Q102" s="124" t="str">
        <f t="shared" si="14"/>
        <v>FASE II</v>
      </c>
      <c r="R102" s="155">
        <f t="shared" si="9"/>
        <v>233.98000000000002</v>
      </c>
      <c r="S102" s="156">
        <f t="shared" si="12"/>
        <v>110927</v>
      </c>
      <c r="T102" s="156">
        <f t="shared" si="13"/>
        <v>25954699.460000001</v>
      </c>
    </row>
    <row r="103" spans="1:20" s="9" customFormat="1" ht="35.1" customHeight="1" x14ac:dyDescent="0.25">
      <c r="A103" s="215"/>
      <c r="B103" s="240" t="s">
        <v>1092</v>
      </c>
      <c r="C103" s="87" t="s">
        <v>112</v>
      </c>
      <c r="D103" s="240" t="s">
        <v>30</v>
      </c>
      <c r="E103" s="242">
        <v>1.25</v>
      </c>
      <c r="F103" s="242">
        <v>11.33</v>
      </c>
      <c r="G103" s="242">
        <v>12.58</v>
      </c>
      <c r="H103" s="243">
        <v>833964</v>
      </c>
      <c r="I103" s="243">
        <f t="shared" si="10"/>
        <v>10491267.119999999</v>
      </c>
      <c r="J103" s="8"/>
      <c r="K103" s="8">
        <f t="shared" si="8"/>
        <v>833964</v>
      </c>
      <c r="L103" s="8">
        <f t="shared" si="11"/>
        <v>1042455</v>
      </c>
      <c r="M103" s="9" t="str">
        <f t="array" ref="M103:P103">_xlfn.XLOOKUP(C103,'Neiva 2022 FASE I ACTUAL (5)'!$C$6:$C$540,'Neiva 2022 FASE I ACTUAL (5)'!$C$6:$F$540,"NO ESTA")</f>
        <v>MURO EN CONCRETO DE 4000 PSI e=0.15 m Ver. Planos Tipo Muro M-2</v>
      </c>
      <c r="N103" s="9" t="str">
        <v>M3</v>
      </c>
      <c r="O103" s="9">
        <v>11.33</v>
      </c>
      <c r="P103" s="9">
        <v>724119</v>
      </c>
      <c r="Q103" s="124" t="str">
        <f t="shared" si="14"/>
        <v>FASE II</v>
      </c>
      <c r="R103" s="155">
        <f t="shared" si="9"/>
        <v>12.58</v>
      </c>
      <c r="S103" s="156">
        <f t="shared" si="12"/>
        <v>833964</v>
      </c>
      <c r="T103" s="156">
        <f t="shared" si="13"/>
        <v>10491267.119999999</v>
      </c>
    </row>
    <row r="104" spans="1:20" s="9" customFormat="1" ht="35.1" customHeight="1" x14ac:dyDescent="0.25">
      <c r="A104" s="215"/>
      <c r="B104" s="240" t="s">
        <v>1093</v>
      </c>
      <c r="C104" s="87" t="s">
        <v>114</v>
      </c>
      <c r="D104" s="240" t="s">
        <v>30</v>
      </c>
      <c r="E104" s="242">
        <v>27.45</v>
      </c>
      <c r="F104" s="242">
        <v>95.6</v>
      </c>
      <c r="G104" s="242">
        <v>123.05</v>
      </c>
      <c r="H104" s="243">
        <v>833964</v>
      </c>
      <c r="I104" s="243">
        <f t="shared" si="10"/>
        <v>102619270.2</v>
      </c>
      <c r="J104" s="8"/>
      <c r="K104" s="8">
        <f t="shared" si="8"/>
        <v>833964</v>
      </c>
      <c r="L104" s="8">
        <f t="shared" si="11"/>
        <v>22892311.800000001</v>
      </c>
      <c r="M104" s="9" t="str">
        <f t="array" ref="M104:P104">_xlfn.XLOOKUP(C104,'Neiva 2022 FASE I ACTUAL (5)'!$C$6:$C$540,'Neiva 2022 FASE I ACTUAL (5)'!$C$6:$F$540,"NO ESTA")</f>
        <v>MURO EN CONCRETO DE 4000 PSI e=0.25 m Ver. Planos Tipo Muro M-3</v>
      </c>
      <c r="N104" s="9" t="str">
        <v>M3</v>
      </c>
      <c r="O104" s="9">
        <v>95.6</v>
      </c>
      <c r="P104" s="9">
        <v>724119</v>
      </c>
      <c r="Q104" s="124" t="str">
        <f t="shared" si="14"/>
        <v>FASE II</v>
      </c>
      <c r="R104" s="155">
        <f t="shared" si="9"/>
        <v>123.05</v>
      </c>
      <c r="S104" s="156">
        <f t="shared" si="12"/>
        <v>833964</v>
      </c>
      <c r="T104" s="156">
        <f t="shared" si="13"/>
        <v>102619270.2</v>
      </c>
    </row>
    <row r="105" spans="1:20" s="9" customFormat="1" ht="35.1" customHeight="1" x14ac:dyDescent="0.25">
      <c r="A105" s="215"/>
      <c r="B105" s="240" t="s">
        <v>1094</v>
      </c>
      <c r="C105" s="87" t="s">
        <v>118</v>
      </c>
      <c r="D105" s="240" t="s">
        <v>30</v>
      </c>
      <c r="E105" s="242">
        <v>14.01</v>
      </c>
      <c r="F105" s="242">
        <v>80.489999999999995</v>
      </c>
      <c r="G105" s="242">
        <v>94.5</v>
      </c>
      <c r="H105" s="243">
        <v>833964</v>
      </c>
      <c r="I105" s="243">
        <f t="shared" si="10"/>
        <v>78809598</v>
      </c>
      <c r="J105" s="8"/>
      <c r="K105" s="8">
        <f t="shared" si="8"/>
        <v>833964</v>
      </c>
      <c r="L105" s="8">
        <f t="shared" si="11"/>
        <v>11683835.640000001</v>
      </c>
      <c r="M105" s="9" t="str">
        <f t="array" ref="M105:P105">_xlfn.XLOOKUP(C105,'Neiva 2022 FASE I ACTUAL (5)'!$C$6:$C$540,'Neiva 2022 FASE I ACTUAL (5)'!$C$6:$F$540,"NO ESTA")</f>
        <v>MURO EN CONCRETO DE 4000 PSI e=0.40 m Ver. Planos Tipo Muro M-5</v>
      </c>
      <c r="N105" s="9" t="str">
        <v>M3</v>
      </c>
      <c r="O105" s="9">
        <v>80.489999999999995</v>
      </c>
      <c r="P105" s="9">
        <v>724119</v>
      </c>
      <c r="Q105" s="124" t="str">
        <f t="shared" si="14"/>
        <v>FASE II</v>
      </c>
      <c r="R105" s="155">
        <f t="shared" si="9"/>
        <v>94.5</v>
      </c>
      <c r="S105" s="156">
        <f t="shared" si="12"/>
        <v>833964</v>
      </c>
      <c r="T105" s="156">
        <f t="shared" si="13"/>
        <v>78809598</v>
      </c>
    </row>
    <row r="106" spans="1:20" s="9" customFormat="1" ht="35.1" customHeight="1" x14ac:dyDescent="0.25">
      <c r="A106" s="215"/>
      <c r="B106" s="240" t="s">
        <v>1095</v>
      </c>
      <c r="C106" s="87" t="s">
        <v>120</v>
      </c>
      <c r="D106" s="240" t="s">
        <v>13</v>
      </c>
      <c r="E106" s="242">
        <v>316.99</v>
      </c>
      <c r="F106" s="242">
        <v>79.69</v>
      </c>
      <c r="G106" s="242">
        <v>396.68</v>
      </c>
      <c r="H106" s="243">
        <v>160213</v>
      </c>
      <c r="I106" s="243">
        <f t="shared" si="10"/>
        <v>63553292.840000004</v>
      </c>
      <c r="J106" s="8"/>
      <c r="K106" s="8">
        <f t="shared" si="8"/>
        <v>160213</v>
      </c>
      <c r="L106" s="8">
        <f t="shared" si="11"/>
        <v>50785918.870000005</v>
      </c>
      <c r="M106" s="9" t="str">
        <f t="array" ref="M106:P106">_xlfn.XLOOKUP(C106,'Neiva 2022 FASE I ACTUAL (5)'!$C$6:$C$540,'Neiva 2022 FASE I ACTUAL (5)'!$C$6:$F$540,"NO ESTA")</f>
        <v>MURO EN LADRILLO GRAN FORMATO e= 0.12 m Ref. Tierra Ver. Planos Tipo Muro M-6</v>
      </c>
      <c r="N106" s="9" t="str">
        <v>M2</v>
      </c>
      <c r="O106" s="9">
        <v>79.69</v>
      </c>
      <c r="P106" s="9">
        <v>153751</v>
      </c>
      <c r="Q106" s="124" t="str">
        <f t="shared" si="14"/>
        <v>FASE II</v>
      </c>
      <c r="R106" s="155">
        <f t="shared" si="9"/>
        <v>396.68</v>
      </c>
      <c r="S106" s="156">
        <f t="shared" si="12"/>
        <v>160213</v>
      </c>
      <c r="T106" s="156">
        <f t="shared" si="13"/>
        <v>63553292.840000004</v>
      </c>
    </row>
    <row r="107" spans="1:20" s="9" customFormat="1" ht="35.1" customHeight="1" x14ac:dyDescent="0.25">
      <c r="A107" s="215"/>
      <c r="B107" s="240" t="s">
        <v>1096</v>
      </c>
      <c r="C107" s="87" t="s">
        <v>122</v>
      </c>
      <c r="D107" s="240" t="s">
        <v>13</v>
      </c>
      <c r="E107" s="242">
        <v>112.85</v>
      </c>
      <c r="F107" s="242">
        <v>21.32</v>
      </c>
      <c r="G107" s="242">
        <v>134.16999999999999</v>
      </c>
      <c r="H107" s="243">
        <v>320425</v>
      </c>
      <c r="I107" s="243">
        <f t="shared" si="10"/>
        <v>42991422.25</v>
      </c>
      <c r="J107" s="8"/>
      <c r="K107" s="8">
        <f t="shared" si="8"/>
        <v>320425</v>
      </c>
      <c r="L107" s="8">
        <f t="shared" si="11"/>
        <v>36159961.25</v>
      </c>
      <c r="M107" s="9" t="str">
        <f t="array" ref="M107:P107">_xlfn.XLOOKUP(C107,'Neiva 2022 FASE I ACTUAL (5)'!$C$6:$C$540,'Neiva 2022 FASE I ACTUAL (5)'!$C$6:$F$540,"NO ESTA")</f>
        <v xml:space="preserve">MURO EN LADRILLO GRAN FORMATO e= 0.25 m Ref. Tierra Ver. Planos Tipo Muro M-7 </v>
      </c>
      <c r="N107" s="9" t="str">
        <v>M2</v>
      </c>
      <c r="O107" s="9">
        <v>21.32</v>
      </c>
      <c r="P107" s="9">
        <v>307503</v>
      </c>
      <c r="Q107" s="124" t="str">
        <f t="shared" si="14"/>
        <v>FASE II</v>
      </c>
      <c r="R107" s="155">
        <f t="shared" si="9"/>
        <v>134.16999999999999</v>
      </c>
      <c r="S107" s="156">
        <f t="shared" si="12"/>
        <v>320425</v>
      </c>
      <c r="T107" s="156">
        <f t="shared" si="13"/>
        <v>42991422.25</v>
      </c>
    </row>
    <row r="108" spans="1:20" s="9" customFormat="1" ht="35.1" customHeight="1" x14ac:dyDescent="0.25">
      <c r="A108" s="215"/>
      <c r="B108" s="244" t="s">
        <v>1097</v>
      </c>
      <c r="C108" s="245" t="s">
        <v>1098</v>
      </c>
      <c r="D108" s="244"/>
      <c r="E108" s="246"/>
      <c r="F108" s="246"/>
      <c r="G108" s="246"/>
      <c r="H108" s="252">
        <v>0</v>
      </c>
      <c r="I108" s="243">
        <f t="shared" si="10"/>
        <v>0</v>
      </c>
      <c r="J108" s="8"/>
      <c r="K108" s="8">
        <f t="shared" si="8"/>
        <v>0</v>
      </c>
      <c r="L108" s="8">
        <f t="shared" si="11"/>
        <v>0</v>
      </c>
      <c r="M108" s="9" t="str">
        <f t="array" ref="M108">_xlfn.XLOOKUP(C108,'Neiva 2022 FASE I ACTUAL (5)'!$C$6:$C$540,'Neiva 2022 FASE I ACTUAL (5)'!$C$6:$F$540,"NO ESTA")</f>
        <v>NO ESTA</v>
      </c>
      <c r="Q108" s="124">
        <f t="shared" si="14"/>
        <v>0</v>
      </c>
      <c r="R108" s="155">
        <f t="shared" si="9"/>
        <v>0</v>
      </c>
      <c r="S108" s="156">
        <f t="shared" si="12"/>
        <v>0</v>
      </c>
      <c r="T108" s="156">
        <f t="shared" si="13"/>
        <v>0</v>
      </c>
    </row>
    <row r="109" spans="1:20" s="9" customFormat="1" ht="35.1" customHeight="1" x14ac:dyDescent="0.25">
      <c r="A109" s="215"/>
      <c r="B109" s="240" t="s">
        <v>1099</v>
      </c>
      <c r="C109" s="241" t="s">
        <v>1100</v>
      </c>
      <c r="D109" s="240" t="s">
        <v>13</v>
      </c>
      <c r="E109" s="242">
        <v>94.59</v>
      </c>
      <c r="F109" s="242"/>
      <c r="G109" s="242">
        <v>94.59</v>
      </c>
      <c r="H109" s="243">
        <v>54989</v>
      </c>
      <c r="I109" s="243">
        <f t="shared" si="10"/>
        <v>5201409.51</v>
      </c>
      <c r="J109" s="8"/>
      <c r="K109" s="8">
        <f t="shared" si="8"/>
        <v>54989</v>
      </c>
      <c r="L109" s="8">
        <f t="shared" si="11"/>
        <v>5201409.51</v>
      </c>
      <c r="M109" s="9" t="str">
        <f t="array" ref="M109">_xlfn.XLOOKUP(C109,'Neiva 2022 FASE I ACTUAL (5)'!$C$6:$C$540,'Neiva 2022 FASE I ACTUAL (5)'!$C$6:$F$540,"NO ESTA")</f>
        <v>NO ESTA</v>
      </c>
      <c r="Q109" s="124">
        <f t="shared" si="14"/>
        <v>0</v>
      </c>
      <c r="R109" s="155">
        <f t="shared" si="9"/>
        <v>94.59</v>
      </c>
      <c r="S109" s="156">
        <f t="shared" si="12"/>
        <v>54989</v>
      </c>
      <c r="T109" s="156">
        <f t="shared" si="13"/>
        <v>5201409.51</v>
      </c>
    </row>
    <row r="110" spans="1:20" s="9" customFormat="1" ht="35.1" customHeight="1" x14ac:dyDescent="0.25">
      <c r="A110" s="215"/>
      <c r="B110" s="240" t="s">
        <v>1101</v>
      </c>
      <c r="C110" s="87" t="s">
        <v>112</v>
      </c>
      <c r="D110" s="240" t="s">
        <v>30</v>
      </c>
      <c r="E110" s="242">
        <v>26.75</v>
      </c>
      <c r="F110" s="242">
        <v>11.33</v>
      </c>
      <c r="G110" s="242">
        <v>38.08</v>
      </c>
      <c r="H110" s="243">
        <v>833964</v>
      </c>
      <c r="I110" s="243">
        <f t="shared" si="10"/>
        <v>31757349.120000001</v>
      </c>
      <c r="J110" s="8"/>
      <c r="K110" s="8">
        <f t="shared" si="8"/>
        <v>833964</v>
      </c>
      <c r="L110" s="8">
        <f t="shared" si="11"/>
        <v>22308537</v>
      </c>
      <c r="M110" s="9" t="str">
        <f t="array" ref="M110:P110">_xlfn.XLOOKUP(C110,'Neiva 2022 FASE I ACTUAL (5)'!$C$6:$C$540,'Neiva 2022 FASE I ACTUAL (5)'!$C$6:$F$540,"NO ESTA")</f>
        <v>MURO EN CONCRETO DE 4000 PSI e=0.15 m Ver. Planos Tipo Muro M-2</v>
      </c>
      <c r="N110" s="9" t="str">
        <v>M3</v>
      </c>
      <c r="O110" s="9">
        <v>11.33</v>
      </c>
      <c r="P110" s="9">
        <v>724119</v>
      </c>
      <c r="Q110" s="124" t="str">
        <f t="shared" si="14"/>
        <v>FASE II</v>
      </c>
      <c r="R110" s="155">
        <f t="shared" si="9"/>
        <v>38.08</v>
      </c>
      <c r="S110" s="156">
        <f t="shared" si="12"/>
        <v>833964</v>
      </c>
      <c r="T110" s="156">
        <f t="shared" si="13"/>
        <v>31757349.120000001</v>
      </c>
    </row>
    <row r="111" spans="1:20" s="9" customFormat="1" ht="35.1" customHeight="1" x14ac:dyDescent="0.25">
      <c r="A111" s="215"/>
      <c r="B111" s="240" t="s">
        <v>1102</v>
      </c>
      <c r="C111" s="87" t="s">
        <v>114</v>
      </c>
      <c r="D111" s="240" t="s">
        <v>30</v>
      </c>
      <c r="E111" s="242">
        <v>33.22</v>
      </c>
      <c r="F111" s="242">
        <v>95.6</v>
      </c>
      <c r="G111" s="242">
        <v>128.82</v>
      </c>
      <c r="H111" s="243">
        <v>833964</v>
      </c>
      <c r="I111" s="243">
        <f t="shared" si="10"/>
        <v>107431242.48</v>
      </c>
      <c r="J111" s="8"/>
      <c r="K111" s="8">
        <f t="shared" si="8"/>
        <v>833964</v>
      </c>
      <c r="L111" s="8">
        <f t="shared" si="11"/>
        <v>27704284.079999998</v>
      </c>
      <c r="M111" s="9" t="str">
        <f t="array" ref="M111:P111">_xlfn.XLOOKUP(C111,'Neiva 2022 FASE I ACTUAL (5)'!$C$6:$C$540,'Neiva 2022 FASE I ACTUAL (5)'!$C$6:$F$540,"NO ESTA")</f>
        <v>MURO EN CONCRETO DE 4000 PSI e=0.25 m Ver. Planos Tipo Muro M-3</v>
      </c>
      <c r="N111" s="9" t="str">
        <v>M3</v>
      </c>
      <c r="O111" s="9">
        <v>95.6</v>
      </c>
      <c r="P111" s="9">
        <v>724119</v>
      </c>
      <c r="Q111" s="124" t="str">
        <f t="shared" si="14"/>
        <v>FASE II</v>
      </c>
      <c r="R111" s="155">
        <f t="shared" si="9"/>
        <v>128.82</v>
      </c>
      <c r="S111" s="156">
        <f t="shared" si="12"/>
        <v>833964</v>
      </c>
      <c r="T111" s="156">
        <f t="shared" si="13"/>
        <v>107431242.48</v>
      </c>
    </row>
    <row r="112" spans="1:20" s="9" customFormat="1" ht="35.1" customHeight="1" x14ac:dyDescent="0.25">
      <c r="A112" s="215"/>
      <c r="B112" s="266">
        <v>6</v>
      </c>
      <c r="C112" s="267" t="s">
        <v>145</v>
      </c>
      <c r="D112" s="267"/>
      <c r="E112" s="268"/>
      <c r="F112" s="268"/>
      <c r="G112" s="268"/>
      <c r="H112" s="269">
        <v>0</v>
      </c>
      <c r="I112" s="243">
        <f t="shared" si="10"/>
        <v>0</v>
      </c>
      <c r="J112" s="8"/>
      <c r="K112" s="8">
        <f t="shared" si="8"/>
        <v>0</v>
      </c>
      <c r="L112" s="8">
        <f t="shared" si="11"/>
        <v>0</v>
      </c>
      <c r="M112" s="9" t="str">
        <f t="array" ref="M112:P112">_xlfn.XLOOKUP(C112,'Neiva 2022 FASE I ACTUAL (5)'!$C$6:$C$540,'Neiva 2022 FASE I ACTUAL (5)'!$C$6:$F$540,"NO ESTA")</f>
        <v>ACABADOS DE PISOS</v>
      </c>
      <c r="N112" s="9">
        <v>0</v>
      </c>
      <c r="O112" s="9">
        <v>0</v>
      </c>
      <c r="P112" s="9">
        <v>0</v>
      </c>
      <c r="Q112" s="124">
        <f t="shared" si="14"/>
        <v>0</v>
      </c>
      <c r="R112" s="155">
        <f t="shared" si="9"/>
        <v>0</v>
      </c>
      <c r="S112" s="156">
        <f t="shared" si="12"/>
        <v>0</v>
      </c>
      <c r="T112" s="156">
        <f t="shared" si="13"/>
        <v>0</v>
      </c>
    </row>
    <row r="113" spans="1:20" s="9" customFormat="1" ht="35.1" customHeight="1" x14ac:dyDescent="0.25">
      <c r="A113" s="215"/>
      <c r="B113" s="244" t="s">
        <v>146</v>
      </c>
      <c r="C113" s="245" t="s">
        <v>147</v>
      </c>
      <c r="D113" s="244"/>
      <c r="E113" s="246"/>
      <c r="F113" s="246"/>
      <c r="G113" s="246"/>
      <c r="H113" s="246">
        <v>0</v>
      </c>
      <c r="I113" s="243">
        <f t="shared" si="10"/>
        <v>0</v>
      </c>
      <c r="J113" s="8"/>
      <c r="K113" s="8">
        <f t="shared" ref="K113:K176" si="15">+ROUND(H113*(1+$K$4),0)</f>
        <v>0</v>
      </c>
      <c r="L113" s="8">
        <f t="shared" si="11"/>
        <v>0</v>
      </c>
      <c r="M113" s="9" t="str">
        <f t="array" ref="M113:P113">_xlfn.XLOOKUP(C113,'Neiva 2022 FASE I ACTUAL (5)'!$C$6:$C$540,'Neiva 2022 FASE I ACTUAL (5)'!$C$6:$F$540,"NO ESTA")</f>
        <v>SUMINISTRO E INSTALACIÓN PISOS SEMISOTANO</v>
      </c>
      <c r="N113" s="9">
        <v>0</v>
      </c>
      <c r="O113" s="9">
        <v>0</v>
      </c>
      <c r="P113" s="9">
        <v>0</v>
      </c>
      <c r="Q113" s="124">
        <f t="shared" si="14"/>
        <v>0</v>
      </c>
      <c r="R113" s="155">
        <f t="shared" si="9"/>
        <v>0</v>
      </c>
      <c r="S113" s="156">
        <f t="shared" si="12"/>
        <v>0</v>
      </c>
      <c r="T113" s="156">
        <f t="shared" si="13"/>
        <v>0</v>
      </c>
    </row>
    <row r="114" spans="1:20" s="9" customFormat="1" ht="35.1" customHeight="1" x14ac:dyDescent="0.25">
      <c r="A114" s="215"/>
      <c r="B114" s="255" t="s">
        <v>148</v>
      </c>
      <c r="C114" s="254" t="s">
        <v>149</v>
      </c>
      <c r="D114" s="255" t="s">
        <v>13</v>
      </c>
      <c r="E114" s="242">
        <v>0</v>
      </c>
      <c r="F114" s="242">
        <v>457.19</v>
      </c>
      <c r="G114" s="242">
        <v>457.19</v>
      </c>
      <c r="H114" s="243">
        <v>94327</v>
      </c>
      <c r="I114" s="243">
        <f t="shared" si="10"/>
        <v>43125361.130000003</v>
      </c>
      <c r="J114" s="8"/>
      <c r="K114" s="8">
        <f t="shared" si="15"/>
        <v>94327</v>
      </c>
      <c r="L114" s="8">
        <f t="shared" si="11"/>
        <v>0</v>
      </c>
      <c r="M114" s="9" t="str">
        <f t="array" ref="M114:P114">_xlfn.XLOOKUP(C114,'Neiva 2022 FASE I ACTUAL (5)'!$C$6:$C$540,'Neiva 2022 FASE I ACTUAL (5)'!$C$6:$F$540,"NO ESTA")</f>
        <v xml:space="preserve">ANDEN INTERNO EN CONCRETO DE 2500 PSI CON ACABADO CEMENTO PULIDO Ref. Planos 03318 </v>
      </c>
      <c r="N114" s="9" t="str">
        <v>M2</v>
      </c>
      <c r="O114" s="9">
        <v>457.19</v>
      </c>
      <c r="P114" s="9">
        <v>94327</v>
      </c>
      <c r="Q114" s="124" t="str">
        <f t="shared" si="14"/>
        <v>FASE II</v>
      </c>
      <c r="R114" s="155">
        <f t="shared" si="9"/>
        <v>457.19</v>
      </c>
      <c r="S114" s="156">
        <f t="shared" si="12"/>
        <v>94327</v>
      </c>
      <c r="T114" s="156">
        <f t="shared" si="13"/>
        <v>43125361.130000003</v>
      </c>
    </row>
    <row r="115" spans="1:20" s="9" customFormat="1" ht="35.1" customHeight="1" x14ac:dyDescent="0.25">
      <c r="A115" s="215"/>
      <c r="B115" s="255" t="s">
        <v>150</v>
      </c>
      <c r="C115" s="254" t="s">
        <v>151</v>
      </c>
      <c r="D115" s="255" t="s">
        <v>13</v>
      </c>
      <c r="E115" s="242">
        <v>0</v>
      </c>
      <c r="F115" s="242">
        <v>1963.08</v>
      </c>
      <c r="G115" s="242">
        <v>1963.08</v>
      </c>
      <c r="H115" s="243">
        <v>8338</v>
      </c>
      <c r="I115" s="243">
        <f t="shared" si="10"/>
        <v>16368161.039999999</v>
      </c>
      <c r="J115" s="8"/>
      <c r="K115" s="8">
        <f t="shared" si="15"/>
        <v>8338</v>
      </c>
      <c r="L115" s="8">
        <f t="shared" si="11"/>
        <v>0</v>
      </c>
      <c r="M115" s="9" t="str">
        <f t="array" ref="M115:P115">_xlfn.XLOOKUP(C115,'Neiva 2022 FASE I ACTUAL (5)'!$C$6:$C$540,'Neiva 2022 FASE I ACTUAL (5)'!$C$6:$F$540,"NO ESTA")</f>
        <v>ACABADO DE PISO DE CONCRETO GRIS PULIDO   Ref. Planos 09650-1</v>
      </c>
      <c r="N115" s="9" t="str">
        <v>M2</v>
      </c>
      <c r="O115" s="9">
        <v>1963.08</v>
      </c>
      <c r="P115" s="9">
        <v>7702</v>
      </c>
      <c r="Q115" s="124" t="str">
        <f t="shared" si="14"/>
        <v>FASE II</v>
      </c>
      <c r="R115" s="155">
        <f t="shared" si="9"/>
        <v>1963.08</v>
      </c>
      <c r="S115" s="156">
        <f t="shared" si="12"/>
        <v>8338</v>
      </c>
      <c r="T115" s="156">
        <f t="shared" si="13"/>
        <v>16368161.039999999</v>
      </c>
    </row>
    <row r="116" spans="1:20" s="9" customFormat="1" ht="35.1" customHeight="1" x14ac:dyDescent="0.25">
      <c r="A116" s="215"/>
      <c r="B116" s="240" t="s">
        <v>152</v>
      </c>
      <c r="C116" s="241" t="s">
        <v>153</v>
      </c>
      <c r="D116" s="240" t="s">
        <v>13</v>
      </c>
      <c r="E116" s="242">
        <v>0</v>
      </c>
      <c r="F116" s="242">
        <v>1.4</v>
      </c>
      <c r="G116" s="242">
        <v>1.4</v>
      </c>
      <c r="H116" s="243">
        <v>109887</v>
      </c>
      <c r="I116" s="243">
        <f t="shared" si="10"/>
        <v>153841.79999999999</v>
      </c>
      <c r="J116" s="8"/>
      <c r="K116" s="8">
        <f t="shared" si="15"/>
        <v>109887</v>
      </c>
      <c r="L116" s="8">
        <f t="shared" si="11"/>
        <v>0</v>
      </c>
      <c r="M116" s="9" t="str">
        <f t="array" ref="M116:P116">_xlfn.XLOOKUP(C116,'Neiva 2022 FASE I ACTUAL (5)'!$C$6:$C$540,'Neiva 2022 FASE I ACTUAL (5)'!$C$6:$F$540,"NO ESTA")</f>
        <v>SUMINISTRO E INSTALACION PISO TABLETA ZONAS COMUNES Incluye ALISTADO Referencia  ALFA 30 X 30 HUILA Ref. Planos 09610.1</v>
      </c>
      <c r="N116" s="9" t="str">
        <v>M2</v>
      </c>
      <c r="O116" s="9">
        <v>1.4</v>
      </c>
      <c r="P116" s="9">
        <v>107920</v>
      </c>
      <c r="Q116" s="124" t="str">
        <f t="shared" si="14"/>
        <v>FASE II</v>
      </c>
      <c r="R116" s="155">
        <f t="shared" si="9"/>
        <v>1.4</v>
      </c>
      <c r="S116" s="156">
        <f t="shared" si="12"/>
        <v>109887</v>
      </c>
      <c r="T116" s="156">
        <f t="shared" si="13"/>
        <v>153841.79999999999</v>
      </c>
    </row>
    <row r="117" spans="1:20" s="9" customFormat="1" ht="35.1" customHeight="1" x14ac:dyDescent="0.25">
      <c r="A117" s="215"/>
      <c r="B117" s="244" t="s">
        <v>154</v>
      </c>
      <c r="C117" s="256" t="s">
        <v>155</v>
      </c>
      <c r="D117" s="256"/>
      <c r="E117" s="246"/>
      <c r="F117" s="246"/>
      <c r="G117" s="246"/>
      <c r="H117" s="252">
        <v>0</v>
      </c>
      <c r="I117" s="243">
        <f t="shared" si="10"/>
        <v>0</v>
      </c>
      <c r="J117" s="8"/>
      <c r="K117" s="8">
        <f t="shared" si="15"/>
        <v>0</v>
      </c>
      <c r="L117" s="8">
        <f t="shared" si="11"/>
        <v>0</v>
      </c>
      <c r="M117" s="9" t="str">
        <f t="array" ref="M117:P117">_xlfn.XLOOKUP(C117,'Neiva 2022 FASE I ACTUAL (5)'!$C$6:$C$540,'Neiva 2022 FASE I ACTUAL (5)'!$C$6:$F$540,"NO ESTA")</f>
        <v>SUMINISTRO E INSTALACIÓN DE PISOS ESPACIO PUBLICO</v>
      </c>
      <c r="N117" s="9">
        <v>0</v>
      </c>
      <c r="O117" s="9">
        <v>0</v>
      </c>
      <c r="P117" s="9">
        <v>0</v>
      </c>
      <c r="Q117" s="124">
        <f t="shared" si="14"/>
        <v>0</v>
      </c>
      <c r="R117" s="155">
        <f t="shared" si="9"/>
        <v>0</v>
      </c>
      <c r="S117" s="156">
        <f t="shared" si="12"/>
        <v>0</v>
      </c>
      <c r="T117" s="156">
        <f t="shared" si="13"/>
        <v>0</v>
      </c>
    </row>
    <row r="118" spans="1:20" s="9" customFormat="1" ht="35.1" customHeight="1" x14ac:dyDescent="0.25">
      <c r="A118" s="215"/>
      <c r="B118" s="255" t="s">
        <v>156</v>
      </c>
      <c r="C118" s="254" t="s">
        <v>157</v>
      </c>
      <c r="D118" s="255" t="s">
        <v>13</v>
      </c>
      <c r="E118" s="242">
        <v>1832.0720000000001</v>
      </c>
      <c r="F118" s="242">
        <v>45.8</v>
      </c>
      <c r="G118" s="242">
        <v>1877.8720000000001</v>
      </c>
      <c r="H118" s="243">
        <v>93118</v>
      </c>
      <c r="I118" s="243">
        <f t="shared" si="10"/>
        <v>174863684.90000001</v>
      </c>
      <c r="J118" s="8"/>
      <c r="K118" s="8">
        <f t="shared" si="15"/>
        <v>93118</v>
      </c>
      <c r="L118" s="8">
        <f t="shared" si="11"/>
        <v>170598880.49600002</v>
      </c>
      <c r="M118" s="9" t="str">
        <f t="array" ref="M118:P118">_xlfn.XLOOKUP(C118,'Neiva 2022 FASE I ACTUAL (5)'!$C$6:$C$540,'Neiva 2022 FASE I ACTUAL (5)'!$C$6:$F$540,"NO ESTA")</f>
        <v>SUMINISTRO E INSTALACION ANDEN EN LOSETA PREFABRICADA Referencia A50  GRIS 40 X 40 incluye alistadio - (Especificación Cartilla Andenes IDU-2011)</v>
      </c>
      <c r="N118" s="9" t="str">
        <v>M2</v>
      </c>
      <c r="O118" s="9">
        <v>45.8</v>
      </c>
      <c r="P118" s="9">
        <v>89363</v>
      </c>
      <c r="Q118" s="124" t="str">
        <f t="shared" si="14"/>
        <v>FASE II</v>
      </c>
      <c r="R118" s="155">
        <f t="shared" si="9"/>
        <v>1877.8720000000001</v>
      </c>
      <c r="S118" s="156">
        <f t="shared" si="12"/>
        <v>93118</v>
      </c>
      <c r="T118" s="156">
        <f t="shared" si="13"/>
        <v>174863684.90000001</v>
      </c>
    </row>
    <row r="119" spans="1:20" s="9" customFormat="1" ht="35.1" customHeight="1" x14ac:dyDescent="0.25">
      <c r="A119" s="215"/>
      <c r="B119" s="255" t="s">
        <v>158</v>
      </c>
      <c r="C119" s="254" t="s">
        <v>159</v>
      </c>
      <c r="D119" s="255" t="s">
        <v>13</v>
      </c>
      <c r="E119" s="242">
        <v>183.66400000000002</v>
      </c>
      <c r="F119" s="242">
        <v>4.59</v>
      </c>
      <c r="G119" s="242">
        <v>188.25400000000002</v>
      </c>
      <c r="H119" s="243">
        <v>97799</v>
      </c>
      <c r="I119" s="243">
        <f t="shared" si="10"/>
        <v>18411052.949999999</v>
      </c>
      <c r="J119" s="8"/>
      <c r="K119" s="8">
        <f t="shared" si="15"/>
        <v>97799</v>
      </c>
      <c r="L119" s="8">
        <f t="shared" si="11"/>
        <v>17962155.536000002</v>
      </c>
      <c r="M119" s="9" t="str">
        <f t="array" ref="M119:P119">_xlfn.XLOOKUP(C119,'Neiva 2022 FASE I ACTUAL (5)'!$C$6:$C$540,'Neiva 2022 FASE I ACTUAL (5)'!$C$6:$F$540,"NO ESTA")</f>
        <v>SUMINISTRO E INSTALACION JARDIN Ref. Planos A2900 (Incluye material aislante, impermeabilizante, tierra, abonos y plantas ornamentales)</v>
      </c>
      <c r="N119" s="9" t="str">
        <v>M2</v>
      </c>
      <c r="O119" s="9">
        <v>4.59</v>
      </c>
      <c r="P119" s="9">
        <v>93854</v>
      </c>
      <c r="Q119" s="124" t="str">
        <f t="shared" si="14"/>
        <v>FASE II</v>
      </c>
      <c r="R119" s="155">
        <f t="shared" si="9"/>
        <v>188.25400000000002</v>
      </c>
      <c r="S119" s="156">
        <f t="shared" si="12"/>
        <v>97799</v>
      </c>
      <c r="T119" s="156">
        <f t="shared" si="13"/>
        <v>18411052.949999999</v>
      </c>
    </row>
    <row r="120" spans="1:20" s="9" customFormat="1" ht="35.1" customHeight="1" x14ac:dyDescent="0.25">
      <c r="A120" s="215"/>
      <c r="B120" s="244" t="s">
        <v>160</v>
      </c>
      <c r="C120" s="256" t="s">
        <v>161</v>
      </c>
      <c r="D120" s="256"/>
      <c r="E120" s="246"/>
      <c r="F120" s="246"/>
      <c r="G120" s="246"/>
      <c r="H120" s="252">
        <v>0</v>
      </c>
      <c r="I120" s="243">
        <f t="shared" si="10"/>
        <v>0</v>
      </c>
      <c r="J120" s="8"/>
      <c r="K120" s="8">
        <f t="shared" si="15"/>
        <v>0</v>
      </c>
      <c r="L120" s="8">
        <f t="shared" si="11"/>
        <v>0</v>
      </c>
      <c r="M120" s="9" t="str">
        <f t="array" ref="M120:P120">_xlfn.XLOOKUP(C120,'Neiva 2022 FASE I ACTUAL (5)'!$C$6:$C$540,'Neiva 2022 FASE I ACTUAL (5)'!$C$6:$F$540,"NO ESTA")</f>
        <v>SUMINISTRO E INSTALACIÓN DE PISOS PISO 1</v>
      </c>
      <c r="N120" s="9">
        <v>0</v>
      </c>
      <c r="O120" s="9">
        <v>0</v>
      </c>
      <c r="P120" s="9">
        <v>0</v>
      </c>
      <c r="Q120" s="124">
        <f t="shared" si="14"/>
        <v>0</v>
      </c>
      <c r="R120" s="155">
        <f t="shared" si="9"/>
        <v>0</v>
      </c>
      <c r="S120" s="156">
        <f t="shared" si="12"/>
        <v>0</v>
      </c>
      <c r="T120" s="156">
        <f t="shared" si="13"/>
        <v>0</v>
      </c>
    </row>
    <row r="121" spans="1:20" s="9" customFormat="1" ht="35.1" customHeight="1" x14ac:dyDescent="0.25">
      <c r="A121" s="215"/>
      <c r="B121" s="255" t="s">
        <v>162</v>
      </c>
      <c r="C121" s="254" t="s">
        <v>153</v>
      </c>
      <c r="D121" s="255" t="s">
        <v>13</v>
      </c>
      <c r="E121" s="242">
        <v>513.95999999999992</v>
      </c>
      <c r="F121" s="242">
        <v>1.4</v>
      </c>
      <c r="G121" s="242">
        <v>515.3599999999999</v>
      </c>
      <c r="H121" s="243">
        <v>109887</v>
      </c>
      <c r="I121" s="243">
        <f t="shared" si="10"/>
        <v>56631364.32</v>
      </c>
      <c r="J121" s="8"/>
      <c r="K121" s="8">
        <f t="shared" si="15"/>
        <v>109887</v>
      </c>
      <c r="L121" s="8">
        <f t="shared" si="11"/>
        <v>56477522.519999988</v>
      </c>
      <c r="M121" s="9" t="str">
        <f t="array" ref="M121:P121">_xlfn.XLOOKUP(C121,'Neiva 2022 FASE I ACTUAL (5)'!$C$6:$C$540,'Neiva 2022 FASE I ACTUAL (5)'!$C$6:$F$540,"NO ESTA")</f>
        <v>SUMINISTRO E INSTALACION PISO TABLETA ZONAS COMUNES Incluye ALISTADO Referencia  ALFA 30 X 30 HUILA Ref. Planos 09610.1</v>
      </c>
      <c r="N121" s="9" t="str">
        <v>M2</v>
      </c>
      <c r="O121" s="9">
        <v>1.4</v>
      </c>
      <c r="P121" s="9">
        <v>107920</v>
      </c>
      <c r="Q121" s="124" t="str">
        <f t="shared" si="14"/>
        <v>FASE II</v>
      </c>
      <c r="R121" s="155">
        <f t="shared" si="9"/>
        <v>515.3599999999999</v>
      </c>
      <c r="S121" s="156">
        <f t="shared" si="12"/>
        <v>109887</v>
      </c>
      <c r="T121" s="156">
        <f t="shared" si="13"/>
        <v>56631364.32</v>
      </c>
    </row>
    <row r="122" spans="1:20" s="9" customFormat="1" ht="35.1" customHeight="1" x14ac:dyDescent="0.25">
      <c r="A122" s="215"/>
      <c r="B122" s="255" t="s">
        <v>163</v>
      </c>
      <c r="C122" s="254" t="s">
        <v>164</v>
      </c>
      <c r="D122" s="255" t="s">
        <v>13</v>
      </c>
      <c r="E122" s="242">
        <v>230.83</v>
      </c>
      <c r="F122" s="242">
        <v>576.27</v>
      </c>
      <c r="G122" s="242">
        <v>807.1</v>
      </c>
      <c r="H122" s="243">
        <v>71709</v>
      </c>
      <c r="I122" s="243">
        <f t="shared" si="10"/>
        <v>57876333.899999999</v>
      </c>
      <c r="J122" s="8"/>
      <c r="K122" s="8">
        <f t="shared" si="15"/>
        <v>71709</v>
      </c>
      <c r="L122" s="8">
        <f t="shared" si="11"/>
        <v>16552588.470000001</v>
      </c>
      <c r="M122" s="9" t="str">
        <f t="array" ref="M122:P122">_xlfn.XLOOKUP(C122,'Neiva 2022 FASE I ACTUAL (5)'!$C$6:$C$540,'Neiva 2022 FASE I ACTUAL (5)'!$C$6:$F$540,"NO ESTA")</f>
        <v>SUMINISTRO E INSTALACION PISO LOSETA PREFABRICADA GRIS Referencia A30 DE 40X60 - (Especificación Cartilla Andenes IDU-2011)  Ref. Planos 09620.8</v>
      </c>
      <c r="N122" s="9" t="str">
        <v>M2</v>
      </c>
      <c r="O122" s="9">
        <v>576.27</v>
      </c>
      <c r="P122" s="9">
        <v>70788</v>
      </c>
      <c r="Q122" s="124" t="str">
        <f t="shared" si="14"/>
        <v>FASE II</v>
      </c>
      <c r="R122" s="155">
        <f t="shared" si="9"/>
        <v>807.1</v>
      </c>
      <c r="S122" s="156">
        <f t="shared" si="12"/>
        <v>71709</v>
      </c>
      <c r="T122" s="156">
        <f t="shared" si="13"/>
        <v>57876333.899999999</v>
      </c>
    </row>
    <row r="123" spans="1:20" s="9" customFormat="1" ht="35.1" customHeight="1" x14ac:dyDescent="0.25">
      <c r="A123" s="215"/>
      <c r="B123" s="255" t="s">
        <v>165</v>
      </c>
      <c r="C123" s="254" t="s">
        <v>166</v>
      </c>
      <c r="D123" s="255" t="s">
        <v>13</v>
      </c>
      <c r="E123" s="242">
        <v>11.069999999999999</v>
      </c>
      <c r="F123" s="242">
        <v>33.11</v>
      </c>
      <c r="G123" s="242">
        <v>44.18</v>
      </c>
      <c r="H123" s="243">
        <v>47796</v>
      </c>
      <c r="I123" s="243">
        <f t="shared" si="10"/>
        <v>2111627.2799999998</v>
      </c>
      <c r="J123" s="8"/>
      <c r="K123" s="8">
        <f t="shared" si="15"/>
        <v>47796</v>
      </c>
      <c r="L123" s="8">
        <f t="shared" si="11"/>
        <v>529101.72</v>
      </c>
      <c r="M123" s="9" t="str">
        <f t="array" ref="M123:P123">_xlfn.XLOOKUP(C123,'Neiva 2022 FASE I ACTUAL (5)'!$C$6:$C$540,'Neiva 2022 FASE I ACTUAL (5)'!$C$6:$F$540,"NO ESTA")</f>
        <v>SUMINISTRO E INSTALACION PISO EN VINILO GRIS TARIMA Ref. Planos 09650.1</v>
      </c>
      <c r="N123" s="9" t="str">
        <v>M2</v>
      </c>
      <c r="O123" s="9">
        <v>33.11</v>
      </c>
      <c r="P123" s="9">
        <v>47493</v>
      </c>
      <c r="Q123" s="124" t="str">
        <f t="shared" si="14"/>
        <v>FASE II</v>
      </c>
      <c r="R123" s="155">
        <f t="shared" si="9"/>
        <v>44.18</v>
      </c>
      <c r="S123" s="156">
        <f t="shared" si="12"/>
        <v>47796</v>
      </c>
      <c r="T123" s="156">
        <f t="shared" si="13"/>
        <v>2111627.2799999998</v>
      </c>
    </row>
    <row r="124" spans="1:20" s="9" customFormat="1" ht="35.1" customHeight="1" x14ac:dyDescent="0.25">
      <c r="A124" s="215"/>
      <c r="B124" s="255" t="s">
        <v>167</v>
      </c>
      <c r="C124" s="254" t="s">
        <v>168</v>
      </c>
      <c r="D124" s="255" t="s">
        <v>13</v>
      </c>
      <c r="E124" s="242">
        <v>12.31</v>
      </c>
      <c r="F124" s="242">
        <v>297.04000000000002</v>
      </c>
      <c r="G124" s="242">
        <v>309.35000000000002</v>
      </c>
      <c r="H124" s="243">
        <v>103651</v>
      </c>
      <c r="I124" s="243">
        <f t="shared" si="10"/>
        <v>32064436.850000001</v>
      </c>
      <c r="J124" s="8"/>
      <c r="K124" s="8">
        <f t="shared" si="15"/>
        <v>103651</v>
      </c>
      <c r="L124" s="8">
        <f t="shared" si="11"/>
        <v>1275943.81</v>
      </c>
      <c r="M124" s="9" t="str">
        <f t="array" ref="M124:P124">_xlfn.XLOOKUP(C124,'Neiva 2022 FASE I ACTUAL (5)'!$C$6:$C$540,'Neiva 2022 FASE I ACTUAL (5)'!$C$6:$F$540,"NO ESTA")</f>
        <v>SUMINISTRO E INSTALACION PISO EN ALFOMBRA Referencia TRAFICO PESADO Ref. Planos 09680.A1</v>
      </c>
      <c r="N124" s="9" t="str">
        <v>M2</v>
      </c>
      <c r="O124" s="9">
        <v>297.04000000000002</v>
      </c>
      <c r="P124" s="9">
        <v>102141</v>
      </c>
      <c r="Q124" s="124" t="str">
        <f t="shared" si="14"/>
        <v>FASE II</v>
      </c>
      <c r="R124" s="155">
        <f t="shared" si="9"/>
        <v>309.35000000000002</v>
      </c>
      <c r="S124" s="156">
        <f t="shared" si="12"/>
        <v>103651</v>
      </c>
      <c r="T124" s="156">
        <f t="shared" si="13"/>
        <v>32064436.850000001</v>
      </c>
    </row>
    <row r="125" spans="1:20" s="9" customFormat="1" ht="35.1" customHeight="1" x14ac:dyDescent="0.25">
      <c r="A125" s="215"/>
      <c r="B125" s="255" t="s">
        <v>169</v>
      </c>
      <c r="C125" s="254" t="s">
        <v>159</v>
      </c>
      <c r="D125" s="255" t="s">
        <v>13</v>
      </c>
      <c r="E125" s="242">
        <v>106.58</v>
      </c>
      <c r="F125" s="242">
        <v>4.59</v>
      </c>
      <c r="G125" s="242">
        <v>111.17</v>
      </c>
      <c r="H125" s="243">
        <v>94259</v>
      </c>
      <c r="I125" s="243">
        <f t="shared" si="10"/>
        <v>10478773.029999999</v>
      </c>
      <c r="J125" s="8"/>
      <c r="K125" s="8">
        <f t="shared" si="15"/>
        <v>94259</v>
      </c>
      <c r="L125" s="8">
        <f t="shared" si="11"/>
        <v>10046124.220000001</v>
      </c>
      <c r="M125" s="9" t="str">
        <f t="array" ref="M125:P125">_xlfn.XLOOKUP(C125,'Neiva 2022 FASE I ACTUAL (5)'!$C$6:$C$540,'Neiva 2022 FASE I ACTUAL (5)'!$C$6:$F$540,"NO ESTA")</f>
        <v>SUMINISTRO E INSTALACION JARDIN Ref. Planos A2900 (Incluye material aislante, impermeabilizante, tierra, abonos y plantas ornamentales)</v>
      </c>
      <c r="N125" s="9" t="str">
        <v>M2</v>
      </c>
      <c r="O125" s="9">
        <v>4.59</v>
      </c>
      <c r="P125" s="9">
        <v>93854</v>
      </c>
      <c r="Q125" s="124" t="str">
        <f t="shared" si="14"/>
        <v>FASE II</v>
      </c>
      <c r="R125" s="155">
        <f t="shared" si="9"/>
        <v>111.17</v>
      </c>
      <c r="S125" s="156">
        <f t="shared" si="12"/>
        <v>94259</v>
      </c>
      <c r="T125" s="156">
        <f t="shared" si="13"/>
        <v>10478773.029999999</v>
      </c>
    </row>
    <row r="126" spans="1:20" s="9" customFormat="1" ht="35.1" customHeight="1" x14ac:dyDescent="0.25">
      <c r="A126" s="215"/>
      <c r="B126" s="270" t="s">
        <v>170</v>
      </c>
      <c r="C126" s="271" t="s">
        <v>171</v>
      </c>
      <c r="D126" s="272"/>
      <c r="E126" s="273"/>
      <c r="F126" s="273"/>
      <c r="G126" s="273"/>
      <c r="H126" s="252">
        <v>0</v>
      </c>
      <c r="I126" s="243">
        <f t="shared" si="10"/>
        <v>0</v>
      </c>
      <c r="J126" s="8"/>
      <c r="K126" s="8">
        <f t="shared" si="15"/>
        <v>0</v>
      </c>
      <c r="L126" s="8">
        <f t="shared" si="11"/>
        <v>0</v>
      </c>
      <c r="M126" s="9" t="str">
        <f t="array" ref="M126:P126">_xlfn.XLOOKUP(C126,'Neiva 2022 FASE I ACTUAL (5)'!$C$6:$C$540,'Neiva 2022 FASE I ACTUAL (5)'!$C$6:$F$540,"NO ESTA")</f>
        <v>SUMINISTRO E INSTALACIÓN DE PISOS PISO 2</v>
      </c>
      <c r="N126" s="9">
        <v>0</v>
      </c>
      <c r="O126" s="9">
        <v>0</v>
      </c>
      <c r="P126" s="9">
        <v>0</v>
      </c>
      <c r="Q126" s="124">
        <f t="shared" si="14"/>
        <v>0</v>
      </c>
      <c r="R126" s="155">
        <f t="shared" si="9"/>
        <v>0</v>
      </c>
      <c r="S126" s="156">
        <f t="shared" si="12"/>
        <v>0</v>
      </c>
      <c r="T126" s="156">
        <f t="shared" si="13"/>
        <v>0</v>
      </c>
    </row>
    <row r="127" spans="1:20" s="9" customFormat="1" ht="35.1" customHeight="1" x14ac:dyDescent="0.25">
      <c r="A127" s="215"/>
      <c r="B127" s="255" t="s">
        <v>172</v>
      </c>
      <c r="C127" s="254" t="s">
        <v>153</v>
      </c>
      <c r="D127" s="255" t="s">
        <v>13</v>
      </c>
      <c r="E127" s="242">
        <v>482.95999999999992</v>
      </c>
      <c r="F127" s="242">
        <v>1.4</v>
      </c>
      <c r="G127" s="242">
        <v>484.3599999999999</v>
      </c>
      <c r="H127" s="243">
        <v>109887</v>
      </c>
      <c r="I127" s="243">
        <f t="shared" si="10"/>
        <v>53224867.32</v>
      </c>
      <c r="J127" s="8"/>
      <c r="K127" s="8">
        <f t="shared" si="15"/>
        <v>109887</v>
      </c>
      <c r="L127" s="8">
        <f t="shared" si="11"/>
        <v>53071025.519999988</v>
      </c>
      <c r="M127" s="9" t="str">
        <f t="array" ref="M127:P127">_xlfn.XLOOKUP(C127,'Neiva 2022 FASE I ACTUAL (5)'!$C$6:$C$540,'Neiva 2022 FASE I ACTUAL (5)'!$C$6:$F$540,"NO ESTA")</f>
        <v>SUMINISTRO E INSTALACION PISO TABLETA ZONAS COMUNES Incluye ALISTADO Referencia  ALFA 30 X 30 HUILA Ref. Planos 09610.1</v>
      </c>
      <c r="N127" s="9" t="str">
        <v>M2</v>
      </c>
      <c r="O127" s="9">
        <v>1.4</v>
      </c>
      <c r="P127" s="9">
        <v>107920</v>
      </c>
      <c r="Q127" s="124" t="str">
        <f t="shared" si="14"/>
        <v>FASE II</v>
      </c>
      <c r="R127" s="155">
        <f t="shared" si="9"/>
        <v>484.3599999999999</v>
      </c>
      <c r="S127" s="156">
        <f t="shared" si="12"/>
        <v>109887</v>
      </c>
      <c r="T127" s="156">
        <f t="shared" si="13"/>
        <v>53224867.32</v>
      </c>
    </row>
    <row r="128" spans="1:20" s="9" customFormat="1" ht="35.1" customHeight="1" x14ac:dyDescent="0.25">
      <c r="A128" s="215"/>
      <c r="B128" s="255" t="s">
        <v>173</v>
      </c>
      <c r="C128" s="254" t="s">
        <v>164</v>
      </c>
      <c r="D128" s="255" t="s">
        <v>13</v>
      </c>
      <c r="E128" s="242">
        <v>80.070000000000007</v>
      </c>
      <c r="F128" s="242">
        <v>576.27</v>
      </c>
      <c r="G128" s="242">
        <v>656.34</v>
      </c>
      <c r="H128" s="243">
        <v>71709</v>
      </c>
      <c r="I128" s="243">
        <f t="shared" si="10"/>
        <v>47065485.060000002</v>
      </c>
      <c r="J128" s="8"/>
      <c r="K128" s="8">
        <f t="shared" si="15"/>
        <v>71709</v>
      </c>
      <c r="L128" s="8">
        <f t="shared" si="11"/>
        <v>5741739.6300000008</v>
      </c>
      <c r="M128" s="9" t="str">
        <f t="array" ref="M128:P128">_xlfn.XLOOKUP(C128,'Neiva 2022 FASE I ACTUAL (5)'!$C$6:$C$540,'Neiva 2022 FASE I ACTUAL (5)'!$C$6:$F$540,"NO ESTA")</f>
        <v>SUMINISTRO E INSTALACION PISO LOSETA PREFABRICADA GRIS Referencia A30 DE 40X60 - (Especificación Cartilla Andenes IDU-2011)  Ref. Planos 09620.8</v>
      </c>
      <c r="N128" s="9" t="str">
        <v>M2</v>
      </c>
      <c r="O128" s="9">
        <v>576.27</v>
      </c>
      <c r="P128" s="9">
        <v>70788</v>
      </c>
      <c r="Q128" s="124" t="str">
        <f t="shared" si="14"/>
        <v>FASE II</v>
      </c>
      <c r="R128" s="155">
        <f t="shared" si="9"/>
        <v>656.34</v>
      </c>
      <c r="S128" s="156">
        <f t="shared" si="12"/>
        <v>71709</v>
      </c>
      <c r="T128" s="156">
        <f t="shared" si="13"/>
        <v>47065485.060000002</v>
      </c>
    </row>
    <row r="129" spans="1:20" s="9" customFormat="1" ht="35.1" customHeight="1" x14ac:dyDescent="0.25">
      <c r="A129" s="215"/>
      <c r="B129" s="255" t="s">
        <v>174</v>
      </c>
      <c r="C129" s="254" t="s">
        <v>159</v>
      </c>
      <c r="D129" s="255" t="s">
        <v>13</v>
      </c>
      <c r="E129" s="242">
        <v>52.37</v>
      </c>
      <c r="F129" s="242">
        <v>4.59</v>
      </c>
      <c r="G129" s="242">
        <v>56.959999999999994</v>
      </c>
      <c r="H129" s="243">
        <v>94259</v>
      </c>
      <c r="I129" s="243">
        <f t="shared" si="10"/>
        <v>5368992.6399999997</v>
      </c>
      <c r="J129" s="8"/>
      <c r="K129" s="8">
        <f t="shared" si="15"/>
        <v>94259</v>
      </c>
      <c r="L129" s="8">
        <f t="shared" si="11"/>
        <v>4936343.83</v>
      </c>
      <c r="M129" s="9" t="str">
        <f t="array" ref="M129:P129">_xlfn.XLOOKUP(C129,'Neiva 2022 FASE I ACTUAL (5)'!$C$6:$C$540,'Neiva 2022 FASE I ACTUAL (5)'!$C$6:$F$540,"NO ESTA")</f>
        <v>SUMINISTRO E INSTALACION JARDIN Ref. Planos A2900 (Incluye material aislante, impermeabilizante, tierra, abonos y plantas ornamentales)</v>
      </c>
      <c r="N129" s="9" t="str">
        <v>M2</v>
      </c>
      <c r="O129" s="9">
        <v>4.59</v>
      </c>
      <c r="P129" s="9">
        <v>93854</v>
      </c>
      <c r="Q129" s="124" t="str">
        <f t="shared" si="14"/>
        <v>FASE II</v>
      </c>
      <c r="R129" s="155">
        <f t="shared" si="9"/>
        <v>56.959999999999994</v>
      </c>
      <c r="S129" s="156">
        <f t="shared" si="12"/>
        <v>94259</v>
      </c>
      <c r="T129" s="156">
        <f t="shared" si="13"/>
        <v>5368992.6399999997</v>
      </c>
    </row>
    <row r="130" spans="1:20" s="9" customFormat="1" ht="35.1" customHeight="1" x14ac:dyDescent="0.25">
      <c r="A130" s="215"/>
      <c r="B130" s="244" t="s">
        <v>1103</v>
      </c>
      <c r="C130" s="245" t="s">
        <v>1104</v>
      </c>
      <c r="D130" s="260"/>
      <c r="E130" s="246"/>
      <c r="F130" s="246"/>
      <c r="G130" s="246"/>
      <c r="H130" s="252">
        <v>0</v>
      </c>
      <c r="I130" s="243">
        <f t="shared" si="10"/>
        <v>0</v>
      </c>
      <c r="J130" s="8"/>
      <c r="K130" s="8">
        <f t="shared" si="15"/>
        <v>0</v>
      </c>
      <c r="L130" s="8">
        <f t="shared" si="11"/>
        <v>0</v>
      </c>
      <c r="M130" s="9" t="str">
        <f t="array" ref="M130">_xlfn.XLOOKUP(C130,'Neiva 2022 FASE I ACTUAL (5)'!$C$6:$C$540,'Neiva 2022 FASE I ACTUAL (5)'!$C$6:$F$540,"NO ESTA")</f>
        <v>NO ESTA</v>
      </c>
      <c r="Q130" s="124">
        <f t="shared" si="14"/>
        <v>0</v>
      </c>
      <c r="R130" s="155">
        <f t="shared" si="9"/>
        <v>0</v>
      </c>
      <c r="S130" s="156">
        <f t="shared" si="12"/>
        <v>0</v>
      </c>
      <c r="T130" s="156">
        <f t="shared" si="13"/>
        <v>0</v>
      </c>
    </row>
    <row r="131" spans="1:20" s="9" customFormat="1" ht="35.1" customHeight="1" x14ac:dyDescent="0.25">
      <c r="A131" s="215"/>
      <c r="B131" s="255" t="s">
        <v>1105</v>
      </c>
      <c r="C131" s="254" t="s">
        <v>153</v>
      </c>
      <c r="D131" s="255" t="s">
        <v>13</v>
      </c>
      <c r="E131" s="242">
        <v>1159.8800000000001</v>
      </c>
      <c r="F131" s="242">
        <v>1.4</v>
      </c>
      <c r="G131" s="242">
        <v>1161.2800000000002</v>
      </c>
      <c r="H131" s="243">
        <v>123428</v>
      </c>
      <c r="I131" s="243">
        <f t="shared" si="10"/>
        <v>143334467.84</v>
      </c>
      <c r="J131" s="8"/>
      <c r="K131" s="8">
        <f t="shared" si="15"/>
        <v>123428</v>
      </c>
      <c r="L131" s="8">
        <f t="shared" si="11"/>
        <v>143161668.64000002</v>
      </c>
      <c r="M131" s="9" t="str">
        <f t="array" ref="M131:P131">_xlfn.XLOOKUP(C131,'Neiva 2022 FASE I ACTUAL (5)'!$C$6:$C$540,'Neiva 2022 FASE I ACTUAL (5)'!$C$6:$F$540,"NO ESTA")</f>
        <v>SUMINISTRO E INSTALACION PISO TABLETA ZONAS COMUNES Incluye ALISTADO Referencia  ALFA 30 X 30 HUILA Ref. Planos 09610.1</v>
      </c>
      <c r="N131" s="9" t="str">
        <v>M2</v>
      </c>
      <c r="O131" s="9">
        <v>1.4</v>
      </c>
      <c r="P131" s="9">
        <v>107920</v>
      </c>
      <c r="Q131" s="124" t="str">
        <f t="shared" si="14"/>
        <v>FASE II</v>
      </c>
      <c r="R131" s="155">
        <f t="shared" si="9"/>
        <v>1161.2800000000002</v>
      </c>
      <c r="S131" s="156">
        <f t="shared" si="12"/>
        <v>123428</v>
      </c>
      <c r="T131" s="156">
        <f t="shared" si="13"/>
        <v>143334467.84</v>
      </c>
    </row>
    <row r="132" spans="1:20" s="9" customFormat="1" ht="35.1" customHeight="1" x14ac:dyDescent="0.25">
      <c r="A132" s="215"/>
      <c r="B132" s="255" t="s">
        <v>1106</v>
      </c>
      <c r="C132" s="254" t="s">
        <v>164</v>
      </c>
      <c r="D132" s="255" t="s">
        <v>13</v>
      </c>
      <c r="E132" s="242">
        <v>53.48</v>
      </c>
      <c r="F132" s="242">
        <v>576.27</v>
      </c>
      <c r="G132" s="242">
        <v>629.75</v>
      </c>
      <c r="H132" s="243">
        <v>71709</v>
      </c>
      <c r="I132" s="243">
        <f t="shared" si="10"/>
        <v>45158742.75</v>
      </c>
      <c r="J132" s="8"/>
      <c r="K132" s="8">
        <f t="shared" si="15"/>
        <v>71709</v>
      </c>
      <c r="L132" s="8">
        <f t="shared" si="11"/>
        <v>3834997.32</v>
      </c>
      <c r="M132" s="9" t="str">
        <f t="array" ref="M132:P132">_xlfn.XLOOKUP(C132,'Neiva 2022 FASE I ACTUAL (5)'!$C$6:$C$540,'Neiva 2022 FASE I ACTUAL (5)'!$C$6:$F$540,"NO ESTA")</f>
        <v>SUMINISTRO E INSTALACION PISO LOSETA PREFABRICADA GRIS Referencia A30 DE 40X60 - (Especificación Cartilla Andenes IDU-2011)  Ref. Planos 09620.8</v>
      </c>
      <c r="N132" s="9" t="str">
        <v>M2</v>
      </c>
      <c r="O132" s="9">
        <v>576.27</v>
      </c>
      <c r="P132" s="9">
        <v>70788</v>
      </c>
      <c r="Q132" s="124" t="str">
        <f t="shared" si="14"/>
        <v>FASE II</v>
      </c>
      <c r="R132" s="155">
        <f t="shared" si="9"/>
        <v>629.75</v>
      </c>
      <c r="S132" s="156">
        <f t="shared" si="12"/>
        <v>71709</v>
      </c>
      <c r="T132" s="156">
        <f t="shared" si="13"/>
        <v>45158742.75</v>
      </c>
    </row>
    <row r="133" spans="1:20" s="9" customFormat="1" ht="35.1" customHeight="1" x14ac:dyDescent="0.25">
      <c r="A133" s="215"/>
      <c r="B133" s="255" t="s">
        <v>1107</v>
      </c>
      <c r="C133" s="254" t="s">
        <v>159</v>
      </c>
      <c r="D133" s="255" t="s">
        <v>13</v>
      </c>
      <c r="E133" s="242">
        <v>9</v>
      </c>
      <c r="F133" s="242">
        <v>4.59</v>
      </c>
      <c r="G133" s="242">
        <v>13.59</v>
      </c>
      <c r="H133" s="243">
        <v>97799</v>
      </c>
      <c r="I133" s="243">
        <f t="shared" si="10"/>
        <v>1329088.4099999999</v>
      </c>
      <c r="J133" s="8"/>
      <c r="K133" s="8">
        <f t="shared" si="15"/>
        <v>97799</v>
      </c>
      <c r="L133" s="8">
        <f t="shared" si="11"/>
        <v>880191</v>
      </c>
      <c r="M133" s="9" t="str">
        <f t="array" ref="M133:P133">_xlfn.XLOOKUP(C133,'Neiva 2022 FASE I ACTUAL (5)'!$C$6:$C$540,'Neiva 2022 FASE I ACTUAL (5)'!$C$6:$F$540,"NO ESTA")</f>
        <v>SUMINISTRO E INSTALACION JARDIN Ref. Planos A2900 (Incluye material aislante, impermeabilizante, tierra, abonos y plantas ornamentales)</v>
      </c>
      <c r="N133" s="9" t="str">
        <v>M2</v>
      </c>
      <c r="O133" s="9">
        <v>4.59</v>
      </c>
      <c r="P133" s="9">
        <v>93854</v>
      </c>
      <c r="Q133" s="124" t="str">
        <f t="shared" si="14"/>
        <v>FASE II</v>
      </c>
      <c r="R133" s="155">
        <f t="shared" si="9"/>
        <v>13.59</v>
      </c>
      <c r="S133" s="156">
        <f t="shared" si="12"/>
        <v>97799</v>
      </c>
      <c r="T133" s="156">
        <f t="shared" si="13"/>
        <v>1329088.4099999999</v>
      </c>
    </row>
    <row r="134" spans="1:20" s="9" customFormat="1" ht="35.1" customHeight="1" x14ac:dyDescent="0.25">
      <c r="A134" s="215"/>
      <c r="B134" s="244" t="s">
        <v>1108</v>
      </c>
      <c r="C134" s="245" t="s">
        <v>1109</v>
      </c>
      <c r="D134" s="260"/>
      <c r="E134" s="246"/>
      <c r="F134" s="246"/>
      <c r="G134" s="246"/>
      <c r="H134" s="252">
        <v>0</v>
      </c>
      <c r="I134" s="243">
        <f t="shared" si="10"/>
        <v>0</v>
      </c>
      <c r="J134" s="8"/>
      <c r="K134" s="8">
        <f t="shared" si="15"/>
        <v>0</v>
      </c>
      <c r="L134" s="8">
        <f t="shared" si="11"/>
        <v>0</v>
      </c>
      <c r="M134" s="9" t="str">
        <f t="array" ref="M134">_xlfn.XLOOKUP(C134,'Neiva 2022 FASE I ACTUAL (5)'!$C$6:$C$540,'Neiva 2022 FASE I ACTUAL (5)'!$C$6:$F$540,"NO ESTA")</f>
        <v>NO ESTA</v>
      </c>
      <c r="Q134" s="124">
        <f t="shared" si="14"/>
        <v>0</v>
      </c>
      <c r="R134" s="155">
        <f t="shared" ref="R134:R197" si="16">E134+O134</f>
        <v>0</v>
      </c>
      <c r="S134" s="156">
        <f t="shared" si="12"/>
        <v>0</v>
      </c>
      <c r="T134" s="156">
        <f t="shared" si="13"/>
        <v>0</v>
      </c>
    </row>
    <row r="135" spans="1:20" s="9" customFormat="1" ht="35.1" customHeight="1" x14ac:dyDescent="0.25">
      <c r="A135" s="215"/>
      <c r="B135" s="255" t="s">
        <v>1110</v>
      </c>
      <c r="C135" s="254" t="s">
        <v>153</v>
      </c>
      <c r="D135" s="255" t="s">
        <v>13</v>
      </c>
      <c r="E135" s="242">
        <v>949.13</v>
      </c>
      <c r="F135" s="242">
        <v>1.4</v>
      </c>
      <c r="G135" s="242">
        <v>950.53</v>
      </c>
      <c r="H135" s="243">
        <v>123428</v>
      </c>
      <c r="I135" s="243">
        <f t="shared" ref="I135:I197" si="17">ROUND(+H135*G135,2)</f>
        <v>117322016.84</v>
      </c>
      <c r="J135" s="8"/>
      <c r="K135" s="8">
        <f t="shared" si="15"/>
        <v>123428</v>
      </c>
      <c r="L135" s="8">
        <f t="shared" ref="L135:L198" si="18">+K135*E135</f>
        <v>117149217.64</v>
      </c>
      <c r="M135" s="9" t="str">
        <f t="array" ref="M135:P135">_xlfn.XLOOKUP(C135,'Neiva 2022 FASE I ACTUAL (5)'!$C$6:$C$540,'Neiva 2022 FASE I ACTUAL (5)'!$C$6:$F$540,"NO ESTA")</f>
        <v>SUMINISTRO E INSTALACION PISO TABLETA ZONAS COMUNES Incluye ALISTADO Referencia  ALFA 30 X 30 HUILA Ref. Planos 09610.1</v>
      </c>
      <c r="N135" s="9" t="str">
        <v>M2</v>
      </c>
      <c r="O135" s="9">
        <v>1.4</v>
      </c>
      <c r="P135" s="9">
        <v>107920</v>
      </c>
      <c r="Q135" s="124" t="str">
        <f t="shared" si="14"/>
        <v>FASE II</v>
      </c>
      <c r="R135" s="155">
        <f t="shared" si="16"/>
        <v>950.53</v>
      </c>
      <c r="S135" s="156">
        <f t="shared" ref="S135:S198" si="19">MAX(P135,H135,K135)</f>
        <v>123428</v>
      </c>
      <c r="T135" s="156">
        <f t="shared" ref="T135:T198" si="20">ROUND(R135*S135,2)</f>
        <v>117322016.84</v>
      </c>
    </row>
    <row r="136" spans="1:20" s="9" customFormat="1" ht="35.1" customHeight="1" x14ac:dyDescent="0.25">
      <c r="A136" s="215"/>
      <c r="B136" s="255" t="s">
        <v>1111</v>
      </c>
      <c r="C136" s="254" t="s">
        <v>159</v>
      </c>
      <c r="D136" s="255" t="s">
        <v>13</v>
      </c>
      <c r="E136" s="242">
        <v>56.54</v>
      </c>
      <c r="F136" s="242">
        <v>4.59</v>
      </c>
      <c r="G136" s="242">
        <v>61.129999999999995</v>
      </c>
      <c r="H136" s="243">
        <v>97799</v>
      </c>
      <c r="I136" s="243">
        <f t="shared" si="17"/>
        <v>5978452.8700000001</v>
      </c>
      <c r="J136" s="8"/>
      <c r="K136" s="8">
        <f t="shared" si="15"/>
        <v>97799</v>
      </c>
      <c r="L136" s="8">
        <f t="shared" si="18"/>
        <v>5529555.46</v>
      </c>
      <c r="M136" s="9" t="str">
        <f t="array" ref="M136:P136">_xlfn.XLOOKUP(C136,'Neiva 2022 FASE I ACTUAL (5)'!$C$6:$C$540,'Neiva 2022 FASE I ACTUAL (5)'!$C$6:$F$540,"NO ESTA")</f>
        <v>SUMINISTRO E INSTALACION JARDIN Ref. Planos A2900 (Incluye material aislante, impermeabilizante, tierra, abonos y plantas ornamentales)</v>
      </c>
      <c r="N136" s="9" t="str">
        <v>M2</v>
      </c>
      <c r="O136" s="9">
        <v>4.59</v>
      </c>
      <c r="P136" s="9">
        <v>93854</v>
      </c>
      <c r="Q136" s="124" t="str">
        <f t="shared" ref="Q136:Q199" si="21">IF(P136=0,0,(IF(H136&lt;P136, "FASE I","FASE II")))</f>
        <v>FASE II</v>
      </c>
      <c r="R136" s="155">
        <f t="shared" si="16"/>
        <v>61.129999999999995</v>
      </c>
      <c r="S136" s="156">
        <f t="shared" si="19"/>
        <v>97799</v>
      </c>
      <c r="T136" s="156">
        <f t="shared" si="20"/>
        <v>5978452.8700000001</v>
      </c>
    </row>
    <row r="137" spans="1:20" s="9" customFormat="1" ht="35.1" customHeight="1" x14ac:dyDescent="0.25">
      <c r="A137" s="215"/>
      <c r="B137" s="247">
        <v>7</v>
      </c>
      <c r="C137" s="248" t="s">
        <v>175</v>
      </c>
      <c r="D137" s="248"/>
      <c r="E137" s="249"/>
      <c r="F137" s="249"/>
      <c r="G137" s="249"/>
      <c r="H137" s="274"/>
      <c r="I137" s="274"/>
      <c r="J137" s="8"/>
      <c r="K137" s="8">
        <f t="shared" si="15"/>
        <v>0</v>
      </c>
      <c r="L137" s="8">
        <f t="shared" si="18"/>
        <v>0</v>
      </c>
      <c r="M137" s="9" t="str">
        <f t="array" ref="M137:P137">_xlfn.XLOOKUP(C137,'Neiva 2022 FASE I ACTUAL (5)'!$C$6:$C$540,'Neiva 2022 FASE I ACTUAL (5)'!$C$6:$F$540,"NO ESTA")</f>
        <v>VENTANERIA</v>
      </c>
      <c r="N137" s="9">
        <v>0</v>
      </c>
      <c r="O137" s="9">
        <v>0</v>
      </c>
      <c r="P137" s="9">
        <v>0</v>
      </c>
      <c r="Q137" s="124">
        <f t="shared" si="21"/>
        <v>0</v>
      </c>
      <c r="R137" s="155">
        <f t="shared" si="16"/>
        <v>0</v>
      </c>
      <c r="S137" s="156">
        <f t="shared" si="19"/>
        <v>0</v>
      </c>
      <c r="T137" s="156">
        <f t="shared" si="20"/>
        <v>0</v>
      </c>
    </row>
    <row r="138" spans="1:20" s="9" customFormat="1" ht="35.1" customHeight="1" x14ac:dyDescent="0.25">
      <c r="A138" s="215"/>
      <c r="B138" s="244" t="s">
        <v>176</v>
      </c>
      <c r="C138" s="256" t="s">
        <v>177</v>
      </c>
      <c r="D138" s="256"/>
      <c r="E138" s="246"/>
      <c r="F138" s="246"/>
      <c r="G138" s="246"/>
      <c r="H138" s="246"/>
      <c r="I138" s="246"/>
      <c r="J138" s="8"/>
      <c r="K138" s="8">
        <f t="shared" si="15"/>
        <v>0</v>
      </c>
      <c r="L138" s="8">
        <f t="shared" si="18"/>
        <v>0</v>
      </c>
      <c r="M138" s="9" t="str">
        <f t="array" ref="M138:P138">_xlfn.XLOOKUP(C138,'Neiva 2022 FASE I ACTUAL (5)'!$C$6:$C$540,'Neiva 2022 FASE I ACTUAL (5)'!$C$6:$F$540,"NO ESTA")</f>
        <v>SUMINISTRO E INSTALACION VENTANAS ESPACIO PUBLICO</v>
      </c>
      <c r="N138" s="9">
        <v>0</v>
      </c>
      <c r="O138" s="9">
        <v>0</v>
      </c>
      <c r="P138" s="9">
        <v>0</v>
      </c>
      <c r="Q138" s="124">
        <f t="shared" si="21"/>
        <v>0</v>
      </c>
      <c r="R138" s="155">
        <f t="shared" si="16"/>
        <v>0</v>
      </c>
      <c r="S138" s="156">
        <f t="shared" si="19"/>
        <v>0</v>
      </c>
      <c r="T138" s="156">
        <f t="shared" si="20"/>
        <v>0</v>
      </c>
    </row>
    <row r="139" spans="1:20" s="9" customFormat="1" ht="35.1" customHeight="1" x14ac:dyDescent="0.25">
      <c r="A139" s="215"/>
      <c r="B139" s="255" t="s">
        <v>178</v>
      </c>
      <c r="C139" s="254" t="s">
        <v>1112</v>
      </c>
      <c r="D139" s="240" t="s">
        <v>13</v>
      </c>
      <c r="E139" s="242">
        <v>0</v>
      </c>
      <c r="F139" s="242">
        <v>4.8600000000000003</v>
      </c>
      <c r="G139" s="242">
        <f>+F139+E139</f>
        <v>4.8600000000000003</v>
      </c>
      <c r="H139" s="243">
        <v>271621</v>
      </c>
      <c r="I139" s="243">
        <f t="shared" si="17"/>
        <v>1320078.06</v>
      </c>
      <c r="J139" s="8"/>
      <c r="K139" s="8">
        <f t="shared" si="15"/>
        <v>271621</v>
      </c>
      <c r="L139" s="8">
        <f t="shared" si="18"/>
        <v>0</v>
      </c>
      <c r="M139" s="9" t="str">
        <f t="array" ref="M139">_xlfn.XLOOKUP(C139,'Neiva 2022 FASE I ACTUAL (5)'!$C$6:$C$540,'Neiva 2022 FASE I ACTUAL (5)'!$C$6:$F$540,"NO ESTA")</f>
        <v>NO ESTA</v>
      </c>
      <c r="Q139" s="124">
        <f t="shared" si="21"/>
        <v>0</v>
      </c>
      <c r="R139" s="155">
        <f t="shared" si="16"/>
        <v>0</v>
      </c>
      <c r="S139" s="156">
        <f t="shared" si="19"/>
        <v>271621</v>
      </c>
      <c r="T139" s="156">
        <f t="shared" si="20"/>
        <v>0</v>
      </c>
    </row>
    <row r="140" spans="1:20" s="9" customFormat="1" ht="35.1" customHeight="1" x14ac:dyDescent="0.25">
      <c r="A140" s="215"/>
      <c r="B140" s="244" t="s">
        <v>180</v>
      </c>
      <c r="C140" s="245" t="s">
        <v>181</v>
      </c>
      <c r="D140" s="244"/>
      <c r="E140" s="246"/>
      <c r="F140" s="246"/>
      <c r="G140" s="246"/>
      <c r="H140" s="246"/>
      <c r="I140" s="246"/>
      <c r="J140" s="8"/>
      <c r="K140" s="8">
        <f t="shared" si="15"/>
        <v>0</v>
      </c>
      <c r="L140" s="8">
        <f t="shared" si="18"/>
        <v>0</v>
      </c>
      <c r="M140" s="9" t="str">
        <f t="array" ref="M140:P140">_xlfn.XLOOKUP(C140,'Neiva 2022 FASE I ACTUAL (5)'!$C$6:$C$540,'Neiva 2022 FASE I ACTUAL (5)'!$C$6:$F$540,"NO ESTA")</f>
        <v>SUMINISTRO E INSTALACION VENTANAS PISO 1</v>
      </c>
      <c r="N140" s="9">
        <v>0</v>
      </c>
      <c r="O140" s="9">
        <v>0</v>
      </c>
      <c r="P140" s="9">
        <v>0</v>
      </c>
      <c r="Q140" s="124">
        <f t="shared" si="21"/>
        <v>0</v>
      </c>
      <c r="R140" s="155">
        <f t="shared" si="16"/>
        <v>0</v>
      </c>
      <c r="S140" s="156">
        <f t="shared" si="19"/>
        <v>0</v>
      </c>
      <c r="T140" s="156">
        <f t="shared" si="20"/>
        <v>0</v>
      </c>
    </row>
    <row r="141" spans="1:20" s="9" customFormat="1" ht="35.1" customHeight="1" x14ac:dyDescent="0.25">
      <c r="A141" s="215"/>
      <c r="B141" s="255" t="s">
        <v>182</v>
      </c>
      <c r="C141" s="254" t="s">
        <v>183</v>
      </c>
      <c r="D141" s="240" t="s">
        <v>13</v>
      </c>
      <c r="E141" s="242">
        <v>0</v>
      </c>
      <c r="F141" s="242">
        <v>0.55000000000000004</v>
      </c>
      <c r="G141" s="242">
        <v>0.55000000000000004</v>
      </c>
      <c r="H141" s="243">
        <v>271621</v>
      </c>
      <c r="I141" s="243">
        <f t="shared" si="17"/>
        <v>149391.54999999999</v>
      </c>
      <c r="J141" s="8"/>
      <c r="K141" s="8">
        <f t="shared" si="15"/>
        <v>271621</v>
      </c>
      <c r="L141" s="8">
        <f t="shared" si="18"/>
        <v>0</v>
      </c>
      <c r="M141" s="9" t="str">
        <f t="array" ref="M141:P141">_xlfn.XLOOKUP(C141,'Neiva 2022 FASE I ACTUAL (5)'!$C$6:$C$540,'Neiva 2022 FASE I ACTUAL (5)'!$C$6:$F$540,"NO ESTA")</f>
        <v>SUMINISTRO E INSTALACION VENTANA EN ALUMINIO o similar TIPO V3 Incluye VIDRIO Referencia SOLARBAN Ver NOTAS GENERALES DE PLANCHA</v>
      </c>
      <c r="N141" s="9" t="str">
        <v>M2</v>
      </c>
      <c r="O141" s="9">
        <v>0.55000000000000004</v>
      </c>
      <c r="P141" s="9">
        <v>260667</v>
      </c>
      <c r="Q141" s="124" t="str">
        <f t="shared" si="21"/>
        <v>FASE II</v>
      </c>
      <c r="R141" s="155">
        <f t="shared" si="16"/>
        <v>0.55000000000000004</v>
      </c>
      <c r="S141" s="156">
        <f t="shared" si="19"/>
        <v>271621</v>
      </c>
      <c r="T141" s="156">
        <f t="shared" si="20"/>
        <v>149391.54999999999</v>
      </c>
    </row>
    <row r="142" spans="1:20" s="9" customFormat="1" ht="35.1" customHeight="1" x14ac:dyDescent="0.25">
      <c r="A142" s="215"/>
      <c r="B142" s="255" t="s">
        <v>184</v>
      </c>
      <c r="C142" s="254" t="s">
        <v>1113</v>
      </c>
      <c r="D142" s="240" t="s">
        <v>13</v>
      </c>
      <c r="E142" s="242">
        <v>0</v>
      </c>
      <c r="F142" s="242">
        <v>0.36</v>
      </c>
      <c r="G142" s="242">
        <f>+F142+E142</f>
        <v>0.36</v>
      </c>
      <c r="H142" s="243">
        <v>271621</v>
      </c>
      <c r="I142" s="243">
        <f t="shared" si="17"/>
        <v>97783.56</v>
      </c>
      <c r="J142" s="8"/>
      <c r="K142" s="8">
        <f t="shared" si="15"/>
        <v>271621</v>
      </c>
      <c r="L142" s="8">
        <f t="shared" si="18"/>
        <v>0</v>
      </c>
      <c r="M142" s="9" t="str">
        <f t="array" ref="M142">_xlfn.XLOOKUP(C142,'Neiva 2022 FASE I ACTUAL (5)'!$C$6:$C$540,'Neiva 2022 FASE I ACTUAL (5)'!$C$6:$F$540,"NO ESTA")</f>
        <v>NO ESTA</v>
      </c>
      <c r="Q142" s="124">
        <f t="shared" si="21"/>
        <v>0</v>
      </c>
      <c r="R142" s="155">
        <f t="shared" si="16"/>
        <v>0</v>
      </c>
      <c r="S142" s="156">
        <f t="shared" si="19"/>
        <v>271621</v>
      </c>
      <c r="T142" s="156">
        <f t="shared" si="20"/>
        <v>0</v>
      </c>
    </row>
    <row r="143" spans="1:20" s="9" customFormat="1" ht="35.1" customHeight="1" x14ac:dyDescent="0.25">
      <c r="A143" s="215"/>
      <c r="B143" s="244" t="s">
        <v>186</v>
      </c>
      <c r="C143" s="245" t="s">
        <v>187</v>
      </c>
      <c r="D143" s="244"/>
      <c r="E143" s="246"/>
      <c r="F143" s="246"/>
      <c r="G143" s="246"/>
      <c r="H143" s="246"/>
      <c r="I143" s="246"/>
      <c r="J143" s="8"/>
      <c r="K143" s="8">
        <f t="shared" si="15"/>
        <v>0</v>
      </c>
      <c r="L143" s="8">
        <f t="shared" si="18"/>
        <v>0</v>
      </c>
      <c r="M143" s="9" t="str">
        <f t="array" ref="M143:P143">_xlfn.XLOOKUP(C143,'Neiva 2022 FASE I ACTUAL (5)'!$C$6:$C$540,'Neiva 2022 FASE I ACTUAL (5)'!$C$6:$F$540,"NO ESTA")</f>
        <v>SUMINISTRO E INSTALACION VENTANAS PISO 2</v>
      </c>
      <c r="N143" s="9">
        <v>0</v>
      </c>
      <c r="O143" s="9">
        <v>0</v>
      </c>
      <c r="P143" s="9">
        <v>0</v>
      </c>
      <c r="Q143" s="124">
        <f t="shared" si="21"/>
        <v>0</v>
      </c>
      <c r="R143" s="155">
        <f t="shared" si="16"/>
        <v>0</v>
      </c>
      <c r="S143" s="156">
        <f t="shared" si="19"/>
        <v>0</v>
      </c>
      <c r="T143" s="156">
        <f t="shared" si="20"/>
        <v>0</v>
      </c>
    </row>
    <row r="144" spans="1:20" s="9" customFormat="1" ht="35.1" customHeight="1" x14ac:dyDescent="0.25">
      <c r="A144" s="215"/>
      <c r="B144" s="255" t="s">
        <v>188</v>
      </c>
      <c r="C144" s="254" t="s">
        <v>189</v>
      </c>
      <c r="D144" s="240" t="s">
        <v>13</v>
      </c>
      <c r="E144" s="242">
        <v>0</v>
      </c>
      <c r="F144" s="242">
        <v>0.05</v>
      </c>
      <c r="G144" s="242">
        <v>0.05</v>
      </c>
      <c r="H144" s="243">
        <v>271621</v>
      </c>
      <c r="I144" s="243">
        <f t="shared" si="17"/>
        <v>13581.05</v>
      </c>
      <c r="J144" s="8"/>
      <c r="K144" s="8">
        <f t="shared" si="15"/>
        <v>271621</v>
      </c>
      <c r="L144" s="8">
        <f t="shared" si="18"/>
        <v>0</v>
      </c>
      <c r="M144" s="9" t="str">
        <f t="array" ref="M144:P144">_xlfn.XLOOKUP(C144,'Neiva 2022 FASE I ACTUAL (5)'!$C$6:$C$540,'Neiva 2022 FASE I ACTUAL (5)'!$C$6:$F$540,"NO ESTA")</f>
        <v>SUMINISTRO E INSTALACION VENTANA EN ALUMINIO o similar TIPO V1 Incluye VIDRIO Referencia SOLARBAN Ver NOTAS GENERALES DE PLANCHA</v>
      </c>
      <c r="N144" s="9" t="str">
        <v>M2</v>
      </c>
      <c r="O144" s="9">
        <v>0.05</v>
      </c>
      <c r="P144" s="9">
        <v>260667</v>
      </c>
      <c r="Q144" s="124" t="str">
        <f t="shared" si="21"/>
        <v>FASE II</v>
      </c>
      <c r="R144" s="155">
        <f t="shared" si="16"/>
        <v>0.05</v>
      </c>
      <c r="S144" s="156">
        <f t="shared" si="19"/>
        <v>271621</v>
      </c>
      <c r="T144" s="156">
        <f t="shared" si="20"/>
        <v>13581.05</v>
      </c>
    </row>
    <row r="145" spans="1:20" s="9" customFormat="1" ht="35.1" customHeight="1" x14ac:dyDescent="0.25">
      <c r="A145" s="215"/>
      <c r="B145" s="255" t="s">
        <v>190</v>
      </c>
      <c r="C145" s="254" t="s">
        <v>191</v>
      </c>
      <c r="D145" s="240" t="s">
        <v>13</v>
      </c>
      <c r="E145" s="242">
        <v>0</v>
      </c>
      <c r="F145" s="242">
        <v>0.32</v>
      </c>
      <c r="G145" s="242">
        <v>0.32</v>
      </c>
      <c r="H145" s="243">
        <v>271621</v>
      </c>
      <c r="I145" s="243">
        <f t="shared" si="17"/>
        <v>86918.720000000001</v>
      </c>
      <c r="J145" s="8"/>
      <c r="K145" s="8">
        <f t="shared" si="15"/>
        <v>271621</v>
      </c>
      <c r="L145" s="8">
        <f t="shared" si="18"/>
        <v>0</v>
      </c>
      <c r="M145" s="9" t="str">
        <f t="array" ref="M145:P145">_xlfn.XLOOKUP(C145,'Neiva 2022 FASE I ACTUAL (5)'!$C$6:$C$540,'Neiva 2022 FASE I ACTUAL (5)'!$C$6:$F$540,"NO ESTA")</f>
        <v>SUMINISTRO E INSTALACION VENTANA EN ALUMINIO o similar TIPO V2 Incluye VIDRIO Referencia SOLARBAN Ver NOTAS GENERALES DE PLANCHA</v>
      </c>
      <c r="N145" s="9" t="str">
        <v>M2</v>
      </c>
      <c r="O145" s="9">
        <v>0.32</v>
      </c>
      <c r="P145" s="9">
        <v>260667</v>
      </c>
      <c r="Q145" s="124" t="str">
        <f t="shared" si="21"/>
        <v>FASE II</v>
      </c>
      <c r="R145" s="155">
        <f t="shared" si="16"/>
        <v>0.32</v>
      </c>
      <c r="S145" s="156">
        <f t="shared" si="19"/>
        <v>271621</v>
      </c>
      <c r="T145" s="156">
        <f t="shared" si="20"/>
        <v>86918.720000000001</v>
      </c>
    </row>
    <row r="146" spans="1:20" s="9" customFormat="1" ht="35.1" customHeight="1" x14ac:dyDescent="0.25">
      <c r="A146" s="215"/>
      <c r="B146" s="255" t="s">
        <v>192</v>
      </c>
      <c r="C146" s="254" t="s">
        <v>183</v>
      </c>
      <c r="D146" s="240" t="s">
        <v>13</v>
      </c>
      <c r="E146" s="242">
        <v>0</v>
      </c>
      <c r="F146" s="242">
        <v>0.55000000000000004</v>
      </c>
      <c r="G146" s="242">
        <v>0.55000000000000004</v>
      </c>
      <c r="H146" s="243">
        <v>271621</v>
      </c>
      <c r="I146" s="243">
        <f t="shared" si="17"/>
        <v>149391.54999999999</v>
      </c>
      <c r="J146" s="8"/>
      <c r="K146" s="8">
        <f t="shared" si="15"/>
        <v>271621</v>
      </c>
      <c r="L146" s="8">
        <f t="shared" si="18"/>
        <v>0</v>
      </c>
      <c r="M146" s="9" t="str">
        <f t="array" ref="M146:P146">_xlfn.XLOOKUP(C146,'Neiva 2022 FASE I ACTUAL (5)'!$C$6:$C$540,'Neiva 2022 FASE I ACTUAL (5)'!$C$6:$F$540,"NO ESTA")</f>
        <v>SUMINISTRO E INSTALACION VENTANA EN ALUMINIO o similar TIPO V3 Incluye VIDRIO Referencia SOLARBAN Ver NOTAS GENERALES DE PLANCHA</v>
      </c>
      <c r="N146" s="9" t="str">
        <v>M2</v>
      </c>
      <c r="O146" s="9">
        <v>0.55000000000000004</v>
      </c>
      <c r="P146" s="9">
        <v>260667</v>
      </c>
      <c r="Q146" s="124" t="str">
        <f t="shared" si="21"/>
        <v>FASE II</v>
      </c>
      <c r="R146" s="155">
        <f t="shared" si="16"/>
        <v>0.55000000000000004</v>
      </c>
      <c r="S146" s="156">
        <f t="shared" si="19"/>
        <v>271621</v>
      </c>
      <c r="T146" s="156">
        <f t="shared" si="20"/>
        <v>149391.54999999999</v>
      </c>
    </row>
    <row r="147" spans="1:20" s="9" customFormat="1" ht="35.1" customHeight="1" x14ac:dyDescent="0.25">
      <c r="A147" s="215"/>
      <c r="B147" s="255" t="s">
        <v>193</v>
      </c>
      <c r="C147" s="254" t="s">
        <v>1114</v>
      </c>
      <c r="D147" s="240" t="s">
        <v>13</v>
      </c>
      <c r="E147" s="242">
        <v>0</v>
      </c>
      <c r="F147" s="242">
        <v>0.12</v>
      </c>
      <c r="G147" s="242">
        <f>+F147+E147</f>
        <v>0.12</v>
      </c>
      <c r="H147" s="243">
        <v>271621</v>
      </c>
      <c r="I147" s="243">
        <f t="shared" si="17"/>
        <v>32594.52</v>
      </c>
      <c r="J147" s="8"/>
      <c r="K147" s="8">
        <f t="shared" si="15"/>
        <v>271621</v>
      </c>
      <c r="L147" s="8">
        <f t="shared" si="18"/>
        <v>0</v>
      </c>
      <c r="M147" s="9" t="str">
        <f t="array" ref="M147">_xlfn.XLOOKUP(C147,'Neiva 2022 FASE I ACTUAL (5)'!$C$6:$C$540,'Neiva 2022 FASE I ACTUAL (5)'!$C$6:$F$540,"NO ESTA")</f>
        <v>NO ESTA</v>
      </c>
      <c r="Q147" s="124">
        <f t="shared" si="21"/>
        <v>0</v>
      </c>
      <c r="R147" s="155">
        <f t="shared" si="16"/>
        <v>0</v>
      </c>
      <c r="S147" s="156">
        <f t="shared" si="19"/>
        <v>271621</v>
      </c>
      <c r="T147" s="156">
        <f t="shared" si="20"/>
        <v>0</v>
      </c>
    </row>
    <row r="148" spans="1:20" s="9" customFormat="1" ht="35.1" customHeight="1" x14ac:dyDescent="0.25">
      <c r="A148" s="215"/>
      <c r="B148" s="255" t="s">
        <v>194</v>
      </c>
      <c r="C148" s="254" t="s">
        <v>195</v>
      </c>
      <c r="D148" s="240" t="s">
        <v>13</v>
      </c>
      <c r="E148" s="242">
        <v>0</v>
      </c>
      <c r="F148" s="242">
        <v>0.36</v>
      </c>
      <c r="G148" s="242">
        <v>0.36</v>
      </c>
      <c r="H148" s="243">
        <v>271621</v>
      </c>
      <c r="I148" s="243">
        <f t="shared" si="17"/>
        <v>97783.56</v>
      </c>
      <c r="J148" s="8"/>
      <c r="K148" s="8">
        <f t="shared" si="15"/>
        <v>271621</v>
      </c>
      <c r="L148" s="8">
        <f t="shared" si="18"/>
        <v>0</v>
      </c>
      <c r="M148" s="9" t="str">
        <f t="array" ref="M148:P148">_xlfn.XLOOKUP(C148,'Neiva 2022 FASE I ACTUAL (5)'!$C$6:$C$540,'Neiva 2022 FASE I ACTUAL (5)'!$C$6:$F$540,"NO ESTA")</f>
        <v>SUMINISTRO E INSTALACION VENTANA EN ALUMINIO o similar TIPO V5 Incluye VIDRIO Referencia SOLARBAN Ver NOTAS GENERALES DE PLANCHA</v>
      </c>
      <c r="N148" s="9" t="str">
        <v>M2</v>
      </c>
      <c r="O148" s="9">
        <v>0.36</v>
      </c>
      <c r="P148" s="9">
        <v>260667</v>
      </c>
      <c r="Q148" s="124" t="str">
        <f t="shared" si="21"/>
        <v>FASE II</v>
      </c>
      <c r="R148" s="155">
        <f t="shared" si="16"/>
        <v>0.36</v>
      </c>
      <c r="S148" s="156">
        <f t="shared" si="19"/>
        <v>271621</v>
      </c>
      <c r="T148" s="156">
        <f t="shared" si="20"/>
        <v>97783.56</v>
      </c>
    </row>
    <row r="149" spans="1:20" s="9" customFormat="1" ht="35.1" customHeight="1" x14ac:dyDescent="0.25">
      <c r="A149" s="215"/>
      <c r="B149" s="244" t="s">
        <v>1115</v>
      </c>
      <c r="C149" s="245" t="s">
        <v>1116</v>
      </c>
      <c r="D149" s="244"/>
      <c r="E149" s="246"/>
      <c r="F149" s="246"/>
      <c r="G149" s="246"/>
      <c r="H149" s="246"/>
      <c r="I149" s="246"/>
      <c r="J149" s="8"/>
      <c r="K149" s="8">
        <f t="shared" si="15"/>
        <v>0</v>
      </c>
      <c r="L149" s="8">
        <f t="shared" si="18"/>
        <v>0</v>
      </c>
      <c r="M149" s="9" t="str">
        <f t="array" ref="M149">_xlfn.XLOOKUP(C149,'Neiva 2022 FASE I ACTUAL (5)'!$C$6:$C$540,'Neiva 2022 FASE I ACTUAL (5)'!$C$6:$F$540,"NO ESTA")</f>
        <v>NO ESTA</v>
      </c>
      <c r="Q149" s="124">
        <f t="shared" si="21"/>
        <v>0</v>
      </c>
      <c r="R149" s="155">
        <f t="shared" si="16"/>
        <v>0</v>
      </c>
      <c r="S149" s="156">
        <f t="shared" si="19"/>
        <v>0</v>
      </c>
      <c r="T149" s="156">
        <f t="shared" si="20"/>
        <v>0</v>
      </c>
    </row>
    <row r="150" spans="1:20" s="9" customFormat="1" ht="35.1" customHeight="1" x14ac:dyDescent="0.25">
      <c r="A150" s="215"/>
      <c r="B150" s="255" t="s">
        <v>1117</v>
      </c>
      <c r="C150" s="254" t="s">
        <v>189</v>
      </c>
      <c r="D150" s="240" t="s">
        <v>13</v>
      </c>
      <c r="E150" s="242">
        <v>0.54</v>
      </c>
      <c r="F150" s="242">
        <v>0.05</v>
      </c>
      <c r="G150" s="242">
        <v>0.59000000000000008</v>
      </c>
      <c r="H150" s="243">
        <v>272315</v>
      </c>
      <c r="I150" s="243">
        <f t="shared" si="17"/>
        <v>160665.85</v>
      </c>
      <c r="J150" s="8"/>
      <c r="K150" s="8">
        <f t="shared" si="15"/>
        <v>272315</v>
      </c>
      <c r="L150" s="8">
        <f t="shared" si="18"/>
        <v>147050.1</v>
      </c>
      <c r="M150" s="9" t="str">
        <f t="array" ref="M150:P150">_xlfn.XLOOKUP(C150,'Neiva 2022 FASE I ACTUAL (5)'!$C$6:$C$540,'Neiva 2022 FASE I ACTUAL (5)'!$C$6:$F$540,"NO ESTA")</f>
        <v>SUMINISTRO E INSTALACION VENTANA EN ALUMINIO o similar TIPO V1 Incluye VIDRIO Referencia SOLARBAN Ver NOTAS GENERALES DE PLANCHA</v>
      </c>
      <c r="N150" s="9" t="str">
        <v>M2</v>
      </c>
      <c r="O150" s="9">
        <v>0.05</v>
      </c>
      <c r="P150" s="9">
        <v>260667</v>
      </c>
      <c r="Q150" s="124" t="str">
        <f t="shared" si="21"/>
        <v>FASE II</v>
      </c>
      <c r="R150" s="155">
        <f t="shared" si="16"/>
        <v>0.59000000000000008</v>
      </c>
      <c r="S150" s="156">
        <f t="shared" si="19"/>
        <v>272315</v>
      </c>
      <c r="T150" s="156">
        <f t="shared" si="20"/>
        <v>160665.85</v>
      </c>
    </row>
    <row r="151" spans="1:20" s="9" customFormat="1" ht="35.1" customHeight="1" x14ac:dyDescent="0.25">
      <c r="A151" s="215"/>
      <c r="B151" s="255" t="s">
        <v>1118</v>
      </c>
      <c r="C151" s="254" t="s">
        <v>191</v>
      </c>
      <c r="D151" s="240" t="s">
        <v>13</v>
      </c>
      <c r="E151" s="242">
        <v>2.38</v>
      </c>
      <c r="F151" s="242">
        <v>0.32</v>
      </c>
      <c r="G151" s="242">
        <v>2.6999999999999997</v>
      </c>
      <c r="H151" s="243">
        <v>272315</v>
      </c>
      <c r="I151" s="243">
        <f t="shared" si="17"/>
        <v>735250.5</v>
      </c>
      <c r="J151" s="8"/>
      <c r="K151" s="8">
        <f t="shared" si="15"/>
        <v>272315</v>
      </c>
      <c r="L151" s="8">
        <f t="shared" si="18"/>
        <v>648109.69999999995</v>
      </c>
      <c r="M151" s="9" t="str">
        <f t="array" ref="M151:P151">_xlfn.XLOOKUP(C151,'Neiva 2022 FASE I ACTUAL (5)'!$C$6:$C$540,'Neiva 2022 FASE I ACTUAL (5)'!$C$6:$F$540,"NO ESTA")</f>
        <v>SUMINISTRO E INSTALACION VENTANA EN ALUMINIO o similar TIPO V2 Incluye VIDRIO Referencia SOLARBAN Ver NOTAS GENERALES DE PLANCHA</v>
      </c>
      <c r="N151" s="9" t="str">
        <v>M2</v>
      </c>
      <c r="O151" s="9">
        <v>0.32</v>
      </c>
      <c r="P151" s="9">
        <v>260667</v>
      </c>
      <c r="Q151" s="124" t="str">
        <f t="shared" si="21"/>
        <v>FASE II</v>
      </c>
      <c r="R151" s="155">
        <f t="shared" si="16"/>
        <v>2.6999999999999997</v>
      </c>
      <c r="S151" s="156">
        <f t="shared" si="19"/>
        <v>272315</v>
      </c>
      <c r="T151" s="156">
        <f t="shared" si="20"/>
        <v>735250.5</v>
      </c>
    </row>
    <row r="152" spans="1:20" s="9" customFormat="1" ht="35.1" customHeight="1" x14ac:dyDescent="0.25">
      <c r="A152" s="215"/>
      <c r="B152" s="255" t="s">
        <v>1119</v>
      </c>
      <c r="C152" s="254" t="s">
        <v>183</v>
      </c>
      <c r="D152" s="240" t="s">
        <v>13</v>
      </c>
      <c r="E152" s="242">
        <v>3.45</v>
      </c>
      <c r="F152" s="242">
        <v>0.55000000000000004</v>
      </c>
      <c r="G152" s="242">
        <v>4</v>
      </c>
      <c r="H152" s="243">
        <v>272315</v>
      </c>
      <c r="I152" s="243">
        <f t="shared" si="17"/>
        <v>1089260</v>
      </c>
      <c r="J152" s="8"/>
      <c r="K152" s="8">
        <f t="shared" si="15"/>
        <v>272315</v>
      </c>
      <c r="L152" s="8">
        <f t="shared" si="18"/>
        <v>939486.75</v>
      </c>
      <c r="M152" s="9" t="str">
        <f t="array" ref="M152:P152">_xlfn.XLOOKUP(C152,'Neiva 2022 FASE I ACTUAL (5)'!$C$6:$C$540,'Neiva 2022 FASE I ACTUAL (5)'!$C$6:$F$540,"NO ESTA")</f>
        <v>SUMINISTRO E INSTALACION VENTANA EN ALUMINIO o similar TIPO V3 Incluye VIDRIO Referencia SOLARBAN Ver NOTAS GENERALES DE PLANCHA</v>
      </c>
      <c r="N152" s="9" t="str">
        <v>M2</v>
      </c>
      <c r="O152" s="9">
        <v>0.55000000000000004</v>
      </c>
      <c r="P152" s="9">
        <v>260667</v>
      </c>
      <c r="Q152" s="124" t="str">
        <f t="shared" si="21"/>
        <v>FASE II</v>
      </c>
      <c r="R152" s="155">
        <f t="shared" si="16"/>
        <v>4</v>
      </c>
      <c r="S152" s="156">
        <f t="shared" si="19"/>
        <v>272315</v>
      </c>
      <c r="T152" s="156">
        <f t="shared" si="20"/>
        <v>1089260</v>
      </c>
    </row>
    <row r="153" spans="1:20" s="9" customFormat="1" ht="35.1" customHeight="1" x14ac:dyDescent="0.25">
      <c r="A153" s="215"/>
      <c r="B153" s="255" t="s">
        <v>1120</v>
      </c>
      <c r="C153" s="254" t="s">
        <v>195</v>
      </c>
      <c r="D153" s="240" t="s">
        <v>13</v>
      </c>
      <c r="E153" s="242">
        <v>1.8</v>
      </c>
      <c r="F153" s="242">
        <v>0.36</v>
      </c>
      <c r="G153" s="242">
        <v>2.16</v>
      </c>
      <c r="H153" s="243">
        <v>272315</v>
      </c>
      <c r="I153" s="243">
        <f t="shared" si="17"/>
        <v>588200.4</v>
      </c>
      <c r="J153" s="8"/>
      <c r="K153" s="8">
        <f t="shared" si="15"/>
        <v>272315</v>
      </c>
      <c r="L153" s="8">
        <f t="shared" si="18"/>
        <v>490167</v>
      </c>
      <c r="M153" s="9" t="str">
        <f t="array" ref="M153:P153">_xlfn.XLOOKUP(C153,'Neiva 2022 FASE I ACTUAL (5)'!$C$6:$C$540,'Neiva 2022 FASE I ACTUAL (5)'!$C$6:$F$540,"NO ESTA")</f>
        <v>SUMINISTRO E INSTALACION VENTANA EN ALUMINIO o similar TIPO V5 Incluye VIDRIO Referencia SOLARBAN Ver NOTAS GENERALES DE PLANCHA</v>
      </c>
      <c r="N153" s="9" t="str">
        <v>M2</v>
      </c>
      <c r="O153" s="9">
        <v>0.36</v>
      </c>
      <c r="P153" s="9">
        <v>260667</v>
      </c>
      <c r="Q153" s="124" t="str">
        <f t="shared" si="21"/>
        <v>FASE II</v>
      </c>
      <c r="R153" s="155">
        <f t="shared" si="16"/>
        <v>2.16</v>
      </c>
      <c r="S153" s="156">
        <f t="shared" si="19"/>
        <v>272315</v>
      </c>
      <c r="T153" s="156">
        <f t="shared" si="20"/>
        <v>588200.4</v>
      </c>
    </row>
    <row r="154" spans="1:20" s="9" customFormat="1" ht="35.1" customHeight="1" x14ac:dyDescent="0.25">
      <c r="A154" s="215"/>
      <c r="B154" s="244" t="s">
        <v>1121</v>
      </c>
      <c r="C154" s="245" t="s">
        <v>1122</v>
      </c>
      <c r="D154" s="244"/>
      <c r="E154" s="246"/>
      <c r="F154" s="246"/>
      <c r="G154" s="246"/>
      <c r="H154" s="246"/>
      <c r="I154" s="246"/>
      <c r="J154" s="8"/>
      <c r="K154" s="8">
        <f t="shared" si="15"/>
        <v>0</v>
      </c>
      <c r="L154" s="8">
        <f t="shared" si="18"/>
        <v>0</v>
      </c>
      <c r="M154" s="9" t="str">
        <f t="array" ref="M154">_xlfn.XLOOKUP(C154,'Neiva 2022 FASE I ACTUAL (5)'!$C$6:$C$540,'Neiva 2022 FASE I ACTUAL (5)'!$C$6:$F$540,"NO ESTA")</f>
        <v>NO ESTA</v>
      </c>
      <c r="Q154" s="124">
        <f t="shared" si="21"/>
        <v>0</v>
      </c>
      <c r="R154" s="155">
        <f t="shared" si="16"/>
        <v>0</v>
      </c>
      <c r="S154" s="156">
        <f t="shared" si="19"/>
        <v>0</v>
      </c>
      <c r="T154" s="156">
        <f t="shared" si="20"/>
        <v>0</v>
      </c>
    </row>
    <row r="155" spans="1:20" s="9" customFormat="1" ht="35.1" customHeight="1" x14ac:dyDescent="0.25">
      <c r="A155" s="215"/>
      <c r="B155" s="255" t="s">
        <v>1123</v>
      </c>
      <c r="C155" s="254" t="s">
        <v>183</v>
      </c>
      <c r="D155" s="240" t="s">
        <v>13</v>
      </c>
      <c r="E155" s="242">
        <v>3.45</v>
      </c>
      <c r="F155" s="242">
        <v>0.55000000000000004</v>
      </c>
      <c r="G155" s="242">
        <v>4</v>
      </c>
      <c r="H155" s="243">
        <v>272315</v>
      </c>
      <c r="I155" s="243">
        <f t="shared" si="17"/>
        <v>1089260</v>
      </c>
      <c r="J155" s="8"/>
      <c r="K155" s="8">
        <f t="shared" si="15"/>
        <v>272315</v>
      </c>
      <c r="L155" s="8">
        <f t="shared" si="18"/>
        <v>939486.75</v>
      </c>
      <c r="M155" s="9" t="str">
        <f t="array" ref="M155:P155">_xlfn.XLOOKUP(C155,'Neiva 2022 FASE I ACTUAL (5)'!$C$6:$C$540,'Neiva 2022 FASE I ACTUAL (5)'!$C$6:$F$540,"NO ESTA")</f>
        <v>SUMINISTRO E INSTALACION VENTANA EN ALUMINIO o similar TIPO V3 Incluye VIDRIO Referencia SOLARBAN Ver NOTAS GENERALES DE PLANCHA</v>
      </c>
      <c r="N155" s="9" t="str">
        <v>M2</v>
      </c>
      <c r="O155" s="9">
        <v>0.55000000000000004</v>
      </c>
      <c r="P155" s="9">
        <v>260667</v>
      </c>
      <c r="Q155" s="124" t="str">
        <f t="shared" si="21"/>
        <v>FASE II</v>
      </c>
      <c r="R155" s="155">
        <f t="shared" si="16"/>
        <v>4</v>
      </c>
      <c r="S155" s="156">
        <f t="shared" si="19"/>
        <v>272315</v>
      </c>
      <c r="T155" s="156">
        <f t="shared" si="20"/>
        <v>1089260</v>
      </c>
    </row>
    <row r="156" spans="1:20" s="9" customFormat="1" ht="35.1" customHeight="1" x14ac:dyDescent="0.25">
      <c r="A156" s="215"/>
      <c r="B156" s="247">
        <v>8</v>
      </c>
      <c r="C156" s="248" t="s">
        <v>196</v>
      </c>
      <c r="D156" s="248"/>
      <c r="E156" s="249"/>
      <c r="F156" s="249"/>
      <c r="G156" s="249"/>
      <c r="H156" s="249"/>
      <c r="I156" s="249"/>
      <c r="J156" s="8"/>
      <c r="K156" s="8">
        <f t="shared" si="15"/>
        <v>0</v>
      </c>
      <c r="L156" s="8">
        <f t="shared" si="18"/>
        <v>0</v>
      </c>
      <c r="M156" s="9" t="str">
        <f t="array" ref="M156:P156">_xlfn.XLOOKUP(C156,'Neiva 2022 FASE I ACTUAL (5)'!$C$6:$C$540,'Neiva 2022 FASE I ACTUAL (5)'!$C$6:$F$540,"NO ESTA")</f>
        <v>VENTANALES</v>
      </c>
      <c r="N156" s="9">
        <v>0</v>
      </c>
      <c r="O156" s="9">
        <v>0</v>
      </c>
      <c r="P156" s="9">
        <v>0</v>
      </c>
      <c r="Q156" s="124">
        <f t="shared" si="21"/>
        <v>0</v>
      </c>
      <c r="R156" s="155">
        <f t="shared" si="16"/>
        <v>0</v>
      </c>
      <c r="S156" s="156">
        <f t="shared" si="19"/>
        <v>0</v>
      </c>
      <c r="T156" s="156">
        <f t="shared" si="20"/>
        <v>0</v>
      </c>
    </row>
    <row r="157" spans="1:20" s="9" customFormat="1" ht="35.1" customHeight="1" x14ac:dyDescent="0.25">
      <c r="A157" s="215"/>
      <c r="B157" s="244" t="s">
        <v>197</v>
      </c>
      <c r="C157" s="245" t="s">
        <v>198</v>
      </c>
      <c r="D157" s="244"/>
      <c r="E157" s="246"/>
      <c r="F157" s="246"/>
      <c r="G157" s="246"/>
      <c r="H157" s="246"/>
      <c r="I157" s="246"/>
      <c r="J157" s="8"/>
      <c r="K157" s="8">
        <f t="shared" si="15"/>
        <v>0</v>
      </c>
      <c r="L157" s="8">
        <f t="shared" si="18"/>
        <v>0</v>
      </c>
      <c r="M157" s="9" t="str">
        <f t="array" ref="M157:P157">_xlfn.XLOOKUP(C157,'Neiva 2022 FASE I ACTUAL (5)'!$C$6:$C$540,'Neiva 2022 FASE I ACTUAL (5)'!$C$6:$F$540,"NO ESTA")</f>
        <v>SUMINISTRO E INSTALACION VENTANALES PISO 1</v>
      </c>
      <c r="N157" s="9">
        <v>0</v>
      </c>
      <c r="O157" s="9">
        <v>0</v>
      </c>
      <c r="P157" s="9">
        <v>0</v>
      </c>
      <c r="Q157" s="124">
        <f t="shared" si="21"/>
        <v>0</v>
      </c>
      <c r="R157" s="155">
        <f t="shared" si="16"/>
        <v>0</v>
      </c>
      <c r="S157" s="156">
        <f t="shared" si="19"/>
        <v>0</v>
      </c>
      <c r="T157" s="156">
        <f t="shared" si="20"/>
        <v>0</v>
      </c>
    </row>
    <row r="158" spans="1:20" s="9" customFormat="1" ht="35.1" customHeight="1" x14ac:dyDescent="0.25">
      <c r="A158" s="215"/>
      <c r="B158" s="255" t="s">
        <v>199</v>
      </c>
      <c r="C158" s="254" t="s">
        <v>200</v>
      </c>
      <c r="D158" s="240" t="s">
        <v>13</v>
      </c>
      <c r="E158" s="242">
        <v>44.879999999999995</v>
      </c>
      <c r="F158" s="242">
        <v>16.32</v>
      </c>
      <c r="G158" s="242">
        <v>61.199999999999996</v>
      </c>
      <c r="H158" s="243">
        <v>316721</v>
      </c>
      <c r="I158" s="243">
        <f t="shared" si="17"/>
        <v>19383325.199999999</v>
      </c>
      <c r="J158" s="8"/>
      <c r="K158" s="8">
        <f t="shared" si="15"/>
        <v>316721</v>
      </c>
      <c r="L158" s="8">
        <f t="shared" si="18"/>
        <v>14214438.479999999</v>
      </c>
      <c r="M158" s="9" t="str">
        <f t="array" ref="M158:P158">_xlfn.XLOOKUP(C158,'Neiva 2022 FASE I ACTUAL (5)'!$C$6:$C$540,'Neiva 2022 FASE I ACTUAL (5)'!$C$6:$F$540,"NO ESTA")</f>
        <v>SUMINISTRO E INSTALACION VENTANAL INTERIOR EN ALUMINIO o similar TIPO V-0 Incluye VIDRIO Referencia TRASLUCIDO TEMPLADO 10MM Ver NOTAS GENERALES DE PLANCHA</v>
      </c>
      <c r="N158" s="9" t="str">
        <v>M2</v>
      </c>
      <c r="O158" s="9">
        <v>16.32</v>
      </c>
      <c r="P158" s="9">
        <v>303948</v>
      </c>
      <c r="Q158" s="124" t="str">
        <f t="shared" si="21"/>
        <v>FASE II</v>
      </c>
      <c r="R158" s="155">
        <f t="shared" si="16"/>
        <v>61.199999999999996</v>
      </c>
      <c r="S158" s="156">
        <f t="shared" si="19"/>
        <v>316721</v>
      </c>
      <c r="T158" s="156">
        <f t="shared" si="20"/>
        <v>19383325.199999999</v>
      </c>
    </row>
    <row r="159" spans="1:20" s="9" customFormat="1" ht="35.1" customHeight="1" x14ac:dyDescent="0.25">
      <c r="A159" s="215"/>
      <c r="B159" s="255" t="s">
        <v>201</v>
      </c>
      <c r="C159" s="254" t="s">
        <v>202</v>
      </c>
      <c r="D159" s="240" t="s">
        <v>13</v>
      </c>
      <c r="E159" s="242">
        <v>111.41999999999999</v>
      </c>
      <c r="F159" s="242">
        <v>111.43</v>
      </c>
      <c r="G159" s="242">
        <v>222.85</v>
      </c>
      <c r="H159" s="243">
        <v>358916</v>
      </c>
      <c r="I159" s="243">
        <f t="shared" si="17"/>
        <v>79984430.599999994</v>
      </c>
      <c r="J159" s="8"/>
      <c r="K159" s="8">
        <f t="shared" si="15"/>
        <v>358916</v>
      </c>
      <c r="L159" s="8">
        <f t="shared" si="18"/>
        <v>39990420.719999999</v>
      </c>
      <c r="M159" s="9" t="str">
        <f t="array" ref="M159:P159">_xlfn.XLOOKUP(C159,'Neiva 2022 FASE I ACTUAL (5)'!$C$6:$C$540,'Neiva 2022 FASE I ACTUAL (5)'!$C$6:$F$540,"NO ESTA")</f>
        <v>SUMINISTRO E INSTALACION VENTANAL PERFIL 12cm EN ALUMINIO o similar TIPO V-1 Incluye VIDRIO Referencia SOLARBAN Ver NOTAS GENERALES DE PLANCHA</v>
      </c>
      <c r="N159" s="9" t="str">
        <v>M2</v>
      </c>
      <c r="O159" s="9">
        <v>111.43</v>
      </c>
      <c r="P159" s="9">
        <v>344443</v>
      </c>
      <c r="Q159" s="124" t="str">
        <f t="shared" si="21"/>
        <v>FASE II</v>
      </c>
      <c r="R159" s="155">
        <f t="shared" si="16"/>
        <v>222.85</v>
      </c>
      <c r="S159" s="156">
        <f t="shared" si="19"/>
        <v>358916</v>
      </c>
      <c r="T159" s="156">
        <f t="shared" si="20"/>
        <v>79984430.599999994</v>
      </c>
    </row>
    <row r="160" spans="1:20" s="9" customFormat="1" ht="35.1" customHeight="1" x14ac:dyDescent="0.25">
      <c r="A160" s="215"/>
      <c r="B160" s="255" t="s">
        <v>203</v>
      </c>
      <c r="C160" s="254" t="s">
        <v>204</v>
      </c>
      <c r="D160" s="240" t="s">
        <v>13</v>
      </c>
      <c r="E160" s="242">
        <v>17.010000000000002</v>
      </c>
      <c r="F160" s="242">
        <v>17.010000000000002</v>
      </c>
      <c r="G160" s="242">
        <v>34.020000000000003</v>
      </c>
      <c r="H160" s="243">
        <v>375510</v>
      </c>
      <c r="I160" s="243">
        <f t="shared" si="17"/>
        <v>12774850.199999999</v>
      </c>
      <c r="J160" s="8"/>
      <c r="K160" s="8">
        <f t="shared" si="15"/>
        <v>375510</v>
      </c>
      <c r="L160" s="8">
        <f t="shared" si="18"/>
        <v>6387425.1000000006</v>
      </c>
      <c r="M160" s="9" t="str">
        <f t="array" ref="M160:P160">_xlfn.XLOOKUP(C160,'Neiva 2022 FASE I ACTUAL (5)'!$C$6:$C$540,'Neiva 2022 FASE I ACTUAL (5)'!$C$6:$F$540,"NO ESTA")</f>
        <v>SUMINISTRO E INSTALACION VENTANAL DOBLE ALTURA EN ALUMINIO o similar TIPO V-4 Incluye VIDRIO Referencia SOLARBAN Ver NOTAS GENERALES DE PLANCHA</v>
      </c>
      <c r="N160" s="9" t="str">
        <v>M2</v>
      </c>
      <c r="O160" s="9">
        <v>17.010000000000002</v>
      </c>
      <c r="P160" s="9">
        <v>360365</v>
      </c>
      <c r="Q160" s="124" t="str">
        <f t="shared" si="21"/>
        <v>FASE II</v>
      </c>
      <c r="R160" s="155">
        <f t="shared" si="16"/>
        <v>34.020000000000003</v>
      </c>
      <c r="S160" s="156">
        <f t="shared" si="19"/>
        <v>375510</v>
      </c>
      <c r="T160" s="156">
        <f t="shared" si="20"/>
        <v>12774850.199999999</v>
      </c>
    </row>
    <row r="161" spans="1:20" s="9" customFormat="1" ht="35.1" customHeight="1" x14ac:dyDescent="0.25">
      <c r="A161" s="215"/>
      <c r="B161" s="255" t="s">
        <v>205</v>
      </c>
      <c r="C161" s="254" t="s">
        <v>206</v>
      </c>
      <c r="D161" s="240" t="s">
        <v>13</v>
      </c>
      <c r="E161" s="242">
        <v>13.059999999999999</v>
      </c>
      <c r="F161" s="242">
        <v>13.07</v>
      </c>
      <c r="G161" s="242">
        <v>26.13</v>
      </c>
      <c r="H161" s="243">
        <v>375510</v>
      </c>
      <c r="I161" s="243">
        <f t="shared" si="17"/>
        <v>9812076.3000000007</v>
      </c>
      <c r="J161" s="8"/>
      <c r="K161" s="8">
        <f t="shared" si="15"/>
        <v>375510</v>
      </c>
      <c r="L161" s="8">
        <f t="shared" si="18"/>
        <v>4904160.5999999996</v>
      </c>
      <c r="M161" s="9" t="str">
        <f t="array" ref="M161:P161">_xlfn.XLOOKUP(C161,'Neiva 2022 FASE I ACTUAL (5)'!$C$6:$C$540,'Neiva 2022 FASE I ACTUAL (5)'!$C$6:$F$540,"NO ESTA")</f>
        <v>SUMINISTRO E INSTALACIONVENTANAL DOBLE ALTURA LIBRE EN ALUMINIO o similar TIPO V-5 Incluye VIDRIO Referencia SOLARBAN Ver NOTAS GENERALES DE PLANCHA</v>
      </c>
      <c r="N161" s="9" t="str">
        <v>M2</v>
      </c>
      <c r="O161" s="9">
        <v>13.07</v>
      </c>
      <c r="P161" s="9">
        <v>360365</v>
      </c>
      <c r="Q161" s="124" t="str">
        <f t="shared" si="21"/>
        <v>FASE II</v>
      </c>
      <c r="R161" s="155">
        <f t="shared" si="16"/>
        <v>26.13</v>
      </c>
      <c r="S161" s="156">
        <f t="shared" si="19"/>
        <v>375510</v>
      </c>
      <c r="T161" s="156">
        <f t="shared" si="20"/>
        <v>9812076.3000000007</v>
      </c>
    </row>
    <row r="162" spans="1:20" s="9" customFormat="1" ht="35.1" customHeight="1" x14ac:dyDescent="0.25">
      <c r="A162" s="215"/>
      <c r="B162" s="244" t="s">
        <v>207</v>
      </c>
      <c r="C162" s="245" t="s">
        <v>208</v>
      </c>
      <c r="D162" s="244"/>
      <c r="E162" s="246"/>
      <c r="F162" s="246"/>
      <c r="G162" s="246"/>
      <c r="H162" s="246"/>
      <c r="I162" s="246"/>
      <c r="J162" s="8"/>
      <c r="K162" s="8">
        <f t="shared" si="15"/>
        <v>0</v>
      </c>
      <c r="L162" s="8">
        <f t="shared" si="18"/>
        <v>0</v>
      </c>
      <c r="M162" s="9" t="str">
        <f t="array" ref="M162:P162">_xlfn.XLOOKUP(C162,'Neiva 2022 FASE I ACTUAL (5)'!$C$6:$C$540,'Neiva 2022 FASE I ACTUAL (5)'!$C$6:$F$540,"NO ESTA")</f>
        <v>SUMINISTRO E INSTALACION VENTANALES PISO 2</v>
      </c>
      <c r="N162" s="9">
        <v>0</v>
      </c>
      <c r="O162" s="9">
        <v>0</v>
      </c>
      <c r="P162" s="9">
        <v>0</v>
      </c>
      <c r="Q162" s="124">
        <f t="shared" si="21"/>
        <v>0</v>
      </c>
      <c r="R162" s="155">
        <f t="shared" si="16"/>
        <v>0</v>
      </c>
      <c r="S162" s="156">
        <f t="shared" si="19"/>
        <v>0</v>
      </c>
      <c r="T162" s="156">
        <f t="shared" si="20"/>
        <v>0</v>
      </c>
    </row>
    <row r="163" spans="1:20" s="9" customFormat="1" ht="35.1" customHeight="1" x14ac:dyDescent="0.25">
      <c r="A163" s="215"/>
      <c r="B163" s="255" t="s">
        <v>209</v>
      </c>
      <c r="C163" s="254" t="s">
        <v>210</v>
      </c>
      <c r="D163" s="240" t="s">
        <v>13</v>
      </c>
      <c r="E163" s="242">
        <v>221.89</v>
      </c>
      <c r="F163" s="242">
        <v>21.89</v>
      </c>
      <c r="G163" s="242">
        <v>243.77999999999997</v>
      </c>
      <c r="H163" s="243">
        <v>251138</v>
      </c>
      <c r="I163" s="243">
        <f t="shared" si="17"/>
        <v>61222421.640000001</v>
      </c>
      <c r="J163" s="8"/>
      <c r="K163" s="8">
        <f t="shared" si="15"/>
        <v>251138</v>
      </c>
      <c r="L163" s="8">
        <f t="shared" si="18"/>
        <v>55725010.819999993</v>
      </c>
      <c r="M163" s="9" t="str">
        <f t="array" ref="M163:P163">_xlfn.XLOOKUP(C163,'Neiva 2022 FASE I ACTUAL (5)'!$C$6:$C$540,'Neiva 2022 FASE I ACTUAL (5)'!$C$6:$F$540,"NO ESTA")</f>
        <v>SUMINISTRO E INSTALACION CORTASOL Referencia 84R TIPO CS-1 Ver NOTAS GENERALES DE PLANCHA</v>
      </c>
      <c r="N163" s="9" t="str">
        <v>M2</v>
      </c>
      <c r="O163" s="9">
        <v>21.89</v>
      </c>
      <c r="P163" s="9">
        <v>241010</v>
      </c>
      <c r="Q163" s="124" t="str">
        <f t="shared" si="21"/>
        <v>FASE II</v>
      </c>
      <c r="R163" s="155">
        <f t="shared" si="16"/>
        <v>243.77999999999997</v>
      </c>
      <c r="S163" s="156">
        <f t="shared" si="19"/>
        <v>251138</v>
      </c>
      <c r="T163" s="156">
        <f t="shared" si="20"/>
        <v>61222421.640000001</v>
      </c>
    </row>
    <row r="164" spans="1:20" s="9" customFormat="1" ht="35.1" customHeight="1" x14ac:dyDescent="0.25">
      <c r="A164" s="215"/>
      <c r="B164" s="255" t="s">
        <v>211</v>
      </c>
      <c r="C164" s="254" t="s">
        <v>200</v>
      </c>
      <c r="D164" s="240" t="s">
        <v>13</v>
      </c>
      <c r="E164" s="242">
        <v>13.48</v>
      </c>
      <c r="F164" s="242">
        <v>16.32</v>
      </c>
      <c r="G164" s="242">
        <v>29.8</v>
      </c>
      <c r="H164" s="243">
        <v>316721</v>
      </c>
      <c r="I164" s="243">
        <f t="shared" si="17"/>
        <v>9438285.8000000007</v>
      </c>
      <c r="J164" s="8"/>
      <c r="K164" s="8">
        <f t="shared" si="15"/>
        <v>316721</v>
      </c>
      <c r="L164" s="8">
        <f t="shared" si="18"/>
        <v>4269399.08</v>
      </c>
      <c r="M164" s="9" t="str">
        <f t="array" ref="M164:P164">_xlfn.XLOOKUP(C164,'Neiva 2022 FASE I ACTUAL (5)'!$C$6:$C$540,'Neiva 2022 FASE I ACTUAL (5)'!$C$6:$F$540,"NO ESTA")</f>
        <v>SUMINISTRO E INSTALACION VENTANAL INTERIOR EN ALUMINIO o similar TIPO V-0 Incluye VIDRIO Referencia TRASLUCIDO TEMPLADO 10MM Ver NOTAS GENERALES DE PLANCHA</v>
      </c>
      <c r="N164" s="9" t="str">
        <v>M2</v>
      </c>
      <c r="O164" s="9">
        <v>16.32</v>
      </c>
      <c r="P164" s="9">
        <v>303948</v>
      </c>
      <c r="Q164" s="124" t="str">
        <f t="shared" si="21"/>
        <v>FASE II</v>
      </c>
      <c r="R164" s="155">
        <f t="shared" si="16"/>
        <v>29.8</v>
      </c>
      <c r="S164" s="156">
        <f t="shared" si="19"/>
        <v>316721</v>
      </c>
      <c r="T164" s="156">
        <f t="shared" si="20"/>
        <v>9438285.8000000007</v>
      </c>
    </row>
    <row r="165" spans="1:20" s="9" customFormat="1" ht="35.1" customHeight="1" x14ac:dyDescent="0.25">
      <c r="A165" s="215"/>
      <c r="B165" s="255" t="s">
        <v>212</v>
      </c>
      <c r="C165" s="254" t="s">
        <v>202</v>
      </c>
      <c r="D165" s="240" t="s">
        <v>13</v>
      </c>
      <c r="E165" s="242">
        <v>29.999999999999996</v>
      </c>
      <c r="F165" s="242">
        <v>111.43</v>
      </c>
      <c r="G165" s="242">
        <v>141.43</v>
      </c>
      <c r="H165" s="243">
        <v>358916</v>
      </c>
      <c r="I165" s="243">
        <f t="shared" si="17"/>
        <v>50761489.880000003</v>
      </c>
      <c r="J165" s="8"/>
      <c r="K165" s="8">
        <f t="shared" si="15"/>
        <v>358916</v>
      </c>
      <c r="L165" s="8">
        <f t="shared" si="18"/>
        <v>10767479.999999998</v>
      </c>
      <c r="M165" s="9" t="str">
        <f t="array" ref="M165:P165">_xlfn.XLOOKUP(C165,'Neiva 2022 FASE I ACTUAL (5)'!$C$6:$C$540,'Neiva 2022 FASE I ACTUAL (5)'!$C$6:$F$540,"NO ESTA")</f>
        <v>SUMINISTRO E INSTALACION VENTANAL PERFIL 12cm EN ALUMINIO o similar TIPO V-1 Incluye VIDRIO Referencia SOLARBAN Ver NOTAS GENERALES DE PLANCHA</v>
      </c>
      <c r="N165" s="9" t="str">
        <v>M2</v>
      </c>
      <c r="O165" s="9">
        <v>111.43</v>
      </c>
      <c r="P165" s="9">
        <v>344443</v>
      </c>
      <c r="Q165" s="124" t="str">
        <f t="shared" si="21"/>
        <v>FASE II</v>
      </c>
      <c r="R165" s="155">
        <f t="shared" si="16"/>
        <v>141.43</v>
      </c>
      <c r="S165" s="156">
        <f t="shared" si="19"/>
        <v>358916</v>
      </c>
      <c r="T165" s="156">
        <f t="shared" si="20"/>
        <v>50761489.880000003</v>
      </c>
    </row>
    <row r="166" spans="1:20" s="9" customFormat="1" ht="35.1" customHeight="1" x14ac:dyDescent="0.25">
      <c r="A166" s="215"/>
      <c r="B166" s="255" t="s">
        <v>213</v>
      </c>
      <c r="C166" s="254" t="s">
        <v>214</v>
      </c>
      <c r="D166" s="240" t="s">
        <v>13</v>
      </c>
      <c r="E166" s="242">
        <v>78.760000000000005</v>
      </c>
      <c r="F166" s="242">
        <v>63.83</v>
      </c>
      <c r="G166" s="242">
        <v>142.59</v>
      </c>
      <c r="H166" s="243">
        <v>358916</v>
      </c>
      <c r="I166" s="243">
        <f t="shared" si="17"/>
        <v>51177832.439999998</v>
      </c>
      <c r="J166" s="8"/>
      <c r="K166" s="8">
        <f t="shared" si="15"/>
        <v>358916</v>
      </c>
      <c r="L166" s="8">
        <f t="shared" si="18"/>
        <v>28268224.16</v>
      </c>
      <c r="M166" s="9" t="str">
        <f t="array" ref="M166:P166">_xlfn.XLOOKUP(C166,'Neiva 2022 FASE I ACTUAL (5)'!$C$6:$C$540,'Neiva 2022 FASE I ACTUAL (5)'!$C$6:$F$540,"NO ESTA")</f>
        <v>SUMINISTRO E INSTALACION VENTANAL PERFIL 12cm  AULAS COMPLETO EN ALUMINIO o similar TIPO V-2 Incluye VIDRIO Referencia SOLARBAN Ver NOTAS GENERALES DE PLANCHA</v>
      </c>
      <c r="N166" s="9" t="str">
        <v>M2</v>
      </c>
      <c r="O166" s="9">
        <v>63.83</v>
      </c>
      <c r="P166" s="9">
        <v>344443</v>
      </c>
      <c r="Q166" s="124" t="str">
        <f t="shared" si="21"/>
        <v>FASE II</v>
      </c>
      <c r="R166" s="155">
        <f t="shared" si="16"/>
        <v>142.59</v>
      </c>
      <c r="S166" s="156">
        <f t="shared" si="19"/>
        <v>358916</v>
      </c>
      <c r="T166" s="156">
        <f t="shared" si="20"/>
        <v>51177832.439999998</v>
      </c>
    </row>
    <row r="167" spans="1:20" s="9" customFormat="1" ht="35.1" customHeight="1" x14ac:dyDescent="0.25">
      <c r="A167" s="215"/>
      <c r="B167" s="255" t="s">
        <v>215</v>
      </c>
      <c r="C167" s="254" t="s">
        <v>216</v>
      </c>
      <c r="D167" s="240" t="s">
        <v>13</v>
      </c>
      <c r="E167" s="242">
        <v>78.989999999999995</v>
      </c>
      <c r="F167" s="242">
        <v>7.99</v>
      </c>
      <c r="G167" s="242">
        <v>86.97999999999999</v>
      </c>
      <c r="H167" s="243">
        <v>372614</v>
      </c>
      <c r="I167" s="243">
        <f t="shared" si="17"/>
        <v>32409965.719999999</v>
      </c>
      <c r="J167" s="8"/>
      <c r="K167" s="8">
        <f t="shared" si="15"/>
        <v>372614</v>
      </c>
      <c r="L167" s="8">
        <f t="shared" si="18"/>
        <v>29432779.859999999</v>
      </c>
      <c r="M167" s="9" t="str">
        <f t="array" ref="M167:P167">_xlfn.XLOOKUP(C167,'Neiva 2022 FASE I ACTUAL (5)'!$C$6:$C$540,'Neiva 2022 FASE I ACTUAL (5)'!$C$6:$F$540,"NO ESTA")</f>
        <v>SUMINISTRO E INSTALACION VENTANAL PERFIL 15cm EN ALUMINIO o similar TIPO V-3 Incluye VIDRIO Referencia SOLARBAN Ver NOTAS GENERALES DE PLANCHA</v>
      </c>
      <c r="N167" s="9" t="str">
        <v>M2</v>
      </c>
      <c r="O167" s="9">
        <v>7.99</v>
      </c>
      <c r="P167" s="9">
        <v>357587</v>
      </c>
      <c r="Q167" s="124" t="str">
        <f t="shared" si="21"/>
        <v>FASE II</v>
      </c>
      <c r="R167" s="155">
        <f t="shared" si="16"/>
        <v>86.97999999999999</v>
      </c>
      <c r="S167" s="156">
        <f t="shared" si="19"/>
        <v>372614</v>
      </c>
      <c r="T167" s="156">
        <f t="shared" si="20"/>
        <v>32409965.719999999</v>
      </c>
    </row>
    <row r="168" spans="1:20" s="9" customFormat="1" ht="35.1" customHeight="1" x14ac:dyDescent="0.25">
      <c r="A168" s="215"/>
      <c r="B168" s="255" t="s">
        <v>217</v>
      </c>
      <c r="C168" s="254" t="s">
        <v>218</v>
      </c>
      <c r="D168" s="240" t="s">
        <v>13</v>
      </c>
      <c r="E168" s="242">
        <v>11.76</v>
      </c>
      <c r="F168" s="242">
        <v>11.76</v>
      </c>
      <c r="G168" s="242">
        <v>23.52</v>
      </c>
      <c r="H168" s="243">
        <v>375510</v>
      </c>
      <c r="I168" s="243">
        <f t="shared" si="17"/>
        <v>8831995.1999999993</v>
      </c>
      <c r="J168" s="8"/>
      <c r="K168" s="8">
        <f t="shared" si="15"/>
        <v>375510</v>
      </c>
      <c r="L168" s="8">
        <f t="shared" si="18"/>
        <v>4415997.5999999996</v>
      </c>
      <c r="M168" s="9" t="str">
        <f t="array" ref="M168:P168">_xlfn.XLOOKUP(C168,'Neiva 2022 FASE I ACTUAL (5)'!$C$6:$C$540,'Neiva 2022 FASE I ACTUAL (5)'!$C$6:$F$540,"NO ESTA")</f>
        <v>SUMINISTRO E INSTALACION VENTANAL DOBLE ALTURA LIBRE EN ALUMINIO o similar TIPO V-5 Incluye VIDRIO Referencia SOLARBAN Ver NOTAS GENERALES DE PLANCHA</v>
      </c>
      <c r="N168" s="9" t="str">
        <v>M2</v>
      </c>
      <c r="O168" s="9">
        <v>11.76</v>
      </c>
      <c r="P168" s="9">
        <v>360365</v>
      </c>
      <c r="Q168" s="124" t="str">
        <f t="shared" si="21"/>
        <v>FASE II</v>
      </c>
      <c r="R168" s="155">
        <f t="shared" si="16"/>
        <v>23.52</v>
      </c>
      <c r="S168" s="156">
        <f t="shared" si="19"/>
        <v>375510</v>
      </c>
      <c r="T168" s="156">
        <f t="shared" si="20"/>
        <v>8831995.1999999993</v>
      </c>
    </row>
    <row r="169" spans="1:20" s="9" customFormat="1" ht="35.1" customHeight="1" x14ac:dyDescent="0.25">
      <c r="A169" s="215"/>
      <c r="B169" s="255" t="s">
        <v>219</v>
      </c>
      <c r="C169" s="241" t="s">
        <v>220</v>
      </c>
      <c r="D169" s="240" t="s">
        <v>13</v>
      </c>
      <c r="E169" s="242">
        <v>15.659999999999998</v>
      </c>
      <c r="F169" s="242">
        <v>10.72</v>
      </c>
      <c r="G169" s="242">
        <v>26.38</v>
      </c>
      <c r="H169" s="243">
        <v>418367</v>
      </c>
      <c r="I169" s="243">
        <f t="shared" si="17"/>
        <v>11036521.460000001</v>
      </c>
      <c r="J169" s="8"/>
      <c r="K169" s="8">
        <f t="shared" si="15"/>
        <v>418367</v>
      </c>
      <c r="L169" s="8">
        <f t="shared" si="18"/>
        <v>6551627.2199999997</v>
      </c>
      <c r="M169" s="9" t="str">
        <f t="array" ref="M169:P169">_xlfn.XLOOKUP(C169,'Neiva 2022 FASE I ACTUAL (5)'!$C$6:$C$540,'Neiva 2022 FASE I ACTUAL (5)'!$C$6:$F$540,"NO ESTA")</f>
        <v>SUMINISTRO E INSTALACION VENTANAL INTERIOR PERFIL 15cm SALONES EN ALUMINIO o similar TIPO V-6Incluye VIDRIO Referencia TRASLUCIDO TEMPLADO 10MM Ver NOTAS GENERALES DE PLANCHA</v>
      </c>
      <c r="N169" s="9" t="str">
        <v>M2</v>
      </c>
      <c r="O169" s="9">
        <v>10.72</v>
      </c>
      <c r="P169" s="9">
        <v>401495</v>
      </c>
      <c r="Q169" s="124" t="str">
        <f t="shared" si="21"/>
        <v>FASE II</v>
      </c>
      <c r="R169" s="155">
        <f t="shared" si="16"/>
        <v>26.38</v>
      </c>
      <c r="S169" s="156">
        <f t="shared" si="19"/>
        <v>418367</v>
      </c>
      <c r="T169" s="156">
        <f t="shared" si="20"/>
        <v>11036521.460000001</v>
      </c>
    </row>
    <row r="170" spans="1:20" s="9" customFormat="1" ht="35.1" customHeight="1" x14ac:dyDescent="0.25">
      <c r="A170" s="215"/>
      <c r="B170" s="244" t="s">
        <v>1124</v>
      </c>
      <c r="C170" s="245" t="s">
        <v>1125</v>
      </c>
      <c r="D170" s="244"/>
      <c r="E170" s="246"/>
      <c r="F170" s="246"/>
      <c r="G170" s="246"/>
      <c r="H170" s="246"/>
      <c r="I170" s="246"/>
      <c r="J170" s="8"/>
      <c r="K170" s="8">
        <f t="shared" si="15"/>
        <v>0</v>
      </c>
      <c r="L170" s="8">
        <f t="shared" si="18"/>
        <v>0</v>
      </c>
      <c r="M170" s="9" t="str">
        <f t="array" ref="M170">_xlfn.XLOOKUP(C170,'Neiva 2022 FASE I ACTUAL (5)'!$C$6:$C$540,'Neiva 2022 FASE I ACTUAL (5)'!$C$6:$F$540,"NO ESTA")</f>
        <v>NO ESTA</v>
      </c>
      <c r="Q170" s="124">
        <f t="shared" si="21"/>
        <v>0</v>
      </c>
      <c r="R170" s="155">
        <f t="shared" si="16"/>
        <v>0</v>
      </c>
      <c r="S170" s="156">
        <f t="shared" si="19"/>
        <v>0</v>
      </c>
      <c r="T170" s="156">
        <f t="shared" si="20"/>
        <v>0</v>
      </c>
    </row>
    <row r="171" spans="1:20" s="9" customFormat="1" ht="35.1" customHeight="1" x14ac:dyDescent="0.25">
      <c r="A171" s="215"/>
      <c r="B171" s="255" t="s">
        <v>1126</v>
      </c>
      <c r="C171" s="254" t="s">
        <v>210</v>
      </c>
      <c r="D171" s="240" t="s">
        <v>13</v>
      </c>
      <c r="E171" s="242">
        <v>181.07</v>
      </c>
      <c r="F171" s="242">
        <v>21.89</v>
      </c>
      <c r="G171" s="242">
        <v>202.95999999999998</v>
      </c>
      <c r="H171" s="243">
        <v>253440</v>
      </c>
      <c r="I171" s="243">
        <f t="shared" si="17"/>
        <v>51438182.399999999</v>
      </c>
      <c r="J171" s="8"/>
      <c r="K171" s="8">
        <f t="shared" si="15"/>
        <v>253440</v>
      </c>
      <c r="L171" s="8">
        <f t="shared" si="18"/>
        <v>45890380.799999997</v>
      </c>
      <c r="M171" s="9" t="str">
        <f t="array" ref="M171:P171">_xlfn.XLOOKUP(C171,'Neiva 2022 FASE I ACTUAL (5)'!$C$6:$C$540,'Neiva 2022 FASE I ACTUAL (5)'!$C$6:$F$540,"NO ESTA")</f>
        <v>SUMINISTRO E INSTALACION CORTASOL Referencia 84R TIPO CS-1 Ver NOTAS GENERALES DE PLANCHA</v>
      </c>
      <c r="N171" s="9" t="str">
        <v>M2</v>
      </c>
      <c r="O171" s="9">
        <v>21.89</v>
      </c>
      <c r="P171" s="9">
        <v>241010</v>
      </c>
      <c r="Q171" s="124" t="str">
        <f t="shared" si="21"/>
        <v>FASE II</v>
      </c>
      <c r="R171" s="155">
        <f t="shared" si="16"/>
        <v>202.95999999999998</v>
      </c>
      <c r="S171" s="156">
        <f t="shared" si="19"/>
        <v>253440</v>
      </c>
      <c r="T171" s="156">
        <f t="shared" si="20"/>
        <v>51438182.399999999</v>
      </c>
    </row>
    <row r="172" spans="1:20" s="9" customFormat="1" ht="35.1" customHeight="1" x14ac:dyDescent="0.25">
      <c r="A172" s="215"/>
      <c r="B172" s="255" t="s">
        <v>1127</v>
      </c>
      <c r="C172" s="254" t="s">
        <v>1128</v>
      </c>
      <c r="D172" s="240" t="s">
        <v>13</v>
      </c>
      <c r="E172" s="242">
        <v>34.630000000000003</v>
      </c>
      <c r="F172" s="242"/>
      <c r="G172" s="242">
        <v>34.630000000000003</v>
      </c>
      <c r="H172" s="243">
        <v>316721</v>
      </c>
      <c r="I172" s="243">
        <f t="shared" si="17"/>
        <v>10968048.23</v>
      </c>
      <c r="J172" s="8"/>
      <c r="K172" s="8">
        <f t="shared" si="15"/>
        <v>316721</v>
      </c>
      <c r="L172" s="8">
        <f t="shared" si="18"/>
        <v>10968048.23</v>
      </c>
      <c r="M172" s="9" t="str">
        <f t="array" ref="M172">_xlfn.XLOOKUP(C172,'Neiva 2022 FASE I ACTUAL (5)'!$C$6:$C$540,'Neiva 2022 FASE I ACTUAL (5)'!$C$6:$F$540,"NO ESTA")</f>
        <v>NO ESTA</v>
      </c>
      <c r="Q172" s="124">
        <f t="shared" si="21"/>
        <v>0</v>
      </c>
      <c r="R172" s="155">
        <f t="shared" si="16"/>
        <v>34.630000000000003</v>
      </c>
      <c r="S172" s="156">
        <f t="shared" si="19"/>
        <v>316721</v>
      </c>
      <c r="T172" s="156">
        <f t="shared" si="20"/>
        <v>10968048.23</v>
      </c>
    </row>
    <row r="173" spans="1:20" s="9" customFormat="1" ht="35.1" customHeight="1" x14ac:dyDescent="0.25">
      <c r="A173" s="215"/>
      <c r="B173" s="255" t="s">
        <v>1129</v>
      </c>
      <c r="C173" s="254" t="s">
        <v>202</v>
      </c>
      <c r="D173" s="240" t="s">
        <v>13</v>
      </c>
      <c r="E173" s="242">
        <v>87.57</v>
      </c>
      <c r="F173" s="242">
        <v>111.43</v>
      </c>
      <c r="G173" s="242">
        <v>199</v>
      </c>
      <c r="H173" s="243">
        <v>358916</v>
      </c>
      <c r="I173" s="243">
        <f t="shared" si="17"/>
        <v>71424284</v>
      </c>
      <c r="J173" s="8"/>
      <c r="K173" s="8">
        <f t="shared" si="15"/>
        <v>358916</v>
      </c>
      <c r="L173" s="8">
        <f t="shared" si="18"/>
        <v>31430274.119999997</v>
      </c>
      <c r="M173" s="9" t="str">
        <f t="array" ref="M173:P173">_xlfn.XLOOKUP(C173,'Neiva 2022 FASE I ACTUAL (5)'!$C$6:$C$540,'Neiva 2022 FASE I ACTUAL (5)'!$C$6:$F$540,"NO ESTA")</f>
        <v>SUMINISTRO E INSTALACION VENTANAL PERFIL 12cm EN ALUMINIO o similar TIPO V-1 Incluye VIDRIO Referencia SOLARBAN Ver NOTAS GENERALES DE PLANCHA</v>
      </c>
      <c r="N173" s="9" t="str">
        <v>M2</v>
      </c>
      <c r="O173" s="9">
        <v>111.43</v>
      </c>
      <c r="P173" s="9">
        <v>344443</v>
      </c>
      <c r="Q173" s="124" t="str">
        <f t="shared" si="21"/>
        <v>FASE II</v>
      </c>
      <c r="R173" s="155">
        <f t="shared" si="16"/>
        <v>199</v>
      </c>
      <c r="S173" s="156">
        <f t="shared" si="19"/>
        <v>358916</v>
      </c>
      <c r="T173" s="156">
        <f t="shared" si="20"/>
        <v>71424284</v>
      </c>
    </row>
    <row r="174" spans="1:20" s="9" customFormat="1" ht="35.1" customHeight="1" x14ac:dyDescent="0.25">
      <c r="A174" s="215"/>
      <c r="B174" s="255" t="s">
        <v>1130</v>
      </c>
      <c r="C174" s="254" t="s">
        <v>214</v>
      </c>
      <c r="D174" s="240" t="s">
        <v>13</v>
      </c>
      <c r="E174" s="242">
        <v>157.53</v>
      </c>
      <c r="F174" s="242">
        <v>63.83</v>
      </c>
      <c r="G174" s="242">
        <v>221.36</v>
      </c>
      <c r="H174" s="243">
        <v>358916</v>
      </c>
      <c r="I174" s="243">
        <f t="shared" si="17"/>
        <v>79449645.760000005</v>
      </c>
      <c r="J174" s="8"/>
      <c r="K174" s="8">
        <f t="shared" si="15"/>
        <v>358916</v>
      </c>
      <c r="L174" s="8">
        <f t="shared" si="18"/>
        <v>56540037.479999997</v>
      </c>
      <c r="M174" s="9" t="str">
        <f t="array" ref="M174:P174">_xlfn.XLOOKUP(C174,'Neiva 2022 FASE I ACTUAL (5)'!$C$6:$C$540,'Neiva 2022 FASE I ACTUAL (5)'!$C$6:$F$540,"NO ESTA")</f>
        <v>SUMINISTRO E INSTALACION VENTANAL PERFIL 12cm  AULAS COMPLETO EN ALUMINIO o similar TIPO V-2 Incluye VIDRIO Referencia SOLARBAN Ver NOTAS GENERALES DE PLANCHA</v>
      </c>
      <c r="N174" s="9" t="str">
        <v>M2</v>
      </c>
      <c r="O174" s="9">
        <v>63.83</v>
      </c>
      <c r="P174" s="9">
        <v>344443</v>
      </c>
      <c r="Q174" s="124" t="str">
        <f t="shared" si="21"/>
        <v>FASE II</v>
      </c>
      <c r="R174" s="155">
        <f t="shared" si="16"/>
        <v>221.36</v>
      </c>
      <c r="S174" s="156">
        <f t="shared" si="19"/>
        <v>358916</v>
      </c>
      <c r="T174" s="156">
        <f t="shared" si="20"/>
        <v>79449645.760000005</v>
      </c>
    </row>
    <row r="175" spans="1:20" s="9" customFormat="1" ht="35.1" customHeight="1" x14ac:dyDescent="0.25">
      <c r="A175" s="215"/>
      <c r="B175" s="255" t="s">
        <v>1131</v>
      </c>
      <c r="C175" s="254" t="s">
        <v>204</v>
      </c>
      <c r="D175" s="240" t="s">
        <v>13</v>
      </c>
      <c r="E175" s="242">
        <v>148.13999999999999</v>
      </c>
      <c r="F175" s="242">
        <v>17.010000000000002</v>
      </c>
      <c r="G175" s="242">
        <v>165.14999999999998</v>
      </c>
      <c r="H175" s="243">
        <v>375510</v>
      </c>
      <c r="I175" s="243">
        <f t="shared" si="17"/>
        <v>62015476.5</v>
      </c>
      <c r="J175" s="8"/>
      <c r="K175" s="8">
        <f t="shared" si="15"/>
        <v>375510</v>
      </c>
      <c r="L175" s="8">
        <f t="shared" si="18"/>
        <v>55628051.399999999</v>
      </c>
      <c r="M175" s="9" t="str">
        <f t="array" ref="M175:P175">_xlfn.XLOOKUP(C175,'Neiva 2022 FASE I ACTUAL (5)'!$C$6:$C$540,'Neiva 2022 FASE I ACTUAL (5)'!$C$6:$F$540,"NO ESTA")</f>
        <v>SUMINISTRO E INSTALACION VENTANAL DOBLE ALTURA EN ALUMINIO o similar TIPO V-4 Incluye VIDRIO Referencia SOLARBAN Ver NOTAS GENERALES DE PLANCHA</v>
      </c>
      <c r="N175" s="9" t="str">
        <v>M2</v>
      </c>
      <c r="O175" s="9">
        <v>17.010000000000002</v>
      </c>
      <c r="P175" s="9">
        <v>360365</v>
      </c>
      <c r="Q175" s="124" t="str">
        <f t="shared" si="21"/>
        <v>FASE II</v>
      </c>
      <c r="R175" s="155">
        <f t="shared" si="16"/>
        <v>165.14999999999998</v>
      </c>
      <c r="S175" s="156">
        <f t="shared" si="19"/>
        <v>375510</v>
      </c>
      <c r="T175" s="156">
        <f t="shared" si="20"/>
        <v>62015476.5</v>
      </c>
    </row>
    <row r="176" spans="1:20" s="9" customFormat="1" ht="35.1" customHeight="1" x14ac:dyDescent="0.25">
      <c r="A176" s="215"/>
      <c r="B176" s="255" t="s">
        <v>1132</v>
      </c>
      <c r="C176" s="241" t="s">
        <v>1133</v>
      </c>
      <c r="D176" s="240" t="s">
        <v>13</v>
      </c>
      <c r="E176" s="242">
        <v>31.33</v>
      </c>
      <c r="F176" s="242"/>
      <c r="G176" s="242">
        <v>31.33</v>
      </c>
      <c r="H176" s="243">
        <v>418367</v>
      </c>
      <c r="I176" s="243">
        <f t="shared" si="17"/>
        <v>13107438.109999999</v>
      </c>
      <c r="J176" s="8"/>
      <c r="K176" s="8">
        <f t="shared" si="15"/>
        <v>418367</v>
      </c>
      <c r="L176" s="8">
        <f t="shared" si="18"/>
        <v>13107438.109999999</v>
      </c>
      <c r="M176" s="9" t="str">
        <f t="array" ref="M176">_xlfn.XLOOKUP(C176,'Neiva 2022 FASE I ACTUAL (5)'!$C$6:$C$540,'Neiva 2022 FASE I ACTUAL (5)'!$C$6:$F$540,"NO ESTA")</f>
        <v>NO ESTA</v>
      </c>
      <c r="Q176" s="124">
        <f t="shared" si="21"/>
        <v>0</v>
      </c>
      <c r="R176" s="155">
        <f t="shared" si="16"/>
        <v>31.33</v>
      </c>
      <c r="S176" s="156">
        <f t="shared" si="19"/>
        <v>418367</v>
      </c>
      <c r="T176" s="156">
        <f t="shared" si="20"/>
        <v>13107438.109999999</v>
      </c>
    </row>
    <row r="177" spans="1:20" s="9" customFormat="1" ht="35.1" customHeight="1" x14ac:dyDescent="0.25">
      <c r="A177" s="215"/>
      <c r="B177" s="244" t="s">
        <v>1134</v>
      </c>
      <c r="C177" s="245" t="s">
        <v>1135</v>
      </c>
      <c r="D177" s="244"/>
      <c r="E177" s="246"/>
      <c r="F177" s="246"/>
      <c r="G177" s="246"/>
      <c r="H177" s="246"/>
      <c r="I177" s="246"/>
      <c r="J177" s="8"/>
      <c r="K177" s="8">
        <f t="shared" ref="K177:K240" si="22">+ROUND(H177*(1+$K$4),0)</f>
        <v>0</v>
      </c>
      <c r="L177" s="8">
        <f t="shared" si="18"/>
        <v>0</v>
      </c>
      <c r="M177" s="9" t="str">
        <f t="array" ref="M177">_xlfn.XLOOKUP(C177,'Neiva 2022 FASE I ACTUAL (5)'!$C$6:$C$540,'Neiva 2022 FASE I ACTUAL (5)'!$C$6:$F$540,"NO ESTA")</f>
        <v>NO ESTA</v>
      </c>
      <c r="Q177" s="124">
        <f t="shared" si="21"/>
        <v>0</v>
      </c>
      <c r="R177" s="155">
        <f t="shared" si="16"/>
        <v>0</v>
      </c>
      <c r="S177" s="156">
        <f t="shared" si="19"/>
        <v>0</v>
      </c>
      <c r="T177" s="156">
        <f t="shared" si="20"/>
        <v>0</v>
      </c>
    </row>
    <row r="178" spans="1:20" s="9" customFormat="1" ht="35.1" customHeight="1" x14ac:dyDescent="0.25">
      <c r="A178" s="215"/>
      <c r="B178" s="255" t="s">
        <v>1136</v>
      </c>
      <c r="C178" s="254" t="s">
        <v>210</v>
      </c>
      <c r="D178" s="240" t="s">
        <v>13</v>
      </c>
      <c r="E178" s="242">
        <v>41.36</v>
      </c>
      <c r="F178" s="242">
        <v>21.89</v>
      </c>
      <c r="G178" s="242">
        <v>63.25</v>
      </c>
      <c r="H178" s="243">
        <v>253440</v>
      </c>
      <c r="I178" s="243">
        <f t="shared" si="17"/>
        <v>16030080</v>
      </c>
      <c r="J178" s="8"/>
      <c r="K178" s="8">
        <f t="shared" si="22"/>
        <v>253440</v>
      </c>
      <c r="L178" s="8">
        <f t="shared" si="18"/>
        <v>10482278.4</v>
      </c>
      <c r="M178" s="9" t="str">
        <f t="array" ref="M178:P178">_xlfn.XLOOKUP(C178,'Neiva 2022 FASE I ACTUAL (5)'!$C$6:$C$540,'Neiva 2022 FASE I ACTUAL (5)'!$C$6:$F$540,"NO ESTA")</f>
        <v>SUMINISTRO E INSTALACION CORTASOL Referencia 84R TIPO CS-1 Ver NOTAS GENERALES DE PLANCHA</v>
      </c>
      <c r="N178" s="9" t="str">
        <v>M2</v>
      </c>
      <c r="O178" s="9">
        <v>21.89</v>
      </c>
      <c r="P178" s="9">
        <v>241010</v>
      </c>
      <c r="Q178" s="124" t="str">
        <f t="shared" si="21"/>
        <v>FASE II</v>
      </c>
      <c r="R178" s="155">
        <f t="shared" si="16"/>
        <v>63.25</v>
      </c>
      <c r="S178" s="156">
        <f t="shared" si="19"/>
        <v>253440</v>
      </c>
      <c r="T178" s="156">
        <f t="shared" si="20"/>
        <v>16030080</v>
      </c>
    </row>
    <row r="179" spans="1:20" s="9" customFormat="1" ht="35.1" customHeight="1" x14ac:dyDescent="0.25">
      <c r="A179" s="215"/>
      <c r="B179" s="255" t="s">
        <v>1137</v>
      </c>
      <c r="C179" s="254" t="s">
        <v>1128</v>
      </c>
      <c r="D179" s="240" t="s">
        <v>13</v>
      </c>
      <c r="E179" s="242">
        <v>124.89</v>
      </c>
      <c r="F179" s="242"/>
      <c r="G179" s="242">
        <v>124.89</v>
      </c>
      <c r="H179" s="243">
        <v>316721</v>
      </c>
      <c r="I179" s="243">
        <f t="shared" si="17"/>
        <v>39555285.689999998</v>
      </c>
      <c r="J179" s="8"/>
      <c r="K179" s="8">
        <f t="shared" si="22"/>
        <v>316721</v>
      </c>
      <c r="L179" s="8">
        <f t="shared" si="18"/>
        <v>39555285.689999998</v>
      </c>
      <c r="M179" s="9" t="str">
        <f t="array" ref="M179">_xlfn.XLOOKUP(C179,'Neiva 2022 FASE I ACTUAL (5)'!$C$6:$C$540,'Neiva 2022 FASE I ACTUAL (5)'!$C$6:$F$540,"NO ESTA")</f>
        <v>NO ESTA</v>
      </c>
      <c r="Q179" s="124">
        <f t="shared" si="21"/>
        <v>0</v>
      </c>
      <c r="R179" s="155">
        <f t="shared" si="16"/>
        <v>124.89</v>
      </c>
      <c r="S179" s="156">
        <f t="shared" si="19"/>
        <v>316721</v>
      </c>
      <c r="T179" s="156">
        <f t="shared" si="20"/>
        <v>39555285.689999998</v>
      </c>
    </row>
    <row r="180" spans="1:20" s="9" customFormat="1" ht="35.1" customHeight="1" x14ac:dyDescent="0.25">
      <c r="A180" s="215"/>
      <c r="B180" s="255" t="s">
        <v>1138</v>
      </c>
      <c r="C180" s="254" t="s">
        <v>202</v>
      </c>
      <c r="D180" s="240" t="s">
        <v>13</v>
      </c>
      <c r="E180" s="242">
        <v>82.95</v>
      </c>
      <c r="F180" s="242">
        <v>111.43</v>
      </c>
      <c r="G180" s="242">
        <v>194.38</v>
      </c>
      <c r="H180" s="243">
        <v>358916</v>
      </c>
      <c r="I180" s="243">
        <f t="shared" si="17"/>
        <v>69766092.079999998</v>
      </c>
      <c r="J180" s="8"/>
      <c r="K180" s="8">
        <f t="shared" si="22"/>
        <v>358916</v>
      </c>
      <c r="L180" s="8">
        <f t="shared" si="18"/>
        <v>29772082.199999999</v>
      </c>
      <c r="M180" s="9" t="str">
        <f t="array" ref="M180:P180">_xlfn.XLOOKUP(C180,'Neiva 2022 FASE I ACTUAL (5)'!$C$6:$C$540,'Neiva 2022 FASE I ACTUAL (5)'!$C$6:$F$540,"NO ESTA")</f>
        <v>SUMINISTRO E INSTALACION VENTANAL PERFIL 12cm EN ALUMINIO o similar TIPO V-1 Incluye VIDRIO Referencia SOLARBAN Ver NOTAS GENERALES DE PLANCHA</v>
      </c>
      <c r="N180" s="9" t="str">
        <v>M2</v>
      </c>
      <c r="O180" s="9">
        <v>111.43</v>
      </c>
      <c r="P180" s="9">
        <v>344443</v>
      </c>
      <c r="Q180" s="124" t="str">
        <f t="shared" si="21"/>
        <v>FASE II</v>
      </c>
      <c r="R180" s="155">
        <f t="shared" si="16"/>
        <v>194.38</v>
      </c>
      <c r="S180" s="156">
        <f t="shared" si="19"/>
        <v>358916</v>
      </c>
      <c r="T180" s="156">
        <f t="shared" si="20"/>
        <v>69766092.079999998</v>
      </c>
    </row>
    <row r="181" spans="1:20" s="9" customFormat="1" ht="35.1" customHeight="1" x14ac:dyDescent="0.25">
      <c r="A181" s="215"/>
      <c r="B181" s="240" t="s">
        <v>1139</v>
      </c>
      <c r="C181" s="241" t="s">
        <v>214</v>
      </c>
      <c r="D181" s="240" t="s">
        <v>13</v>
      </c>
      <c r="E181" s="242">
        <v>157.53</v>
      </c>
      <c r="F181" s="242">
        <v>63.83</v>
      </c>
      <c r="G181" s="242">
        <v>221.36</v>
      </c>
      <c r="H181" s="243">
        <v>358916</v>
      </c>
      <c r="I181" s="243">
        <f t="shared" si="17"/>
        <v>79449645.760000005</v>
      </c>
      <c r="J181" s="8"/>
      <c r="K181" s="8">
        <f t="shared" si="22"/>
        <v>358916</v>
      </c>
      <c r="L181" s="8">
        <f t="shared" si="18"/>
        <v>56540037.479999997</v>
      </c>
      <c r="M181" s="9" t="str">
        <f t="array" ref="M181:P181">_xlfn.XLOOKUP(C181,'Neiva 2022 FASE I ACTUAL (5)'!$C$6:$C$540,'Neiva 2022 FASE I ACTUAL (5)'!$C$6:$F$540,"NO ESTA")</f>
        <v>SUMINISTRO E INSTALACION VENTANAL PERFIL 12cm  AULAS COMPLETO EN ALUMINIO o similar TIPO V-2 Incluye VIDRIO Referencia SOLARBAN Ver NOTAS GENERALES DE PLANCHA</v>
      </c>
      <c r="N181" s="9" t="str">
        <v>M2</v>
      </c>
      <c r="O181" s="9">
        <v>63.83</v>
      </c>
      <c r="P181" s="9">
        <v>344443</v>
      </c>
      <c r="Q181" s="124" t="str">
        <f t="shared" si="21"/>
        <v>FASE II</v>
      </c>
      <c r="R181" s="155">
        <f t="shared" si="16"/>
        <v>221.36</v>
      </c>
      <c r="S181" s="156">
        <f t="shared" si="19"/>
        <v>358916</v>
      </c>
      <c r="T181" s="156">
        <f t="shared" si="20"/>
        <v>79449645.760000005</v>
      </c>
    </row>
    <row r="182" spans="1:20" s="9" customFormat="1" ht="35.1" customHeight="1" x14ac:dyDescent="0.25">
      <c r="A182" s="215"/>
      <c r="B182" s="240" t="s">
        <v>1140</v>
      </c>
      <c r="C182" s="241" t="s">
        <v>216</v>
      </c>
      <c r="D182" s="240" t="s">
        <v>13</v>
      </c>
      <c r="E182" s="242">
        <v>84.61</v>
      </c>
      <c r="F182" s="242">
        <v>7.99</v>
      </c>
      <c r="G182" s="242">
        <v>92.6</v>
      </c>
      <c r="H182" s="243">
        <v>372614</v>
      </c>
      <c r="I182" s="243">
        <f t="shared" si="17"/>
        <v>34504056.399999999</v>
      </c>
      <c r="J182" s="8"/>
      <c r="K182" s="8">
        <f t="shared" si="22"/>
        <v>372614</v>
      </c>
      <c r="L182" s="8">
        <f t="shared" si="18"/>
        <v>31526870.539999999</v>
      </c>
      <c r="M182" s="9" t="str">
        <f t="array" ref="M182:P182">_xlfn.XLOOKUP(C182,'Neiva 2022 FASE I ACTUAL (5)'!$C$6:$C$540,'Neiva 2022 FASE I ACTUAL (5)'!$C$6:$F$540,"NO ESTA")</f>
        <v>SUMINISTRO E INSTALACION VENTANAL PERFIL 15cm EN ALUMINIO o similar TIPO V-3 Incluye VIDRIO Referencia SOLARBAN Ver NOTAS GENERALES DE PLANCHA</v>
      </c>
      <c r="N182" s="9" t="str">
        <v>M2</v>
      </c>
      <c r="O182" s="9">
        <v>7.99</v>
      </c>
      <c r="P182" s="9">
        <v>357587</v>
      </c>
      <c r="Q182" s="124" t="str">
        <f t="shared" si="21"/>
        <v>FASE II</v>
      </c>
      <c r="R182" s="155">
        <f t="shared" si="16"/>
        <v>92.6</v>
      </c>
      <c r="S182" s="156">
        <f t="shared" si="19"/>
        <v>372614</v>
      </c>
      <c r="T182" s="156">
        <f t="shared" si="20"/>
        <v>34504056.399999999</v>
      </c>
    </row>
    <row r="183" spans="1:20" s="9" customFormat="1" ht="35.1" customHeight="1" x14ac:dyDescent="0.25">
      <c r="A183" s="215"/>
      <c r="B183" s="240" t="s">
        <v>1141</v>
      </c>
      <c r="C183" s="241" t="s">
        <v>220</v>
      </c>
      <c r="D183" s="240" t="s">
        <v>13</v>
      </c>
      <c r="E183" s="242">
        <v>31.96</v>
      </c>
      <c r="F183" s="242">
        <v>10.72</v>
      </c>
      <c r="G183" s="242">
        <v>42.68</v>
      </c>
      <c r="H183" s="243">
        <v>418367</v>
      </c>
      <c r="I183" s="243">
        <f t="shared" si="17"/>
        <v>17855903.559999999</v>
      </c>
      <c r="J183" s="8"/>
      <c r="K183" s="8">
        <f t="shared" si="22"/>
        <v>418367</v>
      </c>
      <c r="L183" s="8">
        <f t="shared" si="18"/>
        <v>13371009.32</v>
      </c>
      <c r="M183" s="9" t="str">
        <f t="array" ref="M183:P183">_xlfn.XLOOKUP(C183,'Neiva 2022 FASE I ACTUAL (5)'!$C$6:$C$540,'Neiva 2022 FASE I ACTUAL (5)'!$C$6:$F$540,"NO ESTA")</f>
        <v>SUMINISTRO E INSTALACION VENTANAL INTERIOR PERFIL 15cm SALONES EN ALUMINIO o similar TIPO V-6Incluye VIDRIO Referencia TRASLUCIDO TEMPLADO 10MM Ver NOTAS GENERALES DE PLANCHA</v>
      </c>
      <c r="N183" s="9" t="str">
        <v>M2</v>
      </c>
      <c r="O183" s="9">
        <v>10.72</v>
      </c>
      <c r="P183" s="9">
        <v>401495</v>
      </c>
      <c r="Q183" s="124" t="str">
        <f t="shared" si="21"/>
        <v>FASE II</v>
      </c>
      <c r="R183" s="155">
        <f t="shared" si="16"/>
        <v>42.68</v>
      </c>
      <c r="S183" s="156">
        <f t="shared" si="19"/>
        <v>418367</v>
      </c>
      <c r="T183" s="156">
        <f t="shared" si="20"/>
        <v>17855903.559999999</v>
      </c>
    </row>
    <row r="184" spans="1:20" s="9" customFormat="1" ht="35.1" customHeight="1" x14ac:dyDescent="0.25">
      <c r="A184" s="215"/>
      <c r="B184" s="247">
        <v>9</v>
      </c>
      <c r="C184" s="248" t="s">
        <v>221</v>
      </c>
      <c r="D184" s="248"/>
      <c r="E184" s="249"/>
      <c r="F184" s="249"/>
      <c r="G184" s="249"/>
      <c r="H184" s="249"/>
      <c r="I184" s="249"/>
      <c r="J184" s="8"/>
      <c r="K184" s="8">
        <f t="shared" si="22"/>
        <v>0</v>
      </c>
      <c r="L184" s="8">
        <f t="shared" si="18"/>
        <v>0</v>
      </c>
      <c r="M184" s="9" t="str">
        <f t="array" ref="M184:P184">_xlfn.XLOOKUP(C184,'Neiva 2022 FASE I ACTUAL (5)'!$C$6:$C$540,'Neiva 2022 FASE I ACTUAL (5)'!$C$6:$F$540,"NO ESTA")</f>
        <v>PUERTAS</v>
      </c>
      <c r="N184" s="9">
        <v>0</v>
      </c>
      <c r="O184" s="9">
        <v>0</v>
      </c>
      <c r="P184" s="9">
        <v>0</v>
      </c>
      <c r="Q184" s="124">
        <f t="shared" si="21"/>
        <v>0</v>
      </c>
      <c r="R184" s="155">
        <f t="shared" si="16"/>
        <v>0</v>
      </c>
      <c r="S184" s="156">
        <f t="shared" si="19"/>
        <v>0</v>
      </c>
      <c r="T184" s="156">
        <f t="shared" si="20"/>
        <v>0</v>
      </c>
    </row>
    <row r="185" spans="1:20" s="9" customFormat="1" ht="35.1" customHeight="1" x14ac:dyDescent="0.25">
      <c r="A185" s="215"/>
      <c r="B185" s="244" t="s">
        <v>222</v>
      </c>
      <c r="C185" s="245" t="s">
        <v>223</v>
      </c>
      <c r="D185" s="244"/>
      <c r="E185" s="246"/>
      <c r="F185" s="246"/>
      <c r="G185" s="246"/>
      <c r="H185" s="246"/>
      <c r="I185" s="246"/>
      <c r="J185" s="8"/>
      <c r="K185" s="8">
        <f t="shared" si="22"/>
        <v>0</v>
      </c>
      <c r="L185" s="8">
        <f t="shared" si="18"/>
        <v>0</v>
      </c>
      <c r="M185" s="9" t="str">
        <f t="array" ref="M185:P185">_xlfn.XLOOKUP(C185,'Neiva 2022 FASE I ACTUAL (5)'!$C$6:$C$540,'Neiva 2022 FASE I ACTUAL (5)'!$C$6:$F$540,"NO ESTA")</f>
        <v>SUMINISTRO E INSTALACIÓN PUERTAS SEMISOTANO</v>
      </c>
      <c r="N185" s="9">
        <v>0</v>
      </c>
      <c r="O185" s="9">
        <v>0</v>
      </c>
      <c r="P185" s="9">
        <v>0</v>
      </c>
      <c r="Q185" s="124">
        <f t="shared" si="21"/>
        <v>0</v>
      </c>
      <c r="R185" s="155">
        <f t="shared" si="16"/>
        <v>0</v>
      </c>
      <c r="S185" s="156">
        <f t="shared" si="19"/>
        <v>0</v>
      </c>
      <c r="T185" s="156">
        <f t="shared" si="20"/>
        <v>0</v>
      </c>
    </row>
    <row r="186" spans="1:20" s="9" customFormat="1" ht="35.1" customHeight="1" x14ac:dyDescent="0.25">
      <c r="A186" s="215"/>
      <c r="B186" s="255" t="s">
        <v>224</v>
      </c>
      <c r="C186" s="254" t="s">
        <v>225</v>
      </c>
      <c r="D186" s="240" t="s">
        <v>13</v>
      </c>
      <c r="E186" s="242">
        <v>0</v>
      </c>
      <c r="F186" s="242">
        <v>4.4000000000000004</v>
      </c>
      <c r="G186" s="242">
        <v>4.4000000000000004</v>
      </c>
      <c r="H186" s="243">
        <v>1403411</v>
      </c>
      <c r="I186" s="243">
        <f t="shared" si="17"/>
        <v>6175008.4000000004</v>
      </c>
      <c r="J186" s="8"/>
      <c r="K186" s="8">
        <f t="shared" si="22"/>
        <v>1403411</v>
      </c>
      <c r="L186" s="8">
        <f t="shared" si="18"/>
        <v>0</v>
      </c>
      <c r="M186" s="9" t="str">
        <f t="array" ref="M186:P186">_xlfn.XLOOKUP(C186,'Neiva 2022 FASE I ACTUAL (5)'!$C$6:$C$540,'Neiva 2022 FASE I ACTUAL (5)'!$C$6:$F$540,"NO ESTA")</f>
        <v>SUMINISTRO E INSTALACION PUERTA DE EVACUACIÓN TIPO P-1 Ver NOTAS GENERALES DE PLANCHA</v>
      </c>
      <c r="N186" s="9" t="str">
        <v>M2</v>
      </c>
      <c r="O186" s="9">
        <v>4.4000000000000004</v>
      </c>
      <c r="P186" s="9">
        <v>1346813</v>
      </c>
      <c r="Q186" s="124" t="str">
        <f t="shared" si="21"/>
        <v>FASE II</v>
      </c>
      <c r="R186" s="155">
        <f t="shared" si="16"/>
        <v>4.4000000000000004</v>
      </c>
      <c r="S186" s="156">
        <f t="shared" si="19"/>
        <v>1403411</v>
      </c>
      <c r="T186" s="156">
        <f t="shared" si="20"/>
        <v>6175008.4000000004</v>
      </c>
    </row>
    <row r="187" spans="1:20" s="9" customFormat="1" ht="35.1" customHeight="1" x14ac:dyDescent="0.25">
      <c r="A187" s="215"/>
      <c r="B187" s="255" t="s">
        <v>226</v>
      </c>
      <c r="C187" s="254" t="s">
        <v>227</v>
      </c>
      <c r="D187" s="240" t="s">
        <v>13</v>
      </c>
      <c r="E187" s="242">
        <v>0</v>
      </c>
      <c r="F187" s="242">
        <v>15.12</v>
      </c>
      <c r="G187" s="242">
        <v>15.12</v>
      </c>
      <c r="H187" s="243">
        <v>133587</v>
      </c>
      <c r="I187" s="243">
        <f t="shared" si="17"/>
        <v>2019835.44</v>
      </c>
      <c r="J187" s="8"/>
      <c r="K187" s="8">
        <f t="shared" si="22"/>
        <v>133587</v>
      </c>
      <c r="L187" s="8">
        <f t="shared" si="18"/>
        <v>0</v>
      </c>
      <c r="M187" s="9" t="str">
        <f t="array" ref="M187:P187">_xlfn.XLOOKUP(C187,'Neiva 2022 FASE I ACTUAL (5)'!$C$6:$C$540,'Neiva 2022 FASE I ACTUAL (5)'!$C$6:$F$540,"NO ESTA")</f>
        <v>SUMINISTRO E INSTALACION PUERTA METALICA DEPOSITOS TIPO P-2 Ver NOTAS GENERALES DE PLANCHA</v>
      </c>
      <c r="N187" s="9" t="str">
        <v>M2</v>
      </c>
      <c r="O187" s="9">
        <v>15.12</v>
      </c>
      <c r="P187" s="9">
        <v>128200</v>
      </c>
      <c r="Q187" s="124" t="str">
        <f t="shared" si="21"/>
        <v>FASE II</v>
      </c>
      <c r="R187" s="155">
        <f t="shared" si="16"/>
        <v>15.12</v>
      </c>
      <c r="S187" s="156">
        <f t="shared" si="19"/>
        <v>133587</v>
      </c>
      <c r="T187" s="156">
        <f t="shared" si="20"/>
        <v>2019835.44</v>
      </c>
    </row>
    <row r="188" spans="1:20" s="9" customFormat="1" ht="35.1" customHeight="1" x14ac:dyDescent="0.25">
      <c r="A188" s="215"/>
      <c r="B188" s="255" t="s">
        <v>228</v>
      </c>
      <c r="C188" s="254" t="s">
        <v>229</v>
      </c>
      <c r="D188" s="240" t="s">
        <v>13</v>
      </c>
      <c r="E188" s="242">
        <v>0</v>
      </c>
      <c r="F188" s="242">
        <v>33.6</v>
      </c>
      <c r="G188" s="242">
        <v>33.6</v>
      </c>
      <c r="H188" s="243">
        <v>157095</v>
      </c>
      <c r="I188" s="243">
        <f t="shared" si="17"/>
        <v>5278392</v>
      </c>
      <c r="J188" s="8"/>
      <c r="K188" s="8">
        <f t="shared" si="22"/>
        <v>157095</v>
      </c>
      <c r="L188" s="8">
        <f t="shared" si="18"/>
        <v>0</v>
      </c>
      <c r="M188" s="9" t="str">
        <f t="array" ref="M188:P188">_xlfn.XLOOKUP(C188,'Neiva 2022 FASE I ACTUAL (5)'!$C$6:$C$540,'Neiva 2022 FASE I ACTUAL (5)'!$C$6:$F$540,"NO ESTA")</f>
        <v>SUMINISTRO E INSTALACION PUERTA METALICA DOBLE HOJA TIPO P-7 Ver NOTAS GENERALES DE PLANCHA</v>
      </c>
      <c r="N188" s="9" t="str">
        <v>M2</v>
      </c>
      <c r="O188" s="9">
        <v>33.6</v>
      </c>
      <c r="P188" s="9">
        <v>150759</v>
      </c>
      <c r="Q188" s="124" t="str">
        <f t="shared" si="21"/>
        <v>FASE II</v>
      </c>
      <c r="R188" s="155">
        <f t="shared" si="16"/>
        <v>33.6</v>
      </c>
      <c r="S188" s="156">
        <f t="shared" si="19"/>
        <v>157095</v>
      </c>
      <c r="T188" s="156">
        <f t="shared" si="20"/>
        <v>5278392</v>
      </c>
    </row>
    <row r="189" spans="1:20" s="9" customFormat="1" ht="35.1" customHeight="1" x14ac:dyDescent="0.25">
      <c r="A189" s="215"/>
      <c r="B189" s="255" t="s">
        <v>230</v>
      </c>
      <c r="C189" s="254" t="s">
        <v>1142</v>
      </c>
      <c r="D189" s="240" t="s">
        <v>13</v>
      </c>
      <c r="E189" s="242">
        <v>0</v>
      </c>
      <c r="F189" s="242">
        <v>15.84</v>
      </c>
      <c r="G189" s="242">
        <f>+F189+E189</f>
        <v>15.84</v>
      </c>
      <c r="H189" s="243">
        <v>256121</v>
      </c>
      <c r="I189" s="243">
        <f t="shared" si="17"/>
        <v>4056956.64</v>
      </c>
      <c r="J189" s="8"/>
      <c r="K189" s="8">
        <f t="shared" si="22"/>
        <v>256121</v>
      </c>
      <c r="L189" s="8">
        <f t="shared" si="18"/>
        <v>0</v>
      </c>
      <c r="M189" s="9" t="str">
        <f t="array" ref="M189">_xlfn.XLOOKUP(C189,'Neiva 2022 FASE I ACTUAL (5)'!$C$6:$C$540,'Neiva 2022 FASE I ACTUAL (5)'!$C$6:$F$540,"NO ESTA")</f>
        <v>NO ESTA</v>
      </c>
      <c r="Q189" s="124">
        <f t="shared" si="21"/>
        <v>0</v>
      </c>
      <c r="R189" s="155">
        <f t="shared" si="16"/>
        <v>0</v>
      </c>
      <c r="S189" s="156">
        <f t="shared" si="19"/>
        <v>256121</v>
      </c>
      <c r="T189" s="156">
        <f t="shared" si="20"/>
        <v>0</v>
      </c>
    </row>
    <row r="190" spans="1:20" s="9" customFormat="1" ht="35.1" customHeight="1" x14ac:dyDescent="0.25">
      <c r="A190" s="215"/>
      <c r="B190" s="244" t="s">
        <v>232</v>
      </c>
      <c r="C190" s="245" t="s">
        <v>233</v>
      </c>
      <c r="D190" s="260"/>
      <c r="E190" s="246"/>
      <c r="F190" s="246"/>
      <c r="G190" s="246"/>
      <c r="H190" s="246"/>
      <c r="I190" s="246"/>
      <c r="J190" s="8"/>
      <c r="K190" s="8">
        <f t="shared" si="22"/>
        <v>0</v>
      </c>
      <c r="L190" s="8">
        <f t="shared" si="18"/>
        <v>0</v>
      </c>
      <c r="M190" s="9" t="str">
        <f t="array" ref="M190:P190">_xlfn.XLOOKUP(C190,'Neiva 2022 FASE I ACTUAL (5)'!$C$6:$C$540,'Neiva 2022 FASE I ACTUAL (5)'!$C$6:$F$540,"NO ESTA")</f>
        <v>SUMINISTRO E INSTALACIÓN PUERTAS PISO 1</v>
      </c>
      <c r="N190" s="9">
        <v>0</v>
      </c>
      <c r="O190" s="9">
        <v>0</v>
      </c>
      <c r="P190" s="9">
        <v>0</v>
      </c>
      <c r="Q190" s="124">
        <f t="shared" si="21"/>
        <v>0</v>
      </c>
      <c r="R190" s="155">
        <f t="shared" si="16"/>
        <v>0</v>
      </c>
      <c r="S190" s="156">
        <f t="shared" si="19"/>
        <v>0</v>
      </c>
      <c r="T190" s="156">
        <f t="shared" si="20"/>
        <v>0</v>
      </c>
    </row>
    <row r="191" spans="1:20" s="9" customFormat="1" ht="35.1" customHeight="1" x14ac:dyDescent="0.25">
      <c r="A191" s="215"/>
      <c r="B191" s="255" t="s">
        <v>234</v>
      </c>
      <c r="C191" s="254" t="s">
        <v>225</v>
      </c>
      <c r="D191" s="240" t="s">
        <v>13</v>
      </c>
      <c r="E191" s="242">
        <v>0</v>
      </c>
      <c r="F191" s="242">
        <v>4.4000000000000004</v>
      </c>
      <c r="G191" s="242">
        <v>4.4000000000000004</v>
      </c>
      <c r="H191" s="243">
        <v>1403411</v>
      </c>
      <c r="I191" s="243">
        <f t="shared" si="17"/>
        <v>6175008.4000000004</v>
      </c>
      <c r="J191" s="8"/>
      <c r="K191" s="8">
        <f t="shared" si="22"/>
        <v>1403411</v>
      </c>
      <c r="L191" s="8">
        <f t="shared" si="18"/>
        <v>0</v>
      </c>
      <c r="M191" s="9" t="str">
        <f t="array" ref="M191:P191">_xlfn.XLOOKUP(C191,'Neiva 2022 FASE I ACTUAL (5)'!$C$6:$C$540,'Neiva 2022 FASE I ACTUAL (5)'!$C$6:$F$540,"NO ESTA")</f>
        <v>SUMINISTRO E INSTALACION PUERTA DE EVACUACIÓN TIPO P-1 Ver NOTAS GENERALES DE PLANCHA</v>
      </c>
      <c r="N191" s="9" t="str">
        <v>M2</v>
      </c>
      <c r="O191" s="9">
        <v>4.4000000000000004</v>
      </c>
      <c r="P191" s="9">
        <v>1346813</v>
      </c>
      <c r="Q191" s="124" t="str">
        <f t="shared" si="21"/>
        <v>FASE II</v>
      </c>
      <c r="R191" s="155">
        <f t="shared" si="16"/>
        <v>4.4000000000000004</v>
      </c>
      <c r="S191" s="156">
        <f t="shared" si="19"/>
        <v>1403411</v>
      </c>
      <c r="T191" s="156">
        <f t="shared" si="20"/>
        <v>6175008.4000000004</v>
      </c>
    </row>
    <row r="192" spans="1:20" s="9" customFormat="1" ht="35.1" customHeight="1" x14ac:dyDescent="0.25">
      <c r="A192" s="215"/>
      <c r="B192" s="255" t="s">
        <v>235</v>
      </c>
      <c r="C192" s="254" t="s">
        <v>227</v>
      </c>
      <c r="D192" s="240" t="s">
        <v>13</v>
      </c>
      <c r="E192" s="242">
        <v>0</v>
      </c>
      <c r="F192" s="242">
        <v>15.12</v>
      </c>
      <c r="G192" s="242">
        <v>15.12</v>
      </c>
      <c r="H192" s="243">
        <v>133587</v>
      </c>
      <c r="I192" s="243">
        <f t="shared" si="17"/>
        <v>2019835.44</v>
      </c>
      <c r="J192" s="8"/>
      <c r="K192" s="8">
        <f t="shared" si="22"/>
        <v>133587</v>
      </c>
      <c r="L192" s="8">
        <f t="shared" si="18"/>
        <v>0</v>
      </c>
      <c r="M192" s="9" t="str">
        <f t="array" ref="M192:P192">_xlfn.XLOOKUP(C192,'Neiva 2022 FASE I ACTUAL (5)'!$C$6:$C$540,'Neiva 2022 FASE I ACTUAL (5)'!$C$6:$F$540,"NO ESTA")</f>
        <v>SUMINISTRO E INSTALACION PUERTA METALICA DEPOSITOS TIPO P-2 Ver NOTAS GENERALES DE PLANCHA</v>
      </c>
      <c r="N192" s="9" t="str">
        <v>M2</v>
      </c>
      <c r="O192" s="9">
        <v>15.12</v>
      </c>
      <c r="P192" s="9">
        <v>128200</v>
      </c>
      <c r="Q192" s="124" t="str">
        <f t="shared" si="21"/>
        <v>FASE II</v>
      </c>
      <c r="R192" s="155">
        <f t="shared" si="16"/>
        <v>15.12</v>
      </c>
      <c r="S192" s="156">
        <f t="shared" si="19"/>
        <v>133587</v>
      </c>
      <c r="T192" s="156">
        <f t="shared" si="20"/>
        <v>2019835.44</v>
      </c>
    </row>
    <row r="193" spans="1:20" s="9" customFormat="1" ht="35.1" customHeight="1" x14ac:dyDescent="0.25">
      <c r="A193" s="215"/>
      <c r="B193" s="255" t="s">
        <v>236</v>
      </c>
      <c r="C193" s="254" t="s">
        <v>237</v>
      </c>
      <c r="D193" s="240" t="s">
        <v>13</v>
      </c>
      <c r="E193" s="242">
        <v>0</v>
      </c>
      <c r="F193" s="242">
        <v>2.4</v>
      </c>
      <c r="G193" s="242">
        <v>2.4</v>
      </c>
      <c r="H193" s="243">
        <v>742892</v>
      </c>
      <c r="I193" s="243">
        <f t="shared" si="17"/>
        <v>1782940.8</v>
      </c>
      <c r="J193" s="8"/>
      <c r="K193" s="8">
        <f t="shared" si="22"/>
        <v>742892</v>
      </c>
      <c r="L193" s="8">
        <f t="shared" si="18"/>
        <v>0</v>
      </c>
      <c r="M193" s="9" t="str">
        <f t="array" ref="M193:P193">_xlfn.XLOOKUP(C193,'Neiva 2022 FASE I ACTUAL (5)'!$C$6:$C$540,'Neiva 2022 FASE I ACTUAL (5)'!$C$6:$F$540,"NO ESTA")</f>
        <v>SUMINISTRO E INSTALACION PUERTA DIVISORIA DE MADERA TIPO P-3 Ver NOTAS GENERALES DE PLANCHA</v>
      </c>
      <c r="N193" s="9" t="str">
        <v>M2</v>
      </c>
      <c r="O193" s="9">
        <v>2.4</v>
      </c>
      <c r="P193" s="9">
        <v>712932</v>
      </c>
      <c r="Q193" s="124" t="str">
        <f t="shared" si="21"/>
        <v>FASE II</v>
      </c>
      <c r="R193" s="155">
        <f t="shared" si="16"/>
        <v>2.4</v>
      </c>
      <c r="S193" s="156">
        <f t="shared" si="19"/>
        <v>742892</v>
      </c>
      <c r="T193" s="156">
        <f t="shared" si="20"/>
        <v>1782940.8</v>
      </c>
    </row>
    <row r="194" spans="1:20" s="9" customFormat="1" ht="35.1" customHeight="1" x14ac:dyDescent="0.25">
      <c r="A194" s="215"/>
      <c r="B194" s="255" t="s">
        <v>238</v>
      </c>
      <c r="C194" s="254" t="s">
        <v>239</v>
      </c>
      <c r="D194" s="240" t="s">
        <v>13</v>
      </c>
      <c r="E194" s="242">
        <v>0</v>
      </c>
      <c r="F194" s="242">
        <v>12.96</v>
      </c>
      <c r="G194" s="242">
        <v>12.96</v>
      </c>
      <c r="H194" s="243">
        <v>742892</v>
      </c>
      <c r="I194" s="243">
        <f t="shared" si="17"/>
        <v>9627880.3200000003</v>
      </c>
      <c r="J194" s="8"/>
      <c r="K194" s="8">
        <f t="shared" si="22"/>
        <v>742892</v>
      </c>
      <c r="L194" s="8">
        <f t="shared" si="18"/>
        <v>0</v>
      </c>
      <c r="M194" s="9" t="str">
        <f t="array" ref="M194:P194">_xlfn.XLOOKUP(C194,'Neiva 2022 FASE I ACTUAL (5)'!$C$6:$C$540,'Neiva 2022 FASE I ACTUAL (5)'!$C$6:$F$540,"NO ESTA")</f>
        <v>SUMINISTRO E INSTALACION PUERTA DIVISORIA DE MADERA TIPO P-4 Ver NOTAS GENERALES DE PLANCHA</v>
      </c>
      <c r="N194" s="9" t="str">
        <v>M2</v>
      </c>
      <c r="O194" s="9">
        <v>12.96</v>
      </c>
      <c r="P194" s="9">
        <v>712932</v>
      </c>
      <c r="Q194" s="124" t="str">
        <f t="shared" si="21"/>
        <v>FASE II</v>
      </c>
      <c r="R194" s="155">
        <f t="shared" si="16"/>
        <v>12.96</v>
      </c>
      <c r="S194" s="156">
        <f t="shared" si="19"/>
        <v>742892</v>
      </c>
      <c r="T194" s="156">
        <f t="shared" si="20"/>
        <v>9627880.3200000003</v>
      </c>
    </row>
    <row r="195" spans="1:20" s="9" customFormat="1" ht="35.1" customHeight="1" x14ac:dyDescent="0.25">
      <c r="A195" s="215"/>
      <c r="B195" s="255" t="s">
        <v>240</v>
      </c>
      <c r="C195" s="254" t="s">
        <v>241</v>
      </c>
      <c r="D195" s="240" t="s">
        <v>13</v>
      </c>
      <c r="E195" s="242">
        <v>0</v>
      </c>
      <c r="F195" s="242">
        <v>5.76</v>
      </c>
      <c r="G195" s="242">
        <v>5.76</v>
      </c>
      <c r="H195" s="243">
        <v>742892</v>
      </c>
      <c r="I195" s="243">
        <f t="shared" si="17"/>
        <v>4279057.92</v>
      </c>
      <c r="J195" s="8"/>
      <c r="K195" s="8">
        <f t="shared" si="22"/>
        <v>742892</v>
      </c>
      <c r="L195" s="8">
        <f t="shared" si="18"/>
        <v>0</v>
      </c>
      <c r="M195" s="9" t="str">
        <f t="array" ref="M195:P195">_xlfn.XLOOKUP(C195,'Neiva 2022 FASE I ACTUAL (5)'!$C$6:$C$540,'Neiva 2022 FASE I ACTUAL (5)'!$C$6:$F$540,"NO ESTA")</f>
        <v>SUMINISTRO E INSTALACION PUERTA DIVISORIA DE MADERA TIPO P-5 Ver NOTAS GENERALES DE PLANCHA</v>
      </c>
      <c r="N195" s="9" t="str">
        <v>M2</v>
      </c>
      <c r="O195" s="9">
        <v>5.76</v>
      </c>
      <c r="P195" s="9">
        <v>712932</v>
      </c>
      <c r="Q195" s="124" t="str">
        <f t="shared" si="21"/>
        <v>FASE II</v>
      </c>
      <c r="R195" s="155">
        <f t="shared" si="16"/>
        <v>5.76</v>
      </c>
      <c r="S195" s="156">
        <f t="shared" si="19"/>
        <v>742892</v>
      </c>
      <c r="T195" s="156">
        <f t="shared" si="20"/>
        <v>4279057.92</v>
      </c>
    </row>
    <row r="196" spans="1:20" s="9" customFormat="1" ht="35.1" customHeight="1" x14ac:dyDescent="0.25">
      <c r="A196" s="215"/>
      <c r="B196" s="255" t="s">
        <v>242</v>
      </c>
      <c r="C196" s="254" t="s">
        <v>229</v>
      </c>
      <c r="D196" s="240" t="s">
        <v>13</v>
      </c>
      <c r="E196" s="242">
        <v>0</v>
      </c>
      <c r="F196" s="242">
        <v>33.6</v>
      </c>
      <c r="G196" s="242">
        <v>33.6</v>
      </c>
      <c r="H196" s="243">
        <v>157095</v>
      </c>
      <c r="I196" s="243">
        <f t="shared" si="17"/>
        <v>5278392</v>
      </c>
      <c r="J196" s="8"/>
      <c r="K196" s="8">
        <f t="shared" si="22"/>
        <v>157095</v>
      </c>
      <c r="L196" s="8">
        <f t="shared" si="18"/>
        <v>0</v>
      </c>
      <c r="M196" s="9" t="str">
        <f t="array" ref="M196:P196">_xlfn.XLOOKUP(C196,'Neiva 2022 FASE I ACTUAL (5)'!$C$6:$C$540,'Neiva 2022 FASE I ACTUAL (5)'!$C$6:$F$540,"NO ESTA")</f>
        <v>SUMINISTRO E INSTALACION PUERTA METALICA DOBLE HOJA TIPO P-7 Ver NOTAS GENERALES DE PLANCHA</v>
      </c>
      <c r="N196" s="9" t="str">
        <v>M2</v>
      </c>
      <c r="O196" s="9">
        <v>33.6</v>
      </c>
      <c r="P196" s="9">
        <v>150759</v>
      </c>
      <c r="Q196" s="124" t="str">
        <f t="shared" si="21"/>
        <v>FASE II</v>
      </c>
      <c r="R196" s="155">
        <f t="shared" si="16"/>
        <v>33.6</v>
      </c>
      <c r="S196" s="156">
        <f t="shared" si="19"/>
        <v>157095</v>
      </c>
      <c r="T196" s="156">
        <f t="shared" si="20"/>
        <v>5278392</v>
      </c>
    </row>
    <row r="197" spans="1:20" s="9" customFormat="1" ht="35.1" customHeight="1" x14ac:dyDescent="0.25">
      <c r="A197" s="215"/>
      <c r="B197" s="255" t="s">
        <v>243</v>
      </c>
      <c r="C197" s="254" t="s">
        <v>244</v>
      </c>
      <c r="D197" s="240" t="s">
        <v>13</v>
      </c>
      <c r="E197" s="242">
        <v>0</v>
      </c>
      <c r="F197" s="242">
        <v>24.8</v>
      </c>
      <c r="G197" s="242">
        <v>24.8</v>
      </c>
      <c r="H197" s="243">
        <v>588809</v>
      </c>
      <c r="I197" s="243">
        <f t="shared" si="17"/>
        <v>14602463.199999999</v>
      </c>
      <c r="J197" s="8"/>
      <c r="K197" s="8">
        <f t="shared" si="22"/>
        <v>588809</v>
      </c>
      <c r="L197" s="8">
        <f t="shared" si="18"/>
        <v>0</v>
      </c>
      <c r="M197" s="9" t="str">
        <f t="array" ref="M197:P197">_xlfn.XLOOKUP(C197,'Neiva 2022 FASE I ACTUAL (5)'!$C$6:$C$540,'Neiva 2022 FASE I ACTUAL (5)'!$C$6:$F$540,"NO ESTA")</f>
        <v>SUMINISTRO E INSTALACION PUERTA DIVISORIA EN VIDRIO TIPO PV1 Ver NOTAS GENERALES DE PLANCHA</v>
      </c>
      <c r="N197" s="9" t="str">
        <v>M2</v>
      </c>
      <c r="O197" s="9">
        <v>24.8</v>
      </c>
      <c r="P197" s="9">
        <v>565064</v>
      </c>
      <c r="Q197" s="124" t="str">
        <f t="shared" si="21"/>
        <v>FASE II</v>
      </c>
      <c r="R197" s="155">
        <f t="shared" si="16"/>
        <v>24.8</v>
      </c>
      <c r="S197" s="156">
        <f t="shared" si="19"/>
        <v>588809</v>
      </c>
      <c r="T197" s="156">
        <f t="shared" si="20"/>
        <v>14602463.199999999</v>
      </c>
    </row>
    <row r="198" spans="1:20" s="9" customFormat="1" ht="35.1" customHeight="1" x14ac:dyDescent="0.25">
      <c r="A198" s="215"/>
      <c r="B198" s="244" t="s">
        <v>245</v>
      </c>
      <c r="C198" s="245" t="s">
        <v>246</v>
      </c>
      <c r="D198" s="244"/>
      <c r="E198" s="246"/>
      <c r="F198" s="246"/>
      <c r="G198" s="246"/>
      <c r="H198" s="246"/>
      <c r="I198" s="246"/>
      <c r="J198" s="8"/>
      <c r="K198" s="8">
        <f t="shared" si="22"/>
        <v>0</v>
      </c>
      <c r="L198" s="8">
        <f t="shared" si="18"/>
        <v>0</v>
      </c>
      <c r="M198" s="9" t="str">
        <f t="array" ref="M198:P198">_xlfn.XLOOKUP(C198,'Neiva 2022 FASE I ACTUAL (5)'!$C$6:$C$540,'Neiva 2022 FASE I ACTUAL (5)'!$C$6:$F$540,"NO ESTA")</f>
        <v>SUMINISTRO E INSTALACIÓN PUERTAS PISO 2</v>
      </c>
      <c r="N198" s="9">
        <v>0</v>
      </c>
      <c r="O198" s="9">
        <v>0</v>
      </c>
      <c r="P198" s="9">
        <v>0</v>
      </c>
      <c r="Q198" s="124">
        <f t="shared" si="21"/>
        <v>0</v>
      </c>
      <c r="R198" s="155">
        <f t="shared" ref="R198:R261" si="23">E198+O198</f>
        <v>0</v>
      </c>
      <c r="S198" s="156">
        <f t="shared" si="19"/>
        <v>0</v>
      </c>
      <c r="T198" s="156">
        <f t="shared" si="20"/>
        <v>0</v>
      </c>
    </row>
    <row r="199" spans="1:20" s="9" customFormat="1" ht="35.1" customHeight="1" x14ac:dyDescent="0.25">
      <c r="A199" s="215"/>
      <c r="B199" s="255" t="s">
        <v>247</v>
      </c>
      <c r="C199" s="254" t="s">
        <v>225</v>
      </c>
      <c r="D199" s="240" t="s">
        <v>13</v>
      </c>
      <c r="E199" s="242">
        <v>2.2000000000000002</v>
      </c>
      <c r="F199" s="242">
        <v>4.4000000000000004</v>
      </c>
      <c r="G199" s="242">
        <v>6.6000000000000005</v>
      </c>
      <c r="H199" s="243">
        <v>1403411</v>
      </c>
      <c r="I199" s="243">
        <f t="shared" ref="I199:I260" si="24">ROUND(+H199*G199,2)</f>
        <v>9262512.5999999996</v>
      </c>
      <c r="J199" s="8"/>
      <c r="K199" s="8">
        <f t="shared" si="22"/>
        <v>1403411</v>
      </c>
      <c r="L199" s="8">
        <f t="shared" ref="L199:L262" si="25">+K199*E199</f>
        <v>3087504.2</v>
      </c>
      <c r="M199" s="9" t="str">
        <f t="array" ref="M199:P199">_xlfn.XLOOKUP(C199,'Neiva 2022 FASE I ACTUAL (5)'!$C$6:$C$540,'Neiva 2022 FASE I ACTUAL (5)'!$C$6:$F$540,"NO ESTA")</f>
        <v>SUMINISTRO E INSTALACION PUERTA DE EVACUACIÓN TIPO P-1 Ver NOTAS GENERALES DE PLANCHA</v>
      </c>
      <c r="N199" s="9" t="str">
        <v>M2</v>
      </c>
      <c r="O199" s="9">
        <v>4.4000000000000004</v>
      </c>
      <c r="P199" s="9">
        <v>1346813</v>
      </c>
      <c r="Q199" s="124" t="str">
        <f t="shared" si="21"/>
        <v>FASE II</v>
      </c>
      <c r="R199" s="155">
        <f t="shared" si="23"/>
        <v>6.6000000000000005</v>
      </c>
      <c r="S199" s="156">
        <f t="shared" ref="S199:S262" si="26">MAX(P199,H199,K199)</f>
        <v>1403411</v>
      </c>
      <c r="T199" s="156">
        <f t="shared" ref="T199:T262" si="27">ROUND(R199*S199,2)</f>
        <v>9262512.5999999996</v>
      </c>
    </row>
    <row r="200" spans="1:20" s="9" customFormat="1" ht="35.1" customHeight="1" x14ac:dyDescent="0.25">
      <c r="A200" s="215"/>
      <c r="B200" s="255" t="s">
        <v>248</v>
      </c>
      <c r="C200" s="254" t="s">
        <v>227</v>
      </c>
      <c r="D200" s="240" t="s">
        <v>13</v>
      </c>
      <c r="E200" s="242">
        <v>2.16</v>
      </c>
      <c r="F200" s="242">
        <v>15.12</v>
      </c>
      <c r="G200" s="242">
        <v>17.28</v>
      </c>
      <c r="H200" s="243">
        <v>133587</v>
      </c>
      <c r="I200" s="243">
        <f t="shared" si="24"/>
        <v>2308383.36</v>
      </c>
      <c r="J200" s="8">
        <f>ROUND(H200*(1+$J$3),0)</f>
        <v>260869</v>
      </c>
      <c r="K200" s="8">
        <f t="shared" si="22"/>
        <v>133587</v>
      </c>
      <c r="L200" s="8">
        <f t="shared" si="25"/>
        <v>288547.92000000004</v>
      </c>
      <c r="M200" s="9" t="str">
        <f t="array" ref="M200:P200">_xlfn.XLOOKUP(C200,'Neiva 2022 FASE I ACTUAL (5)'!$C$6:$C$540,'Neiva 2022 FASE I ACTUAL (5)'!$C$6:$F$540,"NO ESTA")</f>
        <v>SUMINISTRO E INSTALACION PUERTA METALICA DEPOSITOS TIPO P-2 Ver NOTAS GENERALES DE PLANCHA</v>
      </c>
      <c r="N200" s="9" t="str">
        <v>M2</v>
      </c>
      <c r="O200" s="9">
        <v>15.12</v>
      </c>
      <c r="P200" s="9">
        <v>128200</v>
      </c>
      <c r="Q200" s="124" t="str">
        <f t="shared" ref="Q200:Q263" si="28">IF(P200=0,0,(IF(H200&lt;P200, "FASE I","FASE II")))</f>
        <v>FASE II</v>
      </c>
      <c r="R200" s="155">
        <f t="shared" si="23"/>
        <v>17.28</v>
      </c>
      <c r="S200" s="156">
        <f t="shared" si="26"/>
        <v>133587</v>
      </c>
      <c r="T200" s="156">
        <f t="shared" si="27"/>
        <v>2308383.36</v>
      </c>
    </row>
    <row r="201" spans="1:20" s="9" customFormat="1" ht="35.1" customHeight="1" x14ac:dyDescent="0.25">
      <c r="A201" s="215"/>
      <c r="B201" s="255" t="s">
        <v>249</v>
      </c>
      <c r="C201" s="254" t="s">
        <v>237</v>
      </c>
      <c r="D201" s="240" t="s">
        <v>13</v>
      </c>
      <c r="E201" s="242">
        <v>4.8</v>
      </c>
      <c r="F201" s="242">
        <v>2.4</v>
      </c>
      <c r="G201" s="242">
        <v>7.1999999999999993</v>
      </c>
      <c r="H201" s="243">
        <v>742892</v>
      </c>
      <c r="I201" s="243">
        <f t="shared" si="24"/>
        <v>5348822.4000000004</v>
      </c>
      <c r="J201" s="8"/>
      <c r="K201" s="8">
        <f t="shared" si="22"/>
        <v>742892</v>
      </c>
      <c r="L201" s="8">
        <f t="shared" si="25"/>
        <v>3565881.6</v>
      </c>
      <c r="M201" s="9" t="str">
        <f t="array" ref="M201:P201">_xlfn.XLOOKUP(C201,'Neiva 2022 FASE I ACTUAL (5)'!$C$6:$C$540,'Neiva 2022 FASE I ACTUAL (5)'!$C$6:$F$540,"NO ESTA")</f>
        <v>SUMINISTRO E INSTALACION PUERTA DIVISORIA DE MADERA TIPO P-3 Ver NOTAS GENERALES DE PLANCHA</v>
      </c>
      <c r="N201" s="9" t="str">
        <v>M2</v>
      </c>
      <c r="O201" s="9">
        <v>2.4</v>
      </c>
      <c r="P201" s="9">
        <v>712932</v>
      </c>
      <c r="Q201" s="124" t="str">
        <f t="shared" si="28"/>
        <v>FASE II</v>
      </c>
      <c r="R201" s="155">
        <f t="shared" si="23"/>
        <v>7.1999999999999993</v>
      </c>
      <c r="S201" s="156">
        <f t="shared" si="26"/>
        <v>742892</v>
      </c>
      <c r="T201" s="156">
        <f t="shared" si="27"/>
        <v>5348822.4000000004</v>
      </c>
    </row>
    <row r="202" spans="1:20" s="9" customFormat="1" ht="35.1" customHeight="1" x14ac:dyDescent="0.25">
      <c r="A202" s="215"/>
      <c r="B202" s="255" t="s">
        <v>250</v>
      </c>
      <c r="C202" s="254" t="s">
        <v>239</v>
      </c>
      <c r="D202" s="240" t="s">
        <v>13</v>
      </c>
      <c r="E202" s="242">
        <v>2.16</v>
      </c>
      <c r="F202" s="242">
        <v>12.96</v>
      </c>
      <c r="G202" s="242">
        <v>15.120000000000001</v>
      </c>
      <c r="H202" s="243">
        <v>742892</v>
      </c>
      <c r="I202" s="243">
        <f t="shared" si="24"/>
        <v>11232527.039999999</v>
      </c>
      <c r="J202" s="8"/>
      <c r="K202" s="8">
        <f t="shared" si="22"/>
        <v>742892</v>
      </c>
      <c r="L202" s="8">
        <f t="shared" si="25"/>
        <v>1604646.7200000002</v>
      </c>
      <c r="M202" s="9" t="str">
        <f t="array" ref="M202:P202">_xlfn.XLOOKUP(C202,'Neiva 2022 FASE I ACTUAL (5)'!$C$6:$C$540,'Neiva 2022 FASE I ACTUAL (5)'!$C$6:$F$540,"NO ESTA")</f>
        <v>SUMINISTRO E INSTALACION PUERTA DIVISORIA DE MADERA TIPO P-4 Ver NOTAS GENERALES DE PLANCHA</v>
      </c>
      <c r="N202" s="9" t="str">
        <v>M2</v>
      </c>
      <c r="O202" s="9">
        <v>12.96</v>
      </c>
      <c r="P202" s="9">
        <v>712932</v>
      </c>
      <c r="Q202" s="124" t="str">
        <f t="shared" si="28"/>
        <v>FASE II</v>
      </c>
      <c r="R202" s="155">
        <f t="shared" si="23"/>
        <v>15.120000000000001</v>
      </c>
      <c r="S202" s="156">
        <f t="shared" si="26"/>
        <v>742892</v>
      </c>
      <c r="T202" s="156">
        <f t="shared" si="27"/>
        <v>11232527.039999999</v>
      </c>
    </row>
    <row r="203" spans="1:20" s="9" customFormat="1" ht="35.1" customHeight="1" x14ac:dyDescent="0.25">
      <c r="A203" s="215"/>
      <c r="B203" s="255" t="s">
        <v>251</v>
      </c>
      <c r="C203" s="254" t="s">
        <v>241</v>
      </c>
      <c r="D203" s="240" t="s">
        <v>13</v>
      </c>
      <c r="E203" s="242">
        <v>2.88</v>
      </c>
      <c r="F203" s="242">
        <v>5.76</v>
      </c>
      <c r="G203" s="242">
        <v>8.64</v>
      </c>
      <c r="H203" s="243">
        <v>742892</v>
      </c>
      <c r="I203" s="243">
        <f t="shared" si="24"/>
        <v>6418586.8799999999</v>
      </c>
      <c r="J203" s="8"/>
      <c r="K203" s="8">
        <f t="shared" si="22"/>
        <v>742892</v>
      </c>
      <c r="L203" s="8">
        <f t="shared" si="25"/>
        <v>2139528.96</v>
      </c>
      <c r="M203" s="9" t="str">
        <f t="array" ref="M203:P203">_xlfn.XLOOKUP(C203,'Neiva 2022 FASE I ACTUAL (5)'!$C$6:$C$540,'Neiva 2022 FASE I ACTUAL (5)'!$C$6:$F$540,"NO ESTA")</f>
        <v>SUMINISTRO E INSTALACION PUERTA DIVISORIA DE MADERA TIPO P-5 Ver NOTAS GENERALES DE PLANCHA</v>
      </c>
      <c r="N203" s="9" t="str">
        <v>M2</v>
      </c>
      <c r="O203" s="9">
        <v>5.76</v>
      </c>
      <c r="P203" s="9">
        <v>712932</v>
      </c>
      <c r="Q203" s="124" t="str">
        <f t="shared" si="28"/>
        <v>FASE II</v>
      </c>
      <c r="R203" s="155">
        <f t="shared" si="23"/>
        <v>8.64</v>
      </c>
      <c r="S203" s="156">
        <f t="shared" si="26"/>
        <v>742892</v>
      </c>
      <c r="T203" s="156">
        <f t="shared" si="27"/>
        <v>6418586.8799999999</v>
      </c>
    </row>
    <row r="204" spans="1:20" s="9" customFormat="1" ht="35.1" customHeight="1" x14ac:dyDescent="0.25">
      <c r="A204" s="215"/>
      <c r="B204" s="255" t="s">
        <v>252</v>
      </c>
      <c r="C204" s="254" t="s">
        <v>244</v>
      </c>
      <c r="D204" s="240" t="s">
        <v>13</v>
      </c>
      <c r="E204" s="242">
        <v>14.3</v>
      </c>
      <c r="F204" s="242">
        <v>24.8</v>
      </c>
      <c r="G204" s="242">
        <v>39.1</v>
      </c>
      <c r="H204" s="243">
        <v>588809</v>
      </c>
      <c r="I204" s="243">
        <f t="shared" si="24"/>
        <v>23022431.899999999</v>
      </c>
      <c r="J204" s="8"/>
      <c r="K204" s="8">
        <f t="shared" si="22"/>
        <v>588809</v>
      </c>
      <c r="L204" s="8">
        <f t="shared" si="25"/>
        <v>8419968.7000000011</v>
      </c>
      <c r="M204" s="9" t="str">
        <f t="array" ref="M204:P204">_xlfn.XLOOKUP(C204,'Neiva 2022 FASE I ACTUAL (5)'!$C$6:$C$540,'Neiva 2022 FASE I ACTUAL (5)'!$C$6:$F$540,"NO ESTA")</f>
        <v>SUMINISTRO E INSTALACION PUERTA DIVISORIA EN VIDRIO TIPO PV1 Ver NOTAS GENERALES DE PLANCHA</v>
      </c>
      <c r="N204" s="9" t="str">
        <v>M2</v>
      </c>
      <c r="O204" s="9">
        <v>24.8</v>
      </c>
      <c r="P204" s="9">
        <v>565064</v>
      </c>
      <c r="Q204" s="124" t="str">
        <f t="shared" si="28"/>
        <v>FASE II</v>
      </c>
      <c r="R204" s="155">
        <f t="shared" si="23"/>
        <v>39.1</v>
      </c>
      <c r="S204" s="156">
        <f t="shared" si="26"/>
        <v>588809</v>
      </c>
      <c r="T204" s="156">
        <f t="shared" si="27"/>
        <v>23022431.899999999</v>
      </c>
    </row>
    <row r="205" spans="1:20" s="9" customFormat="1" ht="35.1" customHeight="1" x14ac:dyDescent="0.25">
      <c r="A205" s="215"/>
      <c r="B205" s="244" t="s">
        <v>1143</v>
      </c>
      <c r="C205" s="245" t="s">
        <v>1144</v>
      </c>
      <c r="D205" s="244"/>
      <c r="E205" s="246"/>
      <c r="F205" s="246"/>
      <c r="G205" s="246"/>
      <c r="H205" s="246"/>
      <c r="I205" s="246"/>
      <c r="J205" s="8"/>
      <c r="K205" s="8">
        <f t="shared" si="22"/>
        <v>0</v>
      </c>
      <c r="L205" s="8">
        <f t="shared" si="25"/>
        <v>0</v>
      </c>
      <c r="M205" s="9" t="str">
        <f t="array" ref="M205">_xlfn.XLOOKUP(C205,'Neiva 2022 FASE I ACTUAL (5)'!$C$6:$C$540,'Neiva 2022 FASE I ACTUAL (5)'!$C$6:$F$540,"NO ESTA")</f>
        <v>NO ESTA</v>
      </c>
      <c r="Q205" s="124">
        <f t="shared" si="28"/>
        <v>0</v>
      </c>
      <c r="R205" s="155">
        <f t="shared" si="23"/>
        <v>0</v>
      </c>
      <c r="S205" s="156">
        <f t="shared" si="26"/>
        <v>0</v>
      </c>
      <c r="T205" s="156">
        <f t="shared" si="27"/>
        <v>0</v>
      </c>
    </row>
    <row r="206" spans="1:20" s="9" customFormat="1" ht="35.1" customHeight="1" x14ac:dyDescent="0.25">
      <c r="A206" s="215"/>
      <c r="B206" s="255" t="s">
        <v>1145</v>
      </c>
      <c r="C206" s="254" t="s">
        <v>225</v>
      </c>
      <c r="D206" s="240" t="s">
        <v>13</v>
      </c>
      <c r="E206" s="242">
        <v>4.4000000000000004</v>
      </c>
      <c r="F206" s="242">
        <v>4.4000000000000004</v>
      </c>
      <c r="G206" s="242">
        <v>8.8000000000000007</v>
      </c>
      <c r="H206" s="243">
        <v>1403411</v>
      </c>
      <c r="I206" s="243">
        <f t="shared" si="24"/>
        <v>12350016.800000001</v>
      </c>
      <c r="J206" s="8"/>
      <c r="K206" s="8">
        <f t="shared" si="22"/>
        <v>1403411</v>
      </c>
      <c r="L206" s="8">
        <f t="shared" si="25"/>
        <v>6175008.4000000004</v>
      </c>
      <c r="M206" s="9" t="str">
        <f t="array" ref="M206:P206">_xlfn.XLOOKUP(C206,'Neiva 2022 FASE I ACTUAL (5)'!$C$6:$C$540,'Neiva 2022 FASE I ACTUAL (5)'!$C$6:$F$540,"NO ESTA")</f>
        <v>SUMINISTRO E INSTALACION PUERTA DE EVACUACIÓN TIPO P-1 Ver NOTAS GENERALES DE PLANCHA</v>
      </c>
      <c r="N206" s="9" t="str">
        <v>M2</v>
      </c>
      <c r="O206" s="9">
        <v>4.4000000000000004</v>
      </c>
      <c r="P206" s="9">
        <v>1346813</v>
      </c>
      <c r="Q206" s="124" t="str">
        <f t="shared" si="28"/>
        <v>FASE II</v>
      </c>
      <c r="R206" s="155">
        <f t="shared" si="23"/>
        <v>8.8000000000000007</v>
      </c>
      <c r="S206" s="156">
        <f t="shared" si="26"/>
        <v>1403411</v>
      </c>
      <c r="T206" s="156">
        <f t="shared" si="27"/>
        <v>12350016.800000001</v>
      </c>
    </row>
    <row r="207" spans="1:20" s="9" customFormat="1" ht="35.1" customHeight="1" x14ac:dyDescent="0.25">
      <c r="A207" s="215"/>
      <c r="B207" s="255" t="s">
        <v>1146</v>
      </c>
      <c r="C207" s="254" t="s">
        <v>227</v>
      </c>
      <c r="D207" s="240" t="s">
        <v>13</v>
      </c>
      <c r="E207" s="242">
        <v>4.32</v>
      </c>
      <c r="F207" s="242">
        <v>15.12</v>
      </c>
      <c r="G207" s="242">
        <v>19.439999999999998</v>
      </c>
      <c r="H207" s="243">
        <v>133587</v>
      </c>
      <c r="I207" s="243">
        <f t="shared" si="24"/>
        <v>2596931.2799999998</v>
      </c>
      <c r="J207" s="8">
        <f>ROUND(H207*(1+$J$3),0)</f>
        <v>260869</v>
      </c>
      <c r="K207" s="8">
        <f t="shared" si="22"/>
        <v>133587</v>
      </c>
      <c r="L207" s="8">
        <f t="shared" si="25"/>
        <v>577095.84000000008</v>
      </c>
      <c r="M207" s="9" t="str">
        <f t="array" ref="M207:P207">_xlfn.XLOOKUP(C207,'Neiva 2022 FASE I ACTUAL (5)'!$C$6:$C$540,'Neiva 2022 FASE I ACTUAL (5)'!$C$6:$F$540,"NO ESTA")</f>
        <v>SUMINISTRO E INSTALACION PUERTA METALICA DEPOSITOS TIPO P-2 Ver NOTAS GENERALES DE PLANCHA</v>
      </c>
      <c r="N207" s="9" t="str">
        <v>M2</v>
      </c>
      <c r="O207" s="9">
        <v>15.12</v>
      </c>
      <c r="P207" s="9">
        <v>128200</v>
      </c>
      <c r="Q207" s="124" t="str">
        <f t="shared" si="28"/>
        <v>FASE II</v>
      </c>
      <c r="R207" s="155">
        <f t="shared" si="23"/>
        <v>19.439999999999998</v>
      </c>
      <c r="S207" s="156">
        <f t="shared" si="26"/>
        <v>133587</v>
      </c>
      <c r="T207" s="156">
        <f t="shared" si="27"/>
        <v>2596931.2799999998</v>
      </c>
    </row>
    <row r="208" spans="1:20" s="9" customFormat="1" ht="35.1" customHeight="1" x14ac:dyDescent="0.25">
      <c r="A208" s="215"/>
      <c r="B208" s="255" t="s">
        <v>1147</v>
      </c>
      <c r="C208" s="254" t="s">
        <v>237</v>
      </c>
      <c r="D208" s="240" t="s">
        <v>13</v>
      </c>
      <c r="E208" s="242">
        <v>7.2</v>
      </c>
      <c r="F208" s="242">
        <v>2.4</v>
      </c>
      <c r="G208" s="242">
        <v>9.6</v>
      </c>
      <c r="H208" s="243">
        <v>742892</v>
      </c>
      <c r="I208" s="243">
        <f t="shared" si="24"/>
        <v>7131763.2000000002</v>
      </c>
      <c r="J208" s="8"/>
      <c r="K208" s="8">
        <f t="shared" si="22"/>
        <v>742892</v>
      </c>
      <c r="L208" s="8">
        <f t="shared" si="25"/>
        <v>5348822.4000000004</v>
      </c>
      <c r="M208" s="9" t="str">
        <f t="array" ref="M208:P208">_xlfn.XLOOKUP(C208,'Neiva 2022 FASE I ACTUAL (5)'!$C$6:$C$540,'Neiva 2022 FASE I ACTUAL (5)'!$C$6:$F$540,"NO ESTA")</f>
        <v>SUMINISTRO E INSTALACION PUERTA DIVISORIA DE MADERA TIPO P-3 Ver NOTAS GENERALES DE PLANCHA</v>
      </c>
      <c r="N208" s="9" t="str">
        <v>M2</v>
      </c>
      <c r="O208" s="9">
        <v>2.4</v>
      </c>
      <c r="P208" s="9">
        <v>712932</v>
      </c>
      <c r="Q208" s="124" t="str">
        <f t="shared" si="28"/>
        <v>FASE II</v>
      </c>
      <c r="R208" s="155">
        <f t="shared" si="23"/>
        <v>9.6</v>
      </c>
      <c r="S208" s="156">
        <f t="shared" si="26"/>
        <v>742892</v>
      </c>
      <c r="T208" s="156">
        <f t="shared" si="27"/>
        <v>7131763.2000000002</v>
      </c>
    </row>
    <row r="209" spans="1:20" s="9" customFormat="1" ht="35.1" customHeight="1" x14ac:dyDescent="0.25">
      <c r="A209" s="215"/>
      <c r="B209" s="255" t="s">
        <v>1148</v>
      </c>
      <c r="C209" s="254" t="s">
        <v>239</v>
      </c>
      <c r="D209" s="240" t="s">
        <v>13</v>
      </c>
      <c r="E209" s="242">
        <v>2.16</v>
      </c>
      <c r="F209" s="242">
        <v>12.96</v>
      </c>
      <c r="G209" s="242">
        <v>15.120000000000001</v>
      </c>
      <c r="H209" s="243">
        <v>742892</v>
      </c>
      <c r="I209" s="243">
        <f t="shared" si="24"/>
        <v>11232527.039999999</v>
      </c>
      <c r="J209" s="8"/>
      <c r="K209" s="8">
        <f t="shared" si="22"/>
        <v>742892</v>
      </c>
      <c r="L209" s="8">
        <f t="shared" si="25"/>
        <v>1604646.7200000002</v>
      </c>
      <c r="M209" s="9" t="str">
        <f t="array" ref="M209:P209">_xlfn.XLOOKUP(C209,'Neiva 2022 FASE I ACTUAL (5)'!$C$6:$C$540,'Neiva 2022 FASE I ACTUAL (5)'!$C$6:$F$540,"NO ESTA")</f>
        <v>SUMINISTRO E INSTALACION PUERTA DIVISORIA DE MADERA TIPO P-4 Ver NOTAS GENERALES DE PLANCHA</v>
      </c>
      <c r="N209" s="9" t="str">
        <v>M2</v>
      </c>
      <c r="O209" s="9">
        <v>12.96</v>
      </c>
      <c r="P209" s="9">
        <v>712932</v>
      </c>
      <c r="Q209" s="124" t="str">
        <f t="shared" si="28"/>
        <v>FASE II</v>
      </c>
      <c r="R209" s="155">
        <f t="shared" si="23"/>
        <v>15.120000000000001</v>
      </c>
      <c r="S209" s="156">
        <f t="shared" si="26"/>
        <v>742892</v>
      </c>
      <c r="T209" s="156">
        <f t="shared" si="27"/>
        <v>11232527.039999999</v>
      </c>
    </row>
    <row r="210" spans="1:20" s="9" customFormat="1" ht="35.1" customHeight="1" x14ac:dyDescent="0.25">
      <c r="A210" s="215"/>
      <c r="B210" s="255" t="s">
        <v>1149</v>
      </c>
      <c r="C210" s="254" t="s">
        <v>241</v>
      </c>
      <c r="D210" s="240" t="s">
        <v>13</v>
      </c>
      <c r="E210" s="242">
        <v>5.76</v>
      </c>
      <c r="F210" s="242">
        <v>5.76</v>
      </c>
      <c r="G210" s="242">
        <v>11.52</v>
      </c>
      <c r="H210" s="243">
        <v>742892</v>
      </c>
      <c r="I210" s="243">
        <f t="shared" si="24"/>
        <v>8558115.8399999999</v>
      </c>
      <c r="J210" s="8"/>
      <c r="K210" s="8">
        <f t="shared" si="22"/>
        <v>742892</v>
      </c>
      <c r="L210" s="8">
        <f t="shared" si="25"/>
        <v>4279057.92</v>
      </c>
      <c r="M210" s="9" t="str">
        <f t="array" ref="M210:P210">_xlfn.XLOOKUP(C210,'Neiva 2022 FASE I ACTUAL (5)'!$C$6:$C$540,'Neiva 2022 FASE I ACTUAL (5)'!$C$6:$F$540,"NO ESTA")</f>
        <v>SUMINISTRO E INSTALACION PUERTA DIVISORIA DE MADERA TIPO P-5 Ver NOTAS GENERALES DE PLANCHA</v>
      </c>
      <c r="N210" s="9" t="str">
        <v>M2</v>
      </c>
      <c r="O210" s="9">
        <v>5.76</v>
      </c>
      <c r="P210" s="9">
        <v>712932</v>
      </c>
      <c r="Q210" s="124" t="str">
        <f t="shared" si="28"/>
        <v>FASE II</v>
      </c>
      <c r="R210" s="155">
        <f t="shared" si="23"/>
        <v>11.52</v>
      </c>
      <c r="S210" s="156">
        <f t="shared" si="26"/>
        <v>742892</v>
      </c>
      <c r="T210" s="156">
        <f t="shared" si="27"/>
        <v>8558115.8399999999</v>
      </c>
    </row>
    <row r="211" spans="1:20" s="9" customFormat="1" ht="35.1" customHeight="1" x14ac:dyDescent="0.25">
      <c r="A211" s="215"/>
      <c r="B211" s="255" t="s">
        <v>1150</v>
      </c>
      <c r="C211" s="254" t="s">
        <v>244</v>
      </c>
      <c r="D211" s="240" t="s">
        <v>13</v>
      </c>
      <c r="E211" s="242">
        <v>24.12</v>
      </c>
      <c r="F211" s="242">
        <v>24.8</v>
      </c>
      <c r="G211" s="242">
        <v>48.92</v>
      </c>
      <c r="H211" s="243">
        <v>588809</v>
      </c>
      <c r="I211" s="243">
        <f t="shared" si="24"/>
        <v>28804536.280000001</v>
      </c>
      <c r="J211" s="8"/>
      <c r="K211" s="8">
        <f t="shared" si="22"/>
        <v>588809</v>
      </c>
      <c r="L211" s="8">
        <f t="shared" si="25"/>
        <v>14202073.08</v>
      </c>
      <c r="M211" s="9" t="str">
        <f t="array" ref="M211:P211">_xlfn.XLOOKUP(C211,'Neiva 2022 FASE I ACTUAL (5)'!$C$6:$C$540,'Neiva 2022 FASE I ACTUAL (5)'!$C$6:$F$540,"NO ESTA")</f>
        <v>SUMINISTRO E INSTALACION PUERTA DIVISORIA EN VIDRIO TIPO PV1 Ver NOTAS GENERALES DE PLANCHA</v>
      </c>
      <c r="N211" s="9" t="str">
        <v>M2</v>
      </c>
      <c r="O211" s="9">
        <v>24.8</v>
      </c>
      <c r="P211" s="9">
        <v>565064</v>
      </c>
      <c r="Q211" s="124" t="str">
        <f t="shared" si="28"/>
        <v>FASE II</v>
      </c>
      <c r="R211" s="155">
        <f t="shared" si="23"/>
        <v>48.92</v>
      </c>
      <c r="S211" s="156">
        <f t="shared" si="26"/>
        <v>588809</v>
      </c>
      <c r="T211" s="156">
        <f t="shared" si="27"/>
        <v>28804536.280000001</v>
      </c>
    </row>
    <row r="212" spans="1:20" s="9" customFormat="1" ht="35.1" customHeight="1" x14ac:dyDescent="0.25">
      <c r="A212" s="215"/>
      <c r="B212" s="244" t="s">
        <v>1151</v>
      </c>
      <c r="C212" s="245" t="s">
        <v>1152</v>
      </c>
      <c r="D212" s="244"/>
      <c r="E212" s="246"/>
      <c r="F212" s="246"/>
      <c r="G212" s="246"/>
      <c r="H212" s="246"/>
      <c r="I212" s="246"/>
      <c r="J212" s="8"/>
      <c r="K212" s="8">
        <f t="shared" si="22"/>
        <v>0</v>
      </c>
      <c r="L212" s="8">
        <f t="shared" si="25"/>
        <v>0</v>
      </c>
      <c r="M212" s="9" t="str">
        <f t="array" ref="M212">_xlfn.XLOOKUP(C212,'Neiva 2022 FASE I ACTUAL (5)'!$C$6:$C$540,'Neiva 2022 FASE I ACTUAL (5)'!$C$6:$F$540,"NO ESTA")</f>
        <v>NO ESTA</v>
      </c>
      <c r="Q212" s="124">
        <f t="shared" si="28"/>
        <v>0</v>
      </c>
      <c r="R212" s="155">
        <f t="shared" si="23"/>
        <v>0</v>
      </c>
      <c r="S212" s="156">
        <f t="shared" si="26"/>
        <v>0</v>
      </c>
      <c r="T212" s="156">
        <f t="shared" si="27"/>
        <v>0</v>
      </c>
    </row>
    <row r="213" spans="1:20" s="9" customFormat="1" ht="35.1" customHeight="1" x14ac:dyDescent="0.25">
      <c r="A213" s="215"/>
      <c r="B213" s="255" t="s">
        <v>1153</v>
      </c>
      <c r="C213" s="254" t="s">
        <v>225</v>
      </c>
      <c r="D213" s="240" t="s">
        <v>13</v>
      </c>
      <c r="E213" s="242">
        <v>4.4000000000000004</v>
      </c>
      <c r="F213" s="242">
        <v>4.4000000000000004</v>
      </c>
      <c r="G213" s="242">
        <v>8.8000000000000007</v>
      </c>
      <c r="H213" s="243">
        <v>1403411</v>
      </c>
      <c r="I213" s="243">
        <f t="shared" si="24"/>
        <v>12350016.800000001</v>
      </c>
      <c r="J213" s="8"/>
      <c r="K213" s="8">
        <f t="shared" si="22"/>
        <v>1403411</v>
      </c>
      <c r="L213" s="8">
        <f t="shared" si="25"/>
        <v>6175008.4000000004</v>
      </c>
      <c r="M213" s="9" t="str">
        <f t="array" ref="M213:P213">_xlfn.XLOOKUP(C213,'Neiva 2022 FASE I ACTUAL (5)'!$C$6:$C$540,'Neiva 2022 FASE I ACTUAL (5)'!$C$6:$F$540,"NO ESTA")</f>
        <v>SUMINISTRO E INSTALACION PUERTA DE EVACUACIÓN TIPO P-1 Ver NOTAS GENERALES DE PLANCHA</v>
      </c>
      <c r="N213" s="9" t="str">
        <v>M2</v>
      </c>
      <c r="O213" s="9">
        <v>4.4000000000000004</v>
      </c>
      <c r="P213" s="9">
        <v>1346813</v>
      </c>
      <c r="Q213" s="124" t="str">
        <f t="shared" si="28"/>
        <v>FASE II</v>
      </c>
      <c r="R213" s="155">
        <f t="shared" si="23"/>
        <v>8.8000000000000007</v>
      </c>
      <c r="S213" s="156">
        <f t="shared" si="26"/>
        <v>1403411</v>
      </c>
      <c r="T213" s="156">
        <f t="shared" si="27"/>
        <v>12350016.800000001</v>
      </c>
    </row>
    <row r="214" spans="1:20" s="9" customFormat="1" ht="35.1" customHeight="1" x14ac:dyDescent="0.25">
      <c r="A214" s="215"/>
      <c r="B214" s="255" t="s">
        <v>1154</v>
      </c>
      <c r="C214" s="254" t="s">
        <v>227</v>
      </c>
      <c r="D214" s="240" t="s">
        <v>13</v>
      </c>
      <c r="E214" s="242">
        <v>4.32</v>
      </c>
      <c r="F214" s="242">
        <v>15.12</v>
      </c>
      <c r="G214" s="242">
        <v>19.439999999999998</v>
      </c>
      <c r="H214" s="243">
        <v>133587</v>
      </c>
      <c r="I214" s="243">
        <f t="shared" si="24"/>
        <v>2596931.2799999998</v>
      </c>
      <c r="J214" s="8">
        <f>ROUND(H214*(1+$J$3),0)</f>
        <v>260869</v>
      </c>
      <c r="K214" s="8">
        <f t="shared" si="22"/>
        <v>133587</v>
      </c>
      <c r="L214" s="8">
        <f t="shared" si="25"/>
        <v>577095.84000000008</v>
      </c>
      <c r="M214" s="9" t="str">
        <f t="array" ref="M214:P214">_xlfn.XLOOKUP(C214,'Neiva 2022 FASE I ACTUAL (5)'!$C$6:$C$540,'Neiva 2022 FASE I ACTUAL (5)'!$C$6:$F$540,"NO ESTA")</f>
        <v>SUMINISTRO E INSTALACION PUERTA METALICA DEPOSITOS TIPO P-2 Ver NOTAS GENERALES DE PLANCHA</v>
      </c>
      <c r="N214" s="9" t="str">
        <v>M2</v>
      </c>
      <c r="O214" s="9">
        <v>15.12</v>
      </c>
      <c r="P214" s="9">
        <v>128200</v>
      </c>
      <c r="Q214" s="124" t="str">
        <f t="shared" si="28"/>
        <v>FASE II</v>
      </c>
      <c r="R214" s="155">
        <f t="shared" si="23"/>
        <v>19.439999999999998</v>
      </c>
      <c r="S214" s="156">
        <f t="shared" si="26"/>
        <v>133587</v>
      </c>
      <c r="T214" s="156">
        <f t="shared" si="27"/>
        <v>2596931.2799999998</v>
      </c>
    </row>
    <row r="215" spans="1:20" s="9" customFormat="1" ht="35.1" customHeight="1" x14ac:dyDescent="0.25">
      <c r="A215" s="215"/>
      <c r="B215" s="255" t="s">
        <v>1155</v>
      </c>
      <c r="C215" s="254" t="s">
        <v>237</v>
      </c>
      <c r="D215" s="240" t="s">
        <v>13</v>
      </c>
      <c r="E215" s="242">
        <v>4.8</v>
      </c>
      <c r="F215" s="242">
        <v>2.4</v>
      </c>
      <c r="G215" s="242">
        <v>7.1999999999999993</v>
      </c>
      <c r="H215" s="243">
        <v>742892</v>
      </c>
      <c r="I215" s="243">
        <f t="shared" si="24"/>
        <v>5348822.4000000004</v>
      </c>
      <c r="J215" s="8"/>
      <c r="K215" s="8">
        <f t="shared" si="22"/>
        <v>742892</v>
      </c>
      <c r="L215" s="8">
        <f t="shared" si="25"/>
        <v>3565881.6</v>
      </c>
      <c r="M215" s="9" t="str">
        <f t="array" ref="M215:P215">_xlfn.XLOOKUP(C215,'Neiva 2022 FASE I ACTUAL (5)'!$C$6:$C$540,'Neiva 2022 FASE I ACTUAL (5)'!$C$6:$F$540,"NO ESTA")</f>
        <v>SUMINISTRO E INSTALACION PUERTA DIVISORIA DE MADERA TIPO P-3 Ver NOTAS GENERALES DE PLANCHA</v>
      </c>
      <c r="N215" s="9" t="str">
        <v>M2</v>
      </c>
      <c r="O215" s="9">
        <v>2.4</v>
      </c>
      <c r="P215" s="9">
        <v>712932</v>
      </c>
      <c r="Q215" s="124" t="str">
        <f t="shared" si="28"/>
        <v>FASE II</v>
      </c>
      <c r="R215" s="155">
        <f t="shared" si="23"/>
        <v>7.1999999999999993</v>
      </c>
      <c r="S215" s="156">
        <f t="shared" si="26"/>
        <v>742892</v>
      </c>
      <c r="T215" s="156">
        <f t="shared" si="27"/>
        <v>5348822.4000000004</v>
      </c>
    </row>
    <row r="216" spans="1:20" s="9" customFormat="1" ht="35.1" customHeight="1" x14ac:dyDescent="0.25">
      <c r="A216" s="215"/>
      <c r="B216" s="255" t="s">
        <v>1156</v>
      </c>
      <c r="C216" s="254" t="s">
        <v>239</v>
      </c>
      <c r="D216" s="240" t="s">
        <v>13</v>
      </c>
      <c r="E216" s="242">
        <v>2.16</v>
      </c>
      <c r="F216" s="242">
        <v>12.96</v>
      </c>
      <c r="G216" s="242">
        <v>15.120000000000001</v>
      </c>
      <c r="H216" s="243">
        <v>742892</v>
      </c>
      <c r="I216" s="243">
        <f t="shared" si="24"/>
        <v>11232527.039999999</v>
      </c>
      <c r="J216" s="8"/>
      <c r="K216" s="8">
        <f t="shared" si="22"/>
        <v>742892</v>
      </c>
      <c r="L216" s="8">
        <f t="shared" si="25"/>
        <v>1604646.7200000002</v>
      </c>
      <c r="M216" s="9" t="str">
        <f t="array" ref="M216:P216">_xlfn.XLOOKUP(C216,'Neiva 2022 FASE I ACTUAL (5)'!$C$6:$C$540,'Neiva 2022 FASE I ACTUAL (5)'!$C$6:$F$540,"NO ESTA")</f>
        <v>SUMINISTRO E INSTALACION PUERTA DIVISORIA DE MADERA TIPO P-4 Ver NOTAS GENERALES DE PLANCHA</v>
      </c>
      <c r="N216" s="9" t="str">
        <v>M2</v>
      </c>
      <c r="O216" s="9">
        <v>12.96</v>
      </c>
      <c r="P216" s="9">
        <v>712932</v>
      </c>
      <c r="Q216" s="124" t="str">
        <f t="shared" si="28"/>
        <v>FASE II</v>
      </c>
      <c r="R216" s="155">
        <f t="shared" si="23"/>
        <v>15.120000000000001</v>
      </c>
      <c r="S216" s="156">
        <f t="shared" si="26"/>
        <v>742892</v>
      </c>
      <c r="T216" s="156">
        <f t="shared" si="27"/>
        <v>11232527.039999999</v>
      </c>
    </row>
    <row r="217" spans="1:20" s="9" customFormat="1" ht="35.1" customHeight="1" x14ac:dyDescent="0.25">
      <c r="A217" s="215"/>
      <c r="B217" s="255" t="s">
        <v>1157</v>
      </c>
      <c r="C217" s="254" t="s">
        <v>241</v>
      </c>
      <c r="D217" s="240" t="s">
        <v>13</v>
      </c>
      <c r="E217" s="242">
        <v>3.84</v>
      </c>
      <c r="F217" s="242">
        <v>5.76</v>
      </c>
      <c r="G217" s="242">
        <v>9.6</v>
      </c>
      <c r="H217" s="243">
        <v>742892</v>
      </c>
      <c r="I217" s="243">
        <f t="shared" si="24"/>
        <v>7131763.2000000002</v>
      </c>
      <c r="J217" s="8"/>
      <c r="K217" s="8">
        <f t="shared" si="22"/>
        <v>742892</v>
      </c>
      <c r="L217" s="8">
        <f t="shared" si="25"/>
        <v>2852705.28</v>
      </c>
      <c r="M217" s="9" t="str">
        <f t="array" ref="M217:P217">_xlfn.XLOOKUP(C217,'Neiva 2022 FASE I ACTUAL (5)'!$C$6:$C$540,'Neiva 2022 FASE I ACTUAL (5)'!$C$6:$F$540,"NO ESTA")</f>
        <v>SUMINISTRO E INSTALACION PUERTA DIVISORIA DE MADERA TIPO P-5 Ver NOTAS GENERALES DE PLANCHA</v>
      </c>
      <c r="N217" s="9" t="str">
        <v>M2</v>
      </c>
      <c r="O217" s="9">
        <v>5.76</v>
      </c>
      <c r="P217" s="9">
        <v>712932</v>
      </c>
      <c r="Q217" s="124" t="str">
        <f t="shared" si="28"/>
        <v>FASE II</v>
      </c>
      <c r="R217" s="155">
        <f t="shared" si="23"/>
        <v>9.6</v>
      </c>
      <c r="S217" s="156">
        <f t="shared" si="26"/>
        <v>742892</v>
      </c>
      <c r="T217" s="156">
        <f t="shared" si="27"/>
        <v>7131763.2000000002</v>
      </c>
    </row>
    <row r="218" spans="1:20" s="9" customFormat="1" ht="35.1" customHeight="1" x14ac:dyDescent="0.25">
      <c r="A218" s="215"/>
      <c r="B218" s="255" t="s">
        <v>1158</v>
      </c>
      <c r="C218" s="254" t="s">
        <v>1159</v>
      </c>
      <c r="D218" s="240" t="s">
        <v>13</v>
      </c>
      <c r="E218" s="242">
        <v>3.36</v>
      </c>
      <c r="F218" s="242"/>
      <c r="G218" s="242">
        <v>3.36</v>
      </c>
      <c r="H218" s="243">
        <v>742892</v>
      </c>
      <c r="I218" s="243">
        <f t="shared" si="24"/>
        <v>2496117.12</v>
      </c>
      <c r="J218" s="8"/>
      <c r="K218" s="8">
        <f t="shared" si="22"/>
        <v>742892</v>
      </c>
      <c r="L218" s="8">
        <f t="shared" si="25"/>
        <v>2496117.12</v>
      </c>
      <c r="M218" s="9" t="str">
        <f t="array" ref="M218">_xlfn.XLOOKUP(C218,'Neiva 2022 FASE I ACTUAL (5)'!$C$6:$C$540,'Neiva 2022 FASE I ACTUAL (5)'!$C$6:$F$540,"NO ESTA")</f>
        <v>NO ESTA</v>
      </c>
      <c r="Q218" s="124">
        <f t="shared" si="28"/>
        <v>0</v>
      </c>
      <c r="R218" s="155">
        <f t="shared" si="23"/>
        <v>3.36</v>
      </c>
      <c r="S218" s="156">
        <f t="shared" si="26"/>
        <v>742892</v>
      </c>
      <c r="T218" s="156">
        <f t="shared" si="27"/>
        <v>2496117.12</v>
      </c>
    </row>
    <row r="219" spans="1:20" s="9" customFormat="1" ht="35.1" customHeight="1" x14ac:dyDescent="0.25">
      <c r="A219" s="215"/>
      <c r="B219" s="255" t="s">
        <v>1160</v>
      </c>
      <c r="C219" s="254" t="s">
        <v>229</v>
      </c>
      <c r="D219" s="240" t="s">
        <v>13</v>
      </c>
      <c r="E219" s="242">
        <v>4.8</v>
      </c>
      <c r="F219" s="242">
        <v>33.6</v>
      </c>
      <c r="G219" s="242">
        <v>38.4</v>
      </c>
      <c r="H219" s="243">
        <v>742892</v>
      </c>
      <c r="I219" s="243">
        <f t="shared" si="24"/>
        <v>28527052.800000001</v>
      </c>
      <c r="J219" s="8">
        <f>ROUND(H219*(1+$J$3),0)</f>
        <v>1450719</v>
      </c>
      <c r="K219" s="8">
        <f t="shared" si="22"/>
        <v>742892</v>
      </c>
      <c r="L219" s="8">
        <f t="shared" si="25"/>
        <v>3565881.6</v>
      </c>
      <c r="M219" s="9" t="str">
        <f t="array" ref="M219:P219">_xlfn.XLOOKUP(C219,'Neiva 2022 FASE I ACTUAL (5)'!$C$6:$C$540,'Neiva 2022 FASE I ACTUAL (5)'!$C$6:$F$540,"NO ESTA")</f>
        <v>SUMINISTRO E INSTALACION PUERTA METALICA DOBLE HOJA TIPO P-7 Ver NOTAS GENERALES DE PLANCHA</v>
      </c>
      <c r="N219" s="9" t="str">
        <v>M2</v>
      </c>
      <c r="O219" s="9">
        <v>33.6</v>
      </c>
      <c r="P219" s="9">
        <v>150759</v>
      </c>
      <c r="Q219" s="124" t="str">
        <f t="shared" si="28"/>
        <v>FASE II</v>
      </c>
      <c r="R219" s="155">
        <f t="shared" si="23"/>
        <v>38.4</v>
      </c>
      <c r="S219" s="156">
        <f t="shared" si="26"/>
        <v>742892</v>
      </c>
      <c r="T219" s="156">
        <f t="shared" si="27"/>
        <v>28527052.800000001</v>
      </c>
    </row>
    <row r="220" spans="1:20" s="9" customFormat="1" ht="35.1" customHeight="1" x14ac:dyDescent="0.25">
      <c r="A220" s="215"/>
      <c r="B220" s="255" t="s">
        <v>1161</v>
      </c>
      <c r="C220" s="254" t="s">
        <v>244</v>
      </c>
      <c r="D220" s="240" t="s">
        <v>13</v>
      </c>
      <c r="E220" s="242">
        <v>24.89</v>
      </c>
      <c r="F220" s="242">
        <v>24.8</v>
      </c>
      <c r="G220" s="242">
        <v>49.69</v>
      </c>
      <c r="H220" s="243">
        <v>588809</v>
      </c>
      <c r="I220" s="243">
        <f t="shared" si="24"/>
        <v>29257919.210000001</v>
      </c>
      <c r="J220" s="8"/>
      <c r="K220" s="8">
        <f t="shared" si="22"/>
        <v>588809</v>
      </c>
      <c r="L220" s="8">
        <f t="shared" si="25"/>
        <v>14655456.01</v>
      </c>
      <c r="M220" s="9" t="str">
        <f t="array" ref="M220:P220">_xlfn.XLOOKUP(C220,'Neiva 2022 FASE I ACTUAL (5)'!$C$6:$C$540,'Neiva 2022 FASE I ACTUAL (5)'!$C$6:$F$540,"NO ESTA")</f>
        <v>SUMINISTRO E INSTALACION PUERTA DIVISORIA EN VIDRIO TIPO PV1 Ver NOTAS GENERALES DE PLANCHA</v>
      </c>
      <c r="N220" s="9" t="str">
        <v>M2</v>
      </c>
      <c r="O220" s="9">
        <v>24.8</v>
      </c>
      <c r="P220" s="9">
        <v>565064</v>
      </c>
      <c r="Q220" s="124" t="str">
        <f t="shared" si="28"/>
        <v>FASE II</v>
      </c>
      <c r="R220" s="155">
        <f t="shared" si="23"/>
        <v>49.69</v>
      </c>
      <c r="S220" s="156">
        <f t="shared" si="26"/>
        <v>588809</v>
      </c>
      <c r="T220" s="156">
        <f t="shared" si="27"/>
        <v>29257919.210000001</v>
      </c>
    </row>
    <row r="221" spans="1:20" s="9" customFormat="1" ht="35.1" customHeight="1" x14ac:dyDescent="0.25">
      <c r="A221" s="215"/>
      <c r="B221" s="244" t="s">
        <v>1162</v>
      </c>
      <c r="C221" s="245" t="s">
        <v>1163</v>
      </c>
      <c r="D221" s="244"/>
      <c r="E221" s="246"/>
      <c r="F221" s="246"/>
      <c r="G221" s="246"/>
      <c r="H221" s="246"/>
      <c r="I221" s="246"/>
      <c r="J221" s="8"/>
      <c r="K221" s="8">
        <f t="shared" si="22"/>
        <v>0</v>
      </c>
      <c r="L221" s="8">
        <f t="shared" si="25"/>
        <v>0</v>
      </c>
      <c r="M221" s="9" t="str">
        <f t="array" ref="M221">_xlfn.XLOOKUP(C221,'Neiva 2022 FASE I ACTUAL (5)'!$C$6:$C$540,'Neiva 2022 FASE I ACTUAL (5)'!$C$6:$F$540,"NO ESTA")</f>
        <v>NO ESTA</v>
      </c>
      <c r="Q221" s="124">
        <f t="shared" si="28"/>
        <v>0</v>
      </c>
      <c r="R221" s="155">
        <f t="shared" si="23"/>
        <v>0</v>
      </c>
      <c r="S221" s="156">
        <f t="shared" si="26"/>
        <v>0</v>
      </c>
      <c r="T221" s="156">
        <f t="shared" si="27"/>
        <v>0</v>
      </c>
    </row>
    <row r="222" spans="1:20" s="9" customFormat="1" ht="35.1" customHeight="1" x14ac:dyDescent="0.25">
      <c r="A222" s="215"/>
      <c r="B222" s="255" t="s">
        <v>1164</v>
      </c>
      <c r="C222" s="254" t="s">
        <v>225</v>
      </c>
      <c r="D222" s="240" t="s">
        <v>13</v>
      </c>
      <c r="E222" s="242">
        <v>2.2000000000000002</v>
      </c>
      <c r="F222" s="242">
        <v>4.4000000000000004</v>
      </c>
      <c r="G222" s="242">
        <v>6.6000000000000005</v>
      </c>
      <c r="H222" s="243">
        <v>1403411</v>
      </c>
      <c r="I222" s="243">
        <f t="shared" si="24"/>
        <v>9262512.5999999996</v>
      </c>
      <c r="J222" s="8"/>
      <c r="K222" s="8">
        <f t="shared" si="22"/>
        <v>1403411</v>
      </c>
      <c r="L222" s="8">
        <f t="shared" si="25"/>
        <v>3087504.2</v>
      </c>
      <c r="M222" s="9" t="str">
        <f t="array" ref="M222:P222">_xlfn.XLOOKUP(C222,'Neiva 2022 FASE I ACTUAL (5)'!$C$6:$C$540,'Neiva 2022 FASE I ACTUAL (5)'!$C$6:$F$540,"NO ESTA")</f>
        <v>SUMINISTRO E INSTALACION PUERTA DE EVACUACIÓN TIPO P-1 Ver NOTAS GENERALES DE PLANCHA</v>
      </c>
      <c r="N222" s="9" t="str">
        <v>M2</v>
      </c>
      <c r="O222" s="9">
        <v>4.4000000000000004</v>
      </c>
      <c r="P222" s="9">
        <v>1346813</v>
      </c>
      <c r="Q222" s="124" t="str">
        <f t="shared" si="28"/>
        <v>FASE II</v>
      </c>
      <c r="R222" s="155">
        <f t="shared" si="23"/>
        <v>6.6000000000000005</v>
      </c>
      <c r="S222" s="156">
        <f t="shared" si="26"/>
        <v>1403411</v>
      </c>
      <c r="T222" s="156">
        <f t="shared" si="27"/>
        <v>9262512.5999999996</v>
      </c>
    </row>
    <row r="223" spans="1:20" s="9" customFormat="1" ht="35.1" customHeight="1" x14ac:dyDescent="0.25">
      <c r="A223" s="215"/>
      <c r="B223" s="266">
        <v>10</v>
      </c>
      <c r="C223" s="267" t="s">
        <v>253</v>
      </c>
      <c r="D223" s="267"/>
      <c r="E223" s="268"/>
      <c r="F223" s="268"/>
      <c r="G223" s="268"/>
      <c r="H223" s="268"/>
      <c r="I223" s="268"/>
      <c r="J223" s="8"/>
      <c r="K223" s="8">
        <f t="shared" si="22"/>
        <v>0</v>
      </c>
      <c r="L223" s="8">
        <f t="shared" si="25"/>
        <v>0</v>
      </c>
      <c r="M223" s="9" t="str">
        <f t="array" ref="M223:P223">_xlfn.XLOOKUP(C223,'Neiva 2022 FASE I ACTUAL (5)'!$C$6:$C$540,'Neiva 2022 FASE I ACTUAL (5)'!$C$6:$F$540,"NO ESTA")</f>
        <v>OTROS ARQUITECTONICOS</v>
      </c>
      <c r="N223" s="9">
        <v>0</v>
      </c>
      <c r="O223" s="9">
        <v>0</v>
      </c>
      <c r="P223" s="9">
        <v>0</v>
      </c>
      <c r="Q223" s="124">
        <f t="shared" si="28"/>
        <v>0</v>
      </c>
      <c r="R223" s="155">
        <f t="shared" si="23"/>
        <v>0</v>
      </c>
      <c r="S223" s="156">
        <f t="shared" si="26"/>
        <v>0</v>
      </c>
      <c r="T223" s="156">
        <f t="shared" si="27"/>
        <v>0</v>
      </c>
    </row>
    <row r="224" spans="1:20" s="9" customFormat="1" ht="35.1" customHeight="1" x14ac:dyDescent="0.25">
      <c r="A224" s="215"/>
      <c r="B224" s="275" t="s">
        <v>1165</v>
      </c>
      <c r="C224" s="245" t="s">
        <v>1166</v>
      </c>
      <c r="D224" s="244"/>
      <c r="E224" s="246"/>
      <c r="F224" s="246"/>
      <c r="G224" s="246"/>
      <c r="H224" s="246"/>
      <c r="I224" s="246"/>
      <c r="J224" s="8"/>
      <c r="K224" s="8">
        <f t="shared" si="22"/>
        <v>0</v>
      </c>
      <c r="L224" s="8">
        <f t="shared" si="25"/>
        <v>0</v>
      </c>
      <c r="M224" s="9" t="str">
        <f t="array" ref="M224">_xlfn.XLOOKUP(C224,'Neiva 2022 FASE I ACTUAL (5)'!$C$6:$C$540,'Neiva 2022 FASE I ACTUAL (5)'!$C$6:$F$540,"NO ESTA")</f>
        <v>NO ESTA</v>
      </c>
      <c r="Q224" s="124">
        <f t="shared" si="28"/>
        <v>0</v>
      </c>
      <c r="R224" s="155">
        <f t="shared" si="23"/>
        <v>0</v>
      </c>
      <c r="S224" s="156">
        <f t="shared" si="26"/>
        <v>0</v>
      </c>
      <c r="T224" s="156">
        <f t="shared" si="27"/>
        <v>0</v>
      </c>
    </row>
    <row r="225" spans="1:20" s="9" customFormat="1" ht="35.1" customHeight="1" x14ac:dyDescent="0.25">
      <c r="A225" s="215"/>
      <c r="B225" s="255" t="s">
        <v>1167</v>
      </c>
      <c r="C225" s="254" t="s">
        <v>1168</v>
      </c>
      <c r="D225" s="255" t="s">
        <v>16</v>
      </c>
      <c r="E225" s="242">
        <v>2</v>
      </c>
      <c r="F225" s="242"/>
      <c r="G225" s="242">
        <v>2</v>
      </c>
      <c r="H225" s="243">
        <v>135849381</v>
      </c>
      <c r="I225" s="243">
        <f t="shared" si="24"/>
        <v>271698762</v>
      </c>
      <c r="J225" s="8"/>
      <c r="K225" s="8">
        <f t="shared" si="22"/>
        <v>135849381</v>
      </c>
      <c r="L225" s="8">
        <f t="shared" si="25"/>
        <v>271698762</v>
      </c>
      <c r="M225" s="9" t="str">
        <f t="array" ref="M225">_xlfn.XLOOKUP(C225,'Neiva 2022 FASE I ACTUAL (5)'!$C$6:$C$540,'Neiva 2022 FASE I ACTUAL (5)'!$C$6:$F$540,"NO ESTA")</f>
        <v>NO ESTA</v>
      </c>
      <c r="Q225" s="124">
        <f t="shared" si="28"/>
        <v>0</v>
      </c>
      <c r="R225" s="155">
        <f t="shared" si="23"/>
        <v>2</v>
      </c>
      <c r="S225" s="156">
        <f t="shared" si="26"/>
        <v>135849381</v>
      </c>
      <c r="T225" s="156">
        <f t="shared" si="27"/>
        <v>271698762</v>
      </c>
    </row>
    <row r="226" spans="1:20" s="9" customFormat="1" ht="35.1" customHeight="1" x14ac:dyDescent="0.25">
      <c r="A226" s="215"/>
      <c r="B226" s="276" t="s">
        <v>254</v>
      </c>
      <c r="C226" s="245" t="s">
        <v>255</v>
      </c>
      <c r="D226" s="244"/>
      <c r="E226" s="246"/>
      <c r="F226" s="246"/>
      <c r="G226" s="246"/>
      <c r="H226" s="246"/>
      <c r="I226" s="246"/>
      <c r="J226" s="8"/>
      <c r="K226" s="8">
        <f t="shared" si="22"/>
        <v>0</v>
      </c>
      <c r="L226" s="8">
        <f t="shared" si="25"/>
        <v>0</v>
      </c>
      <c r="M226" s="9" t="str">
        <f t="array" ref="M226:P226">_xlfn.XLOOKUP(C226,'Neiva 2022 FASE I ACTUAL (5)'!$C$6:$C$540,'Neiva 2022 FASE I ACTUAL (5)'!$C$6:$F$540,"NO ESTA")</f>
        <v>SUMINISTRO E INSTALACIÓN DE BARANDAS</v>
      </c>
      <c r="N226" s="9">
        <v>0</v>
      </c>
      <c r="O226" s="9">
        <v>0</v>
      </c>
      <c r="P226" s="9">
        <v>0</v>
      </c>
      <c r="Q226" s="124">
        <f t="shared" si="28"/>
        <v>0</v>
      </c>
      <c r="R226" s="155">
        <f t="shared" si="23"/>
        <v>0</v>
      </c>
      <c r="S226" s="156">
        <f t="shared" si="26"/>
        <v>0</v>
      </c>
      <c r="T226" s="156">
        <f t="shared" si="27"/>
        <v>0</v>
      </c>
    </row>
    <row r="227" spans="1:20" s="9" customFormat="1" ht="35.1" customHeight="1" x14ac:dyDescent="0.25">
      <c r="A227" s="215"/>
      <c r="B227" s="240" t="s">
        <v>256</v>
      </c>
      <c r="C227" s="254" t="s">
        <v>257</v>
      </c>
      <c r="D227" s="255" t="s">
        <v>94</v>
      </c>
      <c r="E227" s="242">
        <v>288.39999999999998</v>
      </c>
      <c r="F227" s="242">
        <v>106</v>
      </c>
      <c r="G227" s="242">
        <v>394.4</v>
      </c>
      <c r="H227" s="243">
        <v>648864</v>
      </c>
      <c r="I227" s="243">
        <f t="shared" si="24"/>
        <v>255911961.59999999</v>
      </c>
      <c r="J227" s="8"/>
      <c r="K227" s="8">
        <f t="shared" si="22"/>
        <v>648864</v>
      </c>
      <c r="L227" s="8">
        <f t="shared" si="25"/>
        <v>187132377.59999999</v>
      </c>
      <c r="M227" s="9" t="str">
        <f t="array" ref="M227:P227">_xlfn.XLOOKUP(C227,'Neiva 2022 FASE I ACTUAL (5)'!$C$6:$C$540,'Neiva 2022 FASE I ACTUAL (5)'!$C$6:$F$540,"NO ESTA")</f>
        <v>SUMINISTRO E INSTALACION BARANDA TIPO B1 EN ACERO INOXIDABLE (Incluye todos los accesorios para su instalación)</v>
      </c>
      <c r="N227" s="9" t="str">
        <v>ML</v>
      </c>
      <c r="O227" s="9">
        <v>106</v>
      </c>
      <c r="P227" s="9">
        <v>648864</v>
      </c>
      <c r="Q227" s="124" t="str">
        <f t="shared" si="28"/>
        <v>FASE II</v>
      </c>
      <c r="R227" s="155">
        <f t="shared" si="23"/>
        <v>394.4</v>
      </c>
      <c r="S227" s="156">
        <f t="shared" si="26"/>
        <v>648864</v>
      </c>
      <c r="T227" s="156">
        <f t="shared" si="27"/>
        <v>255911961.59999999</v>
      </c>
    </row>
    <row r="228" spans="1:20" s="9" customFormat="1" ht="35.1" customHeight="1" x14ac:dyDescent="0.25">
      <c r="A228" s="215"/>
      <c r="B228" s="240" t="s">
        <v>258</v>
      </c>
      <c r="C228" s="254" t="s">
        <v>259</v>
      </c>
      <c r="D228" s="255" t="s">
        <v>94</v>
      </c>
      <c r="E228" s="242">
        <v>44.13</v>
      </c>
      <c r="F228" s="242">
        <v>16</v>
      </c>
      <c r="G228" s="242">
        <v>60.13</v>
      </c>
      <c r="H228" s="243">
        <v>257794</v>
      </c>
      <c r="I228" s="243">
        <f t="shared" si="24"/>
        <v>15501153.220000001</v>
      </c>
      <c r="J228" s="8"/>
      <c r="K228" s="8">
        <f t="shared" si="22"/>
        <v>257794</v>
      </c>
      <c r="L228" s="8">
        <f t="shared" si="25"/>
        <v>11376449.220000001</v>
      </c>
      <c r="M228" s="9" t="str">
        <f t="array" ref="M228:P228">_xlfn.XLOOKUP(C228,'Neiva 2022 FASE I ACTUAL (5)'!$C$6:$C$540,'Neiva 2022 FASE I ACTUAL (5)'!$C$6:$F$540,"NO ESTA")</f>
        <v>SUMINISTRO E INSTALACION PASAMANOS PUNTO FIJO No. 1 (Incluye todos los accesorios para su instalación)</v>
      </c>
      <c r="N228" s="9" t="str">
        <v>ML</v>
      </c>
      <c r="O228" s="9">
        <v>16</v>
      </c>
      <c r="P228" s="9">
        <v>247397</v>
      </c>
      <c r="Q228" s="124" t="str">
        <f t="shared" si="28"/>
        <v>FASE II</v>
      </c>
      <c r="R228" s="155">
        <f t="shared" si="23"/>
        <v>60.13</v>
      </c>
      <c r="S228" s="156">
        <f t="shared" si="26"/>
        <v>257794</v>
      </c>
      <c r="T228" s="156">
        <f t="shared" si="27"/>
        <v>15501153.220000001</v>
      </c>
    </row>
    <row r="229" spans="1:20" s="9" customFormat="1" ht="35.1" customHeight="1" x14ac:dyDescent="0.25">
      <c r="A229" s="215"/>
      <c r="B229" s="276" t="s">
        <v>260</v>
      </c>
      <c r="C229" s="256" t="s">
        <v>261</v>
      </c>
      <c r="D229" s="256"/>
      <c r="E229" s="246"/>
      <c r="F229" s="246"/>
      <c r="G229" s="246"/>
      <c r="H229" s="246"/>
      <c r="I229" s="246"/>
      <c r="J229" s="8"/>
      <c r="K229" s="8">
        <f t="shared" si="22"/>
        <v>0</v>
      </c>
      <c r="L229" s="8">
        <f t="shared" si="25"/>
        <v>0</v>
      </c>
      <c r="M229" s="9" t="str">
        <f t="array" ref="M229:P229">_xlfn.XLOOKUP(C229,'Neiva 2022 FASE I ACTUAL (5)'!$C$6:$C$540,'Neiva 2022 FASE I ACTUAL (5)'!$C$6:$F$540,"NO ESTA")</f>
        <v>SUMINISTRO E INSTALACIÓN DE DIVISIONES DE BAÑOS</v>
      </c>
      <c r="N229" s="9">
        <v>0</v>
      </c>
      <c r="O229" s="9">
        <v>0</v>
      </c>
      <c r="P229" s="9">
        <v>0</v>
      </c>
      <c r="Q229" s="124">
        <f t="shared" si="28"/>
        <v>0</v>
      </c>
      <c r="R229" s="155">
        <f t="shared" si="23"/>
        <v>0</v>
      </c>
      <c r="S229" s="156">
        <f t="shared" si="26"/>
        <v>0</v>
      </c>
      <c r="T229" s="156">
        <f t="shared" si="27"/>
        <v>0</v>
      </c>
    </row>
    <row r="230" spans="1:20" s="9" customFormat="1" ht="35.1" customHeight="1" x14ac:dyDescent="0.25">
      <c r="A230" s="215"/>
      <c r="B230" s="240" t="s">
        <v>262</v>
      </c>
      <c r="C230" s="254" t="s">
        <v>263</v>
      </c>
      <c r="D230" s="255" t="s">
        <v>13</v>
      </c>
      <c r="E230" s="242">
        <v>83.5</v>
      </c>
      <c r="F230" s="242">
        <v>83.5</v>
      </c>
      <c r="G230" s="242">
        <v>167</v>
      </c>
      <c r="H230" s="243">
        <v>618351</v>
      </c>
      <c r="I230" s="243">
        <f t="shared" si="24"/>
        <v>103264617</v>
      </c>
      <c r="J230" s="8"/>
      <c r="K230" s="8">
        <f t="shared" si="22"/>
        <v>618351</v>
      </c>
      <c r="L230" s="8">
        <f t="shared" si="25"/>
        <v>51632308.5</v>
      </c>
      <c r="M230" s="9" t="str">
        <f t="array" ref="M230:P230">_xlfn.XLOOKUP(C230,'Neiva 2022 FASE I ACTUAL (5)'!$C$6:$C$540,'Neiva 2022 FASE I ACTUAL (5)'!$C$6:$F$540,"NO ESTA")</f>
        <v>SUMINISTRO E INSTALACION DIVISION EN ACERO INOXIDABLE BAÑOS (Incluye todos los accesorios para su instalación)</v>
      </c>
      <c r="N230" s="9" t="str">
        <v>M2</v>
      </c>
      <c r="O230" s="9">
        <v>83.5</v>
      </c>
      <c r="P230" s="9">
        <v>593414</v>
      </c>
      <c r="Q230" s="124" t="str">
        <f t="shared" si="28"/>
        <v>FASE II</v>
      </c>
      <c r="R230" s="155">
        <f t="shared" si="23"/>
        <v>167</v>
      </c>
      <c r="S230" s="156">
        <f t="shared" si="26"/>
        <v>618351</v>
      </c>
      <c r="T230" s="156">
        <f t="shared" si="27"/>
        <v>103264617</v>
      </c>
    </row>
    <row r="231" spans="1:20" s="9" customFormat="1" ht="35.1" customHeight="1" x14ac:dyDescent="0.25">
      <c r="A231" s="215"/>
      <c r="B231" s="266">
        <v>11</v>
      </c>
      <c r="C231" s="267" t="s">
        <v>1169</v>
      </c>
      <c r="D231" s="268"/>
      <c r="E231" s="268"/>
      <c r="F231" s="268"/>
      <c r="G231" s="268"/>
      <c r="H231" s="268"/>
      <c r="I231" s="268"/>
      <c r="J231" s="8"/>
      <c r="K231" s="8">
        <f t="shared" si="22"/>
        <v>0</v>
      </c>
      <c r="L231" s="8">
        <f t="shared" si="25"/>
        <v>0</v>
      </c>
      <c r="M231" s="9" t="str">
        <f t="array" ref="M231">_xlfn.XLOOKUP(C231,'Neiva 2022 FASE I ACTUAL (5)'!$C$6:$C$540,'Neiva 2022 FASE I ACTUAL (5)'!$C$6:$F$540,"NO ESTA")</f>
        <v>NO ESTA</v>
      </c>
      <c r="Q231" s="124">
        <f t="shared" si="28"/>
        <v>0</v>
      </c>
      <c r="R231" s="155">
        <f t="shared" si="23"/>
        <v>0</v>
      </c>
      <c r="S231" s="156">
        <f t="shared" si="26"/>
        <v>0</v>
      </c>
      <c r="T231" s="156">
        <f t="shared" si="27"/>
        <v>0</v>
      </c>
    </row>
    <row r="232" spans="1:20" s="9" customFormat="1" ht="35.1" customHeight="1" x14ac:dyDescent="0.25">
      <c r="A232" s="215"/>
      <c r="B232" s="244" t="s">
        <v>1170</v>
      </c>
      <c r="C232" s="245" t="s">
        <v>10</v>
      </c>
      <c r="D232" s="244"/>
      <c r="E232" s="246"/>
      <c r="F232" s="246"/>
      <c r="G232" s="246"/>
      <c r="H232" s="246"/>
      <c r="I232" s="246"/>
      <c r="J232" s="8"/>
      <c r="K232" s="8">
        <f t="shared" si="22"/>
        <v>0</v>
      </c>
      <c r="L232" s="8">
        <f t="shared" si="25"/>
        <v>0</v>
      </c>
      <c r="M232" s="9" t="str">
        <f t="array" ref="M232">_xlfn.XLOOKUP(C232,'Neiva 2022 FASE I ACTUAL (5)'!$C$6:$C$540,'Neiva 2022 FASE I ACTUAL (5)'!$C$6:$F$540,"NO ESTA")</f>
        <v>NO ESTA</v>
      </c>
      <c r="Q232" s="124">
        <f t="shared" si="28"/>
        <v>0</v>
      </c>
      <c r="R232" s="155">
        <f t="shared" si="23"/>
        <v>0</v>
      </c>
      <c r="S232" s="156">
        <f t="shared" si="26"/>
        <v>0</v>
      </c>
      <c r="T232" s="156">
        <f t="shared" si="27"/>
        <v>0</v>
      </c>
    </row>
    <row r="233" spans="1:20" s="9" customFormat="1" ht="35.1" customHeight="1" x14ac:dyDescent="0.25">
      <c r="A233" s="215"/>
      <c r="B233" s="255" t="s">
        <v>1171</v>
      </c>
      <c r="C233" s="254" t="s">
        <v>1050</v>
      </c>
      <c r="D233" s="255" t="s">
        <v>13</v>
      </c>
      <c r="E233" s="242">
        <v>745.71560000000011</v>
      </c>
      <c r="F233" s="242"/>
      <c r="G233" s="242">
        <v>745.71560000000011</v>
      </c>
      <c r="H233" s="243">
        <v>3521</v>
      </c>
      <c r="I233" s="243">
        <f t="shared" si="24"/>
        <v>2625664.63</v>
      </c>
      <c r="J233" s="8"/>
      <c r="K233" s="8">
        <f t="shared" si="22"/>
        <v>3521</v>
      </c>
      <c r="L233" s="8">
        <f t="shared" si="25"/>
        <v>2625664.6276000002</v>
      </c>
      <c r="M233" s="9" t="str">
        <f t="array" ref="M233">_xlfn.XLOOKUP(C233,'Neiva 2022 FASE I ACTUAL (5)'!$C$6:$C$540,'Neiva 2022 FASE I ACTUAL (5)'!$C$6:$F$540,"NO ESTA")</f>
        <v>NO ESTA</v>
      </c>
      <c r="Q233" s="124">
        <f t="shared" si="28"/>
        <v>0</v>
      </c>
      <c r="R233" s="155">
        <f t="shared" si="23"/>
        <v>745.71560000000011</v>
      </c>
      <c r="S233" s="156">
        <f t="shared" si="26"/>
        <v>3521</v>
      </c>
      <c r="T233" s="156">
        <f t="shared" si="27"/>
        <v>2625664.63</v>
      </c>
    </row>
    <row r="234" spans="1:20" s="9" customFormat="1" ht="35.1" customHeight="1" x14ac:dyDescent="0.25">
      <c r="A234" s="215"/>
      <c r="B234" s="255" t="s">
        <v>1172</v>
      </c>
      <c r="C234" s="254" t="s">
        <v>12</v>
      </c>
      <c r="D234" s="255" t="s">
        <v>13</v>
      </c>
      <c r="E234" s="242">
        <v>745.71560000000011</v>
      </c>
      <c r="F234" s="242">
        <v>250</v>
      </c>
      <c r="G234" s="242">
        <v>995.71560000000011</v>
      </c>
      <c r="H234" s="243">
        <v>27093</v>
      </c>
      <c r="I234" s="243">
        <f t="shared" si="24"/>
        <v>26976922.75</v>
      </c>
      <c r="J234" s="8"/>
      <c r="K234" s="8">
        <f t="shared" si="22"/>
        <v>27093</v>
      </c>
      <c r="L234" s="8">
        <f t="shared" si="25"/>
        <v>20203672.750800002</v>
      </c>
      <c r="M234" s="9" t="str">
        <f t="array" ref="M234:P234">_xlfn.XLOOKUP(C234,'Neiva 2022 FASE I ACTUAL (5)'!$C$6:$C$540,'Neiva 2022 FASE I ACTUAL (5)'!$C$6:$F$540,"NO ESTA")</f>
        <v>DESCAPOTE A MAQUINA (INCLUYE RETIRO)</v>
      </c>
      <c r="N234" s="9" t="str">
        <v>M2</v>
      </c>
      <c r="O234" s="9">
        <v>250</v>
      </c>
      <c r="P234" s="9">
        <v>27093</v>
      </c>
      <c r="Q234" s="124" t="str">
        <f t="shared" si="28"/>
        <v>FASE II</v>
      </c>
      <c r="R234" s="155">
        <f t="shared" si="23"/>
        <v>995.71560000000011</v>
      </c>
      <c r="S234" s="156">
        <f t="shared" si="26"/>
        <v>27093</v>
      </c>
      <c r="T234" s="156">
        <f t="shared" si="27"/>
        <v>26976922.75</v>
      </c>
    </row>
    <row r="235" spans="1:20" s="9" customFormat="1" ht="35.1" customHeight="1" x14ac:dyDescent="0.25">
      <c r="A235" s="215"/>
      <c r="B235" s="255" t="s">
        <v>1173</v>
      </c>
      <c r="C235" s="254" t="s">
        <v>1052</v>
      </c>
      <c r="D235" s="255" t="s">
        <v>94</v>
      </c>
      <c r="E235" s="242">
        <v>110.98</v>
      </c>
      <c r="F235" s="242"/>
      <c r="G235" s="242">
        <v>110.98</v>
      </c>
      <c r="H235" s="243">
        <v>35024</v>
      </c>
      <c r="I235" s="243">
        <f t="shared" si="24"/>
        <v>3886963.52</v>
      </c>
      <c r="J235" s="8"/>
      <c r="K235" s="8">
        <f t="shared" si="22"/>
        <v>35024</v>
      </c>
      <c r="L235" s="8">
        <f t="shared" si="25"/>
        <v>3886963.52</v>
      </c>
      <c r="M235" s="9" t="str">
        <f t="array" ref="M235">_xlfn.XLOOKUP(C235,'Neiva 2022 FASE I ACTUAL (5)'!$C$6:$C$540,'Neiva 2022 FASE I ACTUAL (5)'!$C$6:$F$540,"NO ESTA")</f>
        <v>NO ESTA</v>
      </c>
      <c r="Q235" s="124">
        <f t="shared" si="28"/>
        <v>0</v>
      </c>
      <c r="R235" s="155">
        <f t="shared" si="23"/>
        <v>110.98</v>
      </c>
      <c r="S235" s="156">
        <f t="shared" si="26"/>
        <v>35024</v>
      </c>
      <c r="T235" s="156">
        <f t="shared" si="27"/>
        <v>3886963.52</v>
      </c>
    </row>
    <row r="236" spans="1:20" s="9" customFormat="1" ht="35.1" customHeight="1" x14ac:dyDescent="0.25">
      <c r="A236" s="215"/>
      <c r="B236" s="244" t="s">
        <v>1174</v>
      </c>
      <c r="C236" s="245" t="s">
        <v>18</v>
      </c>
      <c r="D236" s="244"/>
      <c r="E236" s="246"/>
      <c r="F236" s="246"/>
      <c r="G236" s="246"/>
      <c r="H236" s="246"/>
      <c r="I236" s="246"/>
      <c r="J236" s="8"/>
      <c r="K236" s="8">
        <f t="shared" si="22"/>
        <v>0</v>
      </c>
      <c r="L236" s="8">
        <f t="shared" si="25"/>
        <v>0</v>
      </c>
      <c r="M236" s="9" t="str">
        <f t="array" ref="M236:P236">_xlfn.XLOOKUP(C236,'Neiva 2022 FASE I ACTUAL (5)'!$C$6:$C$540,'Neiva 2022 FASE I ACTUAL (5)'!$C$6:$F$540,"NO ESTA")</f>
        <v>INSTALACION SERVICIOS PROVISIONALES</v>
      </c>
      <c r="N236" s="9">
        <v>0</v>
      </c>
      <c r="O236" s="9">
        <v>0</v>
      </c>
      <c r="P236" s="9">
        <v>0</v>
      </c>
      <c r="Q236" s="124">
        <f t="shared" si="28"/>
        <v>0</v>
      </c>
      <c r="R236" s="155">
        <f t="shared" si="23"/>
        <v>0</v>
      </c>
      <c r="S236" s="156">
        <f t="shared" si="26"/>
        <v>0</v>
      </c>
      <c r="T236" s="156">
        <f t="shared" si="27"/>
        <v>0</v>
      </c>
    </row>
    <row r="237" spans="1:20" s="9" customFormat="1" ht="35.1" customHeight="1" x14ac:dyDescent="0.25">
      <c r="A237" s="215"/>
      <c r="B237" s="255" t="s">
        <v>1175</v>
      </c>
      <c r="C237" s="254" t="s">
        <v>1176</v>
      </c>
      <c r="D237" s="255" t="s">
        <v>374</v>
      </c>
      <c r="E237" s="242">
        <v>1</v>
      </c>
      <c r="F237" s="242"/>
      <c r="G237" s="242">
        <v>1</v>
      </c>
      <c r="H237" s="243">
        <v>558358</v>
      </c>
      <c r="I237" s="243">
        <f t="shared" si="24"/>
        <v>558358</v>
      </c>
      <c r="J237" s="8"/>
      <c r="K237" s="8">
        <f t="shared" si="22"/>
        <v>558358</v>
      </c>
      <c r="L237" s="8">
        <f t="shared" si="25"/>
        <v>558358</v>
      </c>
      <c r="M237" s="9" t="str">
        <f t="array" ref="M237">_xlfn.XLOOKUP(C237,'Neiva 2022 FASE I ACTUAL (5)'!$C$6:$C$540,'Neiva 2022 FASE I ACTUAL (5)'!$C$6:$F$540,"NO ESTA")</f>
        <v>NO ESTA</v>
      </c>
      <c r="Q237" s="124">
        <f t="shared" si="28"/>
        <v>0</v>
      </c>
      <c r="R237" s="155">
        <f t="shared" si="23"/>
        <v>1</v>
      </c>
      <c r="S237" s="156">
        <f t="shared" si="26"/>
        <v>558358</v>
      </c>
      <c r="T237" s="156">
        <f t="shared" si="27"/>
        <v>558358</v>
      </c>
    </row>
    <row r="238" spans="1:20" s="9" customFormat="1" ht="35.1" customHeight="1" x14ac:dyDescent="0.25">
      <c r="A238" s="215"/>
      <c r="B238" s="255" t="s">
        <v>1177</v>
      </c>
      <c r="C238" s="254" t="s">
        <v>1178</v>
      </c>
      <c r="D238" s="255" t="s">
        <v>374</v>
      </c>
      <c r="E238" s="242">
        <v>1</v>
      </c>
      <c r="F238" s="242"/>
      <c r="G238" s="242">
        <v>1</v>
      </c>
      <c r="H238" s="243">
        <v>4001595</v>
      </c>
      <c r="I238" s="243">
        <f t="shared" si="24"/>
        <v>4001595</v>
      </c>
      <c r="J238" s="8"/>
      <c r="K238" s="8">
        <f t="shared" si="22"/>
        <v>4001595</v>
      </c>
      <c r="L238" s="8">
        <f t="shared" si="25"/>
        <v>4001595</v>
      </c>
      <c r="M238" s="9" t="str">
        <f t="array" ref="M238">_xlfn.XLOOKUP(C238,'Neiva 2022 FASE I ACTUAL (5)'!$C$6:$C$540,'Neiva 2022 FASE I ACTUAL (5)'!$C$6:$F$540,"NO ESTA")</f>
        <v>NO ESTA</v>
      </c>
      <c r="Q238" s="124">
        <f t="shared" si="28"/>
        <v>0</v>
      </c>
      <c r="R238" s="155">
        <f t="shared" si="23"/>
        <v>1</v>
      </c>
      <c r="S238" s="156">
        <f t="shared" si="26"/>
        <v>4001595</v>
      </c>
      <c r="T238" s="156">
        <f t="shared" si="27"/>
        <v>4001595</v>
      </c>
    </row>
    <row r="239" spans="1:20" s="9" customFormat="1" ht="35.1" customHeight="1" x14ac:dyDescent="0.25">
      <c r="A239" s="215"/>
      <c r="B239" s="244" t="s">
        <v>1179</v>
      </c>
      <c r="C239" s="245" t="s">
        <v>20</v>
      </c>
      <c r="D239" s="246"/>
      <c r="E239" s="246"/>
      <c r="F239" s="246"/>
      <c r="G239" s="246"/>
      <c r="H239" s="246"/>
      <c r="I239" s="246"/>
      <c r="J239" s="8"/>
      <c r="K239" s="8">
        <f t="shared" si="22"/>
        <v>0</v>
      </c>
      <c r="L239" s="8">
        <f t="shared" si="25"/>
        <v>0</v>
      </c>
      <c r="M239" s="9" t="str">
        <f t="array" ref="M239:P239">_xlfn.XLOOKUP(C239,'Neiva 2022 FASE I ACTUAL (5)'!$C$6:$C$540,'Neiva 2022 FASE I ACTUAL (5)'!$C$6:$F$540,"NO ESTA")</f>
        <v>DEMOLICIONES</v>
      </c>
      <c r="N239" s="9">
        <v>0</v>
      </c>
      <c r="O239" s="9">
        <v>0</v>
      </c>
      <c r="P239" s="9">
        <v>0</v>
      </c>
      <c r="Q239" s="124">
        <f t="shared" si="28"/>
        <v>0</v>
      </c>
      <c r="R239" s="155">
        <f t="shared" si="23"/>
        <v>0</v>
      </c>
      <c r="S239" s="156">
        <f t="shared" si="26"/>
        <v>0</v>
      </c>
      <c r="T239" s="156">
        <f t="shared" si="27"/>
        <v>0</v>
      </c>
    </row>
    <row r="240" spans="1:20" s="9" customFormat="1" ht="35.1" customHeight="1" x14ac:dyDescent="0.25">
      <c r="A240" s="215"/>
      <c r="B240" s="255" t="s">
        <v>1180</v>
      </c>
      <c r="C240" s="254" t="s">
        <v>1181</v>
      </c>
      <c r="D240" s="255" t="s">
        <v>1182</v>
      </c>
      <c r="E240" s="242">
        <v>1</v>
      </c>
      <c r="F240" s="242"/>
      <c r="G240" s="242">
        <v>1</v>
      </c>
      <c r="H240" s="243">
        <v>1956919</v>
      </c>
      <c r="I240" s="243">
        <f t="shared" si="24"/>
        <v>1956919</v>
      </c>
      <c r="J240" s="8"/>
      <c r="K240" s="8">
        <f t="shared" si="22"/>
        <v>1956919</v>
      </c>
      <c r="L240" s="8">
        <f t="shared" si="25"/>
        <v>1956919</v>
      </c>
      <c r="M240" s="9" t="str">
        <f t="array" ref="M240">_xlfn.XLOOKUP(C240,'Neiva 2022 FASE I ACTUAL (5)'!$C$6:$C$540,'Neiva 2022 FASE I ACTUAL (5)'!$C$6:$F$540,"NO ESTA")</f>
        <v>NO ESTA</v>
      </c>
      <c r="Q240" s="124">
        <f t="shared" si="28"/>
        <v>0</v>
      </c>
      <c r="R240" s="155">
        <f t="shared" si="23"/>
        <v>1</v>
      </c>
      <c r="S240" s="156">
        <f t="shared" si="26"/>
        <v>1956919</v>
      </c>
      <c r="T240" s="156">
        <f t="shared" si="27"/>
        <v>1956919</v>
      </c>
    </row>
    <row r="241" spans="1:20" s="9" customFormat="1" ht="35.1" customHeight="1" x14ac:dyDescent="0.25">
      <c r="A241" s="215"/>
      <c r="B241" s="244" t="s">
        <v>1183</v>
      </c>
      <c r="C241" s="245" t="s">
        <v>1184</v>
      </c>
      <c r="D241" s="246"/>
      <c r="E241" s="246"/>
      <c r="F241" s="246"/>
      <c r="G241" s="246"/>
      <c r="H241" s="246"/>
      <c r="I241" s="246"/>
      <c r="J241" s="8"/>
      <c r="K241" s="8">
        <f t="shared" ref="K241:K304" si="29">+ROUND(H241*(1+$K$4),0)</f>
        <v>0</v>
      </c>
      <c r="L241" s="8">
        <f t="shared" si="25"/>
        <v>0</v>
      </c>
      <c r="M241" s="9" t="str">
        <f t="array" ref="M241">_xlfn.XLOOKUP(C241,'Neiva 2022 FASE I ACTUAL (5)'!$C$6:$C$540,'Neiva 2022 FASE I ACTUAL (5)'!$C$6:$F$540,"NO ESTA")</f>
        <v>NO ESTA</v>
      </c>
      <c r="Q241" s="124">
        <f t="shared" si="28"/>
        <v>0</v>
      </c>
      <c r="R241" s="155">
        <f t="shared" si="23"/>
        <v>0</v>
      </c>
      <c r="S241" s="156">
        <f t="shared" si="26"/>
        <v>0</v>
      </c>
      <c r="T241" s="156">
        <f t="shared" si="27"/>
        <v>0</v>
      </c>
    </row>
    <row r="242" spans="1:20" s="9" customFormat="1" ht="35.1" customHeight="1" x14ac:dyDescent="0.25">
      <c r="A242" s="215"/>
      <c r="B242" s="240" t="s">
        <v>1185</v>
      </c>
      <c r="C242" s="241" t="s">
        <v>1186</v>
      </c>
      <c r="D242" s="240" t="s">
        <v>30</v>
      </c>
      <c r="E242" s="242">
        <v>79.201499999999996</v>
      </c>
      <c r="F242" s="242"/>
      <c r="G242" s="242">
        <v>79.201499999999996</v>
      </c>
      <c r="H242" s="243">
        <v>32132</v>
      </c>
      <c r="I242" s="243">
        <f t="shared" si="24"/>
        <v>2544902.6</v>
      </c>
      <c r="J242" s="8"/>
      <c r="K242" s="8">
        <f t="shared" si="29"/>
        <v>32132</v>
      </c>
      <c r="L242" s="8">
        <f t="shared" si="25"/>
        <v>2544902.5979999998</v>
      </c>
      <c r="M242" s="9" t="str">
        <f t="array" ref="M242">_xlfn.XLOOKUP(C242,'Neiva 2022 FASE I ACTUAL (5)'!$C$6:$C$540,'Neiva 2022 FASE I ACTUAL (5)'!$C$6:$F$540,"NO ESTA")</f>
        <v>NO ESTA</v>
      </c>
      <c r="Q242" s="124">
        <f t="shared" si="28"/>
        <v>0</v>
      </c>
      <c r="R242" s="155">
        <f t="shared" si="23"/>
        <v>79.201499999999996</v>
      </c>
      <c r="S242" s="156">
        <f t="shared" si="26"/>
        <v>32132</v>
      </c>
      <c r="T242" s="156">
        <f t="shared" si="27"/>
        <v>2544902.6</v>
      </c>
    </row>
    <row r="243" spans="1:20" s="9" customFormat="1" ht="35.1" customHeight="1" x14ac:dyDescent="0.25">
      <c r="A243" s="215"/>
      <c r="B243" s="240" t="s">
        <v>1187</v>
      </c>
      <c r="C243" s="251" t="s">
        <v>1188</v>
      </c>
      <c r="D243" s="240" t="s">
        <v>30</v>
      </c>
      <c r="E243" s="242">
        <v>110</v>
      </c>
      <c r="F243" s="242"/>
      <c r="G243" s="242">
        <v>110</v>
      </c>
      <c r="H243" s="243">
        <v>145973</v>
      </c>
      <c r="I243" s="243">
        <f t="shared" si="24"/>
        <v>16057030</v>
      </c>
      <c r="J243" s="8"/>
      <c r="K243" s="8">
        <f t="shared" si="29"/>
        <v>145973</v>
      </c>
      <c r="L243" s="8">
        <f t="shared" si="25"/>
        <v>16057030</v>
      </c>
      <c r="M243" s="9" t="str">
        <f t="array" ref="M243">_xlfn.XLOOKUP(C243,'Neiva 2022 FASE I ACTUAL (5)'!$C$6:$C$540,'Neiva 2022 FASE I ACTUAL (5)'!$C$6:$F$540,"NO ESTA")</f>
        <v>NO ESTA</v>
      </c>
      <c r="Q243" s="124">
        <f t="shared" si="28"/>
        <v>0</v>
      </c>
      <c r="R243" s="155">
        <f t="shared" si="23"/>
        <v>110</v>
      </c>
      <c r="S243" s="156">
        <f t="shared" si="26"/>
        <v>145973</v>
      </c>
      <c r="T243" s="156">
        <f t="shared" si="27"/>
        <v>16057030</v>
      </c>
    </row>
    <row r="244" spans="1:20" s="9" customFormat="1" ht="35.1" customHeight="1" x14ac:dyDescent="0.25">
      <c r="A244" s="215"/>
      <c r="B244" s="240" t="s">
        <v>1189</v>
      </c>
      <c r="C244" s="254" t="s">
        <v>422</v>
      </c>
      <c r="D244" s="240" t="s">
        <v>30</v>
      </c>
      <c r="E244" s="242">
        <v>64.790000000000006</v>
      </c>
      <c r="F244" s="242">
        <v>28</v>
      </c>
      <c r="G244" s="242">
        <v>92.79</v>
      </c>
      <c r="H244" s="243">
        <v>76759</v>
      </c>
      <c r="I244" s="243">
        <f t="shared" si="24"/>
        <v>7122467.6100000003</v>
      </c>
      <c r="J244" s="8"/>
      <c r="K244" s="8">
        <f t="shared" si="29"/>
        <v>76759</v>
      </c>
      <c r="L244" s="8">
        <f t="shared" si="25"/>
        <v>4973215.6100000003</v>
      </c>
      <c r="M244" s="9" t="str">
        <f t="array" ref="M244:P244">_xlfn.XLOOKUP(C244,'Neiva 2022 FASE I ACTUAL (5)'!$C$6:$C$540,'Neiva 2022 FASE I ACTUAL (5)'!$C$6:$F$540,"NO ESTA")</f>
        <v xml:space="preserve">RELLENO EN ARENA INCLUYE TRANSPORTE Y COLOCACIÓN       </v>
      </c>
      <c r="N244" s="9" t="str">
        <v xml:space="preserve">M3   </v>
      </c>
      <c r="O244" s="9">
        <v>28</v>
      </c>
      <c r="P244" s="9">
        <v>73664</v>
      </c>
      <c r="Q244" s="124" t="str">
        <f t="shared" si="28"/>
        <v>FASE II</v>
      </c>
      <c r="R244" s="155">
        <f t="shared" si="23"/>
        <v>92.79</v>
      </c>
      <c r="S244" s="156">
        <f t="shared" si="26"/>
        <v>76759</v>
      </c>
      <c r="T244" s="156">
        <f t="shared" si="27"/>
        <v>7122467.6100000003</v>
      </c>
    </row>
    <row r="245" spans="1:20" s="9" customFormat="1" ht="35.1" customHeight="1" x14ac:dyDescent="0.25">
      <c r="A245" s="215"/>
      <c r="B245" s="240" t="s">
        <v>1190</v>
      </c>
      <c r="C245" s="241" t="s">
        <v>1191</v>
      </c>
      <c r="D245" s="240" t="s">
        <v>30</v>
      </c>
      <c r="E245" s="242">
        <v>2</v>
      </c>
      <c r="F245" s="242"/>
      <c r="G245" s="242">
        <v>2</v>
      </c>
      <c r="H245" s="243">
        <v>526978</v>
      </c>
      <c r="I245" s="243">
        <f t="shared" si="24"/>
        <v>1053956</v>
      </c>
      <c r="J245" s="8"/>
      <c r="K245" s="8">
        <f t="shared" si="29"/>
        <v>526978</v>
      </c>
      <c r="L245" s="8">
        <f t="shared" si="25"/>
        <v>1053956</v>
      </c>
      <c r="M245" s="9" t="str">
        <f t="array" ref="M245">_xlfn.XLOOKUP(C245,'Neiva 2022 FASE I ACTUAL (5)'!$C$6:$C$540,'Neiva 2022 FASE I ACTUAL (5)'!$C$6:$F$540,"NO ESTA")</f>
        <v>NO ESTA</v>
      </c>
      <c r="Q245" s="124">
        <f t="shared" si="28"/>
        <v>0</v>
      </c>
      <c r="R245" s="155">
        <f t="shared" si="23"/>
        <v>2</v>
      </c>
      <c r="S245" s="156">
        <f t="shared" si="26"/>
        <v>526978</v>
      </c>
      <c r="T245" s="156">
        <f t="shared" si="27"/>
        <v>1053956</v>
      </c>
    </row>
    <row r="246" spans="1:20" s="9" customFormat="1" ht="35.1" customHeight="1" x14ac:dyDescent="0.25">
      <c r="A246" s="215"/>
      <c r="B246" s="240" t="s">
        <v>1192</v>
      </c>
      <c r="C246" s="241" t="s">
        <v>1193</v>
      </c>
      <c r="D246" s="240" t="s">
        <v>30</v>
      </c>
      <c r="E246" s="242">
        <v>139.05000000000001</v>
      </c>
      <c r="F246" s="242"/>
      <c r="G246" s="242">
        <v>139.05000000000001</v>
      </c>
      <c r="H246" s="243">
        <v>34866</v>
      </c>
      <c r="I246" s="243">
        <f t="shared" si="24"/>
        <v>4848117.3</v>
      </c>
      <c r="J246" s="8"/>
      <c r="K246" s="8">
        <f t="shared" si="29"/>
        <v>34866</v>
      </c>
      <c r="L246" s="8">
        <f t="shared" si="25"/>
        <v>4848117.3000000007</v>
      </c>
      <c r="M246" s="9" t="str">
        <f t="array" ref="M246">_xlfn.XLOOKUP(C246,'Neiva 2022 FASE I ACTUAL (5)'!$C$6:$C$540,'Neiva 2022 FASE I ACTUAL (5)'!$C$6:$F$540,"NO ESTA")</f>
        <v>NO ESTA</v>
      </c>
      <c r="Q246" s="124">
        <f t="shared" si="28"/>
        <v>0</v>
      </c>
      <c r="R246" s="155">
        <f t="shared" si="23"/>
        <v>139.05000000000001</v>
      </c>
      <c r="S246" s="156">
        <f t="shared" si="26"/>
        <v>34866</v>
      </c>
      <c r="T246" s="156">
        <f t="shared" si="27"/>
        <v>4848117.3</v>
      </c>
    </row>
    <row r="247" spans="1:20" s="9" customFormat="1" ht="35.1" customHeight="1" x14ac:dyDescent="0.25">
      <c r="A247" s="215"/>
      <c r="B247" s="265" t="s">
        <v>1194</v>
      </c>
      <c r="C247" s="245" t="s">
        <v>1195</v>
      </c>
      <c r="D247" s="256"/>
      <c r="E247" s="246"/>
      <c r="F247" s="246"/>
      <c r="G247" s="246"/>
      <c r="H247" s="246"/>
      <c r="I247" s="246"/>
      <c r="J247" s="8"/>
      <c r="K247" s="8">
        <f t="shared" si="29"/>
        <v>0</v>
      </c>
      <c r="L247" s="8">
        <f t="shared" si="25"/>
        <v>0</v>
      </c>
      <c r="M247" s="9" t="str">
        <f t="array" ref="M247">_xlfn.XLOOKUP(C247,'Neiva 2022 FASE I ACTUAL (5)'!$C$6:$C$540,'Neiva 2022 FASE I ACTUAL (5)'!$C$6:$F$540,"NO ESTA")</f>
        <v>NO ESTA</v>
      </c>
      <c r="Q247" s="124">
        <f t="shared" si="28"/>
        <v>0</v>
      </c>
      <c r="R247" s="155">
        <f t="shared" si="23"/>
        <v>0</v>
      </c>
      <c r="S247" s="156">
        <f t="shared" si="26"/>
        <v>0</v>
      </c>
      <c r="T247" s="156">
        <f t="shared" si="27"/>
        <v>0</v>
      </c>
    </row>
    <row r="248" spans="1:20" s="9" customFormat="1" ht="35.1" customHeight="1" x14ac:dyDescent="0.25">
      <c r="A248" s="215"/>
      <c r="B248" s="240" t="s">
        <v>1196</v>
      </c>
      <c r="C248" s="251" t="s">
        <v>1197</v>
      </c>
      <c r="D248" s="240" t="s">
        <v>13</v>
      </c>
      <c r="E248" s="242">
        <v>185.11</v>
      </c>
      <c r="F248" s="242"/>
      <c r="G248" s="242">
        <v>185.11</v>
      </c>
      <c r="H248" s="243">
        <v>78945</v>
      </c>
      <c r="I248" s="243">
        <f t="shared" si="24"/>
        <v>14613508.949999999</v>
      </c>
      <c r="J248" s="8"/>
      <c r="K248" s="8">
        <f t="shared" si="29"/>
        <v>78945</v>
      </c>
      <c r="L248" s="8">
        <f t="shared" si="25"/>
        <v>14613508.950000001</v>
      </c>
      <c r="M248" s="9" t="str">
        <f t="array" ref="M248">_xlfn.XLOOKUP(C248,'Neiva 2022 FASE I ACTUAL (5)'!$C$6:$C$540,'Neiva 2022 FASE I ACTUAL (5)'!$C$6:$F$540,"NO ESTA")</f>
        <v>NO ESTA</v>
      </c>
      <c r="Q248" s="124">
        <f t="shared" si="28"/>
        <v>0</v>
      </c>
      <c r="R248" s="155">
        <f t="shared" si="23"/>
        <v>185.11</v>
      </c>
      <c r="S248" s="156">
        <f t="shared" si="26"/>
        <v>78945</v>
      </c>
      <c r="T248" s="156">
        <f t="shared" si="27"/>
        <v>14613508.949999999</v>
      </c>
    </row>
    <row r="249" spans="1:20" s="9" customFormat="1" ht="35.1" customHeight="1" x14ac:dyDescent="0.25">
      <c r="A249" s="215"/>
      <c r="B249" s="240" t="s">
        <v>1198</v>
      </c>
      <c r="C249" s="241" t="s">
        <v>1199</v>
      </c>
      <c r="D249" s="240" t="s">
        <v>94</v>
      </c>
      <c r="E249" s="242">
        <v>72.05</v>
      </c>
      <c r="F249" s="242"/>
      <c r="G249" s="242">
        <v>72.05</v>
      </c>
      <c r="H249" s="243">
        <v>46951</v>
      </c>
      <c r="I249" s="243">
        <f t="shared" si="24"/>
        <v>3382819.55</v>
      </c>
      <c r="J249" s="8"/>
      <c r="K249" s="8">
        <f t="shared" si="29"/>
        <v>46951</v>
      </c>
      <c r="L249" s="8">
        <f t="shared" si="25"/>
        <v>3382819.55</v>
      </c>
      <c r="M249" s="9" t="str">
        <f t="array" ref="M249">_xlfn.XLOOKUP(C249,'Neiva 2022 FASE I ACTUAL (5)'!$C$6:$C$540,'Neiva 2022 FASE I ACTUAL (5)'!$C$6:$F$540,"NO ESTA")</f>
        <v>NO ESTA</v>
      </c>
      <c r="Q249" s="124">
        <f t="shared" si="28"/>
        <v>0</v>
      </c>
      <c r="R249" s="155">
        <f t="shared" si="23"/>
        <v>72.05</v>
      </c>
      <c r="S249" s="156">
        <f t="shared" si="26"/>
        <v>46951</v>
      </c>
      <c r="T249" s="156">
        <f t="shared" si="27"/>
        <v>3382819.55</v>
      </c>
    </row>
    <row r="250" spans="1:20" s="9" customFormat="1" ht="35.1" customHeight="1" x14ac:dyDescent="0.25">
      <c r="A250" s="215"/>
      <c r="B250" s="240" t="s">
        <v>1200</v>
      </c>
      <c r="C250" s="241" t="s">
        <v>1201</v>
      </c>
      <c r="D250" s="240" t="s">
        <v>94</v>
      </c>
      <c r="E250" s="242">
        <v>303.41000000000003</v>
      </c>
      <c r="F250" s="242"/>
      <c r="G250" s="242">
        <v>303.41000000000003</v>
      </c>
      <c r="H250" s="243">
        <v>71761</v>
      </c>
      <c r="I250" s="243">
        <f t="shared" si="24"/>
        <v>21773005.010000002</v>
      </c>
      <c r="J250" s="8"/>
      <c r="K250" s="8">
        <f t="shared" si="29"/>
        <v>71761</v>
      </c>
      <c r="L250" s="8">
        <f t="shared" si="25"/>
        <v>21773005.010000002</v>
      </c>
      <c r="M250" s="9" t="str">
        <f t="array" ref="M250">_xlfn.XLOOKUP(C250,'Neiva 2022 FASE I ACTUAL (5)'!$C$6:$C$540,'Neiva 2022 FASE I ACTUAL (5)'!$C$6:$F$540,"NO ESTA")</f>
        <v>NO ESTA</v>
      </c>
      <c r="Q250" s="124">
        <f t="shared" si="28"/>
        <v>0</v>
      </c>
      <c r="R250" s="155">
        <f t="shared" si="23"/>
        <v>303.41000000000003</v>
      </c>
      <c r="S250" s="156">
        <f t="shared" si="26"/>
        <v>71761</v>
      </c>
      <c r="T250" s="156">
        <f t="shared" si="27"/>
        <v>21773005.010000002</v>
      </c>
    </row>
    <row r="251" spans="1:20" s="9" customFormat="1" ht="35.1" customHeight="1" x14ac:dyDescent="0.25">
      <c r="A251" s="215"/>
      <c r="B251" s="240" t="s">
        <v>1202</v>
      </c>
      <c r="C251" s="241" t="s">
        <v>1203</v>
      </c>
      <c r="D251" s="240" t="s">
        <v>13</v>
      </c>
      <c r="E251" s="242">
        <v>433</v>
      </c>
      <c r="F251" s="242"/>
      <c r="G251" s="242">
        <v>433</v>
      </c>
      <c r="H251" s="243">
        <v>15872</v>
      </c>
      <c r="I251" s="243">
        <f t="shared" si="24"/>
        <v>6872576</v>
      </c>
      <c r="J251" s="8"/>
      <c r="K251" s="8">
        <f t="shared" si="29"/>
        <v>15872</v>
      </c>
      <c r="L251" s="8">
        <f t="shared" si="25"/>
        <v>6872576</v>
      </c>
      <c r="M251" s="9" t="str">
        <f t="array" ref="M251">_xlfn.XLOOKUP(C251,'Neiva 2022 FASE I ACTUAL (5)'!$C$6:$C$540,'Neiva 2022 FASE I ACTUAL (5)'!$C$6:$F$540,"NO ESTA")</f>
        <v>NO ESTA</v>
      </c>
      <c r="Q251" s="124">
        <f t="shared" si="28"/>
        <v>0</v>
      </c>
      <c r="R251" s="155">
        <f t="shared" si="23"/>
        <v>433</v>
      </c>
      <c r="S251" s="156">
        <f t="shared" si="26"/>
        <v>15872</v>
      </c>
      <c r="T251" s="156">
        <f t="shared" si="27"/>
        <v>6872576</v>
      </c>
    </row>
    <row r="252" spans="1:20" s="9" customFormat="1" ht="35.1" customHeight="1" x14ac:dyDescent="0.25">
      <c r="A252" s="215"/>
      <c r="B252" s="244" t="s">
        <v>1204</v>
      </c>
      <c r="C252" s="245" t="s">
        <v>1205</v>
      </c>
      <c r="D252" s="244"/>
      <c r="E252" s="246"/>
      <c r="F252" s="246"/>
      <c r="G252" s="246"/>
      <c r="H252" s="246"/>
      <c r="I252" s="246"/>
      <c r="J252" s="8"/>
      <c r="K252" s="8">
        <f t="shared" si="29"/>
        <v>0</v>
      </c>
      <c r="L252" s="8">
        <f t="shared" si="25"/>
        <v>0</v>
      </c>
      <c r="M252" s="9" t="str">
        <f t="array" ref="M252">_xlfn.XLOOKUP(C252,'Neiva 2022 FASE I ACTUAL (5)'!$C$6:$C$540,'Neiva 2022 FASE I ACTUAL (5)'!$C$6:$F$540,"NO ESTA")</f>
        <v>NO ESTA</v>
      </c>
      <c r="Q252" s="124">
        <f t="shared" si="28"/>
        <v>0</v>
      </c>
      <c r="R252" s="155">
        <f t="shared" si="23"/>
        <v>0</v>
      </c>
      <c r="S252" s="156">
        <f t="shared" si="26"/>
        <v>0</v>
      </c>
      <c r="T252" s="156">
        <f t="shared" si="27"/>
        <v>0</v>
      </c>
    </row>
    <row r="253" spans="1:20" s="9" customFormat="1" ht="35.1" customHeight="1" x14ac:dyDescent="0.25">
      <c r="A253" s="215"/>
      <c r="B253" s="255" t="s">
        <v>1206</v>
      </c>
      <c r="C253" s="241" t="s">
        <v>1207</v>
      </c>
      <c r="D253" s="240" t="s">
        <v>16</v>
      </c>
      <c r="E253" s="242">
        <v>4</v>
      </c>
      <c r="F253" s="242"/>
      <c r="G253" s="242">
        <v>4</v>
      </c>
      <c r="H253" s="243">
        <v>782902</v>
      </c>
      <c r="I253" s="243">
        <f t="shared" si="24"/>
        <v>3131608</v>
      </c>
      <c r="J253" s="8"/>
      <c r="K253" s="8">
        <f t="shared" si="29"/>
        <v>782902</v>
      </c>
      <c r="L253" s="8">
        <f t="shared" si="25"/>
        <v>3131608</v>
      </c>
      <c r="M253" s="9" t="str">
        <f t="array" ref="M253">_xlfn.XLOOKUP(C253,'Neiva 2022 FASE I ACTUAL (5)'!$C$6:$C$540,'Neiva 2022 FASE I ACTUAL (5)'!$C$6:$F$540,"NO ESTA")</f>
        <v>NO ESTA</v>
      </c>
      <c r="Q253" s="124">
        <f t="shared" si="28"/>
        <v>0</v>
      </c>
      <c r="R253" s="155">
        <f t="shared" si="23"/>
        <v>4</v>
      </c>
      <c r="S253" s="156">
        <f t="shared" si="26"/>
        <v>782902</v>
      </c>
      <c r="T253" s="156">
        <f t="shared" si="27"/>
        <v>3131608</v>
      </c>
    </row>
    <row r="254" spans="1:20" s="9" customFormat="1" ht="35.1" customHeight="1" x14ac:dyDescent="0.25">
      <c r="A254" s="215"/>
      <c r="B254" s="255" t="s">
        <v>1208</v>
      </c>
      <c r="C254" s="241" t="s">
        <v>1209</v>
      </c>
      <c r="D254" s="240" t="s">
        <v>16</v>
      </c>
      <c r="E254" s="242">
        <v>6</v>
      </c>
      <c r="F254" s="242"/>
      <c r="G254" s="242">
        <v>6</v>
      </c>
      <c r="H254" s="243">
        <v>391477</v>
      </c>
      <c r="I254" s="243">
        <f t="shared" si="24"/>
        <v>2348862</v>
      </c>
      <c r="J254" s="8"/>
      <c r="K254" s="8">
        <f t="shared" si="29"/>
        <v>391477</v>
      </c>
      <c r="L254" s="8">
        <f t="shared" si="25"/>
        <v>2348862</v>
      </c>
      <c r="M254" s="9" t="str">
        <f t="array" ref="M254">_xlfn.XLOOKUP(C254,'Neiva 2022 FASE I ACTUAL (5)'!$C$6:$C$540,'Neiva 2022 FASE I ACTUAL (5)'!$C$6:$F$540,"NO ESTA")</f>
        <v>NO ESTA</v>
      </c>
      <c r="Q254" s="124">
        <f t="shared" si="28"/>
        <v>0</v>
      </c>
      <c r="R254" s="155">
        <f t="shared" si="23"/>
        <v>6</v>
      </c>
      <c r="S254" s="156">
        <f t="shared" si="26"/>
        <v>391477</v>
      </c>
      <c r="T254" s="156">
        <f t="shared" si="27"/>
        <v>2348862</v>
      </c>
    </row>
    <row r="255" spans="1:20" s="9" customFormat="1" ht="35.1" customHeight="1" x14ac:dyDescent="0.25">
      <c r="A255" s="215"/>
      <c r="B255" s="255" t="s">
        <v>1210</v>
      </c>
      <c r="C255" s="241" t="s">
        <v>1211</v>
      </c>
      <c r="D255" s="240" t="s">
        <v>16</v>
      </c>
      <c r="E255" s="242">
        <v>1</v>
      </c>
      <c r="F255" s="242"/>
      <c r="G255" s="242">
        <v>1</v>
      </c>
      <c r="H255" s="243">
        <v>9785389</v>
      </c>
      <c r="I255" s="243">
        <f t="shared" si="24"/>
        <v>9785389</v>
      </c>
      <c r="J255" s="8"/>
      <c r="K255" s="8">
        <f t="shared" si="29"/>
        <v>9785389</v>
      </c>
      <c r="L255" s="8">
        <f t="shared" si="25"/>
        <v>9785389</v>
      </c>
      <c r="M255" s="9" t="str">
        <f t="array" ref="M255">_xlfn.XLOOKUP(C255,'Neiva 2022 FASE I ACTUAL (5)'!$C$6:$C$540,'Neiva 2022 FASE I ACTUAL (5)'!$C$6:$F$540,"NO ESTA")</f>
        <v>NO ESTA</v>
      </c>
      <c r="Q255" s="124">
        <f t="shared" si="28"/>
        <v>0</v>
      </c>
      <c r="R255" s="155">
        <f t="shared" si="23"/>
        <v>1</v>
      </c>
      <c r="S255" s="156">
        <f t="shared" si="26"/>
        <v>9785389</v>
      </c>
      <c r="T255" s="156">
        <f t="shared" si="27"/>
        <v>9785389</v>
      </c>
    </row>
    <row r="256" spans="1:20" s="9" customFormat="1" ht="35.1" customHeight="1" x14ac:dyDescent="0.25">
      <c r="A256" s="215"/>
      <c r="B256" s="255" t="s">
        <v>1212</v>
      </c>
      <c r="C256" s="254" t="s">
        <v>1213</v>
      </c>
      <c r="D256" s="240" t="s">
        <v>16</v>
      </c>
      <c r="E256" s="242">
        <v>3</v>
      </c>
      <c r="F256" s="242"/>
      <c r="G256" s="242">
        <v>3</v>
      </c>
      <c r="H256" s="243">
        <v>235261</v>
      </c>
      <c r="I256" s="243">
        <f t="shared" si="24"/>
        <v>705783</v>
      </c>
      <c r="J256" s="8"/>
      <c r="K256" s="8">
        <f t="shared" si="29"/>
        <v>235261</v>
      </c>
      <c r="L256" s="8">
        <f t="shared" si="25"/>
        <v>705783</v>
      </c>
      <c r="M256" s="9" t="str">
        <f t="array" ref="M256">_xlfn.XLOOKUP(C256,'Neiva 2022 FASE I ACTUAL (5)'!$C$6:$C$540,'Neiva 2022 FASE I ACTUAL (5)'!$C$6:$F$540,"NO ESTA")</f>
        <v>NO ESTA</v>
      </c>
      <c r="Q256" s="124">
        <f t="shared" si="28"/>
        <v>0</v>
      </c>
      <c r="R256" s="155">
        <f t="shared" si="23"/>
        <v>3</v>
      </c>
      <c r="S256" s="156">
        <f t="shared" si="26"/>
        <v>235261</v>
      </c>
      <c r="T256" s="156">
        <f t="shared" si="27"/>
        <v>705783</v>
      </c>
    </row>
    <row r="257" spans="1:20" s="9" customFormat="1" ht="35.1" customHeight="1" x14ac:dyDescent="0.25">
      <c r="A257" s="215"/>
      <c r="B257" s="255" t="s">
        <v>1214</v>
      </c>
      <c r="C257" s="254" t="s">
        <v>1215</v>
      </c>
      <c r="D257" s="240" t="s">
        <v>16</v>
      </c>
      <c r="E257" s="242">
        <v>3</v>
      </c>
      <c r="F257" s="242"/>
      <c r="G257" s="242">
        <v>3</v>
      </c>
      <c r="H257" s="243">
        <v>326317</v>
      </c>
      <c r="I257" s="243">
        <f t="shared" si="24"/>
        <v>978951</v>
      </c>
      <c r="J257" s="8"/>
      <c r="K257" s="8">
        <f t="shared" si="29"/>
        <v>326317</v>
      </c>
      <c r="L257" s="8">
        <f t="shared" si="25"/>
        <v>978951</v>
      </c>
      <c r="M257" s="9" t="str">
        <f t="array" ref="M257">_xlfn.XLOOKUP(C257,'Neiva 2022 FASE I ACTUAL (5)'!$C$6:$C$540,'Neiva 2022 FASE I ACTUAL (5)'!$C$6:$F$540,"NO ESTA")</f>
        <v>NO ESTA</v>
      </c>
      <c r="Q257" s="124">
        <f t="shared" si="28"/>
        <v>0</v>
      </c>
      <c r="R257" s="155">
        <f t="shared" si="23"/>
        <v>3</v>
      </c>
      <c r="S257" s="156">
        <f t="shared" si="26"/>
        <v>326317</v>
      </c>
      <c r="T257" s="156">
        <f t="shared" si="27"/>
        <v>978951</v>
      </c>
    </row>
    <row r="258" spans="1:20" s="9" customFormat="1" ht="35.1" customHeight="1" x14ac:dyDescent="0.25">
      <c r="A258" s="215"/>
      <c r="B258" s="255" t="s">
        <v>1216</v>
      </c>
      <c r="C258" s="254" t="s">
        <v>1217</v>
      </c>
      <c r="D258" s="240" t="s">
        <v>16</v>
      </c>
      <c r="E258" s="242">
        <v>1</v>
      </c>
      <c r="F258" s="242"/>
      <c r="G258" s="242">
        <v>1</v>
      </c>
      <c r="H258" s="243">
        <v>391547</v>
      </c>
      <c r="I258" s="243">
        <f t="shared" si="24"/>
        <v>391547</v>
      </c>
      <c r="J258" s="8"/>
      <c r="K258" s="8">
        <f t="shared" si="29"/>
        <v>391547</v>
      </c>
      <c r="L258" s="8">
        <f t="shared" si="25"/>
        <v>391547</v>
      </c>
      <c r="M258" s="9" t="str">
        <f t="array" ref="M258">_xlfn.XLOOKUP(C258,'Neiva 2022 FASE I ACTUAL (5)'!$C$6:$C$540,'Neiva 2022 FASE I ACTUAL (5)'!$C$6:$F$540,"NO ESTA")</f>
        <v>NO ESTA</v>
      </c>
      <c r="Q258" s="124">
        <f t="shared" si="28"/>
        <v>0</v>
      </c>
      <c r="R258" s="155">
        <f t="shared" si="23"/>
        <v>1</v>
      </c>
      <c r="S258" s="156">
        <f t="shared" si="26"/>
        <v>391547</v>
      </c>
      <c r="T258" s="156">
        <f t="shared" si="27"/>
        <v>391547</v>
      </c>
    </row>
    <row r="259" spans="1:20" s="9" customFormat="1" ht="35.1" customHeight="1" x14ac:dyDescent="0.25">
      <c r="A259" s="215"/>
      <c r="B259" s="244" t="s">
        <v>1218</v>
      </c>
      <c r="C259" s="245" t="s">
        <v>1219</v>
      </c>
      <c r="D259" s="244"/>
      <c r="E259" s="246"/>
      <c r="F259" s="246"/>
      <c r="G259" s="246"/>
      <c r="H259" s="246"/>
      <c r="I259" s="246"/>
      <c r="J259" s="8"/>
      <c r="K259" s="8">
        <f t="shared" si="29"/>
        <v>0</v>
      </c>
      <c r="L259" s="8">
        <f t="shared" si="25"/>
        <v>0</v>
      </c>
      <c r="M259" s="9" t="str">
        <f t="array" ref="M259">_xlfn.XLOOKUP(C259,'Neiva 2022 FASE I ACTUAL (5)'!$C$6:$C$540,'Neiva 2022 FASE I ACTUAL (5)'!$C$6:$F$540,"NO ESTA")</f>
        <v>NO ESTA</v>
      </c>
      <c r="Q259" s="124">
        <f t="shared" si="28"/>
        <v>0</v>
      </c>
      <c r="R259" s="155">
        <f t="shared" si="23"/>
        <v>0</v>
      </c>
      <c r="S259" s="156">
        <f t="shared" si="26"/>
        <v>0</v>
      </c>
      <c r="T259" s="156">
        <f t="shared" si="27"/>
        <v>0</v>
      </c>
    </row>
    <row r="260" spans="1:20" s="9" customFormat="1" ht="35.1" customHeight="1" x14ac:dyDescent="0.25">
      <c r="A260" s="215"/>
      <c r="B260" s="240" t="s">
        <v>1220</v>
      </c>
      <c r="C260" s="241" t="s">
        <v>1221</v>
      </c>
      <c r="D260" s="240" t="s">
        <v>16</v>
      </c>
      <c r="E260" s="242">
        <v>8</v>
      </c>
      <c r="F260" s="242"/>
      <c r="G260" s="242">
        <v>8</v>
      </c>
      <c r="H260" s="243">
        <v>3267998</v>
      </c>
      <c r="I260" s="243">
        <f t="shared" si="24"/>
        <v>26143984</v>
      </c>
      <c r="J260" s="8"/>
      <c r="K260" s="8">
        <f t="shared" si="29"/>
        <v>3267998</v>
      </c>
      <c r="L260" s="8">
        <f t="shared" si="25"/>
        <v>26143984</v>
      </c>
      <c r="M260" s="9" t="str">
        <f t="array" ref="M260">_xlfn.XLOOKUP(C260,'Neiva 2022 FASE I ACTUAL (5)'!$C$6:$C$540,'Neiva 2022 FASE I ACTUAL (5)'!$C$6:$F$540,"NO ESTA")</f>
        <v>NO ESTA</v>
      </c>
      <c r="Q260" s="124">
        <f t="shared" si="28"/>
        <v>0</v>
      </c>
      <c r="R260" s="155">
        <f t="shared" si="23"/>
        <v>8</v>
      </c>
      <c r="S260" s="156">
        <f t="shared" si="26"/>
        <v>3267998</v>
      </c>
      <c r="T260" s="156">
        <f t="shared" si="27"/>
        <v>26143984</v>
      </c>
    </row>
    <row r="261" spans="1:20" s="9" customFormat="1" ht="35.1" customHeight="1" x14ac:dyDescent="0.25">
      <c r="A261" s="215"/>
      <c r="B261" s="266">
        <v>12</v>
      </c>
      <c r="C261" s="267" t="s">
        <v>264</v>
      </c>
      <c r="D261" s="267"/>
      <c r="E261" s="268"/>
      <c r="F261" s="268"/>
      <c r="G261" s="268"/>
      <c r="H261" s="268"/>
      <c r="I261" s="268"/>
      <c r="J261" s="8"/>
      <c r="K261" s="8">
        <f t="shared" si="29"/>
        <v>0</v>
      </c>
      <c r="L261" s="8">
        <f t="shared" si="25"/>
        <v>0</v>
      </c>
      <c r="M261" s="9" t="str">
        <f t="array" ref="M261:P261">_xlfn.XLOOKUP(C261,'Neiva 2022 FASE I ACTUAL (5)'!$C$6:$C$540,'Neiva 2022 FASE I ACTUAL (5)'!$C$6:$F$540,"NO ESTA")</f>
        <v xml:space="preserve">RED HIDRÁULICO Y SANITARIO </v>
      </c>
      <c r="N261" s="9">
        <v>0</v>
      </c>
      <c r="O261" s="9">
        <v>0</v>
      </c>
      <c r="P261" s="9">
        <v>0</v>
      </c>
      <c r="Q261" s="124">
        <f t="shared" si="28"/>
        <v>0</v>
      </c>
      <c r="R261" s="155">
        <f t="shared" si="23"/>
        <v>0</v>
      </c>
      <c r="S261" s="156">
        <f t="shared" si="26"/>
        <v>0</v>
      </c>
      <c r="T261" s="156">
        <f t="shared" si="27"/>
        <v>0</v>
      </c>
    </row>
    <row r="262" spans="1:20" s="9" customFormat="1" ht="35.1" customHeight="1" x14ac:dyDescent="0.25">
      <c r="A262" s="215"/>
      <c r="B262" s="277" t="s">
        <v>265</v>
      </c>
      <c r="C262" s="278" t="s">
        <v>266</v>
      </c>
      <c r="D262" s="256"/>
      <c r="E262" s="246"/>
      <c r="F262" s="246"/>
      <c r="G262" s="246"/>
      <c r="H262" s="246"/>
      <c r="I262" s="246"/>
      <c r="J262" s="8"/>
      <c r="K262" s="8">
        <f t="shared" si="29"/>
        <v>0</v>
      </c>
      <c r="L262" s="8">
        <f t="shared" si="25"/>
        <v>0</v>
      </c>
      <c r="M262" s="9" t="str">
        <f t="array" ref="M262:P262">_xlfn.XLOOKUP(C262,'Neiva 2022 FASE I ACTUAL (5)'!$C$6:$C$540,'Neiva 2022 FASE I ACTUAL (5)'!$C$6:$F$540,"NO ESTA")</f>
        <v>SUMINISTRO E INSTALACIÓN RED AGUA POTABLE</v>
      </c>
      <c r="N262" s="9">
        <v>0</v>
      </c>
      <c r="O262" s="9">
        <v>0</v>
      </c>
      <c r="P262" s="9">
        <v>0</v>
      </c>
      <c r="Q262" s="124">
        <f t="shared" si="28"/>
        <v>0</v>
      </c>
      <c r="R262" s="155">
        <f t="shared" ref="R262:R325" si="30">E262+O262</f>
        <v>0</v>
      </c>
      <c r="S262" s="156">
        <f t="shared" si="26"/>
        <v>0</v>
      </c>
      <c r="T262" s="156">
        <f t="shared" si="27"/>
        <v>0</v>
      </c>
    </row>
    <row r="263" spans="1:20" s="9" customFormat="1" ht="35.1" customHeight="1" x14ac:dyDescent="0.25">
      <c r="A263" s="215"/>
      <c r="B263" s="279" t="s">
        <v>267</v>
      </c>
      <c r="C263" s="254" t="s">
        <v>268</v>
      </c>
      <c r="D263" s="255" t="s">
        <v>269</v>
      </c>
      <c r="E263" s="242">
        <v>121</v>
      </c>
      <c r="F263" s="242">
        <v>45</v>
      </c>
      <c r="G263" s="242">
        <v>166</v>
      </c>
      <c r="H263" s="243">
        <v>12872</v>
      </c>
      <c r="I263" s="243">
        <f t="shared" ref="I263:I326" si="31">ROUND(+H263*G263,2)</f>
        <v>2136752</v>
      </c>
      <c r="J263" s="8"/>
      <c r="K263" s="8">
        <f t="shared" si="29"/>
        <v>12872</v>
      </c>
      <c r="L263" s="8">
        <f t="shared" ref="L263:L326" si="32">+K263*E263</f>
        <v>1557512</v>
      </c>
      <c r="M263" s="9" t="str">
        <f t="array" ref="M263:P263">_xlfn.XLOOKUP(C263,'Neiva 2022 FASE I ACTUAL (5)'!$C$6:$C$540,'Neiva 2022 FASE I ACTUAL (5)'!$C$6:$F$540,"NO ESTA")</f>
        <v>SUMINISTRO E INSTALACIÓN TUBERIA PVC-P DIAMETRO 1/2" RDE 9</v>
      </c>
      <c r="N263" s="9" t="str">
        <v xml:space="preserve">ML   </v>
      </c>
      <c r="O263" s="9">
        <v>45</v>
      </c>
      <c r="P263" s="9">
        <v>12354</v>
      </c>
      <c r="Q263" s="124" t="str">
        <f t="shared" si="28"/>
        <v>FASE II</v>
      </c>
      <c r="R263" s="155">
        <f t="shared" si="30"/>
        <v>166</v>
      </c>
      <c r="S263" s="156">
        <f t="shared" ref="S263:S326" si="33">MAX(P263,H263,K263)</f>
        <v>12872</v>
      </c>
      <c r="T263" s="156">
        <f t="shared" ref="T263:T326" si="34">ROUND(R263*S263,2)</f>
        <v>2136752</v>
      </c>
    </row>
    <row r="264" spans="1:20" s="9" customFormat="1" ht="35.1" customHeight="1" x14ac:dyDescent="0.25">
      <c r="A264" s="215"/>
      <c r="B264" s="279" t="s">
        <v>270</v>
      </c>
      <c r="C264" s="254" t="s">
        <v>271</v>
      </c>
      <c r="D264" s="255" t="s">
        <v>269</v>
      </c>
      <c r="E264" s="242">
        <v>49</v>
      </c>
      <c r="F264" s="242">
        <v>18</v>
      </c>
      <c r="G264" s="242">
        <v>67</v>
      </c>
      <c r="H264" s="243">
        <v>19153</v>
      </c>
      <c r="I264" s="243">
        <f t="shared" si="31"/>
        <v>1283251</v>
      </c>
      <c r="J264" s="8"/>
      <c r="K264" s="8">
        <f t="shared" si="29"/>
        <v>19153</v>
      </c>
      <c r="L264" s="8">
        <f t="shared" si="32"/>
        <v>938497</v>
      </c>
      <c r="M264" s="9" t="str">
        <f t="array" ref="M264:P264">_xlfn.XLOOKUP(C264,'Neiva 2022 FASE I ACTUAL (5)'!$C$6:$C$540,'Neiva 2022 FASE I ACTUAL (5)'!$C$6:$F$540,"NO ESTA")</f>
        <v>SUMINISTRO E INSTALACIÓN TUBERIA PCV-P DIAMETRO 3/4" RDE 11</v>
      </c>
      <c r="N264" s="9" t="str">
        <v xml:space="preserve">ML   </v>
      </c>
      <c r="O264" s="9">
        <v>18</v>
      </c>
      <c r="P264" s="9">
        <v>18380</v>
      </c>
      <c r="Q264" s="124" t="str">
        <f t="shared" ref="Q264:Q327" si="35">IF(P264=0,0,(IF(H264&lt;P264, "FASE I","FASE II")))</f>
        <v>FASE II</v>
      </c>
      <c r="R264" s="155">
        <f t="shared" si="30"/>
        <v>67</v>
      </c>
      <c r="S264" s="156">
        <f t="shared" si="33"/>
        <v>19153</v>
      </c>
      <c r="T264" s="156">
        <f t="shared" si="34"/>
        <v>1283251</v>
      </c>
    </row>
    <row r="265" spans="1:20" s="9" customFormat="1" ht="35.1" customHeight="1" x14ac:dyDescent="0.25">
      <c r="A265" s="215"/>
      <c r="B265" s="279" t="s">
        <v>272</v>
      </c>
      <c r="C265" s="254" t="s">
        <v>273</v>
      </c>
      <c r="D265" s="255" t="s">
        <v>269</v>
      </c>
      <c r="E265" s="242">
        <v>40</v>
      </c>
      <c r="F265" s="242">
        <v>15</v>
      </c>
      <c r="G265" s="242">
        <v>55</v>
      </c>
      <c r="H265" s="243">
        <v>20309</v>
      </c>
      <c r="I265" s="243">
        <f t="shared" si="31"/>
        <v>1116995</v>
      </c>
      <c r="J265" s="8"/>
      <c r="K265" s="8">
        <f t="shared" si="29"/>
        <v>20309</v>
      </c>
      <c r="L265" s="8">
        <f t="shared" si="32"/>
        <v>812360</v>
      </c>
      <c r="M265" s="9" t="str">
        <f t="array" ref="M265:P265">_xlfn.XLOOKUP(C265,'Neiva 2022 FASE I ACTUAL (5)'!$C$6:$C$540,'Neiva 2022 FASE I ACTUAL (5)'!$C$6:$F$540,"NO ESTA")</f>
        <v>SUMINISTRO E INSTALACIÓN TUBERIA PCV-P DIAMETRO 1" RDE 13,5</v>
      </c>
      <c r="N265" s="9" t="str">
        <v xml:space="preserve">ML   </v>
      </c>
      <c r="O265" s="9">
        <v>15</v>
      </c>
      <c r="P265" s="9">
        <v>19490</v>
      </c>
      <c r="Q265" s="124" t="str">
        <f t="shared" si="35"/>
        <v>FASE II</v>
      </c>
      <c r="R265" s="155">
        <f t="shared" si="30"/>
        <v>55</v>
      </c>
      <c r="S265" s="156">
        <f t="shared" si="33"/>
        <v>20309</v>
      </c>
      <c r="T265" s="156">
        <f t="shared" si="34"/>
        <v>1116995</v>
      </c>
    </row>
    <row r="266" spans="1:20" s="9" customFormat="1" ht="35.1" customHeight="1" x14ac:dyDescent="0.25">
      <c r="A266" s="215"/>
      <c r="B266" s="279" t="s">
        <v>274</v>
      </c>
      <c r="C266" s="254" t="s">
        <v>275</v>
      </c>
      <c r="D266" s="255" t="s">
        <v>269</v>
      </c>
      <c r="E266" s="242">
        <v>64</v>
      </c>
      <c r="F266" s="242">
        <v>23</v>
      </c>
      <c r="G266" s="242">
        <v>87</v>
      </c>
      <c r="H266" s="243">
        <v>21574</v>
      </c>
      <c r="I266" s="243">
        <f t="shared" si="31"/>
        <v>1876938</v>
      </c>
      <c r="J266" s="8"/>
      <c r="K266" s="8">
        <f t="shared" si="29"/>
        <v>21574</v>
      </c>
      <c r="L266" s="8">
        <f t="shared" si="32"/>
        <v>1380736</v>
      </c>
      <c r="M266" s="9" t="str">
        <f t="array" ref="M266:P266">_xlfn.XLOOKUP(C266,'Neiva 2022 FASE I ACTUAL (5)'!$C$6:$C$540,'Neiva 2022 FASE I ACTUAL (5)'!$C$6:$F$540,"NO ESTA")</f>
        <v>SUMINISTRO E INSTALACIÓN TUBERIA PCV-P DIAMETRO 1 1/4" RDE 21</v>
      </c>
      <c r="N266" s="9" t="str">
        <v xml:space="preserve">ML   </v>
      </c>
      <c r="O266" s="9">
        <v>23</v>
      </c>
      <c r="P266" s="9">
        <v>20704</v>
      </c>
      <c r="Q266" s="124" t="str">
        <f t="shared" si="35"/>
        <v>FASE II</v>
      </c>
      <c r="R266" s="155">
        <f t="shared" si="30"/>
        <v>87</v>
      </c>
      <c r="S266" s="156">
        <f t="shared" si="33"/>
        <v>21574</v>
      </c>
      <c r="T266" s="156">
        <f t="shared" si="34"/>
        <v>1876938</v>
      </c>
    </row>
    <row r="267" spans="1:20" s="9" customFormat="1" ht="35.1" customHeight="1" x14ac:dyDescent="0.25">
      <c r="A267" s="215"/>
      <c r="B267" s="279" t="s">
        <v>276</v>
      </c>
      <c r="C267" s="254" t="s">
        <v>277</v>
      </c>
      <c r="D267" s="255" t="s">
        <v>269</v>
      </c>
      <c r="E267" s="242">
        <v>57</v>
      </c>
      <c r="F267" s="242">
        <v>21</v>
      </c>
      <c r="G267" s="242">
        <v>78</v>
      </c>
      <c r="H267" s="243">
        <v>27732</v>
      </c>
      <c r="I267" s="243">
        <f t="shared" si="31"/>
        <v>2163096</v>
      </c>
      <c r="J267" s="8"/>
      <c r="K267" s="8">
        <f t="shared" si="29"/>
        <v>27732</v>
      </c>
      <c r="L267" s="8">
        <f t="shared" si="32"/>
        <v>1580724</v>
      </c>
      <c r="M267" s="9" t="str">
        <f t="array" ref="M267:P267">_xlfn.XLOOKUP(C267,'Neiva 2022 FASE I ACTUAL (5)'!$C$6:$C$540,'Neiva 2022 FASE I ACTUAL (5)'!$C$6:$F$540,"NO ESTA")</f>
        <v>SUMINISTRO E INSTALACIÓN TUBERIA PCV-P DIAMETRO 1 1/2" RDE 21</v>
      </c>
      <c r="N267" s="9" t="str">
        <v xml:space="preserve">ML   </v>
      </c>
      <c r="O267" s="9">
        <v>21</v>
      </c>
      <c r="P267" s="9">
        <v>26614</v>
      </c>
      <c r="Q267" s="124" t="str">
        <f t="shared" si="35"/>
        <v>FASE II</v>
      </c>
      <c r="R267" s="155">
        <f t="shared" si="30"/>
        <v>78</v>
      </c>
      <c r="S267" s="156">
        <f t="shared" si="33"/>
        <v>27732</v>
      </c>
      <c r="T267" s="156">
        <f t="shared" si="34"/>
        <v>2163096</v>
      </c>
    </row>
    <row r="268" spans="1:20" s="9" customFormat="1" ht="35.1" customHeight="1" x14ac:dyDescent="0.25">
      <c r="A268" s="215"/>
      <c r="B268" s="279" t="s">
        <v>278</v>
      </c>
      <c r="C268" s="254" t="s">
        <v>279</v>
      </c>
      <c r="D268" s="255" t="s">
        <v>269</v>
      </c>
      <c r="E268" s="242">
        <v>90</v>
      </c>
      <c r="F268" s="242">
        <v>33</v>
      </c>
      <c r="G268" s="242">
        <v>123</v>
      </c>
      <c r="H268" s="243">
        <v>39703</v>
      </c>
      <c r="I268" s="243">
        <f t="shared" si="31"/>
        <v>4883469</v>
      </c>
      <c r="J268" s="8"/>
      <c r="K268" s="8">
        <f t="shared" si="29"/>
        <v>39703</v>
      </c>
      <c r="L268" s="8">
        <f t="shared" si="32"/>
        <v>3573270</v>
      </c>
      <c r="M268" s="9" t="str">
        <f t="array" ref="M268:P268">_xlfn.XLOOKUP(C268,'Neiva 2022 FASE I ACTUAL (5)'!$C$6:$C$540,'Neiva 2022 FASE I ACTUAL (5)'!$C$6:$F$540,"NO ESTA")</f>
        <v>SUMINISTRO E INSTALACIÓN TUBERIA PCV-P DIAMETRO 2" RDE 21</v>
      </c>
      <c r="N268" s="9" t="str">
        <v xml:space="preserve">ML   </v>
      </c>
      <c r="O268" s="9">
        <v>33</v>
      </c>
      <c r="P268" s="9">
        <v>38103</v>
      </c>
      <c r="Q268" s="124" t="str">
        <f t="shared" si="35"/>
        <v>FASE II</v>
      </c>
      <c r="R268" s="155">
        <f t="shared" si="30"/>
        <v>123</v>
      </c>
      <c r="S268" s="156">
        <f t="shared" si="33"/>
        <v>39703</v>
      </c>
      <c r="T268" s="156">
        <f t="shared" si="34"/>
        <v>4883469</v>
      </c>
    </row>
    <row r="269" spans="1:20" s="9" customFormat="1" ht="35.1" customHeight="1" x14ac:dyDescent="0.25">
      <c r="A269" s="215"/>
      <c r="B269" s="279" t="s">
        <v>280</v>
      </c>
      <c r="C269" s="254" t="s">
        <v>281</v>
      </c>
      <c r="D269" s="255" t="s">
        <v>269</v>
      </c>
      <c r="E269" s="242">
        <v>18</v>
      </c>
      <c r="F269" s="242">
        <v>7</v>
      </c>
      <c r="G269" s="242">
        <v>25</v>
      </c>
      <c r="H269" s="243">
        <v>53591</v>
      </c>
      <c r="I269" s="243">
        <f t="shared" si="31"/>
        <v>1339775</v>
      </c>
      <c r="J269" s="8"/>
      <c r="K269" s="8">
        <f t="shared" si="29"/>
        <v>53591</v>
      </c>
      <c r="L269" s="8">
        <f t="shared" si="32"/>
        <v>964638</v>
      </c>
      <c r="M269" s="9" t="str">
        <f t="array" ref="M269:P269">_xlfn.XLOOKUP(C269,'Neiva 2022 FASE I ACTUAL (5)'!$C$6:$C$540,'Neiva 2022 FASE I ACTUAL (5)'!$C$6:$F$540,"NO ESTA")</f>
        <v>SUMINISTRO E INSTALACIÓN TUBERIA PCV-P DIAMETRO 2 1/2" RDE 21</v>
      </c>
      <c r="N269" s="9" t="str">
        <v xml:space="preserve">ML   </v>
      </c>
      <c r="O269" s="9">
        <v>7</v>
      </c>
      <c r="P269" s="9">
        <v>51430</v>
      </c>
      <c r="Q269" s="124" t="str">
        <f t="shared" si="35"/>
        <v>FASE II</v>
      </c>
      <c r="R269" s="155">
        <f t="shared" si="30"/>
        <v>25</v>
      </c>
      <c r="S269" s="156">
        <f t="shared" si="33"/>
        <v>53591</v>
      </c>
      <c r="T269" s="156">
        <f t="shared" si="34"/>
        <v>1339775</v>
      </c>
    </row>
    <row r="270" spans="1:20" s="9" customFormat="1" ht="35.1" customHeight="1" x14ac:dyDescent="0.25">
      <c r="A270" s="215"/>
      <c r="B270" s="279" t="s">
        <v>282</v>
      </c>
      <c r="C270" s="254" t="s">
        <v>283</v>
      </c>
      <c r="D270" s="255" t="s">
        <v>284</v>
      </c>
      <c r="E270" s="242">
        <v>105</v>
      </c>
      <c r="F270" s="242">
        <v>39</v>
      </c>
      <c r="G270" s="242">
        <v>144</v>
      </c>
      <c r="H270" s="243">
        <v>3332</v>
      </c>
      <c r="I270" s="243">
        <f t="shared" si="31"/>
        <v>479808</v>
      </c>
      <c r="J270" s="8"/>
      <c r="K270" s="8">
        <f t="shared" si="29"/>
        <v>3332</v>
      </c>
      <c r="L270" s="8">
        <f t="shared" si="32"/>
        <v>349860</v>
      </c>
      <c r="M270" s="9" t="str">
        <f t="array" ref="M270:P270">_xlfn.XLOOKUP(C270,'Neiva 2022 FASE I ACTUAL (5)'!$C$6:$C$540,'Neiva 2022 FASE I ACTUAL (5)'!$C$6:$F$540,"NO ESTA")</f>
        <v>SUMINISTRO E INSTALACIÓN ACCESORIOS PVC-P 1/2" SCH 40</v>
      </c>
      <c r="N270" s="9" t="str">
        <v xml:space="preserve">UN   </v>
      </c>
      <c r="O270" s="9">
        <v>39</v>
      </c>
      <c r="P270" s="9">
        <v>3198</v>
      </c>
      <c r="Q270" s="124" t="str">
        <f t="shared" si="35"/>
        <v>FASE II</v>
      </c>
      <c r="R270" s="155">
        <f t="shared" si="30"/>
        <v>144</v>
      </c>
      <c r="S270" s="156">
        <f t="shared" si="33"/>
        <v>3332</v>
      </c>
      <c r="T270" s="156">
        <f t="shared" si="34"/>
        <v>479808</v>
      </c>
    </row>
    <row r="271" spans="1:20" s="9" customFormat="1" ht="35.1" customHeight="1" x14ac:dyDescent="0.25">
      <c r="A271" s="215"/>
      <c r="B271" s="279" t="s">
        <v>285</v>
      </c>
      <c r="C271" s="254" t="s">
        <v>286</v>
      </c>
      <c r="D271" s="255" t="s">
        <v>284</v>
      </c>
      <c r="E271" s="242">
        <v>38</v>
      </c>
      <c r="F271" s="242">
        <v>14</v>
      </c>
      <c r="G271" s="242">
        <v>52</v>
      </c>
      <c r="H271" s="243">
        <v>3956</v>
      </c>
      <c r="I271" s="243">
        <f t="shared" si="31"/>
        <v>205712</v>
      </c>
      <c r="J271" s="8"/>
      <c r="K271" s="8">
        <f t="shared" si="29"/>
        <v>3956</v>
      </c>
      <c r="L271" s="8">
        <f t="shared" si="32"/>
        <v>150328</v>
      </c>
      <c r="M271" s="9" t="str">
        <f t="array" ref="M271:P271">_xlfn.XLOOKUP(C271,'Neiva 2022 FASE I ACTUAL (5)'!$C$6:$C$540,'Neiva 2022 FASE I ACTUAL (5)'!$C$6:$F$540,"NO ESTA")</f>
        <v>SUMINISTRO E INSTALACIÓN ACCESORIOS PVC-P 3/4" SCH 40</v>
      </c>
      <c r="N271" s="9" t="str">
        <v xml:space="preserve">UN   </v>
      </c>
      <c r="O271" s="9">
        <v>14</v>
      </c>
      <c r="P271" s="9">
        <v>3797</v>
      </c>
      <c r="Q271" s="124" t="str">
        <f t="shared" si="35"/>
        <v>FASE II</v>
      </c>
      <c r="R271" s="155">
        <f t="shared" si="30"/>
        <v>52</v>
      </c>
      <c r="S271" s="156">
        <f t="shared" si="33"/>
        <v>3956</v>
      </c>
      <c r="T271" s="156">
        <f t="shared" si="34"/>
        <v>205712</v>
      </c>
    </row>
    <row r="272" spans="1:20" s="9" customFormat="1" ht="35.1" customHeight="1" x14ac:dyDescent="0.25">
      <c r="A272" s="215"/>
      <c r="B272" s="279" t="s">
        <v>287</v>
      </c>
      <c r="C272" s="254" t="s">
        <v>288</v>
      </c>
      <c r="D272" s="255" t="s">
        <v>284</v>
      </c>
      <c r="E272" s="242">
        <v>30</v>
      </c>
      <c r="F272" s="242">
        <v>11</v>
      </c>
      <c r="G272" s="242">
        <v>41</v>
      </c>
      <c r="H272" s="243">
        <v>4673</v>
      </c>
      <c r="I272" s="243">
        <f t="shared" si="31"/>
        <v>191593</v>
      </c>
      <c r="J272" s="8"/>
      <c r="K272" s="8">
        <f t="shared" si="29"/>
        <v>4673</v>
      </c>
      <c r="L272" s="8">
        <f t="shared" si="32"/>
        <v>140190</v>
      </c>
      <c r="M272" s="9" t="str">
        <f t="array" ref="M272:P272">_xlfn.XLOOKUP(C272,'Neiva 2022 FASE I ACTUAL (5)'!$C$6:$C$540,'Neiva 2022 FASE I ACTUAL (5)'!$C$6:$F$540,"NO ESTA")</f>
        <v>SUMINISTRO E INSTALACIÓN ACCESORIOS PVC-P 1" SCH 40</v>
      </c>
      <c r="N272" s="9" t="str">
        <v xml:space="preserve">UN   </v>
      </c>
      <c r="O272" s="9">
        <v>11</v>
      </c>
      <c r="P272" s="9">
        <v>4486</v>
      </c>
      <c r="Q272" s="124" t="str">
        <f t="shared" si="35"/>
        <v>FASE II</v>
      </c>
      <c r="R272" s="155">
        <f t="shared" si="30"/>
        <v>41</v>
      </c>
      <c r="S272" s="156">
        <f t="shared" si="33"/>
        <v>4673</v>
      </c>
      <c r="T272" s="156">
        <f t="shared" si="34"/>
        <v>191593</v>
      </c>
    </row>
    <row r="273" spans="1:20" s="9" customFormat="1" ht="35.1" customHeight="1" x14ac:dyDescent="0.25">
      <c r="A273" s="215"/>
      <c r="B273" s="279" t="s">
        <v>289</v>
      </c>
      <c r="C273" s="254" t="s">
        <v>290</v>
      </c>
      <c r="D273" s="255" t="s">
        <v>284</v>
      </c>
      <c r="E273" s="242">
        <v>96</v>
      </c>
      <c r="F273" s="242">
        <v>35</v>
      </c>
      <c r="G273" s="242">
        <v>131</v>
      </c>
      <c r="H273" s="243">
        <v>7379</v>
      </c>
      <c r="I273" s="243">
        <f t="shared" si="31"/>
        <v>966649</v>
      </c>
      <c r="J273" s="8"/>
      <c r="K273" s="8">
        <f t="shared" si="29"/>
        <v>7379</v>
      </c>
      <c r="L273" s="8">
        <f t="shared" si="32"/>
        <v>708384</v>
      </c>
      <c r="M273" s="9" t="str">
        <f t="array" ref="M273:P273">_xlfn.XLOOKUP(C273,'Neiva 2022 FASE I ACTUAL (5)'!$C$6:$C$540,'Neiva 2022 FASE I ACTUAL (5)'!$C$6:$F$540,"NO ESTA")</f>
        <v>SUMINISTRO E INSTALACIÓN ACCESORIOS PVC-P 1 1/4" SCH 40</v>
      </c>
      <c r="N273" s="9" t="str">
        <v xml:space="preserve">UN   </v>
      </c>
      <c r="O273" s="9">
        <v>35</v>
      </c>
      <c r="P273" s="9">
        <v>7080</v>
      </c>
      <c r="Q273" s="124" t="str">
        <f t="shared" si="35"/>
        <v>FASE II</v>
      </c>
      <c r="R273" s="155">
        <f t="shared" si="30"/>
        <v>131</v>
      </c>
      <c r="S273" s="156">
        <f t="shared" si="33"/>
        <v>7379</v>
      </c>
      <c r="T273" s="156">
        <f t="shared" si="34"/>
        <v>966649</v>
      </c>
    </row>
    <row r="274" spans="1:20" s="9" customFormat="1" ht="35.1" customHeight="1" x14ac:dyDescent="0.25">
      <c r="A274" s="215"/>
      <c r="B274" s="279" t="s">
        <v>291</v>
      </c>
      <c r="C274" s="254" t="s">
        <v>292</v>
      </c>
      <c r="D274" s="255" t="s">
        <v>284</v>
      </c>
      <c r="E274" s="242">
        <v>82</v>
      </c>
      <c r="F274" s="242">
        <v>30</v>
      </c>
      <c r="G274" s="242">
        <v>112</v>
      </c>
      <c r="H274" s="243">
        <v>9097</v>
      </c>
      <c r="I274" s="243">
        <f t="shared" si="31"/>
        <v>1018864</v>
      </c>
      <c r="J274" s="8"/>
      <c r="K274" s="8">
        <f t="shared" si="29"/>
        <v>9097</v>
      </c>
      <c r="L274" s="8">
        <f t="shared" si="32"/>
        <v>745954</v>
      </c>
      <c r="M274" s="9" t="str">
        <f t="array" ref="M274:P274">_xlfn.XLOOKUP(C274,'Neiva 2022 FASE I ACTUAL (5)'!$C$6:$C$540,'Neiva 2022 FASE I ACTUAL (5)'!$C$6:$F$540,"NO ESTA")</f>
        <v xml:space="preserve">SUMINISTRO E INSTALACIÓN ACCESORIOS PVC-P 1 1/2" SCH 40                                                </v>
      </c>
      <c r="N274" s="9" t="str">
        <v xml:space="preserve">UN   </v>
      </c>
      <c r="O274" s="9">
        <v>30</v>
      </c>
      <c r="P274" s="9">
        <v>8729</v>
      </c>
      <c r="Q274" s="124" t="str">
        <f t="shared" si="35"/>
        <v>FASE II</v>
      </c>
      <c r="R274" s="155">
        <f t="shared" si="30"/>
        <v>112</v>
      </c>
      <c r="S274" s="156">
        <f t="shared" si="33"/>
        <v>9097</v>
      </c>
      <c r="T274" s="156">
        <f t="shared" si="34"/>
        <v>1018864</v>
      </c>
    </row>
    <row r="275" spans="1:20" s="9" customFormat="1" ht="35.1" customHeight="1" x14ac:dyDescent="0.25">
      <c r="A275" s="215"/>
      <c r="B275" s="279" t="s">
        <v>293</v>
      </c>
      <c r="C275" s="254" t="s">
        <v>294</v>
      </c>
      <c r="D275" s="255" t="s">
        <v>284</v>
      </c>
      <c r="E275" s="242">
        <v>55</v>
      </c>
      <c r="F275" s="242">
        <v>21</v>
      </c>
      <c r="G275" s="242">
        <v>76</v>
      </c>
      <c r="H275" s="243">
        <v>12398</v>
      </c>
      <c r="I275" s="243">
        <f t="shared" si="31"/>
        <v>942248</v>
      </c>
      <c r="J275" s="8"/>
      <c r="K275" s="8">
        <f t="shared" si="29"/>
        <v>12398</v>
      </c>
      <c r="L275" s="8">
        <f t="shared" si="32"/>
        <v>681890</v>
      </c>
      <c r="M275" s="9" t="str">
        <f t="array" ref="M275:P275">_xlfn.XLOOKUP(C275,'Neiva 2022 FASE I ACTUAL (5)'!$C$6:$C$540,'Neiva 2022 FASE I ACTUAL (5)'!$C$6:$F$540,"NO ESTA")</f>
        <v>SUMINISTRO E INSTALACIÓN ACCESORIOS PVC-P 2" SCH 40</v>
      </c>
      <c r="N275" s="9" t="str">
        <v xml:space="preserve">UN   </v>
      </c>
      <c r="O275" s="9">
        <v>21</v>
      </c>
      <c r="P275" s="9">
        <v>11898</v>
      </c>
      <c r="Q275" s="124" t="str">
        <f t="shared" si="35"/>
        <v>FASE II</v>
      </c>
      <c r="R275" s="155">
        <f t="shared" si="30"/>
        <v>76</v>
      </c>
      <c r="S275" s="156">
        <f t="shared" si="33"/>
        <v>12398</v>
      </c>
      <c r="T275" s="156">
        <f t="shared" si="34"/>
        <v>942248</v>
      </c>
    </row>
    <row r="276" spans="1:20" s="9" customFormat="1" ht="35.1" customHeight="1" x14ac:dyDescent="0.25">
      <c r="A276" s="215"/>
      <c r="B276" s="279" t="s">
        <v>295</v>
      </c>
      <c r="C276" s="254" t="s">
        <v>296</v>
      </c>
      <c r="D276" s="255" t="s">
        <v>284</v>
      </c>
      <c r="E276" s="242">
        <v>12</v>
      </c>
      <c r="F276" s="242">
        <v>4</v>
      </c>
      <c r="G276" s="242">
        <v>16</v>
      </c>
      <c r="H276" s="243">
        <v>30171</v>
      </c>
      <c r="I276" s="243">
        <f t="shared" si="31"/>
        <v>482736</v>
      </c>
      <c r="J276" s="8"/>
      <c r="K276" s="8">
        <f t="shared" si="29"/>
        <v>30171</v>
      </c>
      <c r="L276" s="8">
        <f t="shared" si="32"/>
        <v>362052</v>
      </c>
      <c r="M276" s="9" t="str">
        <f t="array" ref="M276:P276">_xlfn.XLOOKUP(C276,'Neiva 2022 FASE I ACTUAL (5)'!$C$6:$C$540,'Neiva 2022 FASE I ACTUAL (5)'!$C$6:$F$540,"NO ESTA")</f>
        <v xml:space="preserve">SUMINISTRO E INSTALACIÓN ACCESORIOS PVC-P 2 1/2" SCH 40                                           </v>
      </c>
      <c r="N276" s="9" t="str">
        <v xml:space="preserve">UN   </v>
      </c>
      <c r="O276" s="9">
        <v>4</v>
      </c>
      <c r="P276" s="9">
        <v>28954</v>
      </c>
      <c r="Q276" s="124" t="str">
        <f t="shared" si="35"/>
        <v>FASE II</v>
      </c>
      <c r="R276" s="155">
        <f t="shared" si="30"/>
        <v>16</v>
      </c>
      <c r="S276" s="156">
        <f t="shared" si="33"/>
        <v>30171</v>
      </c>
      <c r="T276" s="156">
        <f t="shared" si="34"/>
        <v>482736</v>
      </c>
    </row>
    <row r="277" spans="1:20" s="9" customFormat="1" ht="35.1" customHeight="1" x14ac:dyDescent="0.25">
      <c r="A277" s="215"/>
      <c r="B277" s="279" t="s">
        <v>297</v>
      </c>
      <c r="C277" s="254" t="s">
        <v>298</v>
      </c>
      <c r="D277" s="255" t="s">
        <v>284</v>
      </c>
      <c r="E277" s="242">
        <v>49</v>
      </c>
      <c r="F277" s="242">
        <v>18</v>
      </c>
      <c r="G277" s="242">
        <v>67</v>
      </c>
      <c r="H277" s="243">
        <v>1731</v>
      </c>
      <c r="I277" s="243">
        <f t="shared" si="31"/>
        <v>115977</v>
      </c>
      <c r="J277" s="8"/>
      <c r="K277" s="8">
        <f t="shared" si="29"/>
        <v>1731</v>
      </c>
      <c r="L277" s="8">
        <f t="shared" si="32"/>
        <v>84819</v>
      </c>
      <c r="M277" s="9" t="str">
        <f t="array" ref="M277:P277">_xlfn.XLOOKUP(C277,'Neiva 2022 FASE I ACTUAL (5)'!$C$6:$C$540,'Neiva 2022 FASE I ACTUAL (5)'!$C$6:$F$540,"NO ESTA")</f>
        <v xml:space="preserve">SUMINISTRO E INSTALACIÓN SOPORTE DE 1/2"                                                                 </v>
      </c>
      <c r="N277" s="9" t="str">
        <v xml:space="preserve">UN   </v>
      </c>
      <c r="O277" s="9">
        <v>18</v>
      </c>
      <c r="P277" s="9">
        <v>1662</v>
      </c>
      <c r="Q277" s="124" t="str">
        <f t="shared" si="35"/>
        <v>FASE II</v>
      </c>
      <c r="R277" s="155">
        <f t="shared" si="30"/>
        <v>67</v>
      </c>
      <c r="S277" s="156">
        <f t="shared" si="33"/>
        <v>1731</v>
      </c>
      <c r="T277" s="156">
        <f t="shared" si="34"/>
        <v>115977</v>
      </c>
    </row>
    <row r="278" spans="1:20" s="9" customFormat="1" ht="35.1" customHeight="1" x14ac:dyDescent="0.25">
      <c r="A278" s="215"/>
      <c r="B278" s="279" t="s">
        <v>299</v>
      </c>
      <c r="C278" s="254" t="s">
        <v>300</v>
      </c>
      <c r="D278" s="255" t="s">
        <v>284</v>
      </c>
      <c r="E278" s="242">
        <v>18</v>
      </c>
      <c r="F278" s="242">
        <v>6</v>
      </c>
      <c r="G278" s="242">
        <v>24</v>
      </c>
      <c r="H278" s="243">
        <v>2324</v>
      </c>
      <c r="I278" s="243">
        <f t="shared" si="31"/>
        <v>55776</v>
      </c>
      <c r="J278" s="8"/>
      <c r="K278" s="8">
        <f t="shared" si="29"/>
        <v>2324</v>
      </c>
      <c r="L278" s="8">
        <f t="shared" si="32"/>
        <v>41832</v>
      </c>
      <c r="M278" s="9" t="str">
        <f t="array" ref="M278:P278">_xlfn.XLOOKUP(C278,'Neiva 2022 FASE I ACTUAL (5)'!$C$6:$C$540,'Neiva 2022 FASE I ACTUAL (5)'!$C$6:$F$540,"NO ESTA")</f>
        <v xml:space="preserve">SUMINISTRO E INSTALACIÓN SOPORTE DE 3/4"                                                                 </v>
      </c>
      <c r="N278" s="9" t="str">
        <v xml:space="preserve">UN   </v>
      </c>
      <c r="O278" s="9">
        <v>6</v>
      </c>
      <c r="P278" s="9">
        <v>2232</v>
      </c>
      <c r="Q278" s="124" t="str">
        <f t="shared" si="35"/>
        <v>FASE II</v>
      </c>
      <c r="R278" s="155">
        <f t="shared" si="30"/>
        <v>24</v>
      </c>
      <c r="S278" s="156">
        <f t="shared" si="33"/>
        <v>2324</v>
      </c>
      <c r="T278" s="156">
        <f t="shared" si="34"/>
        <v>55776</v>
      </c>
    </row>
    <row r="279" spans="1:20" s="9" customFormat="1" ht="35.1" customHeight="1" x14ac:dyDescent="0.25">
      <c r="A279" s="215"/>
      <c r="B279" s="279" t="s">
        <v>301</v>
      </c>
      <c r="C279" s="254" t="s">
        <v>302</v>
      </c>
      <c r="D279" s="255" t="s">
        <v>284</v>
      </c>
      <c r="E279" s="242">
        <v>18</v>
      </c>
      <c r="F279" s="242">
        <v>6</v>
      </c>
      <c r="G279" s="242">
        <v>24</v>
      </c>
      <c r="H279" s="243">
        <v>2804</v>
      </c>
      <c r="I279" s="243">
        <f t="shared" si="31"/>
        <v>67296</v>
      </c>
      <c r="J279" s="8"/>
      <c r="K279" s="8">
        <f t="shared" si="29"/>
        <v>2804</v>
      </c>
      <c r="L279" s="8">
        <f t="shared" si="32"/>
        <v>50472</v>
      </c>
      <c r="M279" s="9" t="str">
        <f t="array" ref="M279:P279">_xlfn.XLOOKUP(C279,'Neiva 2022 FASE I ACTUAL (5)'!$C$6:$C$540,'Neiva 2022 FASE I ACTUAL (5)'!$C$6:$F$540,"NO ESTA")</f>
        <v xml:space="preserve">SUMINISTRO E INSTALACIÓN SOPORTE DE 1"                                                                   </v>
      </c>
      <c r="N279" s="9" t="str">
        <v xml:space="preserve">UN   </v>
      </c>
      <c r="O279" s="9">
        <v>6</v>
      </c>
      <c r="P279" s="9">
        <v>2690</v>
      </c>
      <c r="Q279" s="124" t="str">
        <f t="shared" si="35"/>
        <v>FASE II</v>
      </c>
      <c r="R279" s="155">
        <f t="shared" si="30"/>
        <v>24</v>
      </c>
      <c r="S279" s="156">
        <f t="shared" si="33"/>
        <v>2804</v>
      </c>
      <c r="T279" s="156">
        <f t="shared" si="34"/>
        <v>67296</v>
      </c>
    </row>
    <row r="280" spans="1:20" s="9" customFormat="1" ht="35.1" customHeight="1" x14ac:dyDescent="0.25">
      <c r="A280" s="215"/>
      <c r="B280" s="279" t="s">
        <v>303</v>
      </c>
      <c r="C280" s="254" t="s">
        <v>304</v>
      </c>
      <c r="D280" s="255" t="s">
        <v>284</v>
      </c>
      <c r="E280" s="242">
        <v>26</v>
      </c>
      <c r="F280" s="242">
        <v>10</v>
      </c>
      <c r="G280" s="242">
        <v>36</v>
      </c>
      <c r="H280" s="243">
        <v>3180</v>
      </c>
      <c r="I280" s="243">
        <f t="shared" si="31"/>
        <v>114480</v>
      </c>
      <c r="J280" s="8"/>
      <c r="K280" s="8">
        <f t="shared" si="29"/>
        <v>3180</v>
      </c>
      <c r="L280" s="8">
        <f t="shared" si="32"/>
        <v>82680</v>
      </c>
      <c r="M280" s="9" t="str">
        <f t="array" ref="M280:P280">_xlfn.XLOOKUP(C280,'Neiva 2022 FASE I ACTUAL (5)'!$C$6:$C$540,'Neiva 2022 FASE I ACTUAL (5)'!$C$6:$F$540,"NO ESTA")</f>
        <v xml:space="preserve">SUMINISTRO E INSTALACIÓN SOPORTE DE 1 1/4"                                                               </v>
      </c>
      <c r="N280" s="9" t="str">
        <v xml:space="preserve">UN   </v>
      </c>
      <c r="O280" s="9">
        <v>10</v>
      </c>
      <c r="P280" s="9">
        <v>3052</v>
      </c>
      <c r="Q280" s="124" t="str">
        <f t="shared" si="35"/>
        <v>FASE II</v>
      </c>
      <c r="R280" s="155">
        <f t="shared" si="30"/>
        <v>36</v>
      </c>
      <c r="S280" s="156">
        <f t="shared" si="33"/>
        <v>3180</v>
      </c>
      <c r="T280" s="156">
        <f t="shared" si="34"/>
        <v>114480</v>
      </c>
    </row>
    <row r="281" spans="1:20" s="9" customFormat="1" ht="35.1" customHeight="1" x14ac:dyDescent="0.25">
      <c r="A281" s="215"/>
      <c r="B281" s="279" t="s">
        <v>305</v>
      </c>
      <c r="C281" s="280" t="s">
        <v>306</v>
      </c>
      <c r="D281" s="255" t="s">
        <v>284</v>
      </c>
      <c r="E281" s="242">
        <v>24</v>
      </c>
      <c r="F281" s="242">
        <v>9</v>
      </c>
      <c r="G281" s="242">
        <v>33</v>
      </c>
      <c r="H281" s="243">
        <v>3850</v>
      </c>
      <c r="I281" s="243">
        <f t="shared" si="31"/>
        <v>127050</v>
      </c>
      <c r="J281" s="8"/>
      <c r="K281" s="8">
        <f t="shared" si="29"/>
        <v>3850</v>
      </c>
      <c r="L281" s="8">
        <f t="shared" si="32"/>
        <v>92400</v>
      </c>
      <c r="M281" s="9" t="str">
        <f t="array" ref="M281:P281">_xlfn.XLOOKUP(C281,'Neiva 2022 FASE I ACTUAL (5)'!$C$6:$C$540,'Neiva 2022 FASE I ACTUAL (5)'!$C$6:$F$540,"NO ESTA")</f>
        <v xml:space="preserve">SUMINISTRO E INSTALACIÓN SOPORTE DE 1 1/2"                                                               </v>
      </c>
      <c r="N281" s="9" t="str">
        <v xml:space="preserve">UN   </v>
      </c>
      <c r="O281" s="9">
        <v>9</v>
      </c>
      <c r="P281" s="9">
        <v>3695</v>
      </c>
      <c r="Q281" s="124" t="str">
        <f t="shared" si="35"/>
        <v>FASE II</v>
      </c>
      <c r="R281" s="155">
        <f t="shared" si="30"/>
        <v>33</v>
      </c>
      <c r="S281" s="156">
        <f t="shared" si="33"/>
        <v>3850</v>
      </c>
      <c r="T281" s="156">
        <f t="shared" si="34"/>
        <v>127050</v>
      </c>
    </row>
    <row r="282" spans="1:20" s="9" customFormat="1" ht="35.1" customHeight="1" x14ac:dyDescent="0.25">
      <c r="A282" s="215"/>
      <c r="B282" s="279" t="s">
        <v>307</v>
      </c>
      <c r="C282" s="254" t="s">
        <v>308</v>
      </c>
      <c r="D282" s="255" t="s">
        <v>284</v>
      </c>
      <c r="E282" s="242">
        <v>31</v>
      </c>
      <c r="F282" s="242">
        <v>11</v>
      </c>
      <c r="G282" s="242">
        <v>42</v>
      </c>
      <c r="H282" s="243">
        <v>4960</v>
      </c>
      <c r="I282" s="243">
        <f t="shared" si="31"/>
        <v>208320</v>
      </c>
      <c r="J282" s="8"/>
      <c r="K282" s="8">
        <f t="shared" si="29"/>
        <v>4960</v>
      </c>
      <c r="L282" s="8">
        <f t="shared" si="32"/>
        <v>153760</v>
      </c>
      <c r="M282" s="9" t="str">
        <f t="array" ref="M282:P282">_xlfn.XLOOKUP(C282,'Neiva 2022 FASE I ACTUAL (5)'!$C$6:$C$540,'Neiva 2022 FASE I ACTUAL (5)'!$C$6:$F$540,"NO ESTA")</f>
        <v xml:space="preserve">SUMINISTRO E INSTALACIÓN SOPORTE DE 2"                                                                   </v>
      </c>
      <c r="N282" s="9" t="str">
        <v xml:space="preserve">UN   </v>
      </c>
      <c r="O282" s="9">
        <v>11</v>
      </c>
      <c r="P282" s="9">
        <v>4760</v>
      </c>
      <c r="Q282" s="124" t="str">
        <f t="shared" si="35"/>
        <v>FASE II</v>
      </c>
      <c r="R282" s="155">
        <f t="shared" si="30"/>
        <v>42</v>
      </c>
      <c r="S282" s="156">
        <f t="shared" si="33"/>
        <v>4960</v>
      </c>
      <c r="T282" s="156">
        <f t="shared" si="34"/>
        <v>208320</v>
      </c>
    </row>
    <row r="283" spans="1:20" s="9" customFormat="1" ht="35.1" customHeight="1" x14ac:dyDescent="0.25">
      <c r="A283" s="215"/>
      <c r="B283" s="279" t="s">
        <v>309</v>
      </c>
      <c r="C283" s="254" t="s">
        <v>310</v>
      </c>
      <c r="D283" s="255" t="s">
        <v>284</v>
      </c>
      <c r="E283" s="242">
        <v>7</v>
      </c>
      <c r="F283" s="242">
        <v>3</v>
      </c>
      <c r="G283" s="242">
        <v>10</v>
      </c>
      <c r="H283" s="243">
        <v>5731</v>
      </c>
      <c r="I283" s="243">
        <f t="shared" si="31"/>
        <v>57310</v>
      </c>
      <c r="J283" s="8"/>
      <c r="K283" s="8">
        <f t="shared" si="29"/>
        <v>5731</v>
      </c>
      <c r="L283" s="8">
        <f t="shared" si="32"/>
        <v>40117</v>
      </c>
      <c r="M283" s="9" t="str">
        <f t="array" ref="M283:P283">_xlfn.XLOOKUP(C283,'Neiva 2022 FASE I ACTUAL (5)'!$C$6:$C$540,'Neiva 2022 FASE I ACTUAL (5)'!$C$6:$F$540,"NO ESTA")</f>
        <v xml:space="preserve">SUMINISTRO E INSTALACIÓN SOPORTE DE 2 1/2"                                                               </v>
      </c>
      <c r="N283" s="9" t="str">
        <v xml:space="preserve">UN   </v>
      </c>
      <c r="O283" s="9">
        <v>3</v>
      </c>
      <c r="P283" s="9">
        <v>5500</v>
      </c>
      <c r="Q283" s="124" t="str">
        <f t="shared" si="35"/>
        <v>FASE II</v>
      </c>
      <c r="R283" s="155">
        <f t="shared" si="30"/>
        <v>10</v>
      </c>
      <c r="S283" s="156">
        <f t="shared" si="33"/>
        <v>5731</v>
      </c>
      <c r="T283" s="156">
        <f t="shared" si="34"/>
        <v>57310</v>
      </c>
    </row>
    <row r="284" spans="1:20" s="9" customFormat="1" ht="35.1" customHeight="1" x14ac:dyDescent="0.25">
      <c r="A284" s="215"/>
      <c r="B284" s="279" t="s">
        <v>311</v>
      </c>
      <c r="C284" s="254" t="s">
        <v>312</v>
      </c>
      <c r="D284" s="255" t="s">
        <v>284</v>
      </c>
      <c r="E284" s="281">
        <v>41</v>
      </c>
      <c r="F284" s="281">
        <v>15</v>
      </c>
      <c r="G284" s="281">
        <v>56</v>
      </c>
      <c r="H284" s="282">
        <v>65223</v>
      </c>
      <c r="I284" s="243">
        <f t="shared" si="31"/>
        <v>3652488</v>
      </c>
      <c r="J284" s="8"/>
      <c r="K284" s="8">
        <f t="shared" si="29"/>
        <v>65223</v>
      </c>
      <c r="L284" s="8">
        <f t="shared" si="32"/>
        <v>2674143</v>
      </c>
      <c r="M284" s="9" t="str">
        <f t="array" ref="M284:P284">_xlfn.XLOOKUP(C284,'Neiva 2022 FASE I ACTUAL (5)'!$C$6:$C$540,'Neiva 2022 FASE I ACTUAL (5)'!$C$6:$F$540,"NO ESTA")</f>
        <v xml:space="preserve">SUMINISTRO E INSTALACIÓN PUNTO HIDRÁULICO PVC-P 1/2"                                                      </v>
      </c>
      <c r="N284" s="9" t="str">
        <v xml:space="preserve">UN   </v>
      </c>
      <c r="O284" s="9">
        <v>15</v>
      </c>
      <c r="P284" s="9">
        <v>62592</v>
      </c>
      <c r="Q284" s="124" t="str">
        <f t="shared" si="35"/>
        <v>FASE II</v>
      </c>
      <c r="R284" s="155">
        <f t="shared" si="30"/>
        <v>56</v>
      </c>
      <c r="S284" s="156">
        <f t="shared" si="33"/>
        <v>65223</v>
      </c>
      <c r="T284" s="156">
        <f t="shared" si="34"/>
        <v>3652488</v>
      </c>
    </row>
    <row r="285" spans="1:20" s="9" customFormat="1" ht="35.1" customHeight="1" x14ac:dyDescent="0.25">
      <c r="A285" s="215"/>
      <c r="B285" s="279" t="s">
        <v>313</v>
      </c>
      <c r="C285" s="254" t="s">
        <v>314</v>
      </c>
      <c r="D285" s="255" t="s">
        <v>284</v>
      </c>
      <c r="E285" s="242">
        <v>14</v>
      </c>
      <c r="F285" s="242">
        <v>5</v>
      </c>
      <c r="G285" s="242">
        <v>19</v>
      </c>
      <c r="H285" s="243">
        <v>69494</v>
      </c>
      <c r="I285" s="243">
        <f t="shared" si="31"/>
        <v>1320386</v>
      </c>
      <c r="J285" s="8"/>
      <c r="K285" s="8">
        <f t="shared" si="29"/>
        <v>69494</v>
      </c>
      <c r="L285" s="8">
        <f t="shared" si="32"/>
        <v>972916</v>
      </c>
      <c r="M285" s="9" t="str">
        <f t="array" ref="M285:P285">_xlfn.XLOOKUP(C285,'Neiva 2022 FASE I ACTUAL (5)'!$C$6:$C$540,'Neiva 2022 FASE I ACTUAL (5)'!$C$6:$F$540,"NO ESTA")</f>
        <v xml:space="preserve">SUMINISTRO E INSTALACIÓN PUNTO HIDRÁULICO PVC-P 3/4"                                                      </v>
      </c>
      <c r="N285" s="9" t="str">
        <v xml:space="preserve">UN   </v>
      </c>
      <c r="O285" s="9">
        <v>5</v>
      </c>
      <c r="P285" s="9">
        <v>66691</v>
      </c>
      <c r="Q285" s="124" t="str">
        <f t="shared" si="35"/>
        <v>FASE II</v>
      </c>
      <c r="R285" s="155">
        <f t="shared" si="30"/>
        <v>19</v>
      </c>
      <c r="S285" s="156">
        <f t="shared" si="33"/>
        <v>69494</v>
      </c>
      <c r="T285" s="156">
        <f t="shared" si="34"/>
        <v>1320386</v>
      </c>
    </row>
    <row r="286" spans="1:20" s="9" customFormat="1" ht="35.1" customHeight="1" x14ac:dyDescent="0.25">
      <c r="A286" s="215"/>
      <c r="B286" s="279" t="s">
        <v>315</v>
      </c>
      <c r="C286" s="254" t="s">
        <v>316</v>
      </c>
      <c r="D286" s="255" t="s">
        <v>284</v>
      </c>
      <c r="E286" s="242">
        <v>39</v>
      </c>
      <c r="F286" s="242">
        <v>15</v>
      </c>
      <c r="G286" s="242">
        <v>54</v>
      </c>
      <c r="H286" s="243">
        <v>98949</v>
      </c>
      <c r="I286" s="243">
        <f t="shared" si="31"/>
        <v>5343246</v>
      </c>
      <c r="J286" s="8"/>
      <c r="K286" s="8">
        <f t="shared" si="29"/>
        <v>98949</v>
      </c>
      <c r="L286" s="8">
        <f t="shared" si="32"/>
        <v>3859011</v>
      </c>
      <c r="M286" s="9" t="str">
        <f t="array" ref="M286:P286">_xlfn.XLOOKUP(C286,'Neiva 2022 FASE I ACTUAL (5)'!$C$6:$C$540,'Neiva 2022 FASE I ACTUAL (5)'!$C$6:$F$540,"NO ESTA")</f>
        <v xml:space="preserve">SUMINISTRO E INSTALACIÓN PUNTO HIDRÁULICO PVC-P 1 1/4"                                                    </v>
      </c>
      <c r="N286" s="9" t="str">
        <v xml:space="preserve">UN   </v>
      </c>
      <c r="O286" s="9">
        <v>15</v>
      </c>
      <c r="P286" s="9">
        <v>94960</v>
      </c>
      <c r="Q286" s="124" t="str">
        <f t="shared" si="35"/>
        <v>FASE II</v>
      </c>
      <c r="R286" s="155">
        <f t="shared" si="30"/>
        <v>54</v>
      </c>
      <c r="S286" s="156">
        <f t="shared" si="33"/>
        <v>98949</v>
      </c>
      <c r="T286" s="156">
        <f t="shared" si="34"/>
        <v>5343246</v>
      </c>
    </row>
    <row r="287" spans="1:20" s="9" customFormat="1" ht="35.1" customHeight="1" x14ac:dyDescent="0.25">
      <c r="A287" s="215"/>
      <c r="B287" s="279" t="s">
        <v>317</v>
      </c>
      <c r="C287" s="254" t="s">
        <v>318</v>
      </c>
      <c r="D287" s="255" t="s">
        <v>284</v>
      </c>
      <c r="E287" s="242">
        <v>12</v>
      </c>
      <c r="F287" s="242">
        <v>5</v>
      </c>
      <c r="G287" s="242">
        <v>17</v>
      </c>
      <c r="H287" s="243">
        <v>64294</v>
      </c>
      <c r="I287" s="243">
        <f t="shared" si="31"/>
        <v>1092998</v>
      </c>
      <c r="J287" s="8"/>
      <c r="K287" s="8">
        <f t="shared" si="29"/>
        <v>64294</v>
      </c>
      <c r="L287" s="8">
        <f t="shared" si="32"/>
        <v>771528</v>
      </c>
      <c r="M287" s="9" t="str">
        <f t="array" ref="M287:P287">_xlfn.XLOOKUP(C287,'Neiva 2022 FASE I ACTUAL (5)'!$C$6:$C$540,'Neiva 2022 FASE I ACTUAL (5)'!$C$6:$F$540,"NO ESTA")</f>
        <v xml:space="preserve">SUMINISTRO E INSTALACIÓN REGISTRO CORTINA ROSCAR 1/2"                                                   </v>
      </c>
      <c r="N287" s="9" t="str">
        <v xml:space="preserve">UN   </v>
      </c>
      <c r="O287" s="9">
        <v>5</v>
      </c>
      <c r="P287" s="9">
        <v>61701</v>
      </c>
      <c r="Q287" s="124" t="str">
        <f t="shared" si="35"/>
        <v>FASE II</v>
      </c>
      <c r="R287" s="155">
        <f t="shared" si="30"/>
        <v>17</v>
      </c>
      <c r="S287" s="156">
        <f t="shared" si="33"/>
        <v>64294</v>
      </c>
      <c r="T287" s="156">
        <f t="shared" si="34"/>
        <v>1092998</v>
      </c>
    </row>
    <row r="288" spans="1:20" s="9" customFormat="1" ht="35.1" customHeight="1" x14ac:dyDescent="0.25">
      <c r="A288" s="215"/>
      <c r="B288" s="279" t="s">
        <v>319</v>
      </c>
      <c r="C288" s="254" t="s">
        <v>320</v>
      </c>
      <c r="D288" s="255" t="s">
        <v>284</v>
      </c>
      <c r="E288" s="242">
        <v>6</v>
      </c>
      <c r="F288" s="242">
        <v>2</v>
      </c>
      <c r="G288" s="242">
        <v>8</v>
      </c>
      <c r="H288" s="243">
        <v>166627</v>
      </c>
      <c r="I288" s="243">
        <f t="shared" si="31"/>
        <v>1333016</v>
      </c>
      <c r="J288" s="8"/>
      <c r="K288" s="8">
        <f t="shared" si="29"/>
        <v>166627</v>
      </c>
      <c r="L288" s="8">
        <f t="shared" si="32"/>
        <v>999762</v>
      </c>
      <c r="M288" s="9" t="str">
        <f t="array" ref="M288:P288">_xlfn.XLOOKUP(C288,'Neiva 2022 FASE I ACTUAL (5)'!$C$6:$C$540,'Neiva 2022 FASE I ACTUAL (5)'!$C$6:$F$540,"NO ESTA")</f>
        <v xml:space="preserve">SUMINISTRO E INSTALACIÓN REGISTRO CORTINA P/D ROSCAR 1 1/4"                                                 </v>
      </c>
      <c r="N288" s="9" t="str">
        <v xml:space="preserve">UN   </v>
      </c>
      <c r="O288" s="9">
        <v>2</v>
      </c>
      <c r="P288" s="9">
        <v>159908</v>
      </c>
      <c r="Q288" s="124" t="str">
        <f t="shared" si="35"/>
        <v>FASE II</v>
      </c>
      <c r="R288" s="155">
        <f t="shared" si="30"/>
        <v>8</v>
      </c>
      <c r="S288" s="156">
        <f t="shared" si="33"/>
        <v>166627</v>
      </c>
      <c r="T288" s="156">
        <f t="shared" si="34"/>
        <v>1333016</v>
      </c>
    </row>
    <row r="289" spans="1:20" s="9" customFormat="1" ht="35.1" customHeight="1" x14ac:dyDescent="0.25">
      <c r="A289" s="215"/>
      <c r="B289" s="279" t="s">
        <v>321</v>
      </c>
      <c r="C289" s="254" t="s">
        <v>322</v>
      </c>
      <c r="D289" s="255" t="s">
        <v>284</v>
      </c>
      <c r="E289" s="242">
        <v>6</v>
      </c>
      <c r="F289" s="242">
        <v>2</v>
      </c>
      <c r="G289" s="242">
        <v>8</v>
      </c>
      <c r="H289" s="243">
        <v>226206</v>
      </c>
      <c r="I289" s="243">
        <f t="shared" si="31"/>
        <v>1809648</v>
      </c>
      <c r="J289" s="8"/>
      <c r="K289" s="8">
        <f t="shared" si="29"/>
        <v>226206</v>
      </c>
      <c r="L289" s="8">
        <f t="shared" si="32"/>
        <v>1357236</v>
      </c>
      <c r="M289" s="9" t="str">
        <f t="array" ref="M289:P289">_xlfn.XLOOKUP(C289,'Neiva 2022 FASE I ACTUAL (5)'!$C$6:$C$540,'Neiva 2022 FASE I ACTUAL (5)'!$C$6:$F$540,"NO ESTA")</f>
        <v xml:space="preserve">SUMINISTRO E INSTALACIÓN REGISTRO CORTINA P/D ROSCAR 1 1/2"                                                 </v>
      </c>
      <c r="N289" s="9" t="str">
        <v xml:space="preserve">UN   </v>
      </c>
      <c r="O289" s="9">
        <v>2</v>
      </c>
      <c r="P289" s="9">
        <v>217082</v>
      </c>
      <c r="Q289" s="124" t="str">
        <f t="shared" si="35"/>
        <v>FASE II</v>
      </c>
      <c r="R289" s="155">
        <f t="shared" si="30"/>
        <v>8</v>
      </c>
      <c r="S289" s="156">
        <f t="shared" si="33"/>
        <v>226206</v>
      </c>
      <c r="T289" s="156">
        <f t="shared" si="34"/>
        <v>1809648</v>
      </c>
    </row>
    <row r="290" spans="1:20" s="9" customFormat="1" ht="35.1" customHeight="1" x14ac:dyDescent="0.25">
      <c r="A290" s="215"/>
      <c r="B290" s="279" t="s">
        <v>323</v>
      </c>
      <c r="C290" s="254" t="s">
        <v>324</v>
      </c>
      <c r="D290" s="255" t="s">
        <v>284</v>
      </c>
      <c r="E290" s="242">
        <v>0</v>
      </c>
      <c r="F290" s="242">
        <v>2</v>
      </c>
      <c r="G290" s="242">
        <v>2</v>
      </c>
      <c r="H290" s="243">
        <v>110117</v>
      </c>
      <c r="I290" s="243">
        <f t="shared" si="31"/>
        <v>220234</v>
      </c>
      <c r="J290" s="8"/>
      <c r="K290" s="8">
        <f t="shared" si="29"/>
        <v>110117</v>
      </c>
      <c r="L290" s="8">
        <f t="shared" si="32"/>
        <v>0</v>
      </c>
      <c r="M290" s="9" t="str">
        <f t="array" ref="M290:P290">_xlfn.XLOOKUP(C290,'Neiva 2022 FASE I ACTUAL (5)'!$C$6:$C$540,'Neiva 2022 FASE I ACTUAL (5)'!$C$6:$F$540,"NO ESTA")</f>
        <v xml:space="preserve">SUMINISTRO E INSTALACIÓN VÁLVULA FLOTADOR 1"                                                           </v>
      </c>
      <c r="N290" s="9" t="str">
        <v xml:space="preserve">UN   </v>
      </c>
      <c r="O290" s="9">
        <v>2</v>
      </c>
      <c r="P290" s="9">
        <v>105676</v>
      </c>
      <c r="Q290" s="124" t="str">
        <f t="shared" si="35"/>
        <v>FASE II</v>
      </c>
      <c r="R290" s="155">
        <f t="shared" si="30"/>
        <v>2</v>
      </c>
      <c r="S290" s="156">
        <f t="shared" si="33"/>
        <v>110117</v>
      </c>
      <c r="T290" s="156">
        <f t="shared" si="34"/>
        <v>220234</v>
      </c>
    </row>
    <row r="291" spans="1:20" s="9" customFormat="1" ht="35.1" customHeight="1" x14ac:dyDescent="0.25">
      <c r="A291" s="215"/>
      <c r="B291" s="279" t="s">
        <v>325</v>
      </c>
      <c r="C291" s="254" t="s">
        <v>326</v>
      </c>
      <c r="D291" s="255" t="s">
        <v>284</v>
      </c>
      <c r="E291" s="242">
        <v>0</v>
      </c>
      <c r="F291" s="242">
        <v>1</v>
      </c>
      <c r="G291" s="242">
        <v>1</v>
      </c>
      <c r="H291" s="243">
        <v>172193</v>
      </c>
      <c r="I291" s="243">
        <f t="shared" si="31"/>
        <v>172193</v>
      </c>
      <c r="J291" s="8"/>
      <c r="K291" s="8">
        <f t="shared" si="29"/>
        <v>172193</v>
      </c>
      <c r="L291" s="8">
        <f t="shared" si="32"/>
        <v>0</v>
      </c>
      <c r="M291" s="9" t="str">
        <f t="array" ref="M291:P291">_xlfn.XLOOKUP(C291,'Neiva 2022 FASE I ACTUAL (5)'!$C$6:$C$540,'Neiva 2022 FASE I ACTUAL (5)'!$C$6:$F$540,"NO ESTA")</f>
        <v xml:space="preserve">SUMINISTRO E INSTALACIÓN MEDIDOR VELOCIMETRICO  3/4"                                                   </v>
      </c>
      <c r="N291" s="9" t="str">
        <v xml:space="preserve">UN   </v>
      </c>
      <c r="O291" s="9">
        <v>1</v>
      </c>
      <c r="P291" s="9">
        <v>165249</v>
      </c>
      <c r="Q291" s="124" t="str">
        <f t="shared" si="35"/>
        <v>FASE II</v>
      </c>
      <c r="R291" s="155">
        <f t="shared" si="30"/>
        <v>1</v>
      </c>
      <c r="S291" s="156">
        <f t="shared" si="33"/>
        <v>172193</v>
      </c>
      <c r="T291" s="156">
        <f t="shared" si="34"/>
        <v>172193</v>
      </c>
    </row>
    <row r="292" spans="1:20" s="9" customFormat="1" ht="35.1" customHeight="1" x14ac:dyDescent="0.25">
      <c r="A292" s="215"/>
      <c r="B292" s="283" t="s">
        <v>327</v>
      </c>
      <c r="C292" s="256" t="s">
        <v>328</v>
      </c>
      <c r="D292" s="256"/>
      <c r="E292" s="246"/>
      <c r="F292" s="246">
        <v>0</v>
      </c>
      <c r="G292" s="246">
        <v>0</v>
      </c>
      <c r="H292" s="252">
        <v>0</v>
      </c>
      <c r="I292" s="243">
        <f t="shared" si="31"/>
        <v>0</v>
      </c>
      <c r="J292" s="8"/>
      <c r="K292" s="8">
        <f t="shared" si="29"/>
        <v>0</v>
      </c>
      <c r="L292" s="8">
        <f t="shared" si="32"/>
        <v>0</v>
      </c>
      <c r="M292" s="9" t="str">
        <f t="array" ref="M292:P292">_xlfn.XLOOKUP(C292,'Neiva 2022 FASE I ACTUAL (5)'!$C$6:$C$540,'Neiva 2022 FASE I ACTUAL (5)'!$C$6:$F$540,"NO ESTA")</f>
        <v xml:space="preserve">SUMINISTRO E INSTALACION RED DESAGÜES AGUAS RESIDUALES                                                                              </v>
      </c>
      <c r="N292" s="9">
        <v>0</v>
      </c>
      <c r="O292" s="9">
        <v>0</v>
      </c>
      <c r="P292" s="9">
        <v>0</v>
      </c>
      <c r="Q292" s="124">
        <f t="shared" si="35"/>
        <v>0</v>
      </c>
      <c r="R292" s="155">
        <f t="shared" si="30"/>
        <v>0</v>
      </c>
      <c r="S292" s="156">
        <f t="shared" si="33"/>
        <v>0</v>
      </c>
      <c r="T292" s="156">
        <f t="shared" si="34"/>
        <v>0</v>
      </c>
    </row>
    <row r="293" spans="1:20" s="9" customFormat="1" ht="35.1" customHeight="1" x14ac:dyDescent="0.25">
      <c r="A293" s="215"/>
      <c r="B293" s="240" t="s">
        <v>329</v>
      </c>
      <c r="C293" s="284" t="s">
        <v>330</v>
      </c>
      <c r="D293" s="255" t="s">
        <v>269</v>
      </c>
      <c r="E293" s="242">
        <v>34</v>
      </c>
      <c r="F293" s="242">
        <v>12</v>
      </c>
      <c r="G293" s="242">
        <v>46</v>
      </c>
      <c r="H293" s="243">
        <v>24935</v>
      </c>
      <c r="I293" s="243">
        <f t="shared" si="31"/>
        <v>1147010</v>
      </c>
      <c r="J293" s="8"/>
      <c r="K293" s="8">
        <f t="shared" si="29"/>
        <v>24935</v>
      </c>
      <c r="L293" s="8">
        <f t="shared" si="32"/>
        <v>847790</v>
      </c>
      <c r="M293" s="9" t="str">
        <f t="array" ref="M293:P293">_xlfn.XLOOKUP(C293,'Neiva 2022 FASE I ACTUAL (5)'!$C$6:$C$540,'Neiva 2022 FASE I ACTUAL (5)'!$C$6:$F$540,"NO ESTA")</f>
        <v xml:space="preserve">SUMINISTRO E INSTALACIÓN TUBERIA PVC-S DIAMETRO 2"                                                                        </v>
      </c>
      <c r="N293" s="9" t="str">
        <v xml:space="preserve">ML   </v>
      </c>
      <c r="O293" s="9">
        <v>12</v>
      </c>
      <c r="P293" s="9">
        <v>23929</v>
      </c>
      <c r="Q293" s="124" t="str">
        <f t="shared" si="35"/>
        <v>FASE II</v>
      </c>
      <c r="R293" s="155">
        <f t="shared" si="30"/>
        <v>46</v>
      </c>
      <c r="S293" s="156">
        <f t="shared" si="33"/>
        <v>24935</v>
      </c>
      <c r="T293" s="156">
        <f t="shared" si="34"/>
        <v>1147010</v>
      </c>
    </row>
    <row r="294" spans="1:20" s="9" customFormat="1" ht="35.1" customHeight="1" x14ac:dyDescent="0.25">
      <c r="A294" s="215"/>
      <c r="B294" s="240" t="s">
        <v>331</v>
      </c>
      <c r="C294" s="254" t="s">
        <v>332</v>
      </c>
      <c r="D294" s="255" t="s">
        <v>269</v>
      </c>
      <c r="E294" s="242">
        <v>157</v>
      </c>
      <c r="F294" s="242">
        <v>58</v>
      </c>
      <c r="G294" s="242">
        <v>215</v>
      </c>
      <c r="H294" s="243">
        <v>36695</v>
      </c>
      <c r="I294" s="243">
        <f t="shared" si="31"/>
        <v>7889425</v>
      </c>
      <c r="J294" s="8"/>
      <c r="K294" s="8">
        <f t="shared" si="29"/>
        <v>36695</v>
      </c>
      <c r="L294" s="8">
        <f t="shared" si="32"/>
        <v>5761115</v>
      </c>
      <c r="M294" s="9" t="str">
        <f t="array" ref="M294:P294">_xlfn.XLOOKUP(C294,'Neiva 2022 FASE I ACTUAL (5)'!$C$6:$C$540,'Neiva 2022 FASE I ACTUAL (5)'!$C$6:$F$540,"NO ESTA")</f>
        <v xml:space="preserve">SUMINISTRO E INSTALACIÓN TUBERIA PVC-S DIAMETRO 3"                                                                        </v>
      </c>
      <c r="N294" s="9" t="str">
        <v xml:space="preserve">ML   </v>
      </c>
      <c r="O294" s="9">
        <v>58</v>
      </c>
      <c r="P294" s="9">
        <v>35215</v>
      </c>
      <c r="Q294" s="124" t="str">
        <f t="shared" si="35"/>
        <v>FASE II</v>
      </c>
      <c r="R294" s="155">
        <f t="shared" si="30"/>
        <v>215</v>
      </c>
      <c r="S294" s="156">
        <f t="shared" si="33"/>
        <v>36695</v>
      </c>
      <c r="T294" s="156">
        <f t="shared" si="34"/>
        <v>7889425</v>
      </c>
    </row>
    <row r="295" spans="1:20" s="9" customFormat="1" ht="35.1" customHeight="1" x14ac:dyDescent="0.25">
      <c r="A295" s="215"/>
      <c r="B295" s="240" t="s">
        <v>333</v>
      </c>
      <c r="C295" s="254" t="s">
        <v>334</v>
      </c>
      <c r="D295" s="255" t="s">
        <v>269</v>
      </c>
      <c r="E295" s="242">
        <v>272</v>
      </c>
      <c r="F295" s="242">
        <v>101</v>
      </c>
      <c r="G295" s="242">
        <v>373</v>
      </c>
      <c r="H295" s="243">
        <v>52349</v>
      </c>
      <c r="I295" s="243">
        <f t="shared" si="31"/>
        <v>19526177</v>
      </c>
      <c r="J295" s="8"/>
      <c r="K295" s="8">
        <f t="shared" si="29"/>
        <v>52349</v>
      </c>
      <c r="L295" s="8">
        <f t="shared" si="32"/>
        <v>14238928</v>
      </c>
      <c r="M295" s="9" t="str">
        <f t="array" ref="M295:P295">_xlfn.XLOOKUP(C295,'Neiva 2022 FASE I ACTUAL (5)'!$C$6:$C$540,'Neiva 2022 FASE I ACTUAL (5)'!$C$6:$F$540,"NO ESTA")</f>
        <v xml:space="preserve">SUMINISTRO E INSTALACIÓN TUBERÍA PVC-S DIAMETRO 4"                                                                        </v>
      </c>
      <c r="N295" s="9" t="str">
        <v xml:space="preserve">ML   </v>
      </c>
      <c r="O295" s="9">
        <v>101</v>
      </c>
      <c r="P295" s="9">
        <v>50238</v>
      </c>
      <c r="Q295" s="124" t="str">
        <f t="shared" si="35"/>
        <v>FASE II</v>
      </c>
      <c r="R295" s="155">
        <f t="shared" si="30"/>
        <v>373</v>
      </c>
      <c r="S295" s="156">
        <f t="shared" si="33"/>
        <v>52349</v>
      </c>
      <c r="T295" s="156">
        <f t="shared" si="34"/>
        <v>19526177</v>
      </c>
    </row>
    <row r="296" spans="1:20" s="9" customFormat="1" ht="35.1" customHeight="1" x14ac:dyDescent="0.25">
      <c r="A296" s="215"/>
      <c r="B296" s="240" t="s">
        <v>335</v>
      </c>
      <c r="C296" s="254" t="s">
        <v>336</v>
      </c>
      <c r="D296" s="255" t="s">
        <v>269</v>
      </c>
      <c r="E296" s="242">
        <v>72</v>
      </c>
      <c r="F296" s="242">
        <v>26</v>
      </c>
      <c r="G296" s="242">
        <v>98</v>
      </c>
      <c r="H296" s="243">
        <v>21698</v>
      </c>
      <c r="I296" s="243">
        <f t="shared" si="31"/>
        <v>2126404</v>
      </c>
      <c r="J296" s="8"/>
      <c r="K296" s="8">
        <f t="shared" si="29"/>
        <v>21698</v>
      </c>
      <c r="L296" s="8">
        <f t="shared" si="32"/>
        <v>1562256</v>
      </c>
      <c r="M296" s="9" t="str">
        <f t="array" ref="M296:P296">_xlfn.XLOOKUP(C296,'Neiva 2022 FASE I ACTUAL (5)'!$C$6:$C$540,'Neiva 2022 FASE I ACTUAL (5)'!$C$6:$F$540,"NO ESTA")</f>
        <v xml:space="preserve">SUMINISTRO E INSTALACIÓN TUBERIA PVC-VENT DIAMETRO 2"                                                                     </v>
      </c>
      <c r="N296" s="9" t="str">
        <v xml:space="preserve">ML   </v>
      </c>
      <c r="O296" s="9">
        <v>26</v>
      </c>
      <c r="P296" s="9">
        <v>20823</v>
      </c>
      <c r="Q296" s="124" t="str">
        <f t="shared" si="35"/>
        <v>FASE II</v>
      </c>
      <c r="R296" s="155">
        <f t="shared" si="30"/>
        <v>98</v>
      </c>
      <c r="S296" s="156">
        <f t="shared" si="33"/>
        <v>21698</v>
      </c>
      <c r="T296" s="156">
        <f t="shared" si="34"/>
        <v>2126404</v>
      </c>
    </row>
    <row r="297" spans="1:20" s="9" customFormat="1" ht="35.1" customHeight="1" x14ac:dyDescent="0.25">
      <c r="A297" s="215"/>
      <c r="B297" s="240" t="s">
        <v>337</v>
      </c>
      <c r="C297" s="254" t="s">
        <v>338</v>
      </c>
      <c r="D297" s="255" t="s">
        <v>269</v>
      </c>
      <c r="E297" s="242">
        <v>97</v>
      </c>
      <c r="F297" s="242">
        <v>36</v>
      </c>
      <c r="G297" s="242">
        <v>133</v>
      </c>
      <c r="H297" s="243">
        <v>32259</v>
      </c>
      <c r="I297" s="243">
        <f t="shared" si="31"/>
        <v>4290447</v>
      </c>
      <c r="J297" s="8"/>
      <c r="K297" s="8">
        <f t="shared" si="29"/>
        <v>32259</v>
      </c>
      <c r="L297" s="8">
        <f t="shared" si="32"/>
        <v>3129123</v>
      </c>
      <c r="M297" s="9" t="str">
        <f t="array" ref="M297:P297">_xlfn.XLOOKUP(C297,'Neiva 2022 FASE I ACTUAL (5)'!$C$6:$C$540,'Neiva 2022 FASE I ACTUAL (5)'!$C$6:$F$540,"NO ESTA")</f>
        <v xml:space="preserve">SUMINISTRO E INSTALACIÓN TUBERIA PVC-VENT DIAMETRO 3"                                                                     </v>
      </c>
      <c r="N297" s="9" t="str">
        <v xml:space="preserve">ML   </v>
      </c>
      <c r="O297" s="9">
        <v>36</v>
      </c>
      <c r="P297" s="9">
        <v>30959</v>
      </c>
      <c r="Q297" s="124" t="str">
        <f t="shared" si="35"/>
        <v>FASE II</v>
      </c>
      <c r="R297" s="155">
        <f t="shared" si="30"/>
        <v>133</v>
      </c>
      <c r="S297" s="156">
        <f t="shared" si="33"/>
        <v>32259</v>
      </c>
      <c r="T297" s="156">
        <f t="shared" si="34"/>
        <v>4290447</v>
      </c>
    </row>
    <row r="298" spans="1:20" s="9" customFormat="1" ht="35.1" customHeight="1" x14ac:dyDescent="0.25">
      <c r="A298" s="215"/>
      <c r="B298" s="240" t="s">
        <v>339</v>
      </c>
      <c r="C298" s="254" t="s">
        <v>340</v>
      </c>
      <c r="D298" s="255" t="s">
        <v>284</v>
      </c>
      <c r="E298" s="242">
        <v>122</v>
      </c>
      <c r="F298" s="242">
        <v>45</v>
      </c>
      <c r="G298" s="242">
        <v>167</v>
      </c>
      <c r="H298" s="243">
        <v>7628</v>
      </c>
      <c r="I298" s="243">
        <f t="shared" si="31"/>
        <v>1273876</v>
      </c>
      <c r="J298" s="8"/>
      <c r="K298" s="8">
        <f t="shared" si="29"/>
        <v>7628</v>
      </c>
      <c r="L298" s="8">
        <f t="shared" si="32"/>
        <v>930616</v>
      </c>
      <c r="M298" s="9" t="str">
        <f t="array" ref="M298:P298">_xlfn.XLOOKUP(C298,'Neiva 2022 FASE I ACTUAL (5)'!$C$6:$C$540,'Neiva 2022 FASE I ACTUAL (5)'!$C$6:$F$540,"NO ESTA")</f>
        <v xml:space="preserve">SUMINISTRO E INSTALACIÓN ACCESORIOS PVC-S DIAMETRO  2"                                                             </v>
      </c>
      <c r="N298" s="9" t="str">
        <v xml:space="preserve">UN   </v>
      </c>
      <c r="O298" s="9">
        <v>45</v>
      </c>
      <c r="P298" s="9">
        <v>7320</v>
      </c>
      <c r="Q298" s="124" t="str">
        <f t="shared" si="35"/>
        <v>FASE II</v>
      </c>
      <c r="R298" s="155">
        <f t="shared" si="30"/>
        <v>167</v>
      </c>
      <c r="S298" s="156">
        <f t="shared" si="33"/>
        <v>7628</v>
      </c>
      <c r="T298" s="156">
        <f t="shared" si="34"/>
        <v>1273876</v>
      </c>
    </row>
    <row r="299" spans="1:20" s="9" customFormat="1" ht="35.1" customHeight="1" x14ac:dyDescent="0.25">
      <c r="A299" s="215"/>
      <c r="B299" s="240" t="s">
        <v>341</v>
      </c>
      <c r="C299" s="254" t="s">
        <v>342</v>
      </c>
      <c r="D299" s="255" t="s">
        <v>284</v>
      </c>
      <c r="E299" s="242">
        <v>161</v>
      </c>
      <c r="F299" s="242">
        <v>60</v>
      </c>
      <c r="G299" s="242">
        <v>221</v>
      </c>
      <c r="H299" s="243">
        <v>10866</v>
      </c>
      <c r="I299" s="243">
        <f t="shared" si="31"/>
        <v>2401386</v>
      </c>
      <c r="J299" s="8"/>
      <c r="K299" s="8">
        <f t="shared" si="29"/>
        <v>10866</v>
      </c>
      <c r="L299" s="8">
        <f t="shared" si="32"/>
        <v>1749426</v>
      </c>
      <c r="M299" s="9" t="str">
        <f t="array" ref="M299:P299">_xlfn.XLOOKUP(C299,'Neiva 2022 FASE I ACTUAL (5)'!$C$6:$C$540,'Neiva 2022 FASE I ACTUAL (5)'!$C$6:$F$540,"NO ESTA")</f>
        <v xml:space="preserve">SUMINISTRO E INSTALACIÓN ACCESORIOS PVC-S DIAMETRO  3"                                                             </v>
      </c>
      <c r="N299" s="9" t="str">
        <v xml:space="preserve">UN   </v>
      </c>
      <c r="O299" s="9">
        <v>60</v>
      </c>
      <c r="P299" s="9">
        <v>10429</v>
      </c>
      <c r="Q299" s="124" t="str">
        <f t="shared" si="35"/>
        <v>FASE II</v>
      </c>
      <c r="R299" s="155">
        <f t="shared" si="30"/>
        <v>221</v>
      </c>
      <c r="S299" s="156">
        <f t="shared" si="33"/>
        <v>10866</v>
      </c>
      <c r="T299" s="156">
        <f t="shared" si="34"/>
        <v>2401386</v>
      </c>
    </row>
    <row r="300" spans="1:20" s="9" customFormat="1" ht="35.1" customHeight="1" x14ac:dyDescent="0.25">
      <c r="A300" s="215"/>
      <c r="B300" s="240" t="s">
        <v>343</v>
      </c>
      <c r="C300" s="254" t="s">
        <v>344</v>
      </c>
      <c r="D300" s="255" t="s">
        <v>284</v>
      </c>
      <c r="E300" s="242">
        <v>288</v>
      </c>
      <c r="F300" s="242">
        <v>106</v>
      </c>
      <c r="G300" s="242">
        <v>394</v>
      </c>
      <c r="H300" s="243">
        <v>15969</v>
      </c>
      <c r="I300" s="243">
        <f t="shared" si="31"/>
        <v>6291786</v>
      </c>
      <c r="J300" s="8"/>
      <c r="K300" s="8">
        <f t="shared" si="29"/>
        <v>15969</v>
      </c>
      <c r="L300" s="8">
        <f t="shared" si="32"/>
        <v>4599072</v>
      </c>
      <c r="M300" s="9" t="str">
        <f t="array" ref="M300:P300">_xlfn.XLOOKUP(C300,'Neiva 2022 FASE I ACTUAL (5)'!$C$6:$C$540,'Neiva 2022 FASE I ACTUAL (5)'!$C$6:$F$540,"NO ESTA")</f>
        <v xml:space="preserve">SUMINISTRO E INSTALACIÓN ACCESORIOS PVC-S DIAMETRO  4"                                                             </v>
      </c>
      <c r="N300" s="9" t="str">
        <v xml:space="preserve">UN   </v>
      </c>
      <c r="O300" s="9">
        <v>106</v>
      </c>
      <c r="P300" s="9">
        <v>15324</v>
      </c>
      <c r="Q300" s="124" t="str">
        <f t="shared" si="35"/>
        <v>FASE II</v>
      </c>
      <c r="R300" s="155">
        <f t="shared" si="30"/>
        <v>394</v>
      </c>
      <c r="S300" s="156">
        <f t="shared" si="33"/>
        <v>15969</v>
      </c>
      <c r="T300" s="156">
        <f t="shared" si="34"/>
        <v>6291786</v>
      </c>
    </row>
    <row r="301" spans="1:20" s="9" customFormat="1" ht="35.1" customHeight="1" x14ac:dyDescent="0.25">
      <c r="A301" s="215"/>
      <c r="B301" s="240" t="s">
        <v>345</v>
      </c>
      <c r="C301" s="254" t="s">
        <v>346</v>
      </c>
      <c r="D301" s="255" t="s">
        <v>284</v>
      </c>
      <c r="E301" s="242">
        <v>14</v>
      </c>
      <c r="F301" s="242">
        <v>5</v>
      </c>
      <c r="G301" s="242">
        <v>19</v>
      </c>
      <c r="H301" s="243">
        <v>4960</v>
      </c>
      <c r="I301" s="243">
        <f t="shared" si="31"/>
        <v>94240</v>
      </c>
      <c r="J301" s="8"/>
      <c r="K301" s="8">
        <f t="shared" si="29"/>
        <v>4960</v>
      </c>
      <c r="L301" s="8">
        <f t="shared" si="32"/>
        <v>69440</v>
      </c>
      <c r="M301" s="9" t="str">
        <f t="array" ref="M301:P301">_xlfn.XLOOKUP(C301,'Neiva 2022 FASE I ACTUAL (5)'!$C$6:$C$540,'Neiva 2022 FASE I ACTUAL (5)'!$C$6:$F$540,"NO ESTA")</f>
        <v xml:space="preserve">SUMINISTRO E INSTALACIÓN SOPORTE 2"                                                                   </v>
      </c>
      <c r="N301" s="9" t="str">
        <v xml:space="preserve">UN   </v>
      </c>
      <c r="O301" s="9">
        <v>5</v>
      </c>
      <c r="P301" s="9">
        <v>4760</v>
      </c>
      <c r="Q301" s="124" t="str">
        <f t="shared" si="35"/>
        <v>FASE II</v>
      </c>
      <c r="R301" s="155">
        <f t="shared" si="30"/>
        <v>19</v>
      </c>
      <c r="S301" s="156">
        <f t="shared" si="33"/>
        <v>4960</v>
      </c>
      <c r="T301" s="156">
        <f t="shared" si="34"/>
        <v>94240</v>
      </c>
    </row>
    <row r="302" spans="1:20" s="9" customFormat="1" ht="35.1" customHeight="1" x14ac:dyDescent="0.25">
      <c r="A302" s="215"/>
      <c r="B302" s="240" t="s">
        <v>347</v>
      </c>
      <c r="C302" s="254" t="s">
        <v>348</v>
      </c>
      <c r="D302" s="255" t="s">
        <v>284</v>
      </c>
      <c r="E302" s="242">
        <v>64</v>
      </c>
      <c r="F302" s="242">
        <v>23</v>
      </c>
      <c r="G302" s="242">
        <v>87</v>
      </c>
      <c r="H302" s="243">
        <v>6308</v>
      </c>
      <c r="I302" s="243">
        <f t="shared" si="31"/>
        <v>548796</v>
      </c>
      <c r="J302" s="8"/>
      <c r="K302" s="8">
        <f t="shared" si="29"/>
        <v>6308</v>
      </c>
      <c r="L302" s="8">
        <f t="shared" si="32"/>
        <v>403712</v>
      </c>
      <c r="M302" s="9" t="str">
        <f t="array" ref="M302:P302">_xlfn.XLOOKUP(C302,'Neiva 2022 FASE I ACTUAL (5)'!$C$6:$C$540,'Neiva 2022 FASE I ACTUAL (5)'!$C$6:$F$540,"NO ESTA")</f>
        <v xml:space="preserve">SUMINISTRO E INSTALACIÓN SOPORTE 3"                                                                   </v>
      </c>
      <c r="N302" s="9" t="str">
        <v xml:space="preserve">UN   </v>
      </c>
      <c r="O302" s="9">
        <v>23</v>
      </c>
      <c r="P302" s="9">
        <v>6054</v>
      </c>
      <c r="Q302" s="124" t="str">
        <f t="shared" si="35"/>
        <v>FASE II</v>
      </c>
      <c r="R302" s="155">
        <f t="shared" si="30"/>
        <v>87</v>
      </c>
      <c r="S302" s="156">
        <f t="shared" si="33"/>
        <v>6308</v>
      </c>
      <c r="T302" s="156">
        <f t="shared" si="34"/>
        <v>548796</v>
      </c>
    </row>
    <row r="303" spans="1:20" s="9" customFormat="1" ht="35.1" customHeight="1" x14ac:dyDescent="0.25">
      <c r="A303" s="215"/>
      <c r="B303" s="240" t="s">
        <v>349</v>
      </c>
      <c r="C303" s="254" t="s">
        <v>350</v>
      </c>
      <c r="D303" s="255" t="s">
        <v>284</v>
      </c>
      <c r="E303" s="242">
        <v>101</v>
      </c>
      <c r="F303" s="242">
        <v>38</v>
      </c>
      <c r="G303" s="242">
        <v>139</v>
      </c>
      <c r="H303" s="243">
        <v>12520</v>
      </c>
      <c r="I303" s="243">
        <f t="shared" si="31"/>
        <v>1740280</v>
      </c>
      <c r="J303" s="8"/>
      <c r="K303" s="8">
        <f t="shared" si="29"/>
        <v>12520</v>
      </c>
      <c r="L303" s="8">
        <f t="shared" si="32"/>
        <v>1264520</v>
      </c>
      <c r="M303" s="9" t="str">
        <f t="array" ref="M303:P303">_xlfn.XLOOKUP(C303,'Neiva 2022 FASE I ACTUAL (5)'!$C$6:$C$540,'Neiva 2022 FASE I ACTUAL (5)'!$C$6:$F$540,"NO ESTA")</f>
        <v xml:space="preserve">SUMINISTRO E INSTALACIÓN SOPORTE 4"                                                                   </v>
      </c>
      <c r="N303" s="9" t="str">
        <v xml:space="preserve">UN   </v>
      </c>
      <c r="O303" s="9">
        <v>38</v>
      </c>
      <c r="P303" s="9">
        <v>12016</v>
      </c>
      <c r="Q303" s="124" t="str">
        <f t="shared" si="35"/>
        <v>FASE II</v>
      </c>
      <c r="R303" s="155">
        <f t="shared" si="30"/>
        <v>139</v>
      </c>
      <c r="S303" s="156">
        <f t="shared" si="33"/>
        <v>12520</v>
      </c>
      <c r="T303" s="156">
        <f t="shared" si="34"/>
        <v>1740280</v>
      </c>
    </row>
    <row r="304" spans="1:20" s="9" customFormat="1" ht="35.1" customHeight="1" x14ac:dyDescent="0.25">
      <c r="A304" s="215"/>
      <c r="B304" s="240" t="s">
        <v>351</v>
      </c>
      <c r="C304" s="254" t="s">
        <v>352</v>
      </c>
      <c r="D304" s="255" t="s">
        <v>284</v>
      </c>
      <c r="E304" s="242">
        <v>36</v>
      </c>
      <c r="F304" s="242">
        <v>14</v>
      </c>
      <c r="G304" s="242">
        <v>50</v>
      </c>
      <c r="H304" s="243">
        <v>42025</v>
      </c>
      <c r="I304" s="243">
        <f t="shared" si="31"/>
        <v>2101250</v>
      </c>
      <c r="J304" s="8"/>
      <c r="K304" s="8">
        <f t="shared" si="29"/>
        <v>42025</v>
      </c>
      <c r="L304" s="8">
        <f t="shared" si="32"/>
        <v>1512900</v>
      </c>
      <c r="M304" s="9" t="str">
        <f t="array" ref="M304:P304">_xlfn.XLOOKUP(C304,'Neiva 2022 FASE I ACTUAL (5)'!$C$6:$C$540,'Neiva 2022 FASE I ACTUAL (5)'!$C$6:$F$540,"NO ESTA")</f>
        <v xml:space="preserve">SUMINISTRO E INSTALACIÓN SALIDA SANITARIA 2"                                    </v>
      </c>
      <c r="N304" s="9" t="str">
        <v xml:space="preserve">UN   </v>
      </c>
      <c r="O304" s="9">
        <v>14</v>
      </c>
      <c r="P304" s="9">
        <v>40331</v>
      </c>
      <c r="Q304" s="124" t="str">
        <f t="shared" si="35"/>
        <v>FASE II</v>
      </c>
      <c r="R304" s="155">
        <f t="shared" si="30"/>
        <v>50</v>
      </c>
      <c r="S304" s="156">
        <f t="shared" si="33"/>
        <v>42025</v>
      </c>
      <c r="T304" s="156">
        <f t="shared" si="34"/>
        <v>2101250</v>
      </c>
    </row>
    <row r="305" spans="1:20" s="9" customFormat="1" ht="35.1" customHeight="1" x14ac:dyDescent="0.25">
      <c r="A305" s="215"/>
      <c r="B305" s="240" t="s">
        <v>353</v>
      </c>
      <c r="C305" s="254" t="s">
        <v>354</v>
      </c>
      <c r="D305" s="255" t="s">
        <v>284</v>
      </c>
      <c r="E305" s="242">
        <v>23</v>
      </c>
      <c r="F305" s="242">
        <v>9</v>
      </c>
      <c r="G305" s="242">
        <v>32</v>
      </c>
      <c r="H305" s="243">
        <v>50796</v>
      </c>
      <c r="I305" s="243">
        <f t="shared" si="31"/>
        <v>1625472</v>
      </c>
      <c r="J305" s="8"/>
      <c r="K305" s="8">
        <f t="shared" ref="K305:K368" si="36">+ROUND(H305*(1+$K$4),0)</f>
        <v>50796</v>
      </c>
      <c r="L305" s="8">
        <f t="shared" si="32"/>
        <v>1168308</v>
      </c>
      <c r="M305" s="9" t="str">
        <f t="array" ref="M305:P305">_xlfn.XLOOKUP(C305,'Neiva 2022 FASE I ACTUAL (5)'!$C$6:$C$540,'Neiva 2022 FASE I ACTUAL (5)'!$C$6:$F$540,"NO ESTA")</f>
        <v xml:space="preserve">SUMINISTRO E INSTALACIÓN SALIDA SANITARIA 3"                                    </v>
      </c>
      <c r="N305" s="9" t="str">
        <v xml:space="preserve">UN   </v>
      </c>
      <c r="O305" s="9">
        <v>9</v>
      </c>
      <c r="P305" s="9">
        <v>48749</v>
      </c>
      <c r="Q305" s="124" t="str">
        <f t="shared" si="35"/>
        <v>FASE II</v>
      </c>
      <c r="R305" s="155">
        <f t="shared" si="30"/>
        <v>32</v>
      </c>
      <c r="S305" s="156">
        <f t="shared" si="33"/>
        <v>50796</v>
      </c>
      <c r="T305" s="156">
        <f t="shared" si="34"/>
        <v>1625472</v>
      </c>
    </row>
    <row r="306" spans="1:20" s="9" customFormat="1" ht="35.1" customHeight="1" x14ac:dyDescent="0.25">
      <c r="A306" s="215"/>
      <c r="B306" s="240" t="s">
        <v>355</v>
      </c>
      <c r="C306" s="254" t="s">
        <v>356</v>
      </c>
      <c r="D306" s="255" t="s">
        <v>284</v>
      </c>
      <c r="E306" s="242">
        <v>42</v>
      </c>
      <c r="F306" s="242">
        <v>16</v>
      </c>
      <c r="G306" s="242">
        <v>58</v>
      </c>
      <c r="H306" s="243">
        <v>62425</v>
      </c>
      <c r="I306" s="243">
        <f t="shared" si="31"/>
        <v>3620650</v>
      </c>
      <c r="J306" s="8"/>
      <c r="K306" s="8">
        <f t="shared" si="36"/>
        <v>62425</v>
      </c>
      <c r="L306" s="8">
        <f t="shared" si="32"/>
        <v>2621850</v>
      </c>
      <c r="M306" s="9" t="str">
        <f t="array" ref="M306:P306">_xlfn.XLOOKUP(C306,'Neiva 2022 FASE I ACTUAL (5)'!$C$6:$C$540,'Neiva 2022 FASE I ACTUAL (5)'!$C$6:$F$540,"NO ESTA")</f>
        <v xml:space="preserve">SUMINISTRO E INSTALACIÓN SALIDA SANITARIA 4"                                    </v>
      </c>
      <c r="N306" s="9" t="str">
        <v xml:space="preserve">UN   </v>
      </c>
      <c r="O306" s="9">
        <v>16</v>
      </c>
      <c r="P306" s="9">
        <v>59907</v>
      </c>
      <c r="Q306" s="124" t="str">
        <f t="shared" si="35"/>
        <v>FASE II</v>
      </c>
      <c r="R306" s="155">
        <f t="shared" si="30"/>
        <v>58</v>
      </c>
      <c r="S306" s="156">
        <f t="shared" si="33"/>
        <v>62425</v>
      </c>
      <c r="T306" s="156">
        <f t="shared" si="34"/>
        <v>3620650</v>
      </c>
    </row>
    <row r="307" spans="1:20" s="9" customFormat="1" ht="35.1" customHeight="1" x14ac:dyDescent="0.25">
      <c r="A307" s="215"/>
      <c r="B307" s="240" t="s">
        <v>357</v>
      </c>
      <c r="C307" s="254" t="s">
        <v>358</v>
      </c>
      <c r="D307" s="255" t="s">
        <v>284</v>
      </c>
      <c r="E307" s="242">
        <v>1</v>
      </c>
      <c r="F307" s="242">
        <v>1</v>
      </c>
      <c r="G307" s="242">
        <v>2</v>
      </c>
      <c r="H307" s="243">
        <v>550714</v>
      </c>
      <c r="I307" s="243">
        <f t="shared" si="31"/>
        <v>1101428</v>
      </c>
      <c r="J307" s="8"/>
      <c r="K307" s="8">
        <f t="shared" si="36"/>
        <v>550714</v>
      </c>
      <c r="L307" s="8">
        <f t="shared" si="32"/>
        <v>550714</v>
      </c>
      <c r="M307" s="9" t="str">
        <f t="array" ref="M307:P307">_xlfn.XLOOKUP(C307,'Neiva 2022 FASE I ACTUAL (5)'!$C$6:$C$540,'Neiva 2022 FASE I ACTUAL (5)'!$C$6:$F$540,"NO ESTA")</f>
        <v xml:space="preserve">SUMINISTRO Y CONSTRUCCIÓN CAJA DE INSPECCIÓN 0.80mX0.80m H mäx:1.0m                                                                    </v>
      </c>
      <c r="N307" s="9" t="str">
        <v xml:space="preserve">UN   </v>
      </c>
      <c r="O307" s="9">
        <v>1</v>
      </c>
      <c r="P307" s="9">
        <v>528504</v>
      </c>
      <c r="Q307" s="124" t="str">
        <f t="shared" si="35"/>
        <v>FASE II</v>
      </c>
      <c r="R307" s="155">
        <f t="shared" si="30"/>
        <v>2</v>
      </c>
      <c r="S307" s="156">
        <f t="shared" si="33"/>
        <v>550714</v>
      </c>
      <c r="T307" s="156">
        <f t="shared" si="34"/>
        <v>1101428</v>
      </c>
    </row>
    <row r="308" spans="1:20" s="9" customFormat="1" ht="35.1" customHeight="1" x14ac:dyDescent="0.25">
      <c r="A308" s="215"/>
      <c r="B308" s="240" t="s">
        <v>359</v>
      </c>
      <c r="C308" s="254" t="s">
        <v>360</v>
      </c>
      <c r="D308" s="255" t="s">
        <v>269</v>
      </c>
      <c r="E308" s="242">
        <v>29</v>
      </c>
      <c r="F308" s="242">
        <v>11</v>
      </c>
      <c r="G308" s="242">
        <v>40</v>
      </c>
      <c r="H308" s="243">
        <v>46508</v>
      </c>
      <c r="I308" s="243">
        <f t="shared" si="31"/>
        <v>1860320</v>
      </c>
      <c r="J308" s="8"/>
      <c r="K308" s="8">
        <f t="shared" si="36"/>
        <v>46508</v>
      </c>
      <c r="L308" s="8">
        <f t="shared" si="32"/>
        <v>1348732</v>
      </c>
      <c r="M308" s="9" t="str">
        <f t="array" ref="M308:P308">_xlfn.XLOOKUP(C308,'Neiva 2022 FASE I ACTUAL (5)'!$C$6:$C$540,'Neiva 2022 FASE I ACTUAL (5)'!$C$6:$F$540,"NO ESTA")</f>
        <v xml:space="preserve">SUMINISTRO E INSTALACIÓN TUBERIA PVC-ALC DIAMETRO 160mm                                                                   </v>
      </c>
      <c r="N308" s="9" t="str">
        <v xml:space="preserve">ML   </v>
      </c>
      <c r="O308" s="9">
        <v>11</v>
      </c>
      <c r="P308" s="9">
        <v>44632</v>
      </c>
      <c r="Q308" s="124" t="str">
        <f t="shared" si="35"/>
        <v>FASE II</v>
      </c>
      <c r="R308" s="155">
        <f t="shared" si="30"/>
        <v>40</v>
      </c>
      <c r="S308" s="156">
        <f t="shared" si="33"/>
        <v>46508</v>
      </c>
      <c r="T308" s="156">
        <f t="shared" si="34"/>
        <v>1860320</v>
      </c>
    </row>
    <row r="309" spans="1:20" s="9" customFormat="1" ht="35.1" customHeight="1" x14ac:dyDescent="0.25">
      <c r="A309" s="215"/>
      <c r="B309" s="240" t="s">
        <v>361</v>
      </c>
      <c r="C309" s="254" t="s">
        <v>362</v>
      </c>
      <c r="D309" s="255" t="s">
        <v>269</v>
      </c>
      <c r="E309" s="242">
        <v>7</v>
      </c>
      <c r="F309" s="242">
        <v>3</v>
      </c>
      <c r="G309" s="242">
        <v>10</v>
      </c>
      <c r="H309" s="243">
        <v>64946</v>
      </c>
      <c r="I309" s="243">
        <f t="shared" si="31"/>
        <v>649460</v>
      </c>
      <c r="J309" s="8"/>
      <c r="K309" s="8">
        <f t="shared" si="36"/>
        <v>64946</v>
      </c>
      <c r="L309" s="8">
        <f t="shared" si="32"/>
        <v>454622</v>
      </c>
      <c r="M309" s="9" t="str">
        <f t="array" ref="M309:P309">_xlfn.XLOOKUP(C309,'Neiva 2022 FASE I ACTUAL (5)'!$C$6:$C$540,'Neiva 2022 FASE I ACTUAL (5)'!$C$6:$F$540,"NO ESTA")</f>
        <v xml:space="preserve">SUMINISTRO E INSTALACIÓN TUBERIA PVC-ALC DIAMETRO 200mm                                                                   </v>
      </c>
      <c r="N309" s="9" t="str">
        <v xml:space="preserve">ML   </v>
      </c>
      <c r="O309" s="9">
        <v>3</v>
      </c>
      <c r="P309" s="9">
        <v>62327</v>
      </c>
      <c r="Q309" s="124" t="str">
        <f t="shared" si="35"/>
        <v>FASE II</v>
      </c>
      <c r="R309" s="155">
        <f t="shared" si="30"/>
        <v>10</v>
      </c>
      <c r="S309" s="156">
        <f t="shared" si="33"/>
        <v>64946</v>
      </c>
      <c r="T309" s="156">
        <f t="shared" si="34"/>
        <v>649460</v>
      </c>
    </row>
    <row r="310" spans="1:20" s="9" customFormat="1" ht="35.1" customHeight="1" x14ac:dyDescent="0.25">
      <c r="A310" s="215"/>
      <c r="B310" s="240" t="s">
        <v>363</v>
      </c>
      <c r="C310" s="254" t="s">
        <v>364</v>
      </c>
      <c r="D310" s="255" t="s">
        <v>269</v>
      </c>
      <c r="E310" s="242">
        <v>29</v>
      </c>
      <c r="F310" s="242">
        <v>11</v>
      </c>
      <c r="G310" s="242">
        <v>40</v>
      </c>
      <c r="H310" s="243">
        <v>98674</v>
      </c>
      <c r="I310" s="243">
        <f t="shared" si="31"/>
        <v>3946960</v>
      </c>
      <c r="J310" s="8"/>
      <c r="K310" s="8">
        <f t="shared" si="36"/>
        <v>98674</v>
      </c>
      <c r="L310" s="8">
        <f t="shared" si="32"/>
        <v>2861546</v>
      </c>
      <c r="M310" s="9" t="str">
        <f t="array" ref="M310:P310">_xlfn.XLOOKUP(C310,'Neiva 2022 FASE I ACTUAL (5)'!$C$6:$C$540,'Neiva 2022 FASE I ACTUAL (5)'!$C$6:$F$540,"NO ESTA")</f>
        <v xml:space="preserve">SUMINISTRO E INSTALACIÓN TUBERÍA PVC-P DIAMETRO 4"                                                        </v>
      </c>
      <c r="N310" s="9" t="str">
        <v xml:space="preserve">ML   </v>
      </c>
      <c r="O310" s="9">
        <v>11</v>
      </c>
      <c r="P310" s="9">
        <v>94694</v>
      </c>
      <c r="Q310" s="124" t="str">
        <f t="shared" si="35"/>
        <v>FASE II</v>
      </c>
      <c r="R310" s="155">
        <f t="shared" si="30"/>
        <v>40</v>
      </c>
      <c r="S310" s="156">
        <f t="shared" si="33"/>
        <v>98674</v>
      </c>
      <c r="T310" s="156">
        <f t="shared" si="34"/>
        <v>3946960</v>
      </c>
    </row>
    <row r="311" spans="1:20" s="9" customFormat="1" ht="35.1" customHeight="1" x14ac:dyDescent="0.25">
      <c r="A311" s="215"/>
      <c r="B311" s="240" t="s">
        <v>365</v>
      </c>
      <c r="C311" s="254" t="s">
        <v>366</v>
      </c>
      <c r="D311" s="255" t="s">
        <v>284</v>
      </c>
      <c r="E311" s="242">
        <v>15</v>
      </c>
      <c r="F311" s="242">
        <v>5</v>
      </c>
      <c r="G311" s="242">
        <v>20</v>
      </c>
      <c r="H311" s="243">
        <v>79464</v>
      </c>
      <c r="I311" s="243">
        <f t="shared" si="31"/>
        <v>1589280</v>
      </c>
      <c r="J311" s="8"/>
      <c r="K311" s="8">
        <f t="shared" si="36"/>
        <v>79464</v>
      </c>
      <c r="L311" s="8">
        <f t="shared" si="32"/>
        <v>1191960</v>
      </c>
      <c r="M311" s="9" t="str">
        <f t="array" ref="M311:P311">_xlfn.XLOOKUP(C311,'Neiva 2022 FASE I ACTUAL (5)'!$C$6:$C$540,'Neiva 2022 FASE I ACTUAL (5)'!$C$6:$F$540,"NO ESTA")</f>
        <v xml:space="preserve">SUMINISTRO E INSTALACIÓN ACCESORIOS PVC-P DIAMETRO 4"                                                             </v>
      </c>
      <c r="N311" s="9" t="str">
        <v xml:space="preserve">UN   </v>
      </c>
      <c r="O311" s="9">
        <v>5</v>
      </c>
      <c r="P311" s="9">
        <v>76259</v>
      </c>
      <c r="Q311" s="124" t="str">
        <f t="shared" si="35"/>
        <v>FASE II</v>
      </c>
      <c r="R311" s="155">
        <f t="shared" si="30"/>
        <v>20</v>
      </c>
      <c r="S311" s="156">
        <f t="shared" si="33"/>
        <v>79464</v>
      </c>
      <c r="T311" s="156">
        <f t="shared" si="34"/>
        <v>1589280</v>
      </c>
    </row>
    <row r="312" spans="1:20" s="9" customFormat="1" ht="35.1" customHeight="1" x14ac:dyDescent="0.25">
      <c r="A312" s="215"/>
      <c r="B312" s="283" t="s">
        <v>367</v>
      </c>
      <c r="C312" s="256" t="s">
        <v>368</v>
      </c>
      <c r="D312" s="256" t="s">
        <v>369</v>
      </c>
      <c r="E312" s="246"/>
      <c r="F312" s="246"/>
      <c r="G312" s="246"/>
      <c r="H312" s="246"/>
      <c r="I312" s="246"/>
      <c r="J312" s="8"/>
      <c r="K312" s="8">
        <f t="shared" si="36"/>
        <v>0</v>
      </c>
      <c r="L312" s="8">
        <f t="shared" si="32"/>
        <v>0</v>
      </c>
      <c r="M312" s="9" t="str">
        <f t="array" ref="M312:P312">_xlfn.XLOOKUP(C312,'Neiva 2022 FASE I ACTUAL (5)'!$C$6:$C$540,'Neiva 2022 FASE I ACTUAL (5)'!$C$6:$F$540,"NO ESTA")</f>
        <v>SUMINISTRO E INSTALACIÓN DE APARATOS SANITARIOS</v>
      </c>
      <c r="N312" s="9" t="str">
        <v xml:space="preserve">     </v>
      </c>
      <c r="O312" s="9">
        <v>0</v>
      </c>
      <c r="P312" s="9">
        <v>0</v>
      </c>
      <c r="Q312" s="124">
        <f t="shared" si="35"/>
        <v>0</v>
      </c>
      <c r="R312" s="155">
        <f t="shared" si="30"/>
        <v>0</v>
      </c>
      <c r="S312" s="156">
        <f t="shared" si="33"/>
        <v>0</v>
      </c>
      <c r="T312" s="156">
        <f t="shared" si="34"/>
        <v>0</v>
      </c>
    </row>
    <row r="313" spans="1:20" s="9" customFormat="1" ht="35.1" customHeight="1" x14ac:dyDescent="0.25">
      <c r="A313" s="215"/>
      <c r="B313" s="255" t="s">
        <v>370</v>
      </c>
      <c r="C313" s="87" t="s">
        <v>371</v>
      </c>
      <c r="D313" s="255" t="s">
        <v>284</v>
      </c>
      <c r="E313" s="242">
        <v>24</v>
      </c>
      <c r="F313" s="242">
        <v>28</v>
      </c>
      <c r="G313" s="242">
        <v>52</v>
      </c>
      <c r="H313" s="243">
        <v>1122964</v>
      </c>
      <c r="I313" s="243">
        <f t="shared" si="31"/>
        <v>58394128</v>
      </c>
      <c r="J313" s="8"/>
      <c r="K313" s="8">
        <f t="shared" si="36"/>
        <v>1122964</v>
      </c>
      <c r="L313" s="8">
        <f t="shared" si="32"/>
        <v>26951136</v>
      </c>
      <c r="M313" s="9" t="str">
        <f t="array" ref="M313:P313">_xlfn.XLOOKUP(C313,'Neiva 2022 FASE I ACTUAL (5)'!$C$6:$C$540,'Neiva 2022 FASE I ACTUAL (5)'!$C$6:$F$540,"NO ESTA")</f>
        <v>SUMINISTRO E INSTALACIÓN SANITARIO INSTITUCIONAL incluye FLUXOMETRO</v>
      </c>
      <c r="N313" s="9" t="str">
        <v xml:space="preserve">UN   </v>
      </c>
      <c r="O313" s="9">
        <v>28</v>
      </c>
      <c r="P313" s="9">
        <v>1077676</v>
      </c>
      <c r="Q313" s="124" t="str">
        <f t="shared" si="35"/>
        <v>FASE II</v>
      </c>
      <c r="R313" s="155">
        <f t="shared" si="30"/>
        <v>52</v>
      </c>
      <c r="S313" s="156">
        <f t="shared" si="33"/>
        <v>1122964</v>
      </c>
      <c r="T313" s="156">
        <f t="shared" si="34"/>
        <v>58394128</v>
      </c>
    </row>
    <row r="314" spans="1:20" s="9" customFormat="1" ht="35.1" customHeight="1" x14ac:dyDescent="0.25">
      <c r="A314" s="215"/>
      <c r="B314" s="255" t="s">
        <v>372</v>
      </c>
      <c r="C314" s="87" t="s">
        <v>373</v>
      </c>
      <c r="D314" s="255" t="s">
        <v>374</v>
      </c>
      <c r="E314" s="242">
        <v>4</v>
      </c>
      <c r="F314" s="242">
        <v>4</v>
      </c>
      <c r="G314" s="242">
        <v>8</v>
      </c>
      <c r="H314" s="243">
        <v>680428</v>
      </c>
      <c r="I314" s="243">
        <f t="shared" si="31"/>
        <v>5443424</v>
      </c>
      <c r="J314" s="8"/>
      <c r="K314" s="8">
        <f t="shared" si="36"/>
        <v>680428</v>
      </c>
      <c r="L314" s="8">
        <f t="shared" si="32"/>
        <v>2721712</v>
      </c>
      <c r="M314" s="9" t="str">
        <f t="array" ref="M314:P314">_xlfn.XLOOKUP(C314,'Neiva 2022 FASE I ACTUAL (5)'!$C$6:$C$540,'Neiva 2022 FASE I ACTUAL (5)'!$C$6:$F$540,"NO ESTA")</f>
        <v xml:space="preserve">SUMINISTRO E INSTALACIÓN SANITARIO DE BAJO CONSUMO </v>
      </c>
      <c r="N314" s="9" t="str">
        <v>UN</v>
      </c>
      <c r="O314" s="9">
        <v>4</v>
      </c>
      <c r="P314" s="9">
        <v>652986</v>
      </c>
      <c r="Q314" s="124" t="str">
        <f t="shared" si="35"/>
        <v>FASE II</v>
      </c>
      <c r="R314" s="155">
        <f t="shared" si="30"/>
        <v>8</v>
      </c>
      <c r="S314" s="156">
        <f t="shared" si="33"/>
        <v>680428</v>
      </c>
      <c r="T314" s="156">
        <f t="shared" si="34"/>
        <v>5443424</v>
      </c>
    </row>
    <row r="315" spans="1:20" s="9" customFormat="1" ht="35.1" customHeight="1" x14ac:dyDescent="0.25">
      <c r="A315" s="215"/>
      <c r="B315" s="255" t="s">
        <v>375</v>
      </c>
      <c r="C315" s="87" t="s">
        <v>376</v>
      </c>
      <c r="D315" s="255" t="s">
        <v>284</v>
      </c>
      <c r="E315" s="242">
        <v>9</v>
      </c>
      <c r="F315" s="242">
        <v>12</v>
      </c>
      <c r="G315" s="242">
        <v>21</v>
      </c>
      <c r="H315" s="243">
        <v>769455</v>
      </c>
      <c r="I315" s="243">
        <f t="shared" si="31"/>
        <v>16158555</v>
      </c>
      <c r="J315" s="8"/>
      <c r="K315" s="8">
        <f t="shared" si="36"/>
        <v>769455</v>
      </c>
      <c r="L315" s="8">
        <f t="shared" si="32"/>
        <v>6925095</v>
      </c>
      <c r="M315" s="9" t="str">
        <f t="array" ref="M315:P315">_xlfn.XLOOKUP(C315,'Neiva 2022 FASE I ACTUAL (5)'!$C$6:$C$540,'Neiva 2022 FASE I ACTUAL (5)'!$C$6:$F$540,"NO ESTA")</f>
        <v>SUMINISTRO E INSTALACIÓN ORINAL</v>
      </c>
      <c r="N315" s="9" t="str">
        <v xml:space="preserve">UN   </v>
      </c>
      <c r="O315" s="9">
        <v>12</v>
      </c>
      <c r="P315" s="9">
        <v>738424</v>
      </c>
      <c r="Q315" s="124" t="str">
        <f t="shared" si="35"/>
        <v>FASE II</v>
      </c>
      <c r="R315" s="155">
        <f t="shared" si="30"/>
        <v>21</v>
      </c>
      <c r="S315" s="156">
        <f t="shared" si="33"/>
        <v>769455</v>
      </c>
      <c r="T315" s="156">
        <f t="shared" si="34"/>
        <v>16158555</v>
      </c>
    </row>
    <row r="316" spans="1:20" s="9" customFormat="1" ht="35.1" customHeight="1" x14ac:dyDescent="0.25">
      <c r="A316" s="215"/>
      <c r="B316" s="255" t="s">
        <v>377</v>
      </c>
      <c r="C316" s="241" t="s">
        <v>378</v>
      </c>
      <c r="D316" s="255" t="s">
        <v>94</v>
      </c>
      <c r="E316" s="242">
        <v>13</v>
      </c>
      <c r="F316" s="242">
        <v>14</v>
      </c>
      <c r="G316" s="242">
        <v>27</v>
      </c>
      <c r="H316" s="243">
        <v>221497</v>
      </c>
      <c r="I316" s="243">
        <f t="shared" si="31"/>
        <v>5980419</v>
      </c>
      <c r="J316" s="8"/>
      <c r="K316" s="8">
        <f t="shared" si="36"/>
        <v>221497</v>
      </c>
      <c r="L316" s="8">
        <f t="shared" si="32"/>
        <v>2879461</v>
      </c>
      <c r="M316" s="9" t="str">
        <f t="array" ref="M316:P316">_xlfn.XLOOKUP(C316,'Neiva 2022 FASE I ACTUAL (5)'!$C$6:$C$540,'Neiva 2022 FASE I ACTUAL (5)'!$C$6:$F$540,"NO ESTA")</f>
        <v>SUMINISTRO E INSTALACIÓN MESÓN EN GRANITO NEGRO ABSOLUTO o similar, ANCHO 0.60m</v>
      </c>
      <c r="N316" s="9" t="str">
        <v>ML</v>
      </c>
      <c r="O316" s="9">
        <v>14</v>
      </c>
      <c r="P316" s="9">
        <v>212565</v>
      </c>
      <c r="Q316" s="124" t="str">
        <f t="shared" si="35"/>
        <v>FASE II</v>
      </c>
      <c r="R316" s="155">
        <f t="shared" si="30"/>
        <v>27</v>
      </c>
      <c r="S316" s="156">
        <f t="shared" si="33"/>
        <v>221497</v>
      </c>
      <c r="T316" s="156">
        <f t="shared" si="34"/>
        <v>5980419</v>
      </c>
    </row>
    <row r="317" spans="1:20" s="9" customFormat="1" ht="35.1" customHeight="1" x14ac:dyDescent="0.25">
      <c r="A317" s="215"/>
      <c r="B317" s="255" t="s">
        <v>379</v>
      </c>
      <c r="C317" s="87" t="s">
        <v>380</v>
      </c>
      <c r="D317" s="255" t="s">
        <v>284</v>
      </c>
      <c r="E317" s="242">
        <v>18</v>
      </c>
      <c r="F317" s="242">
        <v>20</v>
      </c>
      <c r="G317" s="242">
        <v>38</v>
      </c>
      <c r="H317" s="243">
        <v>597981</v>
      </c>
      <c r="I317" s="243">
        <f t="shared" si="31"/>
        <v>22723278</v>
      </c>
      <c r="J317" s="8"/>
      <c r="K317" s="8">
        <f t="shared" si="36"/>
        <v>597981</v>
      </c>
      <c r="L317" s="8">
        <f t="shared" si="32"/>
        <v>10763658</v>
      </c>
      <c r="M317" s="9" t="str">
        <f t="array" ref="M317:P317">_xlfn.XLOOKUP(C317,'Neiva 2022 FASE I ACTUAL (5)'!$C$6:$C$540,'Neiva 2022 FASE I ACTUAL (5)'!$C$6:$F$540,"NO ESTA")</f>
        <v xml:space="preserve">SUMINISTRO E INSTALACIÓN LAVAMANOS SOBREPONER </v>
      </c>
      <c r="N317" s="9" t="str">
        <v xml:space="preserve">UN   </v>
      </c>
      <c r="O317" s="9">
        <v>20</v>
      </c>
      <c r="P317" s="9">
        <v>573865</v>
      </c>
      <c r="Q317" s="124" t="str">
        <f t="shared" si="35"/>
        <v>FASE II</v>
      </c>
      <c r="R317" s="155">
        <f t="shared" si="30"/>
        <v>38</v>
      </c>
      <c r="S317" s="156">
        <f t="shared" si="33"/>
        <v>597981</v>
      </c>
      <c r="T317" s="156">
        <f t="shared" si="34"/>
        <v>22723278</v>
      </c>
    </row>
    <row r="318" spans="1:20" s="9" customFormat="1" ht="35.1" customHeight="1" x14ac:dyDescent="0.25">
      <c r="A318" s="215"/>
      <c r="B318" s="255" t="s">
        <v>381</v>
      </c>
      <c r="C318" s="87" t="s">
        <v>382</v>
      </c>
      <c r="D318" s="255" t="s">
        <v>284</v>
      </c>
      <c r="E318" s="242">
        <v>3</v>
      </c>
      <c r="F318" s="242">
        <v>3</v>
      </c>
      <c r="G318" s="242">
        <v>6</v>
      </c>
      <c r="H318" s="243">
        <v>565561</v>
      </c>
      <c r="I318" s="243">
        <f t="shared" si="31"/>
        <v>3393366</v>
      </c>
      <c r="J318" s="8"/>
      <c r="K318" s="8">
        <f t="shared" si="36"/>
        <v>565561</v>
      </c>
      <c r="L318" s="8">
        <f t="shared" si="32"/>
        <v>1696683</v>
      </c>
      <c r="M318" s="9" t="str">
        <f t="array" ref="M318:P318">_xlfn.XLOOKUP(C318,'Neiva 2022 FASE I ACTUAL (5)'!$C$6:$C$540,'Neiva 2022 FASE I ACTUAL (5)'!$C$6:$F$540,"NO ESTA")</f>
        <v>SUMINISTRO E INSTALACIÓN LAVAMANOS PEDESTAL</v>
      </c>
      <c r="N318" s="9" t="str">
        <v xml:space="preserve">UN   </v>
      </c>
      <c r="O318" s="9">
        <v>3</v>
      </c>
      <c r="P318" s="9">
        <v>542753</v>
      </c>
      <c r="Q318" s="124" t="str">
        <f t="shared" si="35"/>
        <v>FASE II</v>
      </c>
      <c r="R318" s="155">
        <f t="shared" si="30"/>
        <v>6</v>
      </c>
      <c r="S318" s="156">
        <f t="shared" si="33"/>
        <v>565561</v>
      </c>
      <c r="T318" s="156">
        <f t="shared" si="34"/>
        <v>3393366</v>
      </c>
    </row>
    <row r="319" spans="1:20" s="9" customFormat="1" ht="35.1" customHeight="1" x14ac:dyDescent="0.25">
      <c r="A319" s="215"/>
      <c r="B319" s="255" t="s">
        <v>383</v>
      </c>
      <c r="C319" s="241" t="s">
        <v>384</v>
      </c>
      <c r="D319" s="255" t="s">
        <v>13</v>
      </c>
      <c r="E319" s="242">
        <v>11</v>
      </c>
      <c r="F319" s="242">
        <v>12</v>
      </c>
      <c r="G319" s="242">
        <v>23</v>
      </c>
      <c r="H319" s="243">
        <v>92259</v>
      </c>
      <c r="I319" s="243">
        <f t="shared" si="31"/>
        <v>2121957</v>
      </c>
      <c r="J319" s="8"/>
      <c r="K319" s="8">
        <f t="shared" si="36"/>
        <v>92259</v>
      </c>
      <c r="L319" s="8">
        <f t="shared" si="32"/>
        <v>1014849</v>
      </c>
      <c r="M319" s="9" t="str">
        <f t="array" ref="M319:P319">_xlfn.XLOOKUP(C319,'Neiva 2022 FASE I ACTUAL (5)'!$C$6:$C$540,'Neiva 2022 FASE I ACTUAL (5)'!$C$6:$F$540,"NO ESTA")</f>
        <v>SUMINISTRO E INSTALACIÓN ESPEJO e=4MM PEGADO SOBRE BASTIDOR EN ALUMINIO DE 2X1</v>
      </c>
      <c r="N319" s="9" t="str">
        <v>M2</v>
      </c>
      <c r="O319" s="9">
        <v>12</v>
      </c>
      <c r="P319" s="9">
        <v>88538</v>
      </c>
      <c r="Q319" s="124" t="str">
        <f t="shared" si="35"/>
        <v>FASE II</v>
      </c>
      <c r="R319" s="155">
        <f t="shared" si="30"/>
        <v>23</v>
      </c>
      <c r="S319" s="156">
        <f t="shared" si="33"/>
        <v>92259</v>
      </c>
      <c r="T319" s="156">
        <f t="shared" si="34"/>
        <v>2121957</v>
      </c>
    </row>
    <row r="320" spans="1:20" s="9" customFormat="1" ht="35.1" customHeight="1" x14ac:dyDescent="0.25">
      <c r="A320" s="215"/>
      <c r="B320" s="255" t="s">
        <v>385</v>
      </c>
      <c r="C320" s="241" t="s">
        <v>386</v>
      </c>
      <c r="D320" s="255" t="s">
        <v>284</v>
      </c>
      <c r="E320" s="242">
        <v>1</v>
      </c>
      <c r="F320" s="242">
        <v>2</v>
      </c>
      <c r="G320" s="242">
        <v>3</v>
      </c>
      <c r="H320" s="243">
        <v>44812</v>
      </c>
      <c r="I320" s="243">
        <f t="shared" si="31"/>
        <v>134436</v>
      </c>
      <c r="J320" s="8"/>
      <c r="K320" s="8">
        <f t="shared" si="36"/>
        <v>44812</v>
      </c>
      <c r="L320" s="8">
        <f t="shared" si="32"/>
        <v>44812</v>
      </c>
      <c r="M320" s="9" t="str">
        <f t="array" ref="M320:P320">_xlfn.XLOOKUP(C320,'Neiva 2022 FASE I ACTUAL (5)'!$C$6:$C$540,'Neiva 2022 FASE I ACTUAL (5)'!$C$6:$F$540,"NO ESTA")</f>
        <v>SUMINISTRO E INSTALACIÓN LLAVES MANGUERA</v>
      </c>
      <c r="N320" s="9" t="str">
        <v xml:space="preserve">UN   </v>
      </c>
      <c r="O320" s="9">
        <v>2</v>
      </c>
      <c r="P320" s="9">
        <v>43005</v>
      </c>
      <c r="Q320" s="124" t="str">
        <f t="shared" si="35"/>
        <v>FASE II</v>
      </c>
      <c r="R320" s="155">
        <f t="shared" si="30"/>
        <v>3</v>
      </c>
      <c r="S320" s="156">
        <f t="shared" si="33"/>
        <v>44812</v>
      </c>
      <c r="T320" s="156">
        <f t="shared" si="34"/>
        <v>134436</v>
      </c>
    </row>
    <row r="321" spans="1:20" s="9" customFormat="1" ht="35.1" customHeight="1" x14ac:dyDescent="0.25">
      <c r="A321" s="215"/>
      <c r="B321" s="283" t="s">
        <v>387</v>
      </c>
      <c r="C321" s="256" t="s">
        <v>388</v>
      </c>
      <c r="D321" s="256"/>
      <c r="E321" s="246"/>
      <c r="F321" s="246"/>
      <c r="G321" s="246"/>
      <c r="H321" s="246"/>
      <c r="I321" s="246"/>
      <c r="J321" s="8"/>
      <c r="K321" s="8">
        <f t="shared" si="36"/>
        <v>0</v>
      </c>
      <c r="L321" s="8">
        <f t="shared" si="32"/>
        <v>0</v>
      </c>
      <c r="M321" s="9" t="str">
        <f t="array" ref="M321:P321">_xlfn.XLOOKUP(C321,'Neiva 2022 FASE I ACTUAL (5)'!$C$6:$C$540,'Neiva 2022 FASE I ACTUAL (5)'!$C$6:$F$540,"NO ESTA")</f>
        <v xml:space="preserve">SUMINISTRO E INSTALACION RED DESAGÜES AGUAS LLUVIAS                                                                                 </v>
      </c>
      <c r="N321" s="9">
        <v>0</v>
      </c>
      <c r="O321" s="9">
        <v>0</v>
      </c>
      <c r="P321" s="9">
        <v>0</v>
      </c>
      <c r="Q321" s="124">
        <f t="shared" si="35"/>
        <v>0</v>
      </c>
      <c r="R321" s="155">
        <f t="shared" si="30"/>
        <v>0</v>
      </c>
      <c r="S321" s="156">
        <f t="shared" si="33"/>
        <v>0</v>
      </c>
      <c r="T321" s="156">
        <f t="shared" si="34"/>
        <v>0</v>
      </c>
    </row>
    <row r="322" spans="1:20" s="9" customFormat="1" ht="35.1" customHeight="1" x14ac:dyDescent="0.25">
      <c r="A322" s="215"/>
      <c r="B322" s="255" t="s">
        <v>389</v>
      </c>
      <c r="C322" s="254" t="s">
        <v>390</v>
      </c>
      <c r="D322" s="255" t="s">
        <v>269</v>
      </c>
      <c r="E322" s="242">
        <v>248</v>
      </c>
      <c r="F322" s="242">
        <v>92</v>
      </c>
      <c r="G322" s="242">
        <v>340</v>
      </c>
      <c r="H322" s="243">
        <v>36695</v>
      </c>
      <c r="I322" s="243">
        <f t="shared" si="31"/>
        <v>12476300</v>
      </c>
      <c r="J322" s="8"/>
      <c r="K322" s="8">
        <f t="shared" si="36"/>
        <v>36695</v>
      </c>
      <c r="L322" s="8">
        <f t="shared" si="32"/>
        <v>9100360</v>
      </c>
      <c r="M322" s="9" t="str">
        <f t="array" ref="M322:P322">_xlfn.XLOOKUP(C322,'Neiva 2022 FASE I ACTUAL (5)'!$C$6:$C$540,'Neiva 2022 FASE I ACTUAL (5)'!$C$6:$F$540,"NO ESTA")</f>
        <v xml:space="preserve">SUMINISTRO E INSTALACIÓN TUBERIA PVC-S DIAMETRO  3 PUL                                                                 </v>
      </c>
      <c r="N322" s="9" t="str">
        <v xml:space="preserve">ML   </v>
      </c>
      <c r="O322" s="9">
        <v>92</v>
      </c>
      <c r="P322" s="9">
        <v>35215</v>
      </c>
      <c r="Q322" s="124" t="str">
        <f t="shared" si="35"/>
        <v>FASE II</v>
      </c>
      <c r="R322" s="155">
        <f t="shared" si="30"/>
        <v>340</v>
      </c>
      <c r="S322" s="156">
        <f t="shared" si="33"/>
        <v>36695</v>
      </c>
      <c r="T322" s="156">
        <f t="shared" si="34"/>
        <v>12476300</v>
      </c>
    </row>
    <row r="323" spans="1:20" s="9" customFormat="1" ht="35.1" customHeight="1" x14ac:dyDescent="0.25">
      <c r="A323" s="215"/>
      <c r="B323" s="255" t="s">
        <v>391</v>
      </c>
      <c r="C323" s="241" t="s">
        <v>392</v>
      </c>
      <c r="D323" s="240" t="s">
        <v>269</v>
      </c>
      <c r="E323" s="242">
        <v>122</v>
      </c>
      <c r="F323" s="242">
        <v>45</v>
      </c>
      <c r="G323" s="242">
        <v>167</v>
      </c>
      <c r="H323" s="243">
        <v>52349</v>
      </c>
      <c r="I323" s="243">
        <f t="shared" si="31"/>
        <v>8742283</v>
      </c>
      <c r="J323" s="8"/>
      <c r="K323" s="8">
        <f t="shared" si="36"/>
        <v>52349</v>
      </c>
      <c r="L323" s="8">
        <f t="shared" si="32"/>
        <v>6386578</v>
      </c>
      <c r="M323" s="9" t="str">
        <f t="array" ref="M323:P323">_xlfn.XLOOKUP(C323,'Neiva 2022 FASE I ACTUAL (5)'!$C$6:$C$540,'Neiva 2022 FASE I ACTUAL (5)'!$C$6:$F$540,"NO ESTA")</f>
        <v xml:space="preserve">SUMINISTRO E INSTALACIÓN TUBERIA PVC-S DIAMETRO 4 PUL                                                                 </v>
      </c>
      <c r="N323" s="9" t="str">
        <v xml:space="preserve">ML   </v>
      </c>
      <c r="O323" s="9">
        <v>45</v>
      </c>
      <c r="P323" s="9">
        <v>50238</v>
      </c>
      <c r="Q323" s="124" t="str">
        <f t="shared" si="35"/>
        <v>FASE II</v>
      </c>
      <c r="R323" s="155">
        <f t="shared" si="30"/>
        <v>167</v>
      </c>
      <c r="S323" s="156">
        <f t="shared" si="33"/>
        <v>52349</v>
      </c>
      <c r="T323" s="156">
        <f t="shared" si="34"/>
        <v>8742283</v>
      </c>
    </row>
    <row r="324" spans="1:20" s="9" customFormat="1" ht="35.1" customHeight="1" x14ac:dyDescent="0.25">
      <c r="A324" s="215"/>
      <c r="B324" s="255" t="s">
        <v>393</v>
      </c>
      <c r="C324" s="241" t="s">
        <v>394</v>
      </c>
      <c r="D324" s="240" t="s">
        <v>269</v>
      </c>
      <c r="E324" s="242">
        <v>161</v>
      </c>
      <c r="F324" s="242">
        <v>60</v>
      </c>
      <c r="G324" s="242">
        <v>221</v>
      </c>
      <c r="H324" s="243">
        <v>94604</v>
      </c>
      <c r="I324" s="243">
        <f t="shared" si="31"/>
        <v>20907484</v>
      </c>
      <c r="J324" s="8"/>
      <c r="K324" s="8">
        <f t="shared" si="36"/>
        <v>94604</v>
      </c>
      <c r="L324" s="8">
        <f t="shared" si="32"/>
        <v>15231244</v>
      </c>
      <c r="M324" s="9" t="str">
        <f t="array" ref="M324:P324">_xlfn.XLOOKUP(C324,'Neiva 2022 FASE I ACTUAL (5)'!$C$6:$C$540,'Neiva 2022 FASE I ACTUAL (5)'!$C$6:$F$540,"NO ESTA")</f>
        <v xml:space="preserve">SUMINISTRO E INSTALACIÓN TUBERIA PVC-S DIAMETRO 6 PUL                                                                 </v>
      </c>
      <c r="N324" s="9" t="str">
        <v xml:space="preserve">ML   </v>
      </c>
      <c r="O324" s="9">
        <v>60</v>
      </c>
      <c r="P324" s="9">
        <v>90790</v>
      </c>
      <c r="Q324" s="124" t="str">
        <f t="shared" si="35"/>
        <v>FASE II</v>
      </c>
      <c r="R324" s="155">
        <f t="shared" si="30"/>
        <v>221</v>
      </c>
      <c r="S324" s="156">
        <f t="shared" si="33"/>
        <v>94604</v>
      </c>
      <c r="T324" s="156">
        <f t="shared" si="34"/>
        <v>20907484</v>
      </c>
    </row>
    <row r="325" spans="1:20" s="9" customFormat="1" ht="35.1" customHeight="1" x14ac:dyDescent="0.25">
      <c r="A325" s="215"/>
      <c r="B325" s="255" t="s">
        <v>395</v>
      </c>
      <c r="C325" s="241" t="s">
        <v>396</v>
      </c>
      <c r="D325" s="240" t="s">
        <v>374</v>
      </c>
      <c r="E325" s="242">
        <v>101</v>
      </c>
      <c r="F325" s="242">
        <v>38</v>
      </c>
      <c r="G325" s="242">
        <v>139</v>
      </c>
      <c r="H325" s="243">
        <v>10866</v>
      </c>
      <c r="I325" s="243">
        <f t="shared" si="31"/>
        <v>1510374</v>
      </c>
      <c r="J325" s="8"/>
      <c r="K325" s="8">
        <f t="shared" si="36"/>
        <v>10866</v>
      </c>
      <c r="L325" s="8">
        <f t="shared" si="32"/>
        <v>1097466</v>
      </c>
      <c r="M325" s="9" t="str">
        <f t="array" ref="M325:P325">_xlfn.XLOOKUP(C325,'Neiva 2022 FASE I ACTUAL (5)'!$C$6:$C$540,'Neiva 2022 FASE I ACTUAL (5)'!$C$6:$F$540,"NO ESTA")</f>
        <v xml:space="preserve">SUMINISTRO E INSTALACIÓN ACCESORIOS PVC-S DIAMETRO 3"                                                             </v>
      </c>
      <c r="N325" s="9" t="str">
        <v>UN</v>
      </c>
      <c r="O325" s="9">
        <v>38</v>
      </c>
      <c r="P325" s="9">
        <v>10429</v>
      </c>
      <c r="Q325" s="124" t="str">
        <f t="shared" si="35"/>
        <v>FASE II</v>
      </c>
      <c r="R325" s="155">
        <f t="shared" si="30"/>
        <v>139</v>
      </c>
      <c r="S325" s="156">
        <f t="shared" si="33"/>
        <v>10866</v>
      </c>
      <c r="T325" s="156">
        <f t="shared" si="34"/>
        <v>1510374</v>
      </c>
    </row>
    <row r="326" spans="1:20" s="9" customFormat="1" ht="35.1" customHeight="1" x14ac:dyDescent="0.25">
      <c r="A326" s="215"/>
      <c r="B326" s="255" t="s">
        <v>397</v>
      </c>
      <c r="C326" s="285" t="s">
        <v>398</v>
      </c>
      <c r="D326" s="240" t="s">
        <v>374</v>
      </c>
      <c r="E326" s="242">
        <v>58</v>
      </c>
      <c r="F326" s="242">
        <v>21</v>
      </c>
      <c r="G326" s="242">
        <v>79</v>
      </c>
      <c r="H326" s="243">
        <v>15969</v>
      </c>
      <c r="I326" s="243">
        <f t="shared" si="31"/>
        <v>1261551</v>
      </c>
      <c r="J326" s="8"/>
      <c r="K326" s="8">
        <f t="shared" si="36"/>
        <v>15969</v>
      </c>
      <c r="L326" s="8">
        <f t="shared" si="32"/>
        <v>926202</v>
      </c>
      <c r="M326" s="9" t="str">
        <f t="array" ref="M326:P326">_xlfn.XLOOKUP(C326,'Neiva 2022 FASE I ACTUAL (5)'!$C$6:$C$540,'Neiva 2022 FASE I ACTUAL (5)'!$C$6:$F$540,"NO ESTA")</f>
        <v xml:space="preserve">SUMINISTRO E INSTALACIÓN ACCESORIOS PVC-S DIAMETRO 4"                                                             </v>
      </c>
      <c r="N326" s="9" t="str">
        <v>UN</v>
      </c>
      <c r="O326" s="9">
        <v>21</v>
      </c>
      <c r="P326" s="9">
        <v>15324</v>
      </c>
      <c r="Q326" s="124" t="str">
        <f t="shared" si="35"/>
        <v>FASE II</v>
      </c>
      <c r="R326" s="155">
        <f t="shared" ref="R326:R389" si="37">E326+O326</f>
        <v>79</v>
      </c>
      <c r="S326" s="156">
        <f t="shared" si="33"/>
        <v>15969</v>
      </c>
      <c r="T326" s="156">
        <f t="shared" si="34"/>
        <v>1261551</v>
      </c>
    </row>
    <row r="327" spans="1:20" s="9" customFormat="1" ht="35.1" customHeight="1" x14ac:dyDescent="0.25">
      <c r="A327" s="215"/>
      <c r="B327" s="255" t="s">
        <v>399</v>
      </c>
      <c r="C327" s="241" t="s">
        <v>400</v>
      </c>
      <c r="D327" s="240" t="s">
        <v>374</v>
      </c>
      <c r="E327" s="242">
        <v>68</v>
      </c>
      <c r="F327" s="242">
        <v>25</v>
      </c>
      <c r="G327" s="242">
        <v>93</v>
      </c>
      <c r="H327" s="243">
        <v>76100</v>
      </c>
      <c r="I327" s="243">
        <f t="shared" ref="I327:I390" si="38">ROUND(+H327*G327,2)</f>
        <v>7077300</v>
      </c>
      <c r="J327" s="8"/>
      <c r="K327" s="8">
        <f t="shared" si="36"/>
        <v>76100</v>
      </c>
      <c r="L327" s="8">
        <f t="shared" ref="L327:L390" si="39">+K327*E327</f>
        <v>5174800</v>
      </c>
      <c r="M327" s="9" t="str">
        <f t="array" ref="M327:P327">_xlfn.XLOOKUP(C327,'Neiva 2022 FASE I ACTUAL (5)'!$C$6:$C$540,'Neiva 2022 FASE I ACTUAL (5)'!$C$6:$F$540,"NO ESTA")</f>
        <v xml:space="preserve">SUMINISTRO E INSTALACIÓN ACCESORIOS PVC-S DIAMETRO 6"                                                             </v>
      </c>
      <c r="N327" s="9" t="str">
        <v>UN</v>
      </c>
      <c r="O327" s="9">
        <v>25</v>
      </c>
      <c r="P327" s="9">
        <v>73031</v>
      </c>
      <c r="Q327" s="124" t="str">
        <f t="shared" si="35"/>
        <v>FASE II</v>
      </c>
      <c r="R327" s="155">
        <f t="shared" si="37"/>
        <v>93</v>
      </c>
      <c r="S327" s="156">
        <f t="shared" ref="S327:S390" si="40">MAX(P327,H327,K327)</f>
        <v>76100</v>
      </c>
      <c r="T327" s="156">
        <f t="shared" ref="T327:T390" si="41">ROUND(R327*S327,2)</f>
        <v>7077300</v>
      </c>
    </row>
    <row r="328" spans="1:20" s="9" customFormat="1" ht="35.1" customHeight="1" x14ac:dyDescent="0.25">
      <c r="A328" s="215"/>
      <c r="B328" s="255" t="s">
        <v>401</v>
      </c>
      <c r="C328" s="241" t="s">
        <v>402</v>
      </c>
      <c r="D328" s="240" t="s">
        <v>269</v>
      </c>
      <c r="E328" s="242">
        <v>31</v>
      </c>
      <c r="F328" s="242">
        <v>12</v>
      </c>
      <c r="G328" s="242">
        <v>43</v>
      </c>
      <c r="H328" s="243">
        <v>50796</v>
      </c>
      <c r="I328" s="243">
        <f t="shared" si="38"/>
        <v>2184228</v>
      </c>
      <c r="J328" s="8"/>
      <c r="K328" s="8">
        <f t="shared" si="36"/>
        <v>50796</v>
      </c>
      <c r="L328" s="8">
        <f t="shared" si="39"/>
        <v>1574676</v>
      </c>
      <c r="M328" s="9" t="str">
        <f t="array" ref="M328:P328">_xlfn.XLOOKUP(C328,'Neiva 2022 FASE I ACTUAL (5)'!$C$6:$C$540,'Neiva 2022 FASE I ACTUAL (5)'!$C$6:$F$540,"NO ESTA")</f>
        <v xml:space="preserve">SUMINISTRO E INSTALACIÓN SALIDA SANITARIA DIAMETRO 3 PULG                                                               </v>
      </c>
      <c r="N328" s="9" t="str">
        <v xml:space="preserve">ML   </v>
      </c>
      <c r="O328" s="9">
        <v>12</v>
      </c>
      <c r="P328" s="9">
        <v>48749</v>
      </c>
      <c r="Q328" s="124" t="str">
        <f t="shared" ref="Q328:Q391" si="42">IF(P328=0,0,(IF(H328&lt;P328, "FASE I","FASE II")))</f>
        <v>FASE II</v>
      </c>
      <c r="R328" s="155">
        <f t="shared" si="37"/>
        <v>43</v>
      </c>
      <c r="S328" s="156">
        <f t="shared" si="40"/>
        <v>50796</v>
      </c>
      <c r="T328" s="156">
        <f t="shared" si="41"/>
        <v>2184228</v>
      </c>
    </row>
    <row r="329" spans="1:20" s="9" customFormat="1" ht="35.1" customHeight="1" x14ac:dyDescent="0.25">
      <c r="A329" s="215"/>
      <c r="B329" s="255" t="s">
        <v>403</v>
      </c>
      <c r="C329" s="241" t="s">
        <v>404</v>
      </c>
      <c r="D329" s="240" t="s">
        <v>269</v>
      </c>
      <c r="E329" s="242">
        <v>23</v>
      </c>
      <c r="F329" s="242">
        <v>8</v>
      </c>
      <c r="G329" s="242">
        <v>31</v>
      </c>
      <c r="H329" s="243">
        <v>62425</v>
      </c>
      <c r="I329" s="243">
        <f t="shared" si="38"/>
        <v>1935175</v>
      </c>
      <c r="J329" s="8"/>
      <c r="K329" s="8">
        <f t="shared" si="36"/>
        <v>62425</v>
      </c>
      <c r="L329" s="8">
        <f t="shared" si="39"/>
        <v>1435775</v>
      </c>
      <c r="M329" s="9" t="str">
        <f t="array" ref="M329:P329">_xlfn.XLOOKUP(C329,'Neiva 2022 FASE I ACTUAL (5)'!$C$6:$C$540,'Neiva 2022 FASE I ACTUAL (5)'!$C$6:$F$540,"NO ESTA")</f>
        <v xml:space="preserve">SUMINISTRO E INSTALACIÓN SALIDA SANITARIA DIAMETRO 4 PULG                                                               </v>
      </c>
      <c r="N329" s="9" t="str">
        <v xml:space="preserve">ML   </v>
      </c>
      <c r="O329" s="9">
        <v>8</v>
      </c>
      <c r="P329" s="9">
        <v>59907</v>
      </c>
      <c r="Q329" s="124" t="str">
        <f t="shared" si="42"/>
        <v>FASE II</v>
      </c>
      <c r="R329" s="155">
        <f t="shared" si="37"/>
        <v>31</v>
      </c>
      <c r="S329" s="156">
        <f t="shared" si="40"/>
        <v>62425</v>
      </c>
      <c r="T329" s="156">
        <f t="shared" si="41"/>
        <v>1935175</v>
      </c>
    </row>
    <row r="330" spans="1:20" s="9" customFormat="1" ht="35.1" customHeight="1" x14ac:dyDescent="0.25">
      <c r="A330" s="215"/>
      <c r="B330" s="255" t="s">
        <v>405</v>
      </c>
      <c r="C330" s="241" t="s">
        <v>406</v>
      </c>
      <c r="D330" s="240" t="s">
        <v>269</v>
      </c>
      <c r="E330" s="242">
        <v>0</v>
      </c>
      <c r="F330" s="242">
        <v>50</v>
      </c>
      <c r="G330" s="242">
        <v>50</v>
      </c>
      <c r="H330" s="243">
        <v>54371</v>
      </c>
      <c r="I330" s="243">
        <f t="shared" si="38"/>
        <v>2718550</v>
      </c>
      <c r="J330" s="8"/>
      <c r="K330" s="8">
        <f t="shared" si="36"/>
        <v>54371</v>
      </c>
      <c r="L330" s="8">
        <f t="shared" si="39"/>
        <v>0</v>
      </c>
      <c r="M330" s="9" t="str">
        <f t="array" ref="M330:P330">_xlfn.XLOOKUP(C330,'Neiva 2022 FASE I ACTUAL (5)'!$C$6:$C$540,'Neiva 2022 FASE I ACTUAL (5)'!$C$6:$F$540,"NO ESTA")</f>
        <v xml:space="preserve">SUMINISTRO E INSTALACIÓN POLIETILENO PEAD PARA FILTRO 90 mm                                                                  </v>
      </c>
      <c r="N330" s="9" t="str">
        <v xml:space="preserve">ML   </v>
      </c>
      <c r="O330" s="9">
        <v>50</v>
      </c>
      <c r="P330" s="9">
        <v>52178</v>
      </c>
      <c r="Q330" s="124" t="str">
        <f t="shared" si="42"/>
        <v>FASE II</v>
      </c>
      <c r="R330" s="155">
        <f t="shared" si="37"/>
        <v>50</v>
      </c>
      <c r="S330" s="156">
        <f t="shared" si="40"/>
        <v>54371</v>
      </c>
      <c r="T330" s="156">
        <f t="shared" si="41"/>
        <v>2718550</v>
      </c>
    </row>
    <row r="331" spans="1:20" s="9" customFormat="1" ht="35.1" customHeight="1" x14ac:dyDescent="0.25">
      <c r="A331" s="215"/>
      <c r="B331" s="255" t="s">
        <v>407</v>
      </c>
      <c r="C331" s="241" t="s">
        <v>408</v>
      </c>
      <c r="D331" s="240" t="s">
        <v>269</v>
      </c>
      <c r="E331" s="242">
        <v>0</v>
      </c>
      <c r="F331" s="242">
        <v>30</v>
      </c>
      <c r="G331" s="242">
        <v>30</v>
      </c>
      <c r="H331" s="243">
        <v>28346</v>
      </c>
      <c r="I331" s="243">
        <f t="shared" si="38"/>
        <v>850380</v>
      </c>
      <c r="J331" s="8"/>
      <c r="K331" s="8">
        <f t="shared" si="36"/>
        <v>28346</v>
      </c>
      <c r="L331" s="8">
        <f t="shared" si="39"/>
        <v>0</v>
      </c>
      <c r="M331" s="9" t="str">
        <f t="array" ref="M331:P331">_xlfn.XLOOKUP(C331,'Neiva 2022 FASE I ACTUAL (5)'!$C$6:$C$540,'Neiva 2022 FASE I ACTUAL (5)'!$C$6:$F$540,"NO ESTA")</f>
        <v xml:space="preserve">SUMINISTRO E INSTALACIÓN TUBERIA PVC-ALC 90 mm                                                                  </v>
      </c>
      <c r="N331" s="9" t="str">
        <v xml:space="preserve">ML   </v>
      </c>
      <c r="O331" s="9">
        <v>30</v>
      </c>
      <c r="P331" s="9">
        <v>27202</v>
      </c>
      <c r="Q331" s="124" t="str">
        <f t="shared" si="42"/>
        <v>FASE II</v>
      </c>
      <c r="R331" s="155">
        <f t="shared" si="37"/>
        <v>30</v>
      </c>
      <c r="S331" s="156">
        <f t="shared" si="40"/>
        <v>28346</v>
      </c>
      <c r="T331" s="156">
        <f t="shared" si="41"/>
        <v>850380</v>
      </c>
    </row>
    <row r="332" spans="1:20" s="9" customFormat="1" ht="35.1" customHeight="1" x14ac:dyDescent="0.25">
      <c r="A332" s="215"/>
      <c r="B332" s="255" t="s">
        <v>409</v>
      </c>
      <c r="C332" s="241" t="s">
        <v>410</v>
      </c>
      <c r="D332" s="240" t="s">
        <v>269</v>
      </c>
      <c r="E332" s="242">
        <v>0</v>
      </c>
      <c r="F332" s="242">
        <v>15</v>
      </c>
      <c r="G332" s="242">
        <v>15</v>
      </c>
      <c r="H332" s="243">
        <v>34835</v>
      </c>
      <c r="I332" s="243">
        <f t="shared" si="38"/>
        <v>522525</v>
      </c>
      <c r="J332" s="8"/>
      <c r="K332" s="8">
        <f t="shared" si="36"/>
        <v>34835</v>
      </c>
      <c r="L332" s="8">
        <f t="shared" si="39"/>
        <v>0</v>
      </c>
      <c r="M332" s="9" t="str">
        <f t="array" ref="M332:P332">_xlfn.XLOOKUP(C332,'Neiva 2022 FASE I ACTUAL (5)'!$C$6:$C$540,'Neiva 2022 FASE I ACTUAL (5)'!$C$6:$F$540,"NO ESTA")</f>
        <v xml:space="preserve">SUMINISTRO E INSTALACIÓN TUBERIA PVC-ALC 110 mm                                                                 </v>
      </c>
      <c r="N332" s="9" t="str">
        <v xml:space="preserve">ML   </v>
      </c>
      <c r="O332" s="9">
        <v>15</v>
      </c>
      <c r="P332" s="9">
        <v>33430</v>
      </c>
      <c r="Q332" s="124" t="str">
        <f t="shared" si="42"/>
        <v>FASE II</v>
      </c>
      <c r="R332" s="155">
        <f t="shared" si="37"/>
        <v>15</v>
      </c>
      <c r="S332" s="156">
        <f t="shared" si="40"/>
        <v>34835</v>
      </c>
      <c r="T332" s="156">
        <f t="shared" si="41"/>
        <v>522525</v>
      </c>
    </row>
    <row r="333" spans="1:20" s="9" customFormat="1" ht="35.1" customHeight="1" x14ac:dyDescent="0.25">
      <c r="A333" s="215"/>
      <c r="B333" s="255" t="s">
        <v>411</v>
      </c>
      <c r="C333" s="241" t="s">
        <v>412</v>
      </c>
      <c r="D333" s="240" t="s">
        <v>269</v>
      </c>
      <c r="E333" s="242">
        <v>0</v>
      </c>
      <c r="F333" s="242">
        <v>70</v>
      </c>
      <c r="G333" s="242">
        <v>70</v>
      </c>
      <c r="H333" s="243">
        <v>46508</v>
      </c>
      <c r="I333" s="243">
        <f t="shared" si="38"/>
        <v>3255560</v>
      </c>
      <c r="J333" s="8"/>
      <c r="K333" s="8">
        <f t="shared" si="36"/>
        <v>46508</v>
      </c>
      <c r="L333" s="8">
        <f t="shared" si="39"/>
        <v>0</v>
      </c>
      <c r="M333" s="9" t="str">
        <f t="array" ref="M333:P333">_xlfn.XLOOKUP(C333,'Neiva 2022 FASE I ACTUAL (5)'!$C$6:$C$540,'Neiva 2022 FASE I ACTUAL (5)'!$C$6:$F$540,"NO ESTA")</f>
        <v xml:space="preserve">SUMINISTRO E INSTALACIÓN TUBERIA PVC-ALC 160 mm                                                                 </v>
      </c>
      <c r="N333" s="9" t="str">
        <v xml:space="preserve">ML   </v>
      </c>
      <c r="O333" s="9">
        <v>70</v>
      </c>
      <c r="P333" s="9">
        <v>44632</v>
      </c>
      <c r="Q333" s="124" t="str">
        <f t="shared" si="42"/>
        <v>FASE II</v>
      </c>
      <c r="R333" s="155">
        <f t="shared" si="37"/>
        <v>70</v>
      </c>
      <c r="S333" s="156">
        <f t="shared" si="40"/>
        <v>46508</v>
      </c>
      <c r="T333" s="156">
        <f t="shared" si="41"/>
        <v>3255560</v>
      </c>
    </row>
    <row r="334" spans="1:20" s="9" customFormat="1" ht="35.1" customHeight="1" x14ac:dyDescent="0.25">
      <c r="A334" s="215"/>
      <c r="B334" s="255" t="s">
        <v>413</v>
      </c>
      <c r="C334" s="241" t="s">
        <v>414</v>
      </c>
      <c r="D334" s="240" t="s">
        <v>269</v>
      </c>
      <c r="E334" s="242">
        <v>0</v>
      </c>
      <c r="F334" s="242">
        <v>20</v>
      </c>
      <c r="G334" s="242">
        <v>20</v>
      </c>
      <c r="H334" s="243">
        <v>81139</v>
      </c>
      <c r="I334" s="243">
        <f t="shared" si="38"/>
        <v>1622780</v>
      </c>
      <c r="J334" s="8"/>
      <c r="K334" s="8">
        <f t="shared" si="36"/>
        <v>81139</v>
      </c>
      <c r="L334" s="8">
        <f t="shared" si="39"/>
        <v>0</v>
      </c>
      <c r="M334" s="9" t="str">
        <f t="array" ref="M334:P334">_xlfn.XLOOKUP(C334,'Neiva 2022 FASE I ACTUAL (5)'!$C$6:$C$540,'Neiva 2022 FASE I ACTUAL (5)'!$C$6:$F$540,"NO ESTA")</f>
        <v xml:space="preserve">SUMINISTRO E INSTALACIÓN TUBERIA PVC-ALC 250mm                                                                   </v>
      </c>
      <c r="N334" s="9" t="str">
        <v xml:space="preserve">ML   </v>
      </c>
      <c r="O334" s="9">
        <v>20</v>
      </c>
      <c r="P334" s="9">
        <v>77866</v>
      </c>
      <c r="Q334" s="124" t="str">
        <f t="shared" si="42"/>
        <v>FASE II</v>
      </c>
      <c r="R334" s="155">
        <f t="shared" si="37"/>
        <v>20</v>
      </c>
      <c r="S334" s="156">
        <f t="shared" si="40"/>
        <v>81139</v>
      </c>
      <c r="T334" s="156">
        <f t="shared" si="41"/>
        <v>1622780</v>
      </c>
    </row>
    <row r="335" spans="1:20" s="9" customFormat="1" ht="35.1" customHeight="1" x14ac:dyDescent="0.25">
      <c r="A335" s="215"/>
      <c r="B335" s="255" t="s">
        <v>415</v>
      </c>
      <c r="C335" s="241" t="s">
        <v>358</v>
      </c>
      <c r="D335" s="240" t="s">
        <v>284</v>
      </c>
      <c r="E335" s="242">
        <v>0</v>
      </c>
      <c r="F335" s="242">
        <v>1</v>
      </c>
      <c r="G335" s="242">
        <v>1</v>
      </c>
      <c r="H335" s="243">
        <v>550714</v>
      </c>
      <c r="I335" s="243">
        <f t="shared" si="38"/>
        <v>550714</v>
      </c>
      <c r="J335" s="8"/>
      <c r="K335" s="8">
        <f t="shared" si="36"/>
        <v>550714</v>
      </c>
      <c r="L335" s="8">
        <f t="shared" si="39"/>
        <v>0</v>
      </c>
      <c r="M335" s="9" t="str">
        <f t="array" ref="M335:P335">_xlfn.XLOOKUP(C335,'Neiva 2022 FASE I ACTUAL (5)'!$C$6:$C$540,'Neiva 2022 FASE I ACTUAL (5)'!$C$6:$F$540,"NO ESTA")</f>
        <v xml:space="preserve">SUMINISTRO Y CONSTRUCCIÓN CAJA DE INSPECCIÓN 0.80mX0.80m H mäx:1.0m                                                                    </v>
      </c>
      <c r="N335" s="9" t="str">
        <v xml:space="preserve">UN   </v>
      </c>
      <c r="O335" s="9">
        <v>1</v>
      </c>
      <c r="P335" s="9">
        <v>528504</v>
      </c>
      <c r="Q335" s="124" t="str">
        <f t="shared" si="42"/>
        <v>FASE II</v>
      </c>
      <c r="R335" s="155">
        <f t="shared" si="37"/>
        <v>1</v>
      </c>
      <c r="S335" s="156">
        <f t="shared" si="40"/>
        <v>550714</v>
      </c>
      <c r="T335" s="156">
        <f t="shared" si="41"/>
        <v>550714</v>
      </c>
    </row>
    <row r="336" spans="1:20" s="9" customFormat="1" ht="35.1" customHeight="1" x14ac:dyDescent="0.25">
      <c r="A336" s="215"/>
      <c r="B336" s="283" t="s">
        <v>416</v>
      </c>
      <c r="C336" s="256" t="s">
        <v>417</v>
      </c>
      <c r="D336" s="256" t="s">
        <v>369</v>
      </c>
      <c r="E336" s="246"/>
      <c r="F336" s="246"/>
      <c r="G336" s="246"/>
      <c r="H336" s="246"/>
      <c r="I336" s="246"/>
      <c r="J336" s="8"/>
      <c r="K336" s="8">
        <f t="shared" si="36"/>
        <v>0</v>
      </c>
      <c r="L336" s="8">
        <f t="shared" si="39"/>
        <v>0</v>
      </c>
      <c r="M336" s="9" t="str">
        <f t="array" ref="M336:P336">_xlfn.XLOOKUP(C336,'Neiva 2022 FASE I ACTUAL (5)'!$C$6:$C$540,'Neiva 2022 FASE I ACTUAL (5)'!$C$6:$F$540,"NO ESTA")</f>
        <v xml:space="preserve">EXCAVACIONES Y RELLENOS                                                                                       </v>
      </c>
      <c r="N336" s="9">
        <v>0</v>
      </c>
      <c r="O336" s="9">
        <v>0</v>
      </c>
      <c r="P336" s="9">
        <v>0</v>
      </c>
      <c r="Q336" s="124">
        <f t="shared" si="42"/>
        <v>0</v>
      </c>
      <c r="R336" s="155">
        <f t="shared" si="37"/>
        <v>0</v>
      </c>
      <c r="S336" s="156">
        <f t="shared" si="40"/>
        <v>0</v>
      </c>
      <c r="T336" s="156">
        <f t="shared" si="41"/>
        <v>0</v>
      </c>
    </row>
    <row r="337" spans="1:20" s="9" customFormat="1" ht="35.1" customHeight="1" x14ac:dyDescent="0.25">
      <c r="A337" s="215"/>
      <c r="B337" s="240" t="s">
        <v>418</v>
      </c>
      <c r="C337" s="241" t="s">
        <v>1222</v>
      </c>
      <c r="D337" s="240" t="s">
        <v>420</v>
      </c>
      <c r="E337" s="242">
        <v>0</v>
      </c>
      <c r="F337" s="242"/>
      <c r="G337" s="242">
        <v>0</v>
      </c>
      <c r="H337" s="243">
        <v>40591</v>
      </c>
      <c r="I337" s="243">
        <f t="shared" si="38"/>
        <v>0</v>
      </c>
      <c r="J337" s="8"/>
      <c r="K337" s="8">
        <f t="shared" si="36"/>
        <v>40591</v>
      </c>
      <c r="L337" s="8">
        <f t="shared" si="39"/>
        <v>0</v>
      </c>
      <c r="M337" s="9" t="str">
        <f t="array" ref="M337">_xlfn.XLOOKUP(C337,'Neiva 2022 FASE I ACTUAL (5)'!$C$6:$C$540,'Neiva 2022 FASE I ACTUAL (5)'!$C$6:$F$540,"NO ESTA")</f>
        <v>NO ESTA</v>
      </c>
      <c r="Q337" s="124">
        <f t="shared" si="42"/>
        <v>0</v>
      </c>
      <c r="R337" s="155">
        <f t="shared" si="37"/>
        <v>0</v>
      </c>
      <c r="S337" s="156">
        <f t="shared" si="40"/>
        <v>40591</v>
      </c>
      <c r="T337" s="156">
        <f t="shared" si="41"/>
        <v>0</v>
      </c>
    </row>
    <row r="338" spans="1:20" s="9" customFormat="1" ht="35.1" customHeight="1" x14ac:dyDescent="0.25">
      <c r="A338" s="215"/>
      <c r="B338" s="240" t="s">
        <v>421</v>
      </c>
      <c r="C338" s="241" t="s">
        <v>422</v>
      </c>
      <c r="D338" s="240" t="s">
        <v>420</v>
      </c>
      <c r="E338" s="242">
        <v>0</v>
      </c>
      <c r="F338" s="242">
        <v>28</v>
      </c>
      <c r="G338" s="242">
        <v>28</v>
      </c>
      <c r="H338" s="243">
        <v>76759</v>
      </c>
      <c r="I338" s="243">
        <f t="shared" si="38"/>
        <v>2149252</v>
      </c>
      <c r="J338" s="8"/>
      <c r="K338" s="8">
        <f t="shared" si="36"/>
        <v>76759</v>
      </c>
      <c r="L338" s="8">
        <f t="shared" si="39"/>
        <v>0</v>
      </c>
      <c r="M338" s="9" t="str">
        <f t="array" ref="M338:P338">_xlfn.XLOOKUP(C338,'Neiva 2022 FASE I ACTUAL (5)'!$C$6:$C$540,'Neiva 2022 FASE I ACTUAL (5)'!$C$6:$F$540,"NO ESTA")</f>
        <v xml:space="preserve">RELLENO EN ARENA INCLUYE TRANSPORTE Y COLOCACIÓN       </v>
      </c>
      <c r="N338" s="9" t="str">
        <v xml:space="preserve">M3   </v>
      </c>
      <c r="O338" s="9">
        <v>28</v>
      </c>
      <c r="P338" s="9">
        <v>73664</v>
      </c>
      <c r="Q338" s="124" t="str">
        <f t="shared" si="42"/>
        <v>FASE II</v>
      </c>
      <c r="R338" s="155">
        <f t="shared" si="37"/>
        <v>28</v>
      </c>
      <c r="S338" s="156">
        <f t="shared" si="40"/>
        <v>76759</v>
      </c>
      <c r="T338" s="156">
        <f t="shared" si="41"/>
        <v>2149252</v>
      </c>
    </row>
    <row r="339" spans="1:20" s="9" customFormat="1" ht="35.1" customHeight="1" x14ac:dyDescent="0.25">
      <c r="A339" s="215"/>
      <c r="B339" s="240" t="s">
        <v>423</v>
      </c>
      <c r="C339" s="241" t="s">
        <v>36</v>
      </c>
      <c r="D339" s="240" t="s">
        <v>420</v>
      </c>
      <c r="E339" s="242">
        <v>0</v>
      </c>
      <c r="F339" s="242">
        <v>122.54</v>
      </c>
      <c r="G339" s="242">
        <v>122.54</v>
      </c>
      <c r="H339" s="243">
        <v>63907</v>
      </c>
      <c r="I339" s="243">
        <f t="shared" si="38"/>
        <v>7831163.7800000003</v>
      </c>
      <c r="J339" s="8"/>
      <c r="K339" s="8">
        <f t="shared" si="36"/>
        <v>63907</v>
      </c>
      <c r="L339" s="8">
        <f t="shared" si="39"/>
        <v>0</v>
      </c>
      <c r="M339" s="9" t="str">
        <f t="array" ref="M339:P339">_xlfn.XLOOKUP(C339,'Neiva 2022 FASE I ACTUAL (5)'!$C$6:$C$540,'Neiva 2022 FASE I ACTUAL (5)'!$C$6:$F$540,"NO ESTA")</f>
        <v>RELLENO EN RECEBO COMÚN (Incluye Compactación)</v>
      </c>
      <c r="N339" s="9" t="str">
        <v>M3</v>
      </c>
      <c r="O339" s="9">
        <v>122.54</v>
      </c>
      <c r="P339" s="9">
        <v>61330</v>
      </c>
      <c r="Q339" s="124" t="str">
        <f t="shared" si="42"/>
        <v>FASE II</v>
      </c>
      <c r="R339" s="155">
        <f t="shared" si="37"/>
        <v>122.54</v>
      </c>
      <c r="S339" s="156">
        <f t="shared" si="40"/>
        <v>63907</v>
      </c>
      <c r="T339" s="156">
        <f t="shared" si="41"/>
        <v>7831163.7800000003</v>
      </c>
    </row>
    <row r="340" spans="1:20" s="9" customFormat="1" ht="35.1" customHeight="1" x14ac:dyDescent="0.25">
      <c r="A340" s="215"/>
      <c r="B340" s="240" t="s">
        <v>424</v>
      </c>
      <c r="C340" s="241" t="s">
        <v>425</v>
      </c>
      <c r="D340" s="240" t="s">
        <v>420</v>
      </c>
      <c r="E340" s="242">
        <v>0</v>
      </c>
      <c r="F340" s="242">
        <v>37</v>
      </c>
      <c r="G340" s="242">
        <v>37</v>
      </c>
      <c r="H340" s="243">
        <v>12694</v>
      </c>
      <c r="I340" s="243">
        <f t="shared" si="38"/>
        <v>469678</v>
      </c>
      <c r="J340" s="8"/>
      <c r="K340" s="8">
        <f t="shared" si="36"/>
        <v>12694</v>
      </c>
      <c r="L340" s="8">
        <f t="shared" si="39"/>
        <v>0</v>
      </c>
      <c r="M340" s="9" t="str">
        <f t="array" ref="M340:P340">_xlfn.XLOOKUP(C340,'Neiva 2022 FASE I ACTUAL (5)'!$C$6:$C$540,'Neiva 2022 FASE I ACTUAL (5)'!$C$6:$F$540,"NO ESTA")</f>
        <v>RELLENO EN MATERIAL COMÚN SELECCIONADO DE OBRA (Incluye Compactación)</v>
      </c>
      <c r="N340" s="9" t="str">
        <v xml:space="preserve">M3   </v>
      </c>
      <c r="O340" s="9">
        <v>37</v>
      </c>
      <c r="P340" s="9">
        <v>12182</v>
      </c>
      <c r="Q340" s="124" t="str">
        <f t="shared" si="42"/>
        <v>FASE II</v>
      </c>
      <c r="R340" s="155">
        <f t="shared" si="37"/>
        <v>37</v>
      </c>
      <c r="S340" s="156">
        <f t="shared" si="40"/>
        <v>12694</v>
      </c>
      <c r="T340" s="156">
        <f t="shared" si="41"/>
        <v>469678</v>
      </c>
    </row>
    <row r="341" spans="1:20" s="9" customFormat="1" ht="35.1" customHeight="1" x14ac:dyDescent="0.25">
      <c r="A341" s="215"/>
      <c r="B341" s="283" t="s">
        <v>426</v>
      </c>
      <c r="C341" s="256" t="s">
        <v>427</v>
      </c>
      <c r="D341" s="256" t="s">
        <v>369</v>
      </c>
      <c r="E341" s="246"/>
      <c r="F341" s="246"/>
      <c r="G341" s="246"/>
      <c r="H341" s="246"/>
      <c r="I341" s="246"/>
      <c r="J341" s="8"/>
      <c r="K341" s="8">
        <f t="shared" si="36"/>
        <v>0</v>
      </c>
      <c r="L341" s="8">
        <f t="shared" si="39"/>
        <v>0</v>
      </c>
      <c r="M341" s="9" t="str">
        <f t="array" ref="M341:P341">_xlfn.XLOOKUP(C341,'Neiva 2022 FASE I ACTUAL (5)'!$C$6:$C$540,'Neiva 2022 FASE I ACTUAL (5)'!$C$6:$F$540,"NO ESTA")</f>
        <v xml:space="preserve">SUMINISTRO E INSTALACION DE EQUIPOS DE BOMBEO                                                                                             </v>
      </c>
      <c r="N341" s="9">
        <v>0</v>
      </c>
      <c r="O341" s="9">
        <v>0</v>
      </c>
      <c r="P341" s="9">
        <v>0</v>
      </c>
      <c r="Q341" s="124">
        <f t="shared" si="42"/>
        <v>0</v>
      </c>
      <c r="R341" s="155">
        <f t="shared" si="37"/>
        <v>0</v>
      </c>
      <c r="S341" s="156">
        <f t="shared" si="40"/>
        <v>0</v>
      </c>
      <c r="T341" s="156">
        <f t="shared" si="41"/>
        <v>0</v>
      </c>
    </row>
    <row r="342" spans="1:20" s="9" customFormat="1" ht="35.1" customHeight="1" x14ac:dyDescent="0.25">
      <c r="A342" s="215"/>
      <c r="B342" s="240" t="s">
        <v>428</v>
      </c>
      <c r="C342" s="241" t="s">
        <v>1223</v>
      </c>
      <c r="D342" s="240" t="s">
        <v>374</v>
      </c>
      <c r="E342" s="242">
        <v>0</v>
      </c>
      <c r="F342" s="242">
        <v>1</v>
      </c>
      <c r="G342" s="242">
        <f>+F342+E342</f>
        <v>1</v>
      </c>
      <c r="H342" s="243">
        <v>35510244</v>
      </c>
      <c r="I342" s="243">
        <f t="shared" si="38"/>
        <v>35510244</v>
      </c>
      <c r="J342" s="8"/>
      <c r="K342" s="8">
        <f t="shared" si="36"/>
        <v>35510244</v>
      </c>
      <c r="L342" s="8">
        <f t="shared" si="39"/>
        <v>0</v>
      </c>
      <c r="M342" s="9" t="str">
        <f t="array" ref="M342">_xlfn.XLOOKUP(C342,'Neiva 2022 FASE I ACTUAL (5)'!$C$6:$C$540,'Neiva 2022 FASE I ACTUAL (5)'!$C$6:$F$540,"NO ESTA")</f>
        <v>NO ESTA</v>
      </c>
      <c r="Q342" s="124">
        <f t="shared" si="42"/>
        <v>0</v>
      </c>
      <c r="R342" s="155">
        <f t="shared" si="37"/>
        <v>0</v>
      </c>
      <c r="S342" s="156">
        <f t="shared" si="40"/>
        <v>35510244</v>
      </c>
      <c r="T342" s="156">
        <f t="shared" si="41"/>
        <v>0</v>
      </c>
    </row>
    <row r="343" spans="1:20" s="9" customFormat="1" ht="35.1" customHeight="1" x14ac:dyDescent="0.25">
      <c r="A343" s="215"/>
      <c r="B343" s="240" t="s">
        <v>430</v>
      </c>
      <c r="C343" s="241" t="s">
        <v>1224</v>
      </c>
      <c r="D343" s="240" t="s">
        <v>374</v>
      </c>
      <c r="E343" s="242">
        <v>0</v>
      </c>
      <c r="F343" s="242">
        <v>1</v>
      </c>
      <c r="G343" s="242">
        <f>+F343+E343</f>
        <v>1</v>
      </c>
      <c r="H343" s="243">
        <v>97257036</v>
      </c>
      <c r="I343" s="243">
        <f t="shared" si="38"/>
        <v>97257036</v>
      </c>
      <c r="J343" s="8"/>
      <c r="K343" s="8">
        <f t="shared" si="36"/>
        <v>97257036</v>
      </c>
      <c r="L343" s="8">
        <f t="shared" si="39"/>
        <v>0</v>
      </c>
      <c r="M343" s="9" t="str">
        <f t="array" ref="M343">_xlfn.XLOOKUP(C343,'Neiva 2022 FASE I ACTUAL (5)'!$C$6:$C$540,'Neiva 2022 FASE I ACTUAL (5)'!$C$6:$F$540,"NO ESTA")</f>
        <v>NO ESTA</v>
      </c>
      <c r="Q343" s="124">
        <f t="shared" si="42"/>
        <v>0</v>
      </c>
      <c r="R343" s="155">
        <f t="shared" si="37"/>
        <v>0</v>
      </c>
      <c r="S343" s="156">
        <f t="shared" si="40"/>
        <v>97257036</v>
      </c>
      <c r="T343" s="156">
        <f t="shared" si="41"/>
        <v>0</v>
      </c>
    </row>
    <row r="344" spans="1:20" s="9" customFormat="1" ht="35.1" customHeight="1" x14ac:dyDescent="0.25">
      <c r="A344" s="215"/>
      <c r="B344" s="255" t="s">
        <v>432</v>
      </c>
      <c r="C344" s="241" t="s">
        <v>433</v>
      </c>
      <c r="D344" s="240" t="s">
        <v>374</v>
      </c>
      <c r="E344" s="242">
        <v>0</v>
      </c>
      <c r="F344" s="242">
        <v>1</v>
      </c>
      <c r="G344" s="242">
        <v>1</v>
      </c>
      <c r="H344" s="243">
        <v>14314206</v>
      </c>
      <c r="I344" s="243">
        <f t="shared" si="38"/>
        <v>14314206</v>
      </c>
      <c r="J344" s="8"/>
      <c r="K344" s="8">
        <f t="shared" si="36"/>
        <v>14314206</v>
      </c>
      <c r="L344" s="8">
        <f t="shared" si="39"/>
        <v>0</v>
      </c>
      <c r="M344" s="9" t="str">
        <f t="array" ref="M344:P344">_xlfn.XLOOKUP(C344,'Neiva 2022 FASE I ACTUAL (5)'!$C$6:$C$540,'Neiva 2022 FASE I ACTUAL (5)'!$C$6:$F$540,"NO ESTA")</f>
        <v xml:space="preserve">SUMINISTRO E INSTALACIÓN DE EQUIPO EYECTOR 2 BOMBAS 3HP C/U </v>
      </c>
      <c r="N344" s="9" t="str">
        <v>UN</v>
      </c>
      <c r="O344" s="9">
        <v>1</v>
      </c>
      <c r="P344" s="9">
        <v>13736935</v>
      </c>
      <c r="Q344" s="124" t="str">
        <f t="shared" si="42"/>
        <v>FASE II</v>
      </c>
      <c r="R344" s="155">
        <f t="shared" si="37"/>
        <v>1</v>
      </c>
      <c r="S344" s="156">
        <f t="shared" si="40"/>
        <v>14314206</v>
      </c>
      <c r="T344" s="156">
        <f t="shared" si="41"/>
        <v>14314206</v>
      </c>
    </row>
    <row r="345" spans="1:20" s="9" customFormat="1" ht="35.1" customHeight="1" x14ac:dyDescent="0.25">
      <c r="A345" s="215"/>
      <c r="B345" s="247">
        <v>13</v>
      </c>
      <c r="C345" s="248" t="s">
        <v>434</v>
      </c>
      <c r="D345" s="248"/>
      <c r="E345" s="249"/>
      <c r="F345" s="249"/>
      <c r="G345" s="249"/>
      <c r="H345" s="249"/>
      <c r="I345" s="249"/>
      <c r="J345" s="8"/>
      <c r="K345" s="8">
        <f t="shared" si="36"/>
        <v>0</v>
      </c>
      <c r="L345" s="8">
        <f t="shared" si="39"/>
        <v>0</v>
      </c>
      <c r="M345" s="9" t="str">
        <f t="array" ref="M345:P345">_xlfn.XLOOKUP(C345,'Neiva 2022 FASE I ACTUAL (5)'!$C$6:$C$540,'Neiva 2022 FASE I ACTUAL (5)'!$C$6:$F$540,"NO ESTA")</f>
        <v xml:space="preserve">RED DE PROTECCION CONTRA INCENDIO </v>
      </c>
      <c r="N345" s="9">
        <v>0</v>
      </c>
      <c r="O345" s="9">
        <v>0</v>
      </c>
      <c r="P345" s="9">
        <v>0</v>
      </c>
      <c r="Q345" s="124">
        <f t="shared" si="42"/>
        <v>0</v>
      </c>
      <c r="R345" s="155">
        <f t="shared" si="37"/>
        <v>0</v>
      </c>
      <c r="S345" s="156">
        <f t="shared" si="40"/>
        <v>0</v>
      </c>
      <c r="T345" s="156">
        <f t="shared" si="41"/>
        <v>0</v>
      </c>
    </row>
    <row r="346" spans="1:20" s="9" customFormat="1" ht="35.1" customHeight="1" x14ac:dyDescent="0.25">
      <c r="A346" s="215"/>
      <c r="B346" s="286" t="s">
        <v>435</v>
      </c>
      <c r="C346" s="287" t="s">
        <v>436</v>
      </c>
      <c r="D346" s="287"/>
      <c r="E346" s="288"/>
      <c r="F346" s="288"/>
      <c r="G346" s="288"/>
      <c r="H346" s="288"/>
      <c r="I346" s="288"/>
      <c r="J346" s="8"/>
      <c r="K346" s="8">
        <f t="shared" si="36"/>
        <v>0</v>
      </c>
      <c r="L346" s="8">
        <f t="shared" si="39"/>
        <v>0</v>
      </c>
      <c r="M346" s="9" t="str">
        <f t="array" ref="M346:P346">_xlfn.XLOOKUP(C346,'Neiva 2022 FASE I ACTUAL (5)'!$C$6:$C$540,'Neiva 2022 FASE I ACTUAL (5)'!$C$6:$F$540,"NO ESTA")</f>
        <v>SUMINISTRO E INSTALACIÓN RED DE ACERO NEGRO SCH 40</v>
      </c>
      <c r="N346" s="9">
        <v>0</v>
      </c>
      <c r="O346" s="9">
        <v>0</v>
      </c>
      <c r="P346" s="9">
        <v>0</v>
      </c>
      <c r="Q346" s="124">
        <f t="shared" si="42"/>
        <v>0</v>
      </c>
      <c r="R346" s="155">
        <f t="shared" si="37"/>
        <v>0</v>
      </c>
      <c r="S346" s="156">
        <f t="shared" si="40"/>
        <v>0</v>
      </c>
      <c r="T346" s="156">
        <f t="shared" si="41"/>
        <v>0</v>
      </c>
    </row>
    <row r="347" spans="1:20" s="9" customFormat="1" ht="35.1" customHeight="1" x14ac:dyDescent="0.25">
      <c r="A347" s="215"/>
      <c r="B347" s="255" t="s">
        <v>437</v>
      </c>
      <c r="C347" s="254" t="s">
        <v>438</v>
      </c>
      <c r="D347" s="255" t="s">
        <v>269</v>
      </c>
      <c r="E347" s="242">
        <v>694</v>
      </c>
      <c r="F347" s="242">
        <v>257</v>
      </c>
      <c r="G347" s="242">
        <v>951</v>
      </c>
      <c r="H347" s="243">
        <v>24708</v>
      </c>
      <c r="I347" s="243">
        <f t="shared" si="38"/>
        <v>23497308</v>
      </c>
      <c r="J347" s="8">
        <f>ROUND(H347*(1+$J$3),0)</f>
        <v>48250</v>
      </c>
      <c r="K347" s="8">
        <f t="shared" si="36"/>
        <v>24708</v>
      </c>
      <c r="L347" s="8">
        <f t="shared" si="39"/>
        <v>17147352</v>
      </c>
      <c r="M347" s="9" t="str">
        <f t="array" ref="M347:P347">_xlfn.XLOOKUP(C347,'Neiva 2022 FASE I ACTUAL (5)'!$C$6:$C$540,'Neiva 2022 FASE I ACTUAL (5)'!$C$6:$F$540,"NO ESTA")</f>
        <v xml:space="preserve">SUMINISTRO E INSTALACIÓN TUBERIA ACERO 1" SCH 40 INCLUYE. SOPORTES Y ADITAMENTOS                                 </v>
      </c>
      <c r="N347" s="9" t="str">
        <v xml:space="preserve">ML   </v>
      </c>
      <c r="O347" s="9">
        <v>257</v>
      </c>
      <c r="P347" s="9">
        <v>23711</v>
      </c>
      <c r="Q347" s="124" t="str">
        <f t="shared" si="42"/>
        <v>FASE II</v>
      </c>
      <c r="R347" s="155">
        <f t="shared" si="37"/>
        <v>951</v>
      </c>
      <c r="S347" s="156">
        <f t="shared" si="40"/>
        <v>24708</v>
      </c>
      <c r="T347" s="156">
        <f t="shared" si="41"/>
        <v>23497308</v>
      </c>
    </row>
    <row r="348" spans="1:20" s="9" customFormat="1" ht="35.1" customHeight="1" x14ac:dyDescent="0.25">
      <c r="A348" s="215"/>
      <c r="B348" s="255" t="s">
        <v>439</v>
      </c>
      <c r="C348" s="254" t="s">
        <v>440</v>
      </c>
      <c r="D348" s="255" t="s">
        <v>269</v>
      </c>
      <c r="E348" s="242">
        <v>350</v>
      </c>
      <c r="F348" s="242">
        <v>129</v>
      </c>
      <c r="G348" s="242">
        <v>479</v>
      </c>
      <c r="H348" s="243">
        <v>52921</v>
      </c>
      <c r="I348" s="243">
        <f t="shared" si="38"/>
        <v>25349159</v>
      </c>
      <c r="J348" s="8">
        <f t="shared" ref="J348:J357" si="43">ROUND(H348*(1+$J$3),0)</f>
        <v>103344</v>
      </c>
      <c r="K348" s="8">
        <f t="shared" si="36"/>
        <v>52921</v>
      </c>
      <c r="L348" s="8">
        <f t="shared" si="39"/>
        <v>18522350</v>
      </c>
      <c r="M348" s="9" t="str">
        <f t="array" ref="M348:P348">_xlfn.XLOOKUP(C348,'Neiva 2022 FASE I ACTUAL (5)'!$C$6:$C$540,'Neiva 2022 FASE I ACTUAL (5)'!$C$6:$F$540,"NO ESTA")</f>
        <v xml:space="preserve">SUMINISTRO E INSTALACIÓN TUBERIA ACERO 2" SCH 40 INCLUYE. SOPORTES Y ADITAMENTOS                                 </v>
      </c>
      <c r="N348" s="9" t="str">
        <v xml:space="preserve">ML   </v>
      </c>
      <c r="O348" s="9">
        <v>129</v>
      </c>
      <c r="P348" s="9">
        <v>50786</v>
      </c>
      <c r="Q348" s="124" t="str">
        <f t="shared" si="42"/>
        <v>FASE II</v>
      </c>
      <c r="R348" s="155">
        <f t="shared" si="37"/>
        <v>479</v>
      </c>
      <c r="S348" s="156">
        <f t="shared" si="40"/>
        <v>52921</v>
      </c>
      <c r="T348" s="156">
        <f t="shared" si="41"/>
        <v>25349159</v>
      </c>
    </row>
    <row r="349" spans="1:20" s="9" customFormat="1" ht="35.1" customHeight="1" x14ac:dyDescent="0.25">
      <c r="A349" s="215"/>
      <c r="B349" s="255" t="s">
        <v>441</v>
      </c>
      <c r="C349" s="254" t="s">
        <v>442</v>
      </c>
      <c r="D349" s="255" t="s">
        <v>269</v>
      </c>
      <c r="E349" s="242">
        <v>301</v>
      </c>
      <c r="F349" s="242">
        <v>112</v>
      </c>
      <c r="G349" s="242">
        <v>413</v>
      </c>
      <c r="H349" s="243">
        <v>98601</v>
      </c>
      <c r="I349" s="243">
        <f t="shared" si="38"/>
        <v>40722213</v>
      </c>
      <c r="J349" s="8">
        <f t="shared" si="43"/>
        <v>192548</v>
      </c>
      <c r="K349" s="8">
        <f t="shared" si="36"/>
        <v>98601</v>
      </c>
      <c r="L349" s="8">
        <f t="shared" si="39"/>
        <v>29678901</v>
      </c>
      <c r="M349" s="9" t="str">
        <f t="array" ref="M349:P349">_xlfn.XLOOKUP(C349,'Neiva 2022 FASE I ACTUAL (5)'!$C$6:$C$540,'Neiva 2022 FASE I ACTUAL (5)'!$C$6:$F$540,"NO ESTA")</f>
        <v xml:space="preserve">SUMINISTRO E INSTALACIÓN TUBERIA ACERO 3" SCH 40 INCLUYE. SOPORTES Y ADITAMENTOS                                 </v>
      </c>
      <c r="N349" s="9" t="str">
        <v xml:space="preserve">ML   </v>
      </c>
      <c r="O349" s="9">
        <v>112</v>
      </c>
      <c r="P349" s="9">
        <v>94625</v>
      </c>
      <c r="Q349" s="124" t="str">
        <f t="shared" si="42"/>
        <v>FASE II</v>
      </c>
      <c r="R349" s="155">
        <f t="shared" si="37"/>
        <v>413</v>
      </c>
      <c r="S349" s="156">
        <f t="shared" si="40"/>
        <v>98601</v>
      </c>
      <c r="T349" s="156">
        <f t="shared" si="41"/>
        <v>40722213</v>
      </c>
    </row>
    <row r="350" spans="1:20" s="9" customFormat="1" ht="35.1" customHeight="1" x14ac:dyDescent="0.25">
      <c r="A350" s="215"/>
      <c r="B350" s="255" t="s">
        <v>443</v>
      </c>
      <c r="C350" s="254" t="s">
        <v>444</v>
      </c>
      <c r="D350" s="255" t="s">
        <v>269</v>
      </c>
      <c r="E350" s="242">
        <v>44</v>
      </c>
      <c r="F350" s="242">
        <v>16</v>
      </c>
      <c r="G350" s="242">
        <v>60</v>
      </c>
      <c r="H350" s="243">
        <v>139137</v>
      </c>
      <c r="I350" s="243">
        <f t="shared" si="38"/>
        <v>8348220</v>
      </c>
      <c r="J350" s="8">
        <f t="shared" si="43"/>
        <v>271707</v>
      </c>
      <c r="K350" s="8">
        <f t="shared" si="36"/>
        <v>139137</v>
      </c>
      <c r="L350" s="8">
        <f t="shared" si="39"/>
        <v>6122028</v>
      </c>
      <c r="M350" s="9" t="str">
        <f t="array" ref="M350:P350">_xlfn.XLOOKUP(C350,'Neiva 2022 FASE I ACTUAL (5)'!$C$6:$C$540,'Neiva 2022 FASE I ACTUAL (5)'!$C$6:$F$540,"NO ESTA")</f>
        <v xml:space="preserve">SUMINISTRO E INSTALACIÓN TUBERIA ACERO 4" SCH 40 INCLUYE. SOPORTES Y ADITAMENTOS                                 </v>
      </c>
      <c r="N350" s="9" t="str">
        <v xml:space="preserve">ML   </v>
      </c>
      <c r="O350" s="9">
        <v>16</v>
      </c>
      <c r="P350" s="9">
        <v>133527</v>
      </c>
      <c r="Q350" s="124" t="str">
        <f t="shared" si="42"/>
        <v>FASE II</v>
      </c>
      <c r="R350" s="155">
        <f t="shared" si="37"/>
        <v>60</v>
      </c>
      <c r="S350" s="156">
        <f t="shared" si="40"/>
        <v>139137</v>
      </c>
      <c r="T350" s="156">
        <f t="shared" si="41"/>
        <v>8348220</v>
      </c>
    </row>
    <row r="351" spans="1:20" s="9" customFormat="1" ht="35.1" customHeight="1" x14ac:dyDescent="0.25">
      <c r="A351" s="215"/>
      <c r="B351" s="255" t="s">
        <v>445</v>
      </c>
      <c r="C351" s="254" t="s">
        <v>446</v>
      </c>
      <c r="D351" s="255" t="s">
        <v>284</v>
      </c>
      <c r="E351" s="242">
        <v>256</v>
      </c>
      <c r="F351" s="242">
        <v>95</v>
      </c>
      <c r="G351" s="242">
        <v>351</v>
      </c>
      <c r="H351" s="243">
        <v>8323</v>
      </c>
      <c r="I351" s="243">
        <f t="shared" si="38"/>
        <v>2921373</v>
      </c>
      <c r="J351" s="8">
        <f t="shared" si="43"/>
        <v>16253</v>
      </c>
      <c r="K351" s="8">
        <f t="shared" si="36"/>
        <v>8323</v>
      </c>
      <c r="L351" s="8">
        <f t="shared" si="39"/>
        <v>2130688</v>
      </c>
      <c r="M351" s="9" t="str">
        <f t="array" ref="M351:P351">_xlfn.XLOOKUP(C351,'Neiva 2022 FASE I ACTUAL (5)'!$C$6:$C$540,'Neiva 2022 FASE I ACTUAL (5)'!$C$6:$F$540,"NO ESTA")</f>
        <v xml:space="preserve">SUMINISTRO E INSTALACIÓN ACCESORIOS ACERO NEGRO 1"                                                       </v>
      </c>
      <c r="N351" s="9" t="str">
        <v xml:space="preserve">UN   </v>
      </c>
      <c r="O351" s="9">
        <v>95</v>
      </c>
      <c r="P351" s="9">
        <v>7988</v>
      </c>
      <c r="Q351" s="124" t="str">
        <f t="shared" si="42"/>
        <v>FASE II</v>
      </c>
      <c r="R351" s="155">
        <f t="shared" si="37"/>
        <v>351</v>
      </c>
      <c r="S351" s="156">
        <f t="shared" si="40"/>
        <v>8323</v>
      </c>
      <c r="T351" s="156">
        <f t="shared" si="41"/>
        <v>2921373</v>
      </c>
    </row>
    <row r="352" spans="1:20" s="9" customFormat="1" ht="35.1" customHeight="1" x14ac:dyDescent="0.25">
      <c r="A352" s="215"/>
      <c r="B352" s="255" t="s">
        <v>447</v>
      </c>
      <c r="C352" s="254" t="s">
        <v>448</v>
      </c>
      <c r="D352" s="255" t="s">
        <v>284</v>
      </c>
      <c r="E352" s="242">
        <v>95</v>
      </c>
      <c r="F352" s="242">
        <v>35</v>
      </c>
      <c r="G352" s="242">
        <v>130</v>
      </c>
      <c r="H352" s="243">
        <v>18109</v>
      </c>
      <c r="I352" s="243">
        <f t="shared" si="38"/>
        <v>2354170</v>
      </c>
      <c r="J352" s="8">
        <f t="shared" si="43"/>
        <v>35363</v>
      </c>
      <c r="K352" s="8">
        <f t="shared" si="36"/>
        <v>18109</v>
      </c>
      <c r="L352" s="8">
        <f t="shared" si="39"/>
        <v>1720355</v>
      </c>
      <c r="M352" s="9" t="str">
        <f t="array" ref="M352:P352">_xlfn.XLOOKUP(C352,'Neiva 2022 FASE I ACTUAL (5)'!$C$6:$C$540,'Neiva 2022 FASE I ACTUAL (5)'!$C$6:$F$540,"NO ESTA")</f>
        <v xml:space="preserve">SUMINISTRO E INSTALACIÓN ACCESORIOS ACERO NEGRO 2"                                                       </v>
      </c>
      <c r="N352" s="9" t="str">
        <v xml:space="preserve">UN   </v>
      </c>
      <c r="O352" s="9">
        <v>35</v>
      </c>
      <c r="P352" s="9">
        <v>17379</v>
      </c>
      <c r="Q352" s="124" t="str">
        <f t="shared" si="42"/>
        <v>FASE II</v>
      </c>
      <c r="R352" s="155">
        <f t="shared" si="37"/>
        <v>130</v>
      </c>
      <c r="S352" s="156">
        <f t="shared" si="40"/>
        <v>18109</v>
      </c>
      <c r="T352" s="156">
        <f t="shared" si="41"/>
        <v>2354170</v>
      </c>
    </row>
    <row r="353" spans="1:20" s="9" customFormat="1" ht="35.1" customHeight="1" x14ac:dyDescent="0.25">
      <c r="A353" s="215"/>
      <c r="B353" s="255" t="s">
        <v>449</v>
      </c>
      <c r="C353" s="254" t="s">
        <v>450</v>
      </c>
      <c r="D353" s="255" t="s">
        <v>284</v>
      </c>
      <c r="E353" s="242">
        <v>128</v>
      </c>
      <c r="F353" s="242">
        <v>48</v>
      </c>
      <c r="G353" s="242">
        <v>176</v>
      </c>
      <c r="H353" s="243">
        <v>28040</v>
      </c>
      <c r="I353" s="243">
        <f t="shared" si="38"/>
        <v>4935040</v>
      </c>
      <c r="J353" s="8">
        <f t="shared" si="43"/>
        <v>54757</v>
      </c>
      <c r="K353" s="8">
        <f t="shared" si="36"/>
        <v>28040</v>
      </c>
      <c r="L353" s="8">
        <f t="shared" si="39"/>
        <v>3589120</v>
      </c>
      <c r="M353" s="9" t="str">
        <f t="array" ref="M353:P353">_xlfn.XLOOKUP(C353,'Neiva 2022 FASE I ACTUAL (5)'!$C$6:$C$540,'Neiva 2022 FASE I ACTUAL (5)'!$C$6:$F$540,"NO ESTA")</f>
        <v xml:space="preserve">SUMINISTRO E INSTALACIÓN ACCESORIOS ACERO NEGRO 3"                                                       </v>
      </c>
      <c r="N353" s="9" t="str">
        <v xml:space="preserve">UN   </v>
      </c>
      <c r="O353" s="9">
        <v>48</v>
      </c>
      <c r="P353" s="9">
        <v>26909</v>
      </c>
      <c r="Q353" s="124" t="str">
        <f t="shared" si="42"/>
        <v>FASE II</v>
      </c>
      <c r="R353" s="155">
        <f t="shared" si="37"/>
        <v>176</v>
      </c>
      <c r="S353" s="156">
        <f t="shared" si="40"/>
        <v>28040</v>
      </c>
      <c r="T353" s="156">
        <f t="shared" si="41"/>
        <v>4935040</v>
      </c>
    </row>
    <row r="354" spans="1:20" s="9" customFormat="1" ht="35.1" customHeight="1" x14ac:dyDescent="0.25">
      <c r="A354" s="215"/>
      <c r="B354" s="255" t="s">
        <v>451</v>
      </c>
      <c r="C354" s="254" t="s">
        <v>452</v>
      </c>
      <c r="D354" s="255" t="s">
        <v>284</v>
      </c>
      <c r="E354" s="242">
        <v>19</v>
      </c>
      <c r="F354" s="242">
        <v>7</v>
      </c>
      <c r="G354" s="242">
        <v>26</v>
      </c>
      <c r="H354" s="243">
        <v>43817</v>
      </c>
      <c r="I354" s="243">
        <f t="shared" si="38"/>
        <v>1139242</v>
      </c>
      <c r="J354" s="8">
        <f t="shared" si="43"/>
        <v>85566</v>
      </c>
      <c r="K354" s="8">
        <f t="shared" si="36"/>
        <v>43817</v>
      </c>
      <c r="L354" s="8">
        <f t="shared" si="39"/>
        <v>832523</v>
      </c>
      <c r="M354" s="9" t="str">
        <f t="array" ref="M354:P354">_xlfn.XLOOKUP(C354,'Neiva 2022 FASE I ACTUAL (5)'!$C$6:$C$540,'Neiva 2022 FASE I ACTUAL (5)'!$C$6:$F$540,"NO ESTA")</f>
        <v xml:space="preserve">SUMINISTRO E INSTALACIÓN ACCESORIOS ACERO NEGRO 4"                                                       </v>
      </c>
      <c r="N354" s="9" t="str">
        <v xml:space="preserve">UN   </v>
      </c>
      <c r="O354" s="9">
        <v>7</v>
      </c>
      <c r="P354" s="9">
        <v>42049</v>
      </c>
      <c r="Q354" s="124" t="str">
        <f t="shared" si="42"/>
        <v>FASE II</v>
      </c>
      <c r="R354" s="155">
        <f t="shared" si="37"/>
        <v>26</v>
      </c>
      <c r="S354" s="156">
        <f t="shared" si="40"/>
        <v>43817</v>
      </c>
      <c r="T354" s="156">
        <f t="shared" si="41"/>
        <v>1139242</v>
      </c>
    </row>
    <row r="355" spans="1:20" s="9" customFormat="1" ht="35.1" customHeight="1" x14ac:dyDescent="0.25">
      <c r="A355" s="215"/>
      <c r="B355" s="255" t="s">
        <v>453</v>
      </c>
      <c r="C355" s="254" t="s">
        <v>454</v>
      </c>
      <c r="D355" s="255" t="s">
        <v>284</v>
      </c>
      <c r="E355" s="242">
        <v>55</v>
      </c>
      <c r="F355" s="242">
        <v>21</v>
      </c>
      <c r="G355" s="242">
        <v>76</v>
      </c>
      <c r="H355" s="243">
        <v>8449</v>
      </c>
      <c r="I355" s="243">
        <f t="shared" si="38"/>
        <v>642124</v>
      </c>
      <c r="J355" s="8">
        <f t="shared" si="43"/>
        <v>16499</v>
      </c>
      <c r="K355" s="8">
        <f t="shared" si="36"/>
        <v>8449</v>
      </c>
      <c r="L355" s="8">
        <f t="shared" si="39"/>
        <v>464695</v>
      </c>
      <c r="M355" s="9" t="str">
        <f t="array" ref="M355:P355">_xlfn.XLOOKUP(C355,'Neiva 2022 FASE I ACTUAL (5)'!$C$6:$C$540,'Neiva 2022 FASE I ACTUAL (5)'!$C$6:$F$540,"NO ESTA")</f>
        <v xml:space="preserve">SUMINISTRO E INSTALACIÓN ACOPLES HIERRO FUNDIDO DIAMETRO 2"                                                      </v>
      </c>
      <c r="N355" s="9" t="str">
        <v xml:space="preserve">UN   </v>
      </c>
      <c r="O355" s="9">
        <v>21</v>
      </c>
      <c r="P355" s="9">
        <v>8108</v>
      </c>
      <c r="Q355" s="124" t="str">
        <f t="shared" si="42"/>
        <v>FASE II</v>
      </c>
      <c r="R355" s="155">
        <f t="shared" si="37"/>
        <v>76</v>
      </c>
      <c r="S355" s="156">
        <f t="shared" si="40"/>
        <v>8449</v>
      </c>
      <c r="T355" s="156">
        <f t="shared" si="41"/>
        <v>642124</v>
      </c>
    </row>
    <row r="356" spans="1:20" s="9" customFormat="1" ht="35.1" customHeight="1" x14ac:dyDescent="0.25">
      <c r="A356" s="215"/>
      <c r="B356" s="255" t="s">
        <v>455</v>
      </c>
      <c r="C356" s="254" t="s">
        <v>456</v>
      </c>
      <c r="D356" s="255" t="s">
        <v>284</v>
      </c>
      <c r="E356" s="242">
        <v>58</v>
      </c>
      <c r="F356" s="242">
        <v>22</v>
      </c>
      <c r="G356" s="242">
        <v>80</v>
      </c>
      <c r="H356" s="243">
        <v>11214</v>
      </c>
      <c r="I356" s="243">
        <f t="shared" si="38"/>
        <v>897120</v>
      </c>
      <c r="J356" s="8">
        <f t="shared" si="43"/>
        <v>21899</v>
      </c>
      <c r="K356" s="8">
        <f t="shared" si="36"/>
        <v>11214</v>
      </c>
      <c r="L356" s="8">
        <f t="shared" si="39"/>
        <v>650412</v>
      </c>
      <c r="M356" s="9" t="str">
        <f t="array" ref="M356:P356">_xlfn.XLOOKUP(C356,'Neiva 2022 FASE I ACTUAL (5)'!$C$6:$C$540,'Neiva 2022 FASE I ACTUAL (5)'!$C$6:$F$540,"NO ESTA")</f>
        <v xml:space="preserve">SUMINISTRO E INSTALACIÓN ACOPLES HIERRO FUNDIDO DIAMETRO 3"                                                       </v>
      </c>
      <c r="N356" s="9" t="str">
        <v xml:space="preserve">UN   </v>
      </c>
      <c r="O356" s="9">
        <v>22</v>
      </c>
      <c r="P356" s="9">
        <v>10762</v>
      </c>
      <c r="Q356" s="124" t="str">
        <f t="shared" si="42"/>
        <v>FASE II</v>
      </c>
      <c r="R356" s="155">
        <f t="shared" si="37"/>
        <v>80</v>
      </c>
      <c r="S356" s="156">
        <f t="shared" si="40"/>
        <v>11214</v>
      </c>
      <c r="T356" s="156">
        <f t="shared" si="41"/>
        <v>897120</v>
      </c>
    </row>
    <row r="357" spans="1:20" s="9" customFormat="1" ht="35.1" customHeight="1" x14ac:dyDescent="0.25">
      <c r="A357" s="215"/>
      <c r="B357" s="255" t="s">
        <v>457</v>
      </c>
      <c r="C357" s="254" t="s">
        <v>458</v>
      </c>
      <c r="D357" s="255" t="s">
        <v>284</v>
      </c>
      <c r="E357" s="242">
        <v>9</v>
      </c>
      <c r="F357" s="242">
        <v>3</v>
      </c>
      <c r="G357" s="242">
        <v>12</v>
      </c>
      <c r="H357" s="243">
        <v>13875</v>
      </c>
      <c r="I357" s="243">
        <f t="shared" si="38"/>
        <v>166500</v>
      </c>
      <c r="J357" s="8">
        <f t="shared" si="43"/>
        <v>27095</v>
      </c>
      <c r="K357" s="8">
        <f t="shared" si="36"/>
        <v>13875</v>
      </c>
      <c r="L357" s="8">
        <f t="shared" si="39"/>
        <v>124875</v>
      </c>
      <c r="M357" s="9" t="str">
        <f t="array" ref="M357:P357">_xlfn.XLOOKUP(C357,'Neiva 2022 FASE I ACTUAL (5)'!$C$6:$C$540,'Neiva 2022 FASE I ACTUAL (5)'!$C$6:$F$540,"NO ESTA")</f>
        <v xml:space="preserve">SUMINISTRO E INSTALACIÓN ACOPLES HIERRO FUNDIDO DIAMETRO 4"                                                       </v>
      </c>
      <c r="N357" s="9" t="str">
        <v xml:space="preserve">UN   </v>
      </c>
      <c r="O357" s="9">
        <v>3</v>
      </c>
      <c r="P357" s="9">
        <v>13314</v>
      </c>
      <c r="Q357" s="124" t="str">
        <f t="shared" si="42"/>
        <v>FASE II</v>
      </c>
      <c r="R357" s="155">
        <f t="shared" si="37"/>
        <v>12</v>
      </c>
      <c r="S357" s="156">
        <f t="shared" si="40"/>
        <v>13875</v>
      </c>
      <c r="T357" s="156">
        <f t="shared" si="41"/>
        <v>166500</v>
      </c>
    </row>
    <row r="358" spans="1:20" s="9" customFormat="1" ht="35.1" customHeight="1" x14ac:dyDescent="0.25">
      <c r="A358" s="215"/>
      <c r="B358" s="255" t="s">
        <v>459</v>
      </c>
      <c r="C358" s="254" t="s">
        <v>460</v>
      </c>
      <c r="D358" s="255" t="s">
        <v>269</v>
      </c>
      <c r="E358" s="242">
        <v>602</v>
      </c>
      <c r="F358" s="242">
        <v>222</v>
      </c>
      <c r="G358" s="242">
        <v>824</v>
      </c>
      <c r="H358" s="243">
        <v>5979</v>
      </c>
      <c r="I358" s="243">
        <f t="shared" si="38"/>
        <v>4926696</v>
      </c>
      <c r="J358" s="8"/>
      <c r="K358" s="8">
        <f t="shared" si="36"/>
        <v>5979</v>
      </c>
      <c r="L358" s="8">
        <f t="shared" si="39"/>
        <v>3599358</v>
      </c>
      <c r="M358" s="9" t="str">
        <f t="array" ref="M358:P358">_xlfn.XLOOKUP(C358,'Neiva 2022 FASE I ACTUAL (5)'!$C$6:$C$540,'Neiva 2022 FASE I ACTUAL (5)'!$C$6:$F$540,"NO ESTA")</f>
        <v xml:space="preserve">SUMINISTRO Y APLICACIÓN PINTURA RED DE INCENDIO DIAMETRO DE 1" A 2"                                                              </v>
      </c>
      <c r="N358" s="9" t="str">
        <v xml:space="preserve">ML   </v>
      </c>
      <c r="O358" s="9">
        <v>222</v>
      </c>
      <c r="P358" s="9">
        <v>5737</v>
      </c>
      <c r="Q358" s="124" t="str">
        <f t="shared" si="42"/>
        <v>FASE II</v>
      </c>
      <c r="R358" s="155">
        <f t="shared" si="37"/>
        <v>824</v>
      </c>
      <c r="S358" s="156">
        <f t="shared" si="40"/>
        <v>5979</v>
      </c>
      <c r="T358" s="156">
        <f t="shared" si="41"/>
        <v>4926696</v>
      </c>
    </row>
    <row r="359" spans="1:20" s="9" customFormat="1" ht="35.1" customHeight="1" x14ac:dyDescent="0.25">
      <c r="A359" s="215"/>
      <c r="B359" s="255" t="s">
        <v>461</v>
      </c>
      <c r="C359" s="254" t="s">
        <v>462</v>
      </c>
      <c r="D359" s="255" t="s">
        <v>269</v>
      </c>
      <c r="E359" s="242">
        <v>107</v>
      </c>
      <c r="F359" s="242">
        <v>40</v>
      </c>
      <c r="G359" s="242">
        <v>147</v>
      </c>
      <c r="H359" s="243">
        <v>10169</v>
      </c>
      <c r="I359" s="243">
        <f t="shared" si="38"/>
        <v>1494843</v>
      </c>
      <c r="J359" s="8"/>
      <c r="K359" s="8">
        <f t="shared" si="36"/>
        <v>10169</v>
      </c>
      <c r="L359" s="8">
        <f t="shared" si="39"/>
        <v>1088083</v>
      </c>
      <c r="M359" s="9" t="str">
        <f t="array" ref="M359:P359">_xlfn.XLOOKUP(C359,'Neiva 2022 FASE I ACTUAL (5)'!$C$6:$C$540,'Neiva 2022 FASE I ACTUAL (5)'!$C$6:$F$540,"NO ESTA")</f>
        <v xml:space="preserve">SUMINISTRO Y APLICACIÓN PINTURA RED DE INCENDIO DIAMETRO DE  2 1/2" A 4"                                                          </v>
      </c>
      <c r="N359" s="9" t="str">
        <v xml:space="preserve">ML   </v>
      </c>
      <c r="O359" s="9">
        <v>40</v>
      </c>
      <c r="P359" s="9">
        <v>9760</v>
      </c>
      <c r="Q359" s="124" t="str">
        <f t="shared" si="42"/>
        <v>FASE II</v>
      </c>
      <c r="R359" s="155">
        <f t="shared" si="37"/>
        <v>147</v>
      </c>
      <c r="S359" s="156">
        <f t="shared" si="40"/>
        <v>10169</v>
      </c>
      <c r="T359" s="156">
        <f t="shared" si="41"/>
        <v>1494843</v>
      </c>
    </row>
    <row r="360" spans="1:20" s="9" customFormat="1" ht="35.1" customHeight="1" x14ac:dyDescent="0.25">
      <c r="A360" s="215"/>
      <c r="B360" s="286" t="s">
        <v>463</v>
      </c>
      <c r="C360" s="287" t="s">
        <v>464</v>
      </c>
      <c r="D360" s="287"/>
      <c r="E360" s="288"/>
      <c r="F360" s="288"/>
      <c r="G360" s="288"/>
      <c r="H360" s="288"/>
      <c r="I360" s="288"/>
      <c r="J360" s="8"/>
      <c r="K360" s="8">
        <f t="shared" si="36"/>
        <v>0</v>
      </c>
      <c r="L360" s="8">
        <f t="shared" si="39"/>
        <v>0</v>
      </c>
      <c r="M360" s="9" t="str">
        <f t="array" ref="M360:P360">_xlfn.XLOOKUP(C360,'Neiva 2022 FASE I ACTUAL (5)'!$C$6:$C$540,'Neiva 2022 FASE I ACTUAL (5)'!$C$6:$F$540,"NO ESTA")</f>
        <v>SUMINISTRO E INSTALACION ELEMENTOS RED CONTRA INCENDIO</v>
      </c>
      <c r="N360" s="9">
        <v>0</v>
      </c>
      <c r="O360" s="9">
        <v>0</v>
      </c>
      <c r="P360" s="9">
        <v>0</v>
      </c>
      <c r="Q360" s="124">
        <f t="shared" si="42"/>
        <v>0</v>
      </c>
      <c r="R360" s="155">
        <f t="shared" si="37"/>
        <v>0</v>
      </c>
      <c r="S360" s="156">
        <f t="shared" si="40"/>
        <v>0</v>
      </c>
      <c r="T360" s="156">
        <f t="shared" si="41"/>
        <v>0</v>
      </c>
    </row>
    <row r="361" spans="1:20" s="9" customFormat="1" ht="35.1" customHeight="1" x14ac:dyDescent="0.25">
      <c r="A361" s="215"/>
      <c r="B361" s="255" t="s">
        <v>465</v>
      </c>
      <c r="C361" s="254" t="s">
        <v>466</v>
      </c>
      <c r="D361" s="255" t="s">
        <v>284</v>
      </c>
      <c r="E361" s="242">
        <v>276</v>
      </c>
      <c r="F361" s="242">
        <v>102</v>
      </c>
      <c r="G361" s="242">
        <v>378</v>
      </c>
      <c r="H361" s="243">
        <v>60286</v>
      </c>
      <c r="I361" s="243">
        <f t="shared" si="38"/>
        <v>22788108</v>
      </c>
      <c r="J361" s="8"/>
      <c r="K361" s="8">
        <f t="shared" si="36"/>
        <v>60286</v>
      </c>
      <c r="L361" s="8">
        <f t="shared" si="39"/>
        <v>16638936</v>
      </c>
      <c r="M361" s="9" t="str">
        <f t="array" ref="M361:P361">_xlfn.XLOOKUP(C361,'Neiva 2022 FASE I ACTUAL (5)'!$C$6:$C$540,'Neiva 2022 FASE I ACTUAL (5)'!$C$6:$F$540,"NO ESTA")</f>
        <v xml:space="preserve">SUMINISTRO E INSTALACIÓN ROCIADOR PENDENT K:5.6                                                          </v>
      </c>
      <c r="N361" s="9" t="str">
        <v xml:space="preserve">UN   </v>
      </c>
      <c r="O361" s="9">
        <v>102</v>
      </c>
      <c r="P361" s="9">
        <v>57855</v>
      </c>
      <c r="Q361" s="124" t="str">
        <f t="shared" si="42"/>
        <v>FASE II</v>
      </c>
      <c r="R361" s="155">
        <f t="shared" si="37"/>
        <v>378</v>
      </c>
      <c r="S361" s="156">
        <f t="shared" si="40"/>
        <v>60286</v>
      </c>
      <c r="T361" s="156">
        <f t="shared" si="41"/>
        <v>22788108</v>
      </c>
    </row>
    <row r="362" spans="1:20" s="9" customFormat="1" ht="35.1" customHeight="1" x14ac:dyDescent="0.25">
      <c r="A362" s="215"/>
      <c r="B362" s="255" t="s">
        <v>467</v>
      </c>
      <c r="C362" s="254" t="s">
        <v>468</v>
      </c>
      <c r="D362" s="255" t="s">
        <v>284</v>
      </c>
      <c r="E362" s="242">
        <v>38</v>
      </c>
      <c r="F362" s="242">
        <v>14</v>
      </c>
      <c r="G362" s="242">
        <v>52</v>
      </c>
      <c r="H362" s="243">
        <v>39502</v>
      </c>
      <c r="I362" s="243">
        <f t="shared" si="38"/>
        <v>2054104</v>
      </c>
      <c r="J362" s="8"/>
      <c r="K362" s="8">
        <f t="shared" si="36"/>
        <v>39502</v>
      </c>
      <c r="L362" s="8">
        <f t="shared" si="39"/>
        <v>1501076</v>
      </c>
      <c r="M362" s="9" t="str">
        <f t="array" ref="M362:P362">_xlfn.XLOOKUP(C362,'Neiva 2022 FASE I ACTUAL (5)'!$C$6:$C$540,'Neiva 2022 FASE I ACTUAL (5)'!$C$6:$F$540,"NO ESTA")</f>
        <v xml:space="preserve">SUMINISTRO E INSTALACIÓN ROCIADOR MONTANTE K:5.6                                                          </v>
      </c>
      <c r="N362" s="9" t="str">
        <v xml:space="preserve">UN   </v>
      </c>
      <c r="O362" s="9">
        <v>14</v>
      </c>
      <c r="P362" s="9">
        <v>37910</v>
      </c>
      <c r="Q362" s="124" t="str">
        <f t="shared" si="42"/>
        <v>FASE II</v>
      </c>
      <c r="R362" s="155">
        <f t="shared" si="37"/>
        <v>52</v>
      </c>
      <c r="S362" s="156">
        <f t="shared" si="40"/>
        <v>39502</v>
      </c>
      <c r="T362" s="156">
        <f t="shared" si="41"/>
        <v>2054104</v>
      </c>
    </row>
    <row r="363" spans="1:20" s="9" customFormat="1" ht="35.1" customHeight="1" x14ac:dyDescent="0.25">
      <c r="A363" s="215"/>
      <c r="B363" s="255" t="s">
        <v>469</v>
      </c>
      <c r="C363" s="254" t="s">
        <v>470</v>
      </c>
      <c r="D363" s="255" t="s">
        <v>284</v>
      </c>
      <c r="E363" s="242">
        <v>27</v>
      </c>
      <c r="F363" s="242">
        <v>10</v>
      </c>
      <c r="G363" s="242">
        <v>37</v>
      </c>
      <c r="H363" s="243">
        <v>130356</v>
      </c>
      <c r="I363" s="243">
        <f t="shared" si="38"/>
        <v>4823172</v>
      </c>
      <c r="J363" s="8"/>
      <c r="K363" s="8">
        <f t="shared" si="36"/>
        <v>130356</v>
      </c>
      <c r="L363" s="8">
        <f t="shared" si="39"/>
        <v>3519612</v>
      </c>
      <c r="M363" s="9" t="str">
        <f t="array" ref="M363:P363">_xlfn.XLOOKUP(C363,'Neiva 2022 FASE I ACTUAL (5)'!$C$6:$C$540,'Neiva 2022 FASE I ACTUAL (5)'!$C$6:$F$540,"NO ESTA")</f>
        <v xml:space="preserve">SUMINISTRO E INSTALACIÓN ROCIADOR PENDENT K:11.2                                                          </v>
      </c>
      <c r="N363" s="9" t="str">
        <v xml:space="preserve">UN   </v>
      </c>
      <c r="O363" s="9">
        <v>10</v>
      </c>
      <c r="P363" s="9">
        <v>125097</v>
      </c>
      <c r="Q363" s="124" t="str">
        <f t="shared" si="42"/>
        <v>FASE II</v>
      </c>
      <c r="R363" s="155">
        <f t="shared" si="37"/>
        <v>37</v>
      </c>
      <c r="S363" s="156">
        <f t="shared" si="40"/>
        <v>130356</v>
      </c>
      <c r="T363" s="156">
        <f t="shared" si="41"/>
        <v>4823172</v>
      </c>
    </row>
    <row r="364" spans="1:20" s="9" customFormat="1" ht="35.1" customHeight="1" x14ac:dyDescent="0.25">
      <c r="A364" s="215"/>
      <c r="B364" s="255" t="s">
        <v>471</v>
      </c>
      <c r="C364" s="254" t="s">
        <v>472</v>
      </c>
      <c r="D364" s="255" t="s">
        <v>284</v>
      </c>
      <c r="E364" s="242">
        <v>341</v>
      </c>
      <c r="F364" s="242">
        <v>126</v>
      </c>
      <c r="G364" s="242">
        <v>467</v>
      </c>
      <c r="H364" s="243">
        <v>47582</v>
      </c>
      <c r="I364" s="243">
        <f t="shared" si="38"/>
        <v>22220794</v>
      </c>
      <c r="J364" s="8"/>
      <c r="K364" s="8">
        <f t="shared" si="36"/>
        <v>47582</v>
      </c>
      <c r="L364" s="8">
        <f t="shared" si="39"/>
        <v>16225462</v>
      </c>
      <c r="M364" s="9" t="str">
        <f t="array" ref="M364:P364">_xlfn.XLOOKUP(C364,'Neiva 2022 FASE I ACTUAL (5)'!$C$6:$C$540,'Neiva 2022 FASE I ACTUAL (5)'!$C$6:$F$540,"NO ESTA")</f>
        <v xml:space="preserve">SUMINISTRO E INSTALACIÓN PUNTO HIDRÁULICO PARA ROCIADOR                                                  </v>
      </c>
      <c r="N364" s="9" t="str">
        <v xml:space="preserve">UN   </v>
      </c>
      <c r="O364" s="9">
        <v>126</v>
      </c>
      <c r="P364" s="9">
        <v>45662</v>
      </c>
      <c r="Q364" s="124" t="str">
        <f t="shared" si="42"/>
        <v>FASE II</v>
      </c>
      <c r="R364" s="155">
        <f t="shared" si="37"/>
        <v>467</v>
      </c>
      <c r="S364" s="156">
        <f t="shared" si="40"/>
        <v>47582</v>
      </c>
      <c r="T364" s="156">
        <f t="shared" si="41"/>
        <v>22220794</v>
      </c>
    </row>
    <row r="365" spans="1:20" s="9" customFormat="1" ht="35.1" customHeight="1" x14ac:dyDescent="0.25">
      <c r="A365" s="215"/>
      <c r="B365" s="255" t="s">
        <v>473</v>
      </c>
      <c r="C365" s="254" t="s">
        <v>474</v>
      </c>
      <c r="D365" s="255" t="s">
        <v>284</v>
      </c>
      <c r="E365" s="242">
        <v>2</v>
      </c>
      <c r="F365" s="242">
        <v>3</v>
      </c>
      <c r="G365" s="242">
        <v>5</v>
      </c>
      <c r="H365" s="243">
        <v>4249412</v>
      </c>
      <c r="I365" s="243">
        <f t="shared" si="38"/>
        <v>21247060</v>
      </c>
      <c r="J365" s="8"/>
      <c r="K365" s="8">
        <f t="shared" si="36"/>
        <v>4249412</v>
      </c>
      <c r="L365" s="8">
        <f t="shared" si="39"/>
        <v>8498824</v>
      </c>
      <c r="M365" s="9" t="str">
        <f t="array" ref="M365:P365">_xlfn.XLOOKUP(C365,'Neiva 2022 FASE I ACTUAL (5)'!$C$6:$C$540,'Neiva 2022 FASE I ACTUAL (5)'!$C$6:$F$540,"NO ESTA")</f>
        <v xml:space="preserve">SUMINISTRO E INSTALACIÓN ESTACIÓN DE CONTROL, PRUEBA Y DRENAJE 3"                                        </v>
      </c>
      <c r="N365" s="9" t="str">
        <v xml:space="preserve">UN   </v>
      </c>
      <c r="O365" s="9">
        <v>3</v>
      </c>
      <c r="P365" s="9">
        <v>4078038</v>
      </c>
      <c r="Q365" s="124" t="str">
        <f t="shared" si="42"/>
        <v>FASE II</v>
      </c>
      <c r="R365" s="155">
        <f t="shared" si="37"/>
        <v>5</v>
      </c>
      <c r="S365" s="156">
        <f t="shared" si="40"/>
        <v>4249412</v>
      </c>
      <c r="T365" s="156">
        <f t="shared" si="41"/>
        <v>21247060</v>
      </c>
    </row>
    <row r="366" spans="1:20" s="9" customFormat="1" ht="35.1" customHeight="1" x14ac:dyDescent="0.25">
      <c r="A366" s="215"/>
      <c r="B366" s="255" t="s">
        <v>475</v>
      </c>
      <c r="C366" s="254" t="s">
        <v>476</v>
      </c>
      <c r="D366" s="255" t="s">
        <v>284</v>
      </c>
      <c r="E366" s="242">
        <v>7</v>
      </c>
      <c r="F366" s="242">
        <v>3</v>
      </c>
      <c r="G366" s="242">
        <v>10</v>
      </c>
      <c r="H366" s="243">
        <v>81349</v>
      </c>
      <c r="I366" s="243">
        <f t="shared" si="38"/>
        <v>813490</v>
      </c>
      <c r="J366" s="8"/>
      <c r="K366" s="8">
        <f t="shared" si="36"/>
        <v>81349</v>
      </c>
      <c r="L366" s="8">
        <f t="shared" si="39"/>
        <v>569443</v>
      </c>
      <c r="M366" s="9" t="str">
        <f t="array" ref="M366:P366">_xlfn.XLOOKUP(C366,'Neiva 2022 FASE I ACTUAL (5)'!$C$6:$C$540,'Neiva 2022 FASE I ACTUAL (5)'!$C$6:$F$540,"NO ESTA")</f>
        <v xml:space="preserve">SUMINISTRO E INSTALACIÓN VÁLVULA TOMA Y DESC. AIRE 1" INCENDIO                                           </v>
      </c>
      <c r="N366" s="9" t="str">
        <v xml:space="preserve">UN   </v>
      </c>
      <c r="O366" s="9">
        <v>3</v>
      </c>
      <c r="P366" s="9">
        <v>78069</v>
      </c>
      <c r="Q366" s="124" t="str">
        <f t="shared" si="42"/>
        <v>FASE II</v>
      </c>
      <c r="R366" s="155">
        <f t="shared" si="37"/>
        <v>10</v>
      </c>
      <c r="S366" s="156">
        <f t="shared" si="40"/>
        <v>81349</v>
      </c>
      <c r="T366" s="156">
        <f t="shared" si="41"/>
        <v>813490</v>
      </c>
    </row>
    <row r="367" spans="1:20" s="9" customFormat="1" ht="35.1" customHeight="1" x14ac:dyDescent="0.25">
      <c r="A367" s="215"/>
      <c r="B367" s="255" t="s">
        <v>477</v>
      </c>
      <c r="C367" s="254" t="s">
        <v>478</v>
      </c>
      <c r="D367" s="255" t="s">
        <v>284</v>
      </c>
      <c r="E367" s="242">
        <v>1</v>
      </c>
      <c r="F367" s="242">
        <v>1</v>
      </c>
      <c r="G367" s="242">
        <v>2</v>
      </c>
      <c r="H367" s="243">
        <v>1509425</v>
      </c>
      <c r="I367" s="243">
        <f t="shared" si="38"/>
        <v>3018850</v>
      </c>
      <c r="J367" s="8"/>
      <c r="K367" s="8">
        <f t="shared" si="36"/>
        <v>1509425</v>
      </c>
      <c r="L367" s="8">
        <f t="shared" si="39"/>
        <v>1509425</v>
      </c>
      <c r="M367" s="9" t="str">
        <f t="array" ref="M367:P367">_xlfn.XLOOKUP(C367,'Neiva 2022 FASE I ACTUAL (5)'!$C$6:$C$540,'Neiva 2022 FASE I ACTUAL (5)'!$C$6:$F$540,"NO ESTA")</f>
        <v xml:space="preserve">SUMINISTRO E INSTALACIÓN SIAMESA DE INYECCIÓN                                                            </v>
      </c>
      <c r="N367" s="9" t="str">
        <v xml:space="preserve">UN   </v>
      </c>
      <c r="O367" s="9">
        <v>1</v>
      </c>
      <c r="P367" s="9">
        <v>1448552</v>
      </c>
      <c r="Q367" s="124" t="str">
        <f t="shared" si="42"/>
        <v>FASE II</v>
      </c>
      <c r="R367" s="155">
        <f t="shared" si="37"/>
        <v>2</v>
      </c>
      <c r="S367" s="156">
        <f t="shared" si="40"/>
        <v>1509425</v>
      </c>
      <c r="T367" s="156">
        <f t="shared" si="41"/>
        <v>3018850</v>
      </c>
    </row>
    <row r="368" spans="1:20" s="9" customFormat="1" ht="35.1" customHeight="1" x14ac:dyDescent="0.25">
      <c r="A368" s="215"/>
      <c r="B368" s="255" t="s">
        <v>479</v>
      </c>
      <c r="C368" s="254" t="s">
        <v>480</v>
      </c>
      <c r="D368" s="255" t="s">
        <v>284</v>
      </c>
      <c r="E368" s="242">
        <v>0</v>
      </c>
      <c r="F368" s="242">
        <v>1</v>
      </c>
      <c r="G368" s="242">
        <v>1</v>
      </c>
      <c r="H368" s="243">
        <v>5458959</v>
      </c>
      <c r="I368" s="243">
        <f t="shared" si="38"/>
        <v>5458959</v>
      </c>
      <c r="J368" s="8"/>
      <c r="K368" s="8">
        <f t="shared" si="36"/>
        <v>5458959</v>
      </c>
      <c r="L368" s="8">
        <f t="shared" si="39"/>
        <v>0</v>
      </c>
      <c r="M368" s="9" t="str">
        <f t="array" ref="M368:P368">_xlfn.XLOOKUP(C368,'Neiva 2022 FASE I ACTUAL (5)'!$C$6:$C$540,'Neiva 2022 FASE I ACTUAL (5)'!$C$6:$F$540,"NO ESTA")</f>
        <v xml:space="preserve">SUMINISTRO E INSTALACIÓN CABEZAL DE PRUEBAS                                                         </v>
      </c>
      <c r="N368" s="9" t="str">
        <v xml:space="preserve">UN   </v>
      </c>
      <c r="O368" s="9">
        <v>1</v>
      </c>
      <c r="P368" s="9">
        <v>5238807</v>
      </c>
      <c r="Q368" s="124" t="str">
        <f t="shared" si="42"/>
        <v>FASE II</v>
      </c>
      <c r="R368" s="155">
        <f t="shared" si="37"/>
        <v>1</v>
      </c>
      <c r="S368" s="156">
        <f t="shared" si="40"/>
        <v>5458959</v>
      </c>
      <c r="T368" s="156">
        <f t="shared" si="41"/>
        <v>5458959</v>
      </c>
    </row>
    <row r="369" spans="1:20" s="9" customFormat="1" ht="35.1" customHeight="1" x14ac:dyDescent="0.25">
      <c r="A369" s="215"/>
      <c r="B369" s="255" t="s">
        <v>481</v>
      </c>
      <c r="C369" s="254" t="s">
        <v>482</v>
      </c>
      <c r="D369" s="255" t="s">
        <v>284</v>
      </c>
      <c r="E369" s="242">
        <v>0</v>
      </c>
      <c r="F369" s="242">
        <v>1</v>
      </c>
      <c r="G369" s="242">
        <v>1</v>
      </c>
      <c r="H369" s="243">
        <v>436116</v>
      </c>
      <c r="I369" s="243">
        <f t="shared" si="38"/>
        <v>436116</v>
      </c>
      <c r="J369" s="8"/>
      <c r="K369" s="8">
        <f t="shared" ref="K369:K432" si="44">+ROUND(H369*(1+$K$4),0)</f>
        <v>436116</v>
      </c>
      <c r="L369" s="8">
        <f t="shared" si="39"/>
        <v>0</v>
      </c>
      <c r="M369" s="9" t="str">
        <f t="array" ref="M369:P369">_xlfn.XLOOKUP(C369,'Neiva 2022 FASE I ACTUAL (5)'!$C$6:$C$540,'Neiva 2022 FASE I ACTUAL (5)'!$C$6:$F$540,"NO ESTA")</f>
        <v xml:space="preserve">SUMINISTRO E INSTALACIÓN CHEQUE RANURADO 4"                                                              </v>
      </c>
      <c r="N369" s="9" t="str">
        <v xml:space="preserve">UN   </v>
      </c>
      <c r="O369" s="9">
        <v>1</v>
      </c>
      <c r="P369" s="9">
        <v>418527</v>
      </c>
      <c r="Q369" s="124" t="str">
        <f t="shared" si="42"/>
        <v>FASE II</v>
      </c>
      <c r="R369" s="155">
        <f t="shared" si="37"/>
        <v>1</v>
      </c>
      <c r="S369" s="156">
        <f t="shared" si="40"/>
        <v>436116</v>
      </c>
      <c r="T369" s="156">
        <f t="shared" si="41"/>
        <v>436116</v>
      </c>
    </row>
    <row r="370" spans="1:20" s="9" customFormat="1" ht="35.1" customHeight="1" x14ac:dyDescent="0.25">
      <c r="A370" s="215"/>
      <c r="B370" s="255" t="s">
        <v>483</v>
      </c>
      <c r="C370" s="254" t="s">
        <v>484</v>
      </c>
      <c r="D370" s="255" t="s">
        <v>284</v>
      </c>
      <c r="E370" s="242">
        <v>0</v>
      </c>
      <c r="F370" s="242">
        <v>1</v>
      </c>
      <c r="G370" s="242">
        <v>1</v>
      </c>
      <c r="H370" s="243">
        <v>1568916</v>
      </c>
      <c r="I370" s="243">
        <f t="shared" si="38"/>
        <v>1568916</v>
      </c>
      <c r="J370" s="8"/>
      <c r="K370" s="8">
        <f t="shared" si="44"/>
        <v>1568916</v>
      </c>
      <c r="L370" s="8">
        <f t="shared" si="39"/>
        <v>0</v>
      </c>
      <c r="M370" s="9" t="str">
        <f t="array" ref="M370:P370">_xlfn.XLOOKUP(C370,'Neiva 2022 FASE I ACTUAL (5)'!$C$6:$C$540,'Neiva 2022 FASE I ACTUAL (5)'!$C$6:$F$540,"NO ESTA")</f>
        <v xml:space="preserve">SUMINISTRO E INSTALACIÓN VÁLVULA OS&amp;Y 4"                                                                 </v>
      </c>
      <c r="N370" s="9" t="str">
        <v xml:space="preserve">UN   </v>
      </c>
      <c r="O370" s="9">
        <v>1</v>
      </c>
      <c r="P370" s="9">
        <v>1505643</v>
      </c>
      <c r="Q370" s="124" t="str">
        <f t="shared" si="42"/>
        <v>FASE II</v>
      </c>
      <c r="R370" s="155">
        <f t="shared" si="37"/>
        <v>1</v>
      </c>
      <c r="S370" s="156">
        <f t="shared" si="40"/>
        <v>1568916</v>
      </c>
      <c r="T370" s="156">
        <f t="shared" si="41"/>
        <v>1568916</v>
      </c>
    </row>
    <row r="371" spans="1:20" s="9" customFormat="1" ht="35.1" customHeight="1" x14ac:dyDescent="0.25">
      <c r="A371" s="215"/>
      <c r="B371" s="255" t="s">
        <v>485</v>
      </c>
      <c r="C371" s="254" t="s">
        <v>486</v>
      </c>
      <c r="D371" s="255" t="s">
        <v>284</v>
      </c>
      <c r="E371" s="242">
        <v>15</v>
      </c>
      <c r="F371" s="242">
        <v>5</v>
      </c>
      <c r="G371" s="242">
        <v>20</v>
      </c>
      <c r="H371" s="243">
        <v>141920</v>
      </c>
      <c r="I371" s="243">
        <f t="shared" si="38"/>
        <v>2838400</v>
      </c>
      <c r="J371" s="8"/>
      <c r="K371" s="8">
        <f t="shared" si="44"/>
        <v>141920</v>
      </c>
      <c r="L371" s="8">
        <f t="shared" si="39"/>
        <v>2128800</v>
      </c>
      <c r="M371" s="9" t="str">
        <f t="array" ref="M371:P371">_xlfn.XLOOKUP(C371,'Neiva 2022 FASE I ACTUAL (5)'!$C$6:$C$540,'Neiva 2022 FASE I ACTUAL (5)'!$C$6:$F$540,"NO ESTA")</f>
        <v xml:space="preserve">SUMINISTRO E INSTALACIÓN SOPORTE LONGITUDINAL 4 VÍAS 3"                                                               </v>
      </c>
      <c r="N371" s="9" t="str">
        <v xml:space="preserve">UN   </v>
      </c>
      <c r="O371" s="9">
        <v>5</v>
      </c>
      <c r="P371" s="9">
        <v>136196</v>
      </c>
      <c r="Q371" s="124" t="str">
        <f t="shared" si="42"/>
        <v>FASE II</v>
      </c>
      <c r="R371" s="155">
        <f t="shared" si="37"/>
        <v>20</v>
      </c>
      <c r="S371" s="156">
        <f t="shared" si="40"/>
        <v>141920</v>
      </c>
      <c r="T371" s="156">
        <f t="shared" si="41"/>
        <v>2838400</v>
      </c>
    </row>
    <row r="372" spans="1:20" s="9" customFormat="1" ht="35.1" customHeight="1" x14ac:dyDescent="0.25">
      <c r="A372" s="215"/>
      <c r="B372" s="255" t="s">
        <v>487</v>
      </c>
      <c r="C372" s="254" t="s">
        <v>488</v>
      </c>
      <c r="D372" s="255" t="s">
        <v>284</v>
      </c>
      <c r="E372" s="242">
        <v>2</v>
      </c>
      <c r="F372" s="242">
        <v>1</v>
      </c>
      <c r="G372" s="242">
        <v>3</v>
      </c>
      <c r="H372" s="243">
        <v>285428</v>
      </c>
      <c r="I372" s="243">
        <f t="shared" si="38"/>
        <v>856284</v>
      </c>
      <c r="J372" s="8"/>
      <c r="K372" s="8">
        <f t="shared" si="44"/>
        <v>285428</v>
      </c>
      <c r="L372" s="8">
        <f t="shared" si="39"/>
        <v>570856</v>
      </c>
      <c r="M372" s="9" t="str">
        <f t="array" ref="M372:P372">_xlfn.XLOOKUP(C372,'Neiva 2022 FASE I ACTUAL (5)'!$C$6:$C$540,'Neiva 2022 FASE I ACTUAL (5)'!$C$6:$F$540,"NO ESTA")</f>
        <v xml:space="preserve">SUMINISTRO E INSTALACIÓN SOPORTE LONGITUDINAL 4 VÍAS 4"                                                               </v>
      </c>
      <c r="N372" s="9" t="str">
        <v xml:space="preserve">UN   </v>
      </c>
      <c r="O372" s="9">
        <v>1</v>
      </c>
      <c r="P372" s="9">
        <v>273917</v>
      </c>
      <c r="Q372" s="124" t="str">
        <f t="shared" si="42"/>
        <v>FASE II</v>
      </c>
      <c r="R372" s="155">
        <f t="shared" si="37"/>
        <v>3</v>
      </c>
      <c r="S372" s="156">
        <f t="shared" si="40"/>
        <v>285428</v>
      </c>
      <c r="T372" s="156">
        <f t="shared" si="41"/>
        <v>856284</v>
      </c>
    </row>
    <row r="373" spans="1:20" s="9" customFormat="1" ht="35.1" customHeight="1" x14ac:dyDescent="0.25">
      <c r="A373" s="215"/>
      <c r="B373" s="255" t="s">
        <v>489</v>
      </c>
      <c r="C373" s="254" t="s">
        <v>490</v>
      </c>
      <c r="D373" s="255" t="s">
        <v>284</v>
      </c>
      <c r="E373" s="242">
        <v>32</v>
      </c>
      <c r="F373" s="242">
        <v>12</v>
      </c>
      <c r="G373" s="242">
        <v>44</v>
      </c>
      <c r="H373" s="243">
        <v>122058</v>
      </c>
      <c r="I373" s="243">
        <f t="shared" si="38"/>
        <v>5370552</v>
      </c>
      <c r="J373" s="8"/>
      <c r="K373" s="8">
        <f t="shared" si="44"/>
        <v>122058</v>
      </c>
      <c r="L373" s="8">
        <f t="shared" si="39"/>
        <v>3905856</v>
      </c>
      <c r="M373" s="9" t="str">
        <f t="array" ref="M373:P373">_xlfn.XLOOKUP(C373,'Neiva 2022 FASE I ACTUAL (5)'!$C$6:$C$540,'Neiva 2022 FASE I ACTUAL (5)'!$C$6:$F$540,"NO ESTA")</f>
        <v xml:space="preserve">SUMINISTRO E INSTALACIÓN SOPORTE LATERAL 2 VÍAS 2"                                                       </v>
      </c>
      <c r="N373" s="9" t="str">
        <v xml:space="preserve">UN   </v>
      </c>
      <c r="O373" s="9">
        <v>12</v>
      </c>
      <c r="P373" s="9">
        <v>117136</v>
      </c>
      <c r="Q373" s="124" t="str">
        <f t="shared" si="42"/>
        <v>FASE II</v>
      </c>
      <c r="R373" s="155">
        <f t="shared" si="37"/>
        <v>44</v>
      </c>
      <c r="S373" s="156">
        <f t="shared" si="40"/>
        <v>122058</v>
      </c>
      <c r="T373" s="156">
        <f t="shared" si="41"/>
        <v>5370552</v>
      </c>
    </row>
    <row r="374" spans="1:20" s="9" customFormat="1" ht="35.1" customHeight="1" x14ac:dyDescent="0.25">
      <c r="A374" s="215"/>
      <c r="B374" s="255" t="s">
        <v>491</v>
      </c>
      <c r="C374" s="254" t="s">
        <v>492</v>
      </c>
      <c r="D374" s="255" t="s">
        <v>284</v>
      </c>
      <c r="E374" s="242">
        <v>27</v>
      </c>
      <c r="F374" s="242">
        <v>10</v>
      </c>
      <c r="G374" s="242">
        <v>37</v>
      </c>
      <c r="H374" s="243">
        <v>128582</v>
      </c>
      <c r="I374" s="243">
        <f t="shared" si="38"/>
        <v>4757534</v>
      </c>
      <c r="J374" s="8"/>
      <c r="K374" s="8">
        <f t="shared" si="44"/>
        <v>128582</v>
      </c>
      <c r="L374" s="8">
        <f t="shared" si="39"/>
        <v>3471714</v>
      </c>
      <c r="M374" s="9" t="str">
        <f t="array" ref="M374:P374">_xlfn.XLOOKUP(C374,'Neiva 2022 FASE I ACTUAL (5)'!$C$6:$C$540,'Neiva 2022 FASE I ACTUAL (5)'!$C$6:$F$540,"NO ESTA")</f>
        <v xml:space="preserve">SUMINISTRO E INSTALACIÓN SOPORTE LATERAL 2 VÍAS 3"                                                       </v>
      </c>
      <c r="N374" s="9" t="str">
        <v xml:space="preserve">UN   </v>
      </c>
      <c r="O374" s="9">
        <v>10</v>
      </c>
      <c r="P374" s="9">
        <v>123396</v>
      </c>
      <c r="Q374" s="124" t="str">
        <f t="shared" si="42"/>
        <v>FASE II</v>
      </c>
      <c r="R374" s="155">
        <f t="shared" si="37"/>
        <v>37</v>
      </c>
      <c r="S374" s="156">
        <f t="shared" si="40"/>
        <v>128582</v>
      </c>
      <c r="T374" s="156">
        <f t="shared" si="41"/>
        <v>4757534</v>
      </c>
    </row>
    <row r="375" spans="1:20" s="9" customFormat="1" ht="35.1" customHeight="1" x14ac:dyDescent="0.25">
      <c r="A375" s="215"/>
      <c r="B375" s="255" t="s">
        <v>493</v>
      </c>
      <c r="C375" s="254" t="s">
        <v>494</v>
      </c>
      <c r="D375" s="255" t="s">
        <v>284</v>
      </c>
      <c r="E375" s="242">
        <v>6</v>
      </c>
      <c r="F375" s="242">
        <v>2</v>
      </c>
      <c r="G375" s="242">
        <v>8</v>
      </c>
      <c r="H375" s="243">
        <v>1630851</v>
      </c>
      <c r="I375" s="243">
        <f t="shared" si="38"/>
        <v>13046808</v>
      </c>
      <c r="J375" s="8"/>
      <c r="K375" s="8">
        <f t="shared" si="44"/>
        <v>1630851</v>
      </c>
      <c r="L375" s="8">
        <f t="shared" si="39"/>
        <v>9785106</v>
      </c>
      <c r="M375" s="9" t="str">
        <f t="array" ref="M375:P375">_xlfn.XLOOKUP(C375,'Neiva 2022 FASE I ACTUAL (5)'!$C$6:$C$540,'Neiva 2022 FASE I ACTUAL (5)'!$C$6:$F$540,"NO ESTA")</f>
        <v xml:space="preserve">SUMINISTRO E INSTALACIÓN GABINETE TIPO II </v>
      </c>
      <c r="N375" s="9" t="str">
        <v xml:space="preserve">UN   </v>
      </c>
      <c r="O375" s="9">
        <v>2</v>
      </c>
      <c r="P375" s="9">
        <v>1565081</v>
      </c>
      <c r="Q375" s="124" t="str">
        <f t="shared" si="42"/>
        <v>FASE II</v>
      </c>
      <c r="R375" s="155">
        <f t="shared" si="37"/>
        <v>8</v>
      </c>
      <c r="S375" s="156">
        <f t="shared" si="40"/>
        <v>1630851</v>
      </c>
      <c r="T375" s="156">
        <f t="shared" si="41"/>
        <v>13046808</v>
      </c>
    </row>
    <row r="376" spans="1:20" s="9" customFormat="1" ht="35.1" customHeight="1" x14ac:dyDescent="0.25">
      <c r="A376" s="215"/>
      <c r="B376" s="266">
        <v>14</v>
      </c>
      <c r="C376" s="267" t="s">
        <v>495</v>
      </c>
      <c r="D376" s="267"/>
      <c r="E376" s="268"/>
      <c r="F376" s="268"/>
      <c r="G376" s="268"/>
      <c r="H376" s="268"/>
      <c r="I376" s="268"/>
      <c r="J376" s="8"/>
      <c r="K376" s="8">
        <f t="shared" si="44"/>
        <v>0</v>
      </c>
      <c r="L376" s="8">
        <f t="shared" si="39"/>
        <v>0</v>
      </c>
      <c r="M376" s="9" t="str">
        <f t="array" ref="M376:P376">_xlfn.XLOOKUP(C376,'Neiva 2022 FASE I ACTUAL (5)'!$C$6:$C$540,'Neiva 2022 FASE I ACTUAL (5)'!$C$6:$F$540,"NO ESTA")</f>
        <v>SALIDAS DE ALUMBRADO Y TOMACORRIENTES ELÉCTRICOS</v>
      </c>
      <c r="N376" s="9">
        <v>0</v>
      </c>
      <c r="O376" s="9">
        <v>0</v>
      </c>
      <c r="P376" s="9">
        <v>0</v>
      </c>
      <c r="Q376" s="124">
        <f t="shared" si="42"/>
        <v>0</v>
      </c>
      <c r="R376" s="155">
        <f t="shared" si="37"/>
        <v>0</v>
      </c>
      <c r="S376" s="156">
        <f t="shared" si="40"/>
        <v>0</v>
      </c>
      <c r="T376" s="156">
        <f t="shared" si="41"/>
        <v>0</v>
      </c>
    </row>
    <row r="377" spans="1:20" s="9" customFormat="1" ht="35.1" customHeight="1" x14ac:dyDescent="0.25">
      <c r="A377" s="215"/>
      <c r="B377" s="283" t="s">
        <v>496</v>
      </c>
      <c r="C377" s="278" t="s">
        <v>497</v>
      </c>
      <c r="D377" s="256"/>
      <c r="E377" s="246"/>
      <c r="F377" s="246"/>
      <c r="G377" s="246"/>
      <c r="H377" s="246"/>
      <c r="I377" s="246"/>
      <c r="J377" s="8"/>
      <c r="K377" s="8">
        <f t="shared" si="44"/>
        <v>0</v>
      </c>
      <c r="L377" s="8">
        <f t="shared" si="39"/>
        <v>0</v>
      </c>
      <c r="M377" s="9" t="str">
        <f t="array" ref="M377:P377">_xlfn.XLOOKUP(C377,'Neiva 2022 FASE I ACTUAL (5)'!$C$6:$C$540,'Neiva 2022 FASE I ACTUAL (5)'!$C$6:$F$540,"NO ESTA")</f>
        <v>SUMINISTRO E INSTALACIÓN SALIDAS DE ALUMBRADO EN TUBERIA PVC INCRUSTRADA (NO SE INCLUYE LAS LUMINARIAS)</v>
      </c>
      <c r="N377" s="9">
        <v>0</v>
      </c>
      <c r="O377" s="9">
        <v>0</v>
      </c>
      <c r="P377" s="9">
        <v>0</v>
      </c>
      <c r="Q377" s="124">
        <f t="shared" si="42"/>
        <v>0</v>
      </c>
      <c r="R377" s="155">
        <f t="shared" si="37"/>
        <v>0</v>
      </c>
      <c r="S377" s="156">
        <f t="shared" si="40"/>
        <v>0</v>
      </c>
      <c r="T377" s="156">
        <f t="shared" si="41"/>
        <v>0</v>
      </c>
    </row>
    <row r="378" spans="1:20" s="9" customFormat="1" ht="35.1" customHeight="1" x14ac:dyDescent="0.25">
      <c r="A378" s="215"/>
      <c r="B378" s="255" t="s">
        <v>498</v>
      </c>
      <c r="C378" s="87" t="s">
        <v>499</v>
      </c>
      <c r="D378" s="255" t="s">
        <v>374</v>
      </c>
      <c r="E378" s="242">
        <v>153</v>
      </c>
      <c r="F378" s="242">
        <v>57</v>
      </c>
      <c r="G378" s="242">
        <v>210</v>
      </c>
      <c r="H378" s="243">
        <v>84366</v>
      </c>
      <c r="I378" s="243">
        <f t="shared" si="38"/>
        <v>17716860</v>
      </c>
      <c r="J378" s="8"/>
      <c r="K378" s="8">
        <f t="shared" si="44"/>
        <v>84366</v>
      </c>
      <c r="L378" s="8">
        <f t="shared" si="39"/>
        <v>12907998</v>
      </c>
      <c r="M378" s="9" t="str">
        <f t="array" ref="M378:P378">_xlfn.XLOOKUP(C378,'Neiva 2022 FASE I ACTUAL (5)'!$C$6:$C$540,'Neiva 2022 FASE I ACTUAL (5)'!$C$6:$F$540,"NO ESTA")</f>
        <v>SUMINISTRO E INSTALACIÓN SALIDA PARA LAMPARA LED DE 1x28 W</v>
      </c>
      <c r="N378" s="9" t="str">
        <v>UN</v>
      </c>
      <c r="O378" s="9">
        <v>57</v>
      </c>
      <c r="P378" s="9">
        <v>80964</v>
      </c>
      <c r="Q378" s="124" t="str">
        <f t="shared" si="42"/>
        <v>FASE II</v>
      </c>
      <c r="R378" s="155">
        <f t="shared" si="37"/>
        <v>210</v>
      </c>
      <c r="S378" s="156">
        <f t="shared" si="40"/>
        <v>84366</v>
      </c>
      <c r="T378" s="156">
        <f t="shared" si="41"/>
        <v>17716860</v>
      </c>
    </row>
    <row r="379" spans="1:20" s="9" customFormat="1" ht="35.1" customHeight="1" x14ac:dyDescent="0.25">
      <c r="A379" s="215"/>
      <c r="B379" s="255" t="s">
        <v>500</v>
      </c>
      <c r="C379" s="87" t="s">
        <v>501</v>
      </c>
      <c r="D379" s="255" t="s">
        <v>374</v>
      </c>
      <c r="E379" s="242">
        <v>82</v>
      </c>
      <c r="F379" s="242">
        <v>30</v>
      </c>
      <c r="G379" s="242">
        <v>112</v>
      </c>
      <c r="H379" s="243">
        <v>76321</v>
      </c>
      <c r="I379" s="243">
        <f t="shared" si="38"/>
        <v>8547952</v>
      </c>
      <c r="J379" s="8"/>
      <c r="K379" s="8">
        <f t="shared" si="44"/>
        <v>76321</v>
      </c>
      <c r="L379" s="8">
        <f t="shared" si="39"/>
        <v>6258322</v>
      </c>
      <c r="M379" s="9" t="str">
        <f t="array" ref="M379:P379">_xlfn.XLOOKUP(C379,'Neiva 2022 FASE I ACTUAL (5)'!$C$6:$C$540,'Neiva 2022 FASE I ACTUAL (5)'!$C$6:$F$540,"NO ESTA")</f>
        <v>SUMINISTRO E INSTALACIÓN SALIDA PARA LAMPARA LED DE 2x54 W</v>
      </c>
      <c r="N379" s="9" t="str">
        <v>UN</v>
      </c>
      <c r="O379" s="9">
        <v>30</v>
      </c>
      <c r="P379" s="9">
        <v>73244</v>
      </c>
      <c r="Q379" s="124" t="str">
        <f t="shared" si="42"/>
        <v>FASE II</v>
      </c>
      <c r="R379" s="155">
        <f t="shared" si="37"/>
        <v>112</v>
      </c>
      <c r="S379" s="156">
        <f t="shared" si="40"/>
        <v>76321</v>
      </c>
      <c r="T379" s="156">
        <f t="shared" si="41"/>
        <v>8547952</v>
      </c>
    </row>
    <row r="380" spans="1:20" s="9" customFormat="1" ht="35.1" customHeight="1" x14ac:dyDescent="0.25">
      <c r="A380" s="215"/>
      <c r="B380" s="255" t="s">
        <v>502</v>
      </c>
      <c r="C380" s="254" t="s">
        <v>503</v>
      </c>
      <c r="D380" s="255" t="s">
        <v>374</v>
      </c>
      <c r="E380" s="242">
        <v>121</v>
      </c>
      <c r="F380" s="242">
        <v>45</v>
      </c>
      <c r="G380" s="242">
        <v>166</v>
      </c>
      <c r="H380" s="243">
        <v>71559</v>
      </c>
      <c r="I380" s="243">
        <f t="shared" si="38"/>
        <v>11878794</v>
      </c>
      <c r="J380" s="8"/>
      <c r="K380" s="8">
        <f t="shared" si="44"/>
        <v>71559</v>
      </c>
      <c r="L380" s="8">
        <f t="shared" si="39"/>
        <v>8658639</v>
      </c>
      <c r="M380" s="9" t="str">
        <f t="array" ref="M380:P380">_xlfn.XLOOKUP(C380,'Neiva 2022 FASE I ACTUAL (5)'!$C$6:$C$540,'Neiva 2022 FASE I ACTUAL (5)'!$C$6:$F$540,"NO ESTA")</f>
        <v>SUMINISTRO E INSTALACIÓN SALIDA PARA BALA DE LED 35W 120V</v>
      </c>
      <c r="N380" s="9" t="str">
        <v>UN</v>
      </c>
      <c r="O380" s="9">
        <v>45</v>
      </c>
      <c r="P380" s="9">
        <v>68674</v>
      </c>
      <c r="Q380" s="124" t="str">
        <f t="shared" si="42"/>
        <v>FASE II</v>
      </c>
      <c r="R380" s="155">
        <f t="shared" si="37"/>
        <v>166</v>
      </c>
      <c r="S380" s="156">
        <f t="shared" si="40"/>
        <v>71559</v>
      </c>
      <c r="T380" s="156">
        <f t="shared" si="41"/>
        <v>11878794</v>
      </c>
    </row>
    <row r="381" spans="1:20" s="9" customFormat="1" ht="35.1" customHeight="1" x14ac:dyDescent="0.25">
      <c r="A381" s="215"/>
      <c r="B381" s="255" t="s">
        <v>504</v>
      </c>
      <c r="C381" s="254" t="s">
        <v>505</v>
      </c>
      <c r="D381" s="255" t="s">
        <v>374</v>
      </c>
      <c r="E381" s="242">
        <v>50</v>
      </c>
      <c r="F381" s="242">
        <v>19</v>
      </c>
      <c r="G381" s="242">
        <v>69</v>
      </c>
      <c r="H381" s="243">
        <v>71559</v>
      </c>
      <c r="I381" s="243">
        <f t="shared" si="38"/>
        <v>4937571</v>
      </c>
      <c r="J381" s="8"/>
      <c r="K381" s="8">
        <f t="shared" si="44"/>
        <v>71559</v>
      </c>
      <c r="L381" s="8">
        <f t="shared" si="39"/>
        <v>3577950</v>
      </c>
      <c r="M381" s="9" t="str">
        <f t="array" ref="M381:P381">_xlfn.XLOOKUP(C381,'Neiva 2022 FASE I ACTUAL (5)'!$C$6:$C$540,'Neiva 2022 FASE I ACTUAL (5)'!$C$6:$F$540,"NO ESTA")</f>
        <v>SUMINISTRO E INSTALACIÓN SALIDA PARA BALA RECESADA LED 10W 120V</v>
      </c>
      <c r="N381" s="9" t="str">
        <v>UN</v>
      </c>
      <c r="O381" s="9">
        <v>19</v>
      </c>
      <c r="P381" s="9">
        <v>68674</v>
      </c>
      <c r="Q381" s="124" t="str">
        <f t="shared" si="42"/>
        <v>FASE II</v>
      </c>
      <c r="R381" s="155">
        <f t="shared" si="37"/>
        <v>69</v>
      </c>
      <c r="S381" s="156">
        <f t="shared" si="40"/>
        <v>71559</v>
      </c>
      <c r="T381" s="156">
        <f t="shared" si="41"/>
        <v>4937571</v>
      </c>
    </row>
    <row r="382" spans="1:20" s="9" customFormat="1" ht="35.1" customHeight="1" x14ac:dyDescent="0.25">
      <c r="A382" s="215"/>
      <c r="B382" s="255" t="s">
        <v>506</v>
      </c>
      <c r="C382" s="254" t="s">
        <v>507</v>
      </c>
      <c r="D382" s="255" t="s">
        <v>374</v>
      </c>
      <c r="E382" s="242">
        <v>184</v>
      </c>
      <c r="F382" s="242">
        <v>68</v>
      </c>
      <c r="G382" s="242">
        <v>252</v>
      </c>
      <c r="H382" s="243">
        <v>71559</v>
      </c>
      <c r="I382" s="243">
        <f t="shared" si="38"/>
        <v>18032868</v>
      </c>
      <c r="J382" s="8"/>
      <c r="K382" s="8">
        <f t="shared" si="44"/>
        <v>71559</v>
      </c>
      <c r="L382" s="8">
        <f t="shared" si="39"/>
        <v>13166856</v>
      </c>
      <c r="M382" s="9" t="str">
        <f t="array" ref="M382:P382">_xlfn.XLOOKUP(C382,'Neiva 2022 FASE I ACTUAL (5)'!$C$6:$C$540,'Neiva 2022 FASE I ACTUAL (5)'!$C$6:$F$540,"NO ESTA")</f>
        <v>SUMINISTRO E INSTALACIÓN SALIDA PARA LUMINARIA LED 2x26W 120V</v>
      </c>
      <c r="N382" s="9" t="str">
        <v>UN</v>
      </c>
      <c r="O382" s="9">
        <v>68</v>
      </c>
      <c r="P382" s="9">
        <v>68674</v>
      </c>
      <c r="Q382" s="124" t="str">
        <f t="shared" si="42"/>
        <v>FASE II</v>
      </c>
      <c r="R382" s="155">
        <f t="shared" si="37"/>
        <v>252</v>
      </c>
      <c r="S382" s="156">
        <f t="shared" si="40"/>
        <v>71559</v>
      </c>
      <c r="T382" s="156">
        <f t="shared" si="41"/>
        <v>18032868</v>
      </c>
    </row>
    <row r="383" spans="1:20" s="9" customFormat="1" ht="35.1" customHeight="1" x14ac:dyDescent="0.25">
      <c r="A383" s="215"/>
      <c r="B383" s="255" t="s">
        <v>508</v>
      </c>
      <c r="C383" s="254" t="s">
        <v>509</v>
      </c>
      <c r="D383" s="255" t="s">
        <v>374</v>
      </c>
      <c r="E383" s="242">
        <v>6</v>
      </c>
      <c r="F383" s="242">
        <v>2</v>
      </c>
      <c r="G383" s="242">
        <v>8</v>
      </c>
      <c r="H383" s="243">
        <v>69301</v>
      </c>
      <c r="I383" s="243">
        <f t="shared" si="38"/>
        <v>554408</v>
      </c>
      <c r="J383" s="8"/>
      <c r="K383" s="8">
        <f t="shared" si="44"/>
        <v>69301</v>
      </c>
      <c r="L383" s="8">
        <f t="shared" si="39"/>
        <v>415806</v>
      </c>
      <c r="M383" s="9" t="str">
        <f t="array" ref="M383:P383">_xlfn.XLOOKUP(C383,'Neiva 2022 FASE I ACTUAL (5)'!$C$6:$C$540,'Neiva 2022 FASE I ACTUAL (5)'!$C$6:$F$540,"NO ESTA")</f>
        <v>SUMINISTRO E INSTALACIÓN SALIDA PARA REFLECTOR DE LUZ DIRECTA</v>
      </c>
      <c r="N383" s="9" t="str">
        <v>UN</v>
      </c>
      <c r="O383" s="9">
        <v>2</v>
      </c>
      <c r="P383" s="9">
        <v>66507</v>
      </c>
      <c r="Q383" s="124" t="str">
        <f t="shared" si="42"/>
        <v>FASE II</v>
      </c>
      <c r="R383" s="155">
        <f t="shared" si="37"/>
        <v>8</v>
      </c>
      <c r="S383" s="156">
        <f t="shared" si="40"/>
        <v>69301</v>
      </c>
      <c r="T383" s="156">
        <f t="shared" si="41"/>
        <v>554408</v>
      </c>
    </row>
    <row r="384" spans="1:20" s="9" customFormat="1" ht="35.1" customHeight="1" x14ac:dyDescent="0.25">
      <c r="A384" s="215"/>
      <c r="B384" s="255" t="s">
        <v>510</v>
      </c>
      <c r="C384" s="254" t="s">
        <v>511</v>
      </c>
      <c r="D384" s="255" t="s">
        <v>374</v>
      </c>
      <c r="E384" s="242">
        <v>6</v>
      </c>
      <c r="F384" s="242">
        <v>2</v>
      </c>
      <c r="G384" s="242">
        <v>8</v>
      </c>
      <c r="H384" s="243">
        <v>75975</v>
      </c>
      <c r="I384" s="243">
        <f t="shared" si="38"/>
        <v>607800</v>
      </c>
      <c r="J384" s="8"/>
      <c r="K384" s="8">
        <f t="shared" si="44"/>
        <v>75975</v>
      </c>
      <c r="L384" s="8">
        <f t="shared" si="39"/>
        <v>455850</v>
      </c>
      <c r="M384" s="9" t="str">
        <f t="array" ref="M384:P384">_xlfn.XLOOKUP(C384,'Neiva 2022 FASE I ACTUAL (5)'!$C$6:$C$540,'Neiva 2022 FASE I ACTUAL (5)'!$C$6:$F$540,"NO ESTA")</f>
        <v>SUMINISTRO E INSTALACIÓN SALIDA PARA APLIQUE DE ESCALERA 1000W 120V</v>
      </c>
      <c r="N384" s="9" t="str">
        <v>UN</v>
      </c>
      <c r="O384" s="9">
        <v>2</v>
      </c>
      <c r="P384" s="9">
        <v>72910</v>
      </c>
      <c r="Q384" s="124" t="str">
        <f t="shared" si="42"/>
        <v>FASE II</v>
      </c>
      <c r="R384" s="155">
        <f t="shared" si="37"/>
        <v>8</v>
      </c>
      <c r="S384" s="156">
        <f t="shared" si="40"/>
        <v>75975</v>
      </c>
      <c r="T384" s="156">
        <f t="shared" si="41"/>
        <v>607800</v>
      </c>
    </row>
    <row r="385" spans="1:20" s="9" customFormat="1" ht="35.1" customHeight="1" x14ac:dyDescent="0.25">
      <c r="A385" s="215"/>
      <c r="B385" s="255" t="s">
        <v>512</v>
      </c>
      <c r="C385" s="254" t="s">
        <v>513</v>
      </c>
      <c r="D385" s="255" t="s">
        <v>374</v>
      </c>
      <c r="E385" s="242">
        <v>67</v>
      </c>
      <c r="F385" s="242">
        <v>25</v>
      </c>
      <c r="G385" s="242">
        <v>92</v>
      </c>
      <c r="H385" s="243">
        <v>75975</v>
      </c>
      <c r="I385" s="243">
        <f t="shared" si="38"/>
        <v>6989700</v>
      </c>
      <c r="J385" s="8"/>
      <c r="K385" s="8">
        <f t="shared" si="44"/>
        <v>75975</v>
      </c>
      <c r="L385" s="8">
        <f t="shared" si="39"/>
        <v>5090325</v>
      </c>
      <c r="M385" s="9" t="str">
        <f t="array" ref="M385:P385">_xlfn.XLOOKUP(C385,'Neiva 2022 FASE I ACTUAL (5)'!$C$6:$C$540,'Neiva 2022 FASE I ACTUAL (5)'!$C$6:$F$540,"NO ESTA")</f>
        <v>SUMINISTRO E INSTALACIÓN SALIDA PARA BALAS LED DE PISO 3W 120V</v>
      </c>
      <c r="N385" s="9" t="str">
        <v>UN</v>
      </c>
      <c r="O385" s="9">
        <v>25</v>
      </c>
      <c r="P385" s="9">
        <v>72910</v>
      </c>
      <c r="Q385" s="124" t="str">
        <f t="shared" si="42"/>
        <v>FASE II</v>
      </c>
      <c r="R385" s="155">
        <f t="shared" si="37"/>
        <v>92</v>
      </c>
      <c r="S385" s="156">
        <f t="shared" si="40"/>
        <v>75975</v>
      </c>
      <c r="T385" s="156">
        <f t="shared" si="41"/>
        <v>6989700</v>
      </c>
    </row>
    <row r="386" spans="1:20" s="9" customFormat="1" ht="35.1" customHeight="1" x14ac:dyDescent="0.25">
      <c r="A386" s="215"/>
      <c r="B386" s="255" t="s">
        <v>514</v>
      </c>
      <c r="C386" s="254" t="s">
        <v>515</v>
      </c>
      <c r="D386" s="255" t="s">
        <v>374</v>
      </c>
      <c r="E386" s="242">
        <v>10</v>
      </c>
      <c r="F386" s="242">
        <v>4</v>
      </c>
      <c r="G386" s="242">
        <v>14</v>
      </c>
      <c r="H386" s="243">
        <v>75975</v>
      </c>
      <c r="I386" s="243">
        <f t="shared" si="38"/>
        <v>1063650</v>
      </c>
      <c r="J386" s="8"/>
      <c r="K386" s="8">
        <f t="shared" si="44"/>
        <v>75975</v>
      </c>
      <c r="L386" s="8">
        <f t="shared" si="39"/>
        <v>759750</v>
      </c>
      <c r="M386" s="9" t="str">
        <f t="array" ref="M386:P386">_xlfn.XLOOKUP(C386,'Neiva 2022 FASE I ACTUAL (5)'!$C$6:$C$540,'Neiva 2022 FASE I ACTUAL (5)'!$C$6:$F$540,"NO ESTA")</f>
        <v>SUMINISTRO E INSTALACIÓN SALIDA PARA BALAS DE PISO 50W 120V</v>
      </c>
      <c r="N386" s="9" t="str">
        <v>UN</v>
      </c>
      <c r="O386" s="9">
        <v>4</v>
      </c>
      <c r="P386" s="9">
        <v>72910</v>
      </c>
      <c r="Q386" s="124" t="str">
        <f t="shared" si="42"/>
        <v>FASE II</v>
      </c>
      <c r="R386" s="155">
        <f t="shared" si="37"/>
        <v>14</v>
      </c>
      <c r="S386" s="156">
        <f t="shared" si="40"/>
        <v>75975</v>
      </c>
      <c r="T386" s="156">
        <f t="shared" si="41"/>
        <v>1063650</v>
      </c>
    </row>
    <row r="387" spans="1:20" s="9" customFormat="1" ht="35.1" customHeight="1" x14ac:dyDescent="0.25">
      <c r="A387" s="215"/>
      <c r="B387" s="255" t="s">
        <v>516</v>
      </c>
      <c r="C387" s="87" t="s">
        <v>517</v>
      </c>
      <c r="D387" s="255" t="s">
        <v>374</v>
      </c>
      <c r="E387" s="242">
        <v>42</v>
      </c>
      <c r="F387" s="242">
        <v>16</v>
      </c>
      <c r="G387" s="242">
        <v>58</v>
      </c>
      <c r="H387" s="243">
        <v>81251</v>
      </c>
      <c r="I387" s="243">
        <f t="shared" si="38"/>
        <v>4712558</v>
      </c>
      <c r="J387" s="8"/>
      <c r="K387" s="8">
        <f t="shared" si="44"/>
        <v>81251</v>
      </c>
      <c r="L387" s="8">
        <f t="shared" si="39"/>
        <v>3412542</v>
      </c>
      <c r="M387" s="9" t="str">
        <f t="array" ref="M387:P387">_xlfn.XLOOKUP(C387,'Neiva 2022 FASE I ACTUAL (5)'!$C$6:$C$540,'Neiva 2022 FASE I ACTUAL (5)'!$C$6:$F$540,"NO ESTA")</f>
        <v>SUMINISTRO E INSTALACIÓN SALIDA PARA INTERRUPTOR SENCILLO COLOR BLANCO</v>
      </c>
      <c r="N387" s="9" t="str">
        <v>UN</v>
      </c>
      <c r="O387" s="9">
        <v>16</v>
      </c>
      <c r="P387" s="9">
        <v>77975</v>
      </c>
      <c r="Q387" s="124" t="str">
        <f t="shared" si="42"/>
        <v>FASE II</v>
      </c>
      <c r="R387" s="155">
        <f t="shared" si="37"/>
        <v>58</v>
      </c>
      <c r="S387" s="156">
        <f t="shared" si="40"/>
        <v>81251</v>
      </c>
      <c r="T387" s="156">
        <f t="shared" si="41"/>
        <v>4712558</v>
      </c>
    </row>
    <row r="388" spans="1:20" s="9" customFormat="1" ht="35.1" customHeight="1" x14ac:dyDescent="0.25">
      <c r="A388" s="215"/>
      <c r="B388" s="255" t="s">
        <v>518</v>
      </c>
      <c r="C388" s="87" t="s">
        <v>519</v>
      </c>
      <c r="D388" s="255" t="s">
        <v>374</v>
      </c>
      <c r="E388" s="242">
        <v>18</v>
      </c>
      <c r="F388" s="242">
        <v>6</v>
      </c>
      <c r="G388" s="242">
        <v>24</v>
      </c>
      <c r="H388" s="243">
        <v>88101</v>
      </c>
      <c r="I388" s="243">
        <f t="shared" si="38"/>
        <v>2114424</v>
      </c>
      <c r="J388" s="8"/>
      <c r="K388" s="8">
        <f t="shared" si="44"/>
        <v>88101</v>
      </c>
      <c r="L388" s="8">
        <f t="shared" si="39"/>
        <v>1585818</v>
      </c>
      <c r="M388" s="9" t="str">
        <f t="array" ref="M388:P388">_xlfn.XLOOKUP(C388,'Neiva 2022 FASE I ACTUAL (5)'!$C$6:$C$540,'Neiva 2022 FASE I ACTUAL (5)'!$C$6:$F$540,"NO ESTA")</f>
        <v>SUMINISTRO E INSTALACIÓN SALIDA PARA INTERRUPTOR DOBLE COLOR BLANCO</v>
      </c>
      <c r="N388" s="9" t="str">
        <v>UN</v>
      </c>
      <c r="O388" s="9">
        <v>6</v>
      </c>
      <c r="P388" s="9">
        <v>84546</v>
      </c>
      <c r="Q388" s="124" t="str">
        <f t="shared" si="42"/>
        <v>FASE II</v>
      </c>
      <c r="R388" s="155">
        <f t="shared" si="37"/>
        <v>24</v>
      </c>
      <c r="S388" s="156">
        <f t="shared" si="40"/>
        <v>88101</v>
      </c>
      <c r="T388" s="156">
        <f t="shared" si="41"/>
        <v>2114424</v>
      </c>
    </row>
    <row r="389" spans="1:20" s="9" customFormat="1" ht="35.1" customHeight="1" x14ac:dyDescent="0.25">
      <c r="A389" s="215"/>
      <c r="B389" s="255" t="s">
        <v>520</v>
      </c>
      <c r="C389" s="87" t="s">
        <v>521</v>
      </c>
      <c r="D389" s="255" t="s">
        <v>374</v>
      </c>
      <c r="E389" s="242">
        <v>6</v>
      </c>
      <c r="F389" s="242">
        <v>2</v>
      </c>
      <c r="G389" s="242">
        <v>8</v>
      </c>
      <c r="H389" s="243">
        <v>89944</v>
      </c>
      <c r="I389" s="243">
        <f t="shared" si="38"/>
        <v>719552</v>
      </c>
      <c r="J389" s="8"/>
      <c r="K389" s="8">
        <f t="shared" si="44"/>
        <v>89944</v>
      </c>
      <c r="L389" s="8">
        <f t="shared" si="39"/>
        <v>539664</v>
      </c>
      <c r="M389" s="9" t="str">
        <f t="array" ref="M389:P389">_xlfn.XLOOKUP(C389,'Neiva 2022 FASE I ACTUAL (5)'!$C$6:$C$540,'Neiva 2022 FASE I ACTUAL (5)'!$C$6:$F$540,"NO ESTA")</f>
        <v>SUMINISTRO E INSTALACIÓN SALIDA PARA INTERRUPTOR SENCILLO CONMUTABLE COLOR BLANCO</v>
      </c>
      <c r="N389" s="9" t="str">
        <v>UN</v>
      </c>
      <c r="O389" s="9">
        <v>2</v>
      </c>
      <c r="P389" s="9">
        <v>86318</v>
      </c>
      <c r="Q389" s="124" t="str">
        <f t="shared" si="42"/>
        <v>FASE II</v>
      </c>
      <c r="R389" s="155">
        <f t="shared" si="37"/>
        <v>8</v>
      </c>
      <c r="S389" s="156">
        <f t="shared" si="40"/>
        <v>89944</v>
      </c>
      <c r="T389" s="156">
        <f t="shared" si="41"/>
        <v>719552</v>
      </c>
    </row>
    <row r="390" spans="1:20" s="9" customFormat="1" ht="35.1" customHeight="1" x14ac:dyDescent="0.25">
      <c r="A390" s="215"/>
      <c r="B390" s="255" t="s">
        <v>522</v>
      </c>
      <c r="C390" s="87" t="s">
        <v>523</v>
      </c>
      <c r="D390" s="255" t="s">
        <v>374</v>
      </c>
      <c r="E390" s="242">
        <v>4</v>
      </c>
      <c r="F390" s="242">
        <v>2</v>
      </c>
      <c r="G390" s="242">
        <v>6</v>
      </c>
      <c r="H390" s="243">
        <v>98279</v>
      </c>
      <c r="I390" s="243">
        <f t="shared" si="38"/>
        <v>589674</v>
      </c>
      <c r="J390" s="8"/>
      <c r="K390" s="8">
        <f t="shared" si="44"/>
        <v>98279</v>
      </c>
      <c r="L390" s="8">
        <f t="shared" si="39"/>
        <v>393116</v>
      </c>
      <c r="M390" s="9" t="str">
        <f t="array" ref="M390:P390">_xlfn.XLOOKUP(C390,'Neiva 2022 FASE I ACTUAL (5)'!$C$6:$C$540,'Neiva 2022 FASE I ACTUAL (5)'!$C$6:$F$540,"NO ESTA")</f>
        <v>SUMINISTRO E INSTALACIÓN SALIDA PARA INTERRUPTOR DOBLE CONMUTABLE COLOR BLANCO</v>
      </c>
      <c r="N390" s="9" t="str">
        <v>UN</v>
      </c>
      <c r="O390" s="9">
        <v>2</v>
      </c>
      <c r="P390" s="9">
        <v>94316</v>
      </c>
      <c r="Q390" s="124" t="str">
        <f t="shared" si="42"/>
        <v>FASE II</v>
      </c>
      <c r="R390" s="155">
        <f t="shared" ref="R390:R453" si="45">E390+O390</f>
        <v>6</v>
      </c>
      <c r="S390" s="156">
        <f t="shared" si="40"/>
        <v>98279</v>
      </c>
      <c r="T390" s="156">
        <f t="shared" si="41"/>
        <v>589674</v>
      </c>
    </row>
    <row r="391" spans="1:20" s="9" customFormat="1" ht="35.1" customHeight="1" x14ac:dyDescent="0.25">
      <c r="A391" s="215"/>
      <c r="B391" s="255" t="s">
        <v>524</v>
      </c>
      <c r="C391" s="254" t="s">
        <v>525</v>
      </c>
      <c r="D391" s="255" t="s">
        <v>374</v>
      </c>
      <c r="E391" s="242">
        <v>12</v>
      </c>
      <c r="F391" s="242">
        <v>5</v>
      </c>
      <c r="G391" s="242">
        <v>17</v>
      </c>
      <c r="H391" s="243">
        <v>92236</v>
      </c>
      <c r="I391" s="243">
        <f t="shared" ref="I391:I454" si="46">ROUND(+H391*G391,2)</f>
        <v>1568012</v>
      </c>
      <c r="J391" s="8"/>
      <c r="K391" s="8">
        <f t="shared" si="44"/>
        <v>92236</v>
      </c>
      <c r="L391" s="8">
        <f t="shared" ref="L391:L454" si="47">+K391*E391</f>
        <v>1106832</v>
      </c>
      <c r="M391" s="9" t="str">
        <f t="array" ref="M391:P391">_xlfn.XLOOKUP(C391,'Neiva 2022 FASE I ACTUAL (5)'!$C$6:$C$540,'Neiva 2022 FASE I ACTUAL (5)'!$C$6:$F$540,"NO ESTA")</f>
        <v>SUMINISTRO E INSTALACIÓN SALIDA PARA INTERRUPTOR DE SENSOR DE PRESENCIA</v>
      </c>
      <c r="N391" s="9" t="str">
        <v>UN</v>
      </c>
      <c r="O391" s="9">
        <v>5</v>
      </c>
      <c r="P391" s="9">
        <v>88516</v>
      </c>
      <c r="Q391" s="124" t="str">
        <f t="shared" si="42"/>
        <v>FASE II</v>
      </c>
      <c r="R391" s="155">
        <f t="shared" si="45"/>
        <v>17</v>
      </c>
      <c r="S391" s="156">
        <f t="shared" ref="S391:S454" si="48">MAX(P391,H391,K391)</f>
        <v>92236</v>
      </c>
      <c r="T391" s="156">
        <f t="shared" ref="T391:T454" si="49">ROUND(R391*S391,2)</f>
        <v>1568012</v>
      </c>
    </row>
    <row r="392" spans="1:20" s="9" customFormat="1" ht="35.1" customHeight="1" x14ac:dyDescent="0.25">
      <c r="A392" s="215"/>
      <c r="B392" s="255" t="s">
        <v>526</v>
      </c>
      <c r="C392" s="254" t="s">
        <v>527</v>
      </c>
      <c r="D392" s="255" t="s">
        <v>374</v>
      </c>
      <c r="E392" s="242">
        <v>4</v>
      </c>
      <c r="F392" s="242">
        <v>1</v>
      </c>
      <c r="G392" s="242">
        <v>5</v>
      </c>
      <c r="H392" s="243">
        <v>104001</v>
      </c>
      <c r="I392" s="243">
        <f t="shared" si="46"/>
        <v>520005</v>
      </c>
      <c r="J392" s="8"/>
      <c r="K392" s="8">
        <f t="shared" si="44"/>
        <v>104001</v>
      </c>
      <c r="L392" s="8">
        <f t="shared" si="47"/>
        <v>416004</v>
      </c>
      <c r="M392" s="9" t="str">
        <f t="array" ref="M392:P392">_xlfn.XLOOKUP(C392,'Neiva 2022 FASE I ACTUAL (5)'!$C$6:$C$540,'Neiva 2022 FASE I ACTUAL (5)'!$C$6:$F$540,"NO ESTA")</f>
        <v>SUMINISTRO E INSTALACIÓN SALIDA PARA SENSOR DE MOVIEMIENTO DE TECHO</v>
      </c>
      <c r="N392" s="9" t="str">
        <v>UN</v>
      </c>
      <c r="O392" s="9">
        <v>1</v>
      </c>
      <c r="P392" s="9">
        <v>99806</v>
      </c>
      <c r="Q392" s="124" t="str">
        <f t="shared" ref="Q392:Q455" si="50">IF(P392=0,0,(IF(H392&lt;P392, "FASE I","FASE II")))</f>
        <v>FASE II</v>
      </c>
      <c r="R392" s="155">
        <f t="shared" si="45"/>
        <v>5</v>
      </c>
      <c r="S392" s="156">
        <f t="shared" si="48"/>
        <v>104001</v>
      </c>
      <c r="T392" s="156">
        <f t="shared" si="49"/>
        <v>520005</v>
      </c>
    </row>
    <row r="393" spans="1:20" s="9" customFormat="1" ht="35.1" customHeight="1" x14ac:dyDescent="0.25">
      <c r="A393" s="215"/>
      <c r="B393" s="255" t="s">
        <v>528</v>
      </c>
      <c r="C393" s="254" t="s">
        <v>529</v>
      </c>
      <c r="D393" s="255" t="s">
        <v>269</v>
      </c>
      <c r="E393" s="242">
        <v>474</v>
      </c>
      <c r="F393" s="242">
        <v>176</v>
      </c>
      <c r="G393" s="242">
        <v>650</v>
      </c>
      <c r="H393" s="243">
        <v>1731</v>
      </c>
      <c r="I393" s="243">
        <f t="shared" si="46"/>
        <v>1125150</v>
      </c>
      <c r="J393" s="8"/>
      <c r="K393" s="8">
        <f t="shared" si="44"/>
        <v>1731</v>
      </c>
      <c r="L393" s="8">
        <f t="shared" si="47"/>
        <v>820494</v>
      </c>
      <c r="M393" s="9" t="str">
        <f t="array" ref="M393:P393">_xlfn.XLOOKUP(C393,'Neiva 2022 FASE I ACTUAL (5)'!$C$6:$C$540,'Neiva 2022 FASE I ACTUAL (5)'!$C$6:$F$540,"NO ESTA")</f>
        <v xml:space="preserve">SUMINISTRO E INSTALACIÓN SALIDAS PARCIALES DE CIRCUITO PARA SALIDAS DE ALUMBRADO Y TOMACORIRIENTE DE USO NORMAL EN CABLE #12 AWG THHN/THWN, DESDE EL TABLERO DE AUTOMATICOS POR EL DUCTO PORTACABLES HASTA LOS PRIMEROS PUNTOS DE DERIVACIÓN. </v>
      </c>
      <c r="N393" s="9" t="str">
        <v xml:space="preserve">ML   </v>
      </c>
      <c r="O393" s="9">
        <v>176</v>
      </c>
      <c r="P393" s="9">
        <v>1662</v>
      </c>
      <c r="Q393" s="124" t="str">
        <f t="shared" si="50"/>
        <v>FASE II</v>
      </c>
      <c r="R393" s="155">
        <f t="shared" si="45"/>
        <v>650</v>
      </c>
      <c r="S393" s="156">
        <f t="shared" si="48"/>
        <v>1731</v>
      </c>
      <c r="T393" s="156">
        <f t="shared" si="49"/>
        <v>1125150</v>
      </c>
    </row>
    <row r="394" spans="1:20" s="9" customFormat="1" ht="35.1" customHeight="1" x14ac:dyDescent="0.25">
      <c r="A394" s="215"/>
      <c r="B394" s="283" t="s">
        <v>530</v>
      </c>
      <c r="C394" s="256" t="s">
        <v>531</v>
      </c>
      <c r="D394" s="256"/>
      <c r="E394" s="246"/>
      <c r="F394" s="246"/>
      <c r="G394" s="246"/>
      <c r="H394" s="246"/>
      <c r="I394" s="246"/>
      <c r="J394" s="8"/>
      <c r="K394" s="8">
        <f t="shared" si="44"/>
        <v>0</v>
      </c>
      <c r="L394" s="8">
        <f t="shared" si="47"/>
        <v>0</v>
      </c>
      <c r="M394" s="9" t="str">
        <f t="array" ref="M394:P394">_xlfn.XLOOKUP(C394,'Neiva 2022 FASE I ACTUAL (5)'!$C$6:$C$540,'Neiva 2022 FASE I ACTUAL (5)'!$C$6:$F$540,"NO ESTA")</f>
        <v xml:space="preserve">SUMINISTRO E INSTALACIÓN SALIDAS PARA TOMACORRIENTES USO NORMAL EN TUBERIA PVC INCRUSTRADA </v>
      </c>
      <c r="N394" s="9">
        <v>0</v>
      </c>
      <c r="O394" s="9">
        <v>0</v>
      </c>
      <c r="P394" s="9">
        <v>0</v>
      </c>
      <c r="Q394" s="124">
        <f t="shared" si="50"/>
        <v>0</v>
      </c>
      <c r="R394" s="155">
        <f t="shared" si="45"/>
        <v>0</v>
      </c>
      <c r="S394" s="156">
        <f t="shared" si="48"/>
        <v>0</v>
      </c>
      <c r="T394" s="156">
        <f t="shared" si="49"/>
        <v>0</v>
      </c>
    </row>
    <row r="395" spans="1:20" s="9" customFormat="1" ht="35.1" customHeight="1" x14ac:dyDescent="0.25">
      <c r="A395" s="215"/>
      <c r="B395" s="255" t="s">
        <v>532</v>
      </c>
      <c r="C395" s="254" t="s">
        <v>533</v>
      </c>
      <c r="D395" s="255" t="s">
        <v>284</v>
      </c>
      <c r="E395" s="242">
        <v>264</v>
      </c>
      <c r="F395" s="242">
        <v>97</v>
      </c>
      <c r="G395" s="242">
        <v>361</v>
      </c>
      <c r="H395" s="243">
        <v>83806</v>
      </c>
      <c r="I395" s="243">
        <f t="shared" si="46"/>
        <v>30253966</v>
      </c>
      <c r="J395" s="8"/>
      <c r="K395" s="8">
        <f t="shared" si="44"/>
        <v>83806</v>
      </c>
      <c r="L395" s="8">
        <f t="shared" si="47"/>
        <v>22124784</v>
      </c>
      <c r="M395" s="9" t="str">
        <f t="array" ref="M395:P395">_xlfn.XLOOKUP(C395,'Neiva 2022 FASE I ACTUAL (5)'!$C$6:$C$540,'Neiva 2022 FASE I ACTUAL (5)'!$C$6:$F$540,"NO ESTA")</f>
        <v>SUMINISTRO E INSTALACIÓN SALIDA PARA TOMACORRIENTE DOBLE MONOFÁSICO CON POLO A TIERRA</v>
      </c>
      <c r="N395" s="9" t="str">
        <v xml:space="preserve">UN   </v>
      </c>
      <c r="O395" s="9">
        <v>97</v>
      </c>
      <c r="P395" s="9">
        <v>80427</v>
      </c>
      <c r="Q395" s="124" t="str">
        <f t="shared" si="50"/>
        <v>FASE II</v>
      </c>
      <c r="R395" s="155">
        <f t="shared" si="45"/>
        <v>361</v>
      </c>
      <c r="S395" s="156">
        <f t="shared" si="48"/>
        <v>83806</v>
      </c>
      <c r="T395" s="156">
        <f t="shared" si="49"/>
        <v>30253966</v>
      </c>
    </row>
    <row r="396" spans="1:20" s="9" customFormat="1" ht="35.1" customHeight="1" x14ac:dyDescent="0.25">
      <c r="A396" s="215"/>
      <c r="B396" s="255" t="s">
        <v>534</v>
      </c>
      <c r="C396" s="254" t="s">
        <v>535</v>
      </c>
      <c r="D396" s="255" t="s">
        <v>284</v>
      </c>
      <c r="E396" s="242">
        <v>5</v>
      </c>
      <c r="F396" s="242">
        <v>2</v>
      </c>
      <c r="G396" s="242">
        <v>7</v>
      </c>
      <c r="H396" s="243">
        <v>113292</v>
      </c>
      <c r="I396" s="243">
        <f t="shared" si="46"/>
        <v>793044</v>
      </c>
      <c r="J396" s="8"/>
      <c r="K396" s="8">
        <f t="shared" si="44"/>
        <v>113292</v>
      </c>
      <c r="L396" s="8">
        <f t="shared" si="47"/>
        <v>566460</v>
      </c>
      <c r="M396" s="9" t="str">
        <f t="array" ref="M396:P396">_xlfn.XLOOKUP(C396,'Neiva 2022 FASE I ACTUAL (5)'!$C$6:$C$540,'Neiva 2022 FASE I ACTUAL (5)'!$C$6:$F$540,"NO ESTA")</f>
        <v>SUMINISTRO E INSTALACIÓN SALIDA PARA TOMACORRIENTE DOBLE TIPO GFCI COLOR BLANCO MONOFÁSICODE MURO CON POLO A TIERRA</v>
      </c>
      <c r="N396" s="9" t="str">
        <v xml:space="preserve">UN   </v>
      </c>
      <c r="O396" s="9">
        <v>2</v>
      </c>
      <c r="P396" s="9">
        <v>108723</v>
      </c>
      <c r="Q396" s="124" t="str">
        <f t="shared" si="50"/>
        <v>FASE II</v>
      </c>
      <c r="R396" s="155">
        <f t="shared" si="45"/>
        <v>7</v>
      </c>
      <c r="S396" s="156">
        <f t="shared" si="48"/>
        <v>113292</v>
      </c>
      <c r="T396" s="156">
        <f t="shared" si="49"/>
        <v>793044</v>
      </c>
    </row>
    <row r="397" spans="1:20" s="9" customFormat="1" ht="35.1" customHeight="1" x14ac:dyDescent="0.25">
      <c r="A397" s="215"/>
      <c r="B397" s="255" t="s">
        <v>536</v>
      </c>
      <c r="C397" s="254" t="s">
        <v>537</v>
      </c>
      <c r="D397" s="255" t="s">
        <v>284</v>
      </c>
      <c r="E397" s="242">
        <v>18</v>
      </c>
      <c r="F397" s="242">
        <v>7</v>
      </c>
      <c r="G397" s="242">
        <v>25</v>
      </c>
      <c r="H397" s="243">
        <v>84810</v>
      </c>
      <c r="I397" s="243">
        <f t="shared" si="46"/>
        <v>2120250</v>
      </c>
      <c r="J397" s="8"/>
      <c r="K397" s="8">
        <f t="shared" si="44"/>
        <v>84810</v>
      </c>
      <c r="L397" s="8">
        <f t="shared" si="47"/>
        <v>1526580</v>
      </c>
      <c r="M397" s="9" t="str">
        <f t="array" ref="M397:P397">_xlfn.XLOOKUP(C397,'Neiva 2022 FASE I ACTUAL (5)'!$C$6:$C$540,'Neiva 2022 FASE I ACTUAL (5)'!$C$6:$F$540,"NO ESTA")</f>
        <v>SUMINISTRO E INSTALACIÓN SALIDA PARA SECADOR 20A-120V a 1.2 METROS DE ALTURA</v>
      </c>
      <c r="N397" s="9" t="str">
        <v xml:space="preserve">UN   </v>
      </c>
      <c r="O397" s="9">
        <v>7</v>
      </c>
      <c r="P397" s="9">
        <v>81390</v>
      </c>
      <c r="Q397" s="124" t="str">
        <f t="shared" si="50"/>
        <v>FASE II</v>
      </c>
      <c r="R397" s="155">
        <f t="shared" si="45"/>
        <v>25</v>
      </c>
      <c r="S397" s="156">
        <f t="shared" si="48"/>
        <v>84810</v>
      </c>
      <c r="T397" s="156">
        <f t="shared" si="49"/>
        <v>2120250</v>
      </c>
    </row>
    <row r="398" spans="1:20" s="9" customFormat="1" ht="35.1" customHeight="1" x14ac:dyDescent="0.25">
      <c r="A398" s="215"/>
      <c r="B398" s="255" t="s">
        <v>538</v>
      </c>
      <c r="C398" s="87" t="s">
        <v>539</v>
      </c>
      <c r="D398" s="255" t="s">
        <v>284</v>
      </c>
      <c r="E398" s="242">
        <v>3</v>
      </c>
      <c r="F398" s="242">
        <v>1</v>
      </c>
      <c r="G398" s="242">
        <v>4</v>
      </c>
      <c r="H398" s="243">
        <v>102765</v>
      </c>
      <c r="I398" s="243">
        <f t="shared" si="46"/>
        <v>411060</v>
      </c>
      <c r="J398" s="8"/>
      <c r="K398" s="8">
        <f t="shared" si="44"/>
        <v>102765</v>
      </c>
      <c r="L398" s="8">
        <f t="shared" si="47"/>
        <v>308295</v>
      </c>
      <c r="M398" s="9" t="str">
        <f t="array" ref="M398:P398">_xlfn.XLOOKUP(C398,'Neiva 2022 FASE I ACTUAL (5)'!$C$6:$C$540,'Neiva 2022 FASE I ACTUAL (5)'!$C$6:$F$540,"NO ESTA")</f>
        <v>SUMINISTRO E INSTALACIÓN SALIDA PARA TOMA TRIFÁSICA 208v 3FASES EN CAFETERIA</v>
      </c>
      <c r="N398" s="9" t="str">
        <v xml:space="preserve">UN   </v>
      </c>
      <c r="O398" s="9">
        <v>1</v>
      </c>
      <c r="P398" s="9">
        <v>98621</v>
      </c>
      <c r="Q398" s="124" t="str">
        <f t="shared" si="50"/>
        <v>FASE II</v>
      </c>
      <c r="R398" s="155">
        <f t="shared" si="45"/>
        <v>4</v>
      </c>
      <c r="S398" s="156">
        <f t="shared" si="48"/>
        <v>102765</v>
      </c>
      <c r="T398" s="156">
        <f t="shared" si="49"/>
        <v>411060</v>
      </c>
    </row>
    <row r="399" spans="1:20" s="9" customFormat="1" ht="35.1" customHeight="1" x14ac:dyDescent="0.25">
      <c r="A399" s="215"/>
      <c r="B399" s="255" t="s">
        <v>540</v>
      </c>
      <c r="C399" s="254" t="s">
        <v>541</v>
      </c>
      <c r="D399" s="255" t="s">
        <v>269</v>
      </c>
      <c r="E399" s="242">
        <v>985</v>
      </c>
      <c r="F399" s="242">
        <v>365</v>
      </c>
      <c r="G399" s="242">
        <v>1350</v>
      </c>
      <c r="H399" s="243">
        <v>1731</v>
      </c>
      <c r="I399" s="243">
        <f t="shared" si="46"/>
        <v>2336850</v>
      </c>
      <c r="J399" s="8"/>
      <c r="K399" s="8">
        <f t="shared" si="44"/>
        <v>1731</v>
      </c>
      <c r="L399" s="8">
        <f t="shared" si="47"/>
        <v>1705035</v>
      </c>
      <c r="M399" s="9" t="str">
        <f t="array" ref="M399:P399">_xlfn.XLOOKUP(C399,'Neiva 2022 FASE I ACTUAL (5)'!$C$6:$C$540,'Neiva 2022 FASE I ACTUAL (5)'!$C$6:$F$540,"NO ESTA")</f>
        <v xml:space="preserve">SUMINISTRO E INSTALACIÓN SALIDAS PARCIALES DE CIRCUITO PARA TOMACORIRIENTE DE USO NORMAL EN CABLE #12 AWG THHN/THWN, DESDE EL TABLERO DE AUTOMATICOS POR EL DUCTO PORTACABLES HASTA LOS PRIMEROS PUNTOS DE DERIVACIÓN. </v>
      </c>
      <c r="N399" s="9" t="str">
        <v xml:space="preserve">ML   </v>
      </c>
      <c r="O399" s="9">
        <v>365</v>
      </c>
      <c r="P399" s="9">
        <v>1662</v>
      </c>
      <c r="Q399" s="124" t="str">
        <f t="shared" si="50"/>
        <v>FASE II</v>
      </c>
      <c r="R399" s="155">
        <f t="shared" si="45"/>
        <v>1350</v>
      </c>
      <c r="S399" s="156">
        <f t="shared" si="48"/>
        <v>1731</v>
      </c>
      <c r="T399" s="156">
        <f t="shared" si="49"/>
        <v>2336850</v>
      </c>
    </row>
    <row r="400" spans="1:20" s="9" customFormat="1" ht="35.1" customHeight="1" x14ac:dyDescent="0.25">
      <c r="A400" s="215"/>
      <c r="B400" s="283" t="s">
        <v>542</v>
      </c>
      <c r="C400" s="256" t="s">
        <v>543</v>
      </c>
      <c r="D400" s="256"/>
      <c r="E400" s="246"/>
      <c r="F400" s="246"/>
      <c r="G400" s="246"/>
      <c r="H400" s="246"/>
      <c r="I400" s="246"/>
      <c r="J400" s="8"/>
      <c r="K400" s="8">
        <f t="shared" si="44"/>
        <v>0</v>
      </c>
      <c r="L400" s="8">
        <f t="shared" si="47"/>
        <v>0</v>
      </c>
      <c r="M400" s="9" t="str">
        <f t="array" ref="M400:P400">_xlfn.XLOOKUP(C400,'Neiva 2022 FASE I ACTUAL (5)'!$C$6:$C$540,'Neiva 2022 FASE I ACTUAL (5)'!$C$6:$F$540,"NO ESTA")</f>
        <v xml:space="preserve">SUMINISTRO E INSTALACIÓN SALIDAS PARA TOMACORRIENTES USO REGULADO EN TUBERIA PVC INCRUSTRADA </v>
      </c>
      <c r="N400" s="9">
        <v>0</v>
      </c>
      <c r="O400" s="9">
        <v>0</v>
      </c>
      <c r="P400" s="9">
        <v>0</v>
      </c>
      <c r="Q400" s="124">
        <f t="shared" si="50"/>
        <v>0</v>
      </c>
      <c r="R400" s="155">
        <f t="shared" si="45"/>
        <v>0</v>
      </c>
      <c r="S400" s="156">
        <f t="shared" si="48"/>
        <v>0</v>
      </c>
      <c r="T400" s="156">
        <f t="shared" si="49"/>
        <v>0</v>
      </c>
    </row>
    <row r="401" spans="1:20" s="9" customFormat="1" ht="35.1" customHeight="1" x14ac:dyDescent="0.25">
      <c r="A401" s="215"/>
      <c r="B401" s="255" t="s">
        <v>544</v>
      </c>
      <c r="C401" s="87" t="s">
        <v>545</v>
      </c>
      <c r="D401" s="255" t="s">
        <v>374</v>
      </c>
      <c r="E401" s="242">
        <v>39</v>
      </c>
      <c r="F401" s="242">
        <v>15</v>
      </c>
      <c r="G401" s="242">
        <v>54</v>
      </c>
      <c r="H401" s="243">
        <v>123968</v>
      </c>
      <c r="I401" s="243">
        <f t="shared" si="46"/>
        <v>6694272</v>
      </c>
      <c r="J401" s="8"/>
      <c r="K401" s="8">
        <f t="shared" si="44"/>
        <v>123968</v>
      </c>
      <c r="L401" s="8">
        <f t="shared" si="47"/>
        <v>4834752</v>
      </c>
      <c r="M401" s="9" t="str">
        <f t="array" ref="M401:P401">_xlfn.XLOOKUP(C401,'Neiva 2022 FASE I ACTUAL (5)'!$C$6:$C$540,'Neiva 2022 FASE I ACTUAL (5)'!$C$6:$F$540,"NO ESTA")</f>
        <v>SUMINISTRO E INSTALACIÓN SALIDA PARA TOMACORRIENTE DOBLE DE COLOR NARAJA, PARA INSTALAR EN MURO</v>
      </c>
      <c r="N401" s="9" t="str">
        <v>UN</v>
      </c>
      <c r="O401" s="9">
        <v>15</v>
      </c>
      <c r="P401" s="9">
        <v>118969</v>
      </c>
      <c r="Q401" s="124" t="str">
        <f t="shared" si="50"/>
        <v>FASE II</v>
      </c>
      <c r="R401" s="155">
        <f t="shared" si="45"/>
        <v>54</v>
      </c>
      <c r="S401" s="156">
        <f t="shared" si="48"/>
        <v>123968</v>
      </c>
      <c r="T401" s="156">
        <f t="shared" si="49"/>
        <v>6694272</v>
      </c>
    </row>
    <row r="402" spans="1:20" s="9" customFormat="1" ht="35.1" customHeight="1" x14ac:dyDescent="0.25">
      <c r="A402" s="215"/>
      <c r="B402" s="255" t="s">
        <v>546</v>
      </c>
      <c r="C402" s="87" t="s">
        <v>547</v>
      </c>
      <c r="D402" s="255" t="s">
        <v>374</v>
      </c>
      <c r="E402" s="242">
        <v>80</v>
      </c>
      <c r="F402" s="242">
        <v>29</v>
      </c>
      <c r="G402" s="242">
        <v>109</v>
      </c>
      <c r="H402" s="243">
        <v>114268</v>
      </c>
      <c r="I402" s="243">
        <f t="shared" si="46"/>
        <v>12455212</v>
      </c>
      <c r="J402" s="8"/>
      <c r="K402" s="8">
        <f t="shared" si="44"/>
        <v>114268</v>
      </c>
      <c r="L402" s="8">
        <f t="shared" si="47"/>
        <v>9141440</v>
      </c>
      <c r="M402" s="9" t="str">
        <f t="array" ref="M402:P402">_xlfn.XLOOKUP(C402,'Neiva 2022 FASE I ACTUAL (5)'!$C$6:$C$540,'Neiva 2022 FASE I ACTUAL (5)'!$C$6:$F$540,"NO ESTA")</f>
        <v xml:space="preserve">SUMINISTRO E INSTALACIÓN SALIDA PARA TOMACORRIENTE DOBLE DE COLOR NARAJA, PARA INSTALAR EN CANALETA PERIMETRAL </v>
      </c>
      <c r="N402" s="9" t="str">
        <v>UN</v>
      </c>
      <c r="O402" s="9">
        <v>29</v>
      </c>
      <c r="P402" s="9">
        <v>109659</v>
      </c>
      <c r="Q402" s="124" t="str">
        <f t="shared" si="50"/>
        <v>FASE II</v>
      </c>
      <c r="R402" s="155">
        <f t="shared" si="45"/>
        <v>109</v>
      </c>
      <c r="S402" s="156">
        <f t="shared" si="48"/>
        <v>114268</v>
      </c>
      <c r="T402" s="156">
        <f t="shared" si="49"/>
        <v>12455212</v>
      </c>
    </row>
    <row r="403" spans="1:20" s="9" customFormat="1" ht="35.1" customHeight="1" x14ac:dyDescent="0.25">
      <c r="A403" s="215"/>
      <c r="B403" s="255" t="s">
        <v>548</v>
      </c>
      <c r="C403" s="87" t="s">
        <v>549</v>
      </c>
      <c r="D403" s="255" t="s">
        <v>269</v>
      </c>
      <c r="E403" s="242">
        <v>36</v>
      </c>
      <c r="F403" s="242">
        <v>14</v>
      </c>
      <c r="G403" s="242">
        <v>50</v>
      </c>
      <c r="H403" s="243">
        <v>11607</v>
      </c>
      <c r="I403" s="243">
        <f t="shared" si="46"/>
        <v>580350</v>
      </c>
      <c r="J403" s="8"/>
      <c r="K403" s="8">
        <f t="shared" si="44"/>
        <v>11607</v>
      </c>
      <c r="L403" s="8">
        <f t="shared" si="47"/>
        <v>417852</v>
      </c>
      <c r="M403" s="9" t="str">
        <f t="array" ref="M403:P403">_xlfn.XLOOKUP(C403,'Neiva 2022 FASE I ACTUAL (5)'!$C$6:$C$540,'Neiva 2022 FASE I ACTUAL (5)'!$C$6:$F$540,"NO ESTA")</f>
        <v>SUMINISTRO E INSTALACIÓN INTERCONEXIÓN ENTRE EL DUCTO PORTACABLES Y LA CANALETA PERIMETRAL EN ø 1 1/2" CON 4#12 AWG THHN/THWN</v>
      </c>
      <c r="N403" s="9" t="str">
        <v xml:space="preserve">ML   </v>
      </c>
      <c r="O403" s="9">
        <v>14</v>
      </c>
      <c r="P403" s="9">
        <v>11140</v>
      </c>
      <c r="Q403" s="124" t="str">
        <f t="shared" si="50"/>
        <v>FASE II</v>
      </c>
      <c r="R403" s="155">
        <f t="shared" si="45"/>
        <v>50</v>
      </c>
      <c r="S403" s="156">
        <f t="shared" si="48"/>
        <v>11607</v>
      </c>
      <c r="T403" s="156">
        <f t="shared" si="49"/>
        <v>580350</v>
      </c>
    </row>
    <row r="404" spans="1:20" s="9" customFormat="1" ht="35.1" customHeight="1" x14ac:dyDescent="0.25">
      <c r="A404" s="215"/>
      <c r="B404" s="255" t="s">
        <v>550</v>
      </c>
      <c r="C404" s="87" t="s">
        <v>551</v>
      </c>
      <c r="D404" s="255" t="s">
        <v>269</v>
      </c>
      <c r="E404" s="242">
        <v>1496</v>
      </c>
      <c r="F404" s="242">
        <v>554</v>
      </c>
      <c r="G404" s="242">
        <v>2050</v>
      </c>
      <c r="H404" s="243">
        <v>1731</v>
      </c>
      <c r="I404" s="243">
        <f t="shared" si="46"/>
        <v>3548550</v>
      </c>
      <c r="J404" s="8"/>
      <c r="K404" s="8">
        <f t="shared" si="44"/>
        <v>1731</v>
      </c>
      <c r="L404" s="8">
        <f t="shared" si="47"/>
        <v>2589576</v>
      </c>
      <c r="M404" s="9" t="str">
        <f t="array" ref="M404:P404">_xlfn.XLOOKUP(C404,'Neiva 2022 FASE I ACTUAL (5)'!$C$6:$C$540,'Neiva 2022 FASE I ACTUAL (5)'!$C$6:$F$540,"NO ESTA")</f>
        <v xml:space="preserve">SUMINISTRO E INSTALACIÓN SALIDAS PARCIALES DE CIRCUITO PARA TOMACORIRIENTE DE USO REGULADO EN CABLE #12 AWG THHN/THWN, DESDE EL TABLERO DE AUTOMATICOS POR EL DUCTO PORTACABLES HASTA LOS PRIMEROS PUNTOS DE DERIVACIÓN. </v>
      </c>
      <c r="N404" s="9" t="str">
        <v xml:space="preserve">ML   </v>
      </c>
      <c r="O404" s="9">
        <v>554</v>
      </c>
      <c r="P404" s="9">
        <v>1662</v>
      </c>
      <c r="Q404" s="124" t="str">
        <f t="shared" si="50"/>
        <v>FASE II</v>
      </c>
      <c r="R404" s="155">
        <f t="shared" si="45"/>
        <v>2050</v>
      </c>
      <c r="S404" s="156">
        <f t="shared" si="48"/>
        <v>1731</v>
      </c>
      <c r="T404" s="156">
        <f t="shared" si="49"/>
        <v>3548550</v>
      </c>
    </row>
    <row r="405" spans="1:20" s="9" customFormat="1" ht="35.1" customHeight="1" x14ac:dyDescent="0.25">
      <c r="A405" s="215"/>
      <c r="B405" s="266">
        <v>15</v>
      </c>
      <c r="C405" s="267" t="s">
        <v>552</v>
      </c>
      <c r="D405" s="267"/>
      <c r="E405" s="268"/>
      <c r="F405" s="268"/>
      <c r="G405" s="268"/>
      <c r="H405" s="268"/>
      <c r="I405" s="268"/>
      <c r="J405" s="8"/>
      <c r="K405" s="8">
        <f t="shared" si="44"/>
        <v>0</v>
      </c>
      <c r="L405" s="8">
        <f t="shared" si="47"/>
        <v>0</v>
      </c>
      <c r="M405" s="9" t="str">
        <f t="array" ref="M405:P405">_xlfn.XLOOKUP(C405,'Neiva 2022 FASE I ACTUAL (5)'!$C$6:$C$540,'Neiva 2022 FASE I ACTUAL (5)'!$C$6:$F$540,"NO ESTA")</f>
        <v>DUCTOS, ACOMETIDAS, TABLEROS, PUESTA A TIERRA, PARARRAYOS Y PLANTA ELÉCTRICA</v>
      </c>
      <c r="N405" s="9">
        <v>0</v>
      </c>
      <c r="O405" s="9">
        <v>0</v>
      </c>
      <c r="P405" s="9">
        <v>0</v>
      </c>
      <c r="Q405" s="124">
        <f t="shared" si="50"/>
        <v>0</v>
      </c>
      <c r="R405" s="155">
        <f t="shared" si="45"/>
        <v>0</v>
      </c>
      <c r="S405" s="156">
        <f t="shared" si="48"/>
        <v>0</v>
      </c>
      <c r="T405" s="156">
        <f t="shared" si="49"/>
        <v>0</v>
      </c>
    </row>
    <row r="406" spans="1:20" s="9" customFormat="1" ht="35.1" customHeight="1" x14ac:dyDescent="0.25">
      <c r="A406" s="215"/>
      <c r="B406" s="289" t="s">
        <v>553</v>
      </c>
      <c r="C406" s="256" t="s">
        <v>554</v>
      </c>
      <c r="D406" s="256"/>
      <c r="E406" s="246"/>
      <c r="F406" s="246"/>
      <c r="G406" s="246"/>
      <c r="H406" s="246"/>
      <c r="I406" s="246"/>
      <c r="J406" s="8"/>
      <c r="K406" s="8">
        <f t="shared" si="44"/>
        <v>0</v>
      </c>
      <c r="L406" s="8">
        <f t="shared" si="47"/>
        <v>0</v>
      </c>
      <c r="M406" s="9" t="str">
        <f t="array" ref="M406:P406">_xlfn.XLOOKUP(C406,'Neiva 2022 FASE I ACTUAL (5)'!$C$6:$C$540,'Neiva 2022 FASE I ACTUAL (5)'!$C$6:$F$540,"NO ESTA")</f>
        <v>SUMINISTRO E INSTALACIÓN DE DUCTOS PORTACABLES</v>
      </c>
      <c r="N406" s="9">
        <v>0</v>
      </c>
      <c r="O406" s="9">
        <v>0</v>
      </c>
      <c r="P406" s="9">
        <v>0</v>
      </c>
      <c r="Q406" s="124">
        <f t="shared" si="50"/>
        <v>0</v>
      </c>
      <c r="R406" s="155">
        <f t="shared" si="45"/>
        <v>0</v>
      </c>
      <c r="S406" s="156">
        <f t="shared" si="48"/>
        <v>0</v>
      </c>
      <c r="T406" s="156">
        <f t="shared" si="49"/>
        <v>0</v>
      </c>
    </row>
    <row r="407" spans="1:20" s="9" customFormat="1" ht="35.1" customHeight="1" x14ac:dyDescent="0.25">
      <c r="A407" s="215"/>
      <c r="B407" s="255" t="s">
        <v>555</v>
      </c>
      <c r="C407" s="87" t="s">
        <v>556</v>
      </c>
      <c r="D407" s="255" t="s">
        <v>269</v>
      </c>
      <c r="E407" s="242">
        <v>194</v>
      </c>
      <c r="F407" s="242">
        <v>72</v>
      </c>
      <c r="G407" s="242">
        <f>+F407+E407</f>
        <v>266</v>
      </c>
      <c r="H407" s="243">
        <v>106926</v>
      </c>
      <c r="I407" s="243">
        <f t="shared" si="46"/>
        <v>28442316</v>
      </c>
      <c r="J407" s="8"/>
      <c r="K407" s="8">
        <f t="shared" si="44"/>
        <v>106926</v>
      </c>
      <c r="L407" s="8">
        <f t="shared" si="47"/>
        <v>20743644</v>
      </c>
      <c r="M407" s="9" t="str">
        <f t="array" ref="M407">_xlfn.XLOOKUP(C407,'Neiva 2022 FASE I ACTUAL (5)'!$C$6:$C$540,'Neiva 2022 FASE I ACTUAL (5)'!$C$6:$F$540,"NO ESTA")</f>
        <v>NO ESTA</v>
      </c>
      <c r="Q407" s="124">
        <f t="shared" si="50"/>
        <v>0</v>
      </c>
      <c r="R407" s="155">
        <f t="shared" si="45"/>
        <v>194</v>
      </c>
      <c r="S407" s="156">
        <f t="shared" si="48"/>
        <v>106926</v>
      </c>
      <c r="T407" s="156">
        <f t="shared" si="49"/>
        <v>20743644</v>
      </c>
    </row>
    <row r="408" spans="1:20" s="9" customFormat="1" ht="35.1" customHeight="1" x14ac:dyDescent="0.25">
      <c r="A408" s="215"/>
      <c r="B408" s="255" t="s">
        <v>557</v>
      </c>
      <c r="C408" s="254" t="s">
        <v>558</v>
      </c>
      <c r="D408" s="255" t="s">
        <v>284</v>
      </c>
      <c r="E408" s="242">
        <v>8</v>
      </c>
      <c r="F408" s="242">
        <v>3</v>
      </c>
      <c r="G408" s="242">
        <v>11</v>
      </c>
      <c r="H408" s="243">
        <v>137302</v>
      </c>
      <c r="I408" s="243">
        <f t="shared" si="46"/>
        <v>1510322</v>
      </c>
      <c r="J408" s="8"/>
      <c r="K408" s="8">
        <f t="shared" si="44"/>
        <v>137302</v>
      </c>
      <c r="L408" s="8">
        <f t="shared" si="47"/>
        <v>1098416</v>
      </c>
      <c r="M408" s="9" t="str">
        <f t="array" ref="M408:P408">_xlfn.XLOOKUP(C408,'Neiva 2022 FASE I ACTUAL (5)'!$C$6:$C$540,'Neiva 2022 FASE I ACTUAL (5)'!$C$6:$F$540,"NO ESTA")</f>
        <v>SUMINISTRO E INSTALACIÓN TÉE PARA DUCTO PORTACABLES TROQUELADO DE 30x10 cm</v>
      </c>
      <c r="N408" s="9" t="str">
        <v xml:space="preserve">UN   </v>
      </c>
      <c r="O408" s="9">
        <v>3</v>
      </c>
      <c r="P408" s="9">
        <v>131764</v>
      </c>
      <c r="Q408" s="124" t="str">
        <f t="shared" si="50"/>
        <v>FASE II</v>
      </c>
      <c r="R408" s="155">
        <f t="shared" si="45"/>
        <v>11</v>
      </c>
      <c r="S408" s="156">
        <f t="shared" si="48"/>
        <v>137302</v>
      </c>
      <c r="T408" s="156">
        <f t="shared" si="49"/>
        <v>1510322</v>
      </c>
    </row>
    <row r="409" spans="1:20" s="9" customFormat="1" ht="35.1" customHeight="1" x14ac:dyDescent="0.25">
      <c r="A409" s="215"/>
      <c r="B409" s="255" t="s">
        <v>559</v>
      </c>
      <c r="C409" s="254" t="s">
        <v>560</v>
      </c>
      <c r="D409" s="255" t="s">
        <v>284</v>
      </c>
      <c r="E409" s="242">
        <v>91</v>
      </c>
      <c r="F409" s="242">
        <v>34</v>
      </c>
      <c r="G409" s="242">
        <v>125</v>
      </c>
      <c r="H409" s="243">
        <v>30452</v>
      </c>
      <c r="I409" s="243">
        <f t="shared" si="46"/>
        <v>3806500</v>
      </c>
      <c r="J409" s="8"/>
      <c r="K409" s="8">
        <f t="shared" si="44"/>
        <v>30452</v>
      </c>
      <c r="L409" s="8">
        <f t="shared" si="47"/>
        <v>2771132</v>
      </c>
      <c r="M409" s="9" t="str">
        <f t="array" ref="M409:P409">_xlfn.XLOOKUP(C409,'Neiva 2022 FASE I ACTUAL (5)'!$C$6:$C$540,'Neiva 2022 FASE I ACTUAL (5)'!$C$6:$F$540,"NO ESTA")</f>
        <v>SUMINISTRO E INSTALACIÓN SOPORTES DE FIJACIÓN TIPO PELDAÑO DESCOLGADO PARA DUCTOS PORTACABLES TROQUELADO</v>
      </c>
      <c r="N409" s="9" t="str">
        <v xml:space="preserve">UN   </v>
      </c>
      <c r="O409" s="9">
        <v>34</v>
      </c>
      <c r="P409" s="9">
        <v>29224</v>
      </c>
      <c r="Q409" s="124" t="str">
        <f t="shared" si="50"/>
        <v>FASE II</v>
      </c>
      <c r="R409" s="155">
        <f t="shared" si="45"/>
        <v>125</v>
      </c>
      <c r="S409" s="156">
        <f t="shared" si="48"/>
        <v>30452</v>
      </c>
      <c r="T409" s="156">
        <f t="shared" si="49"/>
        <v>3806500</v>
      </c>
    </row>
    <row r="410" spans="1:20" s="9" customFormat="1" ht="35.1" customHeight="1" x14ac:dyDescent="0.25">
      <c r="A410" s="215"/>
      <c r="B410" s="255" t="s">
        <v>561</v>
      </c>
      <c r="C410" s="87" t="s">
        <v>562</v>
      </c>
      <c r="D410" s="255" t="s">
        <v>269</v>
      </c>
      <c r="E410" s="242">
        <v>67</v>
      </c>
      <c r="F410" s="242">
        <v>25</v>
      </c>
      <c r="G410" s="242">
        <f>+F410+E410</f>
        <v>92</v>
      </c>
      <c r="H410" s="243">
        <v>199045</v>
      </c>
      <c r="I410" s="243">
        <f t="shared" si="46"/>
        <v>18312140</v>
      </c>
      <c r="J410" s="8"/>
      <c r="K410" s="8">
        <f t="shared" si="44"/>
        <v>199045</v>
      </c>
      <c r="L410" s="8">
        <f t="shared" si="47"/>
        <v>13336015</v>
      </c>
      <c r="M410" s="9" t="str">
        <f t="array" ref="M410">_xlfn.XLOOKUP(C410,'Neiva 2022 FASE I ACTUAL (5)'!$C$6:$C$540,'Neiva 2022 FASE I ACTUAL (5)'!$C$6:$F$540,"NO ESTA")</f>
        <v>NO ESTA</v>
      </c>
      <c r="Q410" s="124">
        <f t="shared" si="50"/>
        <v>0</v>
      </c>
      <c r="R410" s="155">
        <f t="shared" si="45"/>
        <v>67</v>
      </c>
      <c r="S410" s="156">
        <f t="shared" si="48"/>
        <v>199045</v>
      </c>
      <c r="T410" s="156">
        <f t="shared" si="49"/>
        <v>13336015</v>
      </c>
    </row>
    <row r="411" spans="1:20" s="9" customFormat="1" ht="35.1" customHeight="1" x14ac:dyDescent="0.25">
      <c r="A411" s="215"/>
      <c r="B411" s="255" t="s">
        <v>563</v>
      </c>
      <c r="C411" s="254" t="s">
        <v>564</v>
      </c>
      <c r="D411" s="255" t="s">
        <v>284</v>
      </c>
      <c r="E411" s="242">
        <v>2</v>
      </c>
      <c r="F411" s="242">
        <v>1</v>
      </c>
      <c r="G411" s="242">
        <v>3</v>
      </c>
      <c r="H411" s="243">
        <v>164760</v>
      </c>
      <c r="I411" s="243">
        <f t="shared" si="46"/>
        <v>494280</v>
      </c>
      <c r="J411" s="8"/>
      <c r="K411" s="8">
        <f t="shared" si="44"/>
        <v>164760</v>
      </c>
      <c r="L411" s="8">
        <f t="shared" si="47"/>
        <v>329520</v>
      </c>
      <c r="M411" s="9" t="str">
        <f t="array" ref="M411:P411">_xlfn.XLOOKUP(C411,'Neiva 2022 FASE I ACTUAL (5)'!$C$6:$C$540,'Neiva 2022 FASE I ACTUAL (5)'!$C$6:$F$540,"NO ESTA")</f>
        <v>SUMINISTRO E INSTALACIÓN TÉE PARA DUCTO PORTACABLES TROQUELADO DE 100x30 cm</v>
      </c>
      <c r="N411" s="9" t="str">
        <v xml:space="preserve">UN   </v>
      </c>
      <c r="O411" s="9">
        <v>1</v>
      </c>
      <c r="P411" s="9">
        <v>158115</v>
      </c>
      <c r="Q411" s="124" t="str">
        <f t="shared" si="50"/>
        <v>FASE II</v>
      </c>
      <c r="R411" s="155">
        <f t="shared" si="45"/>
        <v>3</v>
      </c>
      <c r="S411" s="156">
        <f t="shared" si="48"/>
        <v>164760</v>
      </c>
      <c r="T411" s="156">
        <f t="shared" si="49"/>
        <v>494280</v>
      </c>
    </row>
    <row r="412" spans="1:20" s="9" customFormat="1" ht="35.1" customHeight="1" x14ac:dyDescent="0.25">
      <c r="A412" s="215"/>
      <c r="B412" s="255" t="s">
        <v>565</v>
      </c>
      <c r="C412" s="254" t="s">
        <v>566</v>
      </c>
      <c r="D412" s="255" t="s">
        <v>284</v>
      </c>
      <c r="E412" s="242">
        <v>34</v>
      </c>
      <c r="F412" s="242">
        <v>12</v>
      </c>
      <c r="G412" s="242">
        <v>46</v>
      </c>
      <c r="H412" s="243">
        <v>30452</v>
      </c>
      <c r="I412" s="243">
        <f t="shared" si="46"/>
        <v>1400792</v>
      </c>
      <c r="J412" s="8"/>
      <c r="K412" s="8">
        <f t="shared" si="44"/>
        <v>30452</v>
      </c>
      <c r="L412" s="8">
        <f t="shared" si="47"/>
        <v>1035368</v>
      </c>
      <c r="M412" s="9" t="str">
        <f t="array" ref="M412:P412">_xlfn.XLOOKUP(C412,'Neiva 2022 FASE I ACTUAL (5)'!$C$6:$C$540,'Neiva 2022 FASE I ACTUAL (5)'!$C$6:$F$540,"NO ESTA")</f>
        <v>SUMINISTRO E INSTALACIÓN SOPORTES DE FIJACIÓN TIPO PELDAÑO DESCOLGADO PARA DUCTO PORTACABLES TROQUELADO</v>
      </c>
      <c r="N412" s="9" t="str">
        <v xml:space="preserve">UN   </v>
      </c>
      <c r="O412" s="9">
        <v>12</v>
      </c>
      <c r="P412" s="9">
        <v>29224</v>
      </c>
      <c r="Q412" s="124" t="str">
        <f t="shared" si="50"/>
        <v>FASE II</v>
      </c>
      <c r="R412" s="155">
        <f t="shared" si="45"/>
        <v>46</v>
      </c>
      <c r="S412" s="156">
        <f t="shared" si="48"/>
        <v>30452</v>
      </c>
      <c r="T412" s="156">
        <f t="shared" si="49"/>
        <v>1400792</v>
      </c>
    </row>
    <row r="413" spans="1:20" s="9" customFormat="1" ht="35.1" customHeight="1" x14ac:dyDescent="0.25">
      <c r="A413" s="215"/>
      <c r="B413" s="289" t="s">
        <v>567</v>
      </c>
      <c r="C413" s="256" t="s">
        <v>568</v>
      </c>
      <c r="D413" s="256"/>
      <c r="E413" s="246"/>
      <c r="F413" s="246"/>
      <c r="G413" s="246"/>
      <c r="H413" s="246"/>
      <c r="I413" s="246"/>
      <c r="J413" s="8"/>
      <c r="K413" s="8">
        <f t="shared" si="44"/>
        <v>0</v>
      </c>
      <c r="L413" s="8">
        <f t="shared" si="47"/>
        <v>0</v>
      </c>
      <c r="M413" s="9" t="str">
        <f t="array" ref="M413:P413">_xlfn.XLOOKUP(C413,'Neiva 2022 FASE I ACTUAL (5)'!$C$6:$C$540,'Neiva 2022 FASE I ACTUAL (5)'!$C$6:$F$540,"NO ESTA")</f>
        <v>CANALETA PERIMETRAL MULTITOMA</v>
      </c>
      <c r="N413" s="9">
        <v>0</v>
      </c>
      <c r="O413" s="9">
        <v>0</v>
      </c>
      <c r="P413" s="9">
        <v>0</v>
      </c>
      <c r="Q413" s="124">
        <f t="shared" si="50"/>
        <v>0</v>
      </c>
      <c r="R413" s="155">
        <f t="shared" si="45"/>
        <v>0</v>
      </c>
      <c r="S413" s="156">
        <f t="shared" si="48"/>
        <v>0</v>
      </c>
      <c r="T413" s="156">
        <f t="shared" si="49"/>
        <v>0</v>
      </c>
    </row>
    <row r="414" spans="1:20" s="9" customFormat="1" ht="35.1" customHeight="1" x14ac:dyDescent="0.25">
      <c r="A414" s="215"/>
      <c r="B414" s="255" t="s">
        <v>569</v>
      </c>
      <c r="C414" s="254" t="s">
        <v>570</v>
      </c>
      <c r="D414" s="255" t="s">
        <v>269</v>
      </c>
      <c r="E414" s="242">
        <v>182</v>
      </c>
      <c r="F414" s="242">
        <v>68</v>
      </c>
      <c r="G414" s="242">
        <v>250</v>
      </c>
      <c r="H414" s="243">
        <v>30305</v>
      </c>
      <c r="I414" s="243">
        <f t="shared" si="46"/>
        <v>7576250</v>
      </c>
      <c r="J414" s="8"/>
      <c r="K414" s="8">
        <f t="shared" si="44"/>
        <v>30305</v>
      </c>
      <c r="L414" s="8">
        <f t="shared" si="47"/>
        <v>5515510</v>
      </c>
      <c r="M414" s="9" t="str">
        <f t="array" ref="M414:P414">_xlfn.XLOOKUP(C414,'Neiva 2022 FASE I ACTUAL (5)'!$C$6:$C$540,'Neiva 2022 FASE I ACTUAL (5)'!$C$6:$F$540,"NO ESTA")</f>
        <v>SUMINISTRO E INSTALACIÓN CANALETA MULTITOMA DE DOS COMPARTIMIENTOS EN LÁMINA COLD ROLLED CAL. 18 DE SECCIÓN 10x4 cm CON TAPA CLIP Y ACABADO ELECTROESTÁTICO GRIS NOPAL TEXTURIZADO</v>
      </c>
      <c r="N414" s="9" t="str">
        <v xml:space="preserve">ML   </v>
      </c>
      <c r="O414" s="9">
        <v>68</v>
      </c>
      <c r="P414" s="9">
        <v>29082</v>
      </c>
      <c r="Q414" s="124" t="str">
        <f t="shared" si="50"/>
        <v>FASE II</v>
      </c>
      <c r="R414" s="155">
        <f t="shared" si="45"/>
        <v>250</v>
      </c>
      <c r="S414" s="156">
        <f t="shared" si="48"/>
        <v>30305</v>
      </c>
      <c r="T414" s="156">
        <f t="shared" si="49"/>
        <v>7576250</v>
      </c>
    </row>
    <row r="415" spans="1:20" s="9" customFormat="1" ht="35.1" customHeight="1" x14ac:dyDescent="0.25">
      <c r="A415" s="215"/>
      <c r="B415" s="255" t="s">
        <v>571</v>
      </c>
      <c r="C415" s="254" t="s">
        <v>572</v>
      </c>
      <c r="D415" s="255" t="s">
        <v>374</v>
      </c>
      <c r="E415" s="242">
        <v>80</v>
      </c>
      <c r="F415" s="242">
        <v>29</v>
      </c>
      <c r="G415" s="242">
        <v>109</v>
      </c>
      <c r="H415" s="243">
        <v>23645</v>
      </c>
      <c r="I415" s="243">
        <f t="shared" si="46"/>
        <v>2577305</v>
      </c>
      <c r="J415" s="8"/>
      <c r="K415" s="8">
        <f t="shared" si="44"/>
        <v>23645</v>
      </c>
      <c r="L415" s="8">
        <f t="shared" si="47"/>
        <v>1891600</v>
      </c>
      <c r="M415" s="9" t="str">
        <f t="array" ref="M415:P415">_xlfn.XLOOKUP(C415,'Neiva 2022 FASE I ACTUAL (5)'!$C$6:$C$540,'Neiva 2022 FASE I ACTUAL (5)'!$C$6:$F$540,"NO ESTA")</f>
        <v>SUMINISTRO E INSTALACIÓN PLACA TOMA TROQUELADA PARA CANALETA 10x4 cm, CON PERFORACIONES PARA UNA (1) TOMA DOBLE COLOR BLANCO, UNA (1) TOMA DOBLE COLOR NARANJA Y UNA (1) TOMA RJ-45</v>
      </c>
      <c r="N415" s="9" t="str">
        <v>UN</v>
      </c>
      <c r="O415" s="9">
        <v>29</v>
      </c>
      <c r="P415" s="9">
        <v>22690</v>
      </c>
      <c r="Q415" s="124" t="str">
        <f t="shared" si="50"/>
        <v>FASE II</v>
      </c>
      <c r="R415" s="155">
        <f t="shared" si="45"/>
        <v>109</v>
      </c>
      <c r="S415" s="156">
        <f t="shared" si="48"/>
        <v>23645</v>
      </c>
      <c r="T415" s="156">
        <f t="shared" si="49"/>
        <v>2577305</v>
      </c>
    </row>
    <row r="416" spans="1:20" s="9" customFormat="1" ht="35.1" customHeight="1" x14ac:dyDescent="0.25">
      <c r="A416" s="215"/>
      <c r="B416" s="289" t="s">
        <v>573</v>
      </c>
      <c r="C416" s="256" t="s">
        <v>574</v>
      </c>
      <c r="D416" s="256"/>
      <c r="E416" s="246"/>
      <c r="F416" s="246"/>
      <c r="G416" s="246"/>
      <c r="H416" s="246"/>
      <c r="I416" s="246"/>
      <c r="J416" s="8"/>
      <c r="K416" s="8">
        <f t="shared" si="44"/>
        <v>0</v>
      </c>
      <c r="L416" s="8">
        <f t="shared" si="47"/>
        <v>0</v>
      </c>
      <c r="M416" s="9" t="str">
        <f t="array" ref="M416:P416">_xlfn.XLOOKUP(C416,'Neiva 2022 FASE I ACTUAL (5)'!$C$6:$C$540,'Neiva 2022 FASE I ACTUAL (5)'!$C$6:$F$540,"NO ESTA")</f>
        <v>SUMINISTRO E INSTALACIÓN COMETIDA RED MEDIA TENSIÓN (SEGÚN NORMAS CODENSA SA ESP)</v>
      </c>
      <c r="N416" s="9">
        <v>0</v>
      </c>
      <c r="O416" s="9">
        <v>0</v>
      </c>
      <c r="P416" s="9">
        <v>0</v>
      </c>
      <c r="Q416" s="124">
        <f t="shared" si="50"/>
        <v>0</v>
      </c>
      <c r="R416" s="155">
        <f t="shared" si="45"/>
        <v>0</v>
      </c>
      <c r="S416" s="156">
        <f t="shared" si="48"/>
        <v>0</v>
      </c>
      <c r="T416" s="156">
        <f t="shared" si="49"/>
        <v>0</v>
      </c>
    </row>
    <row r="417" spans="1:20" s="9" customFormat="1" ht="35.1" customHeight="1" x14ac:dyDescent="0.25">
      <c r="A417" s="215"/>
      <c r="B417" s="255" t="s">
        <v>575</v>
      </c>
      <c r="C417" s="254" t="s">
        <v>576</v>
      </c>
      <c r="D417" s="255" t="s">
        <v>374</v>
      </c>
      <c r="E417" s="242">
        <v>0</v>
      </c>
      <c r="F417" s="242">
        <v>1</v>
      </c>
      <c r="G417" s="242">
        <f>+F417+E417</f>
        <v>1</v>
      </c>
      <c r="H417" s="243">
        <v>72809145</v>
      </c>
      <c r="I417" s="243">
        <f t="shared" si="46"/>
        <v>72809145</v>
      </c>
      <c r="J417" s="8"/>
      <c r="K417" s="8">
        <f t="shared" si="44"/>
        <v>72809145</v>
      </c>
      <c r="L417" s="8">
        <f t="shared" si="47"/>
        <v>0</v>
      </c>
      <c r="M417" s="9" t="str">
        <f t="array" ref="M417:P417">_xlfn.XLOOKUP(C417,'Neiva 2022 FASE I ACTUAL (5)'!$C$6:$C$540,'Neiva 2022 FASE I ACTUAL (5)'!$C$6:$F$540,"NO ESTA")</f>
        <v>SUMINISTRO E INSTALACIÓN TRANSFORMADOR DE DISTRIBUCIÓN DE 500 Kva, NIVEL DE TENSIÓN PRIMARIO 13.200 VOLTIOS, NIVEL DE TENSIÓN SECUNDARIO 208/120 VOLTIOS. INCLUYE: RIEL DE SOPORTE PARA TRANSFORMADOR (PATIN), RUEDAS PARA RIEL CON FRENO MECANICO</v>
      </c>
      <c r="N417" s="9" t="str">
        <v>UN</v>
      </c>
      <c r="O417" s="9">
        <v>1</v>
      </c>
      <c r="P417" s="9">
        <v>69872853</v>
      </c>
      <c r="Q417" s="124" t="str">
        <f t="shared" si="50"/>
        <v>FASE II</v>
      </c>
      <c r="R417" s="155">
        <f t="shared" si="45"/>
        <v>1</v>
      </c>
      <c r="S417" s="156">
        <f t="shared" si="48"/>
        <v>72809145</v>
      </c>
      <c r="T417" s="156">
        <f t="shared" si="49"/>
        <v>72809145</v>
      </c>
    </row>
    <row r="418" spans="1:20" s="9" customFormat="1" ht="35.1" customHeight="1" x14ac:dyDescent="0.25">
      <c r="A418" s="215"/>
      <c r="B418" s="255" t="s">
        <v>577</v>
      </c>
      <c r="C418" s="254" t="s">
        <v>578</v>
      </c>
      <c r="D418" s="255" t="s">
        <v>374</v>
      </c>
      <c r="E418" s="242">
        <v>0</v>
      </c>
      <c r="F418" s="242">
        <v>1</v>
      </c>
      <c r="G418" s="242">
        <f t="shared" ref="G418:G426" si="51">+F418+E418</f>
        <v>1</v>
      </c>
      <c r="H418" s="243">
        <v>5390799</v>
      </c>
      <c r="I418" s="243">
        <f t="shared" si="46"/>
        <v>5390799</v>
      </c>
      <c r="J418" s="8"/>
      <c r="K418" s="8">
        <f t="shared" si="44"/>
        <v>5390799</v>
      </c>
      <c r="L418" s="8">
        <f t="shared" si="47"/>
        <v>0</v>
      </c>
      <c r="M418" s="9" t="str">
        <f t="array" ref="M418:P418">_xlfn.XLOOKUP(C418,'Neiva 2022 FASE I ACTUAL (5)'!$C$6:$C$540,'Neiva 2022 FASE I ACTUAL (5)'!$C$6:$F$540,"NO ESTA")</f>
        <v>SUMINISTRO E INSTALACIÓN PUERTA CORTAFUEGO PINTURA ELECTROESTÁTICA Y SEÑALES DE RIESGO ELÉCTRICO. INCLUYE ACCESORIOS PARA ENCLAVAMIENTO</v>
      </c>
      <c r="N418" s="9" t="str">
        <v>UN</v>
      </c>
      <c r="O418" s="9">
        <v>1</v>
      </c>
      <c r="P418" s="9">
        <v>5173395</v>
      </c>
      <c r="Q418" s="124" t="str">
        <f t="shared" si="50"/>
        <v>FASE II</v>
      </c>
      <c r="R418" s="155">
        <f t="shared" si="45"/>
        <v>1</v>
      </c>
      <c r="S418" s="156">
        <f t="shared" si="48"/>
        <v>5390799</v>
      </c>
      <c r="T418" s="156">
        <f t="shared" si="49"/>
        <v>5390799</v>
      </c>
    </row>
    <row r="419" spans="1:20" s="9" customFormat="1" ht="35.1" customHeight="1" x14ac:dyDescent="0.25">
      <c r="A419" s="215"/>
      <c r="B419" s="255" t="s">
        <v>579</v>
      </c>
      <c r="C419" s="254" t="s">
        <v>580</v>
      </c>
      <c r="D419" s="255" t="s">
        <v>374</v>
      </c>
      <c r="E419" s="242">
        <v>0</v>
      </c>
      <c r="F419" s="242">
        <v>1</v>
      </c>
      <c r="G419" s="242">
        <f t="shared" si="51"/>
        <v>1</v>
      </c>
      <c r="H419" s="243">
        <v>200628</v>
      </c>
      <c r="I419" s="243">
        <f t="shared" si="46"/>
        <v>200628</v>
      </c>
      <c r="J419" s="8"/>
      <c r="K419" s="8">
        <f t="shared" si="44"/>
        <v>200628</v>
      </c>
      <c r="L419" s="8">
        <f t="shared" si="47"/>
        <v>0</v>
      </c>
      <c r="M419" s="9" t="str">
        <f t="array" ref="M419:P419">_xlfn.XLOOKUP(C419,'Neiva 2022 FASE I ACTUAL (5)'!$C$6:$C$540,'Neiva 2022 FASE I ACTUAL (5)'!$C$6:$F$540,"NO ESTA")</f>
        <v>SUMINISTRO E INSTALACIÓN BARRERA DE PROTECCIÓN PARA EVITAR CONTACTO DIRECTO CON TRANSFORMADOR. INCLUYE INDUMENTARIA PARA ASEGURAR LA BARRERA A LA DISTANCIA ADECUADA DEL TRANSFORMADOR</v>
      </c>
      <c r="N419" s="9" t="str">
        <v>UN</v>
      </c>
      <c r="O419" s="9">
        <v>1</v>
      </c>
      <c r="P419" s="9">
        <v>192537</v>
      </c>
      <c r="Q419" s="124" t="str">
        <f t="shared" si="50"/>
        <v>FASE II</v>
      </c>
      <c r="R419" s="155">
        <f t="shared" si="45"/>
        <v>1</v>
      </c>
      <c r="S419" s="156">
        <f t="shared" si="48"/>
        <v>200628</v>
      </c>
      <c r="T419" s="156">
        <f t="shared" si="49"/>
        <v>200628</v>
      </c>
    </row>
    <row r="420" spans="1:20" s="9" customFormat="1" ht="35.1" customHeight="1" x14ac:dyDescent="0.25">
      <c r="A420" s="215"/>
      <c r="B420" s="255" t="s">
        <v>581</v>
      </c>
      <c r="C420" s="254" t="s">
        <v>1225</v>
      </c>
      <c r="D420" s="255" t="s">
        <v>374</v>
      </c>
      <c r="E420" s="242">
        <v>0</v>
      </c>
      <c r="F420" s="242">
        <v>1</v>
      </c>
      <c r="G420" s="242">
        <f t="shared" si="51"/>
        <v>1</v>
      </c>
      <c r="H420" s="243">
        <v>163506</v>
      </c>
      <c r="I420" s="243">
        <f t="shared" si="46"/>
        <v>163506</v>
      </c>
      <c r="J420" s="8"/>
      <c r="K420" s="8">
        <f t="shared" si="44"/>
        <v>163506</v>
      </c>
      <c r="L420" s="8">
        <f t="shared" si="47"/>
        <v>0</v>
      </c>
      <c r="M420" s="9" t="str">
        <f t="array" ref="M420">_xlfn.XLOOKUP(C420,'Neiva 2022 FASE I ACTUAL (5)'!$C$6:$C$540,'Neiva 2022 FASE I ACTUAL (5)'!$C$6:$F$540,"NO ESTA")</f>
        <v>NO ESTA</v>
      </c>
      <c r="Q420" s="124">
        <f t="shared" si="50"/>
        <v>0</v>
      </c>
      <c r="R420" s="155">
        <f t="shared" si="45"/>
        <v>0</v>
      </c>
      <c r="S420" s="156">
        <f t="shared" si="48"/>
        <v>163506</v>
      </c>
      <c r="T420" s="156">
        <f t="shared" si="49"/>
        <v>0</v>
      </c>
    </row>
    <row r="421" spans="1:20" s="9" customFormat="1" ht="35.1" customHeight="1" x14ac:dyDescent="0.25">
      <c r="A421" s="215"/>
      <c r="B421" s="255" t="s">
        <v>583</v>
      </c>
      <c r="C421" s="254" t="s">
        <v>584</v>
      </c>
      <c r="D421" s="255" t="s">
        <v>374</v>
      </c>
      <c r="E421" s="242">
        <v>0</v>
      </c>
      <c r="F421" s="242">
        <v>1</v>
      </c>
      <c r="G421" s="242">
        <f t="shared" si="51"/>
        <v>1</v>
      </c>
      <c r="H421" s="243">
        <v>329572</v>
      </c>
      <c r="I421" s="243">
        <f t="shared" si="46"/>
        <v>329572</v>
      </c>
      <c r="J421" s="8"/>
      <c r="K421" s="8">
        <f t="shared" si="44"/>
        <v>329572</v>
      </c>
      <c r="L421" s="8">
        <f t="shared" si="47"/>
        <v>0</v>
      </c>
      <c r="M421" s="9" t="str">
        <f t="array" ref="M421:P421">_xlfn.XLOOKUP(C421,'Neiva 2022 FASE I ACTUAL (5)'!$C$6:$C$540,'Neiva 2022 FASE I ACTUAL (5)'!$C$6:$F$540,"NO ESTA")</f>
        <v>SUMINISTRO E INSTALACIÓN PASAMUROS DE MEDIA TENSIÓN, PASA MUROS EN PVC INCLUYE OBRAS NECESARIAS PARA LA INSTALACIÓN DE LAS MISMAS (JUEGO)</v>
      </c>
      <c r="N421" s="9" t="str">
        <v>UN</v>
      </c>
      <c r="O421" s="9">
        <v>1</v>
      </c>
      <c r="P421" s="9">
        <v>316281</v>
      </c>
      <c r="Q421" s="124" t="str">
        <f t="shared" si="50"/>
        <v>FASE II</v>
      </c>
      <c r="R421" s="155">
        <f t="shared" si="45"/>
        <v>1</v>
      </c>
      <c r="S421" s="156">
        <f t="shared" si="48"/>
        <v>329572</v>
      </c>
      <c r="T421" s="156">
        <f t="shared" si="49"/>
        <v>329572</v>
      </c>
    </row>
    <row r="422" spans="1:20" s="9" customFormat="1" ht="35.1" customHeight="1" x14ac:dyDescent="0.25">
      <c r="A422" s="215"/>
      <c r="B422" s="255" t="s">
        <v>585</v>
      </c>
      <c r="C422" s="254" t="s">
        <v>586</v>
      </c>
      <c r="D422" s="255" t="s">
        <v>374</v>
      </c>
      <c r="E422" s="242">
        <v>0</v>
      </c>
      <c r="F422" s="242">
        <v>1</v>
      </c>
      <c r="G422" s="242">
        <f t="shared" si="51"/>
        <v>1</v>
      </c>
      <c r="H422" s="243">
        <v>401794</v>
      </c>
      <c r="I422" s="243">
        <f t="shared" si="46"/>
        <v>401794</v>
      </c>
      <c r="J422" s="8"/>
      <c r="K422" s="8">
        <f t="shared" si="44"/>
        <v>401794</v>
      </c>
      <c r="L422" s="8">
        <f t="shared" si="47"/>
        <v>0</v>
      </c>
      <c r="M422" s="9" t="str">
        <f t="array" ref="M422:P422">_xlfn.XLOOKUP(C422,'Neiva 2022 FASE I ACTUAL (5)'!$C$6:$C$540,'Neiva 2022 FASE I ACTUAL (5)'!$C$6:$F$540,"NO ESTA")</f>
        <v>SUMINISTRO E INSTALACIÓN DUCTO DE VENTILACIÓN CON DÁMPER FIRE, INCLUYE REJILLA DAMPER PARA EMERGENCIA</v>
      </c>
      <c r="N422" s="9" t="str">
        <v>UN</v>
      </c>
      <c r="O422" s="9">
        <v>1</v>
      </c>
      <c r="P422" s="9">
        <v>385590</v>
      </c>
      <c r="Q422" s="124" t="str">
        <f t="shared" si="50"/>
        <v>FASE II</v>
      </c>
      <c r="R422" s="155">
        <f t="shared" si="45"/>
        <v>1</v>
      </c>
      <c r="S422" s="156">
        <f t="shared" si="48"/>
        <v>401794</v>
      </c>
      <c r="T422" s="156">
        <f t="shared" si="49"/>
        <v>401794</v>
      </c>
    </row>
    <row r="423" spans="1:20" s="9" customFormat="1" ht="35.1" customHeight="1" x14ac:dyDescent="0.25">
      <c r="A423" s="215"/>
      <c r="B423" s="255" t="s">
        <v>587</v>
      </c>
      <c r="C423" s="254" t="s">
        <v>1226</v>
      </c>
      <c r="D423" s="255" t="s">
        <v>374</v>
      </c>
      <c r="E423" s="242">
        <v>0</v>
      </c>
      <c r="F423" s="242">
        <v>1</v>
      </c>
      <c r="G423" s="242">
        <f t="shared" si="51"/>
        <v>1</v>
      </c>
      <c r="H423" s="243">
        <v>294145</v>
      </c>
      <c r="I423" s="243">
        <f t="shared" si="46"/>
        <v>294145</v>
      </c>
      <c r="J423" s="8"/>
      <c r="K423" s="8">
        <f t="shared" si="44"/>
        <v>294145</v>
      </c>
      <c r="L423" s="8">
        <f t="shared" si="47"/>
        <v>0</v>
      </c>
      <c r="M423" s="9" t="str">
        <f t="array" ref="M423">_xlfn.XLOOKUP(C423,'Neiva 2022 FASE I ACTUAL (5)'!$C$6:$C$540,'Neiva 2022 FASE I ACTUAL (5)'!$C$6:$F$540,"NO ESTA")</f>
        <v>NO ESTA</v>
      </c>
      <c r="Q423" s="124">
        <f t="shared" si="50"/>
        <v>0</v>
      </c>
      <c r="R423" s="155">
        <f t="shared" si="45"/>
        <v>0</v>
      </c>
      <c r="S423" s="156">
        <f t="shared" si="48"/>
        <v>294145</v>
      </c>
      <c r="T423" s="156">
        <f t="shared" si="49"/>
        <v>0</v>
      </c>
    </row>
    <row r="424" spans="1:20" s="9" customFormat="1" ht="35.1" customHeight="1" x14ac:dyDescent="0.25">
      <c r="A424" s="215"/>
      <c r="B424" s="255" t="s">
        <v>589</v>
      </c>
      <c r="C424" s="254" t="s">
        <v>590</v>
      </c>
      <c r="D424" s="255" t="s">
        <v>374</v>
      </c>
      <c r="E424" s="242">
        <v>1</v>
      </c>
      <c r="F424" s="242">
        <v>1</v>
      </c>
      <c r="G424" s="242">
        <f t="shared" si="51"/>
        <v>2</v>
      </c>
      <c r="H424" s="243">
        <v>593180</v>
      </c>
      <c r="I424" s="243">
        <f t="shared" si="46"/>
        <v>1186360</v>
      </c>
      <c r="J424" s="8"/>
      <c r="K424" s="8">
        <f t="shared" si="44"/>
        <v>593180</v>
      </c>
      <c r="L424" s="8">
        <f t="shared" si="47"/>
        <v>593180</v>
      </c>
      <c r="M424" s="9" t="str">
        <f t="array" ref="M424:P424">_xlfn.XLOOKUP(C424,'Neiva 2022 FASE I ACTUAL (5)'!$C$6:$C$540,'Neiva 2022 FASE I ACTUAL (5)'!$C$6:$F$540,"NO ESTA")</f>
        <v>SUMINISTRO E INSTALACIÓN DE DPS (DISPOSITIVO DE PROTECCIÓN CONTRA SOBRETENSIONES)</v>
      </c>
      <c r="N424" s="9" t="str">
        <v>UN</v>
      </c>
      <c r="O424" s="9">
        <v>1</v>
      </c>
      <c r="P424" s="9">
        <v>569258</v>
      </c>
      <c r="Q424" s="124" t="str">
        <f t="shared" si="50"/>
        <v>FASE II</v>
      </c>
      <c r="R424" s="155">
        <f t="shared" si="45"/>
        <v>2</v>
      </c>
      <c r="S424" s="156">
        <f t="shared" si="48"/>
        <v>593180</v>
      </c>
      <c r="T424" s="156">
        <f t="shared" si="49"/>
        <v>1186360</v>
      </c>
    </row>
    <row r="425" spans="1:20" s="9" customFormat="1" ht="35.1" customHeight="1" x14ac:dyDescent="0.25">
      <c r="A425" s="215"/>
      <c r="B425" s="255" t="s">
        <v>591</v>
      </c>
      <c r="C425" s="254" t="s">
        <v>1227</v>
      </c>
      <c r="D425" s="255" t="s">
        <v>374</v>
      </c>
      <c r="E425" s="242">
        <v>0</v>
      </c>
      <c r="F425" s="242">
        <v>1</v>
      </c>
      <c r="G425" s="242">
        <f t="shared" si="51"/>
        <v>1</v>
      </c>
      <c r="H425" s="243">
        <v>19037974</v>
      </c>
      <c r="I425" s="243">
        <f t="shared" si="46"/>
        <v>19037974</v>
      </c>
      <c r="J425" s="8"/>
      <c r="K425" s="8">
        <f t="shared" si="44"/>
        <v>19037974</v>
      </c>
      <c r="L425" s="8">
        <f t="shared" si="47"/>
        <v>0</v>
      </c>
      <c r="M425" s="9" t="str">
        <f t="array" ref="M425">_xlfn.XLOOKUP(C425,'Neiva 2022 FASE I ACTUAL (5)'!$C$6:$C$540,'Neiva 2022 FASE I ACTUAL (5)'!$C$6:$F$540,"NO ESTA")</f>
        <v>NO ESTA</v>
      </c>
      <c r="Q425" s="124">
        <f t="shared" si="50"/>
        <v>0</v>
      </c>
      <c r="R425" s="155">
        <f t="shared" si="45"/>
        <v>0</v>
      </c>
      <c r="S425" s="156">
        <f t="shared" si="48"/>
        <v>19037974</v>
      </c>
      <c r="T425" s="156">
        <f t="shared" si="49"/>
        <v>0</v>
      </c>
    </row>
    <row r="426" spans="1:20" s="9" customFormat="1" ht="35.1" customHeight="1" x14ac:dyDescent="0.25">
      <c r="A426" s="215"/>
      <c r="B426" s="255" t="s">
        <v>593</v>
      </c>
      <c r="C426" s="254" t="s">
        <v>594</v>
      </c>
      <c r="D426" s="255" t="s">
        <v>374</v>
      </c>
      <c r="E426" s="242">
        <v>2</v>
      </c>
      <c r="F426" s="242">
        <v>1</v>
      </c>
      <c r="G426" s="242">
        <f t="shared" si="51"/>
        <v>3</v>
      </c>
      <c r="H426" s="243">
        <v>1513130</v>
      </c>
      <c r="I426" s="243">
        <f t="shared" si="46"/>
        <v>4539390</v>
      </c>
      <c r="J426" s="8"/>
      <c r="K426" s="8">
        <f t="shared" si="44"/>
        <v>1513130</v>
      </c>
      <c r="L426" s="8">
        <f t="shared" si="47"/>
        <v>3026260</v>
      </c>
      <c r="M426" s="9" t="str">
        <f t="array" ref="M426:P426">_xlfn.XLOOKUP(C426,'Neiva 2022 FASE I ACTUAL (5)'!$C$6:$C$540,'Neiva 2022 FASE I ACTUAL (5)'!$C$6:$F$540,"NO ESTA")</f>
        <v xml:space="preserve">SUMINISTRO E INSTALACIÓN CAJA DE INSPECCIÓN SENCILLA CON TAPA EN CONCRETO SEGÚN NORMA CS-276 CODENSA S.A. ESP PARA RED DE MEDIA Y BAJA TENSIÓN. </v>
      </c>
      <c r="N426" s="9" t="str">
        <v>UN</v>
      </c>
      <c r="O426" s="9">
        <v>1</v>
      </c>
      <c r="P426" s="9">
        <v>1452107</v>
      </c>
      <c r="Q426" s="124" t="str">
        <f t="shared" si="50"/>
        <v>FASE II</v>
      </c>
      <c r="R426" s="155">
        <f t="shared" si="45"/>
        <v>3</v>
      </c>
      <c r="S426" s="156">
        <f t="shared" si="48"/>
        <v>1513130</v>
      </c>
      <c r="T426" s="156">
        <f t="shared" si="49"/>
        <v>4539390</v>
      </c>
    </row>
    <row r="427" spans="1:20" s="9" customFormat="1" ht="35.1" customHeight="1" x14ac:dyDescent="0.25">
      <c r="A427" s="215"/>
      <c r="B427" s="289" t="s">
        <v>595</v>
      </c>
      <c r="C427" s="256" t="s">
        <v>596</v>
      </c>
      <c r="D427" s="256"/>
      <c r="E427" s="246"/>
      <c r="F427" s="246"/>
      <c r="G427" s="246"/>
      <c r="H427" s="246"/>
      <c r="I427" s="246"/>
      <c r="J427" s="8"/>
      <c r="K427" s="8">
        <f t="shared" si="44"/>
        <v>0</v>
      </c>
      <c r="L427" s="8">
        <f t="shared" si="47"/>
        <v>0</v>
      </c>
      <c r="M427" s="9" t="str">
        <f t="array" ref="M427:P427">_xlfn.XLOOKUP(C427,'Neiva 2022 FASE I ACTUAL (5)'!$C$6:$C$540,'Neiva 2022 FASE I ACTUAL (5)'!$C$6:$F$540,"NO ESTA")</f>
        <v>SUMINISTRO E INSTALACIÓN ALIMENTADORES ELÉCTRICOS PRINCIPALES</v>
      </c>
      <c r="N427" s="9">
        <v>0</v>
      </c>
      <c r="O427" s="9">
        <v>0</v>
      </c>
      <c r="P427" s="9">
        <v>0</v>
      </c>
      <c r="Q427" s="124">
        <f t="shared" si="50"/>
        <v>0</v>
      </c>
      <c r="R427" s="155">
        <f t="shared" si="45"/>
        <v>0</v>
      </c>
      <c r="S427" s="156">
        <f t="shared" si="48"/>
        <v>0</v>
      </c>
      <c r="T427" s="156">
        <f t="shared" si="49"/>
        <v>0</v>
      </c>
    </row>
    <row r="428" spans="1:20" s="9" customFormat="1" ht="35.1" customHeight="1" x14ac:dyDescent="0.25">
      <c r="A428" s="215"/>
      <c r="B428" s="255" t="s">
        <v>597</v>
      </c>
      <c r="C428" s="254" t="s">
        <v>598</v>
      </c>
      <c r="D428" s="255" t="s">
        <v>269</v>
      </c>
      <c r="E428" s="242">
        <v>0</v>
      </c>
      <c r="F428" s="242">
        <v>20</v>
      </c>
      <c r="G428" s="242">
        <f>+F428+E428</f>
        <v>20</v>
      </c>
      <c r="H428" s="243">
        <v>319734</v>
      </c>
      <c r="I428" s="243">
        <f t="shared" si="46"/>
        <v>6394680</v>
      </c>
      <c r="J428" s="8"/>
      <c r="K428" s="8">
        <f t="shared" si="44"/>
        <v>319734</v>
      </c>
      <c r="L428" s="8">
        <f t="shared" si="47"/>
        <v>0</v>
      </c>
      <c r="M428" s="9" t="str">
        <f t="array" ref="M428:P428">_xlfn.XLOOKUP(C428,'Neiva 2022 FASE I ACTUAL (5)'!$C$6:$C$540,'Neiva 2022 FASE I ACTUAL (5)'!$C$6:$F$540,"NO ESTA")</f>
        <v>SUMINISTRO E INSTALACIÓN INTERCONEXIÓN ENTRE CAJA CS-276 Y CELDA DE MEDIDA CABLE XLPE 15KV T AWG EN TUBERÍA PVC 6".</v>
      </c>
      <c r="N428" s="9" t="str">
        <v xml:space="preserve">ML   </v>
      </c>
      <c r="O428" s="9">
        <v>20</v>
      </c>
      <c r="P428" s="9">
        <v>306841</v>
      </c>
      <c r="Q428" s="124" t="str">
        <f t="shared" si="50"/>
        <v>FASE II</v>
      </c>
      <c r="R428" s="155">
        <f t="shared" si="45"/>
        <v>20</v>
      </c>
      <c r="S428" s="156">
        <f t="shared" si="48"/>
        <v>319734</v>
      </c>
      <c r="T428" s="156">
        <f t="shared" si="49"/>
        <v>6394680</v>
      </c>
    </row>
    <row r="429" spans="1:20" s="9" customFormat="1" ht="35.1" customHeight="1" x14ac:dyDescent="0.25">
      <c r="A429" s="215"/>
      <c r="B429" s="255" t="s">
        <v>599</v>
      </c>
      <c r="C429" s="254" t="s">
        <v>1228</v>
      </c>
      <c r="D429" s="255" t="s">
        <v>269</v>
      </c>
      <c r="E429" s="242">
        <v>0</v>
      </c>
      <c r="F429" s="242">
        <v>6</v>
      </c>
      <c r="G429" s="242">
        <f>+F429+E429</f>
        <v>6</v>
      </c>
      <c r="H429" s="243">
        <v>1180084</v>
      </c>
      <c r="I429" s="243">
        <f t="shared" si="46"/>
        <v>7080504</v>
      </c>
      <c r="J429" s="8"/>
      <c r="K429" s="8">
        <f t="shared" si="44"/>
        <v>1180084</v>
      </c>
      <c r="L429" s="8">
        <f t="shared" si="47"/>
        <v>0</v>
      </c>
      <c r="M429" s="9" t="str">
        <f t="array" ref="M429">_xlfn.XLOOKUP(C429,'Neiva 2022 FASE I ACTUAL (5)'!$C$6:$C$540,'Neiva 2022 FASE I ACTUAL (5)'!$C$6:$F$540,"NO ESTA")</f>
        <v>NO ESTA</v>
      </c>
      <c r="Q429" s="124">
        <f t="shared" si="50"/>
        <v>0</v>
      </c>
      <c r="R429" s="155">
        <f t="shared" si="45"/>
        <v>0</v>
      </c>
      <c r="S429" s="156">
        <f t="shared" si="48"/>
        <v>1180084</v>
      </c>
      <c r="T429" s="156">
        <f t="shared" si="49"/>
        <v>0</v>
      </c>
    </row>
    <row r="430" spans="1:20" s="9" customFormat="1" ht="35.1" customHeight="1" x14ac:dyDescent="0.25">
      <c r="A430" s="215"/>
      <c r="B430" s="255" t="s">
        <v>601</v>
      </c>
      <c r="C430" s="254" t="s">
        <v>1229</v>
      </c>
      <c r="D430" s="255" t="s">
        <v>269</v>
      </c>
      <c r="E430" s="242">
        <v>0</v>
      </c>
      <c r="F430" s="242">
        <v>5</v>
      </c>
      <c r="G430" s="242">
        <f>+F430+E430</f>
        <v>5</v>
      </c>
      <c r="H430" s="243">
        <v>1241508</v>
      </c>
      <c r="I430" s="243">
        <f t="shared" si="46"/>
        <v>6207540</v>
      </c>
      <c r="J430" s="8"/>
      <c r="K430" s="8">
        <f t="shared" si="44"/>
        <v>1241508</v>
      </c>
      <c r="L430" s="8">
        <f t="shared" si="47"/>
        <v>0</v>
      </c>
      <c r="M430" s="9" t="str">
        <f t="array" ref="M430">_xlfn.XLOOKUP(C430,'Neiva 2022 FASE I ACTUAL (5)'!$C$6:$C$540,'Neiva 2022 FASE I ACTUAL (5)'!$C$6:$F$540,"NO ESTA")</f>
        <v>NO ESTA</v>
      </c>
      <c r="Q430" s="124">
        <f t="shared" si="50"/>
        <v>0</v>
      </c>
      <c r="R430" s="155">
        <f t="shared" si="45"/>
        <v>0</v>
      </c>
      <c r="S430" s="156">
        <f t="shared" si="48"/>
        <v>1241508</v>
      </c>
      <c r="T430" s="156">
        <f t="shared" si="49"/>
        <v>0</v>
      </c>
    </row>
    <row r="431" spans="1:20" s="9" customFormat="1" ht="35.1" customHeight="1" x14ac:dyDescent="0.25">
      <c r="A431" s="215"/>
      <c r="B431" s="289" t="s">
        <v>603</v>
      </c>
      <c r="C431" s="256" t="s">
        <v>596</v>
      </c>
      <c r="D431" s="256"/>
      <c r="E431" s="246"/>
      <c r="F431" s="246"/>
      <c r="G431" s="246"/>
      <c r="H431" s="246"/>
      <c r="I431" s="246"/>
      <c r="J431" s="8"/>
      <c r="K431" s="8">
        <f t="shared" si="44"/>
        <v>0</v>
      </c>
      <c r="L431" s="8">
        <f t="shared" si="47"/>
        <v>0</v>
      </c>
      <c r="M431" s="9" t="str">
        <f t="array" ref="M431:P431">_xlfn.XLOOKUP(C431,'Neiva 2022 FASE I ACTUAL (5)'!$C$6:$C$540,'Neiva 2022 FASE I ACTUAL (5)'!$C$6:$F$540,"NO ESTA")</f>
        <v>SUMINISTRO E INSTALACIÓN ALIMENTADORES ELÉCTRICOS PRINCIPALES</v>
      </c>
      <c r="N431" s="9">
        <v>0</v>
      </c>
      <c r="O431" s="9">
        <v>0</v>
      </c>
      <c r="P431" s="9">
        <v>0</v>
      </c>
      <c r="Q431" s="124">
        <f t="shared" si="50"/>
        <v>0</v>
      </c>
      <c r="R431" s="155">
        <f t="shared" si="45"/>
        <v>0</v>
      </c>
      <c r="S431" s="156">
        <f t="shared" si="48"/>
        <v>0</v>
      </c>
      <c r="T431" s="156">
        <f t="shared" si="49"/>
        <v>0</v>
      </c>
    </row>
    <row r="432" spans="1:20" s="9" customFormat="1" ht="35.1" customHeight="1" x14ac:dyDescent="0.25">
      <c r="A432" s="215"/>
      <c r="B432" s="255" t="s">
        <v>604</v>
      </c>
      <c r="C432" s="254" t="s">
        <v>605</v>
      </c>
      <c r="D432" s="255" t="s">
        <v>269</v>
      </c>
      <c r="E432" s="242">
        <v>0</v>
      </c>
      <c r="F432" s="242">
        <v>8</v>
      </c>
      <c r="G432" s="242">
        <f>+F432+E432</f>
        <v>8</v>
      </c>
      <c r="H432" s="243">
        <v>193851</v>
      </c>
      <c r="I432" s="243">
        <f t="shared" si="46"/>
        <v>1550808</v>
      </c>
      <c r="J432" s="8"/>
      <c r="K432" s="8">
        <f t="shared" si="44"/>
        <v>193851</v>
      </c>
      <c r="L432" s="8">
        <f t="shared" si="47"/>
        <v>0</v>
      </c>
      <c r="M432" s="9" t="str">
        <f t="array" ref="M432:P432">_xlfn.XLOOKUP(C432,'Neiva 2022 FASE I ACTUAL (5)'!$C$6:$C$540,'Neiva 2022 FASE I ACTUAL (5)'!$C$6:$F$540,"NO ESTA")</f>
        <v>SUMINISTRO E INSTALACIÓN ALIMENTADOR DESDE TRANSFERENCIA HASTA TABLERO GENERAL DE MAQUINAS EN 3#4/0+1#4/0N+1#2T AWG EN BANDEJA PORTA CABLES</v>
      </c>
      <c r="N432" s="9" t="str">
        <v xml:space="preserve">ML   </v>
      </c>
      <c r="O432" s="9">
        <v>8</v>
      </c>
      <c r="P432" s="9">
        <v>186035</v>
      </c>
      <c r="Q432" s="124" t="str">
        <f t="shared" si="50"/>
        <v>FASE II</v>
      </c>
      <c r="R432" s="155">
        <f t="shared" si="45"/>
        <v>8</v>
      </c>
      <c r="S432" s="156">
        <f t="shared" si="48"/>
        <v>193851</v>
      </c>
      <c r="T432" s="156">
        <f t="shared" si="49"/>
        <v>1550808</v>
      </c>
    </row>
    <row r="433" spans="1:20" s="9" customFormat="1" ht="35.1" customHeight="1" x14ac:dyDescent="0.25">
      <c r="A433" s="215"/>
      <c r="B433" s="255" t="s">
        <v>606</v>
      </c>
      <c r="C433" s="254" t="s">
        <v>607</v>
      </c>
      <c r="D433" s="255" t="s">
        <v>269</v>
      </c>
      <c r="E433" s="242">
        <v>0</v>
      </c>
      <c r="F433" s="242">
        <v>52</v>
      </c>
      <c r="G433" s="242">
        <f t="shared" ref="G433:G450" si="52">+F433+E433</f>
        <v>52</v>
      </c>
      <c r="H433" s="243">
        <v>62264</v>
      </c>
      <c r="I433" s="243">
        <f t="shared" si="46"/>
        <v>3237728</v>
      </c>
      <c r="J433" s="8"/>
      <c r="K433" s="8">
        <f t="shared" ref="K433:K496" si="53">+ROUND(H433*(1+$K$4),0)</f>
        <v>62264</v>
      </c>
      <c r="L433" s="8">
        <f t="shared" si="47"/>
        <v>0</v>
      </c>
      <c r="M433" s="9" t="str">
        <f t="array" ref="M433:P433">_xlfn.XLOOKUP(C433,'Neiva 2022 FASE I ACTUAL (5)'!$C$6:$C$540,'Neiva 2022 FASE I ACTUAL (5)'!$C$6:$F$540,"NO ESTA")</f>
        <v>SUMINISTRO E INSTALACIÓN ALIMENTADOR DESDE EL TABLERO GENERAL MAQUINAS HASTA EL TABLERO DE ASCENSOR EN 3#6+1#6N+1#8T AWG EN TUBERIA PVC ø 1 1/2" INCLUYENDO DE TERMINALES DE CONEXIÓN</v>
      </c>
      <c r="N433" s="9" t="str">
        <v xml:space="preserve">ML   </v>
      </c>
      <c r="O433" s="9">
        <v>52</v>
      </c>
      <c r="P433" s="9">
        <v>59752</v>
      </c>
      <c r="Q433" s="124" t="str">
        <f t="shared" si="50"/>
        <v>FASE II</v>
      </c>
      <c r="R433" s="155">
        <f t="shared" si="45"/>
        <v>52</v>
      </c>
      <c r="S433" s="156">
        <f t="shared" si="48"/>
        <v>62264</v>
      </c>
      <c r="T433" s="156">
        <f t="shared" si="49"/>
        <v>3237728</v>
      </c>
    </row>
    <row r="434" spans="1:20" s="9" customFormat="1" ht="35.1" customHeight="1" x14ac:dyDescent="0.25">
      <c r="A434" s="215"/>
      <c r="B434" s="255" t="s">
        <v>608</v>
      </c>
      <c r="C434" s="254" t="s">
        <v>609</v>
      </c>
      <c r="D434" s="255" t="s">
        <v>269</v>
      </c>
      <c r="E434" s="242">
        <v>0</v>
      </c>
      <c r="F434" s="242">
        <v>106</v>
      </c>
      <c r="G434" s="242">
        <f t="shared" si="52"/>
        <v>106</v>
      </c>
      <c r="H434" s="243">
        <v>62264</v>
      </c>
      <c r="I434" s="243">
        <f t="shared" si="46"/>
        <v>6599984</v>
      </c>
      <c r="J434" s="8"/>
      <c r="K434" s="8">
        <f t="shared" si="53"/>
        <v>62264</v>
      </c>
      <c r="L434" s="8">
        <f t="shared" si="47"/>
        <v>0</v>
      </c>
      <c r="M434" s="9" t="str">
        <f t="array" ref="M434:P434">_xlfn.XLOOKUP(C434,'Neiva 2022 FASE I ACTUAL (5)'!$C$6:$C$540,'Neiva 2022 FASE I ACTUAL (5)'!$C$6:$F$540,"NO ESTA")</f>
        <v>SUMINISTRO E INSTALACIÓN ALIMENTADOR DESDE EL TABLERO GENERAL MAQUINAS HASTA EL TABLERO NORMAL BOMBAS EN 3#6+1#6N+1#8T AWG EN TUBERIA PVC 1 ø 1 1/2" INCLUYENDO DE TERMINALES DE CONEXIÓN</v>
      </c>
      <c r="N434" s="9" t="str">
        <v xml:space="preserve">ML   </v>
      </c>
      <c r="O434" s="9">
        <v>106</v>
      </c>
      <c r="P434" s="9">
        <v>59752</v>
      </c>
      <c r="Q434" s="124" t="str">
        <f t="shared" si="50"/>
        <v>FASE II</v>
      </c>
      <c r="R434" s="155">
        <f t="shared" si="45"/>
        <v>106</v>
      </c>
      <c r="S434" s="156">
        <f t="shared" si="48"/>
        <v>62264</v>
      </c>
      <c r="T434" s="156">
        <f t="shared" si="49"/>
        <v>6599984</v>
      </c>
    </row>
    <row r="435" spans="1:20" s="9" customFormat="1" ht="35.1" customHeight="1" x14ac:dyDescent="0.25">
      <c r="A435" s="215"/>
      <c r="B435" s="255" t="s">
        <v>610</v>
      </c>
      <c r="C435" s="254" t="s">
        <v>611</v>
      </c>
      <c r="D435" s="255" t="s">
        <v>269</v>
      </c>
      <c r="E435" s="242">
        <v>0</v>
      </c>
      <c r="F435" s="242">
        <v>5</v>
      </c>
      <c r="G435" s="242">
        <f t="shared" si="52"/>
        <v>5</v>
      </c>
      <c r="H435" s="243">
        <v>364016</v>
      </c>
      <c r="I435" s="243">
        <f t="shared" si="46"/>
        <v>1820080</v>
      </c>
      <c r="J435" s="8"/>
      <c r="K435" s="8">
        <f t="shared" si="53"/>
        <v>364016</v>
      </c>
      <c r="L435" s="8">
        <f t="shared" si="47"/>
        <v>0</v>
      </c>
      <c r="M435" s="9" t="str">
        <f t="array" ref="M435:P435">_xlfn.XLOOKUP(C435,'Neiva 2022 FASE I ACTUAL (5)'!$C$6:$C$540,'Neiva 2022 FASE I ACTUAL (5)'!$C$6:$F$540,"NO ESTA")</f>
        <v>SUMINISTRO E INSTALACIÓN ALIMENTADOR DESDE TRANSFERENCIA HASTA EL TABLERO GENERAL DE DISTRIBUCIÓN EN 6#4/0+2#4/0N+1#4T EN BANDEJA PORTACABLES</v>
      </c>
      <c r="N435" s="9" t="str">
        <v xml:space="preserve">ML   </v>
      </c>
      <c r="O435" s="9">
        <v>5</v>
      </c>
      <c r="P435" s="9">
        <v>349335</v>
      </c>
      <c r="Q435" s="124" t="str">
        <f t="shared" si="50"/>
        <v>FASE II</v>
      </c>
      <c r="R435" s="155">
        <f t="shared" si="45"/>
        <v>5</v>
      </c>
      <c r="S435" s="156">
        <f t="shared" si="48"/>
        <v>364016</v>
      </c>
      <c r="T435" s="156">
        <f t="shared" si="49"/>
        <v>1820080</v>
      </c>
    </row>
    <row r="436" spans="1:20" s="9" customFormat="1" ht="35.1" customHeight="1" x14ac:dyDescent="0.25">
      <c r="A436" s="215"/>
      <c r="B436" s="255" t="s">
        <v>612</v>
      </c>
      <c r="C436" s="254" t="s">
        <v>613</v>
      </c>
      <c r="D436" s="255" t="s">
        <v>269</v>
      </c>
      <c r="E436" s="242">
        <v>0</v>
      </c>
      <c r="F436" s="242">
        <v>6</v>
      </c>
      <c r="G436" s="242">
        <f t="shared" si="52"/>
        <v>6</v>
      </c>
      <c r="H436" s="243">
        <v>62264</v>
      </c>
      <c r="I436" s="243">
        <f t="shared" si="46"/>
        <v>373584</v>
      </c>
      <c r="J436" s="8"/>
      <c r="K436" s="8">
        <f t="shared" si="53"/>
        <v>62264</v>
      </c>
      <c r="L436" s="8">
        <f t="shared" si="47"/>
        <v>0</v>
      </c>
      <c r="M436" s="9" t="str">
        <f t="array" ref="M436:P436">_xlfn.XLOOKUP(C436,'Neiva 2022 FASE I ACTUAL (5)'!$C$6:$C$540,'Neiva 2022 FASE I ACTUAL (5)'!$C$6:$F$540,"NO ESTA")</f>
        <v>SUMINISTRO E INSTALACIÓN ALIMENTADOR DESDE EL TABLERO GENERAL DE DISTRIBUCIÓN HASTA EL TNS SOTANO POR CARCAMO CON 3#6+1#6N+1#8T AWG INCLUYE TERMINALES DE CONEXIÓN</v>
      </c>
      <c r="N436" s="9" t="str">
        <v xml:space="preserve">ML   </v>
      </c>
      <c r="O436" s="9">
        <v>6</v>
      </c>
      <c r="P436" s="9">
        <v>59752</v>
      </c>
      <c r="Q436" s="124" t="str">
        <f t="shared" si="50"/>
        <v>FASE II</v>
      </c>
      <c r="R436" s="155">
        <f t="shared" si="45"/>
        <v>6</v>
      </c>
      <c r="S436" s="156">
        <f t="shared" si="48"/>
        <v>62264</v>
      </c>
      <c r="T436" s="156">
        <f t="shared" si="49"/>
        <v>373584</v>
      </c>
    </row>
    <row r="437" spans="1:20" s="9" customFormat="1" ht="35.1" customHeight="1" x14ac:dyDescent="0.25">
      <c r="A437" s="215"/>
      <c r="B437" s="255" t="s">
        <v>614</v>
      </c>
      <c r="C437" s="254" t="s">
        <v>615</v>
      </c>
      <c r="D437" s="255" t="s">
        <v>269</v>
      </c>
      <c r="E437" s="242">
        <v>0</v>
      </c>
      <c r="F437" s="242">
        <v>60</v>
      </c>
      <c r="G437" s="242">
        <f t="shared" si="52"/>
        <v>60</v>
      </c>
      <c r="H437" s="243">
        <v>130765</v>
      </c>
      <c r="I437" s="243">
        <f t="shared" si="46"/>
        <v>7845900</v>
      </c>
      <c r="J437" s="8"/>
      <c r="K437" s="8">
        <f t="shared" si="53"/>
        <v>130765</v>
      </c>
      <c r="L437" s="8">
        <f t="shared" si="47"/>
        <v>0</v>
      </c>
      <c r="M437" s="9" t="str">
        <f t="array" ref="M437:P437">_xlfn.XLOOKUP(C437,'Neiva 2022 FASE I ACTUAL (5)'!$C$6:$C$540,'Neiva 2022 FASE I ACTUAL (5)'!$C$6:$F$540,"NO ESTA")</f>
        <v>SUMINISTRO E INSTALACIÓN ALIMENTADOR DESDE EL TABLERO GENERAL DE DISTRIBUCIÓN HASTA EL TNP1 PISO 1 EN 1 ø 2" CON 3#2/0+1#2/0N+1#4T AWG INCLUYE TERMINALES DE CONEXIÓN</v>
      </c>
      <c r="N437" s="9" t="str">
        <v xml:space="preserve">ML   </v>
      </c>
      <c r="O437" s="9">
        <v>60</v>
      </c>
      <c r="P437" s="9">
        <v>125491</v>
      </c>
      <c r="Q437" s="124" t="str">
        <f t="shared" si="50"/>
        <v>FASE II</v>
      </c>
      <c r="R437" s="155">
        <f t="shared" si="45"/>
        <v>60</v>
      </c>
      <c r="S437" s="156">
        <f t="shared" si="48"/>
        <v>130765</v>
      </c>
      <c r="T437" s="156">
        <f t="shared" si="49"/>
        <v>7845900</v>
      </c>
    </row>
    <row r="438" spans="1:20" s="9" customFormat="1" ht="35.1" customHeight="1" x14ac:dyDescent="0.25">
      <c r="A438" s="215"/>
      <c r="B438" s="255" t="s">
        <v>616</v>
      </c>
      <c r="C438" s="254" t="s">
        <v>617</v>
      </c>
      <c r="D438" s="255" t="s">
        <v>269</v>
      </c>
      <c r="E438" s="242">
        <v>0</v>
      </c>
      <c r="F438" s="242">
        <v>64</v>
      </c>
      <c r="G438" s="242">
        <f t="shared" si="52"/>
        <v>64</v>
      </c>
      <c r="H438" s="243">
        <v>193530</v>
      </c>
      <c r="I438" s="243">
        <f t="shared" si="46"/>
        <v>12385920</v>
      </c>
      <c r="J438" s="8"/>
      <c r="K438" s="8">
        <f t="shared" si="53"/>
        <v>193530</v>
      </c>
      <c r="L438" s="8">
        <f t="shared" si="47"/>
        <v>0</v>
      </c>
      <c r="M438" s="9" t="str">
        <f t="array" ref="M438:P438">_xlfn.XLOOKUP(C438,'Neiva 2022 FASE I ACTUAL (5)'!$C$6:$C$540,'Neiva 2022 FASE I ACTUAL (5)'!$C$6:$F$540,"NO ESTA")</f>
        <v>SUMINISTRO E INSTALACIÓN ALIMENTADOR DESDE EL TABLERO GENERAL DE DISTRIBUCIÓN HASTA EL TNP2 PISO 2 EN 1 ø 3" CON 3#4/0+1#2/0N+1#4T AWG INCLUYE TERMINALES DE CONEXIÓN</v>
      </c>
      <c r="N438" s="9" t="str">
        <v xml:space="preserve">ML   </v>
      </c>
      <c r="O438" s="9">
        <v>64</v>
      </c>
      <c r="P438" s="9">
        <v>185726</v>
      </c>
      <c r="Q438" s="124" t="str">
        <f t="shared" si="50"/>
        <v>FASE II</v>
      </c>
      <c r="R438" s="155">
        <f t="shared" si="45"/>
        <v>64</v>
      </c>
      <c r="S438" s="156">
        <f t="shared" si="48"/>
        <v>193530</v>
      </c>
      <c r="T438" s="156">
        <f t="shared" si="49"/>
        <v>12385920</v>
      </c>
    </row>
    <row r="439" spans="1:20" s="9" customFormat="1" ht="35.1" customHeight="1" x14ac:dyDescent="0.25">
      <c r="A439" s="215"/>
      <c r="B439" s="255" t="s">
        <v>618</v>
      </c>
      <c r="C439" s="254" t="s">
        <v>619</v>
      </c>
      <c r="D439" s="255" t="s">
        <v>269</v>
      </c>
      <c r="E439" s="242">
        <v>0</v>
      </c>
      <c r="F439" s="242">
        <v>68</v>
      </c>
      <c r="G439" s="242">
        <f t="shared" si="52"/>
        <v>68</v>
      </c>
      <c r="H439" s="243">
        <v>193530</v>
      </c>
      <c r="I439" s="243">
        <f t="shared" si="46"/>
        <v>13160040</v>
      </c>
      <c r="J439" s="8"/>
      <c r="K439" s="8">
        <f t="shared" si="53"/>
        <v>193530</v>
      </c>
      <c r="L439" s="8">
        <f t="shared" si="47"/>
        <v>0</v>
      </c>
      <c r="M439" s="9" t="str">
        <f t="array" ref="M439:P439">_xlfn.XLOOKUP(C439,'Neiva 2022 FASE I ACTUAL (5)'!$C$6:$C$540,'Neiva 2022 FASE I ACTUAL (5)'!$C$6:$F$540,"NO ESTA")</f>
        <v>SUMINISTRO E INSTALACIÓN ALIMENTADOR DESDE EL TABLERO GENERAL DE DISTRIBUCIÓN HASTA EL TNP3 PISO 3 EN 1 ø 3" CON 3#4/0+1#2/0N+1#4T AWG INCLUYE TERMINALES DE CONEXIÓN</v>
      </c>
      <c r="N439" s="9" t="str">
        <v xml:space="preserve">ML   </v>
      </c>
      <c r="O439" s="9">
        <v>68</v>
      </c>
      <c r="P439" s="9">
        <v>185726</v>
      </c>
      <c r="Q439" s="124" t="str">
        <f t="shared" si="50"/>
        <v>FASE II</v>
      </c>
      <c r="R439" s="155">
        <f t="shared" si="45"/>
        <v>68</v>
      </c>
      <c r="S439" s="156">
        <f t="shared" si="48"/>
        <v>193530</v>
      </c>
      <c r="T439" s="156">
        <f t="shared" si="49"/>
        <v>13160040</v>
      </c>
    </row>
    <row r="440" spans="1:20" s="9" customFormat="1" ht="35.1" customHeight="1" x14ac:dyDescent="0.25">
      <c r="A440" s="215"/>
      <c r="B440" s="255" t="s">
        <v>620</v>
      </c>
      <c r="C440" s="254" t="s">
        <v>621</v>
      </c>
      <c r="D440" s="255" t="s">
        <v>269</v>
      </c>
      <c r="E440" s="242">
        <v>0</v>
      </c>
      <c r="F440" s="242">
        <v>72</v>
      </c>
      <c r="G440" s="242">
        <f t="shared" si="52"/>
        <v>72</v>
      </c>
      <c r="H440" s="243">
        <v>193530</v>
      </c>
      <c r="I440" s="243">
        <f t="shared" si="46"/>
        <v>13934160</v>
      </c>
      <c r="J440" s="8"/>
      <c r="K440" s="8">
        <f t="shared" si="53"/>
        <v>193530</v>
      </c>
      <c r="L440" s="8">
        <f t="shared" si="47"/>
        <v>0</v>
      </c>
      <c r="M440" s="9" t="str">
        <f t="array" ref="M440:P440">_xlfn.XLOOKUP(C440,'Neiva 2022 FASE I ACTUAL (5)'!$C$6:$C$540,'Neiva 2022 FASE I ACTUAL (5)'!$C$6:$F$540,"NO ESTA")</f>
        <v>SUMINISTRO E INSTALACIÓN ALIMENTADOR DESDE EL TABLERO GENERAL DE DISTRIBUCIÓN HASTA EL TNP3 PISO 4 EN 1 Ø 3" CON 3#4/0+1#2/0N+1#4T AWG INCLUYE TERMINALES DE CONEXIÓN</v>
      </c>
      <c r="N440" s="9" t="str">
        <v xml:space="preserve">ML   </v>
      </c>
      <c r="O440" s="9">
        <v>72</v>
      </c>
      <c r="P440" s="9">
        <v>185726</v>
      </c>
      <c r="Q440" s="124" t="str">
        <f t="shared" si="50"/>
        <v>FASE II</v>
      </c>
      <c r="R440" s="155">
        <f t="shared" si="45"/>
        <v>72</v>
      </c>
      <c r="S440" s="156">
        <f t="shared" si="48"/>
        <v>193530</v>
      </c>
      <c r="T440" s="156">
        <f t="shared" si="49"/>
        <v>13934160</v>
      </c>
    </row>
    <row r="441" spans="1:20" s="9" customFormat="1" ht="35.1" customHeight="1" x14ac:dyDescent="0.25">
      <c r="A441" s="215"/>
      <c r="B441" s="255" t="s">
        <v>622</v>
      </c>
      <c r="C441" s="254" t="s">
        <v>623</v>
      </c>
      <c r="D441" s="255" t="s">
        <v>269</v>
      </c>
      <c r="E441" s="242">
        <v>0</v>
      </c>
      <c r="F441" s="242">
        <v>60</v>
      </c>
      <c r="G441" s="242">
        <f t="shared" si="52"/>
        <v>60</v>
      </c>
      <c r="H441" s="243">
        <v>173556</v>
      </c>
      <c r="I441" s="243">
        <f t="shared" si="46"/>
        <v>10413360</v>
      </c>
      <c r="J441" s="8"/>
      <c r="K441" s="8">
        <f t="shared" si="53"/>
        <v>173556</v>
      </c>
      <c r="L441" s="8">
        <f t="shared" si="47"/>
        <v>0</v>
      </c>
      <c r="M441" s="9" t="str">
        <f t="array" ref="M441:P441">_xlfn.XLOOKUP(C441,'Neiva 2022 FASE I ACTUAL (5)'!$C$6:$C$540,'Neiva 2022 FASE I ACTUAL (5)'!$C$6:$F$540,"NO ESTA")</f>
        <v xml:space="preserve">SUMINISTRO E INSTALACIÓNALIMENTADOR DESDE EL TABLERO GENERAL DE DISTRIBUCIÓN HASTA LA UPS1 PISO 1 EN 1 Ø 2" con 3#3/0+1#2/0N+1#2/OT AWG INCLUYENDO TERMINALES DE CONEXIÓN </v>
      </c>
      <c r="N441" s="9" t="str">
        <v xml:space="preserve">ML   </v>
      </c>
      <c r="O441" s="9">
        <v>60</v>
      </c>
      <c r="P441" s="9">
        <v>166558</v>
      </c>
      <c r="Q441" s="124" t="str">
        <f t="shared" si="50"/>
        <v>FASE II</v>
      </c>
      <c r="R441" s="155">
        <f t="shared" si="45"/>
        <v>60</v>
      </c>
      <c r="S441" s="156">
        <f t="shared" si="48"/>
        <v>173556</v>
      </c>
      <c r="T441" s="156">
        <f t="shared" si="49"/>
        <v>10413360</v>
      </c>
    </row>
    <row r="442" spans="1:20" s="9" customFormat="1" ht="35.1" customHeight="1" x14ac:dyDescent="0.25">
      <c r="A442" s="215"/>
      <c r="B442" s="255" t="s">
        <v>624</v>
      </c>
      <c r="C442" s="254" t="s">
        <v>625</v>
      </c>
      <c r="D442" s="255" t="s">
        <v>269</v>
      </c>
      <c r="E442" s="242">
        <v>0</v>
      </c>
      <c r="F442" s="242">
        <v>7</v>
      </c>
      <c r="G442" s="242">
        <f t="shared" si="52"/>
        <v>7</v>
      </c>
      <c r="H442" s="243">
        <v>101268</v>
      </c>
      <c r="I442" s="243">
        <f t="shared" si="46"/>
        <v>708876</v>
      </c>
      <c r="J442" s="8"/>
      <c r="K442" s="8">
        <f t="shared" si="53"/>
        <v>101268</v>
      </c>
      <c r="L442" s="8">
        <f t="shared" si="47"/>
        <v>0</v>
      </c>
      <c r="M442" s="9" t="str">
        <f t="array" ref="M442:P442">_xlfn.XLOOKUP(C442,'Neiva 2022 FASE I ACTUAL (5)'!$C$6:$C$540,'Neiva 2022 FASE I ACTUAL (5)'!$C$6:$F$540,"NO ESTA")</f>
        <v xml:space="preserve">SUMINISTRO E INSTALACIÓN ALIMENTADOR DESDE UPS1 HASTA EL TABLERO REGULADO 1 PISO 1 EN 1 Ø 2" con 3#2+1#2N+1#8T AWG INCLUYENDO TERMINALES DE CONEXIÓN </v>
      </c>
      <c r="N442" s="9" t="str">
        <v xml:space="preserve">ML   </v>
      </c>
      <c r="O442" s="9">
        <v>7</v>
      </c>
      <c r="P442" s="9">
        <v>97183</v>
      </c>
      <c r="Q442" s="124" t="str">
        <f t="shared" si="50"/>
        <v>FASE II</v>
      </c>
      <c r="R442" s="155">
        <f t="shared" si="45"/>
        <v>7</v>
      </c>
      <c r="S442" s="156">
        <f t="shared" si="48"/>
        <v>101268</v>
      </c>
      <c r="T442" s="156">
        <f t="shared" si="49"/>
        <v>708876</v>
      </c>
    </row>
    <row r="443" spans="1:20" s="9" customFormat="1" ht="35.1" customHeight="1" x14ac:dyDescent="0.25">
      <c r="A443" s="215"/>
      <c r="B443" s="255" t="s">
        <v>1230</v>
      </c>
      <c r="C443" s="254" t="s">
        <v>1231</v>
      </c>
      <c r="D443" s="255" t="s">
        <v>269</v>
      </c>
      <c r="E443" s="242">
        <v>72</v>
      </c>
      <c r="F443" s="242"/>
      <c r="G443" s="242">
        <f t="shared" si="52"/>
        <v>72</v>
      </c>
      <c r="H443" s="243">
        <v>173628</v>
      </c>
      <c r="I443" s="243">
        <f t="shared" si="46"/>
        <v>12501216</v>
      </c>
      <c r="J443" s="8"/>
      <c r="K443" s="8">
        <f t="shared" si="53"/>
        <v>173628</v>
      </c>
      <c r="L443" s="8">
        <f t="shared" si="47"/>
        <v>12501216</v>
      </c>
      <c r="M443" s="9" t="str">
        <f t="array" ref="M443">_xlfn.XLOOKUP(C443,'Neiva 2022 FASE I ACTUAL (5)'!$C$6:$C$540,'Neiva 2022 FASE I ACTUAL (5)'!$C$6:$F$540,"NO ESTA")</f>
        <v>NO ESTA</v>
      </c>
      <c r="Q443" s="124">
        <f t="shared" si="50"/>
        <v>0</v>
      </c>
      <c r="R443" s="155">
        <f t="shared" si="45"/>
        <v>72</v>
      </c>
      <c r="S443" s="156">
        <f t="shared" si="48"/>
        <v>173628</v>
      </c>
      <c r="T443" s="156">
        <f t="shared" si="49"/>
        <v>12501216</v>
      </c>
    </row>
    <row r="444" spans="1:20" s="9" customFormat="1" ht="35.1" customHeight="1" x14ac:dyDescent="0.25">
      <c r="A444" s="215"/>
      <c r="B444" s="255" t="s">
        <v>1232</v>
      </c>
      <c r="C444" s="254" t="s">
        <v>1233</v>
      </c>
      <c r="D444" s="255" t="s">
        <v>269</v>
      </c>
      <c r="E444" s="242">
        <v>7</v>
      </c>
      <c r="F444" s="242"/>
      <c r="G444" s="242">
        <f t="shared" si="52"/>
        <v>7</v>
      </c>
      <c r="H444" s="243">
        <v>101268</v>
      </c>
      <c r="I444" s="243">
        <f t="shared" si="46"/>
        <v>708876</v>
      </c>
      <c r="J444" s="8"/>
      <c r="K444" s="8">
        <f t="shared" si="53"/>
        <v>101268</v>
      </c>
      <c r="L444" s="8">
        <f t="shared" si="47"/>
        <v>708876</v>
      </c>
      <c r="M444" s="9" t="str">
        <f t="array" ref="M444">_xlfn.XLOOKUP(C444,'Neiva 2022 FASE I ACTUAL (5)'!$C$6:$C$540,'Neiva 2022 FASE I ACTUAL (5)'!$C$6:$F$540,"NO ESTA")</f>
        <v>NO ESTA</v>
      </c>
      <c r="Q444" s="124">
        <f t="shared" si="50"/>
        <v>0</v>
      </c>
      <c r="R444" s="155">
        <f t="shared" si="45"/>
        <v>7</v>
      </c>
      <c r="S444" s="156">
        <f t="shared" si="48"/>
        <v>101268</v>
      </c>
      <c r="T444" s="156">
        <f t="shared" si="49"/>
        <v>708876</v>
      </c>
    </row>
    <row r="445" spans="1:20" s="9" customFormat="1" ht="35.1" customHeight="1" x14ac:dyDescent="0.25">
      <c r="A445" s="215"/>
      <c r="B445" s="255" t="s">
        <v>1234</v>
      </c>
      <c r="C445" s="254" t="s">
        <v>1235</v>
      </c>
      <c r="D445" s="255" t="s">
        <v>269</v>
      </c>
      <c r="E445" s="242">
        <v>76</v>
      </c>
      <c r="F445" s="242"/>
      <c r="G445" s="242">
        <f t="shared" si="52"/>
        <v>76</v>
      </c>
      <c r="H445" s="243">
        <v>481509</v>
      </c>
      <c r="I445" s="243">
        <f t="shared" si="46"/>
        <v>36594684</v>
      </c>
      <c r="J445" s="8"/>
      <c r="K445" s="8">
        <f t="shared" si="53"/>
        <v>481509</v>
      </c>
      <c r="L445" s="8">
        <f t="shared" si="47"/>
        <v>36594684</v>
      </c>
      <c r="M445" s="9" t="str">
        <f t="array" ref="M445">_xlfn.XLOOKUP(C445,'Neiva 2022 FASE I ACTUAL (5)'!$C$6:$C$540,'Neiva 2022 FASE I ACTUAL (5)'!$C$6:$F$540,"NO ESTA")</f>
        <v>NO ESTA</v>
      </c>
      <c r="Q445" s="124">
        <f t="shared" si="50"/>
        <v>0</v>
      </c>
      <c r="R445" s="155">
        <f t="shared" si="45"/>
        <v>76</v>
      </c>
      <c r="S445" s="156">
        <f t="shared" si="48"/>
        <v>481509</v>
      </c>
      <c r="T445" s="156">
        <f t="shared" si="49"/>
        <v>36594684</v>
      </c>
    </row>
    <row r="446" spans="1:20" s="9" customFormat="1" ht="35.1" customHeight="1" x14ac:dyDescent="0.25">
      <c r="A446" s="215"/>
      <c r="B446" s="255" t="s">
        <v>1236</v>
      </c>
      <c r="C446" s="254" t="s">
        <v>1237</v>
      </c>
      <c r="D446" s="255" t="s">
        <v>269</v>
      </c>
      <c r="E446" s="242">
        <v>76</v>
      </c>
      <c r="F446" s="242"/>
      <c r="G446" s="242">
        <f t="shared" si="52"/>
        <v>76</v>
      </c>
      <c r="H446" s="243">
        <v>481509</v>
      </c>
      <c r="I446" s="243">
        <f t="shared" si="46"/>
        <v>36594684</v>
      </c>
      <c r="J446" s="8"/>
      <c r="K446" s="8">
        <f t="shared" si="53"/>
        <v>481509</v>
      </c>
      <c r="L446" s="8">
        <f t="shared" si="47"/>
        <v>36594684</v>
      </c>
      <c r="M446" s="9" t="str">
        <f t="array" ref="M446">_xlfn.XLOOKUP(C446,'Neiva 2022 FASE I ACTUAL (5)'!$C$6:$C$540,'Neiva 2022 FASE I ACTUAL (5)'!$C$6:$F$540,"NO ESTA")</f>
        <v>NO ESTA</v>
      </c>
      <c r="Q446" s="124">
        <f t="shared" si="50"/>
        <v>0</v>
      </c>
      <c r="R446" s="155">
        <f t="shared" si="45"/>
        <v>76</v>
      </c>
      <c r="S446" s="156">
        <f t="shared" si="48"/>
        <v>481509</v>
      </c>
      <c r="T446" s="156">
        <f t="shared" si="49"/>
        <v>36594684</v>
      </c>
    </row>
    <row r="447" spans="1:20" s="9" customFormat="1" ht="35.1" customHeight="1" x14ac:dyDescent="0.25">
      <c r="A447" s="215"/>
      <c r="B447" s="255" t="s">
        <v>626</v>
      </c>
      <c r="C447" s="254" t="s">
        <v>1238</v>
      </c>
      <c r="D447" s="255" t="s">
        <v>269</v>
      </c>
      <c r="E447" s="242">
        <v>0</v>
      </c>
      <c r="F447" s="242">
        <v>102</v>
      </c>
      <c r="G447" s="242">
        <f t="shared" si="52"/>
        <v>102</v>
      </c>
      <c r="H447" s="243">
        <v>164953</v>
      </c>
      <c r="I447" s="243">
        <f t="shared" si="46"/>
        <v>16825206</v>
      </c>
      <c r="J447" s="8"/>
      <c r="K447" s="8">
        <f t="shared" si="53"/>
        <v>164953</v>
      </c>
      <c r="L447" s="8">
        <f t="shared" si="47"/>
        <v>0</v>
      </c>
      <c r="M447" s="9" t="str">
        <f t="array" ref="M447">_xlfn.XLOOKUP(C447,'Neiva 2022 FASE I ACTUAL (5)'!$C$6:$C$540,'Neiva 2022 FASE I ACTUAL (5)'!$C$6:$F$540,"NO ESTA")</f>
        <v>NO ESTA</v>
      </c>
      <c r="Q447" s="124">
        <f t="shared" si="50"/>
        <v>0</v>
      </c>
      <c r="R447" s="155">
        <f t="shared" si="45"/>
        <v>0</v>
      </c>
      <c r="S447" s="156">
        <f t="shared" si="48"/>
        <v>164953</v>
      </c>
      <c r="T447" s="156">
        <f t="shared" si="49"/>
        <v>0</v>
      </c>
    </row>
    <row r="448" spans="1:20" s="9" customFormat="1" ht="35.1" customHeight="1" x14ac:dyDescent="0.25">
      <c r="A448" s="215"/>
      <c r="B448" s="289" t="s">
        <v>628</v>
      </c>
      <c r="C448" s="256" t="s">
        <v>629</v>
      </c>
      <c r="D448" s="256"/>
      <c r="E448" s="246"/>
      <c r="F448" s="246"/>
      <c r="G448" s="246"/>
      <c r="H448" s="246"/>
      <c r="I448" s="246"/>
      <c r="J448" s="8"/>
      <c r="K448" s="8">
        <f t="shared" si="53"/>
        <v>0</v>
      </c>
      <c r="L448" s="8">
        <f t="shared" si="47"/>
        <v>0</v>
      </c>
      <c r="M448" s="9" t="str">
        <f t="array" ref="M448:P448">_xlfn.XLOOKUP(C448,'Neiva 2022 FASE I ACTUAL (5)'!$C$6:$C$540,'Neiva 2022 FASE I ACTUAL (5)'!$C$6:$F$540,"NO ESTA")</f>
        <v xml:space="preserve">SUMINISTRO E INSTALACIÓN DE CANALIZACIONES </v>
      </c>
      <c r="N448" s="9">
        <v>0</v>
      </c>
      <c r="O448" s="9">
        <v>0</v>
      </c>
      <c r="P448" s="9">
        <v>0</v>
      </c>
      <c r="Q448" s="124">
        <f t="shared" si="50"/>
        <v>0</v>
      </c>
      <c r="R448" s="155">
        <f t="shared" si="45"/>
        <v>0</v>
      </c>
      <c r="S448" s="156">
        <f t="shared" si="48"/>
        <v>0</v>
      </c>
      <c r="T448" s="156">
        <f t="shared" si="49"/>
        <v>0</v>
      </c>
    </row>
    <row r="449" spans="1:20" s="9" customFormat="1" ht="35.1" customHeight="1" x14ac:dyDescent="0.25">
      <c r="A449" s="215"/>
      <c r="B449" s="255" t="s">
        <v>630</v>
      </c>
      <c r="C449" s="254" t="s">
        <v>631</v>
      </c>
      <c r="D449" s="255" t="s">
        <v>269</v>
      </c>
      <c r="E449" s="242">
        <v>0</v>
      </c>
      <c r="F449" s="242">
        <v>50</v>
      </c>
      <c r="G449" s="242">
        <f t="shared" si="52"/>
        <v>50</v>
      </c>
      <c r="H449" s="243">
        <v>36915</v>
      </c>
      <c r="I449" s="243">
        <f t="shared" si="46"/>
        <v>1845750</v>
      </c>
      <c r="J449" s="8"/>
      <c r="K449" s="8">
        <f t="shared" si="53"/>
        <v>36915</v>
      </c>
      <c r="L449" s="8">
        <f t="shared" si="47"/>
        <v>0</v>
      </c>
      <c r="M449" s="9" t="str">
        <f t="array" ref="M449:P449">_xlfn.XLOOKUP(C449,'Neiva 2022 FASE I ACTUAL (5)'!$C$6:$C$540,'Neiva 2022 FASE I ACTUAL (5)'!$C$6:$F$540,"NO ESTA")</f>
        <v>SUMINISTRO E INSTALACIÓN TUBERÍA PVC Ø 4" (Incluye todos los materiales para su instalación)</v>
      </c>
      <c r="N449" s="9" t="str">
        <v xml:space="preserve">ML   </v>
      </c>
      <c r="O449" s="9">
        <v>50</v>
      </c>
      <c r="P449" s="9">
        <v>35427</v>
      </c>
      <c r="Q449" s="124" t="str">
        <f t="shared" si="50"/>
        <v>FASE II</v>
      </c>
      <c r="R449" s="155">
        <f t="shared" si="45"/>
        <v>50</v>
      </c>
      <c r="S449" s="156">
        <f t="shared" si="48"/>
        <v>36915</v>
      </c>
      <c r="T449" s="156">
        <f t="shared" si="49"/>
        <v>1845750</v>
      </c>
    </row>
    <row r="450" spans="1:20" s="9" customFormat="1" ht="35.1" customHeight="1" x14ac:dyDescent="0.25">
      <c r="A450" s="215"/>
      <c r="B450" s="255" t="s">
        <v>632</v>
      </c>
      <c r="C450" s="254" t="s">
        <v>1239</v>
      </c>
      <c r="D450" s="255" t="s">
        <v>269</v>
      </c>
      <c r="E450" s="242">
        <v>0</v>
      </c>
      <c r="F450" s="242">
        <v>100</v>
      </c>
      <c r="G450" s="242">
        <f t="shared" si="52"/>
        <v>100</v>
      </c>
      <c r="H450" s="243">
        <v>66856</v>
      </c>
      <c r="I450" s="243">
        <f t="shared" si="46"/>
        <v>6685600</v>
      </c>
      <c r="J450" s="8"/>
      <c r="K450" s="8">
        <f t="shared" si="53"/>
        <v>66856</v>
      </c>
      <c r="L450" s="8">
        <f t="shared" si="47"/>
        <v>0</v>
      </c>
      <c r="M450" s="9" t="str">
        <f t="array" ref="M450">_xlfn.XLOOKUP(C450,'Neiva 2022 FASE I ACTUAL (5)'!$C$6:$C$540,'Neiva 2022 FASE I ACTUAL (5)'!$C$6:$F$540,"NO ESTA")</f>
        <v>NO ESTA</v>
      </c>
      <c r="Q450" s="124">
        <f t="shared" si="50"/>
        <v>0</v>
      </c>
      <c r="R450" s="155">
        <f t="shared" si="45"/>
        <v>0</v>
      </c>
      <c r="S450" s="156">
        <f t="shared" si="48"/>
        <v>66856</v>
      </c>
      <c r="T450" s="156">
        <f t="shared" si="49"/>
        <v>0</v>
      </c>
    </row>
    <row r="451" spans="1:20" s="9" customFormat="1" ht="39.950000000000003" customHeight="1" x14ac:dyDescent="0.25">
      <c r="A451" s="215"/>
      <c r="B451" s="289" t="s">
        <v>634</v>
      </c>
      <c r="C451" s="256" t="s">
        <v>635</v>
      </c>
      <c r="D451" s="256"/>
      <c r="E451" s="246"/>
      <c r="F451" s="246"/>
      <c r="G451" s="246"/>
      <c r="H451" s="246"/>
      <c r="I451" s="246"/>
      <c r="J451" s="8"/>
      <c r="K451" s="8">
        <f t="shared" si="53"/>
        <v>0</v>
      </c>
      <c r="L451" s="8">
        <f t="shared" si="47"/>
        <v>0</v>
      </c>
      <c r="M451" s="9" t="str">
        <f t="array" ref="M451:P451">_xlfn.XLOOKUP(C451,'Neiva 2022 FASE I ACTUAL (5)'!$C$6:$C$540,'Neiva 2022 FASE I ACTUAL (5)'!$C$6:$F$540,"NO ESTA")</f>
        <v>SUMINISTRO E INSTALACIÓN DE TABLEROS E INTERRUPTORES</v>
      </c>
      <c r="N451" s="9">
        <v>0</v>
      </c>
      <c r="O451" s="9">
        <v>0</v>
      </c>
      <c r="P451" s="9">
        <v>0</v>
      </c>
      <c r="Q451" s="124">
        <f t="shared" si="50"/>
        <v>0</v>
      </c>
      <c r="R451" s="155">
        <f t="shared" si="45"/>
        <v>0</v>
      </c>
      <c r="S451" s="156">
        <f t="shared" si="48"/>
        <v>0</v>
      </c>
      <c r="T451" s="156">
        <f t="shared" si="49"/>
        <v>0</v>
      </c>
    </row>
    <row r="452" spans="1:20" s="9" customFormat="1" ht="39.950000000000003" customHeight="1" x14ac:dyDescent="0.25">
      <c r="A452" s="215"/>
      <c r="B452" s="255" t="s">
        <v>636</v>
      </c>
      <c r="C452" s="254" t="s">
        <v>637</v>
      </c>
      <c r="D452" s="255" t="s">
        <v>374</v>
      </c>
      <c r="E452" s="242">
        <v>0</v>
      </c>
      <c r="F452" s="242">
        <v>1</v>
      </c>
      <c r="G452" s="242">
        <v>1</v>
      </c>
      <c r="H452" s="243">
        <v>863376</v>
      </c>
      <c r="I452" s="243">
        <f t="shared" si="46"/>
        <v>863376</v>
      </c>
      <c r="J452" s="8"/>
      <c r="K452" s="8">
        <f t="shared" si="53"/>
        <v>863376</v>
      </c>
      <c r="L452" s="8">
        <f t="shared" si="47"/>
        <v>0</v>
      </c>
      <c r="M452" s="9" t="str">
        <f t="array" ref="M452:P452">_xlfn.XLOOKUP(C452,'Neiva 2022 FASE I ACTUAL (5)'!$C$6:$C$540,'Neiva 2022 FASE I ACTUAL (5)'!$C$6:$F$540,"NO ESTA")</f>
        <v>SUMINISTRO E INSTALACIÓN TABLERO AUTOMATICO DE 38 CIRCUITOS TIPO PESADO CON PUERTA Y CERRRADURA DE CIERRE, CERRADURA Y ESPACIO TOTALIZADOR INDUSTRIAL (TNP4)</v>
      </c>
      <c r="N452" s="9" t="str">
        <v>UN</v>
      </c>
      <c r="O452" s="9">
        <v>1</v>
      </c>
      <c r="P452" s="9">
        <v>828556</v>
      </c>
      <c r="Q452" s="124" t="str">
        <f t="shared" si="50"/>
        <v>FASE II</v>
      </c>
      <c r="R452" s="155">
        <f t="shared" si="45"/>
        <v>1</v>
      </c>
      <c r="S452" s="156">
        <f t="shared" si="48"/>
        <v>863376</v>
      </c>
      <c r="T452" s="156">
        <f t="shared" si="49"/>
        <v>863376</v>
      </c>
    </row>
    <row r="453" spans="1:20" s="9" customFormat="1" ht="39.950000000000003" customHeight="1" x14ac:dyDescent="0.25">
      <c r="A453" s="215"/>
      <c r="B453" s="255" t="s">
        <v>638</v>
      </c>
      <c r="C453" s="254" t="s">
        <v>639</v>
      </c>
      <c r="D453" s="255" t="s">
        <v>374</v>
      </c>
      <c r="E453" s="242">
        <v>0</v>
      </c>
      <c r="F453" s="242">
        <v>1</v>
      </c>
      <c r="G453" s="242">
        <v>1</v>
      </c>
      <c r="H453" s="243">
        <v>693505</v>
      </c>
      <c r="I453" s="243">
        <f t="shared" si="46"/>
        <v>693505</v>
      </c>
      <c r="J453" s="8"/>
      <c r="K453" s="8">
        <f t="shared" si="53"/>
        <v>693505</v>
      </c>
      <c r="L453" s="8">
        <f t="shared" si="47"/>
        <v>0</v>
      </c>
      <c r="M453" s="9" t="str">
        <f t="array" ref="M453:P453">_xlfn.XLOOKUP(C453,'Neiva 2022 FASE I ACTUAL (5)'!$C$6:$C$540,'Neiva 2022 FASE I ACTUAL (5)'!$C$6:$F$540,"NO ESTA")</f>
        <v xml:space="preserve">SUMINISTRO E INSTALACIÓN TABLERO AUTOMATICO DE 18 CIRCUITOS TIPO PESADO CON PUERTA Y CERRRADURA DE CIERRE, CERRADURA Y ESPACIO TOTALIZADOR INDUSTRIAL CON BARRAJE DE TIERRA AISLADA. </v>
      </c>
      <c r="N453" s="9" t="str">
        <v>UN</v>
      </c>
      <c r="O453" s="9">
        <v>1</v>
      </c>
      <c r="P453" s="9">
        <v>665537</v>
      </c>
      <c r="Q453" s="124" t="str">
        <f t="shared" si="50"/>
        <v>FASE II</v>
      </c>
      <c r="R453" s="155">
        <f t="shared" si="45"/>
        <v>1</v>
      </c>
      <c r="S453" s="156">
        <f t="shared" si="48"/>
        <v>693505</v>
      </c>
      <c r="T453" s="156">
        <f t="shared" si="49"/>
        <v>693505</v>
      </c>
    </row>
    <row r="454" spans="1:20" s="9" customFormat="1" ht="39.950000000000003" customHeight="1" x14ac:dyDescent="0.25">
      <c r="A454" s="215"/>
      <c r="B454" s="255" t="s">
        <v>640</v>
      </c>
      <c r="C454" s="254" t="s">
        <v>641</v>
      </c>
      <c r="D454" s="255" t="s">
        <v>374</v>
      </c>
      <c r="E454" s="242">
        <v>0</v>
      </c>
      <c r="F454" s="242">
        <v>3</v>
      </c>
      <c r="G454" s="242">
        <v>3</v>
      </c>
      <c r="H454" s="243">
        <v>696874</v>
      </c>
      <c r="I454" s="243">
        <f t="shared" si="46"/>
        <v>2090622</v>
      </c>
      <c r="J454" s="8"/>
      <c r="K454" s="8">
        <f t="shared" si="53"/>
        <v>696874</v>
      </c>
      <c r="L454" s="8">
        <f t="shared" si="47"/>
        <v>0</v>
      </c>
      <c r="M454" s="9" t="str">
        <f t="array" ref="M454:P454">_xlfn.XLOOKUP(C454,'Neiva 2022 FASE I ACTUAL (5)'!$C$6:$C$540,'Neiva 2022 FASE I ACTUAL (5)'!$C$6:$F$540,"NO ESTA")</f>
        <v>SUMINISTRO E INSTALACIÓN TABLERO AUTOMATICO DE 24 CIRCUITOS TIPO PESADO CON PUERTA Y CERRRADURA DE CIERRE, CERRADURA Y ESPACIO TOTALIZADOR INDUSTRIAL CON BARRAJE DE TIERRA AISLADA (TNS, TR1, TR2)</v>
      </c>
      <c r="N454" s="9" t="str">
        <v>UN</v>
      </c>
      <c r="O454" s="9">
        <v>3</v>
      </c>
      <c r="P454" s="9">
        <v>668770</v>
      </c>
      <c r="Q454" s="124" t="str">
        <f t="shared" si="50"/>
        <v>FASE II</v>
      </c>
      <c r="R454" s="155">
        <f t="shared" ref="R454:R517" si="54">E454+O454</f>
        <v>3</v>
      </c>
      <c r="S454" s="156">
        <f t="shared" si="48"/>
        <v>696874</v>
      </c>
      <c r="T454" s="156">
        <f t="shared" si="49"/>
        <v>2090622</v>
      </c>
    </row>
    <row r="455" spans="1:20" s="9" customFormat="1" ht="39.950000000000003" customHeight="1" x14ac:dyDescent="0.25">
      <c r="A455" s="215"/>
      <c r="B455" s="255" t="s">
        <v>642</v>
      </c>
      <c r="C455" s="254" t="s">
        <v>643</v>
      </c>
      <c r="D455" s="255" t="s">
        <v>374</v>
      </c>
      <c r="E455" s="242">
        <v>0</v>
      </c>
      <c r="F455" s="242">
        <v>3</v>
      </c>
      <c r="G455" s="242">
        <v>3</v>
      </c>
      <c r="H455" s="243">
        <v>978225</v>
      </c>
      <c r="I455" s="243">
        <f t="shared" ref="I455:I518" si="55">ROUND(+H455*G455,2)</f>
        <v>2934675</v>
      </c>
      <c r="J455" s="8"/>
      <c r="K455" s="8">
        <f t="shared" si="53"/>
        <v>978225</v>
      </c>
      <c r="L455" s="8">
        <f t="shared" ref="L455:L518" si="56">+K455*E455</f>
        <v>0</v>
      </c>
      <c r="M455" s="9" t="str">
        <f t="array" ref="M455:P455">_xlfn.XLOOKUP(C455,'Neiva 2022 FASE I ACTUAL (5)'!$C$6:$C$540,'Neiva 2022 FASE I ACTUAL (5)'!$C$6:$F$540,"NO ESTA")</f>
        <v>SUMINISTRO E INSTALACIÓN TABLERO AUTOMATICO DE 42 CIRCUITOS TIPO PESADO CON PUERTA Y CERRRADURA DE CIERRE, CERRADURA Y ESPACIO TOTALIZADOR INDUSTRIAL (TNP1, TNP2, TNP3)</v>
      </c>
      <c r="N455" s="9" t="str">
        <v>UN</v>
      </c>
      <c r="O455" s="9">
        <v>3</v>
      </c>
      <c r="P455" s="9">
        <v>938774</v>
      </c>
      <c r="Q455" s="124" t="str">
        <f t="shared" si="50"/>
        <v>FASE II</v>
      </c>
      <c r="R455" s="155">
        <f t="shared" si="54"/>
        <v>3</v>
      </c>
      <c r="S455" s="156">
        <f t="shared" ref="S455:S518" si="57">MAX(P455,H455,K455)</f>
        <v>978225</v>
      </c>
      <c r="T455" s="156">
        <f t="shared" ref="T455:T518" si="58">ROUND(R455*S455,2)</f>
        <v>2934675</v>
      </c>
    </row>
    <row r="456" spans="1:20" s="9" customFormat="1" ht="39.950000000000003" customHeight="1" x14ac:dyDescent="0.25">
      <c r="A456" s="215"/>
      <c r="B456" s="255" t="s">
        <v>644</v>
      </c>
      <c r="C456" s="87" t="s">
        <v>645</v>
      </c>
      <c r="D456" s="255" t="s">
        <v>374</v>
      </c>
      <c r="E456" s="242">
        <v>51</v>
      </c>
      <c r="F456" s="242">
        <v>19</v>
      </c>
      <c r="G456" s="242">
        <v>70</v>
      </c>
      <c r="H456" s="243">
        <v>20874</v>
      </c>
      <c r="I456" s="243">
        <f t="shared" si="55"/>
        <v>1461180</v>
      </c>
      <c r="J456" s="8"/>
      <c r="K456" s="8">
        <f t="shared" si="53"/>
        <v>20874</v>
      </c>
      <c r="L456" s="8">
        <f t="shared" si="56"/>
        <v>1064574</v>
      </c>
      <c r="M456" s="9" t="str">
        <f t="array" ref="M456:P456">_xlfn.XLOOKUP(C456,'Neiva 2022 FASE I ACTUAL (5)'!$C$6:$C$540,'Neiva 2022 FASE I ACTUAL (5)'!$C$6:$F$540,"NO ESTA")</f>
        <v>SUMINISTRO E INSTALACIÓN INTERRUPTORES AUTOMÁTICOS ENCHUFABLES 240 V. 10kA 1x20 AMPS. TIPO ENCHUFABLE 10 Ka 240V.</v>
      </c>
      <c r="N456" s="9" t="str">
        <v>UN</v>
      </c>
      <c r="O456" s="9">
        <v>19</v>
      </c>
      <c r="P456" s="9">
        <v>20032</v>
      </c>
      <c r="Q456" s="124" t="str">
        <f t="shared" ref="Q456:Q519" si="59">IF(P456=0,0,(IF(H456&lt;P456, "FASE I","FASE II")))</f>
        <v>FASE II</v>
      </c>
      <c r="R456" s="155">
        <f t="shared" si="54"/>
        <v>70</v>
      </c>
      <c r="S456" s="156">
        <f t="shared" si="57"/>
        <v>20874</v>
      </c>
      <c r="T456" s="156">
        <f t="shared" si="58"/>
        <v>1461180</v>
      </c>
    </row>
    <row r="457" spans="1:20" s="9" customFormat="1" ht="39.950000000000003" customHeight="1" x14ac:dyDescent="0.25">
      <c r="A457" s="215"/>
      <c r="B457" s="255" t="s">
        <v>646</v>
      </c>
      <c r="C457" s="87" t="s">
        <v>647</v>
      </c>
      <c r="D457" s="255" t="s">
        <v>374</v>
      </c>
      <c r="E457" s="242">
        <v>36</v>
      </c>
      <c r="F457" s="242">
        <v>14</v>
      </c>
      <c r="G457" s="242">
        <v>50</v>
      </c>
      <c r="H457" s="243">
        <v>20874</v>
      </c>
      <c r="I457" s="243">
        <f t="shared" si="55"/>
        <v>1043700</v>
      </c>
      <c r="J457" s="8"/>
      <c r="K457" s="8">
        <f t="shared" si="53"/>
        <v>20874</v>
      </c>
      <c r="L457" s="8">
        <f t="shared" si="56"/>
        <v>751464</v>
      </c>
      <c r="M457" s="9" t="str">
        <f t="array" ref="M457:P457">_xlfn.XLOOKUP(C457,'Neiva 2022 FASE I ACTUAL (5)'!$C$6:$C$540,'Neiva 2022 FASE I ACTUAL (5)'!$C$6:$F$540,"NO ESTA")</f>
        <v>SUMINISTRO E INSTALACIÓN INTERRUPTORES AUTOMÁTICOS ENCHUFABLES 240 V. 10kA 1x30 AMPS. TIPO ENCHUFABLE 10 Ka 240V.</v>
      </c>
      <c r="N457" s="9" t="str">
        <v>UN</v>
      </c>
      <c r="O457" s="9">
        <v>14</v>
      </c>
      <c r="P457" s="9">
        <v>20032</v>
      </c>
      <c r="Q457" s="124" t="str">
        <f t="shared" si="59"/>
        <v>FASE II</v>
      </c>
      <c r="R457" s="155">
        <f t="shared" si="54"/>
        <v>50</v>
      </c>
      <c r="S457" s="156">
        <f t="shared" si="57"/>
        <v>20874</v>
      </c>
      <c r="T457" s="156">
        <f t="shared" si="58"/>
        <v>1043700</v>
      </c>
    </row>
    <row r="458" spans="1:20" s="9" customFormat="1" ht="39.950000000000003" customHeight="1" x14ac:dyDescent="0.25">
      <c r="A458" s="215"/>
      <c r="B458" s="255" t="s">
        <v>648</v>
      </c>
      <c r="C458" s="87" t="s">
        <v>649</v>
      </c>
      <c r="D458" s="255" t="s">
        <v>374</v>
      </c>
      <c r="E458" s="242">
        <v>4</v>
      </c>
      <c r="F458" s="242">
        <v>2</v>
      </c>
      <c r="G458" s="242">
        <v>6</v>
      </c>
      <c r="H458" s="243">
        <v>58941</v>
      </c>
      <c r="I458" s="243">
        <f t="shared" si="55"/>
        <v>353646</v>
      </c>
      <c r="J458" s="8"/>
      <c r="K458" s="8">
        <f t="shared" si="53"/>
        <v>58941</v>
      </c>
      <c r="L458" s="8">
        <f t="shared" si="56"/>
        <v>235764</v>
      </c>
      <c r="M458" s="9" t="str">
        <f t="array" ref="M458:P458">_xlfn.XLOOKUP(C458,'Neiva 2022 FASE I ACTUAL (5)'!$C$6:$C$540,'Neiva 2022 FASE I ACTUAL (5)'!$C$6:$F$540,"NO ESTA")</f>
        <v>SUMINISTRO E INSTALACIÓN INTERRUPTORES AUTOMÁTICOS ENCHUFABLES 240 V. 10kA 3x30 AMPS. TIPO ENCHUFABLE 10 Ka 240V.</v>
      </c>
      <c r="N458" s="9" t="str">
        <v>UN</v>
      </c>
      <c r="O458" s="9">
        <v>2</v>
      </c>
      <c r="P458" s="9">
        <v>56563</v>
      </c>
      <c r="Q458" s="124" t="str">
        <f t="shared" si="59"/>
        <v>FASE II</v>
      </c>
      <c r="R458" s="155">
        <f t="shared" si="54"/>
        <v>6</v>
      </c>
      <c r="S458" s="156">
        <f t="shared" si="57"/>
        <v>58941</v>
      </c>
      <c r="T458" s="156">
        <f t="shared" si="58"/>
        <v>353646</v>
      </c>
    </row>
    <row r="459" spans="1:20" s="9" customFormat="1" ht="39.950000000000003" customHeight="1" x14ac:dyDescent="0.25">
      <c r="A459" s="215"/>
      <c r="B459" s="289" t="s">
        <v>650</v>
      </c>
      <c r="C459" s="256" t="s">
        <v>1240</v>
      </c>
      <c r="D459" s="256"/>
      <c r="E459" s="256"/>
      <c r="F459" s="256"/>
      <c r="G459" s="256"/>
      <c r="H459" s="256"/>
      <c r="I459" s="256"/>
      <c r="J459" s="8"/>
      <c r="K459" s="8">
        <f t="shared" si="53"/>
        <v>0</v>
      </c>
      <c r="L459" s="8">
        <f t="shared" si="56"/>
        <v>0</v>
      </c>
      <c r="M459" s="9" t="str">
        <f t="array" ref="M459">_xlfn.XLOOKUP(C459,'Neiva 2022 FASE I ACTUAL (5)'!$C$6:$C$540,'Neiva 2022 FASE I ACTUAL (5)'!$C$6:$F$540,"NO ESTA")</f>
        <v>NO ESTA</v>
      </c>
      <c r="Q459" s="124">
        <f t="shared" si="59"/>
        <v>0</v>
      </c>
      <c r="R459" s="155">
        <f t="shared" si="54"/>
        <v>0</v>
      </c>
      <c r="S459" s="156">
        <f t="shared" si="57"/>
        <v>0</v>
      </c>
      <c r="T459" s="156">
        <f t="shared" si="58"/>
        <v>0</v>
      </c>
    </row>
    <row r="460" spans="1:20" s="9" customFormat="1" ht="39.950000000000003" customHeight="1" x14ac:dyDescent="0.25">
      <c r="A460" s="215"/>
      <c r="B460" s="255" t="s">
        <v>652</v>
      </c>
      <c r="C460" s="254" t="s">
        <v>1241</v>
      </c>
      <c r="D460" s="255" t="s">
        <v>374</v>
      </c>
      <c r="E460" s="242">
        <v>0</v>
      </c>
      <c r="F460" s="242">
        <v>1</v>
      </c>
      <c r="G460" s="242">
        <f t="shared" ref="G460:G490" si="60">+F460+E460</f>
        <v>1</v>
      </c>
      <c r="H460" s="243">
        <v>591231</v>
      </c>
      <c r="I460" s="243">
        <f t="shared" si="55"/>
        <v>591231</v>
      </c>
      <c r="J460" s="8"/>
      <c r="K460" s="8">
        <f t="shared" si="53"/>
        <v>591231</v>
      </c>
      <c r="L460" s="8">
        <f t="shared" si="56"/>
        <v>0</v>
      </c>
      <c r="M460" s="9" t="str">
        <f t="array" ref="M460">_xlfn.XLOOKUP(C460,'Neiva 2022 FASE I ACTUAL (5)'!$C$6:$C$540,'Neiva 2022 FASE I ACTUAL (5)'!$C$6:$F$540,"NO ESTA")</f>
        <v>NO ESTA</v>
      </c>
      <c r="Q460" s="124">
        <f t="shared" si="59"/>
        <v>0</v>
      </c>
      <c r="R460" s="155">
        <f t="shared" si="54"/>
        <v>0</v>
      </c>
      <c r="S460" s="156">
        <f t="shared" si="57"/>
        <v>591231</v>
      </c>
      <c r="T460" s="156">
        <f t="shared" si="58"/>
        <v>0</v>
      </c>
    </row>
    <row r="461" spans="1:20" s="9" customFormat="1" ht="39.950000000000003" customHeight="1" x14ac:dyDescent="0.25">
      <c r="A461" s="215"/>
      <c r="B461" s="289" t="s">
        <v>654</v>
      </c>
      <c r="C461" s="256" t="s">
        <v>655</v>
      </c>
      <c r="D461" s="256"/>
      <c r="E461" s="246"/>
      <c r="F461" s="256"/>
      <c r="G461" s="256"/>
      <c r="H461" s="256"/>
      <c r="I461" s="256"/>
      <c r="J461" s="8"/>
      <c r="K461" s="8">
        <f t="shared" si="53"/>
        <v>0</v>
      </c>
      <c r="L461" s="8">
        <f t="shared" si="56"/>
        <v>0</v>
      </c>
      <c r="M461" s="9" t="str">
        <f t="array" ref="M461:P461">_xlfn.XLOOKUP(C461,'Neiva 2022 FASE I ACTUAL (5)'!$C$6:$C$540,'Neiva 2022 FASE I ACTUAL (5)'!$C$6:$F$540,"NO ESTA")</f>
        <v>SUMINISTRO E INSTALACIÓN TABLEROS DE DISTRIBUCIÓN GENERAL</v>
      </c>
      <c r="N461" s="9">
        <v>0</v>
      </c>
      <c r="O461" s="9">
        <v>0</v>
      </c>
      <c r="P461" s="9">
        <v>0</v>
      </c>
      <c r="Q461" s="124">
        <f t="shared" si="59"/>
        <v>0</v>
      </c>
      <c r="R461" s="155">
        <f t="shared" si="54"/>
        <v>0</v>
      </c>
      <c r="S461" s="156">
        <f t="shared" si="57"/>
        <v>0</v>
      </c>
      <c r="T461" s="156">
        <f t="shared" si="58"/>
        <v>0</v>
      </c>
    </row>
    <row r="462" spans="1:20" s="9" customFormat="1" ht="39.950000000000003" customHeight="1" x14ac:dyDescent="0.25">
      <c r="A462" s="215"/>
      <c r="B462" s="255" t="s">
        <v>656</v>
      </c>
      <c r="C462" s="254" t="s">
        <v>1242</v>
      </c>
      <c r="D462" s="255" t="s">
        <v>374</v>
      </c>
      <c r="E462" s="242">
        <v>0</v>
      </c>
      <c r="F462" s="242">
        <v>1</v>
      </c>
      <c r="G462" s="242">
        <f t="shared" si="60"/>
        <v>1</v>
      </c>
      <c r="H462" s="243">
        <v>16022406</v>
      </c>
      <c r="I462" s="243">
        <f t="shared" si="55"/>
        <v>16022406</v>
      </c>
      <c r="J462" s="8"/>
      <c r="K462" s="8">
        <f t="shared" si="53"/>
        <v>16022406</v>
      </c>
      <c r="L462" s="8">
        <f t="shared" si="56"/>
        <v>0</v>
      </c>
      <c r="M462" s="9" t="str">
        <f t="array" ref="M462">_xlfn.XLOOKUP(C462,'Neiva 2022 FASE I ACTUAL (5)'!$C$6:$C$540,'Neiva 2022 FASE I ACTUAL (5)'!$C$6:$F$540,"NO ESTA")</f>
        <v>NO ESTA</v>
      </c>
      <c r="Q462" s="124">
        <f t="shared" si="59"/>
        <v>0</v>
      </c>
      <c r="R462" s="155">
        <f t="shared" si="54"/>
        <v>0</v>
      </c>
      <c r="S462" s="156">
        <f t="shared" si="57"/>
        <v>16022406</v>
      </c>
      <c r="T462" s="156">
        <f t="shared" si="58"/>
        <v>0</v>
      </c>
    </row>
    <row r="463" spans="1:20" s="9" customFormat="1" ht="39.950000000000003" customHeight="1" x14ac:dyDescent="0.25">
      <c r="A463" s="215"/>
      <c r="B463" s="255" t="s">
        <v>658</v>
      </c>
      <c r="C463" s="87" t="s">
        <v>659</v>
      </c>
      <c r="D463" s="255" t="s">
        <v>374</v>
      </c>
      <c r="E463" s="242">
        <v>1</v>
      </c>
      <c r="F463" s="242">
        <v>1</v>
      </c>
      <c r="G463" s="242">
        <f t="shared" si="60"/>
        <v>2</v>
      </c>
      <c r="H463" s="243">
        <v>12108567</v>
      </c>
      <c r="I463" s="243">
        <f t="shared" si="55"/>
        <v>24217134</v>
      </c>
      <c r="J463" s="8"/>
      <c r="K463" s="8">
        <f t="shared" si="53"/>
        <v>12108567</v>
      </c>
      <c r="L463" s="8">
        <f t="shared" si="56"/>
        <v>12108567</v>
      </c>
      <c r="M463" s="9" t="str">
        <f t="array" ref="M463">_xlfn.XLOOKUP(C463,'Neiva 2022 FASE I ACTUAL (5)'!$C$6:$C$540,'Neiva 2022 FASE I ACTUAL (5)'!$C$6:$F$540,"NO ESTA")</f>
        <v>NO ESTA</v>
      </c>
      <c r="Q463" s="124">
        <f t="shared" si="59"/>
        <v>0</v>
      </c>
      <c r="R463" s="155">
        <f t="shared" si="54"/>
        <v>1</v>
      </c>
      <c r="S463" s="156">
        <f t="shared" si="57"/>
        <v>12108567</v>
      </c>
      <c r="T463" s="156">
        <f t="shared" si="58"/>
        <v>12108567</v>
      </c>
    </row>
    <row r="464" spans="1:20" s="9" customFormat="1" ht="39.950000000000003" customHeight="1" x14ac:dyDescent="0.25">
      <c r="A464" s="215"/>
      <c r="B464" s="255" t="s">
        <v>660</v>
      </c>
      <c r="C464" s="254" t="s">
        <v>1243</v>
      </c>
      <c r="D464" s="255" t="s">
        <v>374</v>
      </c>
      <c r="E464" s="242">
        <v>0</v>
      </c>
      <c r="F464" s="242">
        <v>1</v>
      </c>
      <c r="G464" s="242">
        <f t="shared" si="60"/>
        <v>1</v>
      </c>
      <c r="H464" s="243">
        <v>14065486</v>
      </c>
      <c r="I464" s="243">
        <f t="shared" si="55"/>
        <v>14065486</v>
      </c>
      <c r="J464" s="8"/>
      <c r="K464" s="8">
        <f t="shared" si="53"/>
        <v>14065486</v>
      </c>
      <c r="L464" s="8">
        <f t="shared" si="56"/>
        <v>0</v>
      </c>
      <c r="M464" s="9" t="str">
        <f t="array" ref="M464">_xlfn.XLOOKUP(C464,'Neiva 2022 FASE I ACTUAL (5)'!$C$6:$C$540,'Neiva 2022 FASE I ACTUAL (5)'!$C$6:$F$540,"NO ESTA")</f>
        <v>NO ESTA</v>
      </c>
      <c r="Q464" s="124">
        <f t="shared" si="59"/>
        <v>0</v>
      </c>
      <c r="R464" s="155">
        <f t="shared" si="54"/>
        <v>0</v>
      </c>
      <c r="S464" s="156">
        <f t="shared" si="57"/>
        <v>14065486</v>
      </c>
      <c r="T464" s="156">
        <f t="shared" si="58"/>
        <v>0</v>
      </c>
    </row>
    <row r="465" spans="1:20" s="9" customFormat="1" ht="39.950000000000003" customHeight="1" x14ac:dyDescent="0.25">
      <c r="A465" s="215"/>
      <c r="B465" s="290" t="s">
        <v>662</v>
      </c>
      <c r="C465" s="256" t="s">
        <v>663</v>
      </c>
      <c r="D465" s="256"/>
      <c r="E465" s="246"/>
      <c r="F465" s="246"/>
      <c r="G465" s="246"/>
      <c r="H465" s="246"/>
      <c r="I465" s="246"/>
      <c r="J465" s="8"/>
      <c r="K465" s="8">
        <f t="shared" si="53"/>
        <v>0</v>
      </c>
      <c r="L465" s="8">
        <f t="shared" si="56"/>
        <v>0</v>
      </c>
      <c r="M465" s="9" t="str">
        <f t="array" ref="M465:P465">_xlfn.XLOOKUP(C465,'Neiva 2022 FASE I ACTUAL (5)'!$C$6:$C$540,'Neiva 2022 FASE I ACTUAL (5)'!$C$6:$F$540,"NO ESTA")</f>
        <v xml:space="preserve">SUMINISTRO E INSTALACIÓN PUESTA A TIERRA TRANSFORMADOR Y SUBESTACIÓN (Incluye preparación de tierra con la solución Sanick Gel para obtener una elevada conductividad eléctrica (ver especificaciones técnicas de diseño anexas) </v>
      </c>
      <c r="N465" s="9">
        <v>0</v>
      </c>
      <c r="O465" s="9">
        <v>0</v>
      </c>
      <c r="P465" s="9">
        <v>0</v>
      </c>
      <c r="Q465" s="124">
        <f t="shared" si="59"/>
        <v>0</v>
      </c>
      <c r="R465" s="155">
        <f t="shared" si="54"/>
        <v>0</v>
      </c>
      <c r="S465" s="156">
        <f t="shared" si="57"/>
        <v>0</v>
      </c>
      <c r="T465" s="156">
        <f t="shared" si="58"/>
        <v>0</v>
      </c>
    </row>
    <row r="466" spans="1:20" s="9" customFormat="1" ht="35.1" customHeight="1" x14ac:dyDescent="0.25">
      <c r="A466" s="215"/>
      <c r="B466" s="255" t="s">
        <v>664</v>
      </c>
      <c r="C466" s="254" t="s">
        <v>665</v>
      </c>
      <c r="D466" s="255" t="s">
        <v>269</v>
      </c>
      <c r="E466" s="242">
        <v>0</v>
      </c>
      <c r="F466" s="242">
        <v>35</v>
      </c>
      <c r="G466" s="242">
        <f t="shared" si="60"/>
        <v>35</v>
      </c>
      <c r="H466" s="243">
        <v>24787</v>
      </c>
      <c r="I466" s="243">
        <f t="shared" si="55"/>
        <v>867545</v>
      </c>
      <c r="J466" s="8"/>
      <c r="K466" s="8">
        <f t="shared" si="53"/>
        <v>24787</v>
      </c>
      <c r="L466" s="8">
        <f t="shared" si="56"/>
        <v>0</v>
      </c>
      <c r="M466" s="9" t="str">
        <f t="array" ref="M466:P466">_xlfn.XLOOKUP(C466,'Neiva 2022 FASE I ACTUAL (5)'!$C$6:$C$540,'Neiva 2022 FASE I ACTUAL (5)'!$C$6:$F$540,"NO ESTA")</f>
        <v>SUMINISTRO E INSTALACIÓN CONDUCTOR 2/0 Cu. TEMPLE DURO</v>
      </c>
      <c r="N466" s="9" t="str">
        <v xml:space="preserve">ML   </v>
      </c>
      <c r="O466" s="9">
        <v>35</v>
      </c>
      <c r="P466" s="9">
        <v>23788</v>
      </c>
      <c r="Q466" s="124" t="str">
        <f t="shared" si="59"/>
        <v>FASE II</v>
      </c>
      <c r="R466" s="155">
        <f t="shared" si="54"/>
        <v>35</v>
      </c>
      <c r="S466" s="156">
        <f t="shared" si="57"/>
        <v>24787</v>
      </c>
      <c r="T466" s="156">
        <f t="shared" si="58"/>
        <v>867545</v>
      </c>
    </row>
    <row r="467" spans="1:20" s="9" customFormat="1" ht="35.1" customHeight="1" x14ac:dyDescent="0.25">
      <c r="A467" s="215"/>
      <c r="B467" s="255" t="s">
        <v>666</v>
      </c>
      <c r="C467" s="254" t="s">
        <v>1244</v>
      </c>
      <c r="D467" s="255" t="s">
        <v>374</v>
      </c>
      <c r="E467" s="242">
        <v>0</v>
      </c>
      <c r="F467" s="242">
        <v>6</v>
      </c>
      <c r="G467" s="242">
        <f t="shared" si="60"/>
        <v>6</v>
      </c>
      <c r="H467" s="243">
        <v>129612</v>
      </c>
      <c r="I467" s="243">
        <f t="shared" si="55"/>
        <v>777672</v>
      </c>
      <c r="J467" s="8"/>
      <c r="K467" s="8">
        <f t="shared" si="53"/>
        <v>129612</v>
      </c>
      <c r="L467" s="8">
        <f t="shared" si="56"/>
        <v>0</v>
      </c>
      <c r="M467" s="9" t="str">
        <f t="array" ref="M467">_xlfn.XLOOKUP(C467,'Neiva 2022 FASE I ACTUAL (5)'!$C$6:$C$540,'Neiva 2022 FASE I ACTUAL (5)'!$C$6:$F$540,"NO ESTA")</f>
        <v>NO ESTA</v>
      </c>
      <c r="Q467" s="124">
        <f t="shared" si="59"/>
        <v>0</v>
      </c>
      <c r="R467" s="155">
        <f t="shared" si="54"/>
        <v>0</v>
      </c>
      <c r="S467" s="156">
        <f t="shared" si="57"/>
        <v>129612</v>
      </c>
      <c r="T467" s="156">
        <f t="shared" si="58"/>
        <v>0</v>
      </c>
    </row>
    <row r="468" spans="1:20" s="9" customFormat="1" ht="35.1" customHeight="1" x14ac:dyDescent="0.25">
      <c r="A468" s="215"/>
      <c r="B468" s="255" t="s">
        <v>668</v>
      </c>
      <c r="C468" s="254" t="s">
        <v>1245</v>
      </c>
      <c r="D468" s="255" t="s">
        <v>374</v>
      </c>
      <c r="E468" s="242">
        <v>0</v>
      </c>
      <c r="F468" s="242">
        <v>6</v>
      </c>
      <c r="G468" s="242">
        <f t="shared" si="60"/>
        <v>6</v>
      </c>
      <c r="H468" s="243">
        <v>134174</v>
      </c>
      <c r="I468" s="243">
        <f t="shared" si="55"/>
        <v>805044</v>
      </c>
      <c r="J468" s="8"/>
      <c r="K468" s="8">
        <f t="shared" si="53"/>
        <v>134174</v>
      </c>
      <c r="L468" s="8">
        <f t="shared" si="56"/>
        <v>0</v>
      </c>
      <c r="M468" s="9" t="str">
        <f t="array" ref="M468">_xlfn.XLOOKUP(C468,'Neiva 2022 FASE I ACTUAL (5)'!$C$6:$C$540,'Neiva 2022 FASE I ACTUAL (5)'!$C$6:$F$540,"NO ESTA")</f>
        <v>NO ESTA</v>
      </c>
      <c r="Q468" s="124">
        <f t="shared" si="59"/>
        <v>0</v>
      </c>
      <c r="R468" s="155">
        <f t="shared" si="54"/>
        <v>0</v>
      </c>
      <c r="S468" s="156">
        <f t="shared" si="57"/>
        <v>134174</v>
      </c>
      <c r="T468" s="156">
        <f t="shared" si="58"/>
        <v>0</v>
      </c>
    </row>
    <row r="469" spans="1:20" s="9" customFormat="1" ht="35.1" customHeight="1" x14ac:dyDescent="0.25">
      <c r="A469" s="215"/>
      <c r="B469" s="255" t="s">
        <v>670</v>
      </c>
      <c r="C469" s="254" t="s">
        <v>1246</v>
      </c>
      <c r="D469" s="255" t="s">
        <v>374</v>
      </c>
      <c r="E469" s="242">
        <v>0</v>
      </c>
      <c r="F469" s="242">
        <v>2</v>
      </c>
      <c r="G469" s="242">
        <f t="shared" si="60"/>
        <v>2</v>
      </c>
      <c r="H469" s="243">
        <v>134174</v>
      </c>
      <c r="I469" s="243">
        <f t="shared" si="55"/>
        <v>268348</v>
      </c>
      <c r="J469" s="8"/>
      <c r="K469" s="8">
        <f t="shared" si="53"/>
        <v>134174</v>
      </c>
      <c r="L469" s="8">
        <f t="shared" si="56"/>
        <v>0</v>
      </c>
      <c r="M469" s="9" t="str">
        <f t="array" ref="M469">_xlfn.XLOOKUP(C469,'Neiva 2022 FASE I ACTUAL (5)'!$C$6:$C$540,'Neiva 2022 FASE I ACTUAL (5)'!$C$6:$F$540,"NO ESTA")</f>
        <v>NO ESTA</v>
      </c>
      <c r="Q469" s="124">
        <f t="shared" si="59"/>
        <v>0</v>
      </c>
      <c r="R469" s="155">
        <f t="shared" si="54"/>
        <v>0</v>
      </c>
      <c r="S469" s="156">
        <f t="shared" si="57"/>
        <v>134174</v>
      </c>
      <c r="T469" s="156">
        <f t="shared" si="58"/>
        <v>0</v>
      </c>
    </row>
    <row r="470" spans="1:20" s="9" customFormat="1" ht="35.1" customHeight="1" x14ac:dyDescent="0.25">
      <c r="A470" s="215"/>
      <c r="B470" s="255" t="s">
        <v>672</v>
      </c>
      <c r="C470" s="291" t="s">
        <v>1247</v>
      </c>
      <c r="D470" s="292" t="s">
        <v>16</v>
      </c>
      <c r="E470" s="242">
        <v>0</v>
      </c>
      <c r="F470" s="242">
        <v>6</v>
      </c>
      <c r="G470" s="242">
        <f t="shared" si="60"/>
        <v>6</v>
      </c>
      <c r="H470" s="243">
        <v>169463</v>
      </c>
      <c r="I470" s="243">
        <f t="shared" si="55"/>
        <v>1016778</v>
      </c>
      <c r="J470" s="8"/>
      <c r="K470" s="8">
        <f t="shared" si="53"/>
        <v>169463</v>
      </c>
      <c r="L470" s="8">
        <f t="shared" si="56"/>
        <v>0</v>
      </c>
      <c r="M470" s="9" t="str">
        <f t="array" ref="M470">_xlfn.XLOOKUP(C470,'Neiva 2022 FASE I ACTUAL (5)'!$C$6:$C$540,'Neiva 2022 FASE I ACTUAL (5)'!$C$6:$F$540,"NO ESTA")</f>
        <v>NO ESTA</v>
      </c>
      <c r="Q470" s="124">
        <f t="shared" si="59"/>
        <v>0</v>
      </c>
      <c r="R470" s="155">
        <f t="shared" si="54"/>
        <v>0</v>
      </c>
      <c r="S470" s="156">
        <f t="shared" si="57"/>
        <v>169463</v>
      </c>
      <c r="T470" s="156">
        <f t="shared" si="58"/>
        <v>0</v>
      </c>
    </row>
    <row r="471" spans="1:20" s="9" customFormat="1" ht="35.1" customHeight="1" x14ac:dyDescent="0.25">
      <c r="A471" s="215"/>
      <c r="B471" s="290" t="s">
        <v>674</v>
      </c>
      <c r="C471" s="256" t="s">
        <v>675</v>
      </c>
      <c r="D471" s="256"/>
      <c r="E471" s="246"/>
      <c r="F471" s="246"/>
      <c r="G471" s="246"/>
      <c r="H471" s="246"/>
      <c r="I471" s="246"/>
      <c r="J471" s="8"/>
      <c r="K471" s="8">
        <f t="shared" si="53"/>
        <v>0</v>
      </c>
      <c r="L471" s="8">
        <f t="shared" si="56"/>
        <v>0</v>
      </c>
      <c r="M471" s="9" t="str">
        <f t="array" ref="M471:P471">_xlfn.XLOOKUP(C471,'Neiva 2022 FASE I ACTUAL (5)'!$C$6:$C$540,'Neiva 2022 FASE I ACTUAL (5)'!$C$6:$F$540,"NO ESTA")</f>
        <v xml:space="preserve">SUMINISTRO E INSTALACIÓN PUESTA A TIERRA TABLERO DE DISTRIBUCIÓN Y GENERAL (Incluye preparación de tierra con la solución Sanick Gel para obtener una elevada conductividad eléctrica (ver especificaciones técnicas de diseño anexas) </v>
      </c>
      <c r="N471" s="9">
        <v>0</v>
      </c>
      <c r="O471" s="9">
        <v>0</v>
      </c>
      <c r="P471" s="9">
        <v>0</v>
      </c>
      <c r="Q471" s="124">
        <f t="shared" si="59"/>
        <v>0</v>
      </c>
      <c r="R471" s="155">
        <f t="shared" si="54"/>
        <v>0</v>
      </c>
      <c r="S471" s="156">
        <f t="shared" si="57"/>
        <v>0</v>
      </c>
      <c r="T471" s="156">
        <f t="shared" si="58"/>
        <v>0</v>
      </c>
    </row>
    <row r="472" spans="1:20" s="9" customFormat="1" ht="35.1" customHeight="1" x14ac:dyDescent="0.25">
      <c r="A472" s="215"/>
      <c r="B472" s="255" t="s">
        <v>676</v>
      </c>
      <c r="C472" s="254" t="s">
        <v>677</v>
      </c>
      <c r="D472" s="255" t="s">
        <v>269</v>
      </c>
      <c r="E472" s="242">
        <v>0</v>
      </c>
      <c r="F472" s="242">
        <v>10</v>
      </c>
      <c r="G472" s="242">
        <f t="shared" si="60"/>
        <v>10</v>
      </c>
      <c r="H472" s="243">
        <v>7306</v>
      </c>
      <c r="I472" s="243">
        <f t="shared" si="55"/>
        <v>73060</v>
      </c>
      <c r="J472" s="8"/>
      <c r="K472" s="8">
        <f t="shared" si="53"/>
        <v>7306</v>
      </c>
      <c r="L472" s="8">
        <f t="shared" si="56"/>
        <v>0</v>
      </c>
      <c r="M472" s="9" t="str">
        <f t="array" ref="M472:P472">_xlfn.XLOOKUP(C472,'Neiva 2022 FASE I ACTUAL (5)'!$C$6:$C$540,'Neiva 2022 FASE I ACTUAL (5)'!$C$6:$F$540,"NO ESTA")</f>
        <v>SUMINISTRO E INSTALACIÓN CONDUCTOR 6 Cu TEMPLE DURO</v>
      </c>
      <c r="N472" s="9" t="str">
        <v xml:space="preserve">ML   </v>
      </c>
      <c r="O472" s="9">
        <v>10</v>
      </c>
      <c r="P472" s="9">
        <v>7012</v>
      </c>
      <c r="Q472" s="124" t="str">
        <f t="shared" si="59"/>
        <v>FASE II</v>
      </c>
      <c r="R472" s="155">
        <f t="shared" si="54"/>
        <v>10</v>
      </c>
      <c r="S472" s="156">
        <f t="shared" si="57"/>
        <v>7306</v>
      </c>
      <c r="T472" s="156">
        <f t="shared" si="58"/>
        <v>73060</v>
      </c>
    </row>
    <row r="473" spans="1:20" s="9" customFormat="1" ht="35.1" customHeight="1" x14ac:dyDescent="0.25">
      <c r="A473" s="215"/>
      <c r="B473" s="255" t="s">
        <v>678</v>
      </c>
      <c r="C473" s="254" t="s">
        <v>679</v>
      </c>
      <c r="D473" s="255" t="s">
        <v>374</v>
      </c>
      <c r="E473" s="242">
        <v>0</v>
      </c>
      <c r="F473" s="242">
        <v>1</v>
      </c>
      <c r="G473" s="242">
        <f t="shared" si="60"/>
        <v>1</v>
      </c>
      <c r="H473" s="243">
        <v>129612</v>
      </c>
      <c r="I473" s="243">
        <f t="shared" si="55"/>
        <v>129612</v>
      </c>
      <c r="J473" s="8"/>
      <c r="K473" s="8">
        <f t="shared" si="53"/>
        <v>129612</v>
      </c>
      <c r="L473" s="8">
        <f t="shared" si="56"/>
        <v>0</v>
      </c>
      <c r="M473" s="9" t="str">
        <f t="array" ref="M473:P473">_xlfn.XLOOKUP(C473,'Neiva 2022 FASE I ACTUAL (5)'!$C$6:$C$540,'Neiva 2022 FASE I ACTUAL (5)'!$C$6:$F$540,"NO ESTA")</f>
        <v>SUMINISTRO E INSTALACIÓN ELECTRODO DE PUESTA A TIERRA EN VARILLA DE COBRE DE 5/8" X 2.40 M</v>
      </c>
      <c r="N473" s="9" t="str">
        <v>UN</v>
      </c>
      <c r="O473" s="9">
        <v>1</v>
      </c>
      <c r="P473" s="9">
        <v>124386</v>
      </c>
      <c r="Q473" s="124" t="str">
        <f t="shared" si="59"/>
        <v>FASE II</v>
      </c>
      <c r="R473" s="155">
        <f t="shared" si="54"/>
        <v>1</v>
      </c>
      <c r="S473" s="156">
        <f t="shared" si="57"/>
        <v>129612</v>
      </c>
      <c r="T473" s="156">
        <f t="shared" si="58"/>
        <v>129612</v>
      </c>
    </row>
    <row r="474" spans="1:20" s="9" customFormat="1" ht="35.1" customHeight="1" x14ac:dyDescent="0.25">
      <c r="A474" s="215"/>
      <c r="B474" s="255" t="s">
        <v>680</v>
      </c>
      <c r="C474" s="254" t="s">
        <v>681</v>
      </c>
      <c r="D474" s="255" t="s">
        <v>374</v>
      </c>
      <c r="E474" s="242">
        <v>0</v>
      </c>
      <c r="F474" s="242">
        <v>1</v>
      </c>
      <c r="G474" s="242">
        <f t="shared" si="60"/>
        <v>1</v>
      </c>
      <c r="H474" s="243">
        <v>134174</v>
      </c>
      <c r="I474" s="243">
        <f t="shared" si="55"/>
        <v>134174</v>
      </c>
      <c r="J474" s="8"/>
      <c r="K474" s="8">
        <f t="shared" si="53"/>
        <v>134174</v>
      </c>
      <c r="L474" s="8">
        <f t="shared" si="56"/>
        <v>0</v>
      </c>
      <c r="M474" s="9" t="str">
        <f t="array" ref="M474:P474">_xlfn.XLOOKUP(C474,'Neiva 2022 FASE I ACTUAL (5)'!$C$6:$C$540,'Neiva 2022 FASE I ACTUAL (5)'!$C$6:$F$540,"NO ESTA")</f>
        <v>SUMINISTRO E INSTALACIÓN CONEXIÓN TERMOSOLDADA DE VARILLA A CABLE DE COBRE DESNUDO # 6 AWG, INCLUYE SUMINISTRO DE MOLDE, FÚNDENTE Y DEMÁS ACCESORIOS.</v>
      </c>
      <c r="N474" s="9" t="str">
        <v>UN</v>
      </c>
      <c r="O474" s="9">
        <v>1</v>
      </c>
      <c r="P474" s="9">
        <v>128763</v>
      </c>
      <c r="Q474" s="124" t="str">
        <f t="shared" si="59"/>
        <v>FASE II</v>
      </c>
      <c r="R474" s="155">
        <f t="shared" si="54"/>
        <v>1</v>
      </c>
      <c r="S474" s="156">
        <f t="shared" si="57"/>
        <v>134174</v>
      </c>
      <c r="T474" s="156">
        <f t="shared" si="58"/>
        <v>134174</v>
      </c>
    </row>
    <row r="475" spans="1:20" s="9" customFormat="1" ht="35.1" customHeight="1" x14ac:dyDescent="0.25">
      <c r="A475" s="215"/>
      <c r="B475" s="255" t="s">
        <v>682</v>
      </c>
      <c r="C475" s="254" t="s">
        <v>1248</v>
      </c>
      <c r="D475" s="255" t="s">
        <v>374</v>
      </c>
      <c r="E475" s="242">
        <v>0</v>
      </c>
      <c r="F475" s="242">
        <v>2</v>
      </c>
      <c r="G475" s="242">
        <f t="shared" si="60"/>
        <v>2</v>
      </c>
      <c r="H475" s="243">
        <v>134174</v>
      </c>
      <c r="I475" s="243">
        <f t="shared" si="55"/>
        <v>268348</v>
      </c>
      <c r="J475" s="8"/>
      <c r="K475" s="8">
        <f t="shared" si="53"/>
        <v>134174</v>
      </c>
      <c r="L475" s="8">
        <f t="shared" si="56"/>
        <v>0</v>
      </c>
      <c r="M475" s="9" t="str">
        <f t="array" ref="M475">_xlfn.XLOOKUP(C475,'Neiva 2022 FASE I ACTUAL (5)'!$C$6:$C$540,'Neiva 2022 FASE I ACTUAL (5)'!$C$6:$F$540,"NO ESTA")</f>
        <v>NO ESTA</v>
      </c>
      <c r="Q475" s="124">
        <f t="shared" si="59"/>
        <v>0</v>
      </c>
      <c r="R475" s="155">
        <f t="shared" si="54"/>
        <v>0</v>
      </c>
      <c r="S475" s="156">
        <f t="shared" si="57"/>
        <v>134174</v>
      </c>
      <c r="T475" s="156">
        <f t="shared" si="58"/>
        <v>0</v>
      </c>
    </row>
    <row r="476" spans="1:20" s="9" customFormat="1" ht="39.950000000000003" customHeight="1" x14ac:dyDescent="0.25">
      <c r="A476" s="215"/>
      <c r="B476" s="255" t="s">
        <v>684</v>
      </c>
      <c r="C476" s="254" t="s">
        <v>1247</v>
      </c>
      <c r="D476" s="255" t="s">
        <v>374</v>
      </c>
      <c r="E476" s="242">
        <v>0</v>
      </c>
      <c r="F476" s="242">
        <v>1</v>
      </c>
      <c r="G476" s="242">
        <f t="shared" si="60"/>
        <v>1</v>
      </c>
      <c r="H476" s="243">
        <v>169463</v>
      </c>
      <c r="I476" s="243">
        <f t="shared" si="55"/>
        <v>169463</v>
      </c>
      <c r="J476" s="8"/>
      <c r="K476" s="8">
        <f t="shared" si="53"/>
        <v>169463</v>
      </c>
      <c r="L476" s="8">
        <f t="shared" si="56"/>
        <v>0</v>
      </c>
      <c r="M476" s="9" t="str">
        <f t="array" ref="M476">_xlfn.XLOOKUP(C476,'Neiva 2022 FASE I ACTUAL (5)'!$C$6:$C$540,'Neiva 2022 FASE I ACTUAL (5)'!$C$6:$F$540,"NO ESTA")</f>
        <v>NO ESTA</v>
      </c>
      <c r="Q476" s="124">
        <f t="shared" si="59"/>
        <v>0</v>
      </c>
      <c r="R476" s="155">
        <f t="shared" si="54"/>
        <v>0</v>
      </c>
      <c r="S476" s="156">
        <f t="shared" si="57"/>
        <v>169463</v>
      </c>
      <c r="T476" s="156">
        <f t="shared" si="58"/>
        <v>0</v>
      </c>
    </row>
    <row r="477" spans="1:20" s="9" customFormat="1" ht="35.1" customHeight="1" x14ac:dyDescent="0.25">
      <c r="A477" s="215"/>
      <c r="B477" s="290" t="s">
        <v>685</v>
      </c>
      <c r="C477" s="256" t="s">
        <v>686</v>
      </c>
      <c r="D477" s="256"/>
      <c r="E477" s="256"/>
      <c r="F477" s="256"/>
      <c r="G477" s="256"/>
      <c r="H477" s="256"/>
      <c r="I477" s="256"/>
      <c r="J477" s="8"/>
      <c r="K477" s="8">
        <f t="shared" si="53"/>
        <v>0</v>
      </c>
      <c r="L477" s="8">
        <f t="shared" si="56"/>
        <v>0</v>
      </c>
      <c r="M477" s="9" t="str">
        <f t="array" ref="M477:P477">_xlfn.XLOOKUP(C477,'Neiva 2022 FASE I ACTUAL (5)'!$C$6:$C$540,'Neiva 2022 FASE I ACTUAL (5)'!$C$6:$F$540,"NO ESTA")</f>
        <v xml:space="preserve">SUMINISTRO E INSTALACIÓN PUESTA A TIERRA PLANTA GENERADORA (Incluye preparación de tierra con la solución Sanick Gel para obtener una elevada conductividad eléctrica (ver especificaciones técnicas de diseño anexas) </v>
      </c>
      <c r="N477" s="9">
        <v>0</v>
      </c>
      <c r="O477" s="9">
        <v>0</v>
      </c>
      <c r="P477" s="9">
        <v>0</v>
      </c>
      <c r="Q477" s="124">
        <f t="shared" si="59"/>
        <v>0</v>
      </c>
      <c r="R477" s="155">
        <f t="shared" si="54"/>
        <v>0</v>
      </c>
      <c r="S477" s="156">
        <f t="shared" si="57"/>
        <v>0</v>
      </c>
      <c r="T477" s="156">
        <f t="shared" si="58"/>
        <v>0</v>
      </c>
    </row>
    <row r="478" spans="1:20" s="9" customFormat="1" ht="35.1" customHeight="1" x14ac:dyDescent="0.25">
      <c r="A478" s="215"/>
      <c r="B478" s="255" t="s">
        <v>687</v>
      </c>
      <c r="C478" s="254" t="s">
        <v>665</v>
      </c>
      <c r="D478" s="255" t="s">
        <v>269</v>
      </c>
      <c r="E478" s="242">
        <v>0</v>
      </c>
      <c r="F478" s="242">
        <v>35</v>
      </c>
      <c r="G478" s="242">
        <f t="shared" si="60"/>
        <v>35</v>
      </c>
      <c r="H478" s="243">
        <v>24787</v>
      </c>
      <c r="I478" s="243">
        <f t="shared" si="55"/>
        <v>867545</v>
      </c>
      <c r="J478" s="8"/>
      <c r="K478" s="8">
        <f t="shared" si="53"/>
        <v>24787</v>
      </c>
      <c r="L478" s="8">
        <f t="shared" si="56"/>
        <v>0</v>
      </c>
      <c r="M478" s="9" t="str">
        <f t="array" ref="M478:P478">_xlfn.XLOOKUP(C478,'Neiva 2022 FASE I ACTUAL (5)'!$C$6:$C$540,'Neiva 2022 FASE I ACTUAL (5)'!$C$6:$F$540,"NO ESTA")</f>
        <v>SUMINISTRO E INSTALACIÓN CONDUCTOR 2/0 Cu. TEMPLE DURO</v>
      </c>
      <c r="N478" s="9" t="str">
        <v xml:space="preserve">ML   </v>
      </c>
      <c r="O478" s="9">
        <v>35</v>
      </c>
      <c r="P478" s="9">
        <v>23788</v>
      </c>
      <c r="Q478" s="124" t="str">
        <f t="shared" si="59"/>
        <v>FASE II</v>
      </c>
      <c r="R478" s="155">
        <f t="shared" si="54"/>
        <v>35</v>
      </c>
      <c r="S478" s="156">
        <f t="shared" si="57"/>
        <v>24787</v>
      </c>
      <c r="T478" s="156">
        <f t="shared" si="58"/>
        <v>867545</v>
      </c>
    </row>
    <row r="479" spans="1:20" s="9" customFormat="1" ht="57" customHeight="1" x14ac:dyDescent="0.25">
      <c r="A479" s="215"/>
      <c r="B479" s="255" t="s">
        <v>688</v>
      </c>
      <c r="C479" s="254" t="s">
        <v>1249</v>
      </c>
      <c r="D479" s="255" t="s">
        <v>374</v>
      </c>
      <c r="E479" s="242">
        <v>0</v>
      </c>
      <c r="F479" s="242">
        <v>1</v>
      </c>
      <c r="G479" s="242">
        <f t="shared" si="60"/>
        <v>1</v>
      </c>
      <c r="H479" s="243">
        <v>718779</v>
      </c>
      <c r="I479" s="243">
        <f t="shared" si="55"/>
        <v>718779</v>
      </c>
      <c r="J479" s="8"/>
      <c r="K479" s="8">
        <f t="shared" si="53"/>
        <v>718779</v>
      </c>
      <c r="L479" s="8">
        <f t="shared" si="56"/>
        <v>0</v>
      </c>
      <c r="M479" s="9" t="str">
        <f t="array" ref="M479">_xlfn.XLOOKUP(C479,'Neiva 2022 FASE I ACTUAL (5)'!$C$6:$C$540,'Neiva 2022 FASE I ACTUAL (5)'!$C$6:$F$540,"NO ESTA")</f>
        <v>NO ESTA</v>
      </c>
      <c r="Q479" s="124">
        <f t="shared" si="59"/>
        <v>0</v>
      </c>
      <c r="R479" s="155">
        <f t="shared" si="54"/>
        <v>0</v>
      </c>
      <c r="S479" s="156">
        <f t="shared" si="57"/>
        <v>718779</v>
      </c>
      <c r="T479" s="156">
        <f t="shared" si="58"/>
        <v>0</v>
      </c>
    </row>
    <row r="480" spans="1:20" s="9" customFormat="1" ht="35.1" customHeight="1" x14ac:dyDescent="0.25">
      <c r="A480" s="215"/>
      <c r="B480" s="244" t="s">
        <v>690</v>
      </c>
      <c r="C480" s="256" t="s">
        <v>691</v>
      </c>
      <c r="D480" s="256"/>
      <c r="E480" s="256"/>
      <c r="F480" s="256"/>
      <c r="G480" s="256"/>
      <c r="H480" s="256"/>
      <c r="I480" s="256"/>
      <c r="J480" s="8"/>
      <c r="K480" s="8">
        <f t="shared" si="53"/>
        <v>0</v>
      </c>
      <c r="L480" s="8">
        <f t="shared" si="56"/>
        <v>0</v>
      </c>
      <c r="M480" s="9" t="str">
        <f t="array" ref="M480:P480">_xlfn.XLOOKUP(C480,'Neiva 2022 FASE I ACTUAL (5)'!$C$6:$C$540,'Neiva 2022 FASE I ACTUAL (5)'!$C$6:$F$540,"NO ESTA")</f>
        <v>SISTEMA DE PROTECCIÓN EXTERNA CONTRA DESCARGAS ATMOSFÉRICAS BAJANTES DE PARARRAYOS DESDE CUBIERTA A TERRENO</v>
      </c>
      <c r="N480" s="9">
        <v>0</v>
      </c>
      <c r="O480" s="9">
        <v>0</v>
      </c>
      <c r="P480" s="9">
        <v>0</v>
      </c>
      <c r="Q480" s="124">
        <f t="shared" si="59"/>
        <v>0</v>
      </c>
      <c r="R480" s="155">
        <f t="shared" si="54"/>
        <v>0</v>
      </c>
      <c r="S480" s="156">
        <f t="shared" si="57"/>
        <v>0</v>
      </c>
      <c r="T480" s="156">
        <f t="shared" si="58"/>
        <v>0</v>
      </c>
    </row>
    <row r="481" spans="1:20" s="9" customFormat="1" ht="35.1" customHeight="1" x14ac:dyDescent="0.25">
      <c r="A481" s="215"/>
      <c r="B481" s="255" t="s">
        <v>692</v>
      </c>
      <c r="C481" s="254" t="s">
        <v>693</v>
      </c>
      <c r="D481" s="255" t="s">
        <v>269</v>
      </c>
      <c r="E481" s="242">
        <v>0</v>
      </c>
      <c r="F481" s="242">
        <v>65</v>
      </c>
      <c r="G481" s="242">
        <f t="shared" si="60"/>
        <v>65</v>
      </c>
      <c r="H481" s="243">
        <v>4829</v>
      </c>
      <c r="I481" s="243">
        <f t="shared" si="55"/>
        <v>313885</v>
      </c>
      <c r="J481" s="8"/>
      <c r="K481" s="8">
        <f t="shared" si="53"/>
        <v>4829</v>
      </c>
      <c r="L481" s="8">
        <f t="shared" si="56"/>
        <v>0</v>
      </c>
      <c r="M481" s="9" t="str">
        <f t="array" ref="M481:P481">_xlfn.XLOOKUP(C481,'Neiva 2022 FASE I ACTUAL (5)'!$C$6:$C$540,'Neiva 2022 FASE I ACTUAL (5)'!$C$6:$F$540,"NO ESTA")</f>
        <v>SUMINISTRO E INSTALACIÓN TENDIDO DE TUBERÍA Ø 3/4” PVC EMBEBIDO EN LAS COLUMNAS DE CONCRETO, DESDE LA CUBIERTA HASTA EL TERRENO.</v>
      </c>
      <c r="N481" s="9" t="str">
        <v xml:space="preserve">ML   </v>
      </c>
      <c r="O481" s="9">
        <v>65</v>
      </c>
      <c r="P481" s="9">
        <v>4633</v>
      </c>
      <c r="Q481" s="124" t="str">
        <f t="shared" si="59"/>
        <v>FASE II</v>
      </c>
      <c r="R481" s="155">
        <f t="shared" si="54"/>
        <v>65</v>
      </c>
      <c r="S481" s="156">
        <f t="shared" si="57"/>
        <v>4829</v>
      </c>
      <c r="T481" s="156">
        <f t="shared" si="58"/>
        <v>313885</v>
      </c>
    </row>
    <row r="482" spans="1:20" s="9" customFormat="1" ht="35.1" customHeight="1" x14ac:dyDescent="0.25">
      <c r="A482" s="215"/>
      <c r="B482" s="255" t="s">
        <v>694</v>
      </c>
      <c r="C482" s="254" t="s">
        <v>695</v>
      </c>
      <c r="D482" s="255" t="s">
        <v>269</v>
      </c>
      <c r="E482" s="242">
        <v>0</v>
      </c>
      <c r="F482" s="242">
        <v>69</v>
      </c>
      <c r="G482" s="242">
        <f t="shared" si="60"/>
        <v>69</v>
      </c>
      <c r="H482" s="243">
        <v>15003</v>
      </c>
      <c r="I482" s="243">
        <f t="shared" si="55"/>
        <v>1035207</v>
      </c>
      <c r="J482" s="8"/>
      <c r="K482" s="8">
        <f t="shared" si="53"/>
        <v>15003</v>
      </c>
      <c r="L482" s="8">
        <f t="shared" si="56"/>
        <v>0</v>
      </c>
      <c r="M482" s="9" t="str">
        <f t="array" ref="M482:P482">_xlfn.XLOOKUP(C482,'Neiva 2022 FASE I ACTUAL (5)'!$C$6:$C$540,'Neiva 2022 FASE I ACTUAL (5)'!$C$6:$F$540,"NO ESTA")</f>
        <v>SUMINISTRO E INSTALACIÓN TENDIDO DE CONDUCTOR DE COBRE DESNUDO # 2 AWG, DESDE LA CUBIERTA HASTA EL TERRENO POR LAS BAJANTES.</v>
      </c>
      <c r="N482" s="9" t="str">
        <v xml:space="preserve">ML   </v>
      </c>
      <c r="O482" s="9">
        <v>69</v>
      </c>
      <c r="P482" s="9">
        <v>14398</v>
      </c>
      <c r="Q482" s="124" t="str">
        <f t="shared" si="59"/>
        <v>FASE II</v>
      </c>
      <c r="R482" s="155">
        <f t="shared" si="54"/>
        <v>69</v>
      </c>
      <c r="S482" s="156">
        <f t="shared" si="57"/>
        <v>15003</v>
      </c>
      <c r="T482" s="156">
        <f t="shared" si="58"/>
        <v>1035207</v>
      </c>
    </row>
    <row r="483" spans="1:20" s="9" customFormat="1" ht="35.1" customHeight="1" x14ac:dyDescent="0.25">
      <c r="A483" s="215"/>
      <c r="B483" s="255" t="s">
        <v>696</v>
      </c>
      <c r="C483" s="254" t="s">
        <v>697</v>
      </c>
      <c r="D483" s="255" t="s">
        <v>269</v>
      </c>
      <c r="E483" s="242">
        <v>0</v>
      </c>
      <c r="F483" s="242">
        <v>244</v>
      </c>
      <c r="G483" s="242">
        <f t="shared" si="60"/>
        <v>244</v>
      </c>
      <c r="H483" s="243">
        <v>5480</v>
      </c>
      <c r="I483" s="243">
        <f t="shared" si="55"/>
        <v>1337120</v>
      </c>
      <c r="J483" s="8"/>
      <c r="K483" s="8">
        <f t="shared" si="53"/>
        <v>5480</v>
      </c>
      <c r="L483" s="8">
        <f t="shared" si="56"/>
        <v>0</v>
      </c>
      <c r="M483" s="9" t="str">
        <f t="array" ref="M483:P483">_xlfn.XLOOKUP(C483,'Neiva 2022 FASE I ACTUAL (5)'!$C$6:$C$540,'Neiva 2022 FASE I ACTUAL (5)'!$C$6:$F$540,"NO ESTA")</f>
        <v>SUMINISTRO E INSTALACIÓN TENDIDO DE ALAMBRON 8MM SOBREPUESTO EN LOS BORDES DE LA CUBIERTA PARA INTERCONEXIÓN DE PUNTAS CAPTADORAS Y BAJANTES A MALLA A TIERRA.</v>
      </c>
      <c r="N483" s="9" t="str">
        <v xml:space="preserve">ML   </v>
      </c>
      <c r="O483" s="9">
        <v>244</v>
      </c>
      <c r="P483" s="9">
        <v>5259</v>
      </c>
      <c r="Q483" s="124" t="str">
        <f t="shared" si="59"/>
        <v>FASE II</v>
      </c>
      <c r="R483" s="155">
        <f t="shared" si="54"/>
        <v>244</v>
      </c>
      <c r="S483" s="156">
        <f t="shared" si="57"/>
        <v>5480</v>
      </c>
      <c r="T483" s="156">
        <f t="shared" si="58"/>
        <v>1337120</v>
      </c>
    </row>
    <row r="484" spans="1:20" s="9" customFormat="1" ht="35.1" customHeight="1" x14ac:dyDescent="0.25">
      <c r="A484" s="215"/>
      <c r="B484" s="255" t="s">
        <v>698</v>
      </c>
      <c r="C484" s="254" t="s">
        <v>1250</v>
      </c>
      <c r="D484" s="255" t="s">
        <v>269</v>
      </c>
      <c r="E484" s="242">
        <v>0</v>
      </c>
      <c r="F484" s="242">
        <v>190</v>
      </c>
      <c r="G484" s="242">
        <f t="shared" si="60"/>
        <v>190</v>
      </c>
      <c r="H484" s="243">
        <v>15003</v>
      </c>
      <c r="I484" s="243">
        <f t="shared" si="55"/>
        <v>2850570</v>
      </c>
      <c r="J484" s="8"/>
      <c r="K484" s="8">
        <f t="shared" si="53"/>
        <v>15003</v>
      </c>
      <c r="L484" s="8">
        <f t="shared" si="56"/>
        <v>0</v>
      </c>
      <c r="M484" s="9" t="str">
        <f t="array" ref="M484">_xlfn.XLOOKUP(C484,'Neiva 2022 FASE I ACTUAL (5)'!$C$6:$C$540,'Neiva 2022 FASE I ACTUAL (5)'!$C$6:$F$540,"NO ESTA")</f>
        <v>NO ESTA</v>
      </c>
      <c r="Q484" s="124">
        <f t="shared" si="59"/>
        <v>0</v>
      </c>
      <c r="R484" s="155">
        <f t="shared" si="54"/>
        <v>0</v>
      </c>
      <c r="S484" s="156">
        <f t="shared" si="57"/>
        <v>15003</v>
      </c>
      <c r="T484" s="156">
        <f t="shared" si="58"/>
        <v>0</v>
      </c>
    </row>
    <row r="485" spans="1:20" s="9" customFormat="1" ht="54" customHeight="1" x14ac:dyDescent="0.25">
      <c r="A485" s="215"/>
      <c r="B485" s="255" t="s">
        <v>700</v>
      </c>
      <c r="C485" s="254" t="s">
        <v>1251</v>
      </c>
      <c r="D485" s="255" t="s">
        <v>374</v>
      </c>
      <c r="E485" s="242">
        <v>0</v>
      </c>
      <c r="F485" s="242">
        <v>14</v>
      </c>
      <c r="G485" s="242">
        <f t="shared" si="60"/>
        <v>14</v>
      </c>
      <c r="H485" s="243">
        <v>217215</v>
      </c>
      <c r="I485" s="243">
        <f t="shared" si="55"/>
        <v>3041010</v>
      </c>
      <c r="J485" s="8"/>
      <c r="K485" s="8">
        <f t="shared" si="53"/>
        <v>217215</v>
      </c>
      <c r="L485" s="8">
        <f t="shared" si="56"/>
        <v>0</v>
      </c>
      <c r="M485" s="9" t="str">
        <f t="array" ref="M485">_xlfn.XLOOKUP(C485,'Neiva 2022 FASE I ACTUAL (5)'!$C$6:$C$540,'Neiva 2022 FASE I ACTUAL (5)'!$C$6:$F$540,"NO ESTA")</f>
        <v>NO ESTA</v>
      </c>
      <c r="Q485" s="124">
        <f t="shared" si="59"/>
        <v>0</v>
      </c>
      <c r="R485" s="155">
        <f t="shared" si="54"/>
        <v>0</v>
      </c>
      <c r="S485" s="156">
        <f t="shared" si="57"/>
        <v>217215</v>
      </c>
      <c r="T485" s="156">
        <f t="shared" si="58"/>
        <v>0</v>
      </c>
    </row>
    <row r="486" spans="1:20" s="9" customFormat="1" ht="35.1" customHeight="1" x14ac:dyDescent="0.25">
      <c r="A486" s="215"/>
      <c r="B486" s="255" t="s">
        <v>702</v>
      </c>
      <c r="C486" s="254" t="s">
        <v>703</v>
      </c>
      <c r="D486" s="255" t="s">
        <v>374</v>
      </c>
      <c r="E486" s="242">
        <v>0</v>
      </c>
      <c r="F486" s="242">
        <v>86</v>
      </c>
      <c r="G486" s="242">
        <f t="shared" si="60"/>
        <v>86</v>
      </c>
      <c r="H486" s="243">
        <v>21438</v>
      </c>
      <c r="I486" s="243">
        <f t="shared" si="55"/>
        <v>1843668</v>
      </c>
      <c r="J486" s="8"/>
      <c r="K486" s="8">
        <f t="shared" si="53"/>
        <v>21438</v>
      </c>
      <c r="L486" s="8">
        <f t="shared" si="56"/>
        <v>0</v>
      </c>
      <c r="M486" s="9" t="str">
        <f t="array" ref="M486:P486">_xlfn.XLOOKUP(C486,'Neiva 2022 FASE I ACTUAL (5)'!$C$6:$C$540,'Neiva 2022 FASE I ACTUAL (5)'!$C$6:$F$540,"NO ESTA")</f>
        <v>SUMINISTRO E INSTALACIÓN ABRAZADERAS DE BRONCE PARA SOPORTAR EL CABLE AL MURO DE CONCRETO APROBADAS PARA INTEMPERIE.</v>
      </c>
      <c r="N486" s="9" t="str">
        <v>UN</v>
      </c>
      <c r="O486" s="9">
        <v>86</v>
      </c>
      <c r="P486" s="9">
        <v>20574</v>
      </c>
      <c r="Q486" s="124" t="str">
        <f t="shared" si="59"/>
        <v>FASE II</v>
      </c>
      <c r="R486" s="155">
        <f t="shared" si="54"/>
        <v>86</v>
      </c>
      <c r="S486" s="156">
        <f t="shared" si="57"/>
        <v>21438</v>
      </c>
      <c r="T486" s="156">
        <f t="shared" si="58"/>
        <v>1843668</v>
      </c>
    </row>
    <row r="487" spans="1:20" s="9" customFormat="1" ht="35.1" customHeight="1" x14ac:dyDescent="0.25">
      <c r="A487" s="215"/>
      <c r="B487" s="255" t="s">
        <v>704</v>
      </c>
      <c r="C487" s="254" t="s">
        <v>705</v>
      </c>
      <c r="D487" s="255" t="s">
        <v>374</v>
      </c>
      <c r="E487" s="242">
        <v>0</v>
      </c>
      <c r="F487" s="242">
        <v>4</v>
      </c>
      <c r="G487" s="242">
        <f t="shared" si="60"/>
        <v>4</v>
      </c>
      <c r="H487" s="243">
        <v>26602</v>
      </c>
      <c r="I487" s="243">
        <f t="shared" si="55"/>
        <v>106408</v>
      </c>
      <c r="J487" s="8"/>
      <c r="K487" s="8">
        <f t="shared" si="53"/>
        <v>26602</v>
      </c>
      <c r="L487" s="8">
        <f t="shared" si="56"/>
        <v>0</v>
      </c>
      <c r="M487" s="9" t="str">
        <f t="array" ref="M487:P487">_xlfn.XLOOKUP(C487,'Neiva 2022 FASE I ACTUAL (5)'!$C$6:$C$540,'Neiva 2022 FASE I ACTUAL (5)'!$C$6:$F$540,"NO ESTA")</f>
        <v>SUMINISTRO E INSTALACIÓN GRAPA DERIVACIÓN EN T DE BRONCE PARA SOPORTAR EL CABLE AL MURO DE CONCRETO APROBADAS PARA INTEMPERIE.</v>
      </c>
      <c r="N487" s="9" t="str">
        <v>UN</v>
      </c>
      <c r="O487" s="9">
        <v>4</v>
      </c>
      <c r="P487" s="9">
        <v>25530</v>
      </c>
      <c r="Q487" s="124" t="str">
        <f t="shared" si="59"/>
        <v>FASE II</v>
      </c>
      <c r="R487" s="155">
        <f t="shared" si="54"/>
        <v>4</v>
      </c>
      <c r="S487" s="156">
        <f t="shared" si="57"/>
        <v>26602</v>
      </c>
      <c r="T487" s="156">
        <f t="shared" si="58"/>
        <v>106408</v>
      </c>
    </row>
    <row r="488" spans="1:20" s="9" customFormat="1" ht="35.1" customHeight="1" x14ac:dyDescent="0.25">
      <c r="A488" s="215"/>
      <c r="B488" s="255" t="s">
        <v>706</v>
      </c>
      <c r="C488" s="254" t="s">
        <v>707</v>
      </c>
      <c r="D488" s="255" t="s">
        <v>374</v>
      </c>
      <c r="E488" s="242">
        <v>0</v>
      </c>
      <c r="F488" s="242">
        <v>4</v>
      </c>
      <c r="G488" s="242">
        <f t="shared" si="60"/>
        <v>4</v>
      </c>
      <c r="H488" s="243">
        <v>218309</v>
      </c>
      <c r="I488" s="243">
        <f t="shared" si="55"/>
        <v>873236</v>
      </c>
      <c r="J488" s="8"/>
      <c r="K488" s="8">
        <f t="shared" si="53"/>
        <v>218309</v>
      </c>
      <c r="L488" s="8">
        <f t="shared" si="56"/>
        <v>0</v>
      </c>
      <c r="M488" s="9" t="str">
        <f t="array" ref="M488:P488">_xlfn.XLOOKUP(C488,'Neiva 2022 FASE I ACTUAL (5)'!$C$6:$C$540,'Neiva 2022 FASE I ACTUAL (5)'!$C$6:$F$540,"NO ESTA")</f>
        <v>SUMINISTRO E INSTALACIÓN ELECTRODO DE PUESTA A TIERRA EN CU DE 5/8"X 8' + CONECTOR</v>
      </c>
      <c r="N488" s="9" t="str">
        <v>UN</v>
      </c>
      <c r="O488" s="9">
        <v>4</v>
      </c>
      <c r="P488" s="9">
        <v>209505</v>
      </c>
      <c r="Q488" s="124" t="str">
        <f t="shared" si="59"/>
        <v>FASE II</v>
      </c>
      <c r="R488" s="155">
        <f t="shared" si="54"/>
        <v>4</v>
      </c>
      <c r="S488" s="156">
        <f t="shared" si="57"/>
        <v>218309</v>
      </c>
      <c r="T488" s="156">
        <f t="shared" si="58"/>
        <v>873236</v>
      </c>
    </row>
    <row r="489" spans="1:20" s="9" customFormat="1" ht="35.1" customHeight="1" x14ac:dyDescent="0.25">
      <c r="A489" s="215"/>
      <c r="B489" s="255" t="s">
        <v>708</v>
      </c>
      <c r="C489" s="254" t="s">
        <v>709</v>
      </c>
      <c r="D489" s="255" t="s">
        <v>374</v>
      </c>
      <c r="E489" s="242">
        <v>0</v>
      </c>
      <c r="F489" s="242">
        <v>4</v>
      </c>
      <c r="G489" s="242">
        <f t="shared" si="60"/>
        <v>4</v>
      </c>
      <c r="H489" s="243">
        <v>134174</v>
      </c>
      <c r="I489" s="243">
        <f t="shared" si="55"/>
        <v>536696</v>
      </c>
      <c r="J489" s="8"/>
      <c r="K489" s="8">
        <f t="shared" si="53"/>
        <v>134174</v>
      </c>
      <c r="L489" s="8">
        <f t="shared" si="56"/>
        <v>0</v>
      </c>
      <c r="M489" s="9" t="str">
        <f t="array" ref="M489:P489">_xlfn.XLOOKUP(C489,'Neiva 2022 FASE I ACTUAL (5)'!$C$6:$C$540,'Neiva 2022 FASE I ACTUAL (5)'!$C$6:$F$540,"NO ESTA")</f>
        <v>SUMINISTRO E INSTALACIÓN CONEXIÓN EXOTÉRMICA VARILLA-CABLE CALIBRE #2 AWG. INCLUYE SUMINISTRO DE MOLDE FÚNDENTE Y DEMÁS ACCESORIOS.</v>
      </c>
      <c r="N489" s="9" t="str">
        <v>UN</v>
      </c>
      <c r="O489" s="9">
        <v>4</v>
      </c>
      <c r="P489" s="9">
        <v>128763</v>
      </c>
      <c r="Q489" s="124" t="str">
        <f t="shared" si="59"/>
        <v>FASE II</v>
      </c>
      <c r="R489" s="155">
        <f t="shared" si="54"/>
        <v>4</v>
      </c>
      <c r="S489" s="156">
        <f t="shared" si="57"/>
        <v>134174</v>
      </c>
      <c r="T489" s="156">
        <f t="shared" si="58"/>
        <v>536696</v>
      </c>
    </row>
    <row r="490" spans="1:20" s="9" customFormat="1" ht="35.1" customHeight="1" x14ac:dyDescent="0.25">
      <c r="A490" s="215"/>
      <c r="B490" s="255" t="s">
        <v>710</v>
      </c>
      <c r="C490" s="254" t="s">
        <v>1252</v>
      </c>
      <c r="D490" s="255" t="s">
        <v>374</v>
      </c>
      <c r="E490" s="242">
        <v>0</v>
      </c>
      <c r="F490" s="242">
        <v>4</v>
      </c>
      <c r="G490" s="242">
        <f t="shared" si="60"/>
        <v>4</v>
      </c>
      <c r="H490" s="243">
        <v>266807</v>
      </c>
      <c r="I490" s="243">
        <f t="shared" si="55"/>
        <v>1067228</v>
      </c>
      <c r="J490" s="8"/>
      <c r="K490" s="8">
        <f t="shared" si="53"/>
        <v>266807</v>
      </c>
      <c r="L490" s="8">
        <f t="shared" si="56"/>
        <v>0</v>
      </c>
      <c r="M490" s="9" t="str">
        <f t="array" ref="M490">_xlfn.XLOOKUP(C490,'Neiva 2022 FASE I ACTUAL (5)'!$C$6:$C$540,'Neiva 2022 FASE I ACTUAL (5)'!$C$6:$F$540,"NO ESTA")</f>
        <v>NO ESTA</v>
      </c>
      <c r="Q490" s="124">
        <f t="shared" si="59"/>
        <v>0</v>
      </c>
      <c r="R490" s="155">
        <f t="shared" si="54"/>
        <v>0</v>
      </c>
      <c r="S490" s="156">
        <f t="shared" si="57"/>
        <v>266807</v>
      </c>
      <c r="T490" s="156">
        <f t="shared" si="58"/>
        <v>0</v>
      </c>
    </row>
    <row r="491" spans="1:20" s="9" customFormat="1" ht="35.1" customHeight="1" x14ac:dyDescent="0.25">
      <c r="A491" s="215"/>
      <c r="B491" s="244" t="s">
        <v>1253</v>
      </c>
      <c r="C491" s="256" t="s">
        <v>1254</v>
      </c>
      <c r="D491" s="256"/>
      <c r="E491" s="246"/>
      <c r="F491" s="246"/>
      <c r="G491" s="246"/>
      <c r="H491" s="246"/>
      <c r="I491" s="246"/>
      <c r="J491" s="8"/>
      <c r="K491" s="8">
        <f t="shared" si="53"/>
        <v>0</v>
      </c>
      <c r="L491" s="8">
        <f t="shared" si="56"/>
        <v>0</v>
      </c>
      <c r="M491" s="9" t="str">
        <f t="array" ref="M491">_xlfn.XLOOKUP(C491,'Neiva 2022 FASE I ACTUAL (5)'!$C$6:$C$540,'Neiva 2022 FASE I ACTUAL (5)'!$C$6:$F$540,"NO ESTA")</f>
        <v>NO ESTA</v>
      </c>
      <c r="Q491" s="124">
        <f t="shared" si="59"/>
        <v>0</v>
      </c>
      <c r="R491" s="155">
        <f t="shared" si="54"/>
        <v>0</v>
      </c>
      <c r="S491" s="156">
        <f t="shared" si="57"/>
        <v>0</v>
      </c>
      <c r="T491" s="156">
        <f t="shared" si="58"/>
        <v>0</v>
      </c>
    </row>
    <row r="492" spans="1:20" s="9" customFormat="1" ht="108.75" customHeight="1" x14ac:dyDescent="0.25">
      <c r="A492" s="215"/>
      <c r="B492" s="255" t="s">
        <v>1255</v>
      </c>
      <c r="C492" s="254" t="s">
        <v>1256</v>
      </c>
      <c r="D492" s="255" t="s">
        <v>374</v>
      </c>
      <c r="E492" s="242">
        <v>1</v>
      </c>
      <c r="F492" s="242"/>
      <c r="G492" s="242">
        <v>1</v>
      </c>
      <c r="H492" s="243">
        <v>209388432</v>
      </c>
      <c r="I492" s="243">
        <f t="shared" si="55"/>
        <v>209388432</v>
      </c>
      <c r="J492" s="8"/>
      <c r="K492" s="8">
        <f t="shared" si="53"/>
        <v>209388432</v>
      </c>
      <c r="L492" s="8">
        <f t="shared" si="56"/>
        <v>209388432</v>
      </c>
      <c r="M492" s="9" t="str">
        <f t="array" ref="M492">_xlfn.XLOOKUP(C492,'Neiva 2022 FASE I ACTUAL (5)'!$C$6:$C$540,'Neiva 2022 FASE I ACTUAL (5)'!$C$6:$F$540,"NO ESTA")</f>
        <v>NO ESTA</v>
      </c>
      <c r="Q492" s="124">
        <f t="shared" si="59"/>
        <v>0</v>
      </c>
      <c r="R492" s="155">
        <f t="shared" si="54"/>
        <v>1</v>
      </c>
      <c r="S492" s="156">
        <f t="shared" si="57"/>
        <v>209388432</v>
      </c>
      <c r="T492" s="156">
        <f t="shared" si="58"/>
        <v>209388432</v>
      </c>
    </row>
    <row r="493" spans="1:20" s="9" customFormat="1" ht="35.1" customHeight="1" x14ac:dyDescent="0.25">
      <c r="A493" s="215"/>
      <c r="B493" s="255" t="s">
        <v>1257</v>
      </c>
      <c r="C493" s="254" t="s">
        <v>1258</v>
      </c>
      <c r="D493" s="255" t="s">
        <v>374</v>
      </c>
      <c r="E493" s="242">
        <v>1</v>
      </c>
      <c r="F493" s="242"/>
      <c r="G493" s="242">
        <v>1</v>
      </c>
      <c r="H493" s="243">
        <v>1018263</v>
      </c>
      <c r="I493" s="243">
        <f t="shared" si="55"/>
        <v>1018263</v>
      </c>
      <c r="J493" s="8"/>
      <c r="K493" s="8">
        <f t="shared" si="53"/>
        <v>1018263</v>
      </c>
      <c r="L493" s="8">
        <f t="shared" si="56"/>
        <v>1018263</v>
      </c>
      <c r="M493" s="9" t="str">
        <f t="array" ref="M493">_xlfn.XLOOKUP(C493,'Neiva 2022 FASE I ACTUAL (5)'!$C$6:$C$540,'Neiva 2022 FASE I ACTUAL (5)'!$C$6:$F$540,"NO ESTA")</f>
        <v>NO ESTA</v>
      </c>
      <c r="Q493" s="124">
        <f t="shared" si="59"/>
        <v>0</v>
      </c>
      <c r="R493" s="155">
        <f t="shared" si="54"/>
        <v>1</v>
      </c>
      <c r="S493" s="156">
        <f t="shared" si="57"/>
        <v>1018263</v>
      </c>
      <c r="T493" s="156">
        <f t="shared" si="58"/>
        <v>1018263</v>
      </c>
    </row>
    <row r="494" spans="1:20" s="9" customFormat="1" ht="35.1" customHeight="1" x14ac:dyDescent="0.25">
      <c r="A494" s="215"/>
      <c r="B494" s="255" t="s">
        <v>1259</v>
      </c>
      <c r="C494" s="254" t="s">
        <v>1260</v>
      </c>
      <c r="D494" s="255" t="s">
        <v>374</v>
      </c>
      <c r="E494" s="242">
        <v>4</v>
      </c>
      <c r="F494" s="242"/>
      <c r="G494" s="242">
        <v>4</v>
      </c>
      <c r="H494" s="243">
        <v>190719</v>
      </c>
      <c r="I494" s="243">
        <f t="shared" si="55"/>
        <v>762876</v>
      </c>
      <c r="J494" s="8"/>
      <c r="K494" s="8">
        <f t="shared" si="53"/>
        <v>190719</v>
      </c>
      <c r="L494" s="8">
        <f t="shared" si="56"/>
        <v>762876</v>
      </c>
      <c r="M494" s="9" t="str">
        <f t="array" ref="M494">_xlfn.XLOOKUP(C494,'Neiva 2022 FASE I ACTUAL (5)'!$C$6:$C$540,'Neiva 2022 FASE I ACTUAL (5)'!$C$6:$F$540,"NO ESTA")</f>
        <v>NO ESTA</v>
      </c>
      <c r="Q494" s="124">
        <f t="shared" si="59"/>
        <v>0</v>
      </c>
      <c r="R494" s="155">
        <f t="shared" si="54"/>
        <v>4</v>
      </c>
      <c r="S494" s="156">
        <f t="shared" si="57"/>
        <v>190719</v>
      </c>
      <c r="T494" s="156">
        <f t="shared" si="58"/>
        <v>762876</v>
      </c>
    </row>
    <row r="495" spans="1:20" s="9" customFormat="1" ht="50.25" customHeight="1" x14ac:dyDescent="0.25">
      <c r="A495" s="215"/>
      <c r="B495" s="255" t="s">
        <v>1261</v>
      </c>
      <c r="C495" s="254" t="s">
        <v>1262</v>
      </c>
      <c r="D495" s="255" t="s">
        <v>374</v>
      </c>
      <c r="E495" s="242">
        <v>1</v>
      </c>
      <c r="F495" s="242"/>
      <c r="G495" s="242">
        <v>1</v>
      </c>
      <c r="H495" s="243">
        <v>1570059</v>
      </c>
      <c r="I495" s="243">
        <f t="shared" si="55"/>
        <v>1570059</v>
      </c>
      <c r="J495" s="8"/>
      <c r="K495" s="8">
        <f t="shared" si="53"/>
        <v>1570059</v>
      </c>
      <c r="L495" s="8">
        <f t="shared" si="56"/>
        <v>1570059</v>
      </c>
      <c r="M495" s="9" t="str">
        <f t="array" ref="M495">_xlfn.XLOOKUP(C495,'Neiva 2022 FASE I ACTUAL (5)'!$C$6:$C$540,'Neiva 2022 FASE I ACTUAL (5)'!$C$6:$F$540,"NO ESTA")</f>
        <v>NO ESTA</v>
      </c>
      <c r="Q495" s="124">
        <f t="shared" si="59"/>
        <v>0</v>
      </c>
      <c r="R495" s="155">
        <f t="shared" si="54"/>
        <v>1</v>
      </c>
      <c r="S495" s="156">
        <f t="shared" si="57"/>
        <v>1570059</v>
      </c>
      <c r="T495" s="156">
        <f t="shared" si="58"/>
        <v>1570059</v>
      </c>
    </row>
    <row r="496" spans="1:20" s="9" customFormat="1" ht="35.1" customHeight="1" x14ac:dyDescent="0.25">
      <c r="A496" s="215"/>
      <c r="B496" s="255" t="s">
        <v>1263</v>
      </c>
      <c r="C496" s="254" t="s">
        <v>1264</v>
      </c>
      <c r="D496" s="255" t="s">
        <v>374</v>
      </c>
      <c r="E496" s="242">
        <v>1</v>
      </c>
      <c r="F496" s="242"/>
      <c r="G496" s="242">
        <v>1</v>
      </c>
      <c r="H496" s="243">
        <v>791187</v>
      </c>
      <c r="I496" s="243">
        <f t="shared" si="55"/>
        <v>791187</v>
      </c>
      <c r="J496" s="8"/>
      <c r="K496" s="8">
        <f t="shared" si="53"/>
        <v>791187</v>
      </c>
      <c r="L496" s="8">
        <f t="shared" si="56"/>
        <v>791187</v>
      </c>
      <c r="M496" s="9" t="str">
        <f t="array" ref="M496">_xlfn.XLOOKUP(C496,'Neiva 2022 FASE I ACTUAL (5)'!$C$6:$C$540,'Neiva 2022 FASE I ACTUAL (5)'!$C$6:$F$540,"NO ESTA")</f>
        <v>NO ESTA</v>
      </c>
      <c r="Q496" s="124">
        <f t="shared" si="59"/>
        <v>0</v>
      </c>
      <c r="R496" s="155">
        <f t="shared" si="54"/>
        <v>1</v>
      </c>
      <c r="S496" s="156">
        <f t="shared" si="57"/>
        <v>791187</v>
      </c>
      <c r="T496" s="156">
        <f t="shared" si="58"/>
        <v>791187</v>
      </c>
    </row>
    <row r="497" spans="1:20" s="9" customFormat="1" ht="35.1" customHeight="1" x14ac:dyDescent="0.25">
      <c r="A497" s="215"/>
      <c r="B497" s="255" t="s">
        <v>1265</v>
      </c>
      <c r="C497" s="254" t="s">
        <v>1266</v>
      </c>
      <c r="D497" s="255" t="s">
        <v>374</v>
      </c>
      <c r="E497" s="242">
        <v>1</v>
      </c>
      <c r="F497" s="242"/>
      <c r="G497" s="242">
        <v>1</v>
      </c>
      <c r="H497" s="243">
        <v>1497265</v>
      </c>
      <c r="I497" s="243">
        <f t="shared" si="55"/>
        <v>1497265</v>
      </c>
      <c r="J497" s="8"/>
      <c r="K497" s="8">
        <f t="shared" ref="K497:K560" si="61">+ROUND(H497*(1+$K$4),0)</f>
        <v>1497265</v>
      </c>
      <c r="L497" s="8">
        <f t="shared" si="56"/>
        <v>1497265</v>
      </c>
      <c r="M497" s="9" t="str">
        <f t="array" ref="M497">_xlfn.XLOOKUP(C497,'Neiva 2022 FASE I ACTUAL (5)'!$C$6:$C$540,'Neiva 2022 FASE I ACTUAL (5)'!$C$6:$F$540,"NO ESTA")</f>
        <v>NO ESTA</v>
      </c>
      <c r="Q497" s="124">
        <f t="shared" si="59"/>
        <v>0</v>
      </c>
      <c r="R497" s="155">
        <f t="shared" si="54"/>
        <v>1</v>
      </c>
      <c r="S497" s="156">
        <f t="shared" si="57"/>
        <v>1497265</v>
      </c>
      <c r="T497" s="156">
        <f t="shared" si="58"/>
        <v>1497265</v>
      </c>
    </row>
    <row r="498" spans="1:20" s="9" customFormat="1" ht="42.75" customHeight="1" x14ac:dyDescent="0.25">
      <c r="A498" s="215"/>
      <c r="B498" s="255" t="s">
        <v>1267</v>
      </c>
      <c r="C498" s="254" t="s">
        <v>1268</v>
      </c>
      <c r="D498" s="255" t="s">
        <v>269</v>
      </c>
      <c r="E498" s="242">
        <v>8</v>
      </c>
      <c r="F498" s="242"/>
      <c r="G498" s="242">
        <v>8</v>
      </c>
      <c r="H498" s="243">
        <v>221978</v>
      </c>
      <c r="I498" s="243">
        <f t="shared" si="55"/>
        <v>1775824</v>
      </c>
      <c r="J498" s="8"/>
      <c r="K498" s="8">
        <f t="shared" si="61"/>
        <v>221978</v>
      </c>
      <c r="L498" s="8">
        <f t="shared" si="56"/>
        <v>1775824</v>
      </c>
      <c r="M498" s="9" t="str">
        <f t="array" ref="M498">_xlfn.XLOOKUP(C498,'Neiva 2022 FASE I ACTUAL (5)'!$C$6:$C$540,'Neiva 2022 FASE I ACTUAL (5)'!$C$6:$F$540,"NO ESTA")</f>
        <v>NO ESTA</v>
      </c>
      <c r="Q498" s="124">
        <f t="shared" si="59"/>
        <v>0</v>
      </c>
      <c r="R498" s="155">
        <f t="shared" si="54"/>
        <v>8</v>
      </c>
      <c r="S498" s="156">
        <f t="shared" si="57"/>
        <v>221978</v>
      </c>
      <c r="T498" s="156">
        <f t="shared" si="58"/>
        <v>1775824</v>
      </c>
    </row>
    <row r="499" spans="1:20" s="9" customFormat="1" ht="35.1" customHeight="1" x14ac:dyDescent="0.25">
      <c r="A499" s="215"/>
      <c r="B499" s="255" t="s">
        <v>1269</v>
      </c>
      <c r="C499" s="254" t="s">
        <v>1270</v>
      </c>
      <c r="D499" s="255" t="s">
        <v>374</v>
      </c>
      <c r="E499" s="242">
        <v>2</v>
      </c>
      <c r="F499" s="242"/>
      <c r="G499" s="242">
        <v>2</v>
      </c>
      <c r="H499" s="243">
        <v>221978</v>
      </c>
      <c r="I499" s="243">
        <f t="shared" si="55"/>
        <v>443956</v>
      </c>
      <c r="J499" s="8"/>
      <c r="K499" s="8">
        <f t="shared" si="61"/>
        <v>221978</v>
      </c>
      <c r="L499" s="8">
        <f t="shared" si="56"/>
        <v>443956</v>
      </c>
      <c r="M499" s="9" t="str">
        <f t="array" ref="M499">_xlfn.XLOOKUP(C499,'Neiva 2022 FASE I ACTUAL (5)'!$C$6:$C$540,'Neiva 2022 FASE I ACTUAL (5)'!$C$6:$F$540,"NO ESTA")</f>
        <v>NO ESTA</v>
      </c>
      <c r="Q499" s="124">
        <f t="shared" si="59"/>
        <v>0</v>
      </c>
      <c r="R499" s="155">
        <f t="shared" si="54"/>
        <v>2</v>
      </c>
      <c r="S499" s="156">
        <f t="shared" si="57"/>
        <v>221978</v>
      </c>
      <c r="T499" s="156">
        <f t="shared" si="58"/>
        <v>443956</v>
      </c>
    </row>
    <row r="500" spans="1:20" s="9" customFormat="1" ht="35.1" customHeight="1" x14ac:dyDescent="0.25">
      <c r="A500" s="215"/>
      <c r="B500" s="255" t="s">
        <v>1271</v>
      </c>
      <c r="C500" s="254" t="s">
        <v>1272</v>
      </c>
      <c r="D500" s="255" t="s">
        <v>374</v>
      </c>
      <c r="E500" s="242">
        <v>1</v>
      </c>
      <c r="F500" s="242"/>
      <c r="G500" s="242">
        <v>1</v>
      </c>
      <c r="H500" s="243">
        <v>499997</v>
      </c>
      <c r="I500" s="243">
        <f t="shared" si="55"/>
        <v>499997</v>
      </c>
      <c r="J500" s="8"/>
      <c r="K500" s="8">
        <f t="shared" si="61"/>
        <v>499997</v>
      </c>
      <c r="L500" s="8">
        <f t="shared" si="56"/>
        <v>499997</v>
      </c>
      <c r="M500" s="9" t="str">
        <f t="array" ref="M500">_xlfn.XLOOKUP(C500,'Neiva 2022 FASE I ACTUAL (5)'!$C$6:$C$540,'Neiva 2022 FASE I ACTUAL (5)'!$C$6:$F$540,"NO ESTA")</f>
        <v>NO ESTA</v>
      </c>
      <c r="Q500" s="124">
        <f t="shared" si="59"/>
        <v>0</v>
      </c>
      <c r="R500" s="155">
        <f t="shared" si="54"/>
        <v>1</v>
      </c>
      <c r="S500" s="156">
        <f t="shared" si="57"/>
        <v>499997</v>
      </c>
      <c r="T500" s="156">
        <f t="shared" si="58"/>
        <v>499997</v>
      </c>
    </row>
    <row r="501" spans="1:20" s="9" customFormat="1" ht="37.5" customHeight="1" x14ac:dyDescent="0.25">
      <c r="A501" s="215"/>
      <c r="B501" s="255" t="s">
        <v>1273</v>
      </c>
      <c r="C501" s="254" t="s">
        <v>1274</v>
      </c>
      <c r="D501" s="255" t="s">
        <v>374</v>
      </c>
      <c r="E501" s="242">
        <v>1</v>
      </c>
      <c r="F501" s="242"/>
      <c r="G501" s="242">
        <v>1</v>
      </c>
      <c r="H501" s="243">
        <v>455716</v>
      </c>
      <c r="I501" s="243">
        <f t="shared" si="55"/>
        <v>455716</v>
      </c>
      <c r="J501" s="8"/>
      <c r="K501" s="8">
        <f t="shared" si="61"/>
        <v>455716</v>
      </c>
      <c r="L501" s="8">
        <f t="shared" si="56"/>
        <v>455716</v>
      </c>
      <c r="M501" s="9" t="str">
        <f t="array" ref="M501">_xlfn.XLOOKUP(C501,'Neiva 2022 FASE I ACTUAL (5)'!$C$6:$C$540,'Neiva 2022 FASE I ACTUAL (5)'!$C$6:$F$540,"NO ESTA")</f>
        <v>NO ESTA</v>
      </c>
      <c r="Q501" s="124">
        <f t="shared" si="59"/>
        <v>0</v>
      </c>
      <c r="R501" s="155">
        <f t="shared" si="54"/>
        <v>1</v>
      </c>
      <c r="S501" s="156">
        <f t="shared" si="57"/>
        <v>455716</v>
      </c>
      <c r="T501" s="156">
        <f t="shared" si="58"/>
        <v>455716</v>
      </c>
    </row>
    <row r="502" spans="1:20" s="9" customFormat="1" ht="35.1" customHeight="1" x14ac:dyDescent="0.25">
      <c r="A502" s="215"/>
      <c r="B502" s="255" t="s">
        <v>1275</v>
      </c>
      <c r="C502" s="254" t="s">
        <v>1276</v>
      </c>
      <c r="D502" s="255" t="s">
        <v>269</v>
      </c>
      <c r="E502" s="242">
        <v>8</v>
      </c>
      <c r="F502" s="242"/>
      <c r="G502" s="242">
        <v>8</v>
      </c>
      <c r="H502" s="243">
        <v>111770</v>
      </c>
      <c r="I502" s="243">
        <f t="shared" si="55"/>
        <v>894160</v>
      </c>
      <c r="J502" s="8"/>
      <c r="K502" s="8">
        <f t="shared" si="61"/>
        <v>111770</v>
      </c>
      <c r="L502" s="8">
        <f t="shared" si="56"/>
        <v>894160</v>
      </c>
      <c r="M502" s="9" t="str">
        <f t="array" ref="M502">_xlfn.XLOOKUP(C502,'Neiva 2022 FASE I ACTUAL (5)'!$C$6:$C$540,'Neiva 2022 FASE I ACTUAL (5)'!$C$6:$F$540,"NO ESTA")</f>
        <v>NO ESTA</v>
      </c>
      <c r="Q502" s="124">
        <f t="shared" si="59"/>
        <v>0</v>
      </c>
      <c r="R502" s="155">
        <f t="shared" si="54"/>
        <v>8</v>
      </c>
      <c r="S502" s="156">
        <f t="shared" si="57"/>
        <v>111770</v>
      </c>
      <c r="T502" s="156">
        <f t="shared" si="58"/>
        <v>894160</v>
      </c>
    </row>
    <row r="503" spans="1:20" s="9" customFormat="1" ht="35.1" customHeight="1" x14ac:dyDescent="0.25">
      <c r="A503" s="215"/>
      <c r="B503" s="255" t="s">
        <v>1277</v>
      </c>
      <c r="C503" s="254" t="s">
        <v>1278</v>
      </c>
      <c r="D503" s="255" t="s">
        <v>269</v>
      </c>
      <c r="E503" s="242">
        <v>2</v>
      </c>
      <c r="F503" s="242"/>
      <c r="G503" s="242">
        <v>2</v>
      </c>
      <c r="H503" s="243">
        <v>111770</v>
      </c>
      <c r="I503" s="243">
        <f t="shared" si="55"/>
        <v>223540</v>
      </c>
      <c r="J503" s="8"/>
      <c r="K503" s="8">
        <f t="shared" si="61"/>
        <v>111770</v>
      </c>
      <c r="L503" s="8">
        <f t="shared" si="56"/>
        <v>223540</v>
      </c>
      <c r="M503" s="9" t="str">
        <f t="array" ref="M503">_xlfn.XLOOKUP(C503,'Neiva 2022 FASE I ACTUAL (5)'!$C$6:$C$540,'Neiva 2022 FASE I ACTUAL (5)'!$C$6:$F$540,"NO ESTA")</f>
        <v>NO ESTA</v>
      </c>
      <c r="Q503" s="124">
        <f t="shared" si="59"/>
        <v>0</v>
      </c>
      <c r="R503" s="155">
        <f t="shared" si="54"/>
        <v>2</v>
      </c>
      <c r="S503" s="156">
        <f t="shared" si="57"/>
        <v>111770</v>
      </c>
      <c r="T503" s="156">
        <f t="shared" si="58"/>
        <v>223540</v>
      </c>
    </row>
    <row r="504" spans="1:20" s="9" customFormat="1" ht="35.1" customHeight="1" x14ac:dyDescent="0.25">
      <c r="A504" s="215"/>
      <c r="B504" s="244" t="s">
        <v>1279</v>
      </c>
      <c r="C504" s="245" t="s">
        <v>1280</v>
      </c>
      <c r="D504" s="256"/>
      <c r="E504" s="246"/>
      <c r="F504" s="246"/>
      <c r="G504" s="246"/>
      <c r="H504" s="246"/>
      <c r="I504" s="246"/>
      <c r="J504" s="8"/>
      <c r="K504" s="8">
        <f t="shared" si="61"/>
        <v>0</v>
      </c>
      <c r="L504" s="8">
        <f t="shared" si="56"/>
        <v>0</v>
      </c>
      <c r="M504" s="9" t="str">
        <f t="array" ref="M504">_xlfn.XLOOKUP(C504,'Neiva 2022 FASE I ACTUAL (5)'!$C$6:$C$540,'Neiva 2022 FASE I ACTUAL (5)'!$C$6:$F$540,"NO ESTA")</f>
        <v>NO ESTA</v>
      </c>
      <c r="Q504" s="124">
        <f t="shared" si="59"/>
        <v>0</v>
      </c>
      <c r="R504" s="155">
        <f t="shared" si="54"/>
        <v>0</v>
      </c>
      <c r="S504" s="156">
        <f t="shared" si="57"/>
        <v>0</v>
      </c>
      <c r="T504" s="156">
        <f t="shared" si="58"/>
        <v>0</v>
      </c>
    </row>
    <row r="505" spans="1:20" s="9" customFormat="1" ht="35.1" customHeight="1" x14ac:dyDescent="0.25">
      <c r="A505" s="215"/>
      <c r="B505" s="255" t="s">
        <v>1281</v>
      </c>
      <c r="C505" s="254" t="s">
        <v>1282</v>
      </c>
      <c r="D505" s="255" t="s">
        <v>374</v>
      </c>
      <c r="E505" s="242">
        <v>1</v>
      </c>
      <c r="F505" s="242"/>
      <c r="G505" s="242">
        <v>1</v>
      </c>
      <c r="H505" s="243">
        <v>23579376</v>
      </c>
      <c r="I505" s="243">
        <f t="shared" si="55"/>
        <v>23579376</v>
      </c>
      <c r="J505" s="8"/>
      <c r="K505" s="8">
        <f t="shared" si="61"/>
        <v>23579376</v>
      </c>
      <c r="L505" s="8">
        <f t="shared" si="56"/>
        <v>23579376</v>
      </c>
      <c r="M505" s="9" t="str">
        <f t="array" ref="M505">_xlfn.XLOOKUP(C505,'Neiva 2022 FASE I ACTUAL (5)'!$C$6:$C$540,'Neiva 2022 FASE I ACTUAL (5)'!$C$6:$F$540,"NO ESTA")</f>
        <v>NO ESTA</v>
      </c>
      <c r="Q505" s="124">
        <f t="shared" si="59"/>
        <v>0</v>
      </c>
      <c r="R505" s="155">
        <f t="shared" si="54"/>
        <v>1</v>
      </c>
      <c r="S505" s="156">
        <f t="shared" si="57"/>
        <v>23579376</v>
      </c>
      <c r="T505" s="156">
        <f t="shared" si="58"/>
        <v>23579376</v>
      </c>
    </row>
    <row r="506" spans="1:20" s="9" customFormat="1" ht="39.950000000000003" customHeight="1" x14ac:dyDescent="0.25">
      <c r="A506" s="215"/>
      <c r="B506" s="244" t="s">
        <v>1283</v>
      </c>
      <c r="C506" s="245" t="s">
        <v>1284</v>
      </c>
      <c r="D506" s="256"/>
      <c r="E506" s="246"/>
      <c r="F506" s="246"/>
      <c r="G506" s="246"/>
      <c r="H506" s="246"/>
      <c r="I506" s="246"/>
      <c r="J506" s="8"/>
      <c r="K506" s="8">
        <f t="shared" si="61"/>
        <v>0</v>
      </c>
      <c r="L506" s="8">
        <f t="shared" si="56"/>
        <v>0</v>
      </c>
      <c r="M506" s="9" t="str">
        <f t="array" ref="M506">_xlfn.XLOOKUP(C506,'Neiva 2022 FASE I ACTUAL (5)'!$C$6:$C$540,'Neiva 2022 FASE I ACTUAL (5)'!$C$6:$F$540,"NO ESTA")</f>
        <v>NO ESTA</v>
      </c>
      <c r="Q506" s="124">
        <f t="shared" si="59"/>
        <v>0</v>
      </c>
      <c r="R506" s="155">
        <f t="shared" si="54"/>
        <v>0</v>
      </c>
      <c r="S506" s="156">
        <f t="shared" si="57"/>
        <v>0</v>
      </c>
      <c r="T506" s="156">
        <f t="shared" si="58"/>
        <v>0</v>
      </c>
    </row>
    <row r="507" spans="1:20" s="9" customFormat="1" ht="39.950000000000003" customHeight="1" x14ac:dyDescent="0.25">
      <c r="A507" s="215"/>
      <c r="B507" s="255" t="s">
        <v>1285</v>
      </c>
      <c r="C507" s="254" t="s">
        <v>1286</v>
      </c>
      <c r="D507" s="255" t="s">
        <v>374</v>
      </c>
      <c r="E507" s="242">
        <v>1</v>
      </c>
      <c r="F507" s="242"/>
      <c r="G507" s="242">
        <v>1</v>
      </c>
      <c r="H507" s="243">
        <v>2304340</v>
      </c>
      <c r="I507" s="243">
        <f t="shared" si="55"/>
        <v>2304340</v>
      </c>
      <c r="J507" s="8"/>
      <c r="K507" s="8">
        <f t="shared" si="61"/>
        <v>2304340</v>
      </c>
      <c r="L507" s="8">
        <f t="shared" si="56"/>
        <v>2304340</v>
      </c>
      <c r="M507" s="9" t="str">
        <f t="array" ref="M507">_xlfn.XLOOKUP(C507,'Neiva 2022 FASE I ACTUAL (5)'!$C$6:$C$540,'Neiva 2022 FASE I ACTUAL (5)'!$C$6:$F$540,"NO ESTA")</f>
        <v>NO ESTA</v>
      </c>
      <c r="Q507" s="124">
        <f t="shared" si="59"/>
        <v>0</v>
      </c>
      <c r="R507" s="155">
        <f t="shared" si="54"/>
        <v>1</v>
      </c>
      <c r="S507" s="156">
        <f t="shared" si="57"/>
        <v>2304340</v>
      </c>
      <c r="T507" s="156">
        <f t="shared" si="58"/>
        <v>2304340</v>
      </c>
    </row>
    <row r="508" spans="1:20" s="9" customFormat="1" ht="39.950000000000003" customHeight="1" x14ac:dyDescent="0.25">
      <c r="A508" s="215"/>
      <c r="B508" s="255" t="s">
        <v>1287</v>
      </c>
      <c r="C508" s="254" t="s">
        <v>1288</v>
      </c>
      <c r="D508" s="255" t="s">
        <v>269</v>
      </c>
      <c r="E508" s="242">
        <v>10</v>
      </c>
      <c r="F508" s="242"/>
      <c r="G508" s="242">
        <v>10</v>
      </c>
      <c r="H508" s="243">
        <v>102294</v>
      </c>
      <c r="I508" s="243">
        <f t="shared" si="55"/>
        <v>1022940</v>
      </c>
      <c r="J508" s="8">
        <f>ROUND(H508*(1+$J$3),0)</f>
        <v>199760</v>
      </c>
      <c r="K508" s="8">
        <f t="shared" si="61"/>
        <v>102294</v>
      </c>
      <c r="L508" s="8">
        <f t="shared" si="56"/>
        <v>1022940</v>
      </c>
      <c r="M508" s="9" t="str">
        <f t="array" ref="M508">_xlfn.XLOOKUP(C508,'Neiva 2022 FASE I ACTUAL (5)'!$C$6:$C$540,'Neiva 2022 FASE I ACTUAL (5)'!$C$6:$F$540,"NO ESTA")</f>
        <v>NO ESTA</v>
      </c>
      <c r="Q508" s="124">
        <f t="shared" si="59"/>
        <v>0</v>
      </c>
      <c r="R508" s="155">
        <f t="shared" si="54"/>
        <v>10</v>
      </c>
      <c r="S508" s="156">
        <f t="shared" si="57"/>
        <v>102294</v>
      </c>
      <c r="T508" s="156">
        <f t="shared" si="58"/>
        <v>1022940</v>
      </c>
    </row>
    <row r="509" spans="1:20" s="9" customFormat="1" ht="39.950000000000003" customHeight="1" x14ac:dyDescent="0.25">
      <c r="A509" s="215"/>
      <c r="B509" s="255" t="s">
        <v>1289</v>
      </c>
      <c r="C509" s="254" t="s">
        <v>1290</v>
      </c>
      <c r="D509" s="255" t="s">
        <v>269</v>
      </c>
      <c r="E509" s="242">
        <v>5</v>
      </c>
      <c r="F509" s="242"/>
      <c r="G509" s="242">
        <v>5</v>
      </c>
      <c r="H509" s="243">
        <v>187144</v>
      </c>
      <c r="I509" s="243">
        <f t="shared" si="55"/>
        <v>935720</v>
      </c>
      <c r="J509" s="8">
        <f>ROUND(H509*(1+$J$3),0)</f>
        <v>365455</v>
      </c>
      <c r="K509" s="8">
        <f t="shared" si="61"/>
        <v>187144</v>
      </c>
      <c r="L509" s="8">
        <f t="shared" si="56"/>
        <v>935720</v>
      </c>
      <c r="M509" s="9" t="str">
        <f t="array" ref="M509">_xlfn.XLOOKUP(C509,'Neiva 2022 FASE I ACTUAL (5)'!$C$6:$C$540,'Neiva 2022 FASE I ACTUAL (5)'!$C$6:$F$540,"NO ESTA")</f>
        <v>NO ESTA</v>
      </c>
      <c r="Q509" s="124">
        <f t="shared" si="59"/>
        <v>0</v>
      </c>
      <c r="R509" s="155">
        <f t="shared" si="54"/>
        <v>5</v>
      </c>
      <c r="S509" s="156">
        <f t="shared" si="57"/>
        <v>187144</v>
      </c>
      <c r="T509" s="156">
        <f t="shared" si="58"/>
        <v>935720</v>
      </c>
    </row>
    <row r="510" spans="1:20" s="9" customFormat="1" ht="39.950000000000003" customHeight="1" x14ac:dyDescent="0.25">
      <c r="A510" s="215"/>
      <c r="B510" s="255" t="s">
        <v>1291</v>
      </c>
      <c r="C510" s="254" t="s">
        <v>1292</v>
      </c>
      <c r="D510" s="255" t="s">
        <v>269</v>
      </c>
      <c r="E510" s="242">
        <v>5</v>
      </c>
      <c r="F510" s="242"/>
      <c r="G510" s="242">
        <v>5</v>
      </c>
      <c r="H510" s="243">
        <v>187144</v>
      </c>
      <c r="I510" s="243">
        <f t="shared" si="55"/>
        <v>935720</v>
      </c>
      <c r="J510" s="8">
        <f>ROUND(H510*(1+$J$3),0)</f>
        <v>365455</v>
      </c>
      <c r="K510" s="8">
        <f t="shared" si="61"/>
        <v>187144</v>
      </c>
      <c r="L510" s="8">
        <f t="shared" si="56"/>
        <v>935720</v>
      </c>
      <c r="M510" s="9" t="str">
        <f t="array" ref="M510">_xlfn.XLOOKUP(C510,'Neiva 2022 FASE I ACTUAL (5)'!$C$6:$C$540,'Neiva 2022 FASE I ACTUAL (5)'!$C$6:$F$540,"NO ESTA")</f>
        <v>NO ESTA</v>
      </c>
      <c r="Q510" s="124">
        <f t="shared" si="59"/>
        <v>0</v>
      </c>
      <c r="R510" s="155">
        <f t="shared" si="54"/>
        <v>5</v>
      </c>
      <c r="S510" s="156">
        <f t="shared" si="57"/>
        <v>187144</v>
      </c>
      <c r="T510" s="156">
        <f t="shared" si="58"/>
        <v>935720</v>
      </c>
    </row>
    <row r="511" spans="1:20" s="9" customFormat="1" ht="35.1" customHeight="1" x14ac:dyDescent="0.25">
      <c r="A511" s="215"/>
      <c r="B511" s="255" t="s">
        <v>1293</v>
      </c>
      <c r="C511" s="254" t="s">
        <v>1294</v>
      </c>
      <c r="D511" s="255" t="s">
        <v>1182</v>
      </c>
      <c r="E511" s="242">
        <v>200</v>
      </c>
      <c r="F511" s="242"/>
      <c r="G511" s="242">
        <v>200</v>
      </c>
      <c r="H511" s="243">
        <v>12565</v>
      </c>
      <c r="I511" s="243">
        <f t="shared" si="55"/>
        <v>2513000</v>
      </c>
      <c r="J511" s="8"/>
      <c r="K511" s="8">
        <f t="shared" si="61"/>
        <v>12565</v>
      </c>
      <c r="L511" s="8">
        <f t="shared" si="56"/>
        <v>2513000</v>
      </c>
      <c r="M511" s="9" t="str">
        <f t="array" ref="M511">_xlfn.XLOOKUP(C511,'Neiva 2022 FASE I ACTUAL (5)'!$C$6:$C$540,'Neiva 2022 FASE I ACTUAL (5)'!$C$6:$F$540,"NO ESTA")</f>
        <v>NO ESTA</v>
      </c>
      <c r="Q511" s="124">
        <f t="shared" si="59"/>
        <v>0</v>
      </c>
      <c r="R511" s="155">
        <f t="shared" si="54"/>
        <v>200</v>
      </c>
      <c r="S511" s="156">
        <f t="shared" si="57"/>
        <v>12565</v>
      </c>
      <c r="T511" s="156">
        <f t="shared" si="58"/>
        <v>2513000</v>
      </c>
    </row>
    <row r="512" spans="1:20" s="9" customFormat="1" ht="35.1" customHeight="1" x14ac:dyDescent="0.25">
      <c r="A512" s="215"/>
      <c r="B512" s="293">
        <v>16</v>
      </c>
      <c r="C512" s="294" t="s">
        <v>712</v>
      </c>
      <c r="D512" s="267"/>
      <c r="E512" s="268"/>
      <c r="F512" s="268"/>
      <c r="G512" s="268"/>
      <c r="H512" s="268"/>
      <c r="I512" s="268"/>
      <c r="J512" s="8"/>
      <c r="K512" s="8">
        <f t="shared" si="61"/>
        <v>0</v>
      </c>
      <c r="L512" s="8">
        <f t="shared" si="56"/>
        <v>0</v>
      </c>
      <c r="M512" s="9" t="str">
        <f t="array" ref="M512:P512">_xlfn.XLOOKUP(C512,'Neiva 2022 FASE I ACTUAL (5)'!$C$6:$C$540,'Neiva 2022 FASE I ACTUAL (5)'!$C$6:$F$540,"NO ESTA")</f>
        <v>LUMINARIAS Y LAMPARAS</v>
      </c>
      <c r="N512" s="9">
        <v>0</v>
      </c>
      <c r="O512" s="9">
        <v>0</v>
      </c>
      <c r="P512" s="9">
        <v>0</v>
      </c>
      <c r="Q512" s="124">
        <f t="shared" si="59"/>
        <v>0</v>
      </c>
      <c r="R512" s="155">
        <f t="shared" si="54"/>
        <v>0</v>
      </c>
      <c r="S512" s="156">
        <f t="shared" si="57"/>
        <v>0</v>
      </c>
      <c r="T512" s="156">
        <f t="shared" si="58"/>
        <v>0</v>
      </c>
    </row>
    <row r="513" spans="1:20" s="9" customFormat="1" ht="35.1" customHeight="1" x14ac:dyDescent="0.25">
      <c r="A513" s="215"/>
      <c r="B513" s="244" t="s">
        <v>713</v>
      </c>
      <c r="C513" s="256" t="s">
        <v>714</v>
      </c>
      <c r="D513" s="256"/>
      <c r="E513" s="246"/>
      <c r="F513" s="246"/>
      <c r="G513" s="246"/>
      <c r="H513" s="246"/>
      <c r="I513" s="246"/>
      <c r="J513" s="8"/>
      <c r="K513" s="8">
        <f t="shared" si="61"/>
        <v>0</v>
      </c>
      <c r="L513" s="8">
        <f t="shared" si="56"/>
        <v>0</v>
      </c>
      <c r="M513" s="9" t="str">
        <f t="array" ref="M513:P513">_xlfn.XLOOKUP(C513,'Neiva 2022 FASE I ACTUAL (5)'!$C$6:$C$540,'Neiva 2022 FASE I ACTUAL (5)'!$C$6:$F$540,"NO ESTA")</f>
        <v xml:space="preserve">SUMINISTRO E INSTALACIÓN DE LÁMPARAS FLUORESCENTES </v>
      </c>
      <c r="N513" s="9">
        <v>0</v>
      </c>
      <c r="O513" s="9">
        <v>0</v>
      </c>
      <c r="P513" s="9">
        <v>0</v>
      </c>
      <c r="Q513" s="124">
        <f t="shared" si="59"/>
        <v>0</v>
      </c>
      <c r="R513" s="155">
        <f t="shared" si="54"/>
        <v>0</v>
      </c>
      <c r="S513" s="156">
        <f t="shared" si="57"/>
        <v>0</v>
      </c>
      <c r="T513" s="156">
        <f t="shared" si="58"/>
        <v>0</v>
      </c>
    </row>
    <row r="514" spans="1:20" s="9" customFormat="1" ht="35.1" customHeight="1" x14ac:dyDescent="0.25">
      <c r="A514" s="215"/>
      <c r="B514" s="255" t="s">
        <v>715</v>
      </c>
      <c r="C514" s="87" t="s">
        <v>716</v>
      </c>
      <c r="D514" s="255" t="s">
        <v>374</v>
      </c>
      <c r="E514" s="242">
        <v>153</v>
      </c>
      <c r="F514" s="242">
        <v>57</v>
      </c>
      <c r="G514" s="242">
        <v>210</v>
      </c>
      <c r="H514" s="243">
        <v>132419</v>
      </c>
      <c r="I514" s="243">
        <f t="shared" si="55"/>
        <v>27807990</v>
      </c>
      <c r="J514" s="8"/>
      <c r="K514" s="8">
        <f t="shared" si="61"/>
        <v>132419</v>
      </c>
      <c r="L514" s="8">
        <f t="shared" si="56"/>
        <v>20260107</v>
      </c>
      <c r="M514" s="9" t="str">
        <f t="array" ref="M514:P514">_xlfn.XLOOKUP(C514,'Neiva 2022 FASE I ACTUAL (5)'!$C$6:$C$540,'Neiva 2022 FASE I ACTUAL (5)'!$C$6:$F$540,"NO ESTA")</f>
        <v>SUMINISTRO E INSTALACIÓN LÁMPARA LED 1x28 W</v>
      </c>
      <c r="N514" s="9" t="str">
        <v>UN</v>
      </c>
      <c r="O514" s="9">
        <v>57</v>
      </c>
      <c r="P514" s="9">
        <v>132419</v>
      </c>
      <c r="Q514" s="124" t="str">
        <f t="shared" si="59"/>
        <v>FASE II</v>
      </c>
      <c r="R514" s="155">
        <f t="shared" si="54"/>
        <v>210</v>
      </c>
      <c r="S514" s="156">
        <f t="shared" si="57"/>
        <v>132419</v>
      </c>
      <c r="T514" s="156">
        <f t="shared" si="58"/>
        <v>27807990</v>
      </c>
    </row>
    <row r="515" spans="1:20" s="9" customFormat="1" ht="35.1" customHeight="1" x14ac:dyDescent="0.25">
      <c r="A515" s="215"/>
      <c r="B515" s="255" t="s">
        <v>717</v>
      </c>
      <c r="C515" s="87" t="s">
        <v>718</v>
      </c>
      <c r="D515" s="255" t="s">
        <v>374</v>
      </c>
      <c r="E515" s="242">
        <v>82</v>
      </c>
      <c r="F515" s="242">
        <v>30</v>
      </c>
      <c r="G515" s="242">
        <v>112</v>
      </c>
      <c r="H515" s="243">
        <v>214137</v>
      </c>
      <c r="I515" s="243">
        <f t="shared" si="55"/>
        <v>23983344</v>
      </c>
      <c r="J515" s="8"/>
      <c r="K515" s="8">
        <f t="shared" si="61"/>
        <v>214137</v>
      </c>
      <c r="L515" s="8">
        <f t="shared" si="56"/>
        <v>17559234</v>
      </c>
      <c r="M515" s="9" t="str">
        <f t="array" ref="M515:P515">_xlfn.XLOOKUP(C515,'Neiva 2022 FASE I ACTUAL (5)'!$C$6:$C$540,'Neiva 2022 FASE I ACTUAL (5)'!$C$6:$F$540,"NO ESTA")</f>
        <v>SUMINISTRO E INSTALACIÓN LÁMPARA LED 2x54 W</v>
      </c>
      <c r="N515" s="9" t="str">
        <v>UN</v>
      </c>
      <c r="O515" s="9">
        <v>30</v>
      </c>
      <c r="P515" s="9">
        <v>214137</v>
      </c>
      <c r="Q515" s="124" t="str">
        <f t="shared" si="59"/>
        <v>FASE II</v>
      </c>
      <c r="R515" s="155">
        <f t="shared" si="54"/>
        <v>112</v>
      </c>
      <c r="S515" s="156">
        <f t="shared" si="57"/>
        <v>214137</v>
      </c>
      <c r="T515" s="156">
        <f t="shared" si="58"/>
        <v>23983344</v>
      </c>
    </row>
    <row r="516" spans="1:20" s="9" customFormat="1" ht="35.1" customHeight="1" x14ac:dyDescent="0.25">
      <c r="A516" s="215"/>
      <c r="B516" s="255" t="s">
        <v>719</v>
      </c>
      <c r="C516" s="254" t="s">
        <v>720</v>
      </c>
      <c r="D516" s="255" t="s">
        <v>374</v>
      </c>
      <c r="E516" s="242">
        <v>121</v>
      </c>
      <c r="F516" s="242">
        <v>45</v>
      </c>
      <c r="G516" s="242">
        <v>166</v>
      </c>
      <c r="H516" s="243">
        <v>193905</v>
      </c>
      <c r="I516" s="243">
        <f t="shared" si="55"/>
        <v>32188230</v>
      </c>
      <c r="J516" s="8"/>
      <c r="K516" s="8">
        <f t="shared" si="61"/>
        <v>193905</v>
      </c>
      <c r="L516" s="8">
        <f t="shared" si="56"/>
        <v>23462505</v>
      </c>
      <c r="M516" s="9" t="str">
        <f t="array" ref="M516:P516">_xlfn.XLOOKUP(C516,'Neiva 2022 FASE I ACTUAL (5)'!$C$6:$C$540,'Neiva 2022 FASE I ACTUAL (5)'!$C$6:$F$540,"NO ESTA")</f>
        <v>SUMINISTRO E INSTALACIÓN BALA LED 35W 120 V</v>
      </c>
      <c r="N516" s="9" t="str">
        <v>UN</v>
      </c>
      <c r="O516" s="9">
        <v>45</v>
      </c>
      <c r="P516" s="9">
        <v>186084</v>
      </c>
      <c r="Q516" s="124" t="str">
        <f t="shared" si="59"/>
        <v>FASE II</v>
      </c>
      <c r="R516" s="155">
        <f t="shared" si="54"/>
        <v>166</v>
      </c>
      <c r="S516" s="156">
        <f t="shared" si="57"/>
        <v>193905</v>
      </c>
      <c r="T516" s="156">
        <f t="shared" si="58"/>
        <v>32188230</v>
      </c>
    </row>
    <row r="517" spans="1:20" s="9" customFormat="1" ht="35.1" customHeight="1" x14ac:dyDescent="0.25">
      <c r="A517" s="215"/>
      <c r="B517" s="255" t="s">
        <v>721</v>
      </c>
      <c r="C517" s="254" t="s">
        <v>722</v>
      </c>
      <c r="D517" s="255" t="s">
        <v>374</v>
      </c>
      <c r="E517" s="242">
        <v>50</v>
      </c>
      <c r="F517" s="242">
        <v>19</v>
      </c>
      <c r="G517" s="242">
        <v>69</v>
      </c>
      <c r="H517" s="243">
        <v>143025</v>
      </c>
      <c r="I517" s="243">
        <f t="shared" si="55"/>
        <v>9868725</v>
      </c>
      <c r="J517" s="8"/>
      <c r="K517" s="8">
        <f t="shared" si="61"/>
        <v>143025</v>
      </c>
      <c r="L517" s="8">
        <f t="shared" si="56"/>
        <v>7151250</v>
      </c>
      <c r="M517" s="9" t="str">
        <f t="array" ref="M517:P517">_xlfn.XLOOKUP(C517,'Neiva 2022 FASE I ACTUAL (5)'!$C$6:$C$540,'Neiva 2022 FASE I ACTUAL (5)'!$C$6:$F$540,"NO ESTA")</f>
        <v>SUMINISTRO E INSTALACIÓN BALA RECESADA LED 10W 120 V</v>
      </c>
      <c r="N517" s="9" t="str">
        <v>UN</v>
      </c>
      <c r="O517" s="9">
        <v>19</v>
      </c>
      <c r="P517" s="9">
        <v>137257</v>
      </c>
      <c r="Q517" s="124" t="str">
        <f t="shared" si="59"/>
        <v>FASE II</v>
      </c>
      <c r="R517" s="155">
        <f t="shared" si="54"/>
        <v>69</v>
      </c>
      <c r="S517" s="156">
        <f t="shared" si="57"/>
        <v>143025</v>
      </c>
      <c r="T517" s="156">
        <f t="shared" si="58"/>
        <v>9868725</v>
      </c>
    </row>
    <row r="518" spans="1:20" s="9" customFormat="1" ht="35.1" customHeight="1" x14ac:dyDescent="0.25">
      <c r="A518" s="215"/>
      <c r="B518" s="255" t="s">
        <v>723</v>
      </c>
      <c r="C518" s="254" t="s">
        <v>724</v>
      </c>
      <c r="D518" s="255" t="s">
        <v>374</v>
      </c>
      <c r="E518" s="242">
        <v>184</v>
      </c>
      <c r="F518" s="242">
        <v>68</v>
      </c>
      <c r="G518" s="242">
        <v>252</v>
      </c>
      <c r="H518" s="243">
        <v>230434</v>
      </c>
      <c r="I518" s="243">
        <f t="shared" si="55"/>
        <v>58069368</v>
      </c>
      <c r="J518" s="8"/>
      <c r="K518" s="8">
        <f t="shared" si="61"/>
        <v>230434</v>
      </c>
      <c r="L518" s="8">
        <f t="shared" si="56"/>
        <v>42399856</v>
      </c>
      <c r="M518" s="9" t="str">
        <f t="array" ref="M518:P518">_xlfn.XLOOKUP(C518,'Neiva 2022 FASE I ACTUAL (5)'!$C$6:$C$540,'Neiva 2022 FASE I ACTUAL (5)'!$C$6:$F$540,"NO ESTA")</f>
        <v>SUMINISTRO E INSTALACIÓN LUMINARIA LED 2x26W 120V</v>
      </c>
      <c r="N518" s="9" t="str">
        <v>UN</v>
      </c>
      <c r="O518" s="9">
        <v>68</v>
      </c>
      <c r="P518" s="9">
        <v>221141</v>
      </c>
      <c r="Q518" s="124" t="str">
        <f t="shared" si="59"/>
        <v>FASE II</v>
      </c>
      <c r="R518" s="155">
        <f t="shared" ref="R518:R581" si="62">E518+O518</f>
        <v>252</v>
      </c>
      <c r="S518" s="156">
        <f t="shared" si="57"/>
        <v>230434</v>
      </c>
      <c r="T518" s="156">
        <f t="shared" si="58"/>
        <v>58069368</v>
      </c>
    </row>
    <row r="519" spans="1:20" s="9" customFormat="1" ht="35.1" customHeight="1" x14ac:dyDescent="0.25">
      <c r="A519" s="215"/>
      <c r="B519" s="255" t="s">
        <v>725</v>
      </c>
      <c r="C519" s="254" t="s">
        <v>726</v>
      </c>
      <c r="D519" s="255" t="s">
        <v>374</v>
      </c>
      <c r="E519" s="242">
        <v>6</v>
      </c>
      <c r="F519" s="242">
        <v>2</v>
      </c>
      <c r="G519" s="242">
        <v>8</v>
      </c>
      <c r="H519" s="243">
        <v>274761</v>
      </c>
      <c r="I519" s="243">
        <f t="shared" ref="I519:I582" si="63">ROUND(+H519*G519,2)</f>
        <v>2198088</v>
      </c>
      <c r="J519" s="8"/>
      <c r="K519" s="8">
        <f t="shared" si="61"/>
        <v>274761</v>
      </c>
      <c r="L519" s="8">
        <f t="shared" ref="L519:L582" si="64">+K519*E519</f>
        <v>1648566</v>
      </c>
      <c r="M519" s="9" t="str">
        <f t="array" ref="M519:P519">_xlfn.XLOOKUP(C519,'Neiva 2022 FASE I ACTUAL (5)'!$C$6:$C$540,'Neiva 2022 FASE I ACTUAL (5)'!$C$6:$F$540,"NO ESTA")</f>
        <v>SUMINISTRO E INSTALACIÓN REFLECTOR DE LUZ INDIRECTA</v>
      </c>
      <c r="N519" s="9" t="str">
        <v>UN</v>
      </c>
      <c r="O519" s="9">
        <v>2</v>
      </c>
      <c r="P519" s="9">
        <v>263680</v>
      </c>
      <c r="Q519" s="124" t="str">
        <f t="shared" si="59"/>
        <v>FASE II</v>
      </c>
      <c r="R519" s="155">
        <f t="shared" si="62"/>
        <v>8</v>
      </c>
      <c r="S519" s="156">
        <f t="shared" ref="S519:S582" si="65">MAX(P519,H519,K519)</f>
        <v>274761</v>
      </c>
      <c r="T519" s="156">
        <f t="shared" ref="T519:T582" si="66">ROUND(R519*S519,2)</f>
        <v>2198088</v>
      </c>
    </row>
    <row r="520" spans="1:20" s="9" customFormat="1" ht="35.1" customHeight="1" x14ac:dyDescent="0.25">
      <c r="A520" s="215"/>
      <c r="B520" s="255" t="s">
        <v>727</v>
      </c>
      <c r="C520" s="254" t="s">
        <v>728</v>
      </c>
      <c r="D520" s="255" t="s">
        <v>374</v>
      </c>
      <c r="E520" s="242">
        <v>6</v>
      </c>
      <c r="F520" s="242">
        <v>2</v>
      </c>
      <c r="G520" s="242">
        <v>8</v>
      </c>
      <c r="H520" s="243">
        <v>203007</v>
      </c>
      <c r="I520" s="243">
        <f t="shared" si="63"/>
        <v>1624056</v>
      </c>
      <c r="J520" s="8"/>
      <c r="K520" s="8">
        <f t="shared" si="61"/>
        <v>203007</v>
      </c>
      <c r="L520" s="8">
        <f t="shared" si="64"/>
        <v>1218042</v>
      </c>
      <c r="M520" s="9" t="str">
        <f t="array" ref="M520:P520">_xlfn.XLOOKUP(C520,'Neiva 2022 FASE I ACTUAL (5)'!$C$6:$C$540,'Neiva 2022 FASE I ACTUAL (5)'!$C$6:$F$540,"NO ESTA")</f>
        <v>SUMINISTRO E INSTALACIÓN APLIQUE DE ESCALERA 1000W 120V</v>
      </c>
      <c r="N520" s="9" t="str">
        <v>UN</v>
      </c>
      <c r="O520" s="9">
        <v>2</v>
      </c>
      <c r="P520" s="9">
        <v>194820</v>
      </c>
      <c r="Q520" s="124" t="str">
        <f t="shared" ref="Q520:Q583" si="67">IF(P520=0,0,(IF(H520&lt;P520, "FASE I","FASE II")))</f>
        <v>FASE II</v>
      </c>
      <c r="R520" s="155">
        <f t="shared" si="62"/>
        <v>8</v>
      </c>
      <c r="S520" s="156">
        <f t="shared" si="65"/>
        <v>203007</v>
      </c>
      <c r="T520" s="156">
        <f t="shared" si="66"/>
        <v>1624056</v>
      </c>
    </row>
    <row r="521" spans="1:20" s="9" customFormat="1" ht="35.1" customHeight="1" x14ac:dyDescent="0.25">
      <c r="A521" s="215"/>
      <c r="B521" s="255" t="s">
        <v>729</v>
      </c>
      <c r="C521" s="291" t="s">
        <v>730</v>
      </c>
      <c r="D521" s="292" t="s">
        <v>374</v>
      </c>
      <c r="E521" s="242">
        <v>67</v>
      </c>
      <c r="F521" s="242">
        <v>25</v>
      </c>
      <c r="G521" s="242">
        <v>92</v>
      </c>
      <c r="H521" s="243">
        <v>98638</v>
      </c>
      <c r="I521" s="243">
        <f t="shared" si="63"/>
        <v>9074696</v>
      </c>
      <c r="J521" s="8"/>
      <c r="K521" s="8">
        <f t="shared" si="61"/>
        <v>98638</v>
      </c>
      <c r="L521" s="8">
        <f t="shared" si="64"/>
        <v>6608746</v>
      </c>
      <c r="M521" s="9" t="str">
        <f t="array" ref="M521:P521">_xlfn.XLOOKUP(C521,'Neiva 2022 FASE I ACTUAL (5)'!$C$6:$C$540,'Neiva 2022 FASE I ACTUAL (5)'!$C$6:$F$540,"NO ESTA")</f>
        <v>SUMINISTRO E INSTALACIÓN BALAS LED DE PISO 3W 120V</v>
      </c>
      <c r="N521" s="9" t="str">
        <v>UN</v>
      </c>
      <c r="O521" s="9">
        <v>25</v>
      </c>
      <c r="P521" s="9">
        <v>94659</v>
      </c>
      <c r="Q521" s="124" t="str">
        <f t="shared" si="67"/>
        <v>FASE II</v>
      </c>
      <c r="R521" s="155">
        <f t="shared" si="62"/>
        <v>92</v>
      </c>
      <c r="S521" s="156">
        <f t="shared" si="65"/>
        <v>98638</v>
      </c>
      <c r="T521" s="156">
        <f t="shared" si="66"/>
        <v>9074696</v>
      </c>
    </row>
    <row r="522" spans="1:20" s="9" customFormat="1" ht="35.1" customHeight="1" x14ac:dyDescent="0.25">
      <c r="A522" s="215"/>
      <c r="B522" s="255" t="s">
        <v>731</v>
      </c>
      <c r="C522" s="254" t="s">
        <v>732</v>
      </c>
      <c r="D522" s="255" t="s">
        <v>374</v>
      </c>
      <c r="E522" s="242">
        <v>10</v>
      </c>
      <c r="F522" s="242">
        <v>4</v>
      </c>
      <c r="G522" s="242">
        <v>14</v>
      </c>
      <c r="H522" s="243">
        <v>79069</v>
      </c>
      <c r="I522" s="243">
        <f t="shared" si="63"/>
        <v>1106966</v>
      </c>
      <c r="J522" s="8"/>
      <c r="K522" s="8">
        <f t="shared" si="61"/>
        <v>79069</v>
      </c>
      <c r="L522" s="8">
        <f t="shared" si="64"/>
        <v>790690</v>
      </c>
      <c r="M522" s="9" t="str">
        <f t="array" ref="M522:P522">_xlfn.XLOOKUP(C522,'Neiva 2022 FASE I ACTUAL (5)'!$C$6:$C$540,'Neiva 2022 FASE I ACTUAL (5)'!$C$6:$F$540,"NO ESTA")</f>
        <v>SUMINISTRO E INSTALACIÓN BALAS DE PISO 50W 120 V</v>
      </c>
      <c r="N522" s="9" t="str">
        <v>UN</v>
      </c>
      <c r="O522" s="9">
        <v>4</v>
      </c>
      <c r="P522" s="9">
        <v>75880</v>
      </c>
      <c r="Q522" s="124" t="str">
        <f t="shared" si="67"/>
        <v>FASE II</v>
      </c>
      <c r="R522" s="155">
        <f t="shared" si="62"/>
        <v>14</v>
      </c>
      <c r="S522" s="156">
        <f t="shared" si="65"/>
        <v>79069</v>
      </c>
      <c r="T522" s="156">
        <f t="shared" si="66"/>
        <v>1106966</v>
      </c>
    </row>
    <row r="523" spans="1:20" s="9" customFormat="1" ht="35.1" customHeight="1" x14ac:dyDescent="0.25">
      <c r="A523" s="215"/>
      <c r="B523" s="266">
        <v>17</v>
      </c>
      <c r="C523" s="267" t="s">
        <v>733</v>
      </c>
      <c r="D523" s="267"/>
      <c r="E523" s="268"/>
      <c r="F523" s="268"/>
      <c r="G523" s="268"/>
      <c r="H523" s="268"/>
      <c r="I523" s="268"/>
      <c r="J523" s="8"/>
      <c r="K523" s="8">
        <f t="shared" si="61"/>
        <v>0</v>
      </c>
      <c r="L523" s="8">
        <f t="shared" si="64"/>
        <v>0</v>
      </c>
      <c r="M523" s="9" t="str">
        <f t="array" ref="M523:P523">_xlfn.XLOOKUP(C523,'Neiva 2022 FASE I ACTUAL (5)'!$C$6:$C$540,'Neiva 2022 FASE I ACTUAL (5)'!$C$6:$F$540,"NO ESTA")</f>
        <v>AIRE ACONDICIONADO</v>
      </c>
      <c r="N523" s="9">
        <v>0</v>
      </c>
      <c r="O523" s="9">
        <v>0</v>
      </c>
      <c r="P523" s="9">
        <v>0</v>
      </c>
      <c r="Q523" s="124">
        <f t="shared" si="67"/>
        <v>0</v>
      </c>
      <c r="R523" s="155">
        <f t="shared" si="62"/>
        <v>0</v>
      </c>
      <c r="S523" s="156">
        <f t="shared" si="65"/>
        <v>0</v>
      </c>
      <c r="T523" s="156">
        <f t="shared" si="66"/>
        <v>0</v>
      </c>
    </row>
    <row r="524" spans="1:20" s="9" customFormat="1" ht="35.1" customHeight="1" x14ac:dyDescent="0.25">
      <c r="A524" s="215"/>
      <c r="B524" s="244" t="s">
        <v>1295</v>
      </c>
      <c r="C524" s="256" t="s">
        <v>1296</v>
      </c>
      <c r="D524" s="256"/>
      <c r="E524" s="246"/>
      <c r="F524" s="246"/>
      <c r="G524" s="246"/>
      <c r="H524" s="246"/>
      <c r="I524" s="246"/>
      <c r="J524" s="8"/>
      <c r="K524" s="8">
        <f t="shared" si="61"/>
        <v>0</v>
      </c>
      <c r="L524" s="8">
        <f t="shared" si="64"/>
        <v>0</v>
      </c>
      <c r="M524" s="9" t="str">
        <f t="array" ref="M524">_xlfn.XLOOKUP(C524,'Neiva 2022 FASE I ACTUAL (5)'!$C$6:$C$540,'Neiva 2022 FASE I ACTUAL (5)'!$C$6:$F$540,"NO ESTA")</f>
        <v>NO ESTA</v>
      </c>
      <c r="Q524" s="124">
        <f t="shared" si="67"/>
        <v>0</v>
      </c>
      <c r="R524" s="155">
        <f t="shared" si="62"/>
        <v>0</v>
      </c>
      <c r="S524" s="156">
        <f t="shared" si="65"/>
        <v>0</v>
      </c>
      <c r="T524" s="156">
        <f t="shared" si="66"/>
        <v>0</v>
      </c>
    </row>
    <row r="525" spans="1:20" s="9" customFormat="1" ht="35.1" customHeight="1" x14ac:dyDescent="0.25">
      <c r="A525" s="215"/>
      <c r="B525" s="255" t="s">
        <v>1297</v>
      </c>
      <c r="C525" s="254" t="s">
        <v>1298</v>
      </c>
      <c r="D525" s="240" t="s">
        <v>16</v>
      </c>
      <c r="E525" s="242">
        <v>1</v>
      </c>
      <c r="F525" s="242"/>
      <c r="G525" s="242">
        <v>1</v>
      </c>
      <c r="H525" s="243">
        <v>243889495</v>
      </c>
      <c r="I525" s="243">
        <f t="shared" si="63"/>
        <v>243889495</v>
      </c>
      <c r="J525" s="8"/>
      <c r="K525" s="8">
        <f t="shared" si="61"/>
        <v>243889495</v>
      </c>
      <c r="L525" s="8">
        <f t="shared" si="64"/>
        <v>243889495</v>
      </c>
      <c r="M525" s="9" t="str">
        <f t="array" ref="M525">_xlfn.XLOOKUP(C525,'Neiva 2022 FASE I ACTUAL (5)'!$C$6:$C$540,'Neiva 2022 FASE I ACTUAL (5)'!$C$6:$F$540,"NO ESTA")</f>
        <v>NO ESTA</v>
      </c>
      <c r="Q525" s="124">
        <f t="shared" si="67"/>
        <v>0</v>
      </c>
      <c r="R525" s="155">
        <f t="shared" si="62"/>
        <v>1</v>
      </c>
      <c r="S525" s="156">
        <f t="shared" si="65"/>
        <v>243889495</v>
      </c>
      <c r="T525" s="156">
        <f t="shared" si="66"/>
        <v>243889495</v>
      </c>
    </row>
    <row r="526" spans="1:20" s="9" customFormat="1" ht="35.1" customHeight="1" x14ac:dyDescent="0.25">
      <c r="A526" s="215"/>
      <c r="B526" s="255" t="s">
        <v>1299</v>
      </c>
      <c r="C526" s="254" t="s">
        <v>1300</v>
      </c>
      <c r="D526" s="240" t="s">
        <v>16</v>
      </c>
      <c r="E526" s="242">
        <v>1</v>
      </c>
      <c r="F526" s="242"/>
      <c r="G526" s="242">
        <v>1</v>
      </c>
      <c r="H526" s="243">
        <v>195618820</v>
      </c>
      <c r="I526" s="243">
        <f t="shared" si="63"/>
        <v>195618820</v>
      </c>
      <c r="J526" s="8"/>
      <c r="K526" s="8">
        <f t="shared" si="61"/>
        <v>195618820</v>
      </c>
      <c r="L526" s="8">
        <f t="shared" si="64"/>
        <v>195618820</v>
      </c>
      <c r="M526" s="9" t="str">
        <f t="array" ref="M526">_xlfn.XLOOKUP(C526,'Neiva 2022 FASE I ACTUAL (5)'!$C$6:$C$540,'Neiva 2022 FASE I ACTUAL (5)'!$C$6:$F$540,"NO ESTA")</f>
        <v>NO ESTA</v>
      </c>
      <c r="Q526" s="124">
        <f t="shared" si="67"/>
        <v>0</v>
      </c>
      <c r="R526" s="155">
        <f t="shared" si="62"/>
        <v>1</v>
      </c>
      <c r="S526" s="156">
        <f t="shared" si="65"/>
        <v>195618820</v>
      </c>
      <c r="T526" s="156">
        <f t="shared" si="66"/>
        <v>195618820</v>
      </c>
    </row>
    <row r="527" spans="1:20" s="9" customFormat="1" ht="35.1" customHeight="1" x14ac:dyDescent="0.25">
      <c r="A527" s="215"/>
      <c r="B527" s="255" t="s">
        <v>1301</v>
      </c>
      <c r="C527" s="254" t="s">
        <v>1302</v>
      </c>
      <c r="D527" s="240" t="s">
        <v>16</v>
      </c>
      <c r="E527" s="242">
        <v>2</v>
      </c>
      <c r="F527" s="242"/>
      <c r="G527" s="242">
        <v>2</v>
      </c>
      <c r="H527" s="243">
        <v>848091</v>
      </c>
      <c r="I527" s="243">
        <f t="shared" si="63"/>
        <v>1696182</v>
      </c>
      <c r="J527" s="8"/>
      <c r="K527" s="8">
        <f t="shared" si="61"/>
        <v>848091</v>
      </c>
      <c r="L527" s="8">
        <f t="shared" si="64"/>
        <v>1696182</v>
      </c>
      <c r="M527" s="9" t="str">
        <f t="array" ref="M527">_xlfn.XLOOKUP(C527,'Neiva 2022 FASE I ACTUAL (5)'!$C$6:$C$540,'Neiva 2022 FASE I ACTUAL (5)'!$C$6:$F$540,"NO ESTA")</f>
        <v>NO ESTA</v>
      </c>
      <c r="Q527" s="124">
        <f t="shared" si="67"/>
        <v>0</v>
      </c>
      <c r="R527" s="155">
        <f t="shared" si="62"/>
        <v>2</v>
      </c>
      <c r="S527" s="156">
        <f t="shared" si="65"/>
        <v>848091</v>
      </c>
      <c r="T527" s="156">
        <f t="shared" si="66"/>
        <v>1696182</v>
      </c>
    </row>
    <row r="528" spans="1:20" s="9" customFormat="1" ht="35.1" customHeight="1" x14ac:dyDescent="0.25">
      <c r="A528" s="215"/>
      <c r="B528" s="255" t="s">
        <v>1303</v>
      </c>
      <c r="C528" s="254" t="s">
        <v>1304</v>
      </c>
      <c r="D528" s="240" t="s">
        <v>16</v>
      </c>
      <c r="E528" s="242">
        <v>9</v>
      </c>
      <c r="F528" s="242"/>
      <c r="G528" s="242">
        <v>9</v>
      </c>
      <c r="H528" s="243">
        <v>3260174</v>
      </c>
      <c r="I528" s="243">
        <f t="shared" si="63"/>
        <v>29341566</v>
      </c>
      <c r="J528" s="8"/>
      <c r="K528" s="8">
        <f t="shared" si="61"/>
        <v>3260174</v>
      </c>
      <c r="L528" s="8">
        <f t="shared" si="64"/>
        <v>29341566</v>
      </c>
      <c r="M528" s="9" t="str">
        <f t="array" ref="M528">_xlfn.XLOOKUP(C528,'Neiva 2022 FASE I ACTUAL (5)'!$C$6:$C$540,'Neiva 2022 FASE I ACTUAL (5)'!$C$6:$F$540,"NO ESTA")</f>
        <v>NO ESTA</v>
      </c>
      <c r="Q528" s="124">
        <f t="shared" si="67"/>
        <v>0</v>
      </c>
      <c r="R528" s="155">
        <f t="shared" si="62"/>
        <v>9</v>
      </c>
      <c r="S528" s="156">
        <f t="shared" si="65"/>
        <v>3260174</v>
      </c>
      <c r="T528" s="156">
        <f t="shared" si="66"/>
        <v>29341566</v>
      </c>
    </row>
    <row r="529" spans="1:20" s="9" customFormat="1" ht="35.1" customHeight="1" x14ac:dyDescent="0.25">
      <c r="A529" s="215"/>
      <c r="B529" s="255" t="s">
        <v>1305</v>
      </c>
      <c r="C529" s="254" t="s">
        <v>1306</v>
      </c>
      <c r="D529" s="240" t="s">
        <v>16</v>
      </c>
      <c r="E529" s="242">
        <v>16</v>
      </c>
      <c r="F529" s="242"/>
      <c r="G529" s="242">
        <v>16</v>
      </c>
      <c r="H529" s="243">
        <v>2216484</v>
      </c>
      <c r="I529" s="243">
        <f t="shared" si="63"/>
        <v>35463744</v>
      </c>
      <c r="J529" s="8"/>
      <c r="K529" s="8">
        <f t="shared" si="61"/>
        <v>2216484</v>
      </c>
      <c r="L529" s="8">
        <f t="shared" si="64"/>
        <v>35463744</v>
      </c>
      <c r="M529" s="9" t="str">
        <f t="array" ref="M529">_xlfn.XLOOKUP(C529,'Neiva 2022 FASE I ACTUAL (5)'!$C$6:$C$540,'Neiva 2022 FASE I ACTUAL (5)'!$C$6:$F$540,"NO ESTA")</f>
        <v>NO ESTA</v>
      </c>
      <c r="Q529" s="124">
        <f t="shared" si="67"/>
        <v>0</v>
      </c>
      <c r="R529" s="155">
        <f t="shared" si="62"/>
        <v>16</v>
      </c>
      <c r="S529" s="156">
        <f t="shared" si="65"/>
        <v>2216484</v>
      </c>
      <c r="T529" s="156">
        <f t="shared" si="66"/>
        <v>35463744</v>
      </c>
    </row>
    <row r="530" spans="1:20" s="9" customFormat="1" ht="35.1" customHeight="1" x14ac:dyDescent="0.25">
      <c r="A530" s="215"/>
      <c r="B530" s="255" t="s">
        <v>1307</v>
      </c>
      <c r="C530" s="254" t="s">
        <v>1308</v>
      </c>
      <c r="D530" s="240" t="s">
        <v>16</v>
      </c>
      <c r="E530" s="242">
        <v>1</v>
      </c>
      <c r="F530" s="242"/>
      <c r="G530" s="242">
        <v>1</v>
      </c>
      <c r="H530" s="243">
        <v>2086023</v>
      </c>
      <c r="I530" s="243">
        <f t="shared" si="63"/>
        <v>2086023</v>
      </c>
      <c r="J530" s="8"/>
      <c r="K530" s="8">
        <f t="shared" si="61"/>
        <v>2086023</v>
      </c>
      <c r="L530" s="8">
        <f t="shared" si="64"/>
        <v>2086023</v>
      </c>
      <c r="M530" s="9" t="str">
        <f t="array" ref="M530">_xlfn.XLOOKUP(C530,'Neiva 2022 FASE I ACTUAL (5)'!$C$6:$C$540,'Neiva 2022 FASE I ACTUAL (5)'!$C$6:$F$540,"NO ESTA")</f>
        <v>NO ESTA</v>
      </c>
      <c r="Q530" s="124">
        <f t="shared" si="67"/>
        <v>0</v>
      </c>
      <c r="R530" s="155">
        <f t="shared" si="62"/>
        <v>1</v>
      </c>
      <c r="S530" s="156">
        <f t="shared" si="65"/>
        <v>2086023</v>
      </c>
      <c r="T530" s="156">
        <f t="shared" si="66"/>
        <v>2086023</v>
      </c>
    </row>
    <row r="531" spans="1:20" s="9" customFormat="1" ht="35.1" customHeight="1" x14ac:dyDescent="0.25">
      <c r="A531" s="215"/>
      <c r="B531" s="255" t="s">
        <v>1309</v>
      </c>
      <c r="C531" s="254" t="s">
        <v>1310</v>
      </c>
      <c r="D531" s="240" t="s">
        <v>16</v>
      </c>
      <c r="E531" s="242">
        <v>1</v>
      </c>
      <c r="F531" s="242"/>
      <c r="G531" s="242">
        <v>1</v>
      </c>
      <c r="H531" s="243">
        <v>1955562</v>
      </c>
      <c r="I531" s="243">
        <f t="shared" si="63"/>
        <v>1955562</v>
      </c>
      <c r="J531" s="8"/>
      <c r="K531" s="8">
        <f t="shared" si="61"/>
        <v>1955562</v>
      </c>
      <c r="L531" s="8">
        <f t="shared" si="64"/>
        <v>1955562</v>
      </c>
      <c r="M531" s="9" t="str">
        <f t="array" ref="M531">_xlfn.XLOOKUP(C531,'Neiva 2022 FASE I ACTUAL (5)'!$C$6:$C$540,'Neiva 2022 FASE I ACTUAL (5)'!$C$6:$F$540,"NO ESTA")</f>
        <v>NO ESTA</v>
      </c>
      <c r="Q531" s="124">
        <f t="shared" si="67"/>
        <v>0</v>
      </c>
      <c r="R531" s="155">
        <f t="shared" si="62"/>
        <v>1</v>
      </c>
      <c r="S531" s="156">
        <f t="shared" si="65"/>
        <v>1955562</v>
      </c>
      <c r="T531" s="156">
        <f t="shared" si="66"/>
        <v>1955562</v>
      </c>
    </row>
    <row r="532" spans="1:20" s="9" customFormat="1" ht="35.1" customHeight="1" x14ac:dyDescent="0.25">
      <c r="A532" s="215"/>
      <c r="B532" s="255" t="s">
        <v>1311</v>
      </c>
      <c r="C532" s="254" t="s">
        <v>1312</v>
      </c>
      <c r="D532" s="240" t="s">
        <v>16</v>
      </c>
      <c r="E532" s="242">
        <v>3</v>
      </c>
      <c r="F532" s="242"/>
      <c r="G532" s="242">
        <v>3</v>
      </c>
      <c r="H532" s="243">
        <v>1172794</v>
      </c>
      <c r="I532" s="243">
        <f t="shared" si="63"/>
        <v>3518382</v>
      </c>
      <c r="J532" s="8"/>
      <c r="K532" s="8">
        <f t="shared" si="61"/>
        <v>1172794</v>
      </c>
      <c r="L532" s="8">
        <f t="shared" si="64"/>
        <v>3518382</v>
      </c>
      <c r="M532" s="9" t="str">
        <f t="array" ref="M532">_xlfn.XLOOKUP(C532,'Neiva 2022 FASE I ACTUAL (5)'!$C$6:$C$540,'Neiva 2022 FASE I ACTUAL (5)'!$C$6:$F$540,"NO ESTA")</f>
        <v>NO ESTA</v>
      </c>
      <c r="Q532" s="124">
        <f t="shared" si="67"/>
        <v>0</v>
      </c>
      <c r="R532" s="155">
        <f t="shared" si="62"/>
        <v>3</v>
      </c>
      <c r="S532" s="156">
        <f t="shared" si="65"/>
        <v>1172794</v>
      </c>
      <c r="T532" s="156">
        <f t="shared" si="66"/>
        <v>3518382</v>
      </c>
    </row>
    <row r="533" spans="1:20" s="9" customFormat="1" ht="35.1" customHeight="1" x14ac:dyDescent="0.25">
      <c r="A533" s="215"/>
      <c r="B533" s="255" t="s">
        <v>1313</v>
      </c>
      <c r="C533" s="254" t="s">
        <v>1314</v>
      </c>
      <c r="D533" s="240" t="s">
        <v>16</v>
      </c>
      <c r="E533" s="242">
        <v>3</v>
      </c>
      <c r="F533" s="242"/>
      <c r="G533" s="242">
        <v>3</v>
      </c>
      <c r="H533" s="243">
        <v>1551132</v>
      </c>
      <c r="I533" s="243">
        <f t="shared" si="63"/>
        <v>4653396</v>
      </c>
      <c r="J533" s="8"/>
      <c r="K533" s="8">
        <f t="shared" si="61"/>
        <v>1551132</v>
      </c>
      <c r="L533" s="8">
        <f t="shared" si="64"/>
        <v>4653396</v>
      </c>
      <c r="M533" s="9" t="str">
        <f t="array" ref="M533">_xlfn.XLOOKUP(C533,'Neiva 2022 FASE I ACTUAL (5)'!$C$6:$C$540,'Neiva 2022 FASE I ACTUAL (5)'!$C$6:$F$540,"NO ESTA")</f>
        <v>NO ESTA</v>
      </c>
      <c r="Q533" s="124">
        <f t="shared" si="67"/>
        <v>0</v>
      </c>
      <c r="R533" s="155">
        <f t="shared" si="62"/>
        <v>3</v>
      </c>
      <c r="S533" s="156">
        <f t="shared" si="65"/>
        <v>1551132</v>
      </c>
      <c r="T533" s="156">
        <f t="shared" si="66"/>
        <v>4653396</v>
      </c>
    </row>
    <row r="534" spans="1:20" s="9" customFormat="1" ht="35.1" customHeight="1" x14ac:dyDescent="0.25">
      <c r="A534" s="215"/>
      <c r="B534" s="255" t="s">
        <v>1315</v>
      </c>
      <c r="C534" s="254" t="s">
        <v>1316</v>
      </c>
      <c r="D534" s="240" t="s">
        <v>16</v>
      </c>
      <c r="E534" s="242">
        <v>1</v>
      </c>
      <c r="F534" s="242"/>
      <c r="G534" s="242">
        <v>1</v>
      </c>
      <c r="H534" s="243">
        <v>1675069</v>
      </c>
      <c r="I534" s="243">
        <f t="shared" si="63"/>
        <v>1675069</v>
      </c>
      <c r="J534" s="8"/>
      <c r="K534" s="8">
        <f t="shared" si="61"/>
        <v>1675069</v>
      </c>
      <c r="L534" s="8">
        <f t="shared" si="64"/>
        <v>1675069</v>
      </c>
      <c r="M534" s="9" t="str">
        <f t="array" ref="M534">_xlfn.XLOOKUP(C534,'Neiva 2022 FASE I ACTUAL (5)'!$C$6:$C$540,'Neiva 2022 FASE I ACTUAL (5)'!$C$6:$F$540,"NO ESTA")</f>
        <v>NO ESTA</v>
      </c>
      <c r="Q534" s="124">
        <f t="shared" si="67"/>
        <v>0</v>
      </c>
      <c r="R534" s="155">
        <f t="shared" si="62"/>
        <v>1</v>
      </c>
      <c r="S534" s="156">
        <f t="shared" si="65"/>
        <v>1675069</v>
      </c>
      <c r="T534" s="156">
        <f t="shared" si="66"/>
        <v>1675069</v>
      </c>
    </row>
    <row r="535" spans="1:20" s="9" customFormat="1" ht="35.1" customHeight="1" x14ac:dyDescent="0.25">
      <c r="A535" s="215"/>
      <c r="B535" s="255" t="s">
        <v>1317</v>
      </c>
      <c r="C535" s="254" t="s">
        <v>1318</v>
      </c>
      <c r="D535" s="240" t="s">
        <v>16</v>
      </c>
      <c r="E535" s="242">
        <v>1</v>
      </c>
      <c r="F535" s="242"/>
      <c r="G535" s="242">
        <v>1</v>
      </c>
      <c r="H535" s="243">
        <v>1825100</v>
      </c>
      <c r="I535" s="243">
        <f t="shared" si="63"/>
        <v>1825100</v>
      </c>
      <c r="J535" s="8"/>
      <c r="K535" s="8">
        <f t="shared" si="61"/>
        <v>1825100</v>
      </c>
      <c r="L535" s="8">
        <f t="shared" si="64"/>
        <v>1825100</v>
      </c>
      <c r="M535" s="9" t="str">
        <f t="array" ref="M535">_xlfn.XLOOKUP(C535,'Neiva 2022 FASE I ACTUAL (5)'!$C$6:$C$540,'Neiva 2022 FASE I ACTUAL (5)'!$C$6:$F$540,"NO ESTA")</f>
        <v>NO ESTA</v>
      </c>
      <c r="Q535" s="124">
        <f t="shared" si="67"/>
        <v>0</v>
      </c>
      <c r="R535" s="155">
        <f t="shared" si="62"/>
        <v>1</v>
      </c>
      <c r="S535" s="156">
        <f t="shared" si="65"/>
        <v>1825100</v>
      </c>
      <c r="T535" s="156">
        <f t="shared" si="66"/>
        <v>1825100</v>
      </c>
    </row>
    <row r="536" spans="1:20" s="9" customFormat="1" ht="35.1" customHeight="1" x14ac:dyDescent="0.25">
      <c r="A536" s="215"/>
      <c r="B536" s="255" t="s">
        <v>1319</v>
      </c>
      <c r="C536" s="254" t="s">
        <v>1320</v>
      </c>
      <c r="D536" s="240" t="s">
        <v>16</v>
      </c>
      <c r="E536" s="242">
        <v>2</v>
      </c>
      <c r="F536" s="242"/>
      <c r="G536" s="242">
        <v>2</v>
      </c>
      <c r="H536" s="243">
        <v>10045890</v>
      </c>
      <c r="I536" s="243">
        <f t="shared" si="63"/>
        <v>20091780</v>
      </c>
      <c r="J536" s="8"/>
      <c r="K536" s="8">
        <f t="shared" si="61"/>
        <v>10045890</v>
      </c>
      <c r="L536" s="8">
        <f t="shared" si="64"/>
        <v>20091780</v>
      </c>
      <c r="M536" s="9" t="str">
        <f t="array" ref="M536">_xlfn.XLOOKUP(C536,'Neiva 2022 FASE I ACTUAL (5)'!$C$6:$C$540,'Neiva 2022 FASE I ACTUAL (5)'!$C$6:$F$540,"NO ESTA")</f>
        <v>NO ESTA</v>
      </c>
      <c r="Q536" s="124">
        <f t="shared" si="67"/>
        <v>0</v>
      </c>
      <c r="R536" s="155">
        <f t="shared" si="62"/>
        <v>2</v>
      </c>
      <c r="S536" s="156">
        <f t="shared" si="65"/>
        <v>10045890</v>
      </c>
      <c r="T536" s="156">
        <f t="shared" si="66"/>
        <v>20091780</v>
      </c>
    </row>
    <row r="537" spans="1:20" s="9" customFormat="1" ht="35.1" customHeight="1" x14ac:dyDescent="0.25">
      <c r="A537" s="215"/>
      <c r="B537" s="255" t="s">
        <v>1321</v>
      </c>
      <c r="C537" s="254" t="s">
        <v>1322</v>
      </c>
      <c r="D537" s="240" t="s">
        <v>16</v>
      </c>
      <c r="E537" s="242">
        <v>1</v>
      </c>
      <c r="F537" s="242"/>
      <c r="G537" s="242">
        <v>1</v>
      </c>
      <c r="H537" s="243">
        <v>16177662</v>
      </c>
      <c r="I537" s="243">
        <f t="shared" si="63"/>
        <v>16177662</v>
      </c>
      <c r="J537" s="8"/>
      <c r="K537" s="8">
        <f t="shared" si="61"/>
        <v>16177662</v>
      </c>
      <c r="L537" s="8">
        <f t="shared" si="64"/>
        <v>16177662</v>
      </c>
      <c r="M537" s="9" t="str">
        <f t="array" ref="M537">_xlfn.XLOOKUP(C537,'Neiva 2022 FASE I ACTUAL (5)'!$C$6:$C$540,'Neiva 2022 FASE I ACTUAL (5)'!$C$6:$F$540,"NO ESTA")</f>
        <v>NO ESTA</v>
      </c>
      <c r="Q537" s="124">
        <f t="shared" si="67"/>
        <v>0</v>
      </c>
      <c r="R537" s="155">
        <f t="shared" si="62"/>
        <v>1</v>
      </c>
      <c r="S537" s="156">
        <f t="shared" si="65"/>
        <v>16177662</v>
      </c>
      <c r="T537" s="156">
        <f t="shared" si="66"/>
        <v>16177662</v>
      </c>
    </row>
    <row r="538" spans="1:20" s="9" customFormat="1" ht="35.1" customHeight="1" x14ac:dyDescent="0.25">
      <c r="A538" s="215"/>
      <c r="B538" s="255" t="s">
        <v>1323</v>
      </c>
      <c r="C538" s="254" t="s">
        <v>1324</v>
      </c>
      <c r="D538" s="240" t="s">
        <v>16</v>
      </c>
      <c r="E538" s="242">
        <v>4</v>
      </c>
      <c r="F538" s="242"/>
      <c r="G538" s="242">
        <v>4</v>
      </c>
      <c r="H538" s="243">
        <v>6740609</v>
      </c>
      <c r="I538" s="243">
        <f t="shared" si="63"/>
        <v>26962436</v>
      </c>
      <c r="J538" s="8"/>
      <c r="K538" s="8">
        <f t="shared" si="61"/>
        <v>6740609</v>
      </c>
      <c r="L538" s="8">
        <f t="shared" si="64"/>
        <v>26962436</v>
      </c>
      <c r="M538" s="9" t="str">
        <f t="array" ref="M538">_xlfn.XLOOKUP(C538,'Neiva 2022 FASE I ACTUAL (5)'!$C$6:$C$540,'Neiva 2022 FASE I ACTUAL (5)'!$C$6:$F$540,"NO ESTA")</f>
        <v>NO ESTA</v>
      </c>
      <c r="Q538" s="124">
        <f t="shared" si="67"/>
        <v>0</v>
      </c>
      <c r="R538" s="155">
        <f t="shared" si="62"/>
        <v>4</v>
      </c>
      <c r="S538" s="156">
        <f t="shared" si="65"/>
        <v>6740609</v>
      </c>
      <c r="T538" s="156">
        <f t="shared" si="66"/>
        <v>26962436</v>
      </c>
    </row>
    <row r="539" spans="1:20" s="9" customFormat="1" ht="35.1" customHeight="1" x14ac:dyDescent="0.25">
      <c r="A539" s="215"/>
      <c r="B539" s="255" t="s">
        <v>1325</v>
      </c>
      <c r="C539" s="254" t="s">
        <v>1326</v>
      </c>
      <c r="D539" s="240" t="s">
        <v>16</v>
      </c>
      <c r="E539" s="242">
        <v>2</v>
      </c>
      <c r="F539" s="242"/>
      <c r="G539" s="242">
        <v>2</v>
      </c>
      <c r="H539" s="243">
        <v>23588101</v>
      </c>
      <c r="I539" s="243">
        <f t="shared" si="63"/>
        <v>47176202</v>
      </c>
      <c r="J539" s="8"/>
      <c r="K539" s="8">
        <f t="shared" si="61"/>
        <v>23588101</v>
      </c>
      <c r="L539" s="8">
        <f t="shared" si="64"/>
        <v>47176202</v>
      </c>
      <c r="M539" s="9" t="str">
        <f t="array" ref="M539">_xlfn.XLOOKUP(C539,'Neiva 2022 FASE I ACTUAL (5)'!$C$6:$C$540,'Neiva 2022 FASE I ACTUAL (5)'!$C$6:$F$540,"NO ESTA")</f>
        <v>NO ESTA</v>
      </c>
      <c r="Q539" s="124">
        <f t="shared" si="67"/>
        <v>0</v>
      </c>
      <c r="R539" s="155">
        <f t="shared" si="62"/>
        <v>2</v>
      </c>
      <c r="S539" s="156">
        <f t="shared" si="65"/>
        <v>23588101</v>
      </c>
      <c r="T539" s="156">
        <f t="shared" si="66"/>
        <v>47176202</v>
      </c>
    </row>
    <row r="540" spans="1:20" s="9" customFormat="1" ht="35.1" customHeight="1" x14ac:dyDescent="0.25">
      <c r="A540" s="215"/>
      <c r="B540" s="244" t="s">
        <v>734</v>
      </c>
      <c r="C540" s="256" t="s">
        <v>735</v>
      </c>
      <c r="D540" s="256"/>
      <c r="E540" s="246"/>
      <c r="F540" s="246"/>
      <c r="G540" s="246"/>
      <c r="H540" s="246"/>
      <c r="I540" s="246"/>
      <c r="J540" s="8"/>
      <c r="K540" s="8">
        <f t="shared" si="61"/>
        <v>0</v>
      </c>
      <c r="L540" s="8">
        <f t="shared" si="64"/>
        <v>0</v>
      </c>
      <c r="M540" s="9" t="str">
        <f t="array" ref="M540:P540">_xlfn.XLOOKUP(C540,'Neiva 2022 FASE I ACTUAL (5)'!$C$6:$C$540,'Neiva 2022 FASE I ACTUAL (5)'!$C$6:$F$540,"NO ESTA")</f>
        <v>SUMINISTRO E INSTALACION DE TUBERIA AGUA FRIA PVC</v>
      </c>
      <c r="N540" s="9">
        <v>0</v>
      </c>
      <c r="O540" s="9">
        <v>0</v>
      </c>
      <c r="P540" s="9">
        <v>0</v>
      </c>
      <c r="Q540" s="124">
        <f t="shared" si="67"/>
        <v>0</v>
      </c>
      <c r="R540" s="155">
        <f t="shared" si="62"/>
        <v>0</v>
      </c>
      <c r="S540" s="156">
        <f t="shared" si="65"/>
        <v>0</v>
      </c>
      <c r="T540" s="156">
        <f t="shared" si="66"/>
        <v>0</v>
      </c>
    </row>
    <row r="541" spans="1:20" s="9" customFormat="1" ht="35.1" customHeight="1" x14ac:dyDescent="0.25">
      <c r="A541" s="215"/>
      <c r="B541" s="255" t="s">
        <v>736</v>
      </c>
      <c r="C541" s="254" t="s">
        <v>737</v>
      </c>
      <c r="D541" s="240" t="s">
        <v>94</v>
      </c>
      <c r="E541" s="242">
        <v>45</v>
      </c>
      <c r="F541" s="242">
        <v>17</v>
      </c>
      <c r="G541" s="242">
        <v>62</v>
      </c>
      <c r="H541" s="243">
        <v>72791</v>
      </c>
      <c r="I541" s="243">
        <f t="shared" si="63"/>
        <v>4513042</v>
      </c>
      <c r="J541" s="8"/>
      <c r="K541" s="8">
        <f t="shared" si="61"/>
        <v>72791</v>
      </c>
      <c r="L541" s="8">
        <f t="shared" si="64"/>
        <v>3275595</v>
      </c>
      <c r="M541" s="9" t="str">
        <f t="array" ref="M541:P541">_xlfn.XLOOKUP(C541,'Neiva 2022 FASE I ACTUAL (5)'!$C$6:$C$540,'Neiva 2022 FASE I ACTUAL (5)'!$C$6:$F$540,"NO ESTA")</f>
        <v>SUMINISTRO E INSTALACION TUBERIA Y ACCESORIOS RDE 21 Ø DIAMETRO  4"</v>
      </c>
      <c r="N541" s="9" t="str">
        <v>ML</v>
      </c>
      <c r="O541" s="9">
        <v>17</v>
      </c>
      <c r="P541" s="9">
        <v>69855</v>
      </c>
      <c r="Q541" s="124" t="str">
        <f t="shared" si="67"/>
        <v>FASE II</v>
      </c>
      <c r="R541" s="155">
        <f t="shared" si="62"/>
        <v>62</v>
      </c>
      <c r="S541" s="156">
        <f t="shared" si="65"/>
        <v>72791</v>
      </c>
      <c r="T541" s="156">
        <f t="shared" si="66"/>
        <v>4513042</v>
      </c>
    </row>
    <row r="542" spans="1:20" s="9" customFormat="1" ht="35.1" customHeight="1" x14ac:dyDescent="0.25">
      <c r="A542" s="215"/>
      <c r="B542" s="255" t="s">
        <v>738</v>
      </c>
      <c r="C542" s="254" t="s">
        <v>739</v>
      </c>
      <c r="D542" s="240" t="s">
        <v>94</v>
      </c>
      <c r="E542" s="242">
        <v>24</v>
      </c>
      <c r="F542" s="242">
        <v>9</v>
      </c>
      <c r="G542" s="242">
        <v>33</v>
      </c>
      <c r="H542" s="243">
        <v>47331</v>
      </c>
      <c r="I542" s="243">
        <f t="shared" si="63"/>
        <v>1561923</v>
      </c>
      <c r="J542" s="8"/>
      <c r="K542" s="8">
        <f t="shared" si="61"/>
        <v>47331</v>
      </c>
      <c r="L542" s="8">
        <f t="shared" si="64"/>
        <v>1135944</v>
      </c>
      <c r="M542" s="9" t="str">
        <f t="array" ref="M542:P542">_xlfn.XLOOKUP(C542,'Neiva 2022 FASE I ACTUAL (5)'!$C$6:$C$540,'Neiva 2022 FASE I ACTUAL (5)'!$C$6:$F$540,"NO ESTA")</f>
        <v>SUMINISTRO E INSTALACION TUBERIA Y ACCESORIOS RDE 21 Ø DIAMETRO  3"</v>
      </c>
      <c r="N542" s="9" t="str">
        <v>ML</v>
      </c>
      <c r="O542" s="9">
        <v>9</v>
      </c>
      <c r="P542" s="9">
        <v>45421</v>
      </c>
      <c r="Q542" s="124" t="str">
        <f t="shared" si="67"/>
        <v>FASE II</v>
      </c>
      <c r="R542" s="155">
        <f t="shared" si="62"/>
        <v>33</v>
      </c>
      <c r="S542" s="156">
        <f t="shared" si="65"/>
        <v>47331</v>
      </c>
      <c r="T542" s="156">
        <f t="shared" si="66"/>
        <v>1561923</v>
      </c>
    </row>
    <row r="543" spans="1:20" s="9" customFormat="1" ht="35.1" customHeight="1" x14ac:dyDescent="0.25">
      <c r="A543" s="215"/>
      <c r="B543" s="255" t="s">
        <v>740</v>
      </c>
      <c r="C543" s="254" t="s">
        <v>741</v>
      </c>
      <c r="D543" s="240" t="s">
        <v>94</v>
      </c>
      <c r="E543" s="242">
        <v>64</v>
      </c>
      <c r="F543" s="242">
        <v>24</v>
      </c>
      <c r="G543" s="242">
        <v>88</v>
      </c>
      <c r="H543" s="243">
        <v>35274</v>
      </c>
      <c r="I543" s="243">
        <f t="shared" si="63"/>
        <v>3104112</v>
      </c>
      <c r="J543" s="8"/>
      <c r="K543" s="8">
        <f t="shared" si="61"/>
        <v>35274</v>
      </c>
      <c r="L543" s="8">
        <f t="shared" si="64"/>
        <v>2257536</v>
      </c>
      <c r="M543" s="9" t="str">
        <f t="array" ref="M543:P543">_xlfn.XLOOKUP(C543,'Neiva 2022 FASE I ACTUAL (5)'!$C$6:$C$540,'Neiva 2022 FASE I ACTUAL (5)'!$C$6:$F$540,"NO ESTA")</f>
        <v>SUMINISTRO E INSTALACION TUBERIA Y ACCESORIOS RDE 21 Ø DIAMETRO  2 1/2"</v>
      </c>
      <c r="N543" s="9" t="str">
        <v>ML</v>
      </c>
      <c r="O543" s="9">
        <v>24</v>
      </c>
      <c r="P543" s="9">
        <v>33851</v>
      </c>
      <c r="Q543" s="124" t="str">
        <f t="shared" si="67"/>
        <v>FASE II</v>
      </c>
      <c r="R543" s="155">
        <f t="shared" si="62"/>
        <v>88</v>
      </c>
      <c r="S543" s="156">
        <f t="shared" si="65"/>
        <v>35274</v>
      </c>
      <c r="T543" s="156">
        <f t="shared" si="66"/>
        <v>3104112</v>
      </c>
    </row>
    <row r="544" spans="1:20" s="9" customFormat="1" ht="35.1" customHeight="1" x14ac:dyDescent="0.25">
      <c r="A544" s="215"/>
      <c r="B544" s="255" t="s">
        <v>742</v>
      </c>
      <c r="C544" s="254" t="s">
        <v>743</v>
      </c>
      <c r="D544" s="240" t="s">
        <v>94</v>
      </c>
      <c r="E544" s="242">
        <v>185.4</v>
      </c>
      <c r="F544" s="242">
        <v>68</v>
      </c>
      <c r="G544" s="242">
        <v>253.4</v>
      </c>
      <c r="H544" s="243">
        <v>24014</v>
      </c>
      <c r="I544" s="243">
        <f t="shared" si="63"/>
        <v>6085147.5999999996</v>
      </c>
      <c r="J544" s="8"/>
      <c r="K544" s="8">
        <f t="shared" si="61"/>
        <v>24014</v>
      </c>
      <c r="L544" s="8">
        <f t="shared" si="64"/>
        <v>4452195.6000000006</v>
      </c>
      <c r="M544" s="9" t="str">
        <f t="array" ref="M544:P544">_xlfn.XLOOKUP(C544,'Neiva 2022 FASE I ACTUAL (5)'!$C$6:$C$540,'Neiva 2022 FASE I ACTUAL (5)'!$C$6:$F$540,"NO ESTA")</f>
        <v>SUMINISTRO E INSTALACION TUBERIA Y ACCESORIOS RDE 21 Ø DIAMETRO  2"</v>
      </c>
      <c r="N544" s="9" t="str">
        <v>ML</v>
      </c>
      <c r="O544" s="9">
        <v>68</v>
      </c>
      <c r="P544" s="9">
        <v>23046</v>
      </c>
      <c r="Q544" s="124" t="str">
        <f t="shared" si="67"/>
        <v>FASE II</v>
      </c>
      <c r="R544" s="155">
        <f t="shared" si="62"/>
        <v>253.4</v>
      </c>
      <c r="S544" s="156">
        <f t="shared" si="65"/>
        <v>24014</v>
      </c>
      <c r="T544" s="156">
        <f t="shared" si="66"/>
        <v>6085147.5999999996</v>
      </c>
    </row>
    <row r="545" spans="1:20" s="9" customFormat="1" ht="35.1" customHeight="1" x14ac:dyDescent="0.25">
      <c r="A545" s="215"/>
      <c r="B545" s="255" t="s">
        <v>744</v>
      </c>
      <c r="C545" s="254" t="s">
        <v>745</v>
      </c>
      <c r="D545" s="240" t="s">
        <v>94</v>
      </c>
      <c r="E545" s="242">
        <v>106.80000000000001</v>
      </c>
      <c r="F545" s="242">
        <v>40</v>
      </c>
      <c r="G545" s="242">
        <v>146.80000000000001</v>
      </c>
      <c r="H545" s="243">
        <v>17497</v>
      </c>
      <c r="I545" s="243">
        <f t="shared" si="63"/>
        <v>2568559.6</v>
      </c>
      <c r="J545" s="8"/>
      <c r="K545" s="8">
        <f t="shared" si="61"/>
        <v>17497</v>
      </c>
      <c r="L545" s="8">
        <f t="shared" si="64"/>
        <v>1868679.6</v>
      </c>
      <c r="M545" s="9" t="str">
        <f t="array" ref="M545:P545">_xlfn.XLOOKUP(C545,'Neiva 2022 FASE I ACTUAL (5)'!$C$6:$C$540,'Neiva 2022 FASE I ACTUAL (5)'!$C$6:$F$540,"NO ESTA")</f>
        <v>SUMINISTRO E INSTALACION TUBERIA Y ACCESORIOS RDE 21 Ø DIAMETRO  1 1/2"</v>
      </c>
      <c r="N545" s="9" t="str">
        <v>ML</v>
      </c>
      <c r="O545" s="9">
        <v>40</v>
      </c>
      <c r="P545" s="9">
        <v>16792</v>
      </c>
      <c r="Q545" s="124" t="str">
        <f t="shared" si="67"/>
        <v>FASE II</v>
      </c>
      <c r="R545" s="155">
        <f t="shared" si="62"/>
        <v>146.80000000000001</v>
      </c>
      <c r="S545" s="156">
        <f t="shared" si="65"/>
        <v>17497</v>
      </c>
      <c r="T545" s="156">
        <f t="shared" si="66"/>
        <v>2568559.6</v>
      </c>
    </row>
    <row r="546" spans="1:20" s="9" customFormat="1" ht="35.1" customHeight="1" x14ac:dyDescent="0.25">
      <c r="A546" s="215"/>
      <c r="B546" s="255" t="s">
        <v>746</v>
      </c>
      <c r="C546" s="254" t="s">
        <v>747</v>
      </c>
      <c r="D546" s="240" t="s">
        <v>94</v>
      </c>
      <c r="E546" s="242">
        <v>165.6</v>
      </c>
      <c r="F546" s="242">
        <v>61</v>
      </c>
      <c r="G546" s="242">
        <v>226.6</v>
      </c>
      <c r="H546" s="243">
        <v>14885</v>
      </c>
      <c r="I546" s="243">
        <f t="shared" si="63"/>
        <v>3372941</v>
      </c>
      <c r="J546" s="8"/>
      <c r="K546" s="8">
        <f t="shared" si="61"/>
        <v>14885</v>
      </c>
      <c r="L546" s="8">
        <f t="shared" si="64"/>
        <v>2464956</v>
      </c>
      <c r="M546" s="9" t="str">
        <f t="array" ref="M546:P546">_xlfn.XLOOKUP(C546,'Neiva 2022 FASE I ACTUAL (5)'!$C$6:$C$540,'Neiva 2022 FASE I ACTUAL (5)'!$C$6:$F$540,"NO ESTA")</f>
        <v>SUMINISTRO E INSTALACION TUBERIA Y ACCESORIOS RDE 21 Ø DIAMETRO  1 1/4"</v>
      </c>
      <c r="N546" s="9" t="str">
        <v>ML</v>
      </c>
      <c r="O546" s="9">
        <v>61</v>
      </c>
      <c r="P546" s="9">
        <v>14285</v>
      </c>
      <c r="Q546" s="124" t="str">
        <f t="shared" si="67"/>
        <v>FASE II</v>
      </c>
      <c r="R546" s="155">
        <f t="shared" si="62"/>
        <v>226.6</v>
      </c>
      <c r="S546" s="156">
        <f t="shared" si="65"/>
        <v>14885</v>
      </c>
      <c r="T546" s="156">
        <f t="shared" si="66"/>
        <v>3372941</v>
      </c>
    </row>
    <row r="547" spans="1:20" s="9" customFormat="1" ht="35.1" customHeight="1" x14ac:dyDescent="0.25">
      <c r="A547" s="215"/>
      <c r="B547" s="255" t="s">
        <v>748</v>
      </c>
      <c r="C547" s="254" t="s">
        <v>749</v>
      </c>
      <c r="D547" s="240" t="s">
        <v>94</v>
      </c>
      <c r="E547" s="242">
        <v>28.799999999999997</v>
      </c>
      <c r="F547" s="242">
        <v>10</v>
      </c>
      <c r="G547" s="242">
        <v>38.799999999999997</v>
      </c>
      <c r="H547" s="243">
        <v>10891</v>
      </c>
      <c r="I547" s="243">
        <f t="shared" si="63"/>
        <v>422570.8</v>
      </c>
      <c r="J547" s="8"/>
      <c r="K547" s="8">
        <f t="shared" si="61"/>
        <v>10891</v>
      </c>
      <c r="L547" s="8">
        <f t="shared" si="64"/>
        <v>313660.79999999999</v>
      </c>
      <c r="M547" s="9" t="str">
        <f t="array" ref="M547:P547">_xlfn.XLOOKUP(C547,'Neiva 2022 FASE I ACTUAL (5)'!$C$6:$C$540,'Neiva 2022 FASE I ACTUAL (5)'!$C$6:$F$540,"NO ESTA")</f>
        <v>SUMINISTRO E INSTALACION TUBERIA Y ACCESORIOS RDE 21 Ø DIAMETRO  1"</v>
      </c>
      <c r="N547" s="9" t="str">
        <v>ML</v>
      </c>
      <c r="O547" s="9">
        <v>10</v>
      </c>
      <c r="P547" s="9">
        <v>10451</v>
      </c>
      <c r="Q547" s="124" t="str">
        <f t="shared" si="67"/>
        <v>FASE II</v>
      </c>
      <c r="R547" s="155">
        <f t="shared" si="62"/>
        <v>38.799999999999997</v>
      </c>
      <c r="S547" s="156">
        <f t="shared" si="65"/>
        <v>10891</v>
      </c>
      <c r="T547" s="156">
        <f t="shared" si="66"/>
        <v>422570.8</v>
      </c>
    </row>
    <row r="548" spans="1:20" s="9" customFormat="1" ht="35.1" customHeight="1" x14ac:dyDescent="0.25">
      <c r="A548" s="215"/>
      <c r="B548" s="255" t="s">
        <v>750</v>
      </c>
      <c r="C548" s="254" t="s">
        <v>751</v>
      </c>
      <c r="D548" s="240" t="s">
        <v>94</v>
      </c>
      <c r="E548" s="242">
        <v>32</v>
      </c>
      <c r="F548" s="242">
        <v>12</v>
      </c>
      <c r="G548" s="242">
        <v>44</v>
      </c>
      <c r="H548" s="243">
        <v>9567</v>
      </c>
      <c r="I548" s="243">
        <f t="shared" si="63"/>
        <v>420948</v>
      </c>
      <c r="J548" s="8"/>
      <c r="K548" s="8">
        <f t="shared" si="61"/>
        <v>9567</v>
      </c>
      <c r="L548" s="8">
        <f t="shared" si="64"/>
        <v>306144</v>
      </c>
      <c r="M548" s="9" t="str">
        <f t="array" ref="M548:P548">_xlfn.XLOOKUP(C548,'Neiva 2022 FASE I ACTUAL (5)'!$C$6:$C$540,'Neiva 2022 FASE I ACTUAL (5)'!$C$6:$F$540,"NO ESTA")</f>
        <v>SUMINISTRO E INSTALACION TUBERIA Y ACCESORIOS RDE 21 Ø DIAMETRO  3/4"</v>
      </c>
      <c r="N548" s="9" t="str">
        <v>ML</v>
      </c>
      <c r="O548" s="9">
        <v>12</v>
      </c>
      <c r="P548" s="9">
        <v>9181</v>
      </c>
      <c r="Q548" s="124" t="str">
        <f t="shared" si="67"/>
        <v>FASE II</v>
      </c>
      <c r="R548" s="155">
        <f t="shared" si="62"/>
        <v>44</v>
      </c>
      <c r="S548" s="156">
        <f t="shared" si="65"/>
        <v>9567</v>
      </c>
      <c r="T548" s="156">
        <f t="shared" si="66"/>
        <v>420948</v>
      </c>
    </row>
    <row r="549" spans="1:20" s="9" customFormat="1" ht="35.1" customHeight="1" x14ac:dyDescent="0.25">
      <c r="A549" s="215"/>
      <c r="B549" s="244" t="s">
        <v>752</v>
      </c>
      <c r="C549" s="256" t="s">
        <v>1327</v>
      </c>
      <c r="D549" s="256"/>
      <c r="E549" s="246"/>
      <c r="F549" s="246"/>
      <c r="G549" s="246"/>
      <c r="H549" s="246"/>
      <c r="I549" s="246"/>
      <c r="J549" s="8"/>
      <c r="K549" s="8">
        <f t="shared" si="61"/>
        <v>0</v>
      </c>
      <c r="L549" s="8">
        <f t="shared" si="64"/>
        <v>0</v>
      </c>
      <c r="M549" s="9" t="str">
        <f t="array" ref="M549">_xlfn.XLOOKUP(C549,'Neiva 2022 FASE I ACTUAL (5)'!$C$6:$C$540,'Neiva 2022 FASE I ACTUAL (5)'!$C$6:$F$540,"NO ESTA")</f>
        <v>NO ESTA</v>
      </c>
      <c r="Q549" s="124">
        <f t="shared" si="67"/>
        <v>0</v>
      </c>
      <c r="R549" s="155">
        <f t="shared" si="62"/>
        <v>0</v>
      </c>
      <c r="S549" s="156">
        <f t="shared" si="65"/>
        <v>0</v>
      </c>
      <c r="T549" s="156">
        <f t="shared" si="66"/>
        <v>0</v>
      </c>
    </row>
    <row r="550" spans="1:20" s="9" customFormat="1" ht="35.1" customHeight="1" x14ac:dyDescent="0.25">
      <c r="A550" s="215"/>
      <c r="B550" s="240" t="s">
        <v>754</v>
      </c>
      <c r="C550" s="254" t="s">
        <v>755</v>
      </c>
      <c r="D550" s="240" t="s">
        <v>94</v>
      </c>
      <c r="E550" s="242">
        <v>45</v>
      </c>
      <c r="F550" s="242">
        <v>17</v>
      </c>
      <c r="G550" s="242">
        <v>62</v>
      </c>
      <c r="H550" s="243">
        <v>42025</v>
      </c>
      <c r="I550" s="243">
        <f t="shared" si="63"/>
        <v>2605550</v>
      </c>
      <c r="J550" s="8"/>
      <c r="K550" s="8">
        <f t="shared" si="61"/>
        <v>42025</v>
      </c>
      <c r="L550" s="8">
        <f t="shared" si="64"/>
        <v>1891125</v>
      </c>
      <c r="M550" s="9" t="str">
        <f t="array" ref="M550:P550">_xlfn.XLOOKUP(C550,'Neiva 2022 FASE I ACTUAL (5)'!$C$6:$C$540,'Neiva 2022 FASE I ACTUAL (5)'!$C$6:$F$540,"NO ESTA")</f>
        <v>SUMINISTRO E INSTALACION DE AISLAMIENTO TERMICO TUBERIA Y ACCESORIOS RDE 21 Ø DIAMETRO  4"</v>
      </c>
      <c r="N550" s="9" t="str">
        <v>ML</v>
      </c>
      <c r="O550" s="9">
        <v>17</v>
      </c>
      <c r="P550" s="9">
        <v>40331</v>
      </c>
      <c r="Q550" s="124" t="str">
        <f t="shared" si="67"/>
        <v>FASE II</v>
      </c>
      <c r="R550" s="155">
        <f t="shared" si="62"/>
        <v>62</v>
      </c>
      <c r="S550" s="156">
        <f t="shared" si="65"/>
        <v>42025</v>
      </c>
      <c r="T550" s="156">
        <f t="shared" si="66"/>
        <v>2605550</v>
      </c>
    </row>
    <row r="551" spans="1:20" s="9" customFormat="1" ht="35.1" customHeight="1" x14ac:dyDescent="0.25">
      <c r="A551" s="215"/>
      <c r="B551" s="240" t="s">
        <v>756</v>
      </c>
      <c r="C551" s="87" t="s">
        <v>757</v>
      </c>
      <c r="D551" s="240" t="s">
        <v>94</v>
      </c>
      <c r="E551" s="242">
        <v>24</v>
      </c>
      <c r="F551" s="242">
        <v>9</v>
      </c>
      <c r="G551" s="242">
        <v>33</v>
      </c>
      <c r="H551" s="243">
        <v>37751</v>
      </c>
      <c r="I551" s="243">
        <f t="shared" si="63"/>
        <v>1245783</v>
      </c>
      <c r="J551" s="8"/>
      <c r="K551" s="8">
        <f t="shared" si="61"/>
        <v>37751</v>
      </c>
      <c r="L551" s="8">
        <f t="shared" si="64"/>
        <v>906024</v>
      </c>
      <c r="M551" s="9" t="str">
        <f t="array" ref="M551:P551">_xlfn.XLOOKUP(C551,'Neiva 2022 FASE I ACTUAL (5)'!$C$6:$C$540,'Neiva 2022 FASE I ACTUAL (5)'!$C$6:$F$540,"NO ESTA")</f>
        <v>SUMINISTRO E INSTALACION DE AISLAMIENTO TERMICO TUBERIA Y ACCESORIOS RDE 21 Ø DIAMETRO  3"</v>
      </c>
      <c r="N551" s="9" t="str">
        <v>ML</v>
      </c>
      <c r="O551" s="9">
        <v>9</v>
      </c>
      <c r="P551" s="9">
        <v>36230</v>
      </c>
      <c r="Q551" s="124" t="str">
        <f t="shared" si="67"/>
        <v>FASE II</v>
      </c>
      <c r="R551" s="155">
        <f t="shared" si="62"/>
        <v>33</v>
      </c>
      <c r="S551" s="156">
        <f t="shared" si="65"/>
        <v>37751</v>
      </c>
      <c r="T551" s="156">
        <f t="shared" si="66"/>
        <v>1245783</v>
      </c>
    </row>
    <row r="552" spans="1:20" s="9" customFormat="1" ht="35.1" customHeight="1" x14ac:dyDescent="0.25">
      <c r="A552" s="215"/>
      <c r="B552" s="255" t="s">
        <v>758</v>
      </c>
      <c r="C552" s="254" t="s">
        <v>759</v>
      </c>
      <c r="D552" s="240" t="s">
        <v>94</v>
      </c>
      <c r="E552" s="242">
        <v>64</v>
      </c>
      <c r="F552" s="242">
        <v>24</v>
      </c>
      <c r="G552" s="242">
        <v>88</v>
      </c>
      <c r="H552" s="243">
        <v>28947</v>
      </c>
      <c r="I552" s="243">
        <f t="shared" si="63"/>
        <v>2547336</v>
      </c>
      <c r="J552" s="8"/>
      <c r="K552" s="8">
        <f t="shared" si="61"/>
        <v>28947</v>
      </c>
      <c r="L552" s="8">
        <f t="shared" si="64"/>
        <v>1852608</v>
      </c>
      <c r="M552" s="9" t="str">
        <f t="array" ref="M552:P552">_xlfn.XLOOKUP(C552,'Neiva 2022 FASE I ACTUAL (5)'!$C$6:$C$540,'Neiva 2022 FASE I ACTUAL (5)'!$C$6:$F$540,"NO ESTA")</f>
        <v>SUMINISTRO E INSTALACION DE AISLAMIENTO TERMICO TUBERIA Y ACCESORIOS RDE 21 Ø DIAMETRO  2 1/2"</v>
      </c>
      <c r="N552" s="9" t="str">
        <v>ML</v>
      </c>
      <c r="O552" s="9">
        <v>24</v>
      </c>
      <c r="P552" s="9">
        <v>27779</v>
      </c>
      <c r="Q552" s="124" t="str">
        <f t="shared" si="67"/>
        <v>FASE II</v>
      </c>
      <c r="R552" s="155">
        <f t="shared" si="62"/>
        <v>88</v>
      </c>
      <c r="S552" s="156">
        <f t="shared" si="65"/>
        <v>28947</v>
      </c>
      <c r="T552" s="156">
        <f t="shared" si="66"/>
        <v>2547336</v>
      </c>
    </row>
    <row r="553" spans="1:20" s="9" customFormat="1" ht="35.1" customHeight="1" x14ac:dyDescent="0.25">
      <c r="A553" s="215"/>
      <c r="B553" s="255" t="s">
        <v>760</v>
      </c>
      <c r="C553" s="254" t="s">
        <v>761</v>
      </c>
      <c r="D553" s="240" t="s">
        <v>94</v>
      </c>
      <c r="E553" s="242">
        <v>185.4</v>
      </c>
      <c r="F553" s="242">
        <v>68</v>
      </c>
      <c r="G553" s="242">
        <v>253.4</v>
      </c>
      <c r="H553" s="243">
        <v>22834</v>
      </c>
      <c r="I553" s="243">
        <f t="shared" si="63"/>
        <v>5786135.5999999996</v>
      </c>
      <c r="J553" s="8"/>
      <c r="K553" s="8">
        <f t="shared" si="61"/>
        <v>22834</v>
      </c>
      <c r="L553" s="8">
        <f t="shared" si="64"/>
        <v>4233423.6000000006</v>
      </c>
      <c r="M553" s="9" t="str">
        <f t="array" ref="M553:P553">_xlfn.XLOOKUP(C553,'Neiva 2022 FASE I ACTUAL (5)'!$C$6:$C$540,'Neiva 2022 FASE I ACTUAL (5)'!$C$6:$F$540,"NO ESTA")</f>
        <v>SUMINISTRO E INSTALACION DE AISLAMIENTO TERMICO TUBERIA Y ACCESORIOS RDE 21 Ø DIAMETRO  2"</v>
      </c>
      <c r="N553" s="9" t="str">
        <v>ML</v>
      </c>
      <c r="O553" s="9">
        <v>68</v>
      </c>
      <c r="P553" s="9">
        <v>21912</v>
      </c>
      <c r="Q553" s="124" t="str">
        <f t="shared" si="67"/>
        <v>FASE II</v>
      </c>
      <c r="R553" s="155">
        <f t="shared" si="62"/>
        <v>253.4</v>
      </c>
      <c r="S553" s="156">
        <f t="shared" si="65"/>
        <v>22834</v>
      </c>
      <c r="T553" s="156">
        <f t="shared" si="66"/>
        <v>5786135.5999999996</v>
      </c>
    </row>
    <row r="554" spans="1:20" s="9" customFormat="1" ht="35.1" customHeight="1" x14ac:dyDescent="0.25">
      <c r="A554" s="215"/>
      <c r="B554" s="255" t="s">
        <v>762</v>
      </c>
      <c r="C554" s="87" t="s">
        <v>763</v>
      </c>
      <c r="D554" s="240" t="s">
        <v>94</v>
      </c>
      <c r="E554" s="242">
        <v>106.80000000000001</v>
      </c>
      <c r="F554" s="242">
        <v>40</v>
      </c>
      <c r="G554" s="242">
        <v>146.80000000000001</v>
      </c>
      <c r="H554" s="243">
        <v>17221</v>
      </c>
      <c r="I554" s="243">
        <f t="shared" si="63"/>
        <v>2528042.7999999998</v>
      </c>
      <c r="J554" s="8"/>
      <c r="K554" s="8">
        <f t="shared" si="61"/>
        <v>17221</v>
      </c>
      <c r="L554" s="8">
        <f t="shared" si="64"/>
        <v>1839202.8000000003</v>
      </c>
      <c r="M554" s="9" t="str">
        <f t="array" ref="M554:P554">_xlfn.XLOOKUP(C554,'Neiva 2022 FASE I ACTUAL (5)'!$C$6:$C$540,'Neiva 2022 FASE I ACTUAL (5)'!$C$6:$F$540,"NO ESTA")</f>
        <v>SUMINISTRO E INSTALACION DE AISLAMIENTO TERMICO TUBERIA Y ACCESORIOS RDE 21 Ø DIAMETRO  1 1/2"</v>
      </c>
      <c r="N554" s="9" t="str">
        <v>ML</v>
      </c>
      <c r="O554" s="9">
        <v>40</v>
      </c>
      <c r="P554" s="9">
        <v>16527</v>
      </c>
      <c r="Q554" s="124" t="str">
        <f t="shared" si="67"/>
        <v>FASE II</v>
      </c>
      <c r="R554" s="155">
        <f t="shared" si="62"/>
        <v>146.80000000000001</v>
      </c>
      <c r="S554" s="156">
        <f t="shared" si="65"/>
        <v>17221</v>
      </c>
      <c r="T554" s="156">
        <f t="shared" si="66"/>
        <v>2528042.7999999998</v>
      </c>
    </row>
    <row r="555" spans="1:20" s="9" customFormat="1" ht="35.1" customHeight="1" x14ac:dyDescent="0.25">
      <c r="A555" s="215"/>
      <c r="B555" s="255" t="s">
        <v>764</v>
      </c>
      <c r="C555" s="87" t="s">
        <v>765</v>
      </c>
      <c r="D555" s="240" t="s">
        <v>94</v>
      </c>
      <c r="E555" s="242">
        <v>165.6</v>
      </c>
      <c r="F555" s="242">
        <v>61</v>
      </c>
      <c r="G555" s="242">
        <v>226.6</v>
      </c>
      <c r="H555" s="243">
        <v>14768</v>
      </c>
      <c r="I555" s="243">
        <f t="shared" si="63"/>
        <v>3346428.8</v>
      </c>
      <c r="J555" s="8"/>
      <c r="K555" s="8">
        <f t="shared" si="61"/>
        <v>14768</v>
      </c>
      <c r="L555" s="8">
        <f t="shared" si="64"/>
        <v>2445580.7999999998</v>
      </c>
      <c r="M555" s="9" t="str">
        <f t="array" ref="M555:P555">_xlfn.XLOOKUP(C555,'Neiva 2022 FASE I ACTUAL (5)'!$C$6:$C$540,'Neiva 2022 FASE I ACTUAL (5)'!$C$6:$F$540,"NO ESTA")</f>
        <v>SUMINISTRO E INSTALACION DE AISLAMIENTO TERMICO TUBERIA Y ACCESORIOS RDE 21 Ø DIAMETRO  1 1/4"</v>
      </c>
      <c r="N555" s="9" t="str">
        <v>ML</v>
      </c>
      <c r="O555" s="9">
        <v>61</v>
      </c>
      <c r="P555" s="9">
        <v>14173</v>
      </c>
      <c r="Q555" s="124" t="str">
        <f t="shared" si="67"/>
        <v>FASE II</v>
      </c>
      <c r="R555" s="155">
        <f t="shared" si="62"/>
        <v>226.6</v>
      </c>
      <c r="S555" s="156">
        <f t="shared" si="65"/>
        <v>14768</v>
      </c>
      <c r="T555" s="156">
        <f t="shared" si="66"/>
        <v>3346428.8</v>
      </c>
    </row>
    <row r="556" spans="1:20" s="9" customFormat="1" ht="35.1" customHeight="1" x14ac:dyDescent="0.25">
      <c r="A556" s="215"/>
      <c r="B556" s="255" t="s">
        <v>766</v>
      </c>
      <c r="C556" s="254" t="s">
        <v>767</v>
      </c>
      <c r="D556" s="240" t="s">
        <v>94</v>
      </c>
      <c r="E556" s="242">
        <v>28.799999999999997</v>
      </c>
      <c r="F556" s="242">
        <v>10</v>
      </c>
      <c r="G556" s="242">
        <v>38.799999999999997</v>
      </c>
      <c r="H556" s="243">
        <v>10763</v>
      </c>
      <c r="I556" s="243">
        <f t="shared" si="63"/>
        <v>417604.4</v>
      </c>
      <c r="J556" s="8"/>
      <c r="K556" s="8">
        <f t="shared" si="61"/>
        <v>10763</v>
      </c>
      <c r="L556" s="8">
        <f t="shared" si="64"/>
        <v>309974.39999999997</v>
      </c>
      <c r="M556" s="9" t="str">
        <f t="array" ref="M556:P556">_xlfn.XLOOKUP(C556,'Neiva 2022 FASE I ACTUAL (5)'!$C$6:$C$540,'Neiva 2022 FASE I ACTUAL (5)'!$C$6:$F$540,"NO ESTA")</f>
        <v>SUMINISTRO E INSTALACION DE AISLAMIENTO TERMICO TUBERIA Y ACCESORIOS RDE 21 Ø DIAMETRO  1"</v>
      </c>
      <c r="N556" s="9" t="str">
        <v>ML</v>
      </c>
      <c r="O556" s="9">
        <v>10</v>
      </c>
      <c r="P556" s="9">
        <v>10329</v>
      </c>
      <c r="Q556" s="124" t="str">
        <f t="shared" si="67"/>
        <v>FASE II</v>
      </c>
      <c r="R556" s="155">
        <f t="shared" si="62"/>
        <v>38.799999999999997</v>
      </c>
      <c r="S556" s="156">
        <f t="shared" si="65"/>
        <v>10763</v>
      </c>
      <c r="T556" s="156">
        <f t="shared" si="66"/>
        <v>417604.4</v>
      </c>
    </row>
    <row r="557" spans="1:20" s="9" customFormat="1" ht="35.1" customHeight="1" x14ac:dyDescent="0.25">
      <c r="A557" s="215"/>
      <c r="B557" s="255" t="s">
        <v>768</v>
      </c>
      <c r="C557" s="254" t="s">
        <v>769</v>
      </c>
      <c r="D557" s="240" t="s">
        <v>94</v>
      </c>
      <c r="E557" s="242">
        <v>32</v>
      </c>
      <c r="F557" s="242">
        <v>12</v>
      </c>
      <c r="G557" s="242">
        <v>44</v>
      </c>
      <c r="H557" s="243">
        <v>9393</v>
      </c>
      <c r="I557" s="243">
        <f t="shared" si="63"/>
        <v>413292</v>
      </c>
      <c r="J557" s="8"/>
      <c r="K557" s="8">
        <f t="shared" si="61"/>
        <v>9393</v>
      </c>
      <c r="L557" s="8">
        <f t="shared" si="64"/>
        <v>300576</v>
      </c>
      <c r="M557" s="9" t="str">
        <f t="array" ref="M557:P557">_xlfn.XLOOKUP(C557,'Neiva 2022 FASE I ACTUAL (5)'!$C$6:$C$540,'Neiva 2022 FASE I ACTUAL (5)'!$C$6:$F$540,"NO ESTA")</f>
        <v>SUMINISTRO E INSTALACION DE AISLAMIENTO TERMICO TUBERIA Y ACCESORIOS RDE 21 Ø DIAMETRO  3/4"</v>
      </c>
      <c r="N557" s="9" t="str">
        <v>ML</v>
      </c>
      <c r="O557" s="9">
        <v>12</v>
      </c>
      <c r="P557" s="9">
        <v>9015</v>
      </c>
      <c r="Q557" s="124" t="str">
        <f t="shared" si="67"/>
        <v>FASE II</v>
      </c>
      <c r="R557" s="155">
        <f t="shared" si="62"/>
        <v>44</v>
      </c>
      <c r="S557" s="156">
        <f t="shared" si="65"/>
        <v>9393</v>
      </c>
      <c r="T557" s="156">
        <f t="shared" si="66"/>
        <v>413292</v>
      </c>
    </row>
    <row r="558" spans="1:20" s="9" customFormat="1" ht="35.1" customHeight="1" x14ac:dyDescent="0.25">
      <c r="A558" s="215"/>
      <c r="B558" s="244" t="s">
        <v>770</v>
      </c>
      <c r="C558" s="256" t="s">
        <v>1328</v>
      </c>
      <c r="D558" s="256"/>
      <c r="E558" s="246"/>
      <c r="F558" s="246"/>
      <c r="G558" s="246"/>
      <c r="H558" s="246"/>
      <c r="I558" s="246"/>
      <c r="J558" s="8"/>
      <c r="K558" s="8">
        <f t="shared" si="61"/>
        <v>0</v>
      </c>
      <c r="L558" s="8">
        <f t="shared" si="64"/>
        <v>0</v>
      </c>
      <c r="M558" s="9" t="str">
        <f t="array" ref="M558">_xlfn.XLOOKUP(C558,'Neiva 2022 FASE I ACTUAL (5)'!$C$6:$C$540,'Neiva 2022 FASE I ACTUAL (5)'!$C$6:$F$540,"NO ESTA")</f>
        <v>NO ESTA</v>
      </c>
      <c r="Q558" s="124">
        <f t="shared" si="67"/>
        <v>0</v>
      </c>
      <c r="R558" s="155">
        <f t="shared" si="62"/>
        <v>0</v>
      </c>
      <c r="S558" s="156">
        <f t="shared" si="65"/>
        <v>0</v>
      </c>
      <c r="T558" s="156">
        <f t="shared" si="66"/>
        <v>0</v>
      </c>
    </row>
    <row r="559" spans="1:20" s="9" customFormat="1" ht="35.1" customHeight="1" x14ac:dyDescent="0.25">
      <c r="A559" s="215"/>
      <c r="B559" s="255" t="s">
        <v>772</v>
      </c>
      <c r="C559" s="254" t="s">
        <v>773</v>
      </c>
      <c r="D559" s="240" t="s">
        <v>16</v>
      </c>
      <c r="E559" s="242">
        <v>3</v>
      </c>
      <c r="F559" s="242">
        <v>1</v>
      </c>
      <c r="G559" s="242">
        <v>4</v>
      </c>
      <c r="H559" s="243">
        <v>293004</v>
      </c>
      <c r="I559" s="243">
        <f t="shared" si="63"/>
        <v>1172016</v>
      </c>
      <c r="J559" s="8"/>
      <c r="K559" s="8">
        <f t="shared" si="61"/>
        <v>293004</v>
      </c>
      <c r="L559" s="8">
        <f t="shared" si="64"/>
        <v>879012</v>
      </c>
      <c r="M559" s="9" t="str">
        <f t="array" ref="M559:P559">_xlfn.XLOOKUP(C559,'Neiva 2022 FASE I ACTUAL (5)'!$C$6:$C$540,'Neiva 2022 FASE I ACTUAL (5)'!$C$6:$F$540,"NO ESTA")</f>
        <v>SUMINISTRO E INSTALACION MANOMETROS 4", INCLUYE GRIFOS DE PRUEBA Y ACCESORIOS</v>
      </c>
      <c r="N559" s="9" t="str">
        <v>UND</v>
      </c>
      <c r="O559" s="9">
        <v>1</v>
      </c>
      <c r="P559" s="9">
        <v>281188</v>
      </c>
      <c r="Q559" s="124" t="str">
        <f t="shared" si="67"/>
        <v>FASE II</v>
      </c>
      <c r="R559" s="155">
        <f t="shared" si="62"/>
        <v>4</v>
      </c>
      <c r="S559" s="156">
        <f t="shared" si="65"/>
        <v>293004</v>
      </c>
      <c r="T559" s="156">
        <f t="shared" si="66"/>
        <v>1172016</v>
      </c>
    </row>
    <row r="560" spans="1:20" s="9" customFormat="1" ht="35.1" customHeight="1" x14ac:dyDescent="0.25">
      <c r="A560" s="215"/>
      <c r="B560" s="255" t="s">
        <v>774</v>
      </c>
      <c r="C560" s="254" t="s">
        <v>775</v>
      </c>
      <c r="D560" s="240" t="s">
        <v>16</v>
      </c>
      <c r="E560" s="242">
        <v>3</v>
      </c>
      <c r="F560" s="242">
        <v>1</v>
      </c>
      <c r="G560" s="242">
        <v>4</v>
      </c>
      <c r="H560" s="243">
        <v>563797</v>
      </c>
      <c r="I560" s="243">
        <f t="shared" si="63"/>
        <v>2255188</v>
      </c>
      <c r="J560" s="8"/>
      <c r="K560" s="8">
        <f t="shared" si="61"/>
        <v>563797</v>
      </c>
      <c r="L560" s="8">
        <f t="shared" si="64"/>
        <v>1691391</v>
      </c>
      <c r="M560" s="9" t="str">
        <f t="array" ref="M560:P560">_xlfn.XLOOKUP(C560,'Neiva 2022 FASE I ACTUAL (5)'!$C$6:$C$540,'Neiva 2022 FASE I ACTUAL (5)'!$C$6:$F$540,"NO ESTA")</f>
        <v>SUMINISTRO E INSTALACION TERMOMETROS 0-100F DE COLUMNA 7"</v>
      </c>
      <c r="N560" s="9" t="str">
        <v>UND</v>
      </c>
      <c r="O560" s="9">
        <v>1</v>
      </c>
      <c r="P560" s="9">
        <v>541061</v>
      </c>
      <c r="Q560" s="124" t="str">
        <f t="shared" si="67"/>
        <v>FASE II</v>
      </c>
      <c r="R560" s="155">
        <f t="shared" si="62"/>
        <v>4</v>
      </c>
      <c r="S560" s="156">
        <f t="shared" si="65"/>
        <v>563797</v>
      </c>
      <c r="T560" s="156">
        <f t="shared" si="66"/>
        <v>2255188</v>
      </c>
    </row>
    <row r="561" spans="1:20" s="9" customFormat="1" ht="35.1" customHeight="1" x14ac:dyDescent="0.25">
      <c r="A561" s="215"/>
      <c r="B561" s="255" t="s">
        <v>776</v>
      </c>
      <c r="C561" s="254" t="s">
        <v>777</v>
      </c>
      <c r="D561" s="240" t="s">
        <v>16</v>
      </c>
      <c r="E561" s="242">
        <v>3</v>
      </c>
      <c r="F561" s="242">
        <v>1</v>
      </c>
      <c r="G561" s="242">
        <v>4</v>
      </c>
      <c r="H561" s="243">
        <v>198506</v>
      </c>
      <c r="I561" s="243">
        <f t="shared" si="63"/>
        <v>794024</v>
      </c>
      <c r="J561" s="8"/>
      <c r="K561" s="8">
        <f t="shared" ref="K561:K624" si="68">+ROUND(H561*(1+$K$4),0)</f>
        <v>198506</v>
      </c>
      <c r="L561" s="8">
        <f t="shared" si="64"/>
        <v>595518</v>
      </c>
      <c r="M561" s="9" t="str">
        <f t="array" ref="M561:P561">_xlfn.XLOOKUP(C561,'Neiva 2022 FASE I ACTUAL (5)'!$C$6:$C$540,'Neiva 2022 FASE I ACTUAL (5)'!$C$6:$F$540,"NO ESTA")</f>
        <v>SUMINISTRO E INSTALACION ELIMINADORES DE AIRE</v>
      </c>
      <c r="N561" s="9" t="str">
        <v>UND</v>
      </c>
      <c r="O561" s="9">
        <v>1</v>
      </c>
      <c r="P561" s="9">
        <v>190501</v>
      </c>
      <c r="Q561" s="124" t="str">
        <f t="shared" si="67"/>
        <v>FASE II</v>
      </c>
      <c r="R561" s="155">
        <f t="shared" si="62"/>
        <v>4</v>
      </c>
      <c r="S561" s="156">
        <f t="shared" si="65"/>
        <v>198506</v>
      </c>
      <c r="T561" s="156">
        <f t="shared" si="66"/>
        <v>794024</v>
      </c>
    </row>
    <row r="562" spans="1:20" s="9" customFormat="1" ht="35.1" customHeight="1" x14ac:dyDescent="0.25">
      <c r="A562" s="215"/>
      <c r="B562" s="255" t="s">
        <v>778</v>
      </c>
      <c r="C562" s="254" t="s">
        <v>779</v>
      </c>
      <c r="D562" s="240" t="s">
        <v>16</v>
      </c>
      <c r="E562" s="242">
        <v>1</v>
      </c>
      <c r="F562" s="242">
        <v>1</v>
      </c>
      <c r="G562" s="242">
        <v>2</v>
      </c>
      <c r="H562" s="243">
        <v>459428</v>
      </c>
      <c r="I562" s="243">
        <f t="shared" si="63"/>
        <v>918856</v>
      </c>
      <c r="J562" s="8"/>
      <c r="K562" s="8">
        <f t="shared" si="68"/>
        <v>459428</v>
      </c>
      <c r="L562" s="8">
        <f t="shared" si="64"/>
        <v>459428</v>
      </c>
      <c r="M562" s="9" t="str">
        <f t="array" ref="M562:P562">_xlfn.XLOOKUP(C562,'Neiva 2022 FASE I ACTUAL (5)'!$C$6:$C$540,'Neiva 2022 FASE I ACTUAL (5)'!$C$6:$F$540,"NO ESTA")</f>
        <v xml:space="preserve">SUMINISTRO E INSTALACION TANQUE DE EXPANSIÓN PVC CON VALVULA DE NIVEL </v>
      </c>
      <c r="N562" s="9" t="str">
        <v>UND</v>
      </c>
      <c r="O562" s="9">
        <v>1</v>
      </c>
      <c r="P562" s="9">
        <v>440902</v>
      </c>
      <c r="Q562" s="124" t="str">
        <f t="shared" si="67"/>
        <v>FASE II</v>
      </c>
      <c r="R562" s="155">
        <f t="shared" si="62"/>
        <v>2</v>
      </c>
      <c r="S562" s="156">
        <f t="shared" si="65"/>
        <v>459428</v>
      </c>
      <c r="T562" s="156">
        <f t="shared" si="66"/>
        <v>918856</v>
      </c>
    </row>
    <row r="563" spans="1:20" s="9" customFormat="1" ht="35.1" customHeight="1" x14ac:dyDescent="0.25">
      <c r="A563" s="215"/>
      <c r="B563" s="255" t="s">
        <v>780</v>
      </c>
      <c r="C563" s="254" t="s">
        <v>781</v>
      </c>
      <c r="D563" s="240" t="s">
        <v>16</v>
      </c>
      <c r="E563" s="242">
        <v>3</v>
      </c>
      <c r="F563" s="242">
        <v>1</v>
      </c>
      <c r="G563" s="242">
        <v>4</v>
      </c>
      <c r="H563" s="243">
        <v>2370551</v>
      </c>
      <c r="I563" s="243">
        <f t="shared" si="63"/>
        <v>9482204</v>
      </c>
      <c r="J563" s="8"/>
      <c r="K563" s="8">
        <f t="shared" si="68"/>
        <v>2370551</v>
      </c>
      <c r="L563" s="8">
        <f t="shared" si="64"/>
        <v>7111653</v>
      </c>
      <c r="M563" s="9" t="str">
        <f t="array" ref="M563:P563">_xlfn.XLOOKUP(C563,'Neiva 2022 FASE I ACTUAL (5)'!$C$6:$C$540,'Neiva 2022 FASE I ACTUAL (5)'!$C$6:$F$540,"NO ESTA")</f>
        <v>SUMINISTRO E INSTALACION VALVULAS MARIPOSA DE 4" SUCCIÓN DE BOMBA</v>
      </c>
      <c r="N563" s="9" t="str">
        <v>UND</v>
      </c>
      <c r="O563" s="9">
        <v>1</v>
      </c>
      <c r="P563" s="9">
        <v>2274950</v>
      </c>
      <c r="Q563" s="124" t="str">
        <f t="shared" si="67"/>
        <v>FASE II</v>
      </c>
      <c r="R563" s="155">
        <f t="shared" si="62"/>
        <v>4</v>
      </c>
      <c r="S563" s="156">
        <f t="shared" si="65"/>
        <v>2370551</v>
      </c>
      <c r="T563" s="156">
        <f t="shared" si="66"/>
        <v>9482204</v>
      </c>
    </row>
    <row r="564" spans="1:20" s="9" customFormat="1" ht="35.1" customHeight="1" x14ac:dyDescent="0.25">
      <c r="A564" s="215"/>
      <c r="B564" s="255" t="s">
        <v>782</v>
      </c>
      <c r="C564" s="254" t="s">
        <v>783</v>
      </c>
      <c r="D564" s="240" t="s">
        <v>16</v>
      </c>
      <c r="E564" s="242">
        <v>3</v>
      </c>
      <c r="F564" s="242">
        <v>1</v>
      </c>
      <c r="G564" s="242">
        <v>4</v>
      </c>
      <c r="H564" s="243">
        <v>2370551</v>
      </c>
      <c r="I564" s="243">
        <f t="shared" si="63"/>
        <v>9482204</v>
      </c>
      <c r="J564" s="8"/>
      <c r="K564" s="8">
        <f t="shared" si="68"/>
        <v>2370551</v>
      </c>
      <c r="L564" s="8">
        <f t="shared" si="64"/>
        <v>7111653</v>
      </c>
      <c r="M564" s="9" t="str">
        <f t="array" ref="M564:P564">_xlfn.XLOOKUP(C564,'Neiva 2022 FASE I ACTUAL (5)'!$C$6:$C$540,'Neiva 2022 FASE I ACTUAL (5)'!$C$6:$F$540,"NO ESTA")</f>
        <v>SUMINISTRO E INSTALACION VALVULAS MARIPOSA DE 4" DESCARGA DE BOMBA</v>
      </c>
      <c r="N564" s="9" t="str">
        <v>UND</v>
      </c>
      <c r="O564" s="9">
        <v>1</v>
      </c>
      <c r="P564" s="9">
        <v>2274950</v>
      </c>
      <c r="Q564" s="124" t="str">
        <f t="shared" si="67"/>
        <v>FASE II</v>
      </c>
      <c r="R564" s="155">
        <f t="shared" si="62"/>
        <v>4</v>
      </c>
      <c r="S564" s="156">
        <f t="shared" si="65"/>
        <v>2370551</v>
      </c>
      <c r="T564" s="156">
        <f t="shared" si="66"/>
        <v>9482204</v>
      </c>
    </row>
    <row r="565" spans="1:20" s="9" customFormat="1" ht="35.1" customHeight="1" x14ac:dyDescent="0.25">
      <c r="A565" s="215"/>
      <c r="B565" s="255" t="s">
        <v>784</v>
      </c>
      <c r="C565" s="254" t="s">
        <v>785</v>
      </c>
      <c r="D565" s="240" t="s">
        <v>16</v>
      </c>
      <c r="E565" s="242">
        <v>1</v>
      </c>
      <c r="F565" s="242">
        <v>1</v>
      </c>
      <c r="G565" s="242">
        <v>2</v>
      </c>
      <c r="H565" s="243">
        <v>1252502</v>
      </c>
      <c r="I565" s="243">
        <f t="shared" si="63"/>
        <v>2505004</v>
      </c>
      <c r="J565" s="8"/>
      <c r="K565" s="8">
        <f t="shared" si="68"/>
        <v>1252502</v>
      </c>
      <c r="L565" s="8">
        <f t="shared" si="64"/>
        <v>1252502</v>
      </c>
      <c r="M565" s="9" t="str">
        <f t="array" ref="M565:P565">_xlfn.XLOOKUP(C565,'Neiva 2022 FASE I ACTUAL (5)'!$C$6:$C$540,'Neiva 2022 FASE I ACTUAL (5)'!$C$6:$F$540,"NO ESTA")</f>
        <v>SUMINISTRO E INSTALACION VALVULA TRIPLE - FLOTREX</v>
      </c>
      <c r="N565" s="9" t="str">
        <v>UND</v>
      </c>
      <c r="O565" s="9">
        <v>1</v>
      </c>
      <c r="P565" s="9">
        <v>1201991</v>
      </c>
      <c r="Q565" s="124" t="str">
        <f t="shared" si="67"/>
        <v>FASE II</v>
      </c>
      <c r="R565" s="155">
        <f t="shared" si="62"/>
        <v>2</v>
      </c>
      <c r="S565" s="156">
        <f t="shared" si="65"/>
        <v>1252502</v>
      </c>
      <c r="T565" s="156">
        <f t="shared" si="66"/>
        <v>2505004</v>
      </c>
    </row>
    <row r="566" spans="1:20" s="9" customFormat="1" ht="35.1" customHeight="1" x14ac:dyDescent="0.25">
      <c r="A566" s="215"/>
      <c r="B566" s="255" t="s">
        <v>786</v>
      </c>
      <c r="C566" s="254" t="s">
        <v>787</v>
      </c>
      <c r="D566" s="240" t="s">
        <v>16</v>
      </c>
      <c r="E566" s="242">
        <v>0</v>
      </c>
      <c r="F566" s="242">
        <v>1</v>
      </c>
      <c r="G566" s="242">
        <v>1</v>
      </c>
      <c r="H566" s="243">
        <v>368800</v>
      </c>
      <c r="I566" s="243">
        <f t="shared" si="63"/>
        <v>368800</v>
      </c>
      <c r="J566" s="8"/>
      <c r="K566" s="8">
        <f t="shared" si="68"/>
        <v>368800</v>
      </c>
      <c r="L566" s="8">
        <f t="shared" si="64"/>
        <v>0</v>
      </c>
      <c r="M566" s="9" t="str">
        <f t="array" ref="M566:P566">_xlfn.XLOOKUP(C566,'Neiva 2022 FASE I ACTUAL (5)'!$C$6:$C$540,'Neiva 2022 FASE I ACTUAL (5)'!$C$6:$F$540,"NO ESTA")</f>
        <v>SUMINISTRO E INSTALACION VALVULA CORTINA 3" 125PSI - PISO 3</v>
      </c>
      <c r="N566" s="9" t="str">
        <v>UND</v>
      </c>
      <c r="O566" s="9">
        <v>1</v>
      </c>
      <c r="P566" s="9">
        <v>353927</v>
      </c>
      <c r="Q566" s="124" t="str">
        <f t="shared" si="67"/>
        <v>FASE II</v>
      </c>
      <c r="R566" s="155">
        <f t="shared" si="62"/>
        <v>1</v>
      </c>
      <c r="S566" s="156">
        <f t="shared" si="65"/>
        <v>368800</v>
      </c>
      <c r="T566" s="156">
        <f t="shared" si="66"/>
        <v>368800</v>
      </c>
    </row>
    <row r="567" spans="1:20" s="9" customFormat="1" ht="35.1" customHeight="1" x14ac:dyDescent="0.25">
      <c r="A567" s="215"/>
      <c r="B567" s="255" t="s">
        <v>788</v>
      </c>
      <c r="C567" s="254" t="s">
        <v>789</v>
      </c>
      <c r="D567" s="240" t="s">
        <v>16</v>
      </c>
      <c r="E567" s="242">
        <v>0</v>
      </c>
      <c r="F567" s="242">
        <v>1</v>
      </c>
      <c r="G567" s="242">
        <v>1</v>
      </c>
      <c r="H567" s="243">
        <v>515568</v>
      </c>
      <c r="I567" s="243">
        <f t="shared" si="63"/>
        <v>515568</v>
      </c>
      <c r="J567" s="8"/>
      <c r="K567" s="8">
        <f t="shared" si="68"/>
        <v>515568</v>
      </c>
      <c r="L567" s="8">
        <f t="shared" si="64"/>
        <v>0</v>
      </c>
      <c r="M567" s="9" t="str">
        <f t="array" ref="M567:P567">_xlfn.XLOOKUP(C567,'Neiva 2022 FASE I ACTUAL (5)'!$C$6:$C$540,'Neiva 2022 FASE I ACTUAL (5)'!$C$6:$F$540,"NO ESTA")</f>
        <v>SUMINISTRO E INSTALACION VALVULA GLOBO 3" 125PSI - PISO 3</v>
      </c>
      <c r="N567" s="9" t="str">
        <v>UND</v>
      </c>
      <c r="O567" s="9">
        <v>1</v>
      </c>
      <c r="P567" s="9">
        <v>494776</v>
      </c>
      <c r="Q567" s="124" t="str">
        <f t="shared" si="67"/>
        <v>FASE II</v>
      </c>
      <c r="R567" s="155">
        <f t="shared" si="62"/>
        <v>1</v>
      </c>
      <c r="S567" s="156">
        <f t="shared" si="65"/>
        <v>515568</v>
      </c>
      <c r="T567" s="156">
        <f t="shared" si="66"/>
        <v>515568</v>
      </c>
    </row>
    <row r="568" spans="1:20" s="9" customFormat="1" ht="35.1" customHeight="1" x14ac:dyDescent="0.25">
      <c r="A568" s="215"/>
      <c r="B568" s="255" t="s">
        <v>790</v>
      </c>
      <c r="C568" s="254" t="s">
        <v>791</v>
      </c>
      <c r="D568" s="240" t="s">
        <v>16</v>
      </c>
      <c r="E568" s="242">
        <v>5</v>
      </c>
      <c r="F568" s="242">
        <v>2</v>
      </c>
      <c r="G568" s="242">
        <v>7</v>
      </c>
      <c r="H568" s="243">
        <v>327705</v>
      </c>
      <c r="I568" s="243">
        <f t="shared" si="63"/>
        <v>2293935</v>
      </c>
      <c r="J568" s="8"/>
      <c r="K568" s="8">
        <f t="shared" si="68"/>
        <v>327705</v>
      </c>
      <c r="L568" s="8">
        <f t="shared" si="64"/>
        <v>1638525</v>
      </c>
      <c r="M568" s="9" t="str">
        <f t="array" ref="M568:P568">_xlfn.XLOOKUP(C568,'Neiva 2022 FASE I ACTUAL (5)'!$C$6:$C$540,'Neiva 2022 FASE I ACTUAL (5)'!$C$6:$F$540,"NO ESTA")</f>
        <v>SUMINISTRO E INSTALACION VALVULAS CORTINA 2 1/2" 125PSI - PISOS 2,3,4</v>
      </c>
      <c r="N568" s="9" t="str">
        <v>UND</v>
      </c>
      <c r="O568" s="9">
        <v>2</v>
      </c>
      <c r="P568" s="9">
        <v>314488</v>
      </c>
      <c r="Q568" s="124" t="str">
        <f t="shared" si="67"/>
        <v>FASE II</v>
      </c>
      <c r="R568" s="155">
        <f t="shared" si="62"/>
        <v>7</v>
      </c>
      <c r="S568" s="156">
        <f t="shared" si="65"/>
        <v>327705</v>
      </c>
      <c r="T568" s="156">
        <f t="shared" si="66"/>
        <v>2293935</v>
      </c>
    </row>
    <row r="569" spans="1:20" s="9" customFormat="1" ht="35.1" customHeight="1" x14ac:dyDescent="0.25">
      <c r="A569" s="215"/>
      <c r="B569" s="255" t="s">
        <v>792</v>
      </c>
      <c r="C569" s="254" t="s">
        <v>793</v>
      </c>
      <c r="D569" s="240" t="s">
        <v>16</v>
      </c>
      <c r="E569" s="242">
        <v>5</v>
      </c>
      <c r="F569" s="242">
        <v>2</v>
      </c>
      <c r="G569" s="242">
        <v>7</v>
      </c>
      <c r="H569" s="243">
        <v>462341</v>
      </c>
      <c r="I569" s="243">
        <f t="shared" si="63"/>
        <v>3236387</v>
      </c>
      <c r="J569" s="8"/>
      <c r="K569" s="8">
        <f t="shared" si="68"/>
        <v>462341</v>
      </c>
      <c r="L569" s="8">
        <f t="shared" si="64"/>
        <v>2311705</v>
      </c>
      <c r="M569" s="9" t="str">
        <f t="array" ref="M569:P569">_xlfn.XLOOKUP(C569,'Neiva 2022 FASE I ACTUAL (5)'!$C$6:$C$540,'Neiva 2022 FASE I ACTUAL (5)'!$C$6:$F$540,"NO ESTA")</f>
        <v>SUMINISTRO E INSTALACION VALVULAS GLOBO 2 1/2" 125PSI - PISOS 2,3,4</v>
      </c>
      <c r="N569" s="9" t="str">
        <v>UND</v>
      </c>
      <c r="O569" s="9">
        <v>2</v>
      </c>
      <c r="P569" s="9">
        <v>443695</v>
      </c>
      <c r="Q569" s="124" t="str">
        <f t="shared" si="67"/>
        <v>FASE II</v>
      </c>
      <c r="R569" s="155">
        <f t="shared" si="62"/>
        <v>7</v>
      </c>
      <c r="S569" s="156">
        <f t="shared" si="65"/>
        <v>462341</v>
      </c>
      <c r="T569" s="156">
        <f t="shared" si="66"/>
        <v>3236387</v>
      </c>
    </row>
    <row r="570" spans="1:20" s="9" customFormat="1" ht="35.1" customHeight="1" x14ac:dyDescent="0.25">
      <c r="A570" s="215"/>
      <c r="B570" s="255" t="s">
        <v>794</v>
      </c>
      <c r="C570" s="254" t="s">
        <v>795</v>
      </c>
      <c r="D570" s="240" t="s">
        <v>16</v>
      </c>
      <c r="E570" s="242">
        <v>1</v>
      </c>
      <c r="F570" s="242">
        <v>1</v>
      </c>
      <c r="G570" s="242">
        <v>2</v>
      </c>
      <c r="H570" s="243">
        <v>242383</v>
      </c>
      <c r="I570" s="243">
        <f t="shared" si="63"/>
        <v>484766</v>
      </c>
      <c r="J570" s="8"/>
      <c r="K570" s="8">
        <f t="shared" si="68"/>
        <v>242383</v>
      </c>
      <c r="L570" s="8">
        <f t="shared" si="64"/>
        <v>242383</v>
      </c>
      <c r="M570" s="9" t="str">
        <f t="array" ref="M570:P570">_xlfn.XLOOKUP(C570,'Neiva 2022 FASE I ACTUAL (5)'!$C$6:$C$540,'Neiva 2022 FASE I ACTUAL (5)'!$C$6:$F$540,"NO ESTA")</f>
        <v>SUMINISTRO E INSTALACION VALVULAS CORTINA 2" 125PSI - PISO 1,4</v>
      </c>
      <c r="N570" s="9" t="str">
        <v>UND</v>
      </c>
      <c r="O570" s="9">
        <v>1</v>
      </c>
      <c r="P570" s="9">
        <v>232608</v>
      </c>
      <c r="Q570" s="124" t="str">
        <f t="shared" si="67"/>
        <v>FASE II</v>
      </c>
      <c r="R570" s="155">
        <f t="shared" si="62"/>
        <v>2</v>
      </c>
      <c r="S570" s="156">
        <f t="shared" si="65"/>
        <v>242383</v>
      </c>
      <c r="T570" s="156">
        <f t="shared" si="66"/>
        <v>484766</v>
      </c>
    </row>
    <row r="571" spans="1:20" s="9" customFormat="1" ht="35.1" customHeight="1" x14ac:dyDescent="0.25">
      <c r="A571" s="215"/>
      <c r="B571" s="255" t="s">
        <v>796</v>
      </c>
      <c r="C571" s="254" t="s">
        <v>797</v>
      </c>
      <c r="D571" s="240" t="s">
        <v>16</v>
      </c>
      <c r="E571" s="242">
        <v>1</v>
      </c>
      <c r="F571" s="242">
        <v>1</v>
      </c>
      <c r="G571" s="242">
        <v>2</v>
      </c>
      <c r="H571" s="243">
        <v>264184</v>
      </c>
      <c r="I571" s="243">
        <f t="shared" si="63"/>
        <v>528368</v>
      </c>
      <c r="J571" s="8"/>
      <c r="K571" s="8">
        <f t="shared" si="68"/>
        <v>264184</v>
      </c>
      <c r="L571" s="8">
        <f t="shared" si="64"/>
        <v>264184</v>
      </c>
      <c r="M571" s="9" t="str">
        <f t="array" ref="M571:P571">_xlfn.XLOOKUP(C571,'Neiva 2022 FASE I ACTUAL (5)'!$C$6:$C$540,'Neiva 2022 FASE I ACTUAL (5)'!$C$6:$F$540,"NO ESTA")</f>
        <v>SUMINISTRO E INSTALACION VALVULAS GLOBO 2" 125PSI - PISO 1,4</v>
      </c>
      <c r="N571" s="9" t="str">
        <v>UND</v>
      </c>
      <c r="O571" s="9">
        <v>1</v>
      </c>
      <c r="P571" s="9">
        <v>253530</v>
      </c>
      <c r="Q571" s="124" t="str">
        <f t="shared" si="67"/>
        <v>FASE II</v>
      </c>
      <c r="R571" s="155">
        <f t="shared" si="62"/>
        <v>2</v>
      </c>
      <c r="S571" s="156">
        <f t="shared" si="65"/>
        <v>264184</v>
      </c>
      <c r="T571" s="156">
        <f t="shared" si="66"/>
        <v>528368</v>
      </c>
    </row>
    <row r="572" spans="1:20" s="9" customFormat="1" ht="35.1" customHeight="1" x14ac:dyDescent="0.25">
      <c r="A572" s="215"/>
      <c r="B572" s="255" t="s">
        <v>1329</v>
      </c>
      <c r="C572" s="254" t="s">
        <v>1330</v>
      </c>
      <c r="D572" s="240" t="s">
        <v>16</v>
      </c>
      <c r="E572" s="242">
        <v>2</v>
      </c>
      <c r="F572" s="242"/>
      <c r="G572" s="242">
        <v>2</v>
      </c>
      <c r="H572" s="243">
        <v>127446</v>
      </c>
      <c r="I572" s="243">
        <f t="shared" si="63"/>
        <v>254892</v>
      </c>
      <c r="J572" s="8"/>
      <c r="K572" s="8">
        <f t="shared" si="68"/>
        <v>127446</v>
      </c>
      <c r="L572" s="8">
        <f t="shared" si="64"/>
        <v>254892</v>
      </c>
      <c r="M572" s="9" t="str">
        <f t="array" ref="M572">_xlfn.XLOOKUP(C572,'Neiva 2022 FASE I ACTUAL (5)'!$C$6:$C$540,'Neiva 2022 FASE I ACTUAL (5)'!$C$6:$F$540,"NO ESTA")</f>
        <v>NO ESTA</v>
      </c>
      <c r="Q572" s="124">
        <f t="shared" si="67"/>
        <v>0</v>
      </c>
      <c r="R572" s="155">
        <f t="shared" si="62"/>
        <v>2</v>
      </c>
      <c r="S572" s="156">
        <f t="shared" si="65"/>
        <v>127446</v>
      </c>
      <c r="T572" s="156">
        <f t="shared" si="66"/>
        <v>254892</v>
      </c>
    </row>
    <row r="573" spans="1:20" s="9" customFormat="1" ht="35.1" customHeight="1" x14ac:dyDescent="0.25">
      <c r="A573" s="215"/>
      <c r="B573" s="255" t="s">
        <v>1331</v>
      </c>
      <c r="C573" s="254" t="s">
        <v>1332</v>
      </c>
      <c r="D573" s="240" t="s">
        <v>16</v>
      </c>
      <c r="E573" s="242">
        <v>2</v>
      </c>
      <c r="F573" s="242"/>
      <c r="G573" s="242">
        <v>2</v>
      </c>
      <c r="H573" s="243">
        <v>163323</v>
      </c>
      <c r="I573" s="243">
        <f t="shared" si="63"/>
        <v>326646</v>
      </c>
      <c r="J573" s="8"/>
      <c r="K573" s="8">
        <f t="shared" si="68"/>
        <v>163323</v>
      </c>
      <c r="L573" s="8">
        <f t="shared" si="64"/>
        <v>326646</v>
      </c>
      <c r="M573" s="9" t="str">
        <f t="array" ref="M573">_xlfn.XLOOKUP(C573,'Neiva 2022 FASE I ACTUAL (5)'!$C$6:$C$540,'Neiva 2022 FASE I ACTUAL (5)'!$C$6:$F$540,"NO ESTA")</f>
        <v>NO ESTA</v>
      </c>
      <c r="Q573" s="124">
        <f t="shared" si="67"/>
        <v>0</v>
      </c>
      <c r="R573" s="155">
        <f t="shared" si="62"/>
        <v>2</v>
      </c>
      <c r="S573" s="156">
        <f t="shared" si="65"/>
        <v>163323</v>
      </c>
      <c r="T573" s="156">
        <f t="shared" si="66"/>
        <v>326646</v>
      </c>
    </row>
    <row r="574" spans="1:20" s="9" customFormat="1" ht="35.1" customHeight="1" x14ac:dyDescent="0.25">
      <c r="A574" s="215"/>
      <c r="B574" s="255" t="s">
        <v>798</v>
      </c>
      <c r="C574" s="254" t="s">
        <v>799</v>
      </c>
      <c r="D574" s="240" t="s">
        <v>16</v>
      </c>
      <c r="E574" s="242">
        <v>1</v>
      </c>
      <c r="F574" s="242">
        <v>1</v>
      </c>
      <c r="G574" s="242">
        <v>2</v>
      </c>
      <c r="H574" s="243">
        <v>593845</v>
      </c>
      <c r="I574" s="243">
        <f t="shared" si="63"/>
        <v>1187690</v>
      </c>
      <c r="J574" s="8"/>
      <c r="K574" s="8">
        <f t="shared" si="68"/>
        <v>593845</v>
      </c>
      <c r="L574" s="8">
        <f t="shared" si="64"/>
        <v>593845</v>
      </c>
      <c r="M574" s="9" t="str">
        <f t="array" ref="M574:P574">_xlfn.XLOOKUP(C574,'Neiva 2022 FASE I ACTUAL (5)'!$C$6:$C$540,'Neiva 2022 FASE I ACTUAL (5)'!$C$6:$F$540,"NO ESTA")</f>
        <v>SUMINISTRO E INSTALACION FILTRO / STRAINER incluye SOPORTERIA</v>
      </c>
      <c r="N574" s="9" t="str">
        <v>UND</v>
      </c>
      <c r="O574" s="9">
        <v>1</v>
      </c>
      <c r="P574" s="9">
        <v>569896</v>
      </c>
      <c r="Q574" s="124" t="str">
        <f t="shared" si="67"/>
        <v>FASE II</v>
      </c>
      <c r="R574" s="155">
        <f t="shared" si="62"/>
        <v>2</v>
      </c>
      <c r="S574" s="156">
        <f t="shared" si="65"/>
        <v>593845</v>
      </c>
      <c r="T574" s="156">
        <f t="shared" si="66"/>
        <v>1187690</v>
      </c>
    </row>
    <row r="575" spans="1:20" s="9" customFormat="1" ht="35.1" customHeight="1" x14ac:dyDescent="0.25">
      <c r="A575" s="215"/>
      <c r="B575" s="255" t="s">
        <v>800</v>
      </c>
      <c r="C575" s="254" t="s">
        <v>801</v>
      </c>
      <c r="D575" s="240" t="s">
        <v>16</v>
      </c>
      <c r="E575" s="242">
        <v>1</v>
      </c>
      <c r="F575" s="242">
        <v>1</v>
      </c>
      <c r="G575" s="242">
        <v>2</v>
      </c>
      <c r="H575" s="243">
        <v>3263022</v>
      </c>
      <c r="I575" s="243">
        <f t="shared" si="63"/>
        <v>6526044</v>
      </c>
      <c r="J575" s="8"/>
      <c r="K575" s="8">
        <f t="shared" si="68"/>
        <v>3263022</v>
      </c>
      <c r="L575" s="8">
        <f t="shared" si="64"/>
        <v>3263022</v>
      </c>
      <c r="M575" s="9" t="str">
        <f t="array" ref="M575:P575">_xlfn.XLOOKUP(C575,'Neiva 2022 FASE I ACTUAL (5)'!$C$6:$C$540,'Neiva 2022 FASE I ACTUAL (5)'!$C$6:$F$540,"NO ESTA")</f>
        <v>SUMINISTRO E INSTALACION FLANCHES, CABEZALES Y ACCESORIOS VARIOS ASOCIADOS</v>
      </c>
      <c r="N575" s="9" t="str">
        <v>UND</v>
      </c>
      <c r="O575" s="9">
        <v>1</v>
      </c>
      <c r="P575" s="9">
        <v>3131428</v>
      </c>
      <c r="Q575" s="124" t="str">
        <f t="shared" si="67"/>
        <v>FASE II</v>
      </c>
      <c r="R575" s="155">
        <f t="shared" si="62"/>
        <v>2</v>
      </c>
      <c r="S575" s="156">
        <f t="shared" si="65"/>
        <v>3263022</v>
      </c>
      <c r="T575" s="156">
        <f t="shared" si="66"/>
        <v>6526044</v>
      </c>
    </row>
    <row r="576" spans="1:20" s="9" customFormat="1" ht="35.1" customHeight="1" x14ac:dyDescent="0.25">
      <c r="A576" s="215"/>
      <c r="B576" s="255" t="s">
        <v>802</v>
      </c>
      <c r="C576" s="254" t="s">
        <v>803</v>
      </c>
      <c r="D576" s="240" t="s">
        <v>16</v>
      </c>
      <c r="E576" s="242">
        <v>2</v>
      </c>
      <c r="F576" s="242">
        <v>2</v>
      </c>
      <c r="G576" s="242">
        <v>4</v>
      </c>
      <c r="H576" s="243">
        <v>1021661</v>
      </c>
      <c r="I576" s="243">
        <f t="shared" si="63"/>
        <v>4086644</v>
      </c>
      <c r="J576" s="8"/>
      <c r="K576" s="8">
        <f t="shared" si="68"/>
        <v>1021661</v>
      </c>
      <c r="L576" s="8">
        <f t="shared" si="64"/>
        <v>2043322</v>
      </c>
      <c r="M576" s="9" t="str">
        <f t="array" ref="M576:P576">_xlfn.XLOOKUP(C576,'Neiva 2022 FASE I ACTUAL (5)'!$C$6:$C$540,'Neiva 2022 FASE I ACTUAL (5)'!$C$6:$F$540,"NO ESTA")</f>
        <v>SUMINISTRO E INSTALACION JUNTAS FLEXIBLES CHILLER 4"</v>
      </c>
      <c r="N576" s="9" t="str">
        <v>UND</v>
      </c>
      <c r="O576" s="9">
        <v>2</v>
      </c>
      <c r="P576" s="9">
        <v>980458</v>
      </c>
      <c r="Q576" s="124" t="str">
        <f t="shared" si="67"/>
        <v>FASE II</v>
      </c>
      <c r="R576" s="155">
        <f t="shared" si="62"/>
        <v>4</v>
      </c>
      <c r="S576" s="156">
        <f t="shared" si="65"/>
        <v>1021661</v>
      </c>
      <c r="T576" s="156">
        <f t="shared" si="66"/>
        <v>4086644</v>
      </c>
    </row>
    <row r="577" spans="1:20" s="9" customFormat="1" ht="35.1" customHeight="1" x14ac:dyDescent="0.25">
      <c r="A577" s="215"/>
      <c r="B577" s="255" t="s">
        <v>804</v>
      </c>
      <c r="C577" s="254" t="s">
        <v>805</v>
      </c>
      <c r="D577" s="240" t="s">
        <v>16</v>
      </c>
      <c r="E577" s="242">
        <v>2</v>
      </c>
      <c r="F577" s="242">
        <v>2</v>
      </c>
      <c r="G577" s="242">
        <v>4</v>
      </c>
      <c r="H577" s="243">
        <v>975828</v>
      </c>
      <c r="I577" s="243">
        <f t="shared" si="63"/>
        <v>3903312</v>
      </c>
      <c r="J577" s="8"/>
      <c r="K577" s="8">
        <f t="shared" si="68"/>
        <v>975828</v>
      </c>
      <c r="L577" s="8">
        <f t="shared" si="64"/>
        <v>1951656</v>
      </c>
      <c r="M577" s="9" t="str">
        <f t="array" ref="M577:P577">_xlfn.XLOOKUP(C577,'Neiva 2022 FASE I ACTUAL (5)'!$C$6:$C$540,'Neiva 2022 FASE I ACTUAL (5)'!$C$6:$F$540,"NO ESTA")</f>
        <v>SUMINISTRO E INSTALACION JUNTAS FLEXIBLES BOMBA VERTICAL 3"</v>
      </c>
      <c r="N577" s="9" t="str">
        <v>UND</v>
      </c>
      <c r="O577" s="9">
        <v>2</v>
      </c>
      <c r="P577" s="9">
        <v>936475</v>
      </c>
      <c r="Q577" s="124" t="str">
        <f t="shared" si="67"/>
        <v>FASE II</v>
      </c>
      <c r="R577" s="155">
        <f t="shared" si="62"/>
        <v>4</v>
      </c>
      <c r="S577" s="156">
        <f t="shared" si="65"/>
        <v>975828</v>
      </c>
      <c r="T577" s="156">
        <f t="shared" si="66"/>
        <v>3903312</v>
      </c>
    </row>
    <row r="578" spans="1:20" s="9" customFormat="1" ht="35.1" customHeight="1" x14ac:dyDescent="0.25">
      <c r="A578" s="215"/>
      <c r="B578" s="255" t="s">
        <v>806</v>
      </c>
      <c r="C578" s="254" t="s">
        <v>807</v>
      </c>
      <c r="D578" s="240" t="s">
        <v>16</v>
      </c>
      <c r="E578" s="242">
        <v>0</v>
      </c>
      <c r="F578" s="242">
        <v>1</v>
      </c>
      <c r="G578" s="242">
        <v>1</v>
      </c>
      <c r="H578" s="243">
        <v>258053</v>
      </c>
      <c r="I578" s="243">
        <f t="shared" si="63"/>
        <v>258053</v>
      </c>
      <c r="J578" s="8"/>
      <c r="K578" s="8">
        <f t="shared" si="68"/>
        <v>258053</v>
      </c>
      <c r="L578" s="8">
        <f t="shared" si="64"/>
        <v>0</v>
      </c>
      <c r="M578" s="9" t="str">
        <f t="array" ref="M578:P578">_xlfn.XLOOKUP(C578,'Neiva 2022 FASE I ACTUAL (5)'!$C$6:$C$540,'Neiva 2022 FASE I ACTUAL (5)'!$C$6:$F$540,"NO ESTA")</f>
        <v>SUMINISTRO E INSTALACION VALVULA DE CORTINA 2" FC 150 PSI</v>
      </c>
      <c r="N578" s="9" t="str">
        <v>UND</v>
      </c>
      <c r="O578" s="9">
        <v>1</v>
      </c>
      <c r="P578" s="9">
        <v>247647</v>
      </c>
      <c r="Q578" s="124" t="str">
        <f t="shared" si="67"/>
        <v>FASE II</v>
      </c>
      <c r="R578" s="155">
        <f t="shared" si="62"/>
        <v>1</v>
      </c>
      <c r="S578" s="156">
        <f t="shared" si="65"/>
        <v>258053</v>
      </c>
      <c r="T578" s="156">
        <f t="shared" si="66"/>
        <v>258053</v>
      </c>
    </row>
    <row r="579" spans="1:20" s="9" customFormat="1" ht="35.1" customHeight="1" x14ac:dyDescent="0.25">
      <c r="A579" s="215"/>
      <c r="B579" s="255" t="s">
        <v>808</v>
      </c>
      <c r="C579" s="254" t="s">
        <v>809</v>
      </c>
      <c r="D579" s="240" t="s">
        <v>16</v>
      </c>
      <c r="E579" s="242">
        <v>0</v>
      </c>
      <c r="F579" s="242">
        <v>1</v>
      </c>
      <c r="G579" s="242">
        <v>1</v>
      </c>
      <c r="H579" s="243">
        <v>287211</v>
      </c>
      <c r="I579" s="243">
        <f t="shared" si="63"/>
        <v>287211</v>
      </c>
      <c r="J579" s="8"/>
      <c r="K579" s="8">
        <f t="shared" si="68"/>
        <v>287211</v>
      </c>
      <c r="L579" s="8">
        <f t="shared" si="64"/>
        <v>0</v>
      </c>
      <c r="M579" s="9" t="str">
        <f t="array" ref="M579:P579">_xlfn.XLOOKUP(C579,'Neiva 2022 FASE I ACTUAL (5)'!$C$6:$C$540,'Neiva 2022 FASE I ACTUAL (5)'!$C$6:$F$540,"NO ESTA")</f>
        <v>SUMINISTRO E INSTALACION VALVULA DE GLOBO 2" FC 150 PSI</v>
      </c>
      <c r="N579" s="9" t="str">
        <v>UND</v>
      </c>
      <c r="O579" s="9">
        <v>1</v>
      </c>
      <c r="P579" s="9">
        <v>275628</v>
      </c>
      <c r="Q579" s="124" t="str">
        <f t="shared" si="67"/>
        <v>FASE II</v>
      </c>
      <c r="R579" s="155">
        <f t="shared" si="62"/>
        <v>1</v>
      </c>
      <c r="S579" s="156">
        <f t="shared" si="65"/>
        <v>287211</v>
      </c>
      <c r="T579" s="156">
        <f t="shared" si="66"/>
        <v>287211</v>
      </c>
    </row>
    <row r="580" spans="1:20" s="9" customFormat="1" ht="35.1" customHeight="1" x14ac:dyDescent="0.25">
      <c r="A580" s="215"/>
      <c r="B580" s="255" t="s">
        <v>810</v>
      </c>
      <c r="C580" s="87" t="s">
        <v>811</v>
      </c>
      <c r="D580" s="240" t="s">
        <v>16</v>
      </c>
      <c r="E580" s="242">
        <v>17</v>
      </c>
      <c r="F580" s="242">
        <v>6</v>
      </c>
      <c r="G580" s="242">
        <v>23</v>
      </c>
      <c r="H580" s="243">
        <v>218076</v>
      </c>
      <c r="I580" s="243">
        <f t="shared" si="63"/>
        <v>5015748</v>
      </c>
      <c r="J580" s="8"/>
      <c r="K580" s="8">
        <f t="shared" si="68"/>
        <v>218076</v>
      </c>
      <c r="L580" s="8">
        <f t="shared" si="64"/>
        <v>3707292</v>
      </c>
      <c r="M580" s="9" t="str">
        <f t="array" ref="M580:P580">_xlfn.XLOOKUP(C580,'Neiva 2022 FASE I ACTUAL (5)'!$C$6:$C$540,'Neiva 2022 FASE I ACTUAL (5)'!$C$6:$F$540,"NO ESTA")</f>
        <v>SUMINISTRO E INSTALACION VALVULAS DE CORTINA 1 1/4" FC 125 PSI</v>
      </c>
      <c r="N580" s="9" t="str">
        <v>UND</v>
      </c>
      <c r="O580" s="9">
        <v>6</v>
      </c>
      <c r="P580" s="9">
        <v>209281</v>
      </c>
      <c r="Q580" s="124" t="str">
        <f t="shared" si="67"/>
        <v>FASE II</v>
      </c>
      <c r="R580" s="155">
        <f t="shared" si="62"/>
        <v>23</v>
      </c>
      <c r="S580" s="156">
        <f t="shared" si="65"/>
        <v>218076</v>
      </c>
      <c r="T580" s="156">
        <f t="shared" si="66"/>
        <v>5015748</v>
      </c>
    </row>
    <row r="581" spans="1:20" s="9" customFormat="1" ht="35.1" customHeight="1" x14ac:dyDescent="0.25">
      <c r="A581" s="215"/>
      <c r="B581" s="255" t="s">
        <v>812</v>
      </c>
      <c r="C581" s="87" t="s">
        <v>813</v>
      </c>
      <c r="D581" s="240" t="s">
        <v>16</v>
      </c>
      <c r="E581" s="242">
        <v>17</v>
      </c>
      <c r="F581" s="242">
        <v>6</v>
      </c>
      <c r="G581" s="242">
        <v>23</v>
      </c>
      <c r="H581" s="243">
        <v>329228</v>
      </c>
      <c r="I581" s="243">
        <f t="shared" si="63"/>
        <v>7572244</v>
      </c>
      <c r="J581" s="8"/>
      <c r="K581" s="8">
        <f t="shared" si="68"/>
        <v>329228</v>
      </c>
      <c r="L581" s="8">
        <f t="shared" si="64"/>
        <v>5596876</v>
      </c>
      <c r="M581" s="9" t="str">
        <f t="array" ref="M581:P581">_xlfn.XLOOKUP(C581,'Neiva 2022 FASE I ACTUAL (5)'!$C$6:$C$540,'Neiva 2022 FASE I ACTUAL (5)'!$C$6:$F$540,"NO ESTA")</f>
        <v>SUMINISTRO E INSTALACION VALVULAS DE GLOBO 1 1/4" FC 125 PSI</v>
      </c>
      <c r="N581" s="9" t="str">
        <v>UND</v>
      </c>
      <c r="O581" s="9">
        <v>6</v>
      </c>
      <c r="P581" s="9">
        <v>315952</v>
      </c>
      <c r="Q581" s="124" t="str">
        <f t="shared" si="67"/>
        <v>FASE II</v>
      </c>
      <c r="R581" s="155">
        <f t="shared" si="62"/>
        <v>23</v>
      </c>
      <c r="S581" s="156">
        <f t="shared" si="65"/>
        <v>329228</v>
      </c>
      <c r="T581" s="156">
        <f t="shared" si="66"/>
        <v>7572244</v>
      </c>
    </row>
    <row r="582" spans="1:20" s="9" customFormat="1" ht="35.1" customHeight="1" x14ac:dyDescent="0.25">
      <c r="A582" s="215"/>
      <c r="B582" s="255" t="s">
        <v>814</v>
      </c>
      <c r="C582" s="87" t="s">
        <v>815</v>
      </c>
      <c r="D582" s="240" t="s">
        <v>16</v>
      </c>
      <c r="E582" s="242">
        <v>1</v>
      </c>
      <c r="F582" s="242">
        <v>1</v>
      </c>
      <c r="G582" s="242">
        <v>2</v>
      </c>
      <c r="H582" s="243">
        <v>237644</v>
      </c>
      <c r="I582" s="243">
        <f t="shared" si="63"/>
        <v>475288</v>
      </c>
      <c r="J582" s="59"/>
      <c r="K582" s="8">
        <f t="shared" si="68"/>
        <v>237644</v>
      </c>
      <c r="L582" s="8">
        <f t="shared" si="64"/>
        <v>237644</v>
      </c>
      <c r="M582" s="9" t="str">
        <f t="array" ref="M582:P582">_xlfn.XLOOKUP(C582,'Neiva 2022 FASE I ACTUAL (5)'!$C$6:$C$540,'Neiva 2022 FASE I ACTUAL (5)'!$C$6:$F$540,"NO ESTA")</f>
        <v>SUMINISTRO E INSTALACION VALVULAS DE CORTINA 1 1/2" FC 125-150 PSI</v>
      </c>
      <c r="N582" s="9" t="str">
        <v>UND</v>
      </c>
      <c r="O582" s="9">
        <v>1</v>
      </c>
      <c r="P582" s="9">
        <v>228061</v>
      </c>
      <c r="Q582" s="124" t="str">
        <f t="shared" si="67"/>
        <v>FASE II</v>
      </c>
      <c r="R582" s="155">
        <f t="shared" ref="R582:R645" si="69">E582+O582</f>
        <v>2</v>
      </c>
      <c r="S582" s="156">
        <f t="shared" si="65"/>
        <v>237644</v>
      </c>
      <c r="T582" s="156">
        <f t="shared" si="66"/>
        <v>475288</v>
      </c>
    </row>
    <row r="583" spans="1:20" s="9" customFormat="1" ht="35.1" customHeight="1" x14ac:dyDescent="0.25">
      <c r="A583" s="215"/>
      <c r="B583" s="255" t="s">
        <v>816</v>
      </c>
      <c r="C583" s="87" t="s">
        <v>817</v>
      </c>
      <c r="D583" s="240" t="s">
        <v>16</v>
      </c>
      <c r="E583" s="242">
        <v>1</v>
      </c>
      <c r="F583" s="242">
        <v>1</v>
      </c>
      <c r="G583" s="242">
        <v>2</v>
      </c>
      <c r="H583" s="243">
        <v>342013</v>
      </c>
      <c r="I583" s="243">
        <f t="shared" ref="I583:I646" si="70">ROUND(+H583*G583,2)</f>
        <v>684026</v>
      </c>
      <c r="J583" s="8"/>
      <c r="K583" s="8">
        <f t="shared" si="68"/>
        <v>342013</v>
      </c>
      <c r="L583" s="8">
        <f t="shared" ref="L583:L646" si="71">+K583*E583</f>
        <v>342013</v>
      </c>
      <c r="M583" s="9" t="str">
        <f t="array" ref="M583:P583">_xlfn.XLOOKUP(C583,'Neiva 2022 FASE I ACTUAL (5)'!$C$6:$C$540,'Neiva 2022 FASE I ACTUAL (5)'!$C$6:$F$540,"NO ESTA")</f>
        <v>SUMINISTRO E INSTALACIONVALVULAS DE GLOBO 1   1/2" FC 125-150 PSI</v>
      </c>
      <c r="N583" s="9" t="str">
        <v>UND</v>
      </c>
      <c r="O583" s="9">
        <v>1</v>
      </c>
      <c r="P583" s="9">
        <v>328221</v>
      </c>
      <c r="Q583" s="124" t="str">
        <f t="shared" si="67"/>
        <v>FASE II</v>
      </c>
      <c r="R583" s="155">
        <f t="shared" si="69"/>
        <v>2</v>
      </c>
      <c r="S583" s="156">
        <f t="shared" ref="S583:S646" si="72">MAX(P583,H583,K583)</f>
        <v>342013</v>
      </c>
      <c r="T583" s="156">
        <f t="shared" ref="T583:T646" si="73">ROUND(R583*S583,2)</f>
        <v>684026</v>
      </c>
    </row>
    <row r="584" spans="1:20" s="9" customFormat="1" ht="35.1" customHeight="1" x14ac:dyDescent="0.25">
      <c r="A584" s="215"/>
      <c r="B584" s="255" t="s">
        <v>818</v>
      </c>
      <c r="C584" s="87" t="s">
        <v>819</v>
      </c>
      <c r="D584" s="240" t="s">
        <v>16</v>
      </c>
      <c r="E584" s="242">
        <v>2</v>
      </c>
      <c r="F584" s="242">
        <v>2</v>
      </c>
      <c r="G584" s="242">
        <v>4</v>
      </c>
      <c r="H584" s="243">
        <v>159367</v>
      </c>
      <c r="I584" s="243">
        <f t="shared" si="70"/>
        <v>637468</v>
      </c>
      <c r="J584" s="8"/>
      <c r="K584" s="8">
        <f t="shared" si="68"/>
        <v>159367</v>
      </c>
      <c r="L584" s="8">
        <f t="shared" si="71"/>
        <v>318734</v>
      </c>
      <c r="M584" s="9" t="str">
        <f t="array" ref="M584:P584">_xlfn.XLOOKUP(C584,'Neiva 2022 FASE I ACTUAL (5)'!$C$6:$C$540,'Neiva 2022 FASE I ACTUAL (5)'!$C$6:$F$540,"NO ESTA")</f>
        <v>SUMINISTRO E INSTALACION VALVULAS DE CORTINA 1" FC 125 PSI</v>
      </c>
      <c r="N584" s="9" t="str">
        <v>UND</v>
      </c>
      <c r="O584" s="9">
        <v>2</v>
      </c>
      <c r="P584" s="9">
        <v>152941</v>
      </c>
      <c r="Q584" s="124" t="str">
        <f t="shared" ref="Q584:Q647" si="74">IF(P584=0,0,(IF(H584&lt;P584, "FASE I","FASE II")))</f>
        <v>FASE II</v>
      </c>
      <c r="R584" s="155">
        <f t="shared" si="69"/>
        <v>4</v>
      </c>
      <c r="S584" s="156">
        <f t="shared" si="72"/>
        <v>159367</v>
      </c>
      <c r="T584" s="156">
        <f t="shared" si="73"/>
        <v>637468</v>
      </c>
    </row>
    <row r="585" spans="1:20" s="9" customFormat="1" ht="35.1" customHeight="1" x14ac:dyDescent="0.25">
      <c r="A585" s="215"/>
      <c r="B585" s="255" t="s">
        <v>820</v>
      </c>
      <c r="C585" s="254" t="s">
        <v>821</v>
      </c>
      <c r="D585" s="240" t="s">
        <v>16</v>
      </c>
      <c r="E585" s="242">
        <v>2</v>
      </c>
      <c r="F585" s="242">
        <v>2</v>
      </c>
      <c r="G585" s="242">
        <v>4</v>
      </c>
      <c r="H585" s="243">
        <v>198506</v>
      </c>
      <c r="I585" s="243">
        <f t="shared" si="70"/>
        <v>794024</v>
      </c>
      <c r="J585" s="8"/>
      <c r="K585" s="8">
        <f t="shared" si="68"/>
        <v>198506</v>
      </c>
      <c r="L585" s="8">
        <f t="shared" si="71"/>
        <v>397012</v>
      </c>
      <c r="M585" s="9" t="str">
        <f t="array" ref="M585:P585">_xlfn.XLOOKUP(C585,'Neiva 2022 FASE I ACTUAL (5)'!$C$6:$C$540,'Neiva 2022 FASE I ACTUAL (5)'!$C$6:$F$540,"NO ESTA")</f>
        <v>SUMINISTRO E INSTALACION VALVULAS DE GLOBO 1" FC 125 PSI</v>
      </c>
      <c r="N585" s="9" t="str">
        <v>UND</v>
      </c>
      <c r="O585" s="9">
        <v>2</v>
      </c>
      <c r="P585" s="9">
        <v>190501</v>
      </c>
      <c r="Q585" s="124" t="str">
        <f t="shared" si="74"/>
        <v>FASE II</v>
      </c>
      <c r="R585" s="155">
        <f t="shared" si="69"/>
        <v>4</v>
      </c>
      <c r="S585" s="156">
        <f t="shared" si="72"/>
        <v>198506</v>
      </c>
      <c r="T585" s="156">
        <f t="shared" si="73"/>
        <v>794024</v>
      </c>
    </row>
    <row r="586" spans="1:20" s="9" customFormat="1" ht="35.1" customHeight="1" x14ac:dyDescent="0.25">
      <c r="A586" s="215"/>
      <c r="B586" s="255" t="s">
        <v>822</v>
      </c>
      <c r="C586" s="87" t="s">
        <v>823</v>
      </c>
      <c r="D586" s="240" t="s">
        <v>16</v>
      </c>
      <c r="E586" s="242">
        <v>4</v>
      </c>
      <c r="F586" s="242">
        <v>4</v>
      </c>
      <c r="G586" s="242">
        <v>8</v>
      </c>
      <c r="H586" s="243">
        <v>127446</v>
      </c>
      <c r="I586" s="243">
        <f t="shared" si="70"/>
        <v>1019568</v>
      </c>
      <c r="J586" s="8"/>
      <c r="K586" s="8">
        <f t="shared" si="68"/>
        <v>127446</v>
      </c>
      <c r="L586" s="8">
        <f t="shared" si="71"/>
        <v>509784</v>
      </c>
      <c r="M586" s="9" t="str">
        <f t="array" ref="M586:P586">_xlfn.XLOOKUP(C586,'Neiva 2022 FASE I ACTUAL (5)'!$C$6:$C$540,'Neiva 2022 FASE I ACTUAL (5)'!$C$6:$F$540,"NO ESTA")</f>
        <v>SUMINISTRO E INSTALACION VALVULAS DE CORTINA 3/4" FC 125 PSI</v>
      </c>
      <c r="N586" s="9" t="str">
        <v>UND</v>
      </c>
      <c r="O586" s="9">
        <v>4</v>
      </c>
      <c r="P586" s="9">
        <v>122306</v>
      </c>
      <c r="Q586" s="124" t="str">
        <f t="shared" si="74"/>
        <v>FASE II</v>
      </c>
      <c r="R586" s="155">
        <f t="shared" si="69"/>
        <v>8</v>
      </c>
      <c r="S586" s="156">
        <f t="shared" si="72"/>
        <v>127446</v>
      </c>
      <c r="T586" s="156">
        <f t="shared" si="73"/>
        <v>1019568</v>
      </c>
    </row>
    <row r="587" spans="1:20" s="9" customFormat="1" ht="35.1" customHeight="1" x14ac:dyDescent="0.25">
      <c r="A587" s="215"/>
      <c r="B587" s="255" t="s">
        <v>824</v>
      </c>
      <c r="C587" s="254" t="s">
        <v>825</v>
      </c>
      <c r="D587" s="240" t="s">
        <v>16</v>
      </c>
      <c r="E587" s="242">
        <v>4</v>
      </c>
      <c r="F587" s="242">
        <v>4</v>
      </c>
      <c r="G587" s="242">
        <v>8</v>
      </c>
      <c r="H587" s="243">
        <v>163323</v>
      </c>
      <c r="I587" s="243">
        <f t="shared" si="70"/>
        <v>1306584</v>
      </c>
      <c r="J587" s="8"/>
      <c r="K587" s="8">
        <f t="shared" si="68"/>
        <v>163323</v>
      </c>
      <c r="L587" s="8">
        <f t="shared" si="71"/>
        <v>653292</v>
      </c>
      <c r="M587" s="9" t="str">
        <f t="array" ref="M587:P587">_xlfn.XLOOKUP(C587,'Neiva 2022 FASE I ACTUAL (5)'!$C$6:$C$540,'Neiva 2022 FASE I ACTUAL (5)'!$C$6:$F$540,"NO ESTA")</f>
        <v>SUMINISTRO E INSTALACION VALVULAS DE GLOBO 3/4" FC 125 PSI</v>
      </c>
      <c r="N587" s="9" t="str">
        <v>UND</v>
      </c>
      <c r="O587" s="9">
        <v>4</v>
      </c>
      <c r="P587" s="9">
        <v>156737</v>
      </c>
      <c r="Q587" s="124" t="str">
        <f t="shared" si="74"/>
        <v>FASE II</v>
      </c>
      <c r="R587" s="155">
        <f t="shared" si="69"/>
        <v>8</v>
      </c>
      <c r="S587" s="156">
        <f t="shared" si="72"/>
        <v>163323</v>
      </c>
      <c r="T587" s="156">
        <f t="shared" si="73"/>
        <v>1306584</v>
      </c>
    </row>
    <row r="588" spans="1:20" s="9" customFormat="1" ht="35.1" customHeight="1" x14ac:dyDescent="0.25">
      <c r="A588" s="215"/>
      <c r="B588" s="255" t="s">
        <v>826</v>
      </c>
      <c r="C588" s="254" t="s">
        <v>827</v>
      </c>
      <c r="D588" s="240" t="s">
        <v>16</v>
      </c>
      <c r="E588" s="242">
        <v>6</v>
      </c>
      <c r="F588" s="242">
        <v>2</v>
      </c>
      <c r="G588" s="242">
        <v>8</v>
      </c>
      <c r="H588" s="243">
        <v>198506</v>
      </c>
      <c r="I588" s="243">
        <f t="shared" si="70"/>
        <v>1588048</v>
      </c>
      <c r="J588" s="8"/>
      <c r="K588" s="8">
        <f t="shared" si="68"/>
        <v>198506</v>
      </c>
      <c r="L588" s="8">
        <f t="shared" si="71"/>
        <v>1191036</v>
      </c>
      <c r="M588" s="9" t="str">
        <f t="array" ref="M588:P588">_xlfn.XLOOKUP(C588,'Neiva 2022 FASE I ACTUAL (5)'!$C$6:$C$540,'Neiva 2022 FASE I ACTUAL (5)'!$C$6:$F$540,"NO ESTA")</f>
        <v>SUMINISTRO E INSTALACION TERMOTATOS DIGITALES NO PROGRAMABLES FC</v>
      </c>
      <c r="N588" s="9" t="str">
        <v>UND</v>
      </c>
      <c r="O588" s="9">
        <v>2</v>
      </c>
      <c r="P588" s="9">
        <v>190501</v>
      </c>
      <c r="Q588" s="124" t="str">
        <f t="shared" si="74"/>
        <v>FASE II</v>
      </c>
      <c r="R588" s="155">
        <f t="shared" si="69"/>
        <v>8</v>
      </c>
      <c r="S588" s="156">
        <f t="shared" si="72"/>
        <v>198506</v>
      </c>
      <c r="T588" s="156">
        <f t="shared" si="73"/>
        <v>1588048</v>
      </c>
    </row>
    <row r="589" spans="1:20" s="9" customFormat="1" ht="35.1" customHeight="1" x14ac:dyDescent="0.25">
      <c r="A589" s="215"/>
      <c r="B589" s="255" t="s">
        <v>828</v>
      </c>
      <c r="C589" s="254" t="s">
        <v>829</v>
      </c>
      <c r="D589" s="240" t="s">
        <v>16</v>
      </c>
      <c r="E589" s="242">
        <v>22</v>
      </c>
      <c r="F589" s="242">
        <v>8</v>
      </c>
      <c r="G589" s="242">
        <v>30</v>
      </c>
      <c r="H589" s="243">
        <v>328967</v>
      </c>
      <c r="I589" s="243">
        <f t="shared" si="70"/>
        <v>9869010</v>
      </c>
      <c r="J589" s="8"/>
      <c r="K589" s="8">
        <f t="shared" si="68"/>
        <v>328967</v>
      </c>
      <c r="L589" s="8">
        <f t="shared" si="71"/>
        <v>7237274</v>
      </c>
      <c r="M589" s="9" t="str">
        <f t="array" ref="M589:P589">_xlfn.XLOOKUP(C589,'Neiva 2022 FASE I ACTUAL (5)'!$C$6:$C$540,'Neiva 2022 FASE I ACTUAL (5)'!$C$6:$F$540,"NO ESTA")</f>
        <v xml:space="preserve">SUMINISTRO E INSTALACION TERMOSTATOS PROPORCIONALES DIGITALES </v>
      </c>
      <c r="N589" s="9" t="str">
        <v>UND</v>
      </c>
      <c r="O589" s="9">
        <v>8</v>
      </c>
      <c r="P589" s="9">
        <v>315701</v>
      </c>
      <c r="Q589" s="124" t="str">
        <f t="shared" si="74"/>
        <v>FASE II</v>
      </c>
      <c r="R589" s="155">
        <f t="shared" si="69"/>
        <v>30</v>
      </c>
      <c r="S589" s="156">
        <f t="shared" si="72"/>
        <v>328967</v>
      </c>
      <c r="T589" s="156">
        <f t="shared" si="73"/>
        <v>9869010</v>
      </c>
    </row>
    <row r="590" spans="1:20" s="9" customFormat="1" ht="35.1" customHeight="1" x14ac:dyDescent="0.25">
      <c r="A590" s="215"/>
      <c r="B590" s="255" t="s">
        <v>830</v>
      </c>
      <c r="C590" s="254" t="s">
        <v>831</v>
      </c>
      <c r="D590" s="240" t="s">
        <v>16</v>
      </c>
      <c r="E590" s="242">
        <v>6</v>
      </c>
      <c r="F590" s="242">
        <v>2</v>
      </c>
      <c r="G590" s="242">
        <v>8</v>
      </c>
      <c r="H590" s="243">
        <v>250690</v>
      </c>
      <c r="I590" s="243">
        <f t="shared" si="70"/>
        <v>2005520</v>
      </c>
      <c r="J590" s="8"/>
      <c r="K590" s="8">
        <f t="shared" si="68"/>
        <v>250690</v>
      </c>
      <c r="L590" s="8">
        <f t="shared" si="71"/>
        <v>1504140</v>
      </c>
      <c r="M590" s="9" t="str">
        <f t="array" ref="M590:P590">_xlfn.XLOOKUP(C590,'Neiva 2022 FASE I ACTUAL (5)'!$C$6:$C$540,'Neiva 2022 FASE I ACTUAL (5)'!$C$6:$F$540,"NO ESTA")</f>
        <v>SUMINISTRO E INSTALACION ELECTROVALVULAS ON-OFF  110V</v>
      </c>
      <c r="N590" s="9" t="str">
        <v>UND</v>
      </c>
      <c r="O590" s="9">
        <v>2</v>
      </c>
      <c r="P590" s="9">
        <v>240581</v>
      </c>
      <c r="Q590" s="124" t="str">
        <f t="shared" si="74"/>
        <v>FASE II</v>
      </c>
      <c r="R590" s="155">
        <f t="shared" si="69"/>
        <v>8</v>
      </c>
      <c r="S590" s="156">
        <f t="shared" si="72"/>
        <v>250690</v>
      </c>
      <c r="T590" s="156">
        <f t="shared" si="73"/>
        <v>2005520</v>
      </c>
    </row>
    <row r="591" spans="1:20" s="9" customFormat="1" ht="35.1" customHeight="1" x14ac:dyDescent="0.25">
      <c r="A591" s="215"/>
      <c r="B591" s="255" t="s">
        <v>832</v>
      </c>
      <c r="C591" s="254" t="s">
        <v>833</v>
      </c>
      <c r="D591" s="240" t="s">
        <v>16</v>
      </c>
      <c r="E591" s="242">
        <v>0</v>
      </c>
      <c r="F591" s="242">
        <v>1</v>
      </c>
      <c r="G591" s="242">
        <v>1</v>
      </c>
      <c r="H591" s="243">
        <v>831244</v>
      </c>
      <c r="I591" s="243">
        <f t="shared" si="70"/>
        <v>831244</v>
      </c>
      <c r="J591" s="8"/>
      <c r="K591" s="8">
        <f t="shared" si="68"/>
        <v>831244</v>
      </c>
      <c r="L591" s="8">
        <f t="shared" si="71"/>
        <v>0</v>
      </c>
      <c r="M591" s="9" t="str">
        <f t="array" ref="M591:P591">_xlfn.XLOOKUP(C591,'Neiva 2022 FASE I ACTUAL (5)'!$C$6:$C$540,'Neiva 2022 FASE I ACTUAL (5)'!$C$6:$F$540,"NO ESTA")</f>
        <v>SUMINISTRO E INSTALACION ELECTROVALVULAS PROPORCIONALES 2 " - 2 VIAS - 24V</v>
      </c>
      <c r="N591" s="9" t="str">
        <v>UND</v>
      </c>
      <c r="O591" s="9">
        <v>1</v>
      </c>
      <c r="P591" s="9">
        <v>797720</v>
      </c>
      <c r="Q591" s="124" t="str">
        <f t="shared" si="74"/>
        <v>FASE II</v>
      </c>
      <c r="R591" s="155">
        <f t="shared" si="69"/>
        <v>1</v>
      </c>
      <c r="S591" s="156">
        <f t="shared" si="72"/>
        <v>831244</v>
      </c>
      <c r="T591" s="156">
        <f t="shared" si="73"/>
        <v>831244</v>
      </c>
    </row>
    <row r="592" spans="1:20" s="9" customFormat="1" ht="35.1" customHeight="1" x14ac:dyDescent="0.25">
      <c r="A592" s="215"/>
      <c r="B592" s="255" t="s">
        <v>834</v>
      </c>
      <c r="C592" s="87" t="s">
        <v>835</v>
      </c>
      <c r="D592" s="240" t="s">
        <v>16</v>
      </c>
      <c r="E592" s="242">
        <v>2</v>
      </c>
      <c r="F592" s="242">
        <v>1</v>
      </c>
      <c r="G592" s="242">
        <v>3</v>
      </c>
      <c r="H592" s="243">
        <v>831244</v>
      </c>
      <c r="I592" s="243">
        <f t="shared" si="70"/>
        <v>2493732</v>
      </c>
      <c r="J592" s="8"/>
      <c r="K592" s="8">
        <f t="shared" si="68"/>
        <v>831244</v>
      </c>
      <c r="L592" s="8">
        <f t="shared" si="71"/>
        <v>1662488</v>
      </c>
      <c r="M592" s="9" t="str">
        <f t="array" ref="M592:P592">_xlfn.XLOOKUP(C592,'Neiva 2022 FASE I ACTUAL (5)'!$C$6:$C$540,'Neiva 2022 FASE I ACTUAL (5)'!$C$6:$F$540,"NO ESTA")</f>
        <v>SUMINISTRO E INSTALACION ELECTROVALVULAS PROPORCIONALES  1 1/2 " - 2 VIAS - 24V</v>
      </c>
      <c r="N592" s="9" t="str">
        <v>UND</v>
      </c>
      <c r="O592" s="9">
        <v>1</v>
      </c>
      <c r="P592" s="9">
        <v>797720</v>
      </c>
      <c r="Q592" s="124" t="str">
        <f t="shared" si="74"/>
        <v>FASE II</v>
      </c>
      <c r="R592" s="155">
        <f t="shared" si="69"/>
        <v>3</v>
      </c>
      <c r="S592" s="156">
        <f t="shared" si="72"/>
        <v>831244</v>
      </c>
      <c r="T592" s="156">
        <f t="shared" si="73"/>
        <v>2493732</v>
      </c>
    </row>
    <row r="593" spans="1:20" s="9" customFormat="1" ht="35.1" customHeight="1" x14ac:dyDescent="0.25">
      <c r="A593" s="215"/>
      <c r="B593" s="255" t="s">
        <v>836</v>
      </c>
      <c r="C593" s="87" t="s">
        <v>837</v>
      </c>
      <c r="D593" s="240" t="s">
        <v>16</v>
      </c>
      <c r="E593" s="242">
        <v>0</v>
      </c>
      <c r="F593" s="242">
        <v>1</v>
      </c>
      <c r="G593" s="242">
        <v>1</v>
      </c>
      <c r="H593" s="243">
        <v>831244</v>
      </c>
      <c r="I593" s="243">
        <f t="shared" si="70"/>
        <v>831244</v>
      </c>
      <c r="J593" s="8"/>
      <c r="K593" s="8">
        <f t="shared" si="68"/>
        <v>831244</v>
      </c>
      <c r="L593" s="8">
        <f t="shared" si="71"/>
        <v>0</v>
      </c>
      <c r="M593" s="9" t="str">
        <f t="array" ref="M593:P593">_xlfn.XLOOKUP(C593,'Neiva 2022 FASE I ACTUAL (5)'!$C$6:$C$540,'Neiva 2022 FASE I ACTUAL (5)'!$C$6:$F$540,"NO ESTA")</f>
        <v>SUMINISTRO E INSTALACION ELECTROVALVULAS PROPORCIONALES  1 1/2 " - 3 VIAS - 24V</v>
      </c>
      <c r="N593" s="9" t="str">
        <v>UND</v>
      </c>
      <c r="O593" s="9">
        <v>1</v>
      </c>
      <c r="P593" s="9">
        <v>797720</v>
      </c>
      <c r="Q593" s="124" t="str">
        <f t="shared" si="74"/>
        <v>FASE II</v>
      </c>
      <c r="R593" s="155">
        <f t="shared" si="69"/>
        <v>1</v>
      </c>
      <c r="S593" s="156">
        <f t="shared" si="72"/>
        <v>831244</v>
      </c>
      <c r="T593" s="156">
        <f t="shared" si="73"/>
        <v>831244</v>
      </c>
    </row>
    <row r="594" spans="1:20" s="9" customFormat="1" ht="35.1" customHeight="1" x14ac:dyDescent="0.25">
      <c r="A594" s="215"/>
      <c r="B594" s="255" t="s">
        <v>838</v>
      </c>
      <c r="C594" s="87" t="s">
        <v>839</v>
      </c>
      <c r="D594" s="240" t="s">
        <v>16</v>
      </c>
      <c r="E594" s="242">
        <v>15</v>
      </c>
      <c r="F594" s="242">
        <v>5</v>
      </c>
      <c r="G594" s="242">
        <v>20</v>
      </c>
      <c r="H594" s="243">
        <v>733397</v>
      </c>
      <c r="I594" s="243">
        <f t="shared" si="70"/>
        <v>14667940</v>
      </c>
      <c r="J594" s="8"/>
      <c r="K594" s="8">
        <f t="shared" si="68"/>
        <v>733397</v>
      </c>
      <c r="L594" s="8">
        <f t="shared" si="71"/>
        <v>11000955</v>
      </c>
      <c r="M594" s="9" t="str">
        <f t="array" ref="M594:P594">_xlfn.XLOOKUP(C594,'Neiva 2022 FASE I ACTUAL (5)'!$C$6:$C$540,'Neiva 2022 FASE I ACTUAL (5)'!$C$6:$F$540,"NO ESTA")</f>
        <v>SUMINISTRO E INSTALACION ELECTROVALVULAS PROPORCIONALES 1 1/4 " - 24V</v>
      </c>
      <c r="N594" s="9" t="str">
        <v>UND</v>
      </c>
      <c r="O594" s="9">
        <v>5</v>
      </c>
      <c r="P594" s="9">
        <v>703821</v>
      </c>
      <c r="Q594" s="124" t="str">
        <f t="shared" si="74"/>
        <v>FASE II</v>
      </c>
      <c r="R594" s="155">
        <f t="shared" si="69"/>
        <v>20</v>
      </c>
      <c r="S594" s="156">
        <f t="shared" si="72"/>
        <v>733397</v>
      </c>
      <c r="T594" s="156">
        <f t="shared" si="73"/>
        <v>14667940</v>
      </c>
    </row>
    <row r="595" spans="1:20" s="9" customFormat="1" ht="35.1" customHeight="1" x14ac:dyDescent="0.25">
      <c r="A595" s="215"/>
      <c r="B595" s="255" t="s">
        <v>840</v>
      </c>
      <c r="C595" s="254" t="s">
        <v>841</v>
      </c>
      <c r="D595" s="240" t="s">
        <v>16</v>
      </c>
      <c r="E595" s="242">
        <v>0</v>
      </c>
      <c r="F595" s="242">
        <v>1</v>
      </c>
      <c r="G595" s="242">
        <v>1</v>
      </c>
      <c r="H595" s="243">
        <v>591456</v>
      </c>
      <c r="I595" s="243">
        <f t="shared" si="70"/>
        <v>591456</v>
      </c>
      <c r="J595" s="8"/>
      <c r="K595" s="8">
        <f t="shared" si="68"/>
        <v>591456</v>
      </c>
      <c r="L595" s="8">
        <f t="shared" si="71"/>
        <v>0</v>
      </c>
      <c r="M595" s="9" t="str">
        <f t="array" ref="M595:P595">_xlfn.XLOOKUP(C595,'Neiva 2022 FASE I ACTUAL (5)'!$C$6:$C$540,'Neiva 2022 FASE I ACTUAL (5)'!$C$6:$F$540,"NO ESTA")</f>
        <v>SUMINISTRO E INSTALACION ELECTROVALVULAS PROPORCIONALES 1 " - 24V</v>
      </c>
      <c r="N595" s="9" t="str">
        <v>UND</v>
      </c>
      <c r="O595" s="9">
        <v>1</v>
      </c>
      <c r="P595" s="9">
        <v>567603</v>
      </c>
      <c r="Q595" s="124" t="str">
        <f t="shared" si="74"/>
        <v>FASE II</v>
      </c>
      <c r="R595" s="155">
        <f t="shared" si="69"/>
        <v>1</v>
      </c>
      <c r="S595" s="156">
        <f t="shared" si="72"/>
        <v>591456</v>
      </c>
      <c r="T595" s="156">
        <f t="shared" si="73"/>
        <v>591456</v>
      </c>
    </row>
    <row r="596" spans="1:20" s="9" customFormat="1" ht="35.1" customHeight="1" x14ac:dyDescent="0.25">
      <c r="A596" s="215"/>
      <c r="B596" s="244" t="s">
        <v>842</v>
      </c>
      <c r="C596" s="256" t="s">
        <v>843</v>
      </c>
      <c r="D596" s="256"/>
      <c r="E596" s="246"/>
      <c r="F596" s="246"/>
      <c r="G596" s="246"/>
      <c r="H596" s="246"/>
      <c r="I596" s="246"/>
      <c r="J596" s="8"/>
      <c r="K596" s="8">
        <f t="shared" si="68"/>
        <v>0</v>
      </c>
      <c r="L596" s="8">
        <f t="shared" si="71"/>
        <v>0</v>
      </c>
      <c r="M596" s="9" t="str">
        <f t="array" ref="M596:P596">_xlfn.XLOOKUP(C596,'Neiva 2022 FASE I ACTUAL (5)'!$C$6:$C$540,'Neiva 2022 FASE I ACTUAL (5)'!$C$6:$F$540,"NO ESTA")</f>
        <v>SUMINISTRO, MONTAJE E INSTALACIÓN DE DUCTOS DE AIRE ACONDICIONADO</v>
      </c>
      <c r="N596" s="9">
        <v>0</v>
      </c>
      <c r="O596" s="9">
        <v>0</v>
      </c>
      <c r="P596" s="9">
        <v>0</v>
      </c>
      <c r="Q596" s="124">
        <f t="shared" si="74"/>
        <v>0</v>
      </c>
      <c r="R596" s="155">
        <f t="shared" si="69"/>
        <v>0</v>
      </c>
      <c r="S596" s="156">
        <f t="shared" si="72"/>
        <v>0</v>
      </c>
      <c r="T596" s="156">
        <f t="shared" si="73"/>
        <v>0</v>
      </c>
    </row>
    <row r="597" spans="1:20" s="9" customFormat="1" ht="35.1" customHeight="1" x14ac:dyDescent="0.25">
      <c r="A597" s="215"/>
      <c r="B597" s="255" t="s">
        <v>844</v>
      </c>
      <c r="C597" s="254" t="s">
        <v>845</v>
      </c>
      <c r="D597" s="295" t="s">
        <v>13</v>
      </c>
      <c r="E597" s="242">
        <v>77</v>
      </c>
      <c r="F597" s="242">
        <v>28</v>
      </c>
      <c r="G597" s="242">
        <v>105</v>
      </c>
      <c r="H597" s="243">
        <v>64794</v>
      </c>
      <c r="I597" s="243">
        <f t="shared" si="70"/>
        <v>6803370</v>
      </c>
      <c r="J597" s="8"/>
      <c r="K597" s="8">
        <f t="shared" si="68"/>
        <v>64794</v>
      </c>
      <c r="L597" s="8">
        <f t="shared" si="71"/>
        <v>4989138</v>
      </c>
      <c r="M597" s="9" t="str">
        <f t="array" ref="M597:P597">_xlfn.XLOOKUP(C597,'Neiva 2022 FASE I ACTUAL (5)'!$C$6:$C$540,'Neiva 2022 FASE I ACTUAL (5)'!$C$6:$F$540,"NO ESTA")</f>
        <v>SUMINISTRO E INSTALACION DUCTOS EN LAMINA GALVANIZADA CAL. 24 Wrap FC</v>
      </c>
      <c r="N597" s="9" t="str">
        <v>M2</v>
      </c>
      <c r="O597" s="9">
        <v>28</v>
      </c>
      <c r="P597" s="9">
        <v>62181</v>
      </c>
      <c r="Q597" s="124" t="str">
        <f t="shared" si="74"/>
        <v>FASE II</v>
      </c>
      <c r="R597" s="155">
        <f t="shared" si="69"/>
        <v>105</v>
      </c>
      <c r="S597" s="156">
        <f t="shared" si="72"/>
        <v>64794</v>
      </c>
      <c r="T597" s="156">
        <f t="shared" si="73"/>
        <v>6803370</v>
      </c>
    </row>
    <row r="598" spans="1:20" s="9" customFormat="1" ht="35.1" customHeight="1" x14ac:dyDescent="0.25">
      <c r="A598" s="215"/>
      <c r="B598" s="255" t="s">
        <v>846</v>
      </c>
      <c r="C598" s="254" t="s">
        <v>847</v>
      </c>
      <c r="D598" s="295" t="s">
        <v>13</v>
      </c>
      <c r="E598" s="242">
        <v>540</v>
      </c>
      <c r="F598" s="242">
        <v>200</v>
      </c>
      <c r="G598" s="242">
        <v>740</v>
      </c>
      <c r="H598" s="243">
        <v>71267</v>
      </c>
      <c r="I598" s="243">
        <f t="shared" si="70"/>
        <v>52737580</v>
      </c>
      <c r="J598" s="8"/>
      <c r="K598" s="8">
        <f t="shared" si="68"/>
        <v>71267</v>
      </c>
      <c r="L598" s="8">
        <f t="shared" si="71"/>
        <v>38484180</v>
      </c>
      <c r="M598" s="9" t="str">
        <f t="array" ref="M598:P598">_xlfn.XLOOKUP(C598,'Neiva 2022 FASE I ACTUAL (5)'!$C$6:$C$540,'Neiva 2022 FASE I ACTUAL (5)'!$C$6:$F$540,"NO ESTA")</f>
        <v>SUMINISTRO E INSTALACION DUCTOS EN LAMINA GALVANIZADA CAL. 22 Wrap FC</v>
      </c>
      <c r="N598" s="9" t="str">
        <v>M2</v>
      </c>
      <c r="O598" s="9">
        <v>200</v>
      </c>
      <c r="P598" s="9">
        <v>68392</v>
      </c>
      <c r="Q598" s="124" t="str">
        <f t="shared" si="74"/>
        <v>FASE II</v>
      </c>
      <c r="R598" s="155">
        <f t="shared" si="69"/>
        <v>740</v>
      </c>
      <c r="S598" s="156">
        <f t="shared" si="72"/>
        <v>71267</v>
      </c>
      <c r="T598" s="156">
        <f t="shared" si="73"/>
        <v>52737580</v>
      </c>
    </row>
    <row r="599" spans="1:20" s="9" customFormat="1" ht="35.1" customHeight="1" x14ac:dyDescent="0.25">
      <c r="A599" s="215"/>
      <c r="B599" s="255" t="s">
        <v>848</v>
      </c>
      <c r="C599" s="254" t="s">
        <v>849</v>
      </c>
      <c r="D599" s="295" t="s">
        <v>13</v>
      </c>
      <c r="E599" s="242">
        <v>617</v>
      </c>
      <c r="F599" s="242">
        <v>228</v>
      </c>
      <c r="G599" s="242">
        <v>845</v>
      </c>
      <c r="H599" s="243">
        <v>19759</v>
      </c>
      <c r="I599" s="243">
        <f t="shared" si="70"/>
        <v>16696355</v>
      </c>
      <c r="J599" s="8"/>
      <c r="K599" s="8">
        <f t="shared" si="68"/>
        <v>19759</v>
      </c>
      <c r="L599" s="8">
        <f t="shared" si="71"/>
        <v>12191303</v>
      </c>
      <c r="M599" s="9" t="str">
        <f t="array" ref="M599:P599">_xlfn.XLOOKUP(C599,'Neiva 2022 FASE I ACTUAL (5)'!$C$6:$C$540,'Neiva 2022 FASE I ACTUAL (5)'!$C$6:$F$540,"NO ESTA")</f>
        <v>SUMINISTRO E INSTALACION AISLAMIENTO DUCTOS EN JUMBOLON FC</v>
      </c>
      <c r="N599" s="9" t="str">
        <v>M2</v>
      </c>
      <c r="O599" s="9">
        <v>228</v>
      </c>
      <c r="P599" s="9">
        <v>18961</v>
      </c>
      <c r="Q599" s="124" t="str">
        <f t="shared" si="74"/>
        <v>FASE II</v>
      </c>
      <c r="R599" s="155">
        <f t="shared" si="69"/>
        <v>845</v>
      </c>
      <c r="S599" s="156">
        <f t="shared" si="72"/>
        <v>19759</v>
      </c>
      <c r="T599" s="156">
        <f t="shared" si="73"/>
        <v>16696355</v>
      </c>
    </row>
    <row r="600" spans="1:20" s="9" customFormat="1" ht="35.1" customHeight="1" x14ac:dyDescent="0.25">
      <c r="A600" s="215"/>
      <c r="B600" s="255" t="s">
        <v>850</v>
      </c>
      <c r="C600" s="254" t="s">
        <v>851</v>
      </c>
      <c r="D600" s="295" t="s">
        <v>13</v>
      </c>
      <c r="E600" s="242">
        <v>150</v>
      </c>
      <c r="F600" s="242">
        <v>55</v>
      </c>
      <c r="G600" s="242">
        <v>205</v>
      </c>
      <c r="H600" s="243">
        <v>77790</v>
      </c>
      <c r="I600" s="243">
        <f t="shared" si="70"/>
        <v>15946950</v>
      </c>
      <c r="J600" s="8"/>
      <c r="K600" s="8">
        <f t="shared" si="68"/>
        <v>77790</v>
      </c>
      <c r="L600" s="8">
        <f t="shared" si="71"/>
        <v>11668500</v>
      </c>
      <c r="M600" s="9" t="str">
        <f t="array" ref="M600:P600">_xlfn.XLOOKUP(C600,'Neiva 2022 FASE I ACTUAL (5)'!$C$6:$C$540,'Neiva 2022 FASE I ACTUAL (5)'!$C$6:$F$540,"NO ESTA")</f>
        <v>SUMINISTRO E INSTALACION DUCTOS EN LAMINA GALVANIZADA CAL. 20 Wrap UMAS</v>
      </c>
      <c r="N600" s="9" t="str">
        <v>M2</v>
      </c>
      <c r="O600" s="9">
        <v>55</v>
      </c>
      <c r="P600" s="9">
        <v>74652</v>
      </c>
      <c r="Q600" s="124" t="str">
        <f t="shared" si="74"/>
        <v>FASE II</v>
      </c>
      <c r="R600" s="155">
        <f t="shared" si="69"/>
        <v>205</v>
      </c>
      <c r="S600" s="156">
        <f t="shared" si="72"/>
        <v>77790</v>
      </c>
      <c r="T600" s="156">
        <f t="shared" si="73"/>
        <v>15946950</v>
      </c>
    </row>
    <row r="601" spans="1:20" s="9" customFormat="1" ht="35.1" customHeight="1" x14ac:dyDescent="0.25">
      <c r="A601" s="215"/>
      <c r="B601" s="255" t="s">
        <v>852</v>
      </c>
      <c r="C601" s="254" t="s">
        <v>853</v>
      </c>
      <c r="D601" s="295" t="s">
        <v>13</v>
      </c>
      <c r="E601" s="242">
        <v>150</v>
      </c>
      <c r="F601" s="242">
        <v>55</v>
      </c>
      <c r="G601" s="242">
        <v>205</v>
      </c>
      <c r="H601" s="243">
        <v>19759</v>
      </c>
      <c r="I601" s="243">
        <f t="shared" si="70"/>
        <v>4050595</v>
      </c>
      <c r="J601" s="8"/>
      <c r="K601" s="8">
        <f t="shared" si="68"/>
        <v>19759</v>
      </c>
      <c r="L601" s="8">
        <f t="shared" si="71"/>
        <v>2963850</v>
      </c>
      <c r="M601" s="9" t="str">
        <f t="array" ref="M601:P601">_xlfn.XLOOKUP(C601,'Neiva 2022 FASE I ACTUAL (5)'!$C$6:$C$540,'Neiva 2022 FASE I ACTUAL (5)'!$C$6:$F$540,"NO ESTA")</f>
        <v>SUMINISTRO E INSTALACION AISLAMIENTO DUCTOS EN DUCT WRAP UMAS</v>
      </c>
      <c r="N601" s="9" t="str">
        <v>M2</v>
      </c>
      <c r="O601" s="9">
        <v>55</v>
      </c>
      <c r="P601" s="9">
        <v>18961</v>
      </c>
      <c r="Q601" s="124" t="str">
        <f t="shared" si="74"/>
        <v>FASE II</v>
      </c>
      <c r="R601" s="155">
        <f t="shared" si="69"/>
        <v>205</v>
      </c>
      <c r="S601" s="156">
        <f t="shared" si="72"/>
        <v>19759</v>
      </c>
      <c r="T601" s="156">
        <f t="shared" si="73"/>
        <v>4050595</v>
      </c>
    </row>
    <row r="602" spans="1:20" s="9" customFormat="1" ht="35.1" customHeight="1" x14ac:dyDescent="0.25">
      <c r="A602" s="215"/>
      <c r="B602" s="255" t="s">
        <v>854</v>
      </c>
      <c r="C602" s="254" t="s">
        <v>855</v>
      </c>
      <c r="D602" s="240" t="s">
        <v>16</v>
      </c>
      <c r="E602" s="242">
        <v>24</v>
      </c>
      <c r="F602" s="242">
        <v>9</v>
      </c>
      <c r="G602" s="242">
        <v>33</v>
      </c>
      <c r="H602" s="243">
        <v>33912</v>
      </c>
      <c r="I602" s="243">
        <f t="shared" si="70"/>
        <v>1119096</v>
      </c>
      <c r="J602" s="8"/>
      <c r="K602" s="8">
        <f t="shared" si="68"/>
        <v>33912</v>
      </c>
      <c r="L602" s="8">
        <f t="shared" si="71"/>
        <v>813888</v>
      </c>
      <c r="M602" s="9" t="str">
        <f t="array" ref="M602:P602">_xlfn.XLOOKUP(C602,'Neiva 2022 FASE I ACTUAL (5)'!$C$6:$C$540,'Neiva 2022 FASE I ACTUAL (5)'!$C$6:$F$540,"NO ESTA")</f>
        <v>SUMINISTRO E INSTALACION ACOPLE FLEXIBLE DUCTOS - EQUIPOS</v>
      </c>
      <c r="N602" s="9" t="str">
        <v>UND</v>
      </c>
      <c r="O602" s="9">
        <v>9</v>
      </c>
      <c r="P602" s="9">
        <v>32544</v>
      </c>
      <c r="Q602" s="124" t="str">
        <f t="shared" si="74"/>
        <v>FASE II</v>
      </c>
      <c r="R602" s="155">
        <f t="shared" si="69"/>
        <v>33</v>
      </c>
      <c r="S602" s="156">
        <f t="shared" si="72"/>
        <v>33912</v>
      </c>
      <c r="T602" s="156">
        <f t="shared" si="73"/>
        <v>1119096</v>
      </c>
    </row>
    <row r="603" spans="1:20" s="9" customFormat="1" ht="35.1" customHeight="1" x14ac:dyDescent="0.25">
      <c r="A603" s="215"/>
      <c r="B603" s="244" t="s">
        <v>856</v>
      </c>
      <c r="C603" s="245" t="s">
        <v>857</v>
      </c>
      <c r="D603" s="260"/>
      <c r="E603" s="246"/>
      <c r="F603" s="246"/>
      <c r="G603" s="246"/>
      <c r="H603" s="246"/>
      <c r="I603" s="246"/>
      <c r="J603" s="8"/>
      <c r="K603" s="8">
        <f t="shared" si="68"/>
        <v>0</v>
      </c>
      <c r="L603" s="8">
        <f t="shared" si="71"/>
        <v>0</v>
      </c>
      <c r="M603" s="9" t="str">
        <f t="array" ref="M603:P603">_xlfn.XLOOKUP(C603,'Neiva 2022 FASE I ACTUAL (5)'!$C$6:$C$540,'Neiva 2022 FASE I ACTUAL (5)'!$C$6:$F$540,"NO ESTA")</f>
        <v>SUMINISTRO E INSTALACIÓN DIFUSORES Y REJILLAS</v>
      </c>
      <c r="N603" s="9">
        <v>0</v>
      </c>
      <c r="O603" s="9">
        <v>0</v>
      </c>
      <c r="P603" s="9">
        <v>0</v>
      </c>
      <c r="Q603" s="124">
        <f t="shared" si="74"/>
        <v>0</v>
      </c>
      <c r="R603" s="155">
        <f t="shared" si="69"/>
        <v>0</v>
      </c>
      <c r="S603" s="156">
        <f t="shared" si="72"/>
        <v>0</v>
      </c>
      <c r="T603" s="156">
        <f t="shared" si="73"/>
        <v>0</v>
      </c>
    </row>
    <row r="604" spans="1:20" s="9" customFormat="1" ht="35.1" customHeight="1" x14ac:dyDescent="0.25">
      <c r="A604" s="215"/>
      <c r="B604" s="240" t="s">
        <v>858</v>
      </c>
      <c r="C604" s="254" t="s">
        <v>859</v>
      </c>
      <c r="D604" s="240" t="s">
        <v>16</v>
      </c>
      <c r="E604" s="242">
        <v>82</v>
      </c>
      <c r="F604" s="242">
        <v>30</v>
      </c>
      <c r="G604" s="242">
        <v>112</v>
      </c>
      <c r="H604" s="243">
        <v>159725</v>
      </c>
      <c r="I604" s="243">
        <f t="shared" si="70"/>
        <v>17889200</v>
      </c>
      <c r="J604" s="8"/>
      <c r="K604" s="8">
        <f t="shared" si="68"/>
        <v>159725</v>
      </c>
      <c r="L604" s="8">
        <f t="shared" si="71"/>
        <v>13097450</v>
      </c>
      <c r="M604" s="9" t="str">
        <f t="array" ref="M604:P604">_xlfn.XLOOKUP(C604,'Neiva 2022 FASE I ACTUAL (5)'!$C$6:$C$540,'Neiva 2022 FASE I ACTUAL (5)'!$C$6:$F$540,"NO ESTA")</f>
        <v>SUMINISTRO E INSTALACION DIFUSORES SUMINISTRO DE 12" x 12" 4V (Tipo Descolgado) con Damper OB</v>
      </c>
      <c r="N604" s="9" t="str">
        <v>UND</v>
      </c>
      <c r="O604" s="9">
        <v>30</v>
      </c>
      <c r="P604" s="9">
        <v>153283</v>
      </c>
      <c r="Q604" s="124" t="str">
        <f t="shared" si="74"/>
        <v>FASE II</v>
      </c>
      <c r="R604" s="155">
        <f t="shared" si="69"/>
        <v>112</v>
      </c>
      <c r="S604" s="156">
        <f t="shared" si="72"/>
        <v>159725</v>
      </c>
      <c r="T604" s="156">
        <f t="shared" si="73"/>
        <v>17889200</v>
      </c>
    </row>
    <row r="605" spans="1:20" s="9" customFormat="1" ht="35.1" customHeight="1" x14ac:dyDescent="0.25">
      <c r="A605" s="215"/>
      <c r="B605" s="240" t="s">
        <v>860</v>
      </c>
      <c r="C605" s="254" t="s">
        <v>861</v>
      </c>
      <c r="D605" s="240" t="s">
        <v>16</v>
      </c>
      <c r="E605" s="242">
        <v>4</v>
      </c>
      <c r="F605" s="242">
        <v>2</v>
      </c>
      <c r="G605" s="242">
        <v>6</v>
      </c>
      <c r="H605" s="243">
        <v>111454</v>
      </c>
      <c r="I605" s="243">
        <f t="shared" si="70"/>
        <v>668724</v>
      </c>
      <c r="J605" s="8"/>
      <c r="K605" s="8">
        <f t="shared" si="68"/>
        <v>111454</v>
      </c>
      <c r="L605" s="8">
        <f t="shared" si="71"/>
        <v>445816</v>
      </c>
      <c r="M605" s="9" t="str">
        <f t="array" ref="M605:P605">_xlfn.XLOOKUP(C605,'Neiva 2022 FASE I ACTUAL (5)'!$C$6:$C$540,'Neiva 2022 FASE I ACTUAL (5)'!$C$6:$F$540,"NO ESTA")</f>
        <v>SUMINISTRO E INSTALACION DIFUSORES SUMINISTRO DE 9" x 9" 4V (Tipo Descolgado) con Damper OB</v>
      </c>
      <c r="N605" s="9" t="str">
        <v>UND</v>
      </c>
      <c r="O605" s="9">
        <v>2</v>
      </c>
      <c r="P605" s="9">
        <v>106960</v>
      </c>
      <c r="Q605" s="124" t="str">
        <f t="shared" si="74"/>
        <v>FASE II</v>
      </c>
      <c r="R605" s="155">
        <f t="shared" si="69"/>
        <v>6</v>
      </c>
      <c r="S605" s="156">
        <f t="shared" si="72"/>
        <v>111454</v>
      </c>
      <c r="T605" s="156">
        <f t="shared" si="73"/>
        <v>668724</v>
      </c>
    </row>
    <row r="606" spans="1:20" s="9" customFormat="1" ht="35.1" customHeight="1" x14ac:dyDescent="0.25">
      <c r="A606" s="215"/>
      <c r="B606" s="240" t="s">
        <v>862</v>
      </c>
      <c r="C606" s="254" t="s">
        <v>863</v>
      </c>
      <c r="D606" s="240" t="s">
        <v>16</v>
      </c>
      <c r="E606" s="242">
        <v>4</v>
      </c>
      <c r="F606" s="242">
        <v>1</v>
      </c>
      <c r="G606" s="242">
        <v>5</v>
      </c>
      <c r="H606" s="243">
        <v>235393</v>
      </c>
      <c r="I606" s="243">
        <f t="shared" si="70"/>
        <v>1176965</v>
      </c>
      <c r="J606" s="8"/>
      <c r="K606" s="8">
        <f t="shared" si="68"/>
        <v>235393</v>
      </c>
      <c r="L606" s="8">
        <f t="shared" si="71"/>
        <v>941572</v>
      </c>
      <c r="M606" s="9" t="str">
        <f t="array" ref="M606:P606">_xlfn.XLOOKUP(C606,'Neiva 2022 FASE I ACTUAL (5)'!$C$6:$C$540,'Neiva 2022 FASE I ACTUAL (5)'!$C$6:$F$540,"NO ESTA")</f>
        <v>SUMINISTRO E INSTALACION REJILLAS SUMINISTRO DE 48" X 12" (TIPO DOBLE ALETA) con Damper incluye EXTRACTORES DE AIRE</v>
      </c>
      <c r="N606" s="9" t="str">
        <v>UND</v>
      </c>
      <c r="O606" s="9">
        <v>1</v>
      </c>
      <c r="P606" s="9">
        <v>225899</v>
      </c>
      <c r="Q606" s="124" t="str">
        <f t="shared" si="74"/>
        <v>FASE II</v>
      </c>
      <c r="R606" s="155">
        <f t="shared" si="69"/>
        <v>5</v>
      </c>
      <c r="S606" s="156">
        <f t="shared" si="72"/>
        <v>235393</v>
      </c>
      <c r="T606" s="156">
        <f t="shared" si="73"/>
        <v>1176965</v>
      </c>
    </row>
    <row r="607" spans="1:20" s="9" customFormat="1" ht="35.1" customHeight="1" x14ac:dyDescent="0.25">
      <c r="A607" s="215"/>
      <c r="B607" s="240" t="s">
        <v>864</v>
      </c>
      <c r="C607" s="87" t="s">
        <v>865</v>
      </c>
      <c r="D607" s="240" t="s">
        <v>16</v>
      </c>
      <c r="E607" s="242">
        <v>2</v>
      </c>
      <c r="F607" s="242">
        <v>1</v>
      </c>
      <c r="G607" s="242">
        <v>3</v>
      </c>
      <c r="H607" s="243">
        <v>59270</v>
      </c>
      <c r="I607" s="243">
        <f t="shared" si="70"/>
        <v>177810</v>
      </c>
      <c r="J607" s="8"/>
      <c r="K607" s="8">
        <f t="shared" si="68"/>
        <v>59270</v>
      </c>
      <c r="L607" s="8">
        <f t="shared" si="71"/>
        <v>118540</v>
      </c>
      <c r="M607" s="9" t="str">
        <f t="array" ref="M607:P607">_xlfn.XLOOKUP(C607,'Neiva 2022 FASE I ACTUAL (5)'!$C$6:$C$540,'Neiva 2022 FASE I ACTUAL (5)'!$C$6:$F$540,"NO ESTA")</f>
        <v>SUMINISTRO E INSTALACION REJILLAS DE ACCESO/ RETORNO A FC DE 18" x 8" 160 CFM</v>
      </c>
      <c r="N607" s="9" t="str">
        <v>UND</v>
      </c>
      <c r="O607" s="9">
        <v>1</v>
      </c>
      <c r="P607" s="9">
        <v>56880</v>
      </c>
      <c r="Q607" s="124" t="str">
        <f t="shared" si="74"/>
        <v>FASE II</v>
      </c>
      <c r="R607" s="155">
        <f t="shared" si="69"/>
        <v>3</v>
      </c>
      <c r="S607" s="156">
        <f t="shared" si="72"/>
        <v>59270</v>
      </c>
      <c r="T607" s="156">
        <f t="shared" si="73"/>
        <v>177810</v>
      </c>
    </row>
    <row r="608" spans="1:20" s="9" customFormat="1" ht="35.1" customHeight="1" x14ac:dyDescent="0.25">
      <c r="A608" s="215"/>
      <c r="B608" s="240" t="s">
        <v>866</v>
      </c>
      <c r="C608" s="254" t="s">
        <v>867</v>
      </c>
      <c r="D608" s="240" t="s">
        <v>16</v>
      </c>
      <c r="E608" s="242">
        <v>12</v>
      </c>
      <c r="F608" s="242">
        <v>4</v>
      </c>
      <c r="G608" s="242">
        <v>16</v>
      </c>
      <c r="H608" s="243">
        <v>222347</v>
      </c>
      <c r="I608" s="243">
        <f t="shared" si="70"/>
        <v>3557552</v>
      </c>
      <c r="J608" s="8"/>
      <c r="K608" s="8">
        <f t="shared" si="68"/>
        <v>222347</v>
      </c>
      <c r="L608" s="8">
        <f t="shared" si="71"/>
        <v>2668164</v>
      </c>
      <c r="M608" s="9" t="str">
        <f t="array" ref="M608:P608">_xlfn.XLOOKUP(C608,'Neiva 2022 FASE I ACTUAL (5)'!$C$6:$C$540,'Neiva 2022 FASE I ACTUAL (5)'!$C$6:$F$540,"NO ESTA")</f>
        <v>SUMINISTRO E INSTALACION REJILLAS DE ACCESO/ RETORNO A FC DE 40" x 8"   320 CFM</v>
      </c>
      <c r="N608" s="9" t="str">
        <v>UND</v>
      </c>
      <c r="O608" s="9">
        <v>4</v>
      </c>
      <c r="P608" s="9">
        <v>213380</v>
      </c>
      <c r="Q608" s="124" t="str">
        <f t="shared" si="74"/>
        <v>FASE II</v>
      </c>
      <c r="R608" s="155">
        <f t="shared" si="69"/>
        <v>16</v>
      </c>
      <c r="S608" s="156">
        <f t="shared" si="72"/>
        <v>222347</v>
      </c>
      <c r="T608" s="156">
        <f t="shared" si="73"/>
        <v>3557552</v>
      </c>
    </row>
    <row r="609" spans="1:20" s="9" customFormat="1" ht="35.1" customHeight="1" x14ac:dyDescent="0.25">
      <c r="A609" s="215"/>
      <c r="B609" s="240" t="s">
        <v>868</v>
      </c>
      <c r="C609" s="254" t="s">
        <v>869</v>
      </c>
      <c r="D609" s="240" t="s">
        <v>16</v>
      </c>
      <c r="E609" s="242">
        <v>8</v>
      </c>
      <c r="F609" s="242">
        <v>3</v>
      </c>
      <c r="G609" s="242">
        <v>11</v>
      </c>
      <c r="H609" s="243">
        <v>235393</v>
      </c>
      <c r="I609" s="243">
        <f t="shared" si="70"/>
        <v>2589323</v>
      </c>
      <c r="J609" s="8"/>
      <c r="K609" s="8">
        <f t="shared" si="68"/>
        <v>235393</v>
      </c>
      <c r="L609" s="8">
        <f t="shared" si="71"/>
        <v>1883144</v>
      </c>
      <c r="M609" s="9" t="str">
        <f t="array" ref="M609:P609">_xlfn.XLOOKUP(C609,'Neiva 2022 FASE I ACTUAL (5)'!$C$6:$C$540,'Neiva 2022 FASE I ACTUAL (5)'!$C$6:$F$540,"NO ESTA")</f>
        <v>SUMINISTRO E INSTALACION REJILLAS DE ACCESO/ RETORNO A FC DE 48" x 12" 400 CFM</v>
      </c>
      <c r="N609" s="9" t="str">
        <v>UND</v>
      </c>
      <c r="O609" s="9">
        <v>3</v>
      </c>
      <c r="P609" s="9">
        <v>225899</v>
      </c>
      <c r="Q609" s="124" t="str">
        <f t="shared" si="74"/>
        <v>FASE II</v>
      </c>
      <c r="R609" s="155">
        <f t="shared" si="69"/>
        <v>11</v>
      </c>
      <c r="S609" s="156">
        <f t="shared" si="72"/>
        <v>235393</v>
      </c>
      <c r="T609" s="156">
        <f t="shared" si="73"/>
        <v>2589323</v>
      </c>
    </row>
    <row r="610" spans="1:20" s="9" customFormat="1" ht="35.1" customHeight="1" x14ac:dyDescent="0.25">
      <c r="A610" s="215"/>
      <c r="B610" s="240" t="s">
        <v>870</v>
      </c>
      <c r="C610" s="87" t="s">
        <v>871</v>
      </c>
      <c r="D610" s="240" t="s">
        <v>16</v>
      </c>
      <c r="E610" s="242">
        <v>1</v>
      </c>
      <c r="F610" s="242">
        <v>1</v>
      </c>
      <c r="G610" s="242">
        <v>2</v>
      </c>
      <c r="H610" s="243">
        <v>506752</v>
      </c>
      <c r="I610" s="243">
        <f t="shared" si="70"/>
        <v>1013504</v>
      </c>
      <c r="J610" s="8"/>
      <c r="K610" s="8">
        <f t="shared" si="68"/>
        <v>506752</v>
      </c>
      <c r="L610" s="8">
        <f t="shared" si="71"/>
        <v>506752</v>
      </c>
      <c r="M610" s="9" t="str">
        <f t="array" ref="M610:P610">_xlfn.XLOOKUP(C610,'Neiva 2022 FASE I ACTUAL (5)'!$C$6:$C$540,'Neiva 2022 FASE I ACTUAL (5)'!$C$6:$F$540,"NO ESTA")</f>
        <v>SUMINISTRO E INSTALACION REJILLAS DE ACCESO/ RETORNO A FC DE 48" x 20" 2400 CFM</v>
      </c>
      <c r="N610" s="9" t="str">
        <v>UND</v>
      </c>
      <c r="O610" s="9">
        <v>1</v>
      </c>
      <c r="P610" s="9">
        <v>486315</v>
      </c>
      <c r="Q610" s="124" t="str">
        <f t="shared" si="74"/>
        <v>FASE II</v>
      </c>
      <c r="R610" s="155">
        <f t="shared" si="69"/>
        <v>2</v>
      </c>
      <c r="S610" s="156">
        <f t="shared" si="72"/>
        <v>506752</v>
      </c>
      <c r="T610" s="156">
        <f t="shared" si="73"/>
        <v>1013504</v>
      </c>
    </row>
    <row r="611" spans="1:20" s="9" customFormat="1" ht="35.1" customHeight="1" x14ac:dyDescent="0.25">
      <c r="A611" s="215"/>
      <c r="B611" s="240" t="s">
        <v>872</v>
      </c>
      <c r="C611" s="87" t="s">
        <v>873</v>
      </c>
      <c r="D611" s="240" t="s">
        <v>16</v>
      </c>
      <c r="E611" s="242">
        <v>3</v>
      </c>
      <c r="F611" s="242">
        <v>1</v>
      </c>
      <c r="G611" s="242">
        <v>4</v>
      </c>
      <c r="H611" s="243">
        <v>450654</v>
      </c>
      <c r="I611" s="243">
        <f t="shared" si="70"/>
        <v>1802616</v>
      </c>
      <c r="J611" s="8"/>
      <c r="K611" s="8">
        <f t="shared" si="68"/>
        <v>450654</v>
      </c>
      <c r="L611" s="8">
        <f t="shared" si="71"/>
        <v>1351962</v>
      </c>
      <c r="M611" s="9" t="str">
        <f t="array" ref="M611:P611">_xlfn.XLOOKUP(C611,'Neiva 2022 FASE I ACTUAL (5)'!$C$6:$C$540,'Neiva 2022 FASE I ACTUAL (5)'!$C$6:$F$540,"NO ESTA")</f>
        <v>SUMINISTRO E INSTALACION REJILLAS DE ACCESO/ RETORNO A FC DE 48" x 24" 3600 CFM</v>
      </c>
      <c r="N611" s="9" t="str">
        <v>UND</v>
      </c>
      <c r="O611" s="9">
        <v>1</v>
      </c>
      <c r="P611" s="9">
        <v>432480</v>
      </c>
      <c r="Q611" s="124" t="str">
        <f t="shared" si="74"/>
        <v>FASE II</v>
      </c>
      <c r="R611" s="155">
        <f t="shared" si="69"/>
        <v>4</v>
      </c>
      <c r="S611" s="156">
        <f t="shared" si="72"/>
        <v>450654</v>
      </c>
      <c r="T611" s="156">
        <f t="shared" si="73"/>
        <v>1802616</v>
      </c>
    </row>
    <row r="612" spans="1:20" s="9" customFormat="1" ht="35.1" customHeight="1" x14ac:dyDescent="0.25">
      <c r="A612" s="215"/>
      <c r="B612" s="240" t="s">
        <v>874</v>
      </c>
      <c r="C612" s="254" t="s">
        <v>875</v>
      </c>
      <c r="D612" s="240" t="s">
        <v>16</v>
      </c>
      <c r="E612" s="242">
        <v>0</v>
      </c>
      <c r="F612" s="242">
        <v>1</v>
      </c>
      <c r="G612" s="242">
        <v>1</v>
      </c>
      <c r="H612" s="243">
        <v>24045</v>
      </c>
      <c r="I612" s="243">
        <f t="shared" si="70"/>
        <v>24045</v>
      </c>
      <c r="J612" s="8"/>
      <c r="K612" s="8">
        <f t="shared" si="68"/>
        <v>24045</v>
      </c>
      <c r="L612" s="8">
        <f t="shared" si="71"/>
        <v>0</v>
      </c>
      <c r="M612" s="9" t="str">
        <f t="array" ref="M612:P612">_xlfn.XLOOKUP(C612,'Neiva 2022 FASE I ACTUAL (5)'!$C$6:$C$540,'Neiva 2022 FASE I ACTUAL (5)'!$C$6:$F$540,"NO ESTA")</f>
        <v>SUMINISTRO E INSTALACION REJILLAS DE TOMA AIRE EXTERNO TAE 6" x 6"</v>
      </c>
      <c r="N612" s="9" t="str">
        <v>UND</v>
      </c>
      <c r="O612" s="9">
        <v>1</v>
      </c>
      <c r="P612" s="9">
        <v>23075</v>
      </c>
      <c r="Q612" s="124" t="str">
        <f t="shared" si="74"/>
        <v>FASE II</v>
      </c>
      <c r="R612" s="155">
        <f t="shared" si="69"/>
        <v>1</v>
      </c>
      <c r="S612" s="156">
        <f t="shared" si="72"/>
        <v>24045</v>
      </c>
      <c r="T612" s="156">
        <f t="shared" si="73"/>
        <v>24045</v>
      </c>
    </row>
    <row r="613" spans="1:20" s="9" customFormat="1" ht="35.1" customHeight="1" x14ac:dyDescent="0.25">
      <c r="A613" s="215"/>
      <c r="B613" s="240" t="s">
        <v>876</v>
      </c>
      <c r="C613" s="254" t="s">
        <v>877</v>
      </c>
      <c r="D613" s="240" t="s">
        <v>16</v>
      </c>
      <c r="E613" s="242">
        <v>0</v>
      </c>
      <c r="F613" s="242">
        <v>1</v>
      </c>
      <c r="G613" s="242">
        <v>1</v>
      </c>
      <c r="H613" s="243">
        <v>33177</v>
      </c>
      <c r="I613" s="243">
        <f t="shared" si="70"/>
        <v>33177</v>
      </c>
      <c r="J613" s="8"/>
      <c r="K613" s="8">
        <f t="shared" si="68"/>
        <v>33177</v>
      </c>
      <c r="L613" s="8">
        <f t="shared" si="71"/>
        <v>0</v>
      </c>
      <c r="M613" s="9" t="str">
        <f t="array" ref="M613:P613">_xlfn.XLOOKUP(C613,'Neiva 2022 FASE I ACTUAL (5)'!$C$6:$C$540,'Neiva 2022 FASE I ACTUAL (5)'!$C$6:$F$540,"NO ESTA")</f>
        <v>SUMINISTRO E INSTALACION REJILLAS DE TOMA AIRE EXTERNO TAE 10" x 8"</v>
      </c>
      <c r="N613" s="9" t="str">
        <v>UND</v>
      </c>
      <c r="O613" s="9">
        <v>1</v>
      </c>
      <c r="P613" s="9">
        <v>31839</v>
      </c>
      <c r="Q613" s="124" t="str">
        <f t="shared" si="74"/>
        <v>FASE II</v>
      </c>
      <c r="R613" s="155">
        <f t="shared" si="69"/>
        <v>1</v>
      </c>
      <c r="S613" s="156">
        <f t="shared" si="72"/>
        <v>33177</v>
      </c>
      <c r="T613" s="156">
        <f t="shared" si="73"/>
        <v>33177</v>
      </c>
    </row>
    <row r="614" spans="1:20" s="9" customFormat="1" ht="35.1" customHeight="1" x14ac:dyDescent="0.25">
      <c r="A614" s="215"/>
      <c r="B614" s="240" t="s">
        <v>878</v>
      </c>
      <c r="C614" s="254" t="s">
        <v>879</v>
      </c>
      <c r="D614" s="240" t="s">
        <v>16</v>
      </c>
      <c r="E614" s="242">
        <v>16</v>
      </c>
      <c r="F614" s="242">
        <v>6</v>
      </c>
      <c r="G614" s="242">
        <v>22</v>
      </c>
      <c r="H614" s="243">
        <v>46224</v>
      </c>
      <c r="I614" s="243">
        <f t="shared" si="70"/>
        <v>1016928</v>
      </c>
      <c r="J614" s="8"/>
      <c r="K614" s="8">
        <f t="shared" si="68"/>
        <v>46224</v>
      </c>
      <c r="L614" s="8">
        <f t="shared" si="71"/>
        <v>739584</v>
      </c>
      <c r="M614" s="9" t="str">
        <f t="array" ref="M614:P614">_xlfn.XLOOKUP(C614,'Neiva 2022 FASE I ACTUAL (5)'!$C$6:$C$540,'Neiva 2022 FASE I ACTUAL (5)'!$C$6:$F$540,"NO ESTA")</f>
        <v>SUMINISTRO E INSTALACION REJILLAS DE TOMA AIRE EXTERNO TAE 12" x 8"</v>
      </c>
      <c r="N614" s="9" t="str">
        <v>UND</v>
      </c>
      <c r="O614" s="9">
        <v>6</v>
      </c>
      <c r="P614" s="9">
        <v>44360</v>
      </c>
      <c r="Q614" s="124" t="str">
        <f t="shared" si="74"/>
        <v>FASE II</v>
      </c>
      <c r="R614" s="155">
        <f t="shared" si="69"/>
        <v>22</v>
      </c>
      <c r="S614" s="156">
        <f t="shared" si="72"/>
        <v>46224</v>
      </c>
      <c r="T614" s="156">
        <f t="shared" si="73"/>
        <v>1016928</v>
      </c>
    </row>
    <row r="615" spans="1:20" s="9" customFormat="1" ht="35.1" customHeight="1" x14ac:dyDescent="0.25">
      <c r="A615" s="215"/>
      <c r="B615" s="240" t="s">
        <v>880</v>
      </c>
      <c r="C615" s="254" t="s">
        <v>881</v>
      </c>
      <c r="D615" s="240" t="s">
        <v>16</v>
      </c>
      <c r="E615" s="242">
        <v>2</v>
      </c>
      <c r="F615" s="242">
        <v>1</v>
      </c>
      <c r="G615" s="242">
        <v>3</v>
      </c>
      <c r="H615" s="243">
        <v>59270</v>
      </c>
      <c r="I615" s="243">
        <f t="shared" si="70"/>
        <v>177810</v>
      </c>
      <c r="J615" s="8"/>
      <c r="K615" s="8">
        <f t="shared" si="68"/>
        <v>59270</v>
      </c>
      <c r="L615" s="8">
        <f t="shared" si="71"/>
        <v>118540</v>
      </c>
      <c r="M615" s="9" t="str">
        <f t="array" ref="M615:P615">_xlfn.XLOOKUP(C615,'Neiva 2022 FASE I ACTUAL (5)'!$C$6:$C$540,'Neiva 2022 FASE I ACTUAL (5)'!$C$6:$F$540,"NO ESTA")</f>
        <v>SUMINISTRO E INSTALACION REJILLAS DE TOMA AIRE EXTERNO TAE 18" x 8"</v>
      </c>
      <c r="N615" s="9" t="str">
        <v>UND</v>
      </c>
      <c r="O615" s="9">
        <v>1</v>
      </c>
      <c r="P615" s="9">
        <v>56880</v>
      </c>
      <c r="Q615" s="124" t="str">
        <f t="shared" si="74"/>
        <v>FASE II</v>
      </c>
      <c r="R615" s="155">
        <f t="shared" si="69"/>
        <v>3</v>
      </c>
      <c r="S615" s="156">
        <f t="shared" si="72"/>
        <v>59270</v>
      </c>
      <c r="T615" s="156">
        <f t="shared" si="73"/>
        <v>177810</v>
      </c>
    </row>
    <row r="616" spans="1:20" s="9" customFormat="1" ht="35.1" customHeight="1" x14ac:dyDescent="0.25">
      <c r="A616" s="215"/>
      <c r="B616" s="240" t="s">
        <v>882</v>
      </c>
      <c r="C616" s="254" t="s">
        <v>1333</v>
      </c>
      <c r="D616" s="240" t="s">
        <v>16</v>
      </c>
      <c r="E616" s="242">
        <v>0</v>
      </c>
      <c r="F616" s="242">
        <v>1</v>
      </c>
      <c r="G616" s="242">
        <f>+F616+E616</f>
        <v>1</v>
      </c>
      <c r="H616" s="243">
        <v>587638</v>
      </c>
      <c r="I616" s="243">
        <f t="shared" si="70"/>
        <v>587638</v>
      </c>
      <c r="J616" s="8"/>
      <c r="K616" s="8">
        <f t="shared" si="68"/>
        <v>587638</v>
      </c>
      <c r="L616" s="8">
        <f t="shared" si="71"/>
        <v>0</v>
      </c>
      <c r="M616" s="9" t="str">
        <f t="array" ref="M616">_xlfn.XLOOKUP(C616,'Neiva 2022 FASE I ACTUAL (5)'!$C$6:$C$540,'Neiva 2022 FASE I ACTUAL (5)'!$C$6:$F$540,"NO ESTA")</f>
        <v>NO ESTA</v>
      </c>
      <c r="Q616" s="124">
        <f t="shared" si="74"/>
        <v>0</v>
      </c>
      <c r="R616" s="155">
        <f t="shared" si="69"/>
        <v>0</v>
      </c>
      <c r="S616" s="156">
        <f t="shared" si="72"/>
        <v>587638</v>
      </c>
      <c r="T616" s="156">
        <f t="shared" si="73"/>
        <v>0</v>
      </c>
    </row>
    <row r="617" spans="1:20" s="9" customFormat="1" ht="35.1" customHeight="1" x14ac:dyDescent="0.25">
      <c r="A617" s="215"/>
      <c r="B617" s="240" t="s">
        <v>884</v>
      </c>
      <c r="C617" s="254" t="s">
        <v>1334</v>
      </c>
      <c r="D617" s="240" t="s">
        <v>16</v>
      </c>
      <c r="E617" s="242">
        <v>0</v>
      </c>
      <c r="F617" s="242">
        <v>1</v>
      </c>
      <c r="G617" s="242">
        <f>+F617+E617</f>
        <v>1</v>
      </c>
      <c r="H617" s="243">
        <v>678399</v>
      </c>
      <c r="I617" s="243">
        <f t="shared" si="70"/>
        <v>678399</v>
      </c>
      <c r="J617" s="8"/>
      <c r="K617" s="8">
        <f t="shared" si="68"/>
        <v>678399</v>
      </c>
      <c r="L617" s="8">
        <f t="shared" si="71"/>
        <v>0</v>
      </c>
      <c r="M617" s="9" t="str">
        <f t="array" ref="M617">_xlfn.XLOOKUP(C617,'Neiva 2022 FASE I ACTUAL (5)'!$C$6:$C$540,'Neiva 2022 FASE I ACTUAL (5)'!$C$6:$F$540,"NO ESTA")</f>
        <v>NO ESTA</v>
      </c>
      <c r="Q617" s="124">
        <f t="shared" si="74"/>
        <v>0</v>
      </c>
      <c r="R617" s="155">
        <f t="shared" si="69"/>
        <v>0</v>
      </c>
      <c r="S617" s="156">
        <f t="shared" si="72"/>
        <v>678399</v>
      </c>
      <c r="T617" s="156">
        <f t="shared" si="73"/>
        <v>0</v>
      </c>
    </row>
    <row r="618" spans="1:20" s="9" customFormat="1" ht="35.1" customHeight="1" x14ac:dyDescent="0.25">
      <c r="A618" s="215"/>
      <c r="B618" s="244" t="s">
        <v>886</v>
      </c>
      <c r="C618" s="256" t="s">
        <v>887</v>
      </c>
      <c r="D618" s="256"/>
      <c r="E618" s="246"/>
      <c r="F618" s="246"/>
      <c r="G618" s="246"/>
      <c r="H618" s="246"/>
      <c r="I618" s="246"/>
      <c r="J618" s="8"/>
      <c r="K618" s="8">
        <f t="shared" si="68"/>
        <v>0</v>
      </c>
      <c r="L618" s="8">
        <f t="shared" si="71"/>
        <v>0</v>
      </c>
      <c r="M618" s="9" t="str">
        <f t="array" ref="M618:P618">_xlfn.XLOOKUP(C618,'Neiva 2022 FASE I ACTUAL (5)'!$C$6:$C$540,'Neiva 2022 FASE I ACTUAL (5)'!$C$6:$F$540,"NO ESTA")</f>
        <v>SUMINSITRO, MONTAJE E INSTALACIÓN DE VENTILACIÓN MECANICA</v>
      </c>
      <c r="N618" s="9">
        <v>0</v>
      </c>
      <c r="O618" s="9">
        <v>0</v>
      </c>
      <c r="P618" s="9">
        <v>0</v>
      </c>
      <c r="Q618" s="124">
        <f t="shared" si="74"/>
        <v>0</v>
      </c>
      <c r="R618" s="155">
        <f t="shared" si="69"/>
        <v>0</v>
      </c>
      <c r="S618" s="156">
        <f t="shared" si="72"/>
        <v>0</v>
      </c>
      <c r="T618" s="156">
        <f t="shared" si="73"/>
        <v>0</v>
      </c>
    </row>
    <row r="619" spans="1:20" s="9" customFormat="1" ht="35.1" customHeight="1" x14ac:dyDescent="0.25">
      <c r="A619" s="215"/>
      <c r="B619" s="255" t="s">
        <v>1335</v>
      </c>
      <c r="C619" s="254" t="s">
        <v>1336</v>
      </c>
      <c r="D619" s="240" t="s">
        <v>16</v>
      </c>
      <c r="E619" s="242">
        <v>1</v>
      </c>
      <c r="F619" s="242"/>
      <c r="G619" s="242">
        <v>1</v>
      </c>
      <c r="H619" s="243">
        <v>11416008</v>
      </c>
      <c r="I619" s="243">
        <f t="shared" si="70"/>
        <v>11416008</v>
      </c>
      <c r="J619" s="8"/>
      <c r="K619" s="8">
        <f t="shared" si="68"/>
        <v>11416008</v>
      </c>
      <c r="L619" s="8">
        <f t="shared" si="71"/>
        <v>11416008</v>
      </c>
      <c r="M619" s="9" t="str">
        <f t="array" ref="M619">_xlfn.XLOOKUP(C619,'Neiva 2022 FASE I ACTUAL (5)'!$C$6:$C$540,'Neiva 2022 FASE I ACTUAL (5)'!$C$6:$F$540,"NO ESTA")</f>
        <v>NO ESTA</v>
      </c>
      <c r="Q619" s="124">
        <f t="shared" si="74"/>
        <v>0</v>
      </c>
      <c r="R619" s="155">
        <f t="shared" si="69"/>
        <v>1</v>
      </c>
      <c r="S619" s="156">
        <f t="shared" si="72"/>
        <v>11416008</v>
      </c>
      <c r="T619" s="156">
        <f t="shared" si="73"/>
        <v>11416008</v>
      </c>
    </row>
    <row r="620" spans="1:20" s="9" customFormat="1" ht="35.1" customHeight="1" x14ac:dyDescent="0.25">
      <c r="A620" s="215"/>
      <c r="B620" s="255" t="s">
        <v>1337</v>
      </c>
      <c r="C620" s="254" t="s">
        <v>1338</v>
      </c>
      <c r="D620" s="240" t="s">
        <v>16</v>
      </c>
      <c r="E620" s="242">
        <v>1</v>
      </c>
      <c r="F620" s="242"/>
      <c r="G620" s="242">
        <v>1</v>
      </c>
      <c r="H620" s="243">
        <v>9850473</v>
      </c>
      <c r="I620" s="243">
        <f t="shared" si="70"/>
        <v>9850473</v>
      </c>
      <c r="J620" s="8"/>
      <c r="K620" s="8">
        <f t="shared" si="68"/>
        <v>9850473</v>
      </c>
      <c r="L620" s="8">
        <f t="shared" si="71"/>
        <v>9850473</v>
      </c>
      <c r="M620" s="9" t="str">
        <f t="array" ref="M620">_xlfn.XLOOKUP(C620,'Neiva 2022 FASE I ACTUAL (5)'!$C$6:$C$540,'Neiva 2022 FASE I ACTUAL (5)'!$C$6:$F$540,"NO ESTA")</f>
        <v>NO ESTA</v>
      </c>
      <c r="Q620" s="124">
        <f t="shared" si="74"/>
        <v>0</v>
      </c>
      <c r="R620" s="155">
        <f t="shared" si="69"/>
        <v>1</v>
      </c>
      <c r="S620" s="156">
        <f t="shared" si="72"/>
        <v>9850473</v>
      </c>
      <c r="T620" s="156">
        <f t="shared" si="73"/>
        <v>9850473</v>
      </c>
    </row>
    <row r="621" spans="1:20" s="9" customFormat="1" ht="35.1" customHeight="1" x14ac:dyDescent="0.25">
      <c r="A621" s="215"/>
      <c r="B621" s="255" t="s">
        <v>888</v>
      </c>
      <c r="C621" s="254" t="s">
        <v>851</v>
      </c>
      <c r="D621" s="295" t="s">
        <v>13</v>
      </c>
      <c r="E621" s="242">
        <v>88</v>
      </c>
      <c r="F621" s="242">
        <v>55</v>
      </c>
      <c r="G621" s="242">
        <v>143</v>
      </c>
      <c r="H621" s="243">
        <v>91410</v>
      </c>
      <c r="I621" s="243">
        <f t="shared" si="70"/>
        <v>13071630</v>
      </c>
      <c r="J621" s="8"/>
      <c r="K621" s="8">
        <f t="shared" si="68"/>
        <v>91410</v>
      </c>
      <c r="L621" s="8">
        <f t="shared" si="71"/>
        <v>8044080</v>
      </c>
      <c r="M621" s="9" t="str">
        <f t="array" ref="M621:P621">_xlfn.XLOOKUP(C621,'Neiva 2022 FASE I ACTUAL (5)'!$C$6:$C$540,'Neiva 2022 FASE I ACTUAL (5)'!$C$6:$F$540,"NO ESTA")</f>
        <v>SUMINISTRO E INSTALACION DUCTOS EN LAMINA GALVANIZADA CAL. 20 Wrap UMAS</v>
      </c>
      <c r="N621" s="9" t="str">
        <v>M2</v>
      </c>
      <c r="O621" s="9">
        <v>55</v>
      </c>
      <c r="P621" s="9">
        <v>74652</v>
      </c>
      <c r="Q621" s="124" t="str">
        <f t="shared" si="74"/>
        <v>FASE II</v>
      </c>
      <c r="R621" s="155">
        <f t="shared" si="69"/>
        <v>143</v>
      </c>
      <c r="S621" s="156">
        <f t="shared" si="72"/>
        <v>91410</v>
      </c>
      <c r="T621" s="156">
        <f t="shared" si="73"/>
        <v>13071630</v>
      </c>
    </row>
    <row r="622" spans="1:20" s="9" customFormat="1" ht="35.1" customHeight="1" x14ac:dyDescent="0.25">
      <c r="A622" s="215"/>
      <c r="B622" s="255" t="s">
        <v>889</v>
      </c>
      <c r="C622" s="254" t="s">
        <v>890</v>
      </c>
      <c r="D622" s="295" t="s">
        <v>13</v>
      </c>
      <c r="E622" s="242">
        <v>191</v>
      </c>
      <c r="F622" s="242">
        <v>71</v>
      </c>
      <c r="G622" s="242">
        <v>262</v>
      </c>
      <c r="H622" s="243">
        <v>84888</v>
      </c>
      <c r="I622" s="243">
        <f t="shared" si="70"/>
        <v>22240656</v>
      </c>
      <c r="J622" s="8"/>
      <c r="K622" s="8">
        <f t="shared" si="68"/>
        <v>84888</v>
      </c>
      <c r="L622" s="8">
        <f t="shared" si="71"/>
        <v>16213608</v>
      </c>
      <c r="M622" s="9" t="str">
        <f t="array" ref="M622:P622">_xlfn.XLOOKUP(C622,'Neiva 2022 FASE I ACTUAL (5)'!$C$6:$C$540,'Neiva 2022 FASE I ACTUAL (5)'!$C$6:$F$540,"NO ESTA")</f>
        <v>SUMINISTRO E INSTALACION DUCTOS EN LAMINA GALVANIZADA CAL. 22 Wrap UMAS</v>
      </c>
      <c r="N622" s="9" t="str">
        <v>M2</v>
      </c>
      <c r="O622" s="9">
        <v>71</v>
      </c>
      <c r="P622" s="9">
        <v>81464</v>
      </c>
      <c r="Q622" s="124" t="str">
        <f t="shared" si="74"/>
        <v>FASE II</v>
      </c>
      <c r="R622" s="155">
        <f t="shared" si="69"/>
        <v>262</v>
      </c>
      <c r="S622" s="156">
        <f t="shared" si="72"/>
        <v>84888</v>
      </c>
      <c r="T622" s="156">
        <f t="shared" si="73"/>
        <v>22240656</v>
      </c>
    </row>
    <row r="623" spans="1:20" s="9" customFormat="1" ht="35.1" customHeight="1" x14ac:dyDescent="0.25">
      <c r="A623" s="215"/>
      <c r="B623" s="255" t="s">
        <v>891</v>
      </c>
      <c r="C623" s="254" t="s">
        <v>892</v>
      </c>
      <c r="D623" s="240" t="s">
        <v>16</v>
      </c>
      <c r="E623" s="242">
        <v>2</v>
      </c>
      <c r="F623" s="242">
        <v>1</v>
      </c>
      <c r="G623" s="242">
        <v>3</v>
      </c>
      <c r="H623" s="243">
        <v>506169</v>
      </c>
      <c r="I623" s="243">
        <f t="shared" si="70"/>
        <v>1518507</v>
      </c>
      <c r="J623" s="8"/>
      <c r="K623" s="8">
        <f t="shared" si="68"/>
        <v>506169</v>
      </c>
      <c r="L623" s="8">
        <f t="shared" si="71"/>
        <v>1012338</v>
      </c>
      <c r="M623" s="9" t="str">
        <f t="array" ref="M623:P623">_xlfn.XLOOKUP(C623,'Neiva 2022 FASE I ACTUAL (5)'!$C$6:$C$540,'Neiva 2022 FASE I ACTUAL (5)'!$C$6:$F$540,"NO ESTA")</f>
        <v>SUMINISTRO E INSTALACION BANCO DE FILTROS</v>
      </c>
      <c r="N623" s="9" t="str">
        <v>UND</v>
      </c>
      <c r="O623" s="9">
        <v>1</v>
      </c>
      <c r="P623" s="9">
        <v>485756</v>
      </c>
      <c r="Q623" s="124" t="str">
        <f t="shared" si="74"/>
        <v>FASE II</v>
      </c>
      <c r="R623" s="155">
        <f t="shared" si="69"/>
        <v>3</v>
      </c>
      <c r="S623" s="156">
        <f t="shared" si="72"/>
        <v>506169</v>
      </c>
      <c r="T623" s="156">
        <f t="shared" si="73"/>
        <v>1518507</v>
      </c>
    </row>
    <row r="624" spans="1:20" s="9" customFormat="1" ht="35.1" customHeight="1" x14ac:dyDescent="0.25">
      <c r="A624" s="215"/>
      <c r="B624" s="244" t="s">
        <v>893</v>
      </c>
      <c r="C624" s="256" t="s">
        <v>894</v>
      </c>
      <c r="D624" s="256"/>
      <c r="E624" s="246"/>
      <c r="F624" s="246"/>
      <c r="G624" s="246"/>
      <c r="H624" s="246"/>
      <c r="I624" s="246"/>
      <c r="J624" s="8"/>
      <c r="K624" s="8">
        <f t="shared" si="68"/>
        <v>0</v>
      </c>
      <c r="L624" s="8">
        <f t="shared" si="71"/>
        <v>0</v>
      </c>
      <c r="M624" s="9" t="str">
        <f t="array" ref="M624:P624">_xlfn.XLOOKUP(C624,'Neiva 2022 FASE I ACTUAL (5)'!$C$6:$C$540,'Neiva 2022 FASE I ACTUAL (5)'!$C$6:$F$540,"NO ESTA")</f>
        <v>SUMNISTRO, INSTALACION Y MONTAJE CONTROL</v>
      </c>
      <c r="N624" s="9">
        <v>0</v>
      </c>
      <c r="O624" s="9">
        <v>0</v>
      </c>
      <c r="P624" s="9">
        <v>0</v>
      </c>
      <c r="Q624" s="124">
        <f t="shared" si="74"/>
        <v>0</v>
      </c>
      <c r="R624" s="155">
        <f t="shared" si="69"/>
        <v>0</v>
      </c>
      <c r="S624" s="156">
        <f t="shared" si="72"/>
        <v>0</v>
      </c>
      <c r="T624" s="156">
        <f t="shared" si="73"/>
        <v>0</v>
      </c>
    </row>
    <row r="625" spans="1:20" s="9" customFormat="1" ht="35.1" customHeight="1" x14ac:dyDescent="0.25">
      <c r="A625" s="215"/>
      <c r="B625" s="240" t="s">
        <v>1339</v>
      </c>
      <c r="C625" s="254" t="s">
        <v>1340</v>
      </c>
      <c r="D625" s="240" t="s">
        <v>16</v>
      </c>
      <c r="E625" s="242">
        <v>2</v>
      </c>
      <c r="F625" s="242"/>
      <c r="G625" s="242">
        <v>2</v>
      </c>
      <c r="H625" s="243">
        <v>11784773</v>
      </c>
      <c r="I625" s="243">
        <f t="shared" si="70"/>
        <v>23569546</v>
      </c>
      <c r="J625" s="8"/>
      <c r="K625" s="8">
        <f t="shared" ref="K625:K688" si="75">+ROUND(H625*(1+$K$4),0)</f>
        <v>11784773</v>
      </c>
      <c r="L625" s="8">
        <f t="shared" si="71"/>
        <v>23569546</v>
      </c>
      <c r="M625" s="9" t="str">
        <f t="array" ref="M625">_xlfn.XLOOKUP(C625,'Neiva 2022 FASE I ACTUAL (5)'!$C$6:$C$540,'Neiva 2022 FASE I ACTUAL (5)'!$C$6:$F$540,"NO ESTA")</f>
        <v>NO ESTA</v>
      </c>
      <c r="Q625" s="124">
        <f t="shared" si="74"/>
        <v>0</v>
      </c>
      <c r="R625" s="155">
        <f t="shared" si="69"/>
        <v>2</v>
      </c>
      <c r="S625" s="156">
        <f t="shared" si="72"/>
        <v>11784773</v>
      </c>
      <c r="T625" s="156">
        <f t="shared" si="73"/>
        <v>23569546</v>
      </c>
    </row>
    <row r="626" spans="1:20" s="9" customFormat="1" ht="35.1" customHeight="1" x14ac:dyDescent="0.25">
      <c r="A626" s="215"/>
      <c r="B626" s="240" t="s">
        <v>895</v>
      </c>
      <c r="C626" s="254" t="s">
        <v>896</v>
      </c>
      <c r="D626" s="240" t="s">
        <v>16</v>
      </c>
      <c r="E626" s="242">
        <v>1</v>
      </c>
      <c r="F626" s="242">
        <v>1</v>
      </c>
      <c r="G626" s="242">
        <v>2</v>
      </c>
      <c r="H626" s="243">
        <v>2009001</v>
      </c>
      <c r="I626" s="243">
        <f t="shared" si="70"/>
        <v>4018002</v>
      </c>
      <c r="J626" s="8"/>
      <c r="K626" s="8">
        <f t="shared" si="75"/>
        <v>2009001</v>
      </c>
      <c r="L626" s="8">
        <f t="shared" si="71"/>
        <v>2009001</v>
      </c>
      <c r="M626" s="9" t="str">
        <f t="array" ref="M626:P626">_xlfn.XLOOKUP(C626,'Neiva 2022 FASE I ACTUAL (5)'!$C$6:$C$540,'Neiva 2022 FASE I ACTUAL (5)'!$C$6:$F$540,"NO ESTA")</f>
        <v>SUMINISTRO E INSTALACION VALVULA BYPASS 2"</v>
      </c>
      <c r="N626" s="9" t="str">
        <v>UND</v>
      </c>
      <c r="O626" s="9">
        <v>1</v>
      </c>
      <c r="P626" s="9">
        <v>1927980</v>
      </c>
      <c r="Q626" s="124" t="str">
        <f t="shared" si="74"/>
        <v>FASE II</v>
      </c>
      <c r="R626" s="155">
        <f t="shared" si="69"/>
        <v>2</v>
      </c>
      <c r="S626" s="156">
        <f t="shared" si="72"/>
        <v>2009001</v>
      </c>
      <c r="T626" s="156">
        <f t="shared" si="73"/>
        <v>4018002</v>
      </c>
    </row>
    <row r="627" spans="1:20" s="9" customFormat="1" ht="35.1" customHeight="1" x14ac:dyDescent="0.25">
      <c r="A627" s="215"/>
      <c r="B627" s="240" t="s">
        <v>897</v>
      </c>
      <c r="C627" s="254" t="s">
        <v>898</v>
      </c>
      <c r="D627" s="240" t="s">
        <v>16</v>
      </c>
      <c r="E627" s="242">
        <v>2</v>
      </c>
      <c r="F627" s="242">
        <v>2</v>
      </c>
      <c r="G627" s="242">
        <v>4</v>
      </c>
      <c r="H627" s="243">
        <v>1226284</v>
      </c>
      <c r="I627" s="243">
        <f t="shared" si="70"/>
        <v>4905136</v>
      </c>
      <c r="J627" s="8"/>
      <c r="K627" s="8">
        <f t="shared" si="75"/>
        <v>1226284</v>
      </c>
      <c r="L627" s="8">
        <f t="shared" si="71"/>
        <v>2452568</v>
      </c>
      <c r="M627" s="9" t="str">
        <f t="array" ref="M627:P627">_xlfn.XLOOKUP(C627,'Neiva 2022 FASE I ACTUAL (5)'!$C$6:$C$540,'Neiva 2022 FASE I ACTUAL (5)'!$C$6:$F$540,"NO ESTA")</f>
        <v>SUMINISTRO E INSTALACION SENSOR DIFERENCIAL DE PRESIÓN SISTEMA AGUA FRIA</v>
      </c>
      <c r="N627" s="9" t="str">
        <v>UND</v>
      </c>
      <c r="O627" s="9">
        <v>2</v>
      </c>
      <c r="P627" s="9">
        <v>1176830</v>
      </c>
      <c r="Q627" s="124" t="str">
        <f t="shared" si="74"/>
        <v>FASE II</v>
      </c>
      <c r="R627" s="155">
        <f t="shared" si="69"/>
        <v>4</v>
      </c>
      <c r="S627" s="156">
        <f t="shared" si="72"/>
        <v>1226284</v>
      </c>
      <c r="T627" s="156">
        <f t="shared" si="73"/>
        <v>4905136</v>
      </c>
    </row>
    <row r="628" spans="1:20" s="9" customFormat="1" ht="35.1" customHeight="1" x14ac:dyDescent="0.25">
      <c r="A628" s="215"/>
      <c r="B628" s="240" t="s">
        <v>899</v>
      </c>
      <c r="C628" s="254" t="s">
        <v>900</v>
      </c>
      <c r="D628" s="240" t="s">
        <v>16</v>
      </c>
      <c r="E628" s="242">
        <v>1</v>
      </c>
      <c r="F628" s="242">
        <v>1</v>
      </c>
      <c r="G628" s="242">
        <v>2</v>
      </c>
      <c r="H628" s="243">
        <v>881213</v>
      </c>
      <c r="I628" s="243">
        <f t="shared" si="70"/>
        <v>1762426</v>
      </c>
      <c r="J628" s="8"/>
      <c r="K628" s="8">
        <f t="shared" si="75"/>
        <v>881213</v>
      </c>
      <c r="L628" s="8">
        <f t="shared" si="71"/>
        <v>881213</v>
      </c>
      <c r="M628" s="9" t="str">
        <f t="array" ref="M628:P628">_xlfn.XLOOKUP(C628,'Neiva 2022 FASE I ACTUAL (5)'!$C$6:$C$540,'Neiva 2022 FASE I ACTUAL (5)'!$C$6:$F$540,"NO ESTA")</f>
        <v>SUMINISTRO E INSTALACION SENSOR DIFERENCIAL DE PRESIÓN SISTEMA AIRE UMAS</v>
      </c>
      <c r="N628" s="9" t="str">
        <v>UND</v>
      </c>
      <c r="O628" s="9">
        <v>1</v>
      </c>
      <c r="P628" s="9">
        <v>845675</v>
      </c>
      <c r="Q628" s="124" t="str">
        <f t="shared" si="74"/>
        <v>FASE II</v>
      </c>
      <c r="R628" s="155">
        <f t="shared" si="69"/>
        <v>2</v>
      </c>
      <c r="S628" s="156">
        <f t="shared" si="72"/>
        <v>881213</v>
      </c>
      <c r="T628" s="156">
        <f t="shared" si="73"/>
        <v>1762426</v>
      </c>
    </row>
    <row r="629" spans="1:20" s="9" customFormat="1" ht="35.1" customHeight="1" x14ac:dyDescent="0.25">
      <c r="A629" s="215"/>
      <c r="B629" s="240" t="s">
        <v>901</v>
      </c>
      <c r="C629" s="254" t="s">
        <v>902</v>
      </c>
      <c r="D629" s="240" t="s">
        <v>16</v>
      </c>
      <c r="E629" s="242">
        <v>2</v>
      </c>
      <c r="F629" s="242">
        <v>1</v>
      </c>
      <c r="G629" s="242">
        <v>3</v>
      </c>
      <c r="H629" s="243">
        <v>881213</v>
      </c>
      <c r="I629" s="243">
        <f t="shared" si="70"/>
        <v>2643639</v>
      </c>
      <c r="J629" s="8"/>
      <c r="K629" s="8">
        <f t="shared" si="75"/>
        <v>881213</v>
      </c>
      <c r="L629" s="8">
        <f t="shared" si="71"/>
        <v>1762426</v>
      </c>
      <c r="M629" s="9" t="str">
        <f t="array" ref="M629:P629">_xlfn.XLOOKUP(C629,'Neiva 2022 FASE I ACTUAL (5)'!$C$6:$C$540,'Neiva 2022 FASE I ACTUAL (5)'!$C$6:$F$540,"NO ESTA")</f>
        <v>SUMINISTRO E INSTALACION SENSOR DE FLUJO AIRE UMAS</v>
      </c>
      <c r="N629" s="9" t="str">
        <v>UND</v>
      </c>
      <c r="O629" s="9">
        <v>1</v>
      </c>
      <c r="P629" s="9">
        <v>845675</v>
      </c>
      <c r="Q629" s="124" t="str">
        <f t="shared" si="74"/>
        <v>FASE II</v>
      </c>
      <c r="R629" s="155">
        <f t="shared" si="69"/>
        <v>3</v>
      </c>
      <c r="S629" s="156">
        <f t="shared" si="72"/>
        <v>881213</v>
      </c>
      <c r="T629" s="156">
        <f t="shared" si="73"/>
        <v>2643639</v>
      </c>
    </row>
    <row r="630" spans="1:20" s="9" customFormat="1" ht="35.1" customHeight="1" x14ac:dyDescent="0.25">
      <c r="A630" s="215"/>
      <c r="B630" s="240" t="s">
        <v>1341</v>
      </c>
      <c r="C630" s="254" t="s">
        <v>1342</v>
      </c>
      <c r="D630" s="240" t="s">
        <v>16</v>
      </c>
      <c r="E630" s="242">
        <v>2</v>
      </c>
      <c r="F630" s="242"/>
      <c r="G630" s="242">
        <v>2</v>
      </c>
      <c r="H630" s="243">
        <v>3352803</v>
      </c>
      <c r="I630" s="243">
        <f t="shared" si="70"/>
        <v>6705606</v>
      </c>
      <c r="J630" s="8"/>
      <c r="K630" s="8">
        <f t="shared" si="75"/>
        <v>3352803</v>
      </c>
      <c r="L630" s="8">
        <f t="shared" si="71"/>
        <v>6705606</v>
      </c>
      <c r="M630" s="9" t="str">
        <f t="array" ref="M630">_xlfn.XLOOKUP(C630,'Neiva 2022 FASE I ACTUAL (5)'!$C$6:$C$540,'Neiva 2022 FASE I ACTUAL (5)'!$C$6:$F$540,"NO ESTA")</f>
        <v>NO ESTA</v>
      </c>
      <c r="Q630" s="124">
        <f t="shared" si="74"/>
        <v>0</v>
      </c>
      <c r="R630" s="155">
        <f t="shared" si="69"/>
        <v>2</v>
      </c>
      <c r="S630" s="156">
        <f t="shared" si="72"/>
        <v>3352803</v>
      </c>
      <c r="T630" s="156">
        <f t="shared" si="73"/>
        <v>6705606</v>
      </c>
    </row>
    <row r="631" spans="1:20" s="9" customFormat="1" ht="35.1" customHeight="1" x14ac:dyDescent="0.25">
      <c r="A631" s="215"/>
      <c r="B631" s="240" t="s">
        <v>1343</v>
      </c>
      <c r="C631" s="254" t="s">
        <v>1344</v>
      </c>
      <c r="D631" s="240" t="s">
        <v>16</v>
      </c>
      <c r="E631" s="242">
        <v>2</v>
      </c>
      <c r="F631" s="242"/>
      <c r="G631" s="242">
        <v>2</v>
      </c>
      <c r="H631" s="243">
        <v>5896712</v>
      </c>
      <c r="I631" s="243">
        <f t="shared" si="70"/>
        <v>11793424</v>
      </c>
      <c r="J631" s="8"/>
      <c r="K631" s="8">
        <f t="shared" si="75"/>
        <v>5896712</v>
      </c>
      <c r="L631" s="8">
        <f t="shared" si="71"/>
        <v>11793424</v>
      </c>
      <c r="M631" s="9" t="str">
        <f t="array" ref="M631">_xlfn.XLOOKUP(C631,'Neiva 2022 FASE I ACTUAL (5)'!$C$6:$C$540,'Neiva 2022 FASE I ACTUAL (5)'!$C$6:$F$540,"NO ESTA")</f>
        <v>NO ESTA</v>
      </c>
      <c r="Q631" s="124">
        <f t="shared" si="74"/>
        <v>0</v>
      </c>
      <c r="R631" s="155">
        <f t="shared" si="69"/>
        <v>2</v>
      </c>
      <c r="S631" s="156">
        <f t="shared" si="72"/>
        <v>5896712</v>
      </c>
      <c r="T631" s="156">
        <f t="shared" si="73"/>
        <v>11793424</v>
      </c>
    </row>
    <row r="632" spans="1:20" s="9" customFormat="1" ht="35.1" customHeight="1" x14ac:dyDescent="0.25">
      <c r="A632" s="215"/>
      <c r="B632" s="240" t="s">
        <v>1345</v>
      </c>
      <c r="C632" s="254" t="s">
        <v>1346</v>
      </c>
      <c r="D632" s="240" t="s">
        <v>16</v>
      </c>
      <c r="E632" s="242">
        <v>2</v>
      </c>
      <c r="F632" s="242"/>
      <c r="G632" s="242">
        <v>2</v>
      </c>
      <c r="H632" s="243">
        <v>2009001</v>
      </c>
      <c r="I632" s="243">
        <f t="shared" si="70"/>
        <v>4018002</v>
      </c>
      <c r="J632" s="8"/>
      <c r="K632" s="8">
        <f t="shared" si="75"/>
        <v>2009001</v>
      </c>
      <c r="L632" s="8">
        <f t="shared" si="71"/>
        <v>4018002</v>
      </c>
      <c r="M632" s="9" t="str">
        <f t="array" ref="M632">_xlfn.XLOOKUP(C632,'Neiva 2022 FASE I ACTUAL (5)'!$C$6:$C$540,'Neiva 2022 FASE I ACTUAL (5)'!$C$6:$F$540,"NO ESTA")</f>
        <v>NO ESTA</v>
      </c>
      <c r="Q632" s="124">
        <f t="shared" si="74"/>
        <v>0</v>
      </c>
      <c r="R632" s="155">
        <f t="shared" si="69"/>
        <v>2</v>
      </c>
      <c r="S632" s="156">
        <f t="shared" si="72"/>
        <v>2009001</v>
      </c>
      <c r="T632" s="156">
        <f t="shared" si="73"/>
        <v>4018002</v>
      </c>
    </row>
    <row r="633" spans="1:20" s="9" customFormat="1" ht="35.1" customHeight="1" x14ac:dyDescent="0.25">
      <c r="A633" s="215"/>
      <c r="B633" s="240" t="s">
        <v>903</v>
      </c>
      <c r="C633" s="254" t="s">
        <v>904</v>
      </c>
      <c r="D633" s="240" t="s">
        <v>16</v>
      </c>
      <c r="E633" s="242">
        <v>3</v>
      </c>
      <c r="F633" s="242">
        <v>2</v>
      </c>
      <c r="G633" s="242">
        <v>5</v>
      </c>
      <c r="H633" s="243">
        <v>1121898</v>
      </c>
      <c r="I633" s="243">
        <f t="shared" si="70"/>
        <v>5609490</v>
      </c>
      <c r="J633" s="8"/>
      <c r="K633" s="8">
        <f t="shared" si="75"/>
        <v>1121898</v>
      </c>
      <c r="L633" s="8">
        <f t="shared" si="71"/>
        <v>3365694</v>
      </c>
      <c r="M633" s="9" t="str">
        <f t="array" ref="M633:P633">_xlfn.XLOOKUP(C633,'Neiva 2022 FASE I ACTUAL (5)'!$C$6:$C$540,'Neiva 2022 FASE I ACTUAL (5)'!$C$6:$F$540,"NO ESTA")</f>
        <v>SUMINISTRO E INSTALACION SENSOR CO</v>
      </c>
      <c r="N633" s="9" t="str">
        <v>UND</v>
      </c>
      <c r="O633" s="9">
        <v>2</v>
      </c>
      <c r="P633" s="9">
        <v>1076654</v>
      </c>
      <c r="Q633" s="124" t="str">
        <f t="shared" si="74"/>
        <v>FASE II</v>
      </c>
      <c r="R633" s="155">
        <f t="shared" si="69"/>
        <v>5</v>
      </c>
      <c r="S633" s="156">
        <f t="shared" si="72"/>
        <v>1121898</v>
      </c>
      <c r="T633" s="156">
        <f t="shared" si="73"/>
        <v>5609490</v>
      </c>
    </row>
    <row r="634" spans="1:20" s="9" customFormat="1" ht="35.1" customHeight="1" x14ac:dyDescent="0.25">
      <c r="A634" s="215"/>
      <c r="B634" s="240" t="s">
        <v>905</v>
      </c>
      <c r="C634" s="254" t="s">
        <v>906</v>
      </c>
      <c r="D634" s="240" t="s">
        <v>16</v>
      </c>
      <c r="E634" s="242">
        <v>2</v>
      </c>
      <c r="F634" s="242">
        <v>2</v>
      </c>
      <c r="G634" s="242">
        <v>4</v>
      </c>
      <c r="H634" s="243">
        <v>336569</v>
      </c>
      <c r="I634" s="243">
        <f t="shared" si="70"/>
        <v>1346276</v>
      </c>
      <c r="J634" s="8"/>
      <c r="K634" s="8">
        <f t="shared" si="75"/>
        <v>336569</v>
      </c>
      <c r="L634" s="8">
        <f t="shared" si="71"/>
        <v>673138</v>
      </c>
      <c r="M634" s="9" t="str">
        <f t="array" ref="M634:P634">_xlfn.XLOOKUP(C634,'Neiva 2022 FASE I ACTUAL (5)'!$C$6:$C$540,'Neiva 2022 FASE I ACTUAL (5)'!$C$6:$F$540,"NO ESTA")</f>
        <v>SUMINISTRO E INSTALACION SENSOR CONTROL CO2 UMAS</v>
      </c>
      <c r="N634" s="9" t="str">
        <v>UND</v>
      </c>
      <c r="O634" s="9">
        <v>2</v>
      </c>
      <c r="P634" s="9">
        <v>322996</v>
      </c>
      <c r="Q634" s="124" t="str">
        <f t="shared" si="74"/>
        <v>FASE II</v>
      </c>
      <c r="R634" s="155">
        <f t="shared" si="69"/>
        <v>4</v>
      </c>
      <c r="S634" s="156">
        <f t="shared" si="72"/>
        <v>336569</v>
      </c>
      <c r="T634" s="156">
        <f t="shared" si="73"/>
        <v>1346276</v>
      </c>
    </row>
    <row r="635" spans="1:20" s="9" customFormat="1" ht="35.1" customHeight="1" x14ac:dyDescent="0.25">
      <c r="A635" s="215"/>
      <c r="B635" s="240" t="s">
        <v>1347</v>
      </c>
      <c r="C635" s="254" t="s">
        <v>1348</v>
      </c>
      <c r="D635" s="240" t="s">
        <v>16</v>
      </c>
      <c r="E635" s="242">
        <v>2</v>
      </c>
      <c r="F635" s="242"/>
      <c r="G635" s="242">
        <v>2</v>
      </c>
      <c r="H635" s="243">
        <v>2009001</v>
      </c>
      <c r="I635" s="243">
        <f t="shared" si="70"/>
        <v>4018002</v>
      </c>
      <c r="J635" s="8"/>
      <c r="K635" s="8">
        <f t="shared" si="75"/>
        <v>2009001</v>
      </c>
      <c r="L635" s="8">
        <f t="shared" si="71"/>
        <v>4018002</v>
      </c>
      <c r="M635" s="9" t="str">
        <f t="array" ref="M635">_xlfn.XLOOKUP(C635,'Neiva 2022 FASE I ACTUAL (5)'!$C$6:$C$540,'Neiva 2022 FASE I ACTUAL (5)'!$C$6:$F$540,"NO ESTA")</f>
        <v>NO ESTA</v>
      </c>
      <c r="Q635" s="124">
        <f t="shared" si="74"/>
        <v>0</v>
      </c>
      <c r="R635" s="155">
        <f t="shared" si="69"/>
        <v>2</v>
      </c>
      <c r="S635" s="156">
        <f t="shared" si="72"/>
        <v>2009001</v>
      </c>
      <c r="T635" s="156">
        <f t="shared" si="73"/>
        <v>4018002</v>
      </c>
    </row>
    <row r="636" spans="1:20" s="9" customFormat="1" ht="35.1" customHeight="1" x14ac:dyDescent="0.25">
      <c r="A636" s="215"/>
      <c r="B636" s="266">
        <v>18</v>
      </c>
      <c r="C636" s="267" t="s">
        <v>907</v>
      </c>
      <c r="D636" s="267"/>
      <c r="E636" s="268"/>
      <c r="F636" s="268"/>
      <c r="G636" s="268"/>
      <c r="H636" s="268"/>
      <c r="I636" s="268"/>
      <c r="J636" s="8"/>
      <c r="K636" s="8">
        <f t="shared" si="75"/>
        <v>0</v>
      </c>
      <c r="L636" s="8">
        <f t="shared" si="71"/>
        <v>0</v>
      </c>
      <c r="M636" s="9" t="str">
        <f t="array" ref="M636:P636">_xlfn.XLOOKUP(C636,'Neiva 2022 FASE I ACTUAL (5)'!$C$6:$C$540,'Neiva 2022 FASE I ACTUAL (5)'!$C$6:$F$540,"NO ESTA")</f>
        <v>RED DE VOZ Y DATOS Cat. 6A BLINDADO LSZH (Low Smoke Zero Halogen)</v>
      </c>
      <c r="N636" s="9">
        <v>0</v>
      </c>
      <c r="O636" s="9">
        <v>0</v>
      </c>
      <c r="P636" s="9">
        <v>0</v>
      </c>
      <c r="Q636" s="124">
        <f t="shared" si="74"/>
        <v>0</v>
      </c>
      <c r="R636" s="155">
        <f t="shared" si="69"/>
        <v>0</v>
      </c>
      <c r="S636" s="156">
        <f t="shared" si="72"/>
        <v>0</v>
      </c>
      <c r="T636" s="156">
        <f t="shared" si="73"/>
        <v>0</v>
      </c>
    </row>
    <row r="637" spans="1:20" s="9" customFormat="1" ht="35.1" customHeight="1" x14ac:dyDescent="0.25">
      <c r="A637" s="215"/>
      <c r="B637" s="244" t="s">
        <v>908</v>
      </c>
      <c r="C637" s="256" t="s">
        <v>909</v>
      </c>
      <c r="D637" s="256"/>
      <c r="E637" s="246"/>
      <c r="F637" s="246"/>
      <c r="G637" s="246"/>
      <c r="H637" s="246"/>
      <c r="I637" s="246"/>
      <c r="J637" s="8"/>
      <c r="K637" s="8">
        <f t="shared" si="75"/>
        <v>0</v>
      </c>
      <c r="L637" s="8">
        <f t="shared" si="71"/>
        <v>0</v>
      </c>
      <c r="M637" s="9" t="str">
        <f t="array" ref="M637:P637">_xlfn.XLOOKUP(C637,'Neiva 2022 FASE I ACTUAL (5)'!$C$6:$C$540,'Neiva 2022 FASE I ACTUAL (5)'!$C$6:$F$540,"NO ESTA")</f>
        <v>SUMINISTRO E INSTALACION DE TOMAS PUESTOS DE TRABAJO</v>
      </c>
      <c r="N637" s="9">
        <v>0</v>
      </c>
      <c r="O637" s="9">
        <v>0</v>
      </c>
      <c r="P637" s="9">
        <v>0</v>
      </c>
      <c r="Q637" s="124">
        <f t="shared" si="74"/>
        <v>0</v>
      </c>
      <c r="R637" s="155">
        <f t="shared" si="69"/>
        <v>0</v>
      </c>
      <c r="S637" s="156">
        <f t="shared" si="72"/>
        <v>0</v>
      </c>
      <c r="T637" s="156">
        <f t="shared" si="73"/>
        <v>0</v>
      </c>
    </row>
    <row r="638" spans="1:20" s="9" customFormat="1" ht="35.1" customHeight="1" x14ac:dyDescent="0.25">
      <c r="A638" s="215"/>
      <c r="B638" s="255" t="s">
        <v>910</v>
      </c>
      <c r="C638" s="284" t="s">
        <v>911</v>
      </c>
      <c r="D638" s="240" t="s">
        <v>16</v>
      </c>
      <c r="E638" s="242">
        <v>172</v>
      </c>
      <c r="F638" s="242">
        <v>64</v>
      </c>
      <c r="G638" s="242">
        <v>236</v>
      </c>
      <c r="H638" s="243">
        <v>38176</v>
      </c>
      <c r="I638" s="243">
        <f t="shared" si="70"/>
        <v>9009536</v>
      </c>
      <c r="J638" s="8"/>
      <c r="K638" s="8">
        <f t="shared" si="75"/>
        <v>38176</v>
      </c>
      <c r="L638" s="8">
        <f t="shared" si="71"/>
        <v>6566272</v>
      </c>
      <c r="M638" s="9" t="str">
        <f t="array" ref="M638:P638">_xlfn.XLOOKUP(C638,'Neiva 2022 FASE I ACTUAL (5)'!$C$6:$C$540,'Neiva 2022 FASE I ACTUAL (5)'!$C$6:$F$540,"NO ESTA")</f>
        <v xml:space="preserve">SUMINISTRO E INSTALACION TOMAS SENCILLA RJ45 Cat. 6A DATOS BLINDADO INCLUYE MARQUILLAS </v>
      </c>
      <c r="N638" s="9" t="str">
        <v>UND</v>
      </c>
      <c r="O638" s="9">
        <v>64</v>
      </c>
      <c r="P638" s="9">
        <v>36636</v>
      </c>
      <c r="Q638" s="124" t="str">
        <f t="shared" si="74"/>
        <v>FASE II</v>
      </c>
      <c r="R638" s="155">
        <f t="shared" si="69"/>
        <v>236</v>
      </c>
      <c r="S638" s="156">
        <f t="shared" si="72"/>
        <v>38176</v>
      </c>
      <c r="T638" s="156">
        <f t="shared" si="73"/>
        <v>9009536</v>
      </c>
    </row>
    <row r="639" spans="1:20" s="9" customFormat="1" ht="35.1" customHeight="1" x14ac:dyDescent="0.25">
      <c r="A639" s="215"/>
      <c r="B639" s="255" t="s">
        <v>912</v>
      </c>
      <c r="C639" s="254" t="s">
        <v>913</v>
      </c>
      <c r="D639" s="240" t="s">
        <v>16</v>
      </c>
      <c r="E639" s="242">
        <v>38</v>
      </c>
      <c r="F639" s="242">
        <v>14</v>
      </c>
      <c r="G639" s="242">
        <v>52</v>
      </c>
      <c r="H639" s="243">
        <v>38176</v>
      </c>
      <c r="I639" s="243">
        <f t="shared" si="70"/>
        <v>1985152</v>
      </c>
      <c r="J639" s="8"/>
      <c r="K639" s="8">
        <f t="shared" si="75"/>
        <v>38176</v>
      </c>
      <c r="L639" s="8">
        <f t="shared" si="71"/>
        <v>1450688</v>
      </c>
      <c r="M639" s="9" t="str">
        <f t="array" ref="M639:P639">_xlfn.XLOOKUP(C639,'Neiva 2022 FASE I ACTUAL (5)'!$C$6:$C$540,'Neiva 2022 FASE I ACTUAL (5)'!$C$6:$F$540,"NO ESTA")</f>
        <v>SUMINISTRO E INSTALACION TOMAS SENCILLA RJ45 Cat. 6A VOZ BLINDADO INCLUYE MARQUILLAS</v>
      </c>
      <c r="N639" s="9" t="str">
        <v>UND</v>
      </c>
      <c r="O639" s="9">
        <v>14</v>
      </c>
      <c r="P639" s="9">
        <v>36636</v>
      </c>
      <c r="Q639" s="124" t="str">
        <f t="shared" si="74"/>
        <v>FASE II</v>
      </c>
      <c r="R639" s="155">
        <f t="shared" si="69"/>
        <v>52</v>
      </c>
      <c r="S639" s="156">
        <f t="shared" si="72"/>
        <v>38176</v>
      </c>
      <c r="T639" s="156">
        <f t="shared" si="73"/>
        <v>1985152</v>
      </c>
    </row>
    <row r="640" spans="1:20" s="9" customFormat="1" ht="35.1" customHeight="1" x14ac:dyDescent="0.25">
      <c r="A640" s="215"/>
      <c r="B640" s="255" t="s">
        <v>914</v>
      </c>
      <c r="C640" s="254" t="s">
        <v>915</v>
      </c>
      <c r="D640" s="240" t="s">
        <v>16</v>
      </c>
      <c r="E640" s="242">
        <v>172</v>
      </c>
      <c r="F640" s="242">
        <v>64</v>
      </c>
      <c r="G640" s="242">
        <v>236</v>
      </c>
      <c r="H640" s="243">
        <v>10077</v>
      </c>
      <c r="I640" s="243">
        <f t="shared" si="70"/>
        <v>2378172</v>
      </c>
      <c r="J640" s="8"/>
      <c r="K640" s="8">
        <f t="shared" si="75"/>
        <v>10077</v>
      </c>
      <c r="L640" s="8">
        <f t="shared" si="71"/>
        <v>1733244</v>
      </c>
      <c r="M640" s="9" t="str">
        <f t="array" ref="M640:P640">_xlfn.XLOOKUP(C640,'Neiva 2022 FASE I ACTUAL (5)'!$C$6:$C$540,'Neiva 2022 FASE I ACTUAL (5)'!$C$6:$F$540,"NO ESTA")</f>
        <v>SUMINISTRO E INSTALACION FACE PLATE DOBLE PARA TOMA RJ45</v>
      </c>
      <c r="N640" s="9" t="str">
        <v>UND</v>
      </c>
      <c r="O640" s="9">
        <v>64</v>
      </c>
      <c r="P640" s="9">
        <v>9671</v>
      </c>
      <c r="Q640" s="124" t="str">
        <f t="shared" si="74"/>
        <v>FASE II</v>
      </c>
      <c r="R640" s="155">
        <f t="shared" si="69"/>
        <v>236</v>
      </c>
      <c r="S640" s="156">
        <f t="shared" si="72"/>
        <v>10077</v>
      </c>
      <c r="T640" s="156">
        <f t="shared" si="73"/>
        <v>2378172</v>
      </c>
    </row>
    <row r="641" spans="1:20" s="9" customFormat="1" ht="35.1" customHeight="1" x14ac:dyDescent="0.25">
      <c r="A641" s="215"/>
      <c r="B641" s="255" t="s">
        <v>916</v>
      </c>
      <c r="C641" s="254" t="s">
        <v>917</v>
      </c>
      <c r="D641" s="240" t="s">
        <v>16</v>
      </c>
      <c r="E641" s="242">
        <v>172</v>
      </c>
      <c r="F641" s="242">
        <v>64</v>
      </c>
      <c r="G641" s="242">
        <v>236</v>
      </c>
      <c r="H641" s="243">
        <v>45922</v>
      </c>
      <c r="I641" s="243">
        <f t="shared" si="70"/>
        <v>10837592</v>
      </c>
      <c r="J641" s="8"/>
      <c r="K641" s="8">
        <f t="shared" si="75"/>
        <v>45922</v>
      </c>
      <c r="L641" s="8">
        <f t="shared" si="71"/>
        <v>7898584</v>
      </c>
      <c r="M641" s="9" t="str">
        <f t="array" ref="M641:P641">_xlfn.XLOOKUP(C641,'Neiva 2022 FASE I ACTUAL (5)'!$C$6:$C$540,'Neiva 2022 FASE I ACTUAL (5)'!$C$6:$F$540,"NO ESTA")</f>
        <v>SUMINISTRO E INSTALACION PATCH CORD. RJ45-RJ45 1,5 m Cat. 6A BLINDADO</v>
      </c>
      <c r="N641" s="9" t="str">
        <v>UND</v>
      </c>
      <c r="O641" s="9">
        <v>64</v>
      </c>
      <c r="P641" s="9">
        <v>44070</v>
      </c>
      <c r="Q641" s="124" t="str">
        <f t="shared" si="74"/>
        <v>FASE II</v>
      </c>
      <c r="R641" s="155">
        <f t="shared" si="69"/>
        <v>236</v>
      </c>
      <c r="S641" s="156">
        <f t="shared" si="72"/>
        <v>45922</v>
      </c>
      <c r="T641" s="156">
        <f t="shared" si="73"/>
        <v>10837592</v>
      </c>
    </row>
    <row r="642" spans="1:20" s="9" customFormat="1" ht="35.1" customHeight="1" x14ac:dyDescent="0.25">
      <c r="A642" s="215"/>
      <c r="B642" s="244" t="s">
        <v>918</v>
      </c>
      <c r="C642" s="256" t="s">
        <v>919</v>
      </c>
      <c r="D642" s="256"/>
      <c r="E642" s="246"/>
      <c r="F642" s="246"/>
      <c r="G642" s="246"/>
      <c r="H642" s="246"/>
      <c r="I642" s="246"/>
      <c r="J642" s="8"/>
      <c r="K642" s="8">
        <f t="shared" si="75"/>
        <v>0</v>
      </c>
      <c r="L642" s="8">
        <f t="shared" si="71"/>
        <v>0</v>
      </c>
      <c r="M642" s="9" t="str">
        <f t="array" ref="M642:P642">_xlfn.XLOOKUP(C642,'Neiva 2022 FASE I ACTUAL (5)'!$C$6:$C$540,'Neiva 2022 FASE I ACTUAL (5)'!$C$6:$F$540,"NO ESTA")</f>
        <v>SUMINISTRO E INSTALACION DE CABLES</v>
      </c>
      <c r="N642" s="9">
        <v>0</v>
      </c>
      <c r="O642" s="9">
        <v>0</v>
      </c>
      <c r="P642" s="9">
        <v>0</v>
      </c>
      <c r="Q642" s="124">
        <f t="shared" si="74"/>
        <v>0</v>
      </c>
      <c r="R642" s="155">
        <f t="shared" si="69"/>
        <v>0</v>
      </c>
      <c r="S642" s="156">
        <f t="shared" si="72"/>
        <v>0</v>
      </c>
      <c r="T642" s="156">
        <f t="shared" si="73"/>
        <v>0</v>
      </c>
    </row>
    <row r="643" spans="1:20" s="9" customFormat="1" ht="35.1" customHeight="1" x14ac:dyDescent="0.25">
      <c r="A643" s="215"/>
      <c r="B643" s="255" t="s">
        <v>920</v>
      </c>
      <c r="C643" s="254" t="s">
        <v>921</v>
      </c>
      <c r="D643" s="240" t="s">
        <v>94</v>
      </c>
      <c r="E643" s="242">
        <v>11247</v>
      </c>
      <c r="F643" s="242">
        <v>1765</v>
      </c>
      <c r="G643" s="242">
        <v>13012</v>
      </c>
      <c r="H643" s="243">
        <v>4573</v>
      </c>
      <c r="I643" s="243">
        <f t="shared" si="70"/>
        <v>59503876</v>
      </c>
      <c r="J643" s="8"/>
      <c r="K643" s="8">
        <f t="shared" si="75"/>
        <v>4573</v>
      </c>
      <c r="L643" s="8">
        <f t="shared" si="71"/>
        <v>51432531</v>
      </c>
      <c r="M643" s="9" t="str">
        <f t="array" ref="M643:P643">_xlfn.XLOOKUP(C643,'Neiva 2022 FASE I ACTUAL (5)'!$C$6:$C$540,'Neiva 2022 FASE I ACTUAL (5)'!$C$6:$F$540,"NO ESTA")</f>
        <v>SUMINISTRO E INSTALACION CABLE 10 G F/UTP Cat. 6A CON CHAQUETA LSZH (LOW SMOKE ZERO HALOGEN)</v>
      </c>
      <c r="N643" s="9" t="str">
        <v>ML</v>
      </c>
      <c r="O643" s="9">
        <v>1765</v>
      </c>
      <c r="P643" s="9">
        <v>4389</v>
      </c>
      <c r="Q643" s="124" t="str">
        <f t="shared" si="74"/>
        <v>FASE II</v>
      </c>
      <c r="R643" s="155">
        <f t="shared" si="69"/>
        <v>13012</v>
      </c>
      <c r="S643" s="156">
        <f t="shared" si="72"/>
        <v>4573</v>
      </c>
      <c r="T643" s="156">
        <f t="shared" si="73"/>
        <v>59503876</v>
      </c>
    </row>
    <row r="644" spans="1:20" s="9" customFormat="1" ht="35.1" customHeight="1" x14ac:dyDescent="0.25">
      <c r="A644" s="215"/>
      <c r="B644" s="244" t="s">
        <v>922</v>
      </c>
      <c r="C644" s="256" t="s">
        <v>923</v>
      </c>
      <c r="D644" s="256"/>
      <c r="E644" s="246"/>
      <c r="F644" s="246"/>
      <c r="G644" s="246"/>
      <c r="H644" s="246"/>
      <c r="I644" s="246"/>
      <c r="J644" s="8"/>
      <c r="K644" s="8">
        <f t="shared" si="75"/>
        <v>0</v>
      </c>
      <c r="L644" s="8">
        <f t="shared" si="71"/>
        <v>0</v>
      </c>
      <c r="M644" s="9" t="str">
        <f t="array" ref="M644:P644">_xlfn.XLOOKUP(C644,'Neiva 2022 FASE I ACTUAL (5)'!$C$6:$C$540,'Neiva 2022 FASE I ACTUAL (5)'!$C$6:$F$540,"NO ESTA")</f>
        <v xml:space="preserve">SUMINISTRO E INSTALACION DE ELEMENTOS DE ADMINISTRACIÓN </v>
      </c>
      <c r="N644" s="9">
        <v>0</v>
      </c>
      <c r="O644" s="9">
        <v>0</v>
      </c>
      <c r="P644" s="9">
        <v>0</v>
      </c>
      <c r="Q644" s="124">
        <f t="shared" si="74"/>
        <v>0</v>
      </c>
      <c r="R644" s="155">
        <f t="shared" si="69"/>
        <v>0</v>
      </c>
      <c r="S644" s="156">
        <f t="shared" si="72"/>
        <v>0</v>
      </c>
      <c r="T644" s="156">
        <f t="shared" si="73"/>
        <v>0</v>
      </c>
    </row>
    <row r="645" spans="1:20" s="9" customFormat="1" ht="35.1" customHeight="1" x14ac:dyDescent="0.25">
      <c r="A645" s="215"/>
      <c r="B645" s="255" t="s">
        <v>924</v>
      </c>
      <c r="C645" s="254" t="s">
        <v>925</v>
      </c>
      <c r="D645" s="240" t="s">
        <v>16</v>
      </c>
      <c r="E645" s="242">
        <v>9</v>
      </c>
      <c r="F645" s="242">
        <v>4</v>
      </c>
      <c r="G645" s="242">
        <v>13</v>
      </c>
      <c r="H645" s="243">
        <v>272792</v>
      </c>
      <c r="I645" s="243">
        <f t="shared" si="70"/>
        <v>3546296</v>
      </c>
      <c r="J645" s="8"/>
      <c r="K645" s="8">
        <f t="shared" si="75"/>
        <v>272792</v>
      </c>
      <c r="L645" s="8">
        <f t="shared" si="71"/>
        <v>2455128</v>
      </c>
      <c r="M645" s="9" t="str">
        <f t="array" ref="M645:P645">_xlfn.XLOOKUP(C645,'Neiva 2022 FASE I ACTUAL (5)'!$C$6:$C$540,'Neiva 2022 FASE I ACTUAL (5)'!$C$6:$F$540,"NO ESTA")</f>
        <v>SUMINISTRO E INSTALACION HERRAJE PATVH PANEL 24 Pts Cat. 6A BLINDADO</v>
      </c>
      <c r="N645" s="9" t="str">
        <v>UND</v>
      </c>
      <c r="O645" s="9">
        <v>4</v>
      </c>
      <c r="P645" s="9">
        <v>261791</v>
      </c>
      <c r="Q645" s="124" t="str">
        <f t="shared" si="74"/>
        <v>FASE II</v>
      </c>
      <c r="R645" s="155">
        <f t="shared" si="69"/>
        <v>13</v>
      </c>
      <c r="S645" s="156">
        <f t="shared" si="72"/>
        <v>272792</v>
      </c>
      <c r="T645" s="156">
        <f t="shared" si="73"/>
        <v>3546296</v>
      </c>
    </row>
    <row r="646" spans="1:20" s="9" customFormat="1" ht="35.1" customHeight="1" x14ac:dyDescent="0.25">
      <c r="A646" s="215"/>
      <c r="B646" s="255" t="s">
        <v>926</v>
      </c>
      <c r="C646" s="254" t="s">
        <v>927</v>
      </c>
      <c r="D646" s="240" t="s">
        <v>16</v>
      </c>
      <c r="E646" s="242">
        <v>172</v>
      </c>
      <c r="F646" s="242">
        <v>64</v>
      </c>
      <c r="G646" s="242">
        <v>236</v>
      </c>
      <c r="H646" s="243">
        <v>38178</v>
      </c>
      <c r="I646" s="243">
        <f t="shared" si="70"/>
        <v>9010008</v>
      </c>
      <c r="J646" s="8"/>
      <c r="K646" s="8">
        <f t="shared" si="75"/>
        <v>38178</v>
      </c>
      <c r="L646" s="8">
        <f t="shared" si="71"/>
        <v>6566616</v>
      </c>
      <c r="M646" s="9" t="str">
        <f t="array" ref="M646:P646">_xlfn.XLOOKUP(C646,'Neiva 2022 FASE I ACTUAL (5)'!$C$6:$C$540,'Neiva 2022 FASE I ACTUAL (5)'!$C$6:$F$540,"NO ESTA")</f>
        <v>SUMINISTRO E INSTALACION TOMA SENCILLA RJ45 Cat. 6A AZUL DATOS BLINDADO INCLUYE MARQUILLAS</v>
      </c>
      <c r="N646" s="9" t="str">
        <v>UND</v>
      </c>
      <c r="O646" s="9">
        <v>64</v>
      </c>
      <c r="P646" s="9">
        <v>36638</v>
      </c>
      <c r="Q646" s="124" t="str">
        <f t="shared" si="74"/>
        <v>FASE II</v>
      </c>
      <c r="R646" s="155">
        <f t="shared" ref="R646:R709" si="76">E646+O646</f>
        <v>236</v>
      </c>
      <c r="S646" s="156">
        <f t="shared" si="72"/>
        <v>38178</v>
      </c>
      <c r="T646" s="156">
        <f t="shared" si="73"/>
        <v>9010008</v>
      </c>
    </row>
    <row r="647" spans="1:20" s="9" customFormat="1" ht="35.1" customHeight="1" x14ac:dyDescent="0.25">
      <c r="A647" s="215"/>
      <c r="B647" s="255" t="s">
        <v>928</v>
      </c>
      <c r="C647" s="254" t="s">
        <v>929</v>
      </c>
      <c r="D647" s="240" t="s">
        <v>16</v>
      </c>
      <c r="E647" s="242">
        <v>38</v>
      </c>
      <c r="F647" s="242">
        <v>14</v>
      </c>
      <c r="G647" s="242">
        <v>52</v>
      </c>
      <c r="H647" s="243">
        <v>38178</v>
      </c>
      <c r="I647" s="243">
        <f t="shared" ref="I647:I710" si="77">ROUND(+H647*G647,2)</f>
        <v>1985256</v>
      </c>
      <c r="J647" s="8"/>
      <c r="K647" s="8">
        <f t="shared" si="75"/>
        <v>38178</v>
      </c>
      <c r="L647" s="8">
        <f t="shared" ref="L647:L710" si="78">+K647*E647</f>
        <v>1450764</v>
      </c>
      <c r="M647" s="9" t="str">
        <f t="array" ref="M647:P647">_xlfn.XLOOKUP(C647,'Neiva 2022 FASE I ACTUAL (5)'!$C$6:$C$540,'Neiva 2022 FASE I ACTUAL (5)'!$C$6:$F$540,"NO ESTA")</f>
        <v>SUMINISTRO E INSTALACION TOMA SENCILLA RJ45 Cat. 6A ROJO VOZ BLINDADO INCLUYE MARQUILLAS</v>
      </c>
      <c r="N647" s="9" t="str">
        <v>UND</v>
      </c>
      <c r="O647" s="9">
        <v>14</v>
      </c>
      <c r="P647" s="9">
        <v>36638</v>
      </c>
      <c r="Q647" s="124" t="str">
        <f t="shared" si="74"/>
        <v>FASE II</v>
      </c>
      <c r="R647" s="155">
        <f t="shared" si="76"/>
        <v>52</v>
      </c>
      <c r="S647" s="156">
        <f t="shared" ref="S647:S710" si="79">MAX(P647,H647,K647)</f>
        <v>38178</v>
      </c>
      <c r="T647" s="156">
        <f t="shared" ref="T647:T710" si="80">ROUND(R647*S647,2)</f>
        <v>1985256</v>
      </c>
    </row>
    <row r="648" spans="1:20" s="9" customFormat="1" ht="35.1" customHeight="1" x14ac:dyDescent="0.25">
      <c r="A648" s="215"/>
      <c r="B648" s="255" t="s">
        <v>930</v>
      </c>
      <c r="C648" s="254" t="s">
        <v>931</v>
      </c>
      <c r="D648" s="240" t="s">
        <v>16</v>
      </c>
      <c r="E648" s="242">
        <v>172</v>
      </c>
      <c r="F648" s="242">
        <v>64</v>
      </c>
      <c r="G648" s="242">
        <v>236</v>
      </c>
      <c r="H648" s="243">
        <v>48968</v>
      </c>
      <c r="I648" s="243">
        <f t="shared" si="77"/>
        <v>11556448</v>
      </c>
      <c r="J648" s="8"/>
      <c r="K648" s="8">
        <f t="shared" si="75"/>
        <v>48968</v>
      </c>
      <c r="L648" s="8">
        <f t="shared" si="78"/>
        <v>8422496</v>
      </c>
      <c r="M648" s="9" t="str">
        <f t="array" ref="M648:P648">_xlfn.XLOOKUP(C648,'Neiva 2022 FASE I ACTUAL (5)'!$C$6:$C$540,'Neiva 2022 FASE I ACTUAL (5)'!$C$6:$F$540,"NO ESTA")</f>
        <v>SUMINISTRO E INSTALACION PATCH CORD. RJ45-RJ45 3 m Cat. 6A DATOS BLINDADO</v>
      </c>
      <c r="N648" s="9" t="str">
        <v>UND</v>
      </c>
      <c r="O648" s="9">
        <v>64</v>
      </c>
      <c r="P648" s="9">
        <v>46993</v>
      </c>
      <c r="Q648" s="124" t="str">
        <f t="shared" ref="Q648:Q711" si="81">IF(P648=0,0,(IF(H648&lt;P648, "FASE I","FASE II")))</f>
        <v>FASE II</v>
      </c>
      <c r="R648" s="155">
        <f t="shared" si="76"/>
        <v>236</v>
      </c>
      <c r="S648" s="156">
        <f t="shared" si="79"/>
        <v>48968</v>
      </c>
      <c r="T648" s="156">
        <f t="shared" si="80"/>
        <v>11556448</v>
      </c>
    </row>
    <row r="649" spans="1:20" s="9" customFormat="1" ht="35.1" customHeight="1" x14ac:dyDescent="0.25">
      <c r="A649" s="215"/>
      <c r="B649" s="255" t="s">
        <v>932</v>
      </c>
      <c r="C649" s="254" t="s">
        <v>933</v>
      </c>
      <c r="D649" s="240" t="s">
        <v>16</v>
      </c>
      <c r="E649" s="242">
        <v>38</v>
      </c>
      <c r="F649" s="242">
        <v>14</v>
      </c>
      <c r="G649" s="242">
        <v>52</v>
      </c>
      <c r="H649" s="243">
        <v>48968</v>
      </c>
      <c r="I649" s="243">
        <f t="shared" si="77"/>
        <v>2546336</v>
      </c>
      <c r="J649" s="8"/>
      <c r="K649" s="8">
        <f t="shared" si="75"/>
        <v>48968</v>
      </c>
      <c r="L649" s="8">
        <f t="shared" si="78"/>
        <v>1860784</v>
      </c>
      <c r="M649" s="9" t="str">
        <f t="array" ref="M649:P649">_xlfn.XLOOKUP(C649,'Neiva 2022 FASE I ACTUAL (5)'!$C$6:$C$540,'Neiva 2022 FASE I ACTUAL (5)'!$C$6:$F$540,"NO ESTA")</f>
        <v>SUMINISTRO E INSTALACION PATCH CORD. RJ45-RJ45 3 m Cat. 6A VOZ BLINDADO</v>
      </c>
      <c r="N649" s="9" t="str">
        <v>UND</v>
      </c>
      <c r="O649" s="9">
        <v>14</v>
      </c>
      <c r="P649" s="9">
        <v>46993</v>
      </c>
      <c r="Q649" s="124" t="str">
        <f t="shared" si="81"/>
        <v>FASE II</v>
      </c>
      <c r="R649" s="155">
        <f t="shared" si="76"/>
        <v>52</v>
      </c>
      <c r="S649" s="156">
        <f t="shared" si="79"/>
        <v>48968</v>
      </c>
      <c r="T649" s="156">
        <f t="shared" si="80"/>
        <v>2546336</v>
      </c>
    </row>
    <row r="650" spans="1:20" s="9" customFormat="1" ht="35.1" customHeight="1" x14ac:dyDescent="0.25">
      <c r="A650" s="215"/>
      <c r="B650" s="255" t="s">
        <v>934</v>
      </c>
      <c r="C650" s="254" t="s">
        <v>935</v>
      </c>
      <c r="D650" s="240" t="s">
        <v>16</v>
      </c>
      <c r="E650" s="242">
        <v>9</v>
      </c>
      <c r="F650" s="242">
        <v>4</v>
      </c>
      <c r="G650" s="242">
        <v>13</v>
      </c>
      <c r="H650" s="243">
        <v>254605</v>
      </c>
      <c r="I650" s="243">
        <f t="shared" si="77"/>
        <v>3309865</v>
      </c>
      <c r="J650" s="8"/>
      <c r="K650" s="8">
        <f t="shared" si="75"/>
        <v>254605</v>
      </c>
      <c r="L650" s="8">
        <f t="shared" si="78"/>
        <v>2291445</v>
      </c>
      <c r="M650" s="9" t="str">
        <f t="array" ref="M650:P650">_xlfn.XLOOKUP(C650,'Neiva 2022 FASE I ACTUAL (5)'!$C$6:$C$540,'Neiva 2022 FASE I ACTUAL (5)'!$C$6:$F$540,"NO ESTA")</f>
        <v>SUMINISTRO E INSTALACION ORGANIZADOR HORIZONTAL 2U</v>
      </c>
      <c r="N650" s="9" t="str">
        <v>UND</v>
      </c>
      <c r="O650" s="9">
        <v>4</v>
      </c>
      <c r="P650" s="9">
        <v>244338</v>
      </c>
      <c r="Q650" s="124" t="str">
        <f t="shared" si="81"/>
        <v>FASE II</v>
      </c>
      <c r="R650" s="155">
        <f t="shared" si="76"/>
        <v>13</v>
      </c>
      <c r="S650" s="156">
        <f t="shared" si="79"/>
        <v>254605</v>
      </c>
      <c r="T650" s="156">
        <f t="shared" si="80"/>
        <v>3309865</v>
      </c>
    </row>
    <row r="651" spans="1:20" s="9" customFormat="1" ht="35.1" customHeight="1" x14ac:dyDescent="0.25">
      <c r="A651" s="215"/>
      <c r="B651" s="244" t="s">
        <v>936</v>
      </c>
      <c r="C651" s="245" t="s">
        <v>937</v>
      </c>
      <c r="D651" s="244"/>
      <c r="E651" s="246"/>
      <c r="F651" s="246"/>
      <c r="G651" s="246"/>
      <c r="H651" s="246"/>
      <c r="I651" s="246"/>
      <c r="J651" s="8"/>
      <c r="K651" s="8">
        <f t="shared" si="75"/>
        <v>0</v>
      </c>
      <c r="L651" s="8">
        <f t="shared" si="78"/>
        <v>0</v>
      </c>
      <c r="M651" s="9" t="str">
        <f t="array" ref="M651:P651">_xlfn.XLOOKUP(C651,'Neiva 2022 FASE I ACTUAL (5)'!$C$6:$C$540,'Neiva 2022 FASE I ACTUAL (5)'!$C$6:$F$540,"NO ESTA")</f>
        <v>SUMINISTRO E INSTALACIÓN INTEGRACIÓN TELEFÓNICA</v>
      </c>
      <c r="N651" s="9">
        <v>0</v>
      </c>
      <c r="O651" s="9">
        <v>0</v>
      </c>
      <c r="P651" s="9">
        <v>0</v>
      </c>
      <c r="Q651" s="124">
        <f t="shared" si="81"/>
        <v>0</v>
      </c>
      <c r="R651" s="155">
        <f t="shared" si="76"/>
        <v>0</v>
      </c>
      <c r="S651" s="156">
        <f t="shared" si="79"/>
        <v>0</v>
      </c>
      <c r="T651" s="156">
        <f t="shared" si="80"/>
        <v>0</v>
      </c>
    </row>
    <row r="652" spans="1:20" s="9" customFormat="1" ht="35.1" customHeight="1" x14ac:dyDescent="0.25">
      <c r="A652" s="215"/>
      <c r="B652" s="255" t="s">
        <v>938</v>
      </c>
      <c r="C652" s="254" t="s">
        <v>939</v>
      </c>
      <c r="D652" s="240" t="s">
        <v>16</v>
      </c>
      <c r="E652" s="242">
        <v>1</v>
      </c>
      <c r="F652" s="242">
        <v>1</v>
      </c>
      <c r="G652" s="242">
        <v>2</v>
      </c>
      <c r="H652" s="243">
        <v>590777</v>
      </c>
      <c r="I652" s="243">
        <f t="shared" si="77"/>
        <v>1181554</v>
      </c>
      <c r="J652" s="8"/>
      <c r="K652" s="8">
        <f t="shared" si="75"/>
        <v>590777</v>
      </c>
      <c r="L652" s="8">
        <f t="shared" si="78"/>
        <v>590777</v>
      </c>
      <c r="M652" s="9" t="str">
        <f t="array" ref="M652:P652">_xlfn.XLOOKUP(C652,'Neiva 2022 FASE I ACTUAL (5)'!$C$6:$C$540,'Neiva 2022 FASE I ACTUAL (5)'!$C$6:$F$540,"NO ESTA")</f>
        <v>SUMINISTRO E INSTALACION PATCH PANEL 24 Pts Cat. 5E BLINDADO PARA INTEGRACIÓN TELEFONICA</v>
      </c>
      <c r="N652" s="9" t="str">
        <v>UND</v>
      </c>
      <c r="O652" s="9">
        <v>1</v>
      </c>
      <c r="P652" s="9">
        <v>566952</v>
      </c>
      <c r="Q652" s="124" t="str">
        <f t="shared" si="81"/>
        <v>FASE II</v>
      </c>
      <c r="R652" s="155">
        <f t="shared" si="76"/>
        <v>2</v>
      </c>
      <c r="S652" s="156">
        <f t="shared" si="79"/>
        <v>590777</v>
      </c>
      <c r="T652" s="156">
        <f t="shared" si="80"/>
        <v>1181554</v>
      </c>
    </row>
    <row r="653" spans="1:20" s="9" customFormat="1" ht="35.1" customHeight="1" x14ac:dyDescent="0.25">
      <c r="A653" s="215"/>
      <c r="B653" s="255" t="s">
        <v>940</v>
      </c>
      <c r="C653" s="254" t="s">
        <v>941</v>
      </c>
      <c r="D653" s="240" t="s">
        <v>16</v>
      </c>
      <c r="E653" s="242">
        <v>38</v>
      </c>
      <c r="F653" s="242">
        <v>14</v>
      </c>
      <c r="G653" s="242">
        <v>52</v>
      </c>
      <c r="H653" s="243">
        <v>35884</v>
      </c>
      <c r="I653" s="243">
        <f t="shared" si="77"/>
        <v>1865968</v>
      </c>
      <c r="J653" s="8"/>
      <c r="K653" s="8">
        <f t="shared" si="75"/>
        <v>35884</v>
      </c>
      <c r="L653" s="8">
        <f t="shared" si="78"/>
        <v>1363592</v>
      </c>
      <c r="M653" s="9" t="str">
        <f t="array" ref="M653:P653">_xlfn.XLOOKUP(C653,'Neiva 2022 FASE I ACTUAL (5)'!$C$6:$C$540,'Neiva 2022 FASE I ACTUAL (5)'!$C$6:$F$540,"NO ESTA")</f>
        <v>SUMINISTRO E INSTALACION PATCH CORD RJ45-RJ45 1m Cat 5E INTEGRACIÓN TELEFÓNICA INCLUYE MARQUILLAS</v>
      </c>
      <c r="N653" s="9" t="str">
        <v>UND</v>
      </c>
      <c r="O653" s="9">
        <v>14</v>
      </c>
      <c r="P653" s="9">
        <v>34436</v>
      </c>
      <c r="Q653" s="124" t="str">
        <f t="shared" si="81"/>
        <v>FASE II</v>
      </c>
      <c r="R653" s="155">
        <f t="shared" si="76"/>
        <v>52</v>
      </c>
      <c r="S653" s="156">
        <f t="shared" si="79"/>
        <v>35884</v>
      </c>
      <c r="T653" s="156">
        <f t="shared" si="80"/>
        <v>1865968</v>
      </c>
    </row>
    <row r="654" spans="1:20" s="9" customFormat="1" ht="35.1" customHeight="1" x14ac:dyDescent="0.25">
      <c r="A654" s="215"/>
      <c r="B654" s="255" t="s">
        <v>942</v>
      </c>
      <c r="C654" s="254" t="s">
        <v>935</v>
      </c>
      <c r="D654" s="240" t="s">
        <v>16</v>
      </c>
      <c r="E654" s="242">
        <v>1</v>
      </c>
      <c r="F654" s="242">
        <v>4</v>
      </c>
      <c r="G654" s="242">
        <v>5</v>
      </c>
      <c r="H654" s="243">
        <v>254605</v>
      </c>
      <c r="I654" s="243">
        <f t="shared" si="77"/>
        <v>1273025</v>
      </c>
      <c r="J654" s="8"/>
      <c r="K654" s="8">
        <f t="shared" si="75"/>
        <v>254605</v>
      </c>
      <c r="L654" s="8">
        <f t="shared" si="78"/>
        <v>254605</v>
      </c>
      <c r="M654" s="9" t="str">
        <f t="array" ref="M654:P654">_xlfn.XLOOKUP(C654,'Neiva 2022 FASE I ACTUAL (5)'!$C$6:$C$540,'Neiva 2022 FASE I ACTUAL (5)'!$C$6:$F$540,"NO ESTA")</f>
        <v>SUMINISTRO E INSTALACION ORGANIZADOR HORIZONTAL 2U</v>
      </c>
      <c r="N654" s="9" t="str">
        <v>UND</v>
      </c>
      <c r="O654" s="9">
        <v>4</v>
      </c>
      <c r="P654" s="9">
        <v>244338</v>
      </c>
      <c r="Q654" s="124" t="str">
        <f t="shared" si="81"/>
        <v>FASE II</v>
      </c>
      <c r="R654" s="155">
        <f t="shared" si="76"/>
        <v>5</v>
      </c>
      <c r="S654" s="156">
        <f t="shared" si="79"/>
        <v>254605</v>
      </c>
      <c r="T654" s="156">
        <f t="shared" si="80"/>
        <v>1273025</v>
      </c>
    </row>
    <row r="655" spans="1:20" s="9" customFormat="1" ht="35.1" customHeight="1" x14ac:dyDescent="0.25">
      <c r="A655" s="215"/>
      <c r="B655" s="244" t="s">
        <v>943</v>
      </c>
      <c r="C655" s="245" t="s">
        <v>944</v>
      </c>
      <c r="D655" s="260"/>
      <c r="E655" s="246"/>
      <c r="F655" s="246"/>
      <c r="G655" s="246"/>
      <c r="H655" s="246"/>
      <c r="I655" s="246"/>
      <c r="J655" s="8"/>
      <c r="K655" s="8">
        <f t="shared" si="75"/>
        <v>0</v>
      </c>
      <c r="L655" s="8">
        <f t="shared" si="78"/>
        <v>0</v>
      </c>
      <c r="M655" s="9" t="str">
        <f t="array" ref="M655:P655">_xlfn.XLOOKUP(C655,'Neiva 2022 FASE I ACTUAL (5)'!$C$6:$C$540,'Neiva 2022 FASE I ACTUAL (5)'!$C$6:$F$540,"NO ESTA")</f>
        <v>SUMINISTRO E INSTALACIÓN DE BACKBONE</v>
      </c>
      <c r="N655" s="9">
        <v>0</v>
      </c>
      <c r="O655" s="9">
        <v>0</v>
      </c>
      <c r="P655" s="9">
        <v>0</v>
      </c>
      <c r="Q655" s="124">
        <f t="shared" si="81"/>
        <v>0</v>
      </c>
      <c r="R655" s="155">
        <f t="shared" si="76"/>
        <v>0</v>
      </c>
      <c r="S655" s="156">
        <f t="shared" si="79"/>
        <v>0</v>
      </c>
      <c r="T655" s="156">
        <f t="shared" si="80"/>
        <v>0</v>
      </c>
    </row>
    <row r="656" spans="1:20" s="9" customFormat="1" ht="35.1" customHeight="1" x14ac:dyDescent="0.25">
      <c r="A656" s="215"/>
      <c r="B656" s="255" t="s">
        <v>945</v>
      </c>
      <c r="C656" s="254" t="s">
        <v>946</v>
      </c>
      <c r="D656" s="240" t="s">
        <v>94</v>
      </c>
      <c r="E656" s="242">
        <v>32</v>
      </c>
      <c r="F656" s="242">
        <v>12</v>
      </c>
      <c r="G656" s="242">
        <v>44</v>
      </c>
      <c r="H656" s="243">
        <v>19906</v>
      </c>
      <c r="I656" s="243">
        <f t="shared" si="77"/>
        <v>875864</v>
      </c>
      <c r="J656" s="8"/>
      <c r="K656" s="8">
        <f t="shared" si="75"/>
        <v>19906</v>
      </c>
      <c r="L656" s="8">
        <f t="shared" si="78"/>
        <v>636992</v>
      </c>
      <c r="M656" s="9" t="str">
        <f t="array" ref="M656:P656">_xlfn.XLOOKUP(C656,'Neiva 2022 FASE I ACTUAL (5)'!$C$6:$C$540,'Neiva 2022 FASE I ACTUAL (5)'!$C$6:$F$540,"NO ESTA")</f>
        <v>SUMINISTRO E INSTALACION FIBRA OPTICA 6 HILOS MULTIMODO 50/125 u.</v>
      </c>
      <c r="N656" s="9" t="str">
        <v>ML</v>
      </c>
      <c r="O656" s="9">
        <v>12</v>
      </c>
      <c r="P656" s="9">
        <v>19104</v>
      </c>
      <c r="Q656" s="124" t="str">
        <f t="shared" si="81"/>
        <v>FASE II</v>
      </c>
      <c r="R656" s="155">
        <f t="shared" si="76"/>
        <v>44</v>
      </c>
      <c r="S656" s="156">
        <f t="shared" si="79"/>
        <v>19906</v>
      </c>
      <c r="T656" s="156">
        <f t="shared" si="80"/>
        <v>875864</v>
      </c>
    </row>
    <row r="657" spans="1:20" s="9" customFormat="1" ht="35.1" customHeight="1" x14ac:dyDescent="0.25">
      <c r="A657" s="215"/>
      <c r="B657" s="255" t="s">
        <v>947</v>
      </c>
      <c r="C657" s="254" t="s">
        <v>948</v>
      </c>
      <c r="D657" s="240" t="s">
        <v>16</v>
      </c>
      <c r="E657" s="242">
        <v>2</v>
      </c>
      <c r="F657" s="242">
        <v>2</v>
      </c>
      <c r="G657" s="242">
        <v>4</v>
      </c>
      <c r="H657" s="243">
        <v>717630</v>
      </c>
      <c r="I657" s="243">
        <f t="shared" si="77"/>
        <v>2870520</v>
      </c>
      <c r="J657" s="8"/>
      <c r="K657" s="8">
        <f t="shared" si="75"/>
        <v>717630</v>
      </c>
      <c r="L657" s="8">
        <f t="shared" si="78"/>
        <v>1435260</v>
      </c>
      <c r="M657" s="9" t="str">
        <f t="array" ref="M657:P657">_xlfn.XLOOKUP(C657,'Neiva 2022 FASE I ACTUAL (5)'!$C$6:$C$540,'Neiva 2022 FASE I ACTUAL (5)'!$C$6:$F$540,"NO ESTA")</f>
        <v>SUMINISTRO E INSTALACION BANDEJA DE FIBRA OPTICA DE 24 PUERTOS</v>
      </c>
      <c r="N657" s="9" t="str">
        <v>UND</v>
      </c>
      <c r="O657" s="9">
        <v>2</v>
      </c>
      <c r="P657" s="9">
        <v>688690</v>
      </c>
      <c r="Q657" s="124" t="str">
        <f t="shared" si="81"/>
        <v>FASE II</v>
      </c>
      <c r="R657" s="155">
        <f t="shared" si="76"/>
        <v>4</v>
      </c>
      <c r="S657" s="156">
        <f t="shared" si="79"/>
        <v>717630</v>
      </c>
      <c r="T657" s="156">
        <f t="shared" si="80"/>
        <v>2870520</v>
      </c>
    </row>
    <row r="658" spans="1:20" s="9" customFormat="1" ht="35.1" customHeight="1" x14ac:dyDescent="0.25">
      <c r="A658" s="215"/>
      <c r="B658" s="255" t="s">
        <v>949</v>
      </c>
      <c r="C658" s="254" t="s">
        <v>950</v>
      </c>
      <c r="D658" s="240" t="s">
        <v>16</v>
      </c>
      <c r="E658" s="242">
        <v>2</v>
      </c>
      <c r="F658" s="242">
        <v>2</v>
      </c>
      <c r="G658" s="242">
        <v>4</v>
      </c>
      <c r="H658" s="243">
        <v>254605</v>
      </c>
      <c r="I658" s="243">
        <f t="shared" si="77"/>
        <v>1018420</v>
      </c>
      <c r="J658" s="8"/>
      <c r="K658" s="8">
        <f t="shared" si="75"/>
        <v>254605</v>
      </c>
      <c r="L658" s="8">
        <f t="shared" si="78"/>
        <v>509210</v>
      </c>
      <c r="M658" s="9" t="str">
        <f t="array" ref="M658:P658">_xlfn.XLOOKUP(C658,'Neiva 2022 FASE I ACTUAL (5)'!$C$6:$C$540,'Neiva 2022 FASE I ACTUAL (5)'!$C$6:$F$540,"NO ESTA")</f>
        <v>SUMINISTRO E INSTALACION ORGANIZADOR HORIZONTAL 1U</v>
      </c>
      <c r="N658" s="9" t="str">
        <v>UND</v>
      </c>
      <c r="O658" s="9">
        <v>2</v>
      </c>
      <c r="P658" s="9">
        <v>244338</v>
      </c>
      <c r="Q658" s="124" t="str">
        <f t="shared" si="81"/>
        <v>FASE II</v>
      </c>
      <c r="R658" s="155">
        <f t="shared" si="76"/>
        <v>4</v>
      </c>
      <c r="S658" s="156">
        <f t="shared" si="79"/>
        <v>254605</v>
      </c>
      <c r="T658" s="156">
        <f t="shared" si="80"/>
        <v>1018420</v>
      </c>
    </row>
    <row r="659" spans="1:20" s="9" customFormat="1" ht="35.1" customHeight="1" x14ac:dyDescent="0.25">
      <c r="A659" s="215"/>
      <c r="B659" s="244" t="s">
        <v>951</v>
      </c>
      <c r="C659" s="245" t="s">
        <v>952</v>
      </c>
      <c r="D659" s="260"/>
      <c r="E659" s="246"/>
      <c r="F659" s="246"/>
      <c r="G659" s="246"/>
      <c r="H659" s="246"/>
      <c r="I659" s="246"/>
      <c r="J659" s="8"/>
      <c r="K659" s="8">
        <f t="shared" si="75"/>
        <v>0</v>
      </c>
      <c r="L659" s="8">
        <f t="shared" si="78"/>
        <v>0</v>
      </c>
      <c r="M659" s="9" t="str">
        <f t="array" ref="M659:P659">_xlfn.XLOOKUP(C659,'Neiva 2022 FASE I ACTUAL (5)'!$C$6:$C$540,'Neiva 2022 FASE I ACTUAL (5)'!$C$6:$F$540,"NO ESTA")</f>
        <v xml:space="preserve">SUMINISTRO E INSTALACIÓN DE OTROS </v>
      </c>
      <c r="N659" s="9">
        <v>0</v>
      </c>
      <c r="O659" s="9">
        <v>0</v>
      </c>
      <c r="P659" s="9">
        <v>0</v>
      </c>
      <c r="Q659" s="124">
        <f t="shared" si="81"/>
        <v>0</v>
      </c>
      <c r="R659" s="155">
        <f t="shared" si="76"/>
        <v>0</v>
      </c>
      <c r="S659" s="156">
        <f t="shared" si="79"/>
        <v>0</v>
      </c>
      <c r="T659" s="156">
        <f t="shared" si="80"/>
        <v>0</v>
      </c>
    </row>
    <row r="660" spans="1:20" s="9" customFormat="1" ht="35.1" customHeight="1" x14ac:dyDescent="0.25">
      <c r="A660" s="215"/>
      <c r="B660" s="255" t="s">
        <v>953</v>
      </c>
      <c r="C660" s="254" t="s">
        <v>954</v>
      </c>
      <c r="D660" s="240" t="s">
        <v>16</v>
      </c>
      <c r="E660" s="242">
        <v>3</v>
      </c>
      <c r="F660" s="242">
        <v>1</v>
      </c>
      <c r="G660" s="242">
        <v>4</v>
      </c>
      <c r="H660" s="243">
        <v>4574549</v>
      </c>
      <c r="I660" s="243">
        <f t="shared" si="77"/>
        <v>18298196</v>
      </c>
      <c r="J660" s="8"/>
      <c r="K660" s="8">
        <f t="shared" si="75"/>
        <v>4574549</v>
      </c>
      <c r="L660" s="8">
        <f t="shared" si="78"/>
        <v>13723647</v>
      </c>
      <c r="M660" s="9" t="str">
        <f t="array" ref="M660:P660">_xlfn.XLOOKUP(C660,'Neiva 2022 FASE I ACTUAL (5)'!$C$6:$C$540,'Neiva 2022 FASE I ACTUAL (5)'!$C$6:$F$540,"NO ESTA")</f>
        <v>SUMINISTRO E INSTALACION GABINETE 2,10 m ALTO X 0,71 m PROFUNDO Y 0,81 m DE ANCHO</v>
      </c>
      <c r="N660" s="9" t="str">
        <v>UND</v>
      </c>
      <c r="O660" s="9">
        <v>1</v>
      </c>
      <c r="P660" s="9">
        <v>4390063</v>
      </c>
      <c r="Q660" s="124" t="str">
        <f t="shared" si="81"/>
        <v>FASE II</v>
      </c>
      <c r="R660" s="155">
        <f t="shared" si="76"/>
        <v>4</v>
      </c>
      <c r="S660" s="156">
        <f t="shared" si="79"/>
        <v>4574549</v>
      </c>
      <c r="T660" s="156">
        <f t="shared" si="80"/>
        <v>18298196</v>
      </c>
    </row>
    <row r="661" spans="1:20" s="9" customFormat="1" ht="35.1" customHeight="1" x14ac:dyDescent="0.25">
      <c r="A661" s="215"/>
      <c r="B661" s="255" t="s">
        <v>955</v>
      </c>
      <c r="C661" s="254" t="s">
        <v>956</v>
      </c>
      <c r="D661" s="240" t="s">
        <v>16</v>
      </c>
      <c r="E661" s="242">
        <v>6</v>
      </c>
      <c r="F661" s="242">
        <v>2</v>
      </c>
      <c r="G661" s="242">
        <v>8</v>
      </c>
      <c r="H661" s="243">
        <v>587879</v>
      </c>
      <c r="I661" s="243">
        <f t="shared" si="77"/>
        <v>4703032</v>
      </c>
      <c r="J661" s="8"/>
      <c r="K661" s="8">
        <f t="shared" si="75"/>
        <v>587879</v>
      </c>
      <c r="L661" s="8">
        <f t="shared" si="78"/>
        <v>3527274</v>
      </c>
      <c r="M661" s="9" t="str">
        <f t="array" ref="M661:P661">_xlfn.XLOOKUP(C661,'Neiva 2022 FASE I ACTUAL (5)'!$C$6:$C$540,'Neiva 2022 FASE I ACTUAL (5)'!$C$6:$F$540,"NO ESTA")</f>
        <v>SUMINISTRO E INSTALACION ORGANIZADOR VERTICAL</v>
      </c>
      <c r="N661" s="9" t="str">
        <v>UND</v>
      </c>
      <c r="O661" s="9">
        <v>2</v>
      </c>
      <c r="P661" s="9">
        <v>564171</v>
      </c>
      <c r="Q661" s="124" t="str">
        <f t="shared" si="81"/>
        <v>FASE II</v>
      </c>
      <c r="R661" s="155">
        <f t="shared" si="76"/>
        <v>8</v>
      </c>
      <c r="S661" s="156">
        <f t="shared" si="79"/>
        <v>587879</v>
      </c>
      <c r="T661" s="156">
        <f t="shared" si="80"/>
        <v>4703032</v>
      </c>
    </row>
    <row r="662" spans="1:20" s="9" customFormat="1" ht="35.1" customHeight="1" x14ac:dyDescent="0.25">
      <c r="A662" s="215"/>
      <c r="B662" s="255" t="s">
        <v>957</v>
      </c>
      <c r="C662" s="254" t="s">
        <v>958</v>
      </c>
      <c r="D662" s="240" t="s">
        <v>16</v>
      </c>
      <c r="E662" s="242">
        <v>3</v>
      </c>
      <c r="F662" s="242">
        <v>1</v>
      </c>
      <c r="G662" s="242">
        <v>4</v>
      </c>
      <c r="H662" s="243">
        <v>509102</v>
      </c>
      <c r="I662" s="243">
        <f t="shared" si="77"/>
        <v>2036408</v>
      </c>
      <c r="J662" s="8"/>
      <c r="K662" s="8">
        <f t="shared" si="75"/>
        <v>509102</v>
      </c>
      <c r="L662" s="8">
        <f t="shared" si="78"/>
        <v>1527306</v>
      </c>
      <c r="M662" s="9" t="str">
        <f t="array" ref="M662:P662">_xlfn.XLOOKUP(C662,'Neiva 2022 FASE I ACTUAL (5)'!$C$6:$C$540,'Neiva 2022 FASE I ACTUAL (5)'!$C$6:$F$540,"NO ESTA")</f>
        <v>SUMINISTRO E INSTALACION MULTITOMA CON 5 SALIDAS ELECTRICAS GRADO HOSPITALARIO</v>
      </c>
      <c r="N662" s="9" t="str">
        <v>UND</v>
      </c>
      <c r="O662" s="9">
        <v>1</v>
      </c>
      <c r="P662" s="9">
        <v>488570</v>
      </c>
      <c r="Q662" s="124" t="str">
        <f t="shared" si="81"/>
        <v>FASE II</v>
      </c>
      <c r="R662" s="155">
        <f t="shared" si="76"/>
        <v>4</v>
      </c>
      <c r="S662" s="156">
        <f t="shared" si="79"/>
        <v>509102</v>
      </c>
      <c r="T662" s="156">
        <f t="shared" si="80"/>
        <v>2036408</v>
      </c>
    </row>
    <row r="663" spans="1:20" s="9" customFormat="1" ht="35.1" customHeight="1" x14ac:dyDescent="0.25">
      <c r="A663" s="215"/>
      <c r="B663" s="255" t="s">
        <v>959</v>
      </c>
      <c r="C663" s="254" t="s">
        <v>960</v>
      </c>
      <c r="D663" s="240" t="s">
        <v>94</v>
      </c>
      <c r="E663" s="242">
        <v>29</v>
      </c>
      <c r="F663" s="242">
        <v>11</v>
      </c>
      <c r="G663" s="242">
        <v>40</v>
      </c>
      <c r="H663" s="243">
        <v>4703</v>
      </c>
      <c r="I663" s="243">
        <f t="shared" si="77"/>
        <v>188120</v>
      </c>
      <c r="J663" s="8"/>
      <c r="K663" s="8">
        <f t="shared" si="75"/>
        <v>4703</v>
      </c>
      <c r="L663" s="8">
        <f t="shared" si="78"/>
        <v>136387</v>
      </c>
      <c r="M663" s="9" t="str">
        <f t="array" ref="M663:P663">_xlfn.XLOOKUP(C663,'Neiva 2022 FASE I ACTUAL (5)'!$C$6:$C$540,'Neiva 2022 FASE I ACTUAL (5)'!$C$6:$F$540,"NO ESTA")</f>
        <v>SUMINISTRO E INSTALACION CABLE THHN No. 6 AWG VERDE. PARA ATERRIZAJE DE ELEMENTOS Y GABINATE</v>
      </c>
      <c r="N663" s="9" t="str">
        <v>ML</v>
      </c>
      <c r="O663" s="9">
        <v>11</v>
      </c>
      <c r="P663" s="9">
        <v>4514</v>
      </c>
      <c r="Q663" s="124" t="str">
        <f t="shared" si="81"/>
        <v>FASE II</v>
      </c>
      <c r="R663" s="155">
        <f t="shared" si="76"/>
        <v>40</v>
      </c>
      <c r="S663" s="156">
        <f t="shared" si="79"/>
        <v>4703</v>
      </c>
      <c r="T663" s="156">
        <f t="shared" si="80"/>
        <v>188120</v>
      </c>
    </row>
    <row r="664" spans="1:20" s="9" customFormat="1" ht="35.1" customHeight="1" x14ac:dyDescent="0.25">
      <c r="A664" s="215"/>
      <c r="B664" s="255" t="s">
        <v>961</v>
      </c>
      <c r="C664" s="254" t="s">
        <v>962</v>
      </c>
      <c r="D664" s="255" t="s">
        <v>94</v>
      </c>
      <c r="E664" s="242">
        <v>316</v>
      </c>
      <c r="F664" s="242">
        <v>230</v>
      </c>
      <c r="G664" s="242">
        <v>546</v>
      </c>
      <c r="H664" s="243">
        <v>156626</v>
      </c>
      <c r="I664" s="243">
        <f t="shared" si="77"/>
        <v>85517796</v>
      </c>
      <c r="J664" s="8"/>
      <c r="K664" s="8">
        <f t="shared" si="75"/>
        <v>156626</v>
      </c>
      <c r="L664" s="8">
        <f t="shared" si="78"/>
        <v>49493816</v>
      </c>
      <c r="M664" s="9" t="str">
        <f t="array" ref="M664:P664">_xlfn.XLOOKUP(C664,'Neiva 2022 FASE I ACTUAL (5)'!$C$6:$C$540,'Neiva 2022 FASE I ACTUAL (5)'!$C$6:$F$540,"NO ESTA")</f>
        <v>SUMINISTRO E INSTALACION BANDEJA TIPO MALLA DE 40 x 8 cm CON ACCESORIOS</v>
      </c>
      <c r="N664" s="9" t="str">
        <v>ML</v>
      </c>
      <c r="O664" s="9">
        <v>230</v>
      </c>
      <c r="P664" s="9">
        <v>150309</v>
      </c>
      <c r="Q664" s="124" t="str">
        <f t="shared" si="81"/>
        <v>FASE II</v>
      </c>
      <c r="R664" s="155">
        <f t="shared" si="76"/>
        <v>546</v>
      </c>
      <c r="S664" s="156">
        <f t="shared" si="79"/>
        <v>156626</v>
      </c>
      <c r="T664" s="156">
        <f t="shared" si="80"/>
        <v>85517796</v>
      </c>
    </row>
    <row r="665" spans="1:20" s="9" customFormat="1" ht="35.1" customHeight="1" x14ac:dyDescent="0.25">
      <c r="A665" s="215"/>
      <c r="B665" s="255" t="s">
        <v>963</v>
      </c>
      <c r="C665" s="254" t="s">
        <v>964</v>
      </c>
      <c r="D665" s="240" t="s">
        <v>94</v>
      </c>
      <c r="E665" s="242">
        <v>245</v>
      </c>
      <c r="F665" s="242">
        <v>91</v>
      </c>
      <c r="G665" s="242">
        <v>336</v>
      </c>
      <c r="H665" s="243">
        <v>37109</v>
      </c>
      <c r="I665" s="243">
        <f t="shared" si="77"/>
        <v>12468624</v>
      </c>
      <c r="J665" s="8"/>
      <c r="K665" s="8">
        <f t="shared" si="75"/>
        <v>37109</v>
      </c>
      <c r="L665" s="8">
        <f t="shared" si="78"/>
        <v>9091705</v>
      </c>
      <c r="M665" s="9" t="str">
        <f t="array" ref="M665:P665">_xlfn.XLOOKUP(C665,'Neiva 2022 FASE I ACTUAL (5)'!$C$6:$C$540,'Neiva 2022 FASE I ACTUAL (5)'!$C$6:$F$540,"NO ESTA")</f>
        <v>SUMINISTRO E INSTALACION CANALETA METÁLICA DE 12 x 5 cm.</v>
      </c>
      <c r="N665" s="9" t="str">
        <v>ML</v>
      </c>
      <c r="O665" s="9">
        <v>91</v>
      </c>
      <c r="P665" s="9">
        <v>35614</v>
      </c>
      <c r="Q665" s="124" t="str">
        <f t="shared" si="81"/>
        <v>FASE II</v>
      </c>
      <c r="R665" s="155">
        <f t="shared" si="76"/>
        <v>336</v>
      </c>
      <c r="S665" s="156">
        <f t="shared" si="79"/>
        <v>37109</v>
      </c>
      <c r="T665" s="156">
        <f t="shared" si="80"/>
        <v>12468624</v>
      </c>
    </row>
    <row r="666" spans="1:20" s="9" customFormat="1" ht="35.1" customHeight="1" x14ac:dyDescent="0.25">
      <c r="A666" s="215"/>
      <c r="B666" s="255" t="s">
        <v>965</v>
      </c>
      <c r="C666" s="254" t="s">
        <v>966</v>
      </c>
      <c r="D666" s="240" t="s">
        <v>94</v>
      </c>
      <c r="E666" s="242">
        <v>64</v>
      </c>
      <c r="F666" s="242">
        <v>23</v>
      </c>
      <c r="G666" s="242">
        <v>87</v>
      </c>
      <c r="H666" s="243">
        <v>20494</v>
      </c>
      <c r="I666" s="243">
        <f t="shared" si="77"/>
        <v>1782978</v>
      </c>
      <c r="J666" s="8"/>
      <c r="K666" s="8">
        <f t="shared" si="75"/>
        <v>20494</v>
      </c>
      <c r="L666" s="8">
        <f t="shared" si="78"/>
        <v>1311616</v>
      </c>
      <c r="M666" s="9" t="str">
        <f t="array" ref="M666:P666">_xlfn.XLOOKUP(C666,'Neiva 2022 FASE I ACTUAL (5)'!$C$6:$C$540,'Neiva 2022 FASE I ACTUAL (5)'!$C$6:$F$540,"NO ESTA")</f>
        <v>SUMINISTRO E INSTALACION TUBERÍA EMT DE 1" INCLUYE ACCESORIOS</v>
      </c>
      <c r="N666" s="9" t="str">
        <v>ML</v>
      </c>
      <c r="O666" s="9">
        <v>23</v>
      </c>
      <c r="P666" s="9">
        <v>19668</v>
      </c>
      <c r="Q666" s="124" t="str">
        <f t="shared" si="81"/>
        <v>FASE II</v>
      </c>
      <c r="R666" s="155">
        <f t="shared" si="76"/>
        <v>87</v>
      </c>
      <c r="S666" s="156">
        <f t="shared" si="79"/>
        <v>20494</v>
      </c>
      <c r="T666" s="156">
        <f t="shared" si="80"/>
        <v>1782978</v>
      </c>
    </row>
    <row r="667" spans="1:20" s="9" customFormat="1" ht="35.1" customHeight="1" x14ac:dyDescent="0.25">
      <c r="A667" s="215"/>
      <c r="B667" s="255" t="s">
        <v>967</v>
      </c>
      <c r="C667" s="254" t="s">
        <v>968</v>
      </c>
      <c r="D667" s="240" t="s">
        <v>94</v>
      </c>
      <c r="E667" s="242">
        <v>166</v>
      </c>
      <c r="F667" s="242">
        <v>61</v>
      </c>
      <c r="G667" s="242">
        <v>227</v>
      </c>
      <c r="H667" s="243">
        <v>16288</v>
      </c>
      <c r="I667" s="243">
        <f t="shared" si="77"/>
        <v>3697376</v>
      </c>
      <c r="J667" s="8"/>
      <c r="K667" s="8">
        <f t="shared" si="75"/>
        <v>16288</v>
      </c>
      <c r="L667" s="8">
        <f t="shared" si="78"/>
        <v>2703808</v>
      </c>
      <c r="M667" s="9" t="str">
        <f t="array" ref="M667:P667">_xlfn.XLOOKUP(C667,'Neiva 2022 FASE I ACTUAL (5)'!$C$6:$C$540,'Neiva 2022 FASE I ACTUAL (5)'!$C$6:$F$540,"NO ESTA")</f>
        <v>SUMINISTRO E INSTALACION TUBERÍA EMT DE 3/4" INCLUYE ACCESORIOS</v>
      </c>
      <c r="N667" s="9" t="str">
        <v>ML</v>
      </c>
      <c r="O667" s="9">
        <v>61</v>
      </c>
      <c r="P667" s="9">
        <v>15631</v>
      </c>
      <c r="Q667" s="124" t="str">
        <f t="shared" si="81"/>
        <v>FASE II</v>
      </c>
      <c r="R667" s="155">
        <f t="shared" si="76"/>
        <v>227</v>
      </c>
      <c r="S667" s="156">
        <f t="shared" si="79"/>
        <v>16288</v>
      </c>
      <c r="T667" s="156">
        <f t="shared" si="80"/>
        <v>3697376</v>
      </c>
    </row>
    <row r="668" spans="1:20" s="9" customFormat="1" ht="35.1" customHeight="1" x14ac:dyDescent="0.25">
      <c r="A668" s="215"/>
      <c r="B668" s="255" t="s">
        <v>969</v>
      </c>
      <c r="C668" s="254" t="s">
        <v>970</v>
      </c>
      <c r="D668" s="240" t="s">
        <v>94</v>
      </c>
      <c r="E668" s="242">
        <v>22</v>
      </c>
      <c r="F668" s="242">
        <v>8</v>
      </c>
      <c r="G668" s="242">
        <v>30</v>
      </c>
      <c r="H668" s="243">
        <v>6002</v>
      </c>
      <c r="I668" s="243">
        <f t="shared" si="77"/>
        <v>180060</v>
      </c>
      <c r="J668" s="8"/>
      <c r="K668" s="8">
        <f t="shared" si="75"/>
        <v>6002</v>
      </c>
      <c r="L668" s="8">
        <f t="shared" si="78"/>
        <v>132044</v>
      </c>
      <c r="M668" s="9" t="str">
        <f t="array" ref="M668:P668">_xlfn.XLOOKUP(C668,'Neiva 2022 FASE I ACTUAL (5)'!$C$6:$C$540,'Neiva 2022 FASE I ACTUAL (5)'!$C$6:$F$540,"NO ESTA")</f>
        <v>SUMINISTRO E INSTALACION TUBERÍA PVC DE 1" INCLUYE ACCESORIOS</v>
      </c>
      <c r="N668" s="9" t="str">
        <v>ML</v>
      </c>
      <c r="O668" s="9">
        <v>8</v>
      </c>
      <c r="P668" s="9">
        <v>5759</v>
      </c>
      <c r="Q668" s="124" t="str">
        <f t="shared" si="81"/>
        <v>FASE II</v>
      </c>
      <c r="R668" s="155">
        <f t="shared" si="76"/>
        <v>30</v>
      </c>
      <c r="S668" s="156">
        <f t="shared" si="79"/>
        <v>6002</v>
      </c>
      <c r="T668" s="156">
        <f t="shared" si="80"/>
        <v>180060</v>
      </c>
    </row>
    <row r="669" spans="1:20" s="9" customFormat="1" ht="35.1" customHeight="1" x14ac:dyDescent="0.25">
      <c r="A669" s="215"/>
      <c r="B669" s="255" t="s">
        <v>971</v>
      </c>
      <c r="C669" s="254" t="s">
        <v>972</v>
      </c>
      <c r="D669" s="240" t="s">
        <v>94</v>
      </c>
      <c r="E669" s="242">
        <v>84</v>
      </c>
      <c r="F669" s="242">
        <v>31</v>
      </c>
      <c r="G669" s="242">
        <v>115</v>
      </c>
      <c r="H669" s="243">
        <v>4829</v>
      </c>
      <c r="I669" s="243">
        <f t="shared" si="77"/>
        <v>555335</v>
      </c>
      <c r="J669" s="8"/>
      <c r="K669" s="8">
        <f t="shared" si="75"/>
        <v>4829</v>
      </c>
      <c r="L669" s="8">
        <f t="shared" si="78"/>
        <v>405636</v>
      </c>
      <c r="M669" s="9" t="str">
        <f t="array" ref="M669:P669">_xlfn.XLOOKUP(C669,'Neiva 2022 FASE I ACTUAL (5)'!$C$6:$C$540,'Neiva 2022 FASE I ACTUAL (5)'!$C$6:$F$540,"NO ESTA")</f>
        <v>SUMINISTRO E INSTALACION TUBERÍA PVC DE 3/4" INCLUYE ACCESORIOS</v>
      </c>
      <c r="N669" s="9" t="str">
        <v>ML</v>
      </c>
      <c r="O669" s="9">
        <v>31</v>
      </c>
      <c r="P669" s="9">
        <v>4633</v>
      </c>
      <c r="Q669" s="124" t="str">
        <f t="shared" si="81"/>
        <v>FASE II</v>
      </c>
      <c r="R669" s="155">
        <f t="shared" si="76"/>
        <v>115</v>
      </c>
      <c r="S669" s="156">
        <f t="shared" si="79"/>
        <v>4829</v>
      </c>
      <c r="T669" s="156">
        <f t="shared" si="80"/>
        <v>555335</v>
      </c>
    </row>
    <row r="670" spans="1:20" s="9" customFormat="1" ht="35.1" customHeight="1" x14ac:dyDescent="0.25">
      <c r="A670" s="215"/>
      <c r="B670" s="255" t="s">
        <v>973</v>
      </c>
      <c r="C670" s="254" t="s">
        <v>974</v>
      </c>
      <c r="D670" s="240" t="s">
        <v>16</v>
      </c>
      <c r="E670" s="242">
        <v>2</v>
      </c>
      <c r="F670" s="242">
        <v>4</v>
      </c>
      <c r="G670" s="242">
        <v>6</v>
      </c>
      <c r="H670" s="243">
        <v>783095</v>
      </c>
      <c r="I670" s="243">
        <f t="shared" si="77"/>
        <v>4698570</v>
      </c>
      <c r="J670" s="8"/>
      <c r="K670" s="8">
        <f t="shared" si="75"/>
        <v>783095</v>
      </c>
      <c r="L670" s="8">
        <f t="shared" si="78"/>
        <v>1566190</v>
      </c>
      <c r="M670" s="9" t="str">
        <f t="array" ref="M670:P670">_xlfn.XLOOKUP(C670,'Neiva 2022 FASE I ACTUAL (5)'!$C$6:$C$540,'Neiva 2022 FASE I ACTUAL (5)'!$C$6:$F$540,"NO ESTA")</f>
        <v>SUMINISTRO E INSTALACION PARRILLA ORGANIZADORA DE CABLES DE 1,20 x 0,6 m</v>
      </c>
      <c r="N670" s="9" t="str">
        <v>UND</v>
      </c>
      <c r="O670" s="9">
        <v>4</v>
      </c>
      <c r="P670" s="9">
        <v>751513</v>
      </c>
      <c r="Q670" s="124" t="str">
        <f t="shared" si="81"/>
        <v>FASE II</v>
      </c>
      <c r="R670" s="155">
        <f t="shared" si="76"/>
        <v>6</v>
      </c>
      <c r="S670" s="156">
        <f t="shared" si="79"/>
        <v>783095</v>
      </c>
      <c r="T670" s="156">
        <f t="shared" si="80"/>
        <v>4698570</v>
      </c>
    </row>
    <row r="671" spans="1:20" s="9" customFormat="1" ht="35.1" customHeight="1" x14ac:dyDescent="0.25">
      <c r="A671" s="215"/>
      <c r="B671" s="255" t="s">
        <v>975</v>
      </c>
      <c r="C671" s="254" t="s">
        <v>976</v>
      </c>
      <c r="D671" s="240" t="s">
        <v>16</v>
      </c>
      <c r="E671" s="242">
        <v>4</v>
      </c>
      <c r="F671" s="242">
        <v>4</v>
      </c>
      <c r="G671" s="242">
        <v>8</v>
      </c>
      <c r="H671" s="243">
        <v>13128</v>
      </c>
      <c r="I671" s="243">
        <f t="shared" si="77"/>
        <v>105024</v>
      </c>
      <c r="J671" s="8"/>
      <c r="K671" s="8">
        <f t="shared" si="75"/>
        <v>13128</v>
      </c>
      <c r="L671" s="8">
        <f t="shared" si="78"/>
        <v>52512</v>
      </c>
      <c r="M671" s="9" t="str">
        <f t="array" ref="M671:P671">_xlfn.XLOOKUP(C671,'Neiva 2022 FASE I ACTUAL (5)'!$C$6:$C$540,'Neiva 2022 FASE I ACTUAL (5)'!$C$6:$F$540,"NO ESTA")</f>
        <v>SUMINISTRO E INSTALACION CAJA DE PASO 10 x 10 m DOBLE FONDO</v>
      </c>
      <c r="N671" s="9" t="str">
        <v>UND</v>
      </c>
      <c r="O671" s="9">
        <v>4</v>
      </c>
      <c r="P671" s="9">
        <v>12598</v>
      </c>
      <c r="Q671" s="124" t="str">
        <f t="shared" si="81"/>
        <v>FASE II</v>
      </c>
      <c r="R671" s="155">
        <f t="shared" si="76"/>
        <v>8</v>
      </c>
      <c r="S671" s="156">
        <f t="shared" si="79"/>
        <v>13128</v>
      </c>
      <c r="T671" s="156">
        <f t="shared" si="80"/>
        <v>105024</v>
      </c>
    </row>
    <row r="672" spans="1:20" s="9" customFormat="1" ht="35.1" customHeight="1" x14ac:dyDescent="0.25">
      <c r="A672" s="215"/>
      <c r="B672" s="244" t="s">
        <v>977</v>
      </c>
      <c r="C672" s="256" t="s">
        <v>978</v>
      </c>
      <c r="D672" s="256"/>
      <c r="E672" s="246"/>
      <c r="F672" s="246"/>
      <c r="G672" s="246"/>
      <c r="H672" s="246"/>
      <c r="I672" s="246"/>
      <c r="J672" s="8"/>
      <c r="K672" s="8">
        <f t="shared" si="75"/>
        <v>0</v>
      </c>
      <c r="L672" s="8">
        <f t="shared" si="78"/>
        <v>0</v>
      </c>
      <c r="M672" s="9" t="str">
        <f t="array" ref="M672:P672">_xlfn.XLOOKUP(C672,'Neiva 2022 FASE I ACTUAL (5)'!$C$6:$C$540,'Neiva 2022 FASE I ACTUAL (5)'!$C$6:$F$540,"NO ESTA")</f>
        <v xml:space="preserve">SUMINISTRO E INSTALACIÓN DE REDES ELECTRICAS ESPECIALES </v>
      </c>
      <c r="N672" s="9">
        <v>0</v>
      </c>
      <c r="O672" s="9">
        <v>0</v>
      </c>
      <c r="P672" s="9">
        <v>0</v>
      </c>
      <c r="Q672" s="124">
        <f t="shared" si="81"/>
        <v>0</v>
      </c>
      <c r="R672" s="155">
        <f t="shared" si="76"/>
        <v>0</v>
      </c>
      <c r="S672" s="156">
        <f t="shared" si="79"/>
        <v>0</v>
      </c>
      <c r="T672" s="156">
        <f t="shared" si="80"/>
        <v>0</v>
      </c>
    </row>
    <row r="673" spans="1:20" s="9" customFormat="1" ht="35.1" customHeight="1" x14ac:dyDescent="0.25">
      <c r="A673" s="215"/>
      <c r="B673" s="255" t="s">
        <v>979</v>
      </c>
      <c r="C673" s="254" t="s">
        <v>980</v>
      </c>
      <c r="D673" s="240" t="s">
        <v>16</v>
      </c>
      <c r="E673" s="242">
        <v>2</v>
      </c>
      <c r="F673" s="242">
        <v>2</v>
      </c>
      <c r="G673" s="242">
        <v>4</v>
      </c>
      <c r="H673" s="243">
        <v>65231</v>
      </c>
      <c r="I673" s="243">
        <f t="shared" si="77"/>
        <v>260924</v>
      </c>
      <c r="J673" s="8"/>
      <c r="K673" s="8">
        <f t="shared" si="75"/>
        <v>65231</v>
      </c>
      <c r="L673" s="8">
        <f t="shared" si="78"/>
        <v>130462</v>
      </c>
      <c r="M673" s="9" t="str">
        <f t="array" ref="M673:P673">_xlfn.XLOOKUP(C673,'Neiva 2022 FASE I ACTUAL (5)'!$C$6:$C$540,'Neiva 2022 FASE I ACTUAL (5)'!$C$6:$F$540,"NO ESTA")</f>
        <v>SUMINISTRO E INSTALACION SALIDA TOMA NEMA L5-30 RAWELT</v>
      </c>
      <c r="N673" s="9" t="str">
        <v>UND</v>
      </c>
      <c r="O673" s="9">
        <v>2</v>
      </c>
      <c r="P673" s="9">
        <v>62600</v>
      </c>
      <c r="Q673" s="124" t="str">
        <f t="shared" si="81"/>
        <v>FASE II</v>
      </c>
      <c r="R673" s="155">
        <f t="shared" si="76"/>
        <v>4</v>
      </c>
      <c r="S673" s="156">
        <f t="shared" si="79"/>
        <v>65231</v>
      </c>
      <c r="T673" s="156">
        <f t="shared" si="80"/>
        <v>260924</v>
      </c>
    </row>
    <row r="674" spans="1:20" s="9" customFormat="1" ht="35.1" customHeight="1" x14ac:dyDescent="0.25">
      <c r="A674" s="215"/>
      <c r="B674" s="255" t="s">
        <v>981</v>
      </c>
      <c r="C674" s="254" t="s">
        <v>982</v>
      </c>
      <c r="D674" s="240" t="s">
        <v>94</v>
      </c>
      <c r="E674" s="242">
        <v>2</v>
      </c>
      <c r="F674" s="242">
        <v>2</v>
      </c>
      <c r="G674" s="242">
        <v>4</v>
      </c>
      <c r="H674" s="243">
        <v>6570</v>
      </c>
      <c r="I674" s="243">
        <f t="shared" si="77"/>
        <v>26280</v>
      </c>
      <c r="J674" s="8"/>
      <c r="K674" s="8">
        <f t="shared" si="75"/>
        <v>6570</v>
      </c>
      <c r="L674" s="8">
        <f t="shared" si="78"/>
        <v>13140</v>
      </c>
      <c r="M674" s="9" t="str">
        <f t="array" ref="M674:P674">_xlfn.XLOOKUP(C674,'Neiva 2022 FASE I ACTUAL (5)'!$C$6:$C$540,'Neiva 2022 FASE I ACTUAL (5)'!$C$6:$F$540,"NO ESTA")</f>
        <v>SUMINISTRO E INSTALACION CIRCUITO PREENSAMBLADO AZUL MONOFÁSICO NORMAL PARA RACK</v>
      </c>
      <c r="N674" s="9" t="str">
        <v>ML</v>
      </c>
      <c r="O674" s="9">
        <v>2</v>
      </c>
      <c r="P674" s="9">
        <v>6306</v>
      </c>
      <c r="Q674" s="124" t="str">
        <f t="shared" si="81"/>
        <v>FASE II</v>
      </c>
      <c r="R674" s="155">
        <f t="shared" si="76"/>
        <v>4</v>
      </c>
      <c r="S674" s="156">
        <f t="shared" si="79"/>
        <v>6570</v>
      </c>
      <c r="T674" s="156">
        <f t="shared" si="80"/>
        <v>26280</v>
      </c>
    </row>
    <row r="675" spans="1:20" s="9" customFormat="1" ht="35.1" customHeight="1" x14ac:dyDescent="0.25">
      <c r="A675" s="215"/>
      <c r="B675" s="255" t="s">
        <v>983</v>
      </c>
      <c r="C675" s="254" t="s">
        <v>984</v>
      </c>
      <c r="D675" s="240" t="s">
        <v>94</v>
      </c>
      <c r="E675" s="242">
        <v>2</v>
      </c>
      <c r="F675" s="242">
        <v>2</v>
      </c>
      <c r="G675" s="242">
        <v>4</v>
      </c>
      <c r="H675" s="243">
        <v>6570</v>
      </c>
      <c r="I675" s="243">
        <f t="shared" si="77"/>
        <v>26280</v>
      </c>
      <c r="J675" s="8"/>
      <c r="K675" s="8">
        <f t="shared" si="75"/>
        <v>6570</v>
      </c>
      <c r="L675" s="8">
        <f t="shared" si="78"/>
        <v>13140</v>
      </c>
      <c r="M675" s="9" t="str">
        <f t="array" ref="M675:P675">_xlfn.XLOOKUP(C675,'Neiva 2022 FASE I ACTUAL (5)'!$C$6:$C$540,'Neiva 2022 FASE I ACTUAL (5)'!$C$6:$F$540,"NO ESTA")</f>
        <v>SUMINISTRO E INSTALACION CIRCUITO PREENSAMBLADO ROJO MONOFÁSICO REGULADO PARA RACK</v>
      </c>
      <c r="N675" s="9" t="str">
        <v>ML</v>
      </c>
      <c r="O675" s="9">
        <v>2</v>
      </c>
      <c r="P675" s="9">
        <v>6306</v>
      </c>
      <c r="Q675" s="124" t="str">
        <f t="shared" si="81"/>
        <v>FASE II</v>
      </c>
      <c r="R675" s="155">
        <f t="shared" si="76"/>
        <v>4</v>
      </c>
      <c r="S675" s="156">
        <f t="shared" si="79"/>
        <v>6570</v>
      </c>
      <c r="T675" s="156">
        <f t="shared" si="80"/>
        <v>26280</v>
      </c>
    </row>
    <row r="676" spans="1:20" s="9" customFormat="1" ht="35.1" customHeight="1" x14ac:dyDescent="0.25">
      <c r="A676" s="215"/>
      <c r="B676" s="255" t="s">
        <v>985</v>
      </c>
      <c r="C676" s="254" t="s">
        <v>986</v>
      </c>
      <c r="D676" s="240" t="s">
        <v>16</v>
      </c>
      <c r="E676" s="242">
        <v>2</v>
      </c>
      <c r="F676" s="242">
        <v>2</v>
      </c>
      <c r="G676" s="242">
        <v>4</v>
      </c>
      <c r="H676" s="243">
        <v>642723</v>
      </c>
      <c r="I676" s="243">
        <f t="shared" si="77"/>
        <v>2570892</v>
      </c>
      <c r="J676" s="8"/>
      <c r="K676" s="8">
        <f t="shared" si="75"/>
        <v>642723</v>
      </c>
      <c r="L676" s="8">
        <f t="shared" si="78"/>
        <v>1285446</v>
      </c>
      <c r="M676" s="9" t="str">
        <f t="array" ref="M676:P676">_xlfn.XLOOKUP(C676,'Neiva 2022 FASE I ACTUAL (5)'!$C$6:$C$540,'Neiva 2022 FASE I ACTUAL (5)'!$C$6:$F$540,"NO ESTA")</f>
        <v>SUMINISTRO E INSTALACION BARRAJE DE PUESTA A TIERRA PARA RACK TGB</v>
      </c>
      <c r="N676" s="9" t="str">
        <v>UND</v>
      </c>
      <c r="O676" s="9">
        <v>2</v>
      </c>
      <c r="P676" s="9">
        <v>616802</v>
      </c>
      <c r="Q676" s="124" t="str">
        <f t="shared" si="81"/>
        <v>FASE II</v>
      </c>
      <c r="R676" s="155">
        <f t="shared" si="76"/>
        <v>4</v>
      </c>
      <c r="S676" s="156">
        <f t="shared" si="79"/>
        <v>642723</v>
      </c>
      <c r="T676" s="156">
        <f t="shared" si="80"/>
        <v>2570892</v>
      </c>
    </row>
    <row r="677" spans="1:20" s="9" customFormat="1" ht="35.1" customHeight="1" x14ac:dyDescent="0.25">
      <c r="A677" s="215"/>
      <c r="B677" s="244" t="s">
        <v>987</v>
      </c>
      <c r="C677" s="256" t="s">
        <v>988</v>
      </c>
      <c r="D677" s="256"/>
      <c r="E677" s="246"/>
      <c r="F677" s="246"/>
      <c r="G677" s="246"/>
      <c r="H677" s="246"/>
      <c r="I677" s="246"/>
      <c r="J677" s="8"/>
      <c r="K677" s="8">
        <f t="shared" si="75"/>
        <v>0</v>
      </c>
      <c r="L677" s="8">
        <f t="shared" si="78"/>
        <v>0</v>
      </c>
      <c r="M677" s="9" t="str">
        <f t="array" ref="M677:P677">_xlfn.XLOOKUP(C677,'Neiva 2022 FASE I ACTUAL (5)'!$C$6:$C$540,'Neiva 2022 FASE I ACTUAL (5)'!$C$6:$F$540,"NO ESTA")</f>
        <v>SUMINISTRO E INSTALACION DE EQUIPOS ACTIVOS</v>
      </c>
      <c r="N677" s="9">
        <v>0</v>
      </c>
      <c r="O677" s="9">
        <v>0</v>
      </c>
      <c r="P677" s="9">
        <v>0</v>
      </c>
      <c r="Q677" s="124">
        <f t="shared" si="81"/>
        <v>0</v>
      </c>
      <c r="R677" s="155">
        <f t="shared" si="76"/>
        <v>0</v>
      </c>
      <c r="S677" s="156">
        <f t="shared" si="79"/>
        <v>0</v>
      </c>
      <c r="T677" s="156">
        <f t="shared" si="80"/>
        <v>0</v>
      </c>
    </row>
    <row r="678" spans="1:20" s="9" customFormat="1" ht="35.1" customHeight="1" x14ac:dyDescent="0.25">
      <c r="A678" s="215"/>
      <c r="B678" s="240" t="s">
        <v>989</v>
      </c>
      <c r="C678" s="254" t="s">
        <v>990</v>
      </c>
      <c r="D678" s="240" t="s">
        <v>16</v>
      </c>
      <c r="E678" s="242">
        <v>13</v>
      </c>
      <c r="F678" s="242">
        <v>1</v>
      </c>
      <c r="G678" s="242">
        <v>14</v>
      </c>
      <c r="H678" s="243">
        <v>7458244</v>
      </c>
      <c r="I678" s="243">
        <f t="shared" si="77"/>
        <v>104415416</v>
      </c>
      <c r="J678" s="8"/>
      <c r="K678" s="8">
        <f t="shared" si="75"/>
        <v>7458244</v>
      </c>
      <c r="L678" s="8">
        <f t="shared" si="78"/>
        <v>96957172</v>
      </c>
      <c r="M678" s="9" t="str">
        <f t="array" ref="M678:P678">_xlfn.XLOOKUP(C678,'Neiva 2022 FASE I ACTUAL (5)'!$C$6:$C$540,'Neiva 2022 FASE I ACTUAL (5)'!$C$6:$F$540,"NO ESTA")</f>
        <v xml:space="preserve">SUMINISTRO E INSTALACION SWITCHE DE BORDE DE 24 PoE PUERTOS GIGABIT ETHERNET 10/100/1000 Gbps CON PUERTO DE ADMINSITRACION POR CONSOLA </v>
      </c>
      <c r="N678" s="9" t="str">
        <v>UND</v>
      </c>
      <c r="O678" s="9">
        <v>1</v>
      </c>
      <c r="P678" s="9">
        <v>7157462</v>
      </c>
      <c r="Q678" s="124" t="str">
        <f t="shared" si="81"/>
        <v>FASE II</v>
      </c>
      <c r="R678" s="155">
        <f t="shared" si="76"/>
        <v>14</v>
      </c>
      <c r="S678" s="156">
        <f t="shared" si="79"/>
        <v>7458244</v>
      </c>
      <c r="T678" s="156">
        <f t="shared" si="80"/>
        <v>104415416</v>
      </c>
    </row>
    <row r="679" spans="1:20" s="9" customFormat="1" ht="35.1" customHeight="1" x14ac:dyDescent="0.25">
      <c r="A679" s="215"/>
      <c r="B679" s="240" t="s">
        <v>991</v>
      </c>
      <c r="C679" s="254" t="s">
        <v>992</v>
      </c>
      <c r="D679" s="240" t="s">
        <v>16</v>
      </c>
      <c r="E679" s="242">
        <v>0</v>
      </c>
      <c r="F679" s="242">
        <v>1</v>
      </c>
      <c r="G679" s="242">
        <v>1</v>
      </c>
      <c r="H679" s="243">
        <v>854680</v>
      </c>
      <c r="I679" s="243">
        <f t="shared" si="77"/>
        <v>854680</v>
      </c>
      <c r="J679" s="8"/>
      <c r="K679" s="8">
        <f t="shared" si="75"/>
        <v>854680</v>
      </c>
      <c r="L679" s="8">
        <f t="shared" si="78"/>
        <v>0</v>
      </c>
      <c r="M679" s="9" t="str">
        <f t="array" ref="M679:P679">_xlfn.XLOOKUP(C679,'Neiva 2022 FASE I ACTUAL (5)'!$C$6:$C$540,'Neiva 2022 FASE I ACTUAL (5)'!$C$6:$F$540,"NO ESTA")</f>
        <v>SUMINISTRO E INSTALACION MODULO SFP 10G</v>
      </c>
      <c r="N679" s="9" t="str">
        <v>UND</v>
      </c>
      <c r="O679" s="9">
        <v>1</v>
      </c>
      <c r="P679" s="9">
        <v>820212</v>
      </c>
      <c r="Q679" s="124" t="str">
        <f t="shared" si="81"/>
        <v>FASE II</v>
      </c>
      <c r="R679" s="155">
        <f t="shared" si="76"/>
        <v>1</v>
      </c>
      <c r="S679" s="156">
        <f t="shared" si="79"/>
        <v>854680</v>
      </c>
      <c r="T679" s="156">
        <f t="shared" si="80"/>
        <v>854680</v>
      </c>
    </row>
    <row r="680" spans="1:20" s="9" customFormat="1" ht="35.1" customHeight="1" x14ac:dyDescent="0.25">
      <c r="A680" s="215"/>
      <c r="B680" s="266">
        <v>19</v>
      </c>
      <c r="C680" s="267" t="s">
        <v>993</v>
      </c>
      <c r="D680" s="267"/>
      <c r="E680" s="268"/>
      <c r="F680" s="268"/>
      <c r="G680" s="268"/>
      <c r="H680" s="268"/>
      <c r="I680" s="268"/>
      <c r="J680" s="8"/>
      <c r="K680" s="8">
        <f t="shared" si="75"/>
        <v>0</v>
      </c>
      <c r="L680" s="8">
        <f t="shared" si="78"/>
        <v>0</v>
      </c>
      <c r="M680" s="9" t="str">
        <f t="array" ref="M680:P680">_xlfn.XLOOKUP(C680,'Neiva 2022 FASE I ACTUAL (5)'!$C$6:$C$540,'Neiva 2022 FASE I ACTUAL (5)'!$C$6:$F$540,"NO ESTA")</f>
        <v>SEGURIDAD ELÉCTRONICA (CCTV, CONTROL ACCESOS, DETECCION INCENDIOS Y SONIDO)</v>
      </c>
      <c r="N680" s="9">
        <v>0</v>
      </c>
      <c r="O680" s="9">
        <v>0</v>
      </c>
      <c r="P680" s="9">
        <v>0</v>
      </c>
      <c r="Q680" s="124">
        <f t="shared" si="81"/>
        <v>0</v>
      </c>
      <c r="R680" s="155">
        <f t="shared" si="76"/>
        <v>0</v>
      </c>
      <c r="S680" s="156">
        <f t="shared" si="79"/>
        <v>0</v>
      </c>
      <c r="T680" s="156">
        <f t="shared" si="80"/>
        <v>0</v>
      </c>
    </row>
    <row r="681" spans="1:20" s="9" customFormat="1" ht="35.1" customHeight="1" x14ac:dyDescent="0.25">
      <c r="A681" s="215"/>
      <c r="B681" s="296" t="s">
        <v>1349</v>
      </c>
      <c r="C681" s="297" t="s">
        <v>1350</v>
      </c>
      <c r="D681" s="298"/>
      <c r="E681" s="299"/>
      <c r="F681" s="246"/>
      <c r="G681" s="246"/>
      <c r="H681" s="246"/>
      <c r="I681" s="246"/>
      <c r="J681" s="8"/>
      <c r="K681" s="8">
        <f t="shared" si="75"/>
        <v>0</v>
      </c>
      <c r="L681" s="8">
        <f t="shared" si="78"/>
        <v>0</v>
      </c>
      <c r="M681" s="9" t="str">
        <f t="array" ref="M681">_xlfn.XLOOKUP(C681,'Neiva 2022 FASE I ACTUAL (5)'!$C$6:$C$540,'Neiva 2022 FASE I ACTUAL (5)'!$C$6:$F$540,"NO ESTA")</f>
        <v>NO ESTA</v>
      </c>
      <c r="Q681" s="124">
        <f t="shared" si="81"/>
        <v>0</v>
      </c>
      <c r="R681" s="155">
        <f t="shared" si="76"/>
        <v>0</v>
      </c>
      <c r="S681" s="156">
        <f t="shared" si="79"/>
        <v>0</v>
      </c>
      <c r="T681" s="156">
        <f t="shared" si="80"/>
        <v>0</v>
      </c>
    </row>
    <row r="682" spans="1:20" s="9" customFormat="1" ht="35.1" customHeight="1" x14ac:dyDescent="0.25">
      <c r="A682" s="215"/>
      <c r="B682" s="255" t="s">
        <v>1351</v>
      </c>
      <c r="C682" s="254" t="s">
        <v>1352</v>
      </c>
      <c r="D682" s="240" t="s">
        <v>16</v>
      </c>
      <c r="E682" s="242">
        <v>10</v>
      </c>
      <c r="F682" s="242"/>
      <c r="G682" s="242">
        <v>10</v>
      </c>
      <c r="H682" s="243">
        <v>1280193</v>
      </c>
      <c r="I682" s="243">
        <f t="shared" si="77"/>
        <v>12801930</v>
      </c>
      <c r="J682" s="8"/>
      <c r="K682" s="8">
        <f t="shared" si="75"/>
        <v>1280193</v>
      </c>
      <c r="L682" s="8">
        <f t="shared" si="78"/>
        <v>12801930</v>
      </c>
      <c r="M682" s="9" t="str">
        <f t="array" ref="M682">_xlfn.XLOOKUP(C682,'Neiva 2022 FASE I ACTUAL (5)'!$C$6:$C$540,'Neiva 2022 FASE I ACTUAL (5)'!$C$6:$F$540,"NO ESTA")</f>
        <v>NO ESTA</v>
      </c>
      <c r="Q682" s="124">
        <f t="shared" si="81"/>
        <v>0</v>
      </c>
      <c r="R682" s="155">
        <f t="shared" si="76"/>
        <v>10</v>
      </c>
      <c r="S682" s="156">
        <f t="shared" si="79"/>
        <v>1280193</v>
      </c>
      <c r="T682" s="156">
        <f t="shared" si="80"/>
        <v>12801930</v>
      </c>
    </row>
    <row r="683" spans="1:20" s="9" customFormat="1" ht="35.1" customHeight="1" x14ac:dyDescent="0.25">
      <c r="A683" s="215"/>
      <c r="B683" s="255" t="s">
        <v>1353</v>
      </c>
      <c r="C683" s="254" t="s">
        <v>1354</v>
      </c>
      <c r="D683" s="240" t="s">
        <v>16</v>
      </c>
      <c r="E683" s="242">
        <v>19</v>
      </c>
      <c r="F683" s="242"/>
      <c r="G683" s="242">
        <v>19</v>
      </c>
      <c r="H683" s="243">
        <v>1736808</v>
      </c>
      <c r="I683" s="243">
        <f t="shared" si="77"/>
        <v>32999352</v>
      </c>
      <c r="J683" s="8"/>
      <c r="K683" s="8">
        <f t="shared" si="75"/>
        <v>1736808</v>
      </c>
      <c r="L683" s="8">
        <f t="shared" si="78"/>
        <v>32999352</v>
      </c>
      <c r="M683" s="9" t="str">
        <f t="array" ref="M683">_xlfn.XLOOKUP(C683,'Neiva 2022 FASE I ACTUAL (5)'!$C$6:$C$540,'Neiva 2022 FASE I ACTUAL (5)'!$C$6:$F$540,"NO ESTA")</f>
        <v>NO ESTA</v>
      </c>
      <c r="Q683" s="124">
        <f t="shared" si="81"/>
        <v>0</v>
      </c>
      <c r="R683" s="155">
        <f t="shared" si="76"/>
        <v>19</v>
      </c>
      <c r="S683" s="156">
        <f t="shared" si="79"/>
        <v>1736808</v>
      </c>
      <c r="T683" s="156">
        <f t="shared" si="80"/>
        <v>32999352</v>
      </c>
    </row>
    <row r="684" spans="1:20" s="9" customFormat="1" ht="35.1" customHeight="1" x14ac:dyDescent="0.25">
      <c r="A684" s="215"/>
      <c r="B684" s="255" t="s">
        <v>1355</v>
      </c>
      <c r="C684" s="254" t="s">
        <v>1356</v>
      </c>
      <c r="D684" s="240" t="s">
        <v>16</v>
      </c>
      <c r="E684" s="242">
        <v>2</v>
      </c>
      <c r="F684" s="242"/>
      <c r="G684" s="242">
        <v>2</v>
      </c>
      <c r="H684" s="243">
        <v>3738297</v>
      </c>
      <c r="I684" s="243">
        <f t="shared" si="77"/>
        <v>7476594</v>
      </c>
      <c r="J684" s="8"/>
      <c r="K684" s="8">
        <f t="shared" si="75"/>
        <v>3738297</v>
      </c>
      <c r="L684" s="8">
        <f t="shared" si="78"/>
        <v>7476594</v>
      </c>
      <c r="M684" s="9" t="str">
        <f t="array" ref="M684">_xlfn.XLOOKUP(C684,'Neiva 2022 FASE I ACTUAL (5)'!$C$6:$C$540,'Neiva 2022 FASE I ACTUAL (5)'!$C$6:$F$540,"NO ESTA")</f>
        <v>NO ESTA</v>
      </c>
      <c r="Q684" s="124">
        <f t="shared" si="81"/>
        <v>0</v>
      </c>
      <c r="R684" s="155">
        <f t="shared" si="76"/>
        <v>2</v>
      </c>
      <c r="S684" s="156">
        <f t="shared" si="79"/>
        <v>3738297</v>
      </c>
      <c r="T684" s="156">
        <f t="shared" si="80"/>
        <v>7476594</v>
      </c>
    </row>
    <row r="685" spans="1:20" s="9" customFormat="1" ht="35.1" customHeight="1" x14ac:dyDescent="0.25">
      <c r="A685" s="215"/>
      <c r="B685" s="255" t="s">
        <v>1357</v>
      </c>
      <c r="C685" s="254" t="s">
        <v>1358</v>
      </c>
      <c r="D685" s="240" t="s">
        <v>16</v>
      </c>
      <c r="E685" s="242">
        <v>29</v>
      </c>
      <c r="F685" s="242"/>
      <c r="G685" s="242">
        <v>29</v>
      </c>
      <c r="H685" s="243">
        <v>366139</v>
      </c>
      <c r="I685" s="243">
        <f t="shared" si="77"/>
        <v>10618031</v>
      </c>
      <c r="J685" s="8"/>
      <c r="K685" s="8">
        <f t="shared" si="75"/>
        <v>366139</v>
      </c>
      <c r="L685" s="8">
        <f t="shared" si="78"/>
        <v>10618031</v>
      </c>
      <c r="M685" s="9" t="str">
        <f t="array" ref="M685">_xlfn.XLOOKUP(C685,'Neiva 2022 FASE I ACTUAL (5)'!$C$6:$C$540,'Neiva 2022 FASE I ACTUAL (5)'!$C$6:$F$540,"NO ESTA")</f>
        <v>NO ESTA</v>
      </c>
      <c r="Q685" s="124">
        <f t="shared" si="81"/>
        <v>0</v>
      </c>
      <c r="R685" s="155">
        <f t="shared" si="76"/>
        <v>29</v>
      </c>
      <c r="S685" s="156">
        <f t="shared" si="79"/>
        <v>366139</v>
      </c>
      <c r="T685" s="156">
        <f t="shared" si="80"/>
        <v>10618031</v>
      </c>
    </row>
    <row r="686" spans="1:20" s="9" customFormat="1" ht="35.1" customHeight="1" x14ac:dyDescent="0.25">
      <c r="A686" s="215"/>
      <c r="B686" s="255" t="s">
        <v>1359</v>
      </c>
      <c r="C686" s="254" t="s">
        <v>1360</v>
      </c>
      <c r="D686" s="240" t="s">
        <v>16</v>
      </c>
      <c r="E686" s="242">
        <v>2</v>
      </c>
      <c r="F686" s="242"/>
      <c r="G686" s="242">
        <v>2</v>
      </c>
      <c r="H686" s="243">
        <v>8517262</v>
      </c>
      <c r="I686" s="243">
        <f t="shared" si="77"/>
        <v>17034524</v>
      </c>
      <c r="J686" s="8"/>
      <c r="K686" s="8">
        <f t="shared" si="75"/>
        <v>8517262</v>
      </c>
      <c r="L686" s="8">
        <f t="shared" si="78"/>
        <v>17034524</v>
      </c>
      <c r="M686" s="9" t="str">
        <f t="array" ref="M686">_xlfn.XLOOKUP(C686,'Neiva 2022 FASE I ACTUAL (5)'!$C$6:$C$540,'Neiva 2022 FASE I ACTUAL (5)'!$C$6:$F$540,"NO ESTA")</f>
        <v>NO ESTA</v>
      </c>
      <c r="Q686" s="124">
        <f t="shared" si="81"/>
        <v>0</v>
      </c>
      <c r="R686" s="155">
        <f t="shared" si="76"/>
        <v>2</v>
      </c>
      <c r="S686" s="156">
        <f t="shared" si="79"/>
        <v>8517262</v>
      </c>
      <c r="T686" s="156">
        <f t="shared" si="80"/>
        <v>17034524</v>
      </c>
    </row>
    <row r="687" spans="1:20" s="9" customFormat="1" ht="35.1" customHeight="1" x14ac:dyDescent="0.25">
      <c r="A687" s="215"/>
      <c r="B687" s="255" t="s">
        <v>1361</v>
      </c>
      <c r="C687" s="254" t="s">
        <v>1362</v>
      </c>
      <c r="D687" s="240" t="s">
        <v>16</v>
      </c>
      <c r="E687" s="242">
        <v>2</v>
      </c>
      <c r="F687" s="242"/>
      <c r="G687" s="242">
        <v>2</v>
      </c>
      <c r="H687" s="243">
        <v>9061006</v>
      </c>
      <c r="I687" s="243">
        <f t="shared" si="77"/>
        <v>18122012</v>
      </c>
      <c r="J687" s="8"/>
      <c r="K687" s="8">
        <f t="shared" si="75"/>
        <v>9061006</v>
      </c>
      <c r="L687" s="8">
        <f t="shared" si="78"/>
        <v>18122012</v>
      </c>
      <c r="M687" s="9" t="str">
        <f t="array" ref="M687">_xlfn.XLOOKUP(C687,'Neiva 2022 FASE I ACTUAL (5)'!$C$6:$C$540,'Neiva 2022 FASE I ACTUAL (5)'!$C$6:$F$540,"NO ESTA")</f>
        <v>NO ESTA</v>
      </c>
      <c r="Q687" s="124">
        <f t="shared" si="81"/>
        <v>0</v>
      </c>
      <c r="R687" s="155">
        <f t="shared" si="76"/>
        <v>2</v>
      </c>
      <c r="S687" s="156">
        <f t="shared" si="79"/>
        <v>9061006</v>
      </c>
      <c r="T687" s="156">
        <f t="shared" si="80"/>
        <v>18122012</v>
      </c>
    </row>
    <row r="688" spans="1:20" s="9" customFormat="1" ht="35.1" customHeight="1" x14ac:dyDescent="0.25">
      <c r="A688" s="215"/>
      <c r="B688" s="255" t="s">
        <v>1363</v>
      </c>
      <c r="C688" s="254" t="s">
        <v>1364</v>
      </c>
      <c r="D688" s="240" t="s">
        <v>1182</v>
      </c>
      <c r="E688" s="242">
        <v>1</v>
      </c>
      <c r="F688" s="242"/>
      <c r="G688" s="242">
        <v>1</v>
      </c>
      <c r="H688" s="243">
        <v>2901198</v>
      </c>
      <c r="I688" s="243">
        <f t="shared" si="77"/>
        <v>2901198</v>
      </c>
      <c r="J688" s="8"/>
      <c r="K688" s="8">
        <f t="shared" si="75"/>
        <v>2901198</v>
      </c>
      <c r="L688" s="8">
        <f t="shared" si="78"/>
        <v>2901198</v>
      </c>
      <c r="M688" s="9" t="str">
        <f t="array" ref="M688">_xlfn.XLOOKUP(C688,'Neiva 2022 FASE I ACTUAL (5)'!$C$6:$C$540,'Neiva 2022 FASE I ACTUAL (5)'!$C$6:$F$540,"NO ESTA")</f>
        <v>NO ESTA</v>
      </c>
      <c r="Q688" s="124">
        <f t="shared" si="81"/>
        <v>0</v>
      </c>
      <c r="R688" s="155">
        <f t="shared" si="76"/>
        <v>1</v>
      </c>
      <c r="S688" s="156">
        <f t="shared" si="79"/>
        <v>2901198</v>
      </c>
      <c r="T688" s="156">
        <f t="shared" si="80"/>
        <v>2901198</v>
      </c>
    </row>
    <row r="689" spans="1:20" s="9" customFormat="1" ht="35.1" customHeight="1" x14ac:dyDescent="0.25">
      <c r="A689" s="215"/>
      <c r="B689" s="244" t="s">
        <v>1365</v>
      </c>
      <c r="C689" s="245" t="s">
        <v>1366</v>
      </c>
      <c r="D689" s="260"/>
      <c r="E689" s="246"/>
      <c r="F689" s="246"/>
      <c r="G689" s="246"/>
      <c r="H689" s="246"/>
      <c r="I689" s="246"/>
      <c r="J689" s="8"/>
      <c r="K689" s="8">
        <f t="shared" ref="K689:K719" si="82">+ROUND(H689*(1+$K$4),0)</f>
        <v>0</v>
      </c>
      <c r="L689" s="8">
        <f t="shared" si="78"/>
        <v>0</v>
      </c>
      <c r="M689" s="9" t="str">
        <f t="array" ref="M689">_xlfn.XLOOKUP(C689,'Neiva 2022 FASE I ACTUAL (5)'!$C$6:$C$540,'Neiva 2022 FASE I ACTUAL (5)'!$C$6:$F$540,"NO ESTA")</f>
        <v>NO ESTA</v>
      </c>
      <c r="Q689" s="124">
        <f t="shared" si="81"/>
        <v>0</v>
      </c>
      <c r="R689" s="155">
        <f t="shared" si="76"/>
        <v>0</v>
      </c>
      <c r="S689" s="156">
        <f t="shared" si="79"/>
        <v>0</v>
      </c>
      <c r="T689" s="156">
        <f t="shared" si="80"/>
        <v>0</v>
      </c>
    </row>
    <row r="690" spans="1:20" s="9" customFormat="1" ht="35.1" customHeight="1" x14ac:dyDescent="0.25">
      <c r="A690" s="215"/>
      <c r="B690" s="255" t="s">
        <v>1367</v>
      </c>
      <c r="C690" s="254" t="s">
        <v>1368</v>
      </c>
      <c r="D690" s="240" t="s">
        <v>16</v>
      </c>
      <c r="E690" s="242">
        <v>19</v>
      </c>
      <c r="F690" s="242"/>
      <c r="G690" s="242">
        <v>19</v>
      </c>
      <c r="H690" s="243">
        <v>235237</v>
      </c>
      <c r="I690" s="243">
        <f t="shared" si="77"/>
        <v>4469503</v>
      </c>
      <c r="J690" s="8"/>
      <c r="K690" s="8">
        <f t="shared" si="82"/>
        <v>235237</v>
      </c>
      <c r="L690" s="8">
        <f t="shared" si="78"/>
        <v>4469503</v>
      </c>
      <c r="M690" s="9" t="str">
        <f t="array" ref="M690">_xlfn.XLOOKUP(C690,'Neiva 2022 FASE I ACTUAL (5)'!$C$6:$C$540,'Neiva 2022 FASE I ACTUAL (5)'!$C$6:$F$540,"NO ESTA")</f>
        <v>NO ESTA</v>
      </c>
      <c r="Q690" s="124">
        <f t="shared" si="81"/>
        <v>0</v>
      </c>
      <c r="R690" s="155">
        <f t="shared" si="76"/>
        <v>19</v>
      </c>
      <c r="S690" s="156">
        <f t="shared" si="79"/>
        <v>235237</v>
      </c>
      <c r="T690" s="156">
        <f t="shared" si="80"/>
        <v>4469503</v>
      </c>
    </row>
    <row r="691" spans="1:20" s="9" customFormat="1" ht="35.1" customHeight="1" x14ac:dyDescent="0.25">
      <c r="A691" s="215"/>
      <c r="B691" s="255" t="s">
        <v>1369</v>
      </c>
      <c r="C691" s="254" t="s">
        <v>1370</v>
      </c>
      <c r="D691" s="240" t="s">
        <v>16</v>
      </c>
      <c r="E691" s="242">
        <v>16</v>
      </c>
      <c r="F691" s="242"/>
      <c r="G691" s="242">
        <v>16</v>
      </c>
      <c r="H691" s="243">
        <v>1722138</v>
      </c>
      <c r="I691" s="243">
        <f t="shared" si="77"/>
        <v>27554208</v>
      </c>
      <c r="J691" s="8"/>
      <c r="K691" s="8">
        <f t="shared" si="82"/>
        <v>1722138</v>
      </c>
      <c r="L691" s="8">
        <f t="shared" si="78"/>
        <v>27554208</v>
      </c>
      <c r="M691" s="9" t="str">
        <f t="array" ref="M691">_xlfn.XLOOKUP(C691,'Neiva 2022 FASE I ACTUAL (5)'!$C$6:$C$540,'Neiva 2022 FASE I ACTUAL (5)'!$C$6:$F$540,"NO ESTA")</f>
        <v>NO ESTA</v>
      </c>
      <c r="Q691" s="124">
        <f t="shared" si="81"/>
        <v>0</v>
      </c>
      <c r="R691" s="155">
        <f t="shared" si="76"/>
        <v>16</v>
      </c>
      <c r="S691" s="156">
        <f t="shared" si="79"/>
        <v>1722138</v>
      </c>
      <c r="T691" s="156">
        <f t="shared" si="80"/>
        <v>27554208</v>
      </c>
    </row>
    <row r="692" spans="1:20" s="9" customFormat="1" ht="35.1" customHeight="1" x14ac:dyDescent="0.25">
      <c r="A692" s="215"/>
      <c r="B692" s="255" t="s">
        <v>1371</v>
      </c>
      <c r="C692" s="254" t="s">
        <v>1372</v>
      </c>
      <c r="D692" s="240" t="s">
        <v>16</v>
      </c>
      <c r="E692" s="242">
        <v>18</v>
      </c>
      <c r="F692" s="242"/>
      <c r="G692" s="242">
        <v>18</v>
      </c>
      <c r="H692" s="243">
        <v>364128</v>
      </c>
      <c r="I692" s="243">
        <f t="shared" si="77"/>
        <v>6554304</v>
      </c>
      <c r="J692" s="8"/>
      <c r="K692" s="8">
        <f t="shared" si="82"/>
        <v>364128</v>
      </c>
      <c r="L692" s="8">
        <f t="shared" si="78"/>
        <v>6554304</v>
      </c>
      <c r="M692" s="9" t="str">
        <f t="array" ref="M692">_xlfn.XLOOKUP(C692,'Neiva 2022 FASE I ACTUAL (5)'!$C$6:$C$540,'Neiva 2022 FASE I ACTUAL (5)'!$C$6:$F$540,"NO ESTA")</f>
        <v>NO ESTA</v>
      </c>
      <c r="Q692" s="124">
        <f t="shared" si="81"/>
        <v>0</v>
      </c>
      <c r="R692" s="155">
        <f t="shared" si="76"/>
        <v>18</v>
      </c>
      <c r="S692" s="156">
        <f t="shared" si="79"/>
        <v>364128</v>
      </c>
      <c r="T692" s="156">
        <f t="shared" si="80"/>
        <v>6554304</v>
      </c>
    </row>
    <row r="693" spans="1:20" s="9" customFormat="1" ht="35.1" customHeight="1" x14ac:dyDescent="0.25">
      <c r="A693" s="215"/>
      <c r="B693" s="255" t="s">
        <v>1373</v>
      </c>
      <c r="C693" s="254" t="s">
        <v>1374</v>
      </c>
      <c r="D693" s="240" t="s">
        <v>16</v>
      </c>
      <c r="E693" s="242">
        <v>20</v>
      </c>
      <c r="F693" s="242"/>
      <c r="G693" s="242">
        <v>20</v>
      </c>
      <c r="H693" s="243">
        <v>456181</v>
      </c>
      <c r="I693" s="243">
        <f t="shared" si="77"/>
        <v>9123620</v>
      </c>
      <c r="J693" s="8"/>
      <c r="K693" s="8">
        <f t="shared" si="82"/>
        <v>456181</v>
      </c>
      <c r="L693" s="8">
        <f t="shared" si="78"/>
        <v>9123620</v>
      </c>
      <c r="M693" s="9" t="str">
        <f t="array" ref="M693">_xlfn.XLOOKUP(C693,'Neiva 2022 FASE I ACTUAL (5)'!$C$6:$C$540,'Neiva 2022 FASE I ACTUAL (5)'!$C$6:$F$540,"NO ESTA")</f>
        <v>NO ESTA</v>
      </c>
      <c r="Q693" s="124">
        <f t="shared" si="81"/>
        <v>0</v>
      </c>
      <c r="R693" s="155">
        <f t="shared" si="76"/>
        <v>20</v>
      </c>
      <c r="S693" s="156">
        <f t="shared" si="79"/>
        <v>456181</v>
      </c>
      <c r="T693" s="156">
        <f t="shared" si="80"/>
        <v>9123620</v>
      </c>
    </row>
    <row r="694" spans="1:20" s="9" customFormat="1" ht="35.1" customHeight="1" x14ac:dyDescent="0.25">
      <c r="A694" s="215"/>
      <c r="B694" s="255" t="s">
        <v>1375</v>
      </c>
      <c r="C694" s="254" t="s">
        <v>1376</v>
      </c>
      <c r="D694" s="240" t="s">
        <v>16</v>
      </c>
      <c r="E694" s="242">
        <v>14</v>
      </c>
      <c r="F694" s="242"/>
      <c r="G694" s="242">
        <v>14</v>
      </c>
      <c r="H694" s="243">
        <v>12436</v>
      </c>
      <c r="I694" s="243">
        <f t="shared" si="77"/>
        <v>174104</v>
      </c>
      <c r="J694" s="8"/>
      <c r="K694" s="8">
        <f t="shared" si="82"/>
        <v>12436</v>
      </c>
      <c r="L694" s="8">
        <f t="shared" si="78"/>
        <v>174104</v>
      </c>
      <c r="M694" s="9" t="str">
        <f t="array" ref="M694">_xlfn.XLOOKUP(C694,'Neiva 2022 FASE I ACTUAL (5)'!$C$6:$C$540,'Neiva 2022 FASE I ACTUAL (5)'!$C$6:$F$540,"NO ESTA")</f>
        <v>NO ESTA</v>
      </c>
      <c r="Q694" s="124">
        <f t="shared" si="81"/>
        <v>0</v>
      </c>
      <c r="R694" s="155">
        <f t="shared" si="76"/>
        <v>14</v>
      </c>
      <c r="S694" s="156">
        <f t="shared" si="79"/>
        <v>12436</v>
      </c>
      <c r="T694" s="156">
        <f t="shared" si="80"/>
        <v>174104</v>
      </c>
    </row>
    <row r="695" spans="1:20" s="9" customFormat="1" ht="35.1" customHeight="1" x14ac:dyDescent="0.25">
      <c r="A695" s="215"/>
      <c r="B695" s="255" t="s">
        <v>1377</v>
      </c>
      <c r="C695" s="254" t="s">
        <v>976</v>
      </c>
      <c r="D695" s="240" t="s">
        <v>16</v>
      </c>
      <c r="E695" s="242">
        <v>18</v>
      </c>
      <c r="F695" s="242">
        <v>4</v>
      </c>
      <c r="G695" s="242">
        <v>22</v>
      </c>
      <c r="H695" s="243">
        <v>13128</v>
      </c>
      <c r="I695" s="243">
        <f t="shared" si="77"/>
        <v>288816</v>
      </c>
      <c r="J695" s="8"/>
      <c r="K695" s="8">
        <f t="shared" si="82"/>
        <v>13128</v>
      </c>
      <c r="L695" s="8">
        <f t="shared" si="78"/>
        <v>236304</v>
      </c>
      <c r="M695" s="9" t="str">
        <f t="array" ref="M695:P695">_xlfn.XLOOKUP(C695,'Neiva 2022 FASE I ACTUAL (5)'!$C$6:$C$540,'Neiva 2022 FASE I ACTUAL (5)'!$C$6:$F$540,"NO ESTA")</f>
        <v>SUMINISTRO E INSTALACION CAJA DE PASO 10 x 10 m DOBLE FONDO</v>
      </c>
      <c r="N695" s="9" t="str">
        <v>UND</v>
      </c>
      <c r="O695" s="9">
        <v>4</v>
      </c>
      <c r="P695" s="9">
        <v>12598</v>
      </c>
      <c r="Q695" s="124" t="str">
        <f t="shared" si="81"/>
        <v>FASE II</v>
      </c>
      <c r="R695" s="155">
        <f t="shared" si="76"/>
        <v>22</v>
      </c>
      <c r="S695" s="156">
        <f t="shared" si="79"/>
        <v>13128</v>
      </c>
      <c r="T695" s="156">
        <f t="shared" si="80"/>
        <v>288816</v>
      </c>
    </row>
    <row r="696" spans="1:20" s="9" customFormat="1" ht="35.1" customHeight="1" x14ac:dyDescent="0.25">
      <c r="A696" s="215"/>
      <c r="B696" s="255" t="s">
        <v>1378</v>
      </c>
      <c r="C696" s="254" t="s">
        <v>1379</v>
      </c>
      <c r="D696" s="240" t="s">
        <v>16</v>
      </c>
      <c r="E696" s="242">
        <v>2</v>
      </c>
      <c r="F696" s="242"/>
      <c r="G696" s="242">
        <v>2</v>
      </c>
      <c r="H696" s="243">
        <v>5914739</v>
      </c>
      <c r="I696" s="243">
        <f t="shared" si="77"/>
        <v>11829478</v>
      </c>
      <c r="J696" s="8"/>
      <c r="K696" s="8">
        <f t="shared" si="82"/>
        <v>5914739</v>
      </c>
      <c r="L696" s="8">
        <f t="shared" si="78"/>
        <v>11829478</v>
      </c>
      <c r="M696" s="9" t="str">
        <f t="array" ref="M696">_xlfn.XLOOKUP(C696,'Neiva 2022 FASE I ACTUAL (5)'!$C$6:$C$540,'Neiva 2022 FASE I ACTUAL (5)'!$C$6:$F$540,"NO ESTA")</f>
        <v>NO ESTA</v>
      </c>
      <c r="Q696" s="124">
        <f t="shared" si="81"/>
        <v>0</v>
      </c>
      <c r="R696" s="155">
        <f t="shared" si="76"/>
        <v>2</v>
      </c>
      <c r="S696" s="156">
        <f t="shared" si="79"/>
        <v>5914739</v>
      </c>
      <c r="T696" s="156">
        <f t="shared" si="80"/>
        <v>11829478</v>
      </c>
    </row>
    <row r="697" spans="1:20" s="9" customFormat="1" ht="35.1" customHeight="1" x14ac:dyDescent="0.25">
      <c r="A697" s="215"/>
      <c r="B697" s="255" t="s">
        <v>1380</v>
      </c>
      <c r="C697" s="254" t="s">
        <v>1381</v>
      </c>
      <c r="D697" s="240" t="s">
        <v>16</v>
      </c>
      <c r="E697" s="242">
        <v>2</v>
      </c>
      <c r="F697" s="242"/>
      <c r="G697" s="242">
        <v>2</v>
      </c>
      <c r="H697" s="243">
        <v>5651077</v>
      </c>
      <c r="I697" s="243">
        <f t="shared" si="77"/>
        <v>11302154</v>
      </c>
      <c r="J697" s="8"/>
      <c r="K697" s="8">
        <f t="shared" si="82"/>
        <v>5651077</v>
      </c>
      <c r="L697" s="8">
        <f t="shared" si="78"/>
        <v>11302154</v>
      </c>
      <c r="M697" s="9" t="str">
        <f t="array" ref="M697">_xlfn.XLOOKUP(C697,'Neiva 2022 FASE I ACTUAL (5)'!$C$6:$C$540,'Neiva 2022 FASE I ACTUAL (5)'!$C$6:$F$540,"NO ESTA")</f>
        <v>NO ESTA</v>
      </c>
      <c r="Q697" s="124">
        <f t="shared" si="81"/>
        <v>0</v>
      </c>
      <c r="R697" s="155">
        <f t="shared" si="76"/>
        <v>2</v>
      </c>
      <c r="S697" s="156">
        <f t="shared" si="79"/>
        <v>5651077</v>
      </c>
      <c r="T697" s="156">
        <f t="shared" si="80"/>
        <v>11302154</v>
      </c>
    </row>
    <row r="698" spans="1:20" s="9" customFormat="1" ht="35.1" customHeight="1" x14ac:dyDescent="0.25">
      <c r="A698" s="215"/>
      <c r="B698" s="255" t="s">
        <v>1382</v>
      </c>
      <c r="C698" s="254" t="s">
        <v>1383</v>
      </c>
      <c r="D698" s="240" t="s">
        <v>16</v>
      </c>
      <c r="E698" s="242">
        <v>2</v>
      </c>
      <c r="F698" s="242"/>
      <c r="G698" s="242">
        <v>2</v>
      </c>
      <c r="H698" s="243">
        <v>3738297</v>
      </c>
      <c r="I698" s="243">
        <f t="shared" si="77"/>
        <v>7476594</v>
      </c>
      <c r="J698" s="8"/>
      <c r="K698" s="8">
        <f t="shared" si="82"/>
        <v>3738297</v>
      </c>
      <c r="L698" s="8">
        <f t="shared" si="78"/>
        <v>7476594</v>
      </c>
      <c r="M698" s="9" t="str">
        <f t="array" ref="M698">_xlfn.XLOOKUP(C698,'Neiva 2022 FASE I ACTUAL (5)'!$C$6:$C$540,'Neiva 2022 FASE I ACTUAL (5)'!$C$6:$F$540,"NO ESTA")</f>
        <v>NO ESTA</v>
      </c>
      <c r="Q698" s="124">
        <f t="shared" si="81"/>
        <v>0</v>
      </c>
      <c r="R698" s="155">
        <f t="shared" si="76"/>
        <v>2</v>
      </c>
      <c r="S698" s="156">
        <f t="shared" si="79"/>
        <v>3738297</v>
      </c>
      <c r="T698" s="156">
        <f t="shared" si="80"/>
        <v>7476594</v>
      </c>
    </row>
    <row r="699" spans="1:20" s="9" customFormat="1" ht="35.1" customHeight="1" x14ac:dyDescent="0.25">
      <c r="A699" s="215"/>
      <c r="B699" s="255" t="s">
        <v>1384</v>
      </c>
      <c r="C699" s="254" t="s">
        <v>1385</v>
      </c>
      <c r="D699" s="240" t="s">
        <v>1182</v>
      </c>
      <c r="E699" s="242">
        <v>1</v>
      </c>
      <c r="F699" s="242"/>
      <c r="G699" s="242">
        <v>1</v>
      </c>
      <c r="H699" s="243">
        <v>2901198</v>
      </c>
      <c r="I699" s="243">
        <f t="shared" si="77"/>
        <v>2901198</v>
      </c>
      <c r="J699" s="8"/>
      <c r="K699" s="8">
        <f t="shared" si="82"/>
        <v>2901198</v>
      </c>
      <c r="L699" s="8">
        <f t="shared" si="78"/>
        <v>2901198</v>
      </c>
      <c r="M699" s="9" t="str">
        <f t="array" ref="M699">_xlfn.XLOOKUP(C699,'Neiva 2022 FASE I ACTUAL (5)'!$C$6:$C$540,'Neiva 2022 FASE I ACTUAL (5)'!$C$6:$F$540,"NO ESTA")</f>
        <v>NO ESTA</v>
      </c>
      <c r="Q699" s="124">
        <f t="shared" si="81"/>
        <v>0</v>
      </c>
      <c r="R699" s="155">
        <f t="shared" si="76"/>
        <v>1</v>
      </c>
      <c r="S699" s="156">
        <f t="shared" si="79"/>
        <v>2901198</v>
      </c>
      <c r="T699" s="156">
        <f t="shared" si="80"/>
        <v>2901198</v>
      </c>
    </row>
    <row r="700" spans="1:20" s="9" customFormat="1" ht="35.1" customHeight="1" x14ac:dyDescent="0.25">
      <c r="A700" s="215"/>
      <c r="B700" s="244" t="s">
        <v>994</v>
      </c>
      <c r="C700" s="245" t="s">
        <v>995</v>
      </c>
      <c r="D700" s="260"/>
      <c r="E700" s="246"/>
      <c r="F700" s="246"/>
      <c r="G700" s="246"/>
      <c r="H700" s="246"/>
      <c r="I700" s="246"/>
      <c r="J700" s="8"/>
      <c r="K700" s="8">
        <f t="shared" si="82"/>
        <v>0</v>
      </c>
      <c r="L700" s="8">
        <f t="shared" si="78"/>
        <v>0</v>
      </c>
      <c r="M700" s="9" t="str">
        <f t="array" ref="M700:P700">_xlfn.XLOOKUP(C700,'Neiva 2022 FASE I ACTUAL (5)'!$C$6:$C$540,'Neiva 2022 FASE I ACTUAL (5)'!$C$6:$F$540,"NO ESTA")</f>
        <v>SUMINISTRO E INSTALACION DE DETECCIÓN DE INDENDIO</v>
      </c>
      <c r="N700" s="9">
        <v>0</v>
      </c>
      <c r="O700" s="9">
        <v>0</v>
      </c>
      <c r="P700" s="9">
        <v>0</v>
      </c>
      <c r="Q700" s="124">
        <f t="shared" si="81"/>
        <v>0</v>
      </c>
      <c r="R700" s="155">
        <f t="shared" si="76"/>
        <v>0</v>
      </c>
      <c r="S700" s="156">
        <f t="shared" si="79"/>
        <v>0</v>
      </c>
      <c r="T700" s="156">
        <f t="shared" si="80"/>
        <v>0</v>
      </c>
    </row>
    <row r="701" spans="1:20" s="9" customFormat="1" ht="35.1" customHeight="1" x14ac:dyDescent="0.25">
      <c r="A701" s="215"/>
      <c r="B701" s="255" t="s">
        <v>996</v>
      </c>
      <c r="C701" s="254" t="s">
        <v>997</v>
      </c>
      <c r="D701" s="240" t="s">
        <v>16</v>
      </c>
      <c r="E701" s="242">
        <v>8</v>
      </c>
      <c r="F701" s="242">
        <v>3</v>
      </c>
      <c r="G701" s="242">
        <v>11</v>
      </c>
      <c r="H701" s="243">
        <v>510998</v>
      </c>
      <c r="I701" s="243">
        <f t="shared" si="77"/>
        <v>5620978</v>
      </c>
      <c r="J701" s="8"/>
      <c r="K701" s="8">
        <f t="shared" si="82"/>
        <v>510998</v>
      </c>
      <c r="L701" s="8">
        <f t="shared" si="78"/>
        <v>4087984</v>
      </c>
      <c r="M701" s="9" t="str">
        <f t="array" ref="M701:P701">_xlfn.XLOOKUP(C701,'Neiva 2022 FASE I ACTUAL (5)'!$C$6:$C$540,'Neiva 2022 FASE I ACTUAL (5)'!$C$6:$F$540,"NO ESTA")</f>
        <v>SUMINISTRO E INSTALACION ESTACION MANUAL DIRECCIONABLE DE AVISO, CON CUBIERTA ACRILICA</v>
      </c>
      <c r="N701" s="9" t="str">
        <v>UND</v>
      </c>
      <c r="O701" s="9">
        <v>3</v>
      </c>
      <c r="P701" s="9">
        <v>497032</v>
      </c>
      <c r="Q701" s="124" t="str">
        <f t="shared" si="81"/>
        <v>FASE II</v>
      </c>
      <c r="R701" s="155">
        <f t="shared" si="76"/>
        <v>11</v>
      </c>
      <c r="S701" s="156">
        <f t="shared" si="79"/>
        <v>510998</v>
      </c>
      <c r="T701" s="156">
        <f t="shared" si="80"/>
        <v>5620978</v>
      </c>
    </row>
    <row r="702" spans="1:20" s="9" customFormat="1" ht="35.1" customHeight="1" x14ac:dyDescent="0.25">
      <c r="A702" s="215"/>
      <c r="B702" s="255" t="s">
        <v>998</v>
      </c>
      <c r="C702" s="87" t="s">
        <v>999</v>
      </c>
      <c r="D702" s="240" t="s">
        <v>16</v>
      </c>
      <c r="E702" s="242">
        <v>8</v>
      </c>
      <c r="F702" s="242">
        <v>3</v>
      </c>
      <c r="G702" s="242">
        <v>11</v>
      </c>
      <c r="H702" s="243">
        <v>365680</v>
      </c>
      <c r="I702" s="243">
        <f t="shared" si="77"/>
        <v>4022480</v>
      </c>
      <c r="J702" s="8"/>
      <c r="K702" s="8">
        <f t="shared" si="82"/>
        <v>365680</v>
      </c>
      <c r="L702" s="8">
        <f t="shared" si="78"/>
        <v>2925440</v>
      </c>
      <c r="M702" s="9" t="str">
        <f t="array" ref="M702:P702">_xlfn.XLOOKUP(C702,'Neiva 2022 FASE I ACTUAL (5)'!$C$6:$C$540,'Neiva 2022 FASE I ACTUAL (5)'!$C$6:$F$540,"NO ESTA")</f>
        <v>SUMINISTRO E INSTALACION SIRENA / ESTROBO CON SUS MODULOS DE CONTROL</v>
      </c>
      <c r="N702" s="9" t="str">
        <v>UND</v>
      </c>
      <c r="O702" s="9">
        <v>3</v>
      </c>
      <c r="P702" s="9">
        <v>355685</v>
      </c>
      <c r="Q702" s="124" t="str">
        <f t="shared" si="81"/>
        <v>FASE II</v>
      </c>
      <c r="R702" s="155">
        <f t="shared" si="76"/>
        <v>11</v>
      </c>
      <c r="S702" s="156">
        <f t="shared" si="79"/>
        <v>365680</v>
      </c>
      <c r="T702" s="156">
        <f t="shared" si="80"/>
        <v>4022480</v>
      </c>
    </row>
    <row r="703" spans="1:20" s="9" customFormat="1" ht="35.1" customHeight="1" x14ac:dyDescent="0.25">
      <c r="A703" s="215"/>
      <c r="B703" s="255" t="s">
        <v>1000</v>
      </c>
      <c r="C703" s="254" t="s">
        <v>1001</v>
      </c>
      <c r="D703" s="240" t="s">
        <v>16</v>
      </c>
      <c r="E703" s="242">
        <v>96</v>
      </c>
      <c r="F703" s="242">
        <v>46</v>
      </c>
      <c r="G703" s="242">
        <v>142</v>
      </c>
      <c r="H703" s="243">
        <v>411340</v>
      </c>
      <c r="I703" s="243">
        <f t="shared" si="77"/>
        <v>58410280</v>
      </c>
      <c r="J703" s="8"/>
      <c r="K703" s="8">
        <f t="shared" si="82"/>
        <v>411340</v>
      </c>
      <c r="L703" s="8">
        <f t="shared" si="78"/>
        <v>39488640</v>
      </c>
      <c r="M703" s="9" t="str">
        <f t="array" ref="M703:P703">_xlfn.XLOOKUP(C703,'Neiva 2022 FASE I ACTUAL (5)'!$C$6:$C$540,'Neiva 2022 FASE I ACTUAL (5)'!$C$6:$F$540,"NO ESTA")</f>
        <v>SUMINISTRO E INSTALACION DETECTOR DE HUMO DIRECCIONABLE CON BASE</v>
      </c>
      <c r="N703" s="9" t="str">
        <v>UND</v>
      </c>
      <c r="O703" s="9">
        <v>46</v>
      </c>
      <c r="P703" s="9">
        <v>400099</v>
      </c>
      <c r="Q703" s="124" t="str">
        <f t="shared" si="81"/>
        <v>FASE II</v>
      </c>
      <c r="R703" s="155">
        <f t="shared" si="76"/>
        <v>142</v>
      </c>
      <c r="S703" s="156">
        <f t="shared" si="79"/>
        <v>411340</v>
      </c>
      <c r="T703" s="156">
        <f t="shared" si="80"/>
        <v>58410280</v>
      </c>
    </row>
    <row r="704" spans="1:20" s="9" customFormat="1" ht="35.1" customHeight="1" x14ac:dyDescent="0.25">
      <c r="A704" s="215"/>
      <c r="B704" s="255" t="s">
        <v>1002</v>
      </c>
      <c r="C704" s="87" t="s">
        <v>1003</v>
      </c>
      <c r="D704" s="240" t="s">
        <v>16</v>
      </c>
      <c r="E704" s="242">
        <v>6</v>
      </c>
      <c r="F704" s="242">
        <v>2</v>
      </c>
      <c r="G704" s="242">
        <v>8</v>
      </c>
      <c r="H704" s="243">
        <v>385248</v>
      </c>
      <c r="I704" s="243">
        <f t="shared" si="77"/>
        <v>3081984</v>
      </c>
      <c r="J704" s="8"/>
      <c r="K704" s="8">
        <f t="shared" si="82"/>
        <v>385248</v>
      </c>
      <c r="L704" s="8">
        <f t="shared" si="78"/>
        <v>2311488</v>
      </c>
      <c r="M704" s="9" t="str">
        <f t="array" ref="M704:P704">_xlfn.XLOOKUP(C704,'Neiva 2022 FASE I ACTUAL (5)'!$C$6:$C$540,'Neiva 2022 FASE I ACTUAL (5)'!$C$6:$F$540,"NO ESTA")</f>
        <v>SUMINISTRO E INSTALACION DETECTOR DE MONOXIDO DIRECCIONABLE CON BASE</v>
      </c>
      <c r="N704" s="9" t="str">
        <v>UND</v>
      </c>
      <c r="O704" s="9">
        <v>2</v>
      </c>
      <c r="P704" s="9">
        <v>374720</v>
      </c>
      <c r="Q704" s="124" t="str">
        <f t="shared" si="81"/>
        <v>FASE II</v>
      </c>
      <c r="R704" s="155">
        <f t="shared" si="76"/>
        <v>8</v>
      </c>
      <c r="S704" s="156">
        <f t="shared" si="79"/>
        <v>385248</v>
      </c>
      <c r="T704" s="156">
        <f t="shared" si="80"/>
        <v>3081984</v>
      </c>
    </row>
    <row r="705" spans="1:20" s="9" customFormat="1" ht="35.1" customHeight="1" x14ac:dyDescent="0.25">
      <c r="A705" s="215"/>
      <c r="B705" s="255" t="s">
        <v>1004</v>
      </c>
      <c r="C705" s="254" t="s">
        <v>1005</v>
      </c>
      <c r="D705" s="240" t="s">
        <v>16</v>
      </c>
      <c r="E705" s="242">
        <v>5</v>
      </c>
      <c r="F705" s="242">
        <v>2</v>
      </c>
      <c r="G705" s="242">
        <v>7</v>
      </c>
      <c r="H705" s="243">
        <v>406684</v>
      </c>
      <c r="I705" s="243">
        <f t="shared" si="77"/>
        <v>2846788</v>
      </c>
      <c r="J705" s="8"/>
      <c r="K705" s="8">
        <f t="shared" si="82"/>
        <v>406684</v>
      </c>
      <c r="L705" s="8">
        <f t="shared" si="78"/>
        <v>2033420</v>
      </c>
      <c r="M705" s="9" t="str">
        <f t="array" ref="M705:P705">_xlfn.XLOOKUP(C705,'Neiva 2022 FASE I ACTUAL (5)'!$C$6:$C$540,'Neiva 2022 FASE I ACTUAL (5)'!$C$6:$F$540,"NO ESTA")</f>
        <v>SUMINISTRO E INSTALACION CITOFONO DE EMERGENCIA</v>
      </c>
      <c r="N705" s="9" t="str">
        <v>UND</v>
      </c>
      <c r="O705" s="9">
        <v>2</v>
      </c>
      <c r="P705" s="9">
        <v>395570</v>
      </c>
      <c r="Q705" s="124" t="str">
        <f t="shared" si="81"/>
        <v>FASE II</v>
      </c>
      <c r="R705" s="155">
        <f t="shared" si="76"/>
        <v>7</v>
      </c>
      <c r="S705" s="156">
        <f t="shared" si="79"/>
        <v>406684</v>
      </c>
      <c r="T705" s="156">
        <f t="shared" si="80"/>
        <v>2846788</v>
      </c>
    </row>
    <row r="706" spans="1:20" s="9" customFormat="1" ht="35.1" customHeight="1" x14ac:dyDescent="0.25">
      <c r="A706" s="215"/>
      <c r="B706" s="255" t="s">
        <v>1006</v>
      </c>
      <c r="C706" s="254" t="s">
        <v>1007</v>
      </c>
      <c r="D706" s="240" t="s">
        <v>16</v>
      </c>
      <c r="E706" s="242">
        <v>1</v>
      </c>
      <c r="F706" s="242">
        <v>1</v>
      </c>
      <c r="G706" s="242">
        <v>2</v>
      </c>
      <c r="H706" s="243">
        <v>8541579</v>
      </c>
      <c r="I706" s="243">
        <f t="shared" si="77"/>
        <v>17083158</v>
      </c>
      <c r="J706" s="8"/>
      <c r="K706" s="8">
        <f t="shared" si="82"/>
        <v>8541579</v>
      </c>
      <c r="L706" s="8">
        <f t="shared" si="78"/>
        <v>8541579</v>
      </c>
      <c r="M706" s="9" t="str">
        <f t="array" ref="M706:P706">_xlfn.XLOOKUP(C706,'Neiva 2022 FASE I ACTUAL (5)'!$C$6:$C$540,'Neiva 2022 FASE I ACTUAL (5)'!$C$6:$F$540,"NO ESTA")</f>
        <v xml:space="preserve">SUMINISTRO E INSTALACION CENTRAL DE DETECCION DE INCENDIO E INTRUSIÓN, CONSU GABINETE, FUENTE, CPU, DISPLAY Y TECLEDO, CON UN 30% DE RESERVA PARA AMPLIACIÓN. </v>
      </c>
      <c r="N706" s="9" t="str">
        <v>UND</v>
      </c>
      <c r="O706" s="9">
        <v>1</v>
      </c>
      <c r="P706" s="9">
        <v>8308139</v>
      </c>
      <c r="Q706" s="124" t="str">
        <f t="shared" si="81"/>
        <v>FASE II</v>
      </c>
      <c r="R706" s="155">
        <f t="shared" si="76"/>
        <v>2</v>
      </c>
      <c r="S706" s="156">
        <f t="shared" si="79"/>
        <v>8541579</v>
      </c>
      <c r="T706" s="156">
        <f t="shared" si="80"/>
        <v>17083158</v>
      </c>
    </row>
    <row r="707" spans="1:20" s="9" customFormat="1" ht="35.1" customHeight="1" x14ac:dyDescent="0.25">
      <c r="A707" s="215"/>
      <c r="B707" s="255" t="s">
        <v>1008</v>
      </c>
      <c r="C707" s="254" t="s">
        <v>1009</v>
      </c>
      <c r="D707" s="240" t="s">
        <v>94</v>
      </c>
      <c r="E707" s="242">
        <v>1277</v>
      </c>
      <c r="F707" s="242">
        <v>496</v>
      </c>
      <c r="G707" s="242">
        <v>1773</v>
      </c>
      <c r="H707" s="243">
        <v>5349</v>
      </c>
      <c r="I707" s="243">
        <f t="shared" si="77"/>
        <v>9483777</v>
      </c>
      <c r="J707" s="8"/>
      <c r="K707" s="8">
        <f t="shared" si="82"/>
        <v>5349</v>
      </c>
      <c r="L707" s="8">
        <f t="shared" si="78"/>
        <v>6830673</v>
      </c>
      <c r="M707" s="9" t="str">
        <f t="array" ref="M707:P707">_xlfn.XLOOKUP(C707,'Neiva 2022 FASE I ACTUAL (5)'!$C$6:$C$540,'Neiva 2022 FASE I ACTUAL (5)'!$C$6:$F$540,"NO ESTA")</f>
        <v>SUMINISTRO E INSTALACION CABLE BLINDADO 2 x 16 AWG FPL</v>
      </c>
      <c r="N707" s="9" t="str">
        <v>ML</v>
      </c>
      <c r="O707" s="9">
        <v>496</v>
      </c>
      <c r="P707" s="9">
        <v>5202</v>
      </c>
      <c r="Q707" s="124" t="str">
        <f t="shared" si="81"/>
        <v>FASE II</v>
      </c>
      <c r="R707" s="155">
        <f t="shared" si="76"/>
        <v>1773</v>
      </c>
      <c r="S707" s="156">
        <f t="shared" si="79"/>
        <v>5349</v>
      </c>
      <c r="T707" s="156">
        <f t="shared" si="80"/>
        <v>9483777</v>
      </c>
    </row>
    <row r="708" spans="1:20" s="9" customFormat="1" ht="35.1" customHeight="1" x14ac:dyDescent="0.25">
      <c r="A708" s="215"/>
      <c r="B708" s="255" t="s">
        <v>1010</v>
      </c>
      <c r="C708" s="254" t="s">
        <v>968</v>
      </c>
      <c r="D708" s="240" t="s">
        <v>94</v>
      </c>
      <c r="E708" s="242">
        <v>854</v>
      </c>
      <c r="F708" s="242">
        <v>61</v>
      </c>
      <c r="G708" s="242">
        <v>915</v>
      </c>
      <c r="H708" s="243">
        <v>16288</v>
      </c>
      <c r="I708" s="243">
        <f t="shared" si="77"/>
        <v>14903520</v>
      </c>
      <c r="J708" s="8"/>
      <c r="K708" s="8">
        <f t="shared" si="82"/>
        <v>16288</v>
      </c>
      <c r="L708" s="8">
        <f t="shared" si="78"/>
        <v>13909952</v>
      </c>
      <c r="M708" s="9" t="str">
        <f t="array" ref="M708:P708">_xlfn.XLOOKUP(C708,'Neiva 2022 FASE I ACTUAL (5)'!$C$6:$C$540,'Neiva 2022 FASE I ACTUAL (5)'!$C$6:$F$540,"NO ESTA")</f>
        <v>SUMINISTRO E INSTALACION TUBERÍA EMT DE 3/4" INCLUYE ACCESORIOS</v>
      </c>
      <c r="N708" s="9" t="str">
        <v>ML</v>
      </c>
      <c r="O708" s="9">
        <v>61</v>
      </c>
      <c r="P708" s="9">
        <v>15631</v>
      </c>
      <c r="Q708" s="124" t="str">
        <f t="shared" si="81"/>
        <v>FASE II</v>
      </c>
      <c r="R708" s="155">
        <f t="shared" si="76"/>
        <v>915</v>
      </c>
      <c r="S708" s="156">
        <f t="shared" si="79"/>
        <v>16288</v>
      </c>
      <c r="T708" s="156">
        <f t="shared" si="80"/>
        <v>14903520</v>
      </c>
    </row>
    <row r="709" spans="1:20" s="9" customFormat="1" ht="35.1" customHeight="1" x14ac:dyDescent="0.25">
      <c r="A709" s="215"/>
      <c r="B709" s="255" t="s">
        <v>1011</v>
      </c>
      <c r="C709" s="254" t="s">
        <v>972</v>
      </c>
      <c r="D709" s="240" t="s">
        <v>94</v>
      </c>
      <c r="E709" s="242">
        <v>15</v>
      </c>
      <c r="F709" s="242">
        <v>31</v>
      </c>
      <c r="G709" s="242">
        <v>46</v>
      </c>
      <c r="H709" s="243">
        <v>4829</v>
      </c>
      <c r="I709" s="243">
        <f t="shared" si="77"/>
        <v>222134</v>
      </c>
      <c r="J709" s="8"/>
      <c r="K709" s="8">
        <f t="shared" si="82"/>
        <v>4829</v>
      </c>
      <c r="L709" s="8">
        <f t="shared" si="78"/>
        <v>72435</v>
      </c>
      <c r="M709" s="9" t="str">
        <f t="array" ref="M709:P709">_xlfn.XLOOKUP(C709,'Neiva 2022 FASE I ACTUAL (5)'!$C$6:$C$540,'Neiva 2022 FASE I ACTUAL (5)'!$C$6:$F$540,"NO ESTA")</f>
        <v>SUMINISTRO E INSTALACION TUBERÍA PVC DE 3/4" INCLUYE ACCESORIOS</v>
      </c>
      <c r="N709" s="9" t="str">
        <v>ML</v>
      </c>
      <c r="O709" s="9">
        <v>31</v>
      </c>
      <c r="P709" s="9">
        <v>4633</v>
      </c>
      <c r="Q709" s="124" t="str">
        <f t="shared" si="81"/>
        <v>FASE II</v>
      </c>
      <c r="R709" s="155">
        <f t="shared" si="76"/>
        <v>46</v>
      </c>
      <c r="S709" s="156">
        <f t="shared" si="79"/>
        <v>4829</v>
      </c>
      <c r="T709" s="156">
        <f t="shared" si="80"/>
        <v>222134</v>
      </c>
    </row>
    <row r="710" spans="1:20" s="9" customFormat="1" ht="35.1" customHeight="1" x14ac:dyDescent="0.25">
      <c r="A710" s="215"/>
      <c r="B710" s="255" t="s">
        <v>1012</v>
      </c>
      <c r="C710" s="254" t="s">
        <v>976</v>
      </c>
      <c r="D710" s="240" t="s">
        <v>16</v>
      </c>
      <c r="E710" s="242">
        <v>23</v>
      </c>
      <c r="F710" s="242">
        <v>4</v>
      </c>
      <c r="G710" s="242">
        <v>27</v>
      </c>
      <c r="H710" s="243">
        <v>13128</v>
      </c>
      <c r="I710" s="243">
        <f t="shared" si="77"/>
        <v>354456</v>
      </c>
      <c r="J710" s="8"/>
      <c r="K710" s="8">
        <f t="shared" si="82"/>
        <v>13128</v>
      </c>
      <c r="L710" s="8">
        <f t="shared" si="78"/>
        <v>301944</v>
      </c>
      <c r="M710" s="9" t="str">
        <f t="array" ref="M710:P710">_xlfn.XLOOKUP(C710,'Neiva 2022 FASE I ACTUAL (5)'!$C$6:$C$540,'Neiva 2022 FASE I ACTUAL (5)'!$C$6:$F$540,"NO ESTA")</f>
        <v>SUMINISTRO E INSTALACION CAJA DE PASO 10 x 10 m DOBLE FONDO</v>
      </c>
      <c r="N710" s="9" t="str">
        <v>UND</v>
      </c>
      <c r="O710" s="9">
        <v>4</v>
      </c>
      <c r="P710" s="9">
        <v>12598</v>
      </c>
      <c r="Q710" s="124" t="str">
        <f t="shared" si="81"/>
        <v>FASE II</v>
      </c>
      <c r="R710" s="155">
        <f t="shared" ref="R710:R720" si="83">E710+O710</f>
        <v>27</v>
      </c>
      <c r="S710" s="156">
        <f t="shared" si="79"/>
        <v>13128</v>
      </c>
      <c r="T710" s="156">
        <f t="shared" si="80"/>
        <v>354456</v>
      </c>
    </row>
    <row r="711" spans="1:20" s="9" customFormat="1" ht="35.1" customHeight="1" x14ac:dyDescent="0.25">
      <c r="A711" s="215"/>
      <c r="B711" s="255" t="s">
        <v>1386</v>
      </c>
      <c r="C711" s="254" t="s">
        <v>1385</v>
      </c>
      <c r="D711" s="240" t="s">
        <v>1182</v>
      </c>
      <c r="E711" s="242">
        <v>0</v>
      </c>
      <c r="F711" s="242"/>
      <c r="G711" s="242">
        <v>0</v>
      </c>
      <c r="H711" s="243">
        <v>2901198</v>
      </c>
      <c r="I711" s="243">
        <f t="shared" ref="I711:I720" si="84">ROUND(+H711*G711,2)</f>
        <v>0</v>
      </c>
      <c r="J711" s="8"/>
      <c r="K711" s="8">
        <f t="shared" si="82"/>
        <v>2901198</v>
      </c>
      <c r="L711" s="8">
        <f t="shared" ref="L711:L720" si="85">+K711*E711</f>
        <v>0</v>
      </c>
      <c r="M711" s="9" t="str">
        <f t="array" ref="M711">_xlfn.XLOOKUP(C711,'Neiva 2022 FASE I ACTUAL (5)'!$C$6:$C$540,'Neiva 2022 FASE I ACTUAL (5)'!$C$6:$F$540,"NO ESTA")</f>
        <v>NO ESTA</v>
      </c>
      <c r="Q711" s="124">
        <f t="shared" si="81"/>
        <v>0</v>
      </c>
      <c r="R711" s="155">
        <f t="shared" si="83"/>
        <v>0</v>
      </c>
      <c r="S711" s="156">
        <f t="shared" ref="S711:S720" si="86">MAX(P711,H711,K711)</f>
        <v>2901198</v>
      </c>
      <c r="T711" s="156">
        <f t="shared" ref="T711:T720" si="87">ROUND(R711*S711,2)</f>
        <v>0</v>
      </c>
    </row>
    <row r="712" spans="1:20" s="9" customFormat="1" ht="35.1" customHeight="1" x14ac:dyDescent="0.25">
      <c r="A712" s="215"/>
      <c r="B712" s="244" t="s">
        <v>1387</v>
      </c>
      <c r="C712" s="245" t="s">
        <v>1388</v>
      </c>
      <c r="D712" s="260"/>
      <c r="E712" s="246"/>
      <c r="F712" s="246"/>
      <c r="G712" s="246"/>
      <c r="H712" s="246"/>
      <c r="I712" s="246"/>
      <c r="J712" s="8"/>
      <c r="K712" s="8">
        <f t="shared" si="82"/>
        <v>0</v>
      </c>
      <c r="L712" s="8">
        <f t="shared" si="85"/>
        <v>0</v>
      </c>
      <c r="M712" s="9" t="str">
        <f t="array" ref="M712">_xlfn.XLOOKUP(C712,'Neiva 2022 FASE I ACTUAL (5)'!$C$6:$C$540,'Neiva 2022 FASE I ACTUAL (5)'!$C$6:$F$540,"NO ESTA")</f>
        <v>NO ESTA</v>
      </c>
      <c r="Q712" s="124">
        <f t="shared" ref="Q712:Q720" si="88">IF(P712=0,0,(IF(H712&lt;P712, "FASE I","FASE II")))</f>
        <v>0</v>
      </c>
      <c r="R712" s="155">
        <f t="shared" si="83"/>
        <v>0</v>
      </c>
      <c r="S712" s="156">
        <f t="shared" si="86"/>
        <v>0</v>
      </c>
      <c r="T712" s="156">
        <f t="shared" si="87"/>
        <v>0</v>
      </c>
    </row>
    <row r="713" spans="1:20" s="9" customFormat="1" ht="35.1" customHeight="1" x14ac:dyDescent="0.25">
      <c r="A713" s="215"/>
      <c r="B713" s="255" t="s">
        <v>1389</v>
      </c>
      <c r="C713" s="254" t="s">
        <v>1390</v>
      </c>
      <c r="D713" s="240" t="s">
        <v>16</v>
      </c>
      <c r="E713" s="242">
        <v>64</v>
      </c>
      <c r="F713" s="242"/>
      <c r="G713" s="242">
        <v>64</v>
      </c>
      <c r="H713" s="243">
        <v>391534</v>
      </c>
      <c r="I713" s="243">
        <f t="shared" si="84"/>
        <v>25058176</v>
      </c>
      <c r="J713" s="8"/>
      <c r="K713" s="8">
        <f t="shared" si="82"/>
        <v>391534</v>
      </c>
      <c r="L713" s="8">
        <f t="shared" si="85"/>
        <v>25058176</v>
      </c>
      <c r="M713" s="9" t="str">
        <f t="array" ref="M713">_xlfn.XLOOKUP(C713,'Neiva 2022 FASE I ACTUAL (5)'!$C$6:$C$540,'Neiva 2022 FASE I ACTUAL (5)'!$C$6:$F$540,"NO ESTA")</f>
        <v>NO ESTA</v>
      </c>
      <c r="Q713" s="124">
        <f t="shared" si="88"/>
        <v>0</v>
      </c>
      <c r="R713" s="155">
        <f t="shared" si="83"/>
        <v>64</v>
      </c>
      <c r="S713" s="156">
        <f t="shared" si="86"/>
        <v>391534</v>
      </c>
      <c r="T713" s="156">
        <f t="shared" si="87"/>
        <v>25058176</v>
      </c>
    </row>
    <row r="714" spans="1:20" s="9" customFormat="1" ht="35.1" customHeight="1" x14ac:dyDescent="0.25">
      <c r="A714" s="215"/>
      <c r="B714" s="255" t="s">
        <v>1391</v>
      </c>
      <c r="C714" s="254" t="s">
        <v>1392</v>
      </c>
      <c r="D714" s="240" t="s">
        <v>16</v>
      </c>
      <c r="E714" s="242">
        <v>2</v>
      </c>
      <c r="F714" s="242"/>
      <c r="G714" s="242">
        <v>2</v>
      </c>
      <c r="H714" s="243">
        <v>9070094</v>
      </c>
      <c r="I714" s="243">
        <f t="shared" si="84"/>
        <v>18140188</v>
      </c>
      <c r="J714" s="8"/>
      <c r="K714" s="8">
        <f t="shared" si="82"/>
        <v>9070094</v>
      </c>
      <c r="L714" s="8">
        <f t="shared" si="85"/>
        <v>18140188</v>
      </c>
      <c r="M714" s="9" t="str">
        <f t="array" ref="M714">_xlfn.XLOOKUP(C714,'Neiva 2022 FASE I ACTUAL (5)'!$C$6:$C$540,'Neiva 2022 FASE I ACTUAL (5)'!$C$6:$F$540,"NO ESTA")</f>
        <v>NO ESTA</v>
      </c>
      <c r="Q714" s="124">
        <f t="shared" si="88"/>
        <v>0</v>
      </c>
      <c r="R714" s="155">
        <f t="shared" si="83"/>
        <v>2</v>
      </c>
      <c r="S714" s="156">
        <f t="shared" si="86"/>
        <v>9070094</v>
      </c>
      <c r="T714" s="156">
        <f t="shared" si="87"/>
        <v>18140188</v>
      </c>
    </row>
    <row r="715" spans="1:20" s="9" customFormat="1" ht="35.1" customHeight="1" x14ac:dyDescent="0.25">
      <c r="A715" s="215"/>
      <c r="B715" s="255" t="s">
        <v>1393</v>
      </c>
      <c r="C715" s="254" t="s">
        <v>1394</v>
      </c>
      <c r="D715" s="240" t="s">
        <v>16</v>
      </c>
      <c r="E715" s="242">
        <v>2</v>
      </c>
      <c r="F715" s="242"/>
      <c r="G715" s="242">
        <v>2</v>
      </c>
      <c r="H715" s="243">
        <v>16798117</v>
      </c>
      <c r="I715" s="243">
        <f t="shared" si="84"/>
        <v>33596234</v>
      </c>
      <c r="J715" s="8"/>
      <c r="K715" s="8">
        <f t="shared" si="82"/>
        <v>16798117</v>
      </c>
      <c r="L715" s="8">
        <f t="shared" si="85"/>
        <v>33596234</v>
      </c>
      <c r="M715" s="9" t="str">
        <f t="array" ref="M715">_xlfn.XLOOKUP(C715,'Neiva 2022 FASE I ACTUAL (5)'!$C$6:$C$540,'Neiva 2022 FASE I ACTUAL (5)'!$C$6:$F$540,"NO ESTA")</f>
        <v>NO ESTA</v>
      </c>
      <c r="Q715" s="124">
        <f t="shared" si="88"/>
        <v>0</v>
      </c>
      <c r="R715" s="155">
        <f t="shared" si="83"/>
        <v>2</v>
      </c>
      <c r="S715" s="156">
        <f t="shared" si="86"/>
        <v>16798117</v>
      </c>
      <c r="T715" s="156">
        <f t="shared" si="87"/>
        <v>33596234</v>
      </c>
    </row>
    <row r="716" spans="1:20" s="9" customFormat="1" ht="35.1" customHeight="1" x14ac:dyDescent="0.25">
      <c r="A716" s="215"/>
      <c r="B716" s="255" t="s">
        <v>1395</v>
      </c>
      <c r="C716" s="254" t="s">
        <v>1396</v>
      </c>
      <c r="D716" s="240" t="s">
        <v>16</v>
      </c>
      <c r="E716" s="242">
        <v>2</v>
      </c>
      <c r="F716" s="242"/>
      <c r="G716" s="242">
        <v>2</v>
      </c>
      <c r="H716" s="243">
        <v>1667108</v>
      </c>
      <c r="I716" s="243">
        <f t="shared" si="84"/>
        <v>3334216</v>
      </c>
      <c r="J716" s="8"/>
      <c r="K716" s="8">
        <f t="shared" si="82"/>
        <v>1667108</v>
      </c>
      <c r="L716" s="8">
        <f t="shared" si="85"/>
        <v>3334216</v>
      </c>
      <c r="M716" s="9" t="str">
        <f t="array" ref="M716">_xlfn.XLOOKUP(C716,'Neiva 2022 FASE I ACTUAL (5)'!$C$6:$C$540,'Neiva 2022 FASE I ACTUAL (5)'!$C$6:$F$540,"NO ESTA")</f>
        <v>NO ESTA</v>
      </c>
      <c r="Q716" s="124">
        <f t="shared" si="88"/>
        <v>0</v>
      </c>
      <c r="R716" s="155">
        <f t="shared" si="83"/>
        <v>2</v>
      </c>
      <c r="S716" s="156">
        <f t="shared" si="86"/>
        <v>1667108</v>
      </c>
      <c r="T716" s="156">
        <f t="shared" si="87"/>
        <v>3334216</v>
      </c>
    </row>
    <row r="717" spans="1:20" s="9" customFormat="1" ht="35.1" customHeight="1" x14ac:dyDescent="0.25">
      <c r="A717" s="215"/>
      <c r="B717" s="255" t="s">
        <v>1397</v>
      </c>
      <c r="C717" s="254" t="s">
        <v>968</v>
      </c>
      <c r="D717" s="240" t="s">
        <v>94</v>
      </c>
      <c r="E717" s="242">
        <v>159</v>
      </c>
      <c r="F717" s="242">
        <v>61</v>
      </c>
      <c r="G717" s="242">
        <v>220</v>
      </c>
      <c r="H717" s="243">
        <v>16288</v>
      </c>
      <c r="I717" s="243">
        <f t="shared" si="84"/>
        <v>3583360</v>
      </c>
      <c r="J717" s="8"/>
      <c r="K717" s="8">
        <f t="shared" si="82"/>
        <v>16288</v>
      </c>
      <c r="L717" s="8">
        <f t="shared" si="85"/>
        <v>2589792</v>
      </c>
      <c r="M717" s="9" t="str">
        <f t="array" ref="M717:P717">_xlfn.XLOOKUP(C717,'Neiva 2022 FASE I ACTUAL (5)'!$C$6:$C$540,'Neiva 2022 FASE I ACTUAL (5)'!$C$6:$F$540,"NO ESTA")</f>
        <v>SUMINISTRO E INSTALACION TUBERÍA EMT DE 3/4" INCLUYE ACCESORIOS</v>
      </c>
      <c r="N717" s="9" t="str">
        <v>ML</v>
      </c>
      <c r="O717" s="9">
        <v>61</v>
      </c>
      <c r="P717" s="9">
        <v>15631</v>
      </c>
      <c r="Q717" s="124" t="str">
        <f t="shared" si="88"/>
        <v>FASE II</v>
      </c>
      <c r="R717" s="155">
        <f t="shared" si="83"/>
        <v>220</v>
      </c>
      <c r="S717" s="156">
        <f t="shared" si="86"/>
        <v>16288</v>
      </c>
      <c r="T717" s="156">
        <f t="shared" si="87"/>
        <v>3583360</v>
      </c>
    </row>
    <row r="718" spans="1:20" s="9" customFormat="1" ht="35.1" customHeight="1" x14ac:dyDescent="0.25">
      <c r="A718" s="215"/>
      <c r="B718" s="255" t="s">
        <v>1398</v>
      </c>
      <c r="C718" s="254" t="s">
        <v>976</v>
      </c>
      <c r="D718" s="240" t="s">
        <v>16</v>
      </c>
      <c r="E718" s="242">
        <v>4</v>
      </c>
      <c r="F718" s="242">
        <v>4</v>
      </c>
      <c r="G718" s="242">
        <v>8</v>
      </c>
      <c r="H718" s="243">
        <v>13128</v>
      </c>
      <c r="I718" s="243">
        <f t="shared" si="84"/>
        <v>105024</v>
      </c>
      <c r="J718" s="8"/>
      <c r="K718" s="8">
        <f t="shared" si="82"/>
        <v>13128</v>
      </c>
      <c r="L718" s="8">
        <f t="shared" si="85"/>
        <v>52512</v>
      </c>
      <c r="M718" s="9" t="str">
        <f t="array" ref="M718:P718">_xlfn.XLOOKUP(C718,'Neiva 2022 FASE I ACTUAL (5)'!$C$6:$C$540,'Neiva 2022 FASE I ACTUAL (5)'!$C$6:$F$540,"NO ESTA")</f>
        <v>SUMINISTRO E INSTALACION CAJA DE PASO 10 x 10 m DOBLE FONDO</v>
      </c>
      <c r="N718" s="9" t="str">
        <v>UND</v>
      </c>
      <c r="O718" s="9">
        <v>4</v>
      </c>
      <c r="P718" s="9">
        <v>12598</v>
      </c>
      <c r="Q718" s="124" t="str">
        <f t="shared" si="88"/>
        <v>FASE II</v>
      </c>
      <c r="R718" s="155">
        <f t="shared" si="83"/>
        <v>8</v>
      </c>
      <c r="S718" s="156">
        <f t="shared" si="86"/>
        <v>13128</v>
      </c>
      <c r="T718" s="156">
        <f t="shared" si="87"/>
        <v>105024</v>
      </c>
    </row>
    <row r="719" spans="1:20" s="9" customFormat="1" ht="35.1" customHeight="1" x14ac:dyDescent="0.25">
      <c r="A719" s="215"/>
      <c r="B719" s="255" t="s">
        <v>1399</v>
      </c>
      <c r="C719" s="254" t="s">
        <v>1400</v>
      </c>
      <c r="D719" s="255" t="s">
        <v>94</v>
      </c>
      <c r="E719" s="242">
        <v>2380</v>
      </c>
      <c r="F719" s="242"/>
      <c r="G719" s="242">
        <v>2380</v>
      </c>
      <c r="H719" s="243">
        <v>8545</v>
      </c>
      <c r="I719" s="243">
        <f t="shared" si="84"/>
        <v>20337100</v>
      </c>
      <c r="J719" s="8"/>
      <c r="K719" s="8">
        <f t="shared" si="82"/>
        <v>8545</v>
      </c>
      <c r="L719" s="8">
        <f t="shared" si="85"/>
        <v>20337100</v>
      </c>
      <c r="M719" s="9" t="str">
        <f t="array" ref="M719">_xlfn.XLOOKUP(C719,'Neiva 2022 FASE I ACTUAL (5)'!$C$6:$C$540,'Neiva 2022 FASE I ACTUAL (5)'!$C$6:$F$540,"NO ESTA")</f>
        <v>NO ESTA</v>
      </c>
      <c r="Q719" s="124">
        <f t="shared" si="88"/>
        <v>0</v>
      </c>
      <c r="R719" s="155">
        <f t="shared" si="83"/>
        <v>2380</v>
      </c>
      <c r="S719" s="156">
        <f t="shared" si="86"/>
        <v>8545</v>
      </c>
      <c r="T719" s="156">
        <f t="shared" si="87"/>
        <v>20337100</v>
      </c>
    </row>
    <row r="720" spans="1:20" s="9" customFormat="1" ht="35.1" customHeight="1" x14ac:dyDescent="0.25">
      <c r="A720" s="215"/>
      <c r="B720" s="255" t="s">
        <v>1401</v>
      </c>
      <c r="C720" s="254" t="s">
        <v>1385</v>
      </c>
      <c r="D720" s="240" t="s">
        <v>1182</v>
      </c>
      <c r="E720" s="242">
        <v>1</v>
      </c>
      <c r="F720" s="242"/>
      <c r="G720" s="242">
        <v>1</v>
      </c>
      <c r="H720" s="243">
        <v>2901198</v>
      </c>
      <c r="I720" s="243">
        <f t="shared" si="84"/>
        <v>2901198</v>
      </c>
      <c r="J720" s="8"/>
      <c r="K720" s="8">
        <f>+ROUND(H720*(1+$K$4),0)</f>
        <v>2901198</v>
      </c>
      <c r="L720" s="8">
        <f t="shared" si="85"/>
        <v>2901198</v>
      </c>
      <c r="M720" s="9" t="str">
        <f t="array" ref="M720">_xlfn.XLOOKUP(C720,'Neiva 2022 FASE I ACTUAL (5)'!$C$6:$C$540,'Neiva 2022 FASE I ACTUAL (5)'!$C$6:$F$540,"NO ESTA")</f>
        <v>NO ESTA</v>
      </c>
      <c r="Q720" s="124">
        <f t="shared" si="88"/>
        <v>0</v>
      </c>
      <c r="R720" s="155">
        <f t="shared" si="83"/>
        <v>1</v>
      </c>
      <c r="S720" s="156">
        <f t="shared" si="86"/>
        <v>2901198</v>
      </c>
      <c r="T720" s="156">
        <f t="shared" si="87"/>
        <v>2901198</v>
      </c>
    </row>
    <row r="721" spans="2:21" ht="15" x14ac:dyDescent="0.25">
      <c r="B721" s="428" t="s">
        <v>1032</v>
      </c>
      <c r="C721" s="429"/>
      <c r="D721" s="429"/>
      <c r="E721" s="429"/>
      <c r="F721" s="429"/>
      <c r="G721" s="429"/>
      <c r="H721" s="430"/>
      <c r="I721" s="65">
        <f>SUM(I6:I720)</f>
        <v>12588954655.199995</v>
      </c>
      <c r="L721" s="65">
        <f>SUM(L1:L720)</f>
        <v>6323754441.9258213</v>
      </c>
      <c r="M721" s="65">
        <f>6353512589.28+5886807197</f>
        <v>12240319786.279999</v>
      </c>
      <c r="R721" s="157"/>
      <c r="S721" s="157"/>
      <c r="T721" s="158">
        <f>SUM(T6:T720)</f>
        <v>10364005263.019997</v>
      </c>
      <c r="U721" s="1">
        <f>+'Neiva 2022 FASE I ACTUAL (5)'!O541</f>
        <v>2698625711.309999</v>
      </c>
    </row>
    <row r="722" spans="2:21" x14ac:dyDescent="0.25">
      <c r="B722" s="425" t="s">
        <v>1034</v>
      </c>
      <c r="C722" s="425"/>
      <c r="D722" s="425"/>
      <c r="E722" s="425"/>
      <c r="F722" s="219"/>
      <c r="G722" s="219"/>
      <c r="H722" s="136">
        <v>0.18379999999999999</v>
      </c>
      <c r="I722" s="66">
        <f>ROUND(H722*I721,2)</f>
        <v>2313849865.6300001</v>
      </c>
      <c r="R722" s="157"/>
      <c r="S722" s="157"/>
      <c r="T722" s="157"/>
    </row>
    <row r="723" spans="2:21" x14ac:dyDescent="0.25">
      <c r="B723" s="425" t="s">
        <v>1035</v>
      </c>
      <c r="C723" s="425"/>
      <c r="D723" s="425"/>
      <c r="E723" s="425"/>
      <c r="F723" s="219"/>
      <c r="G723" s="219"/>
      <c r="H723" s="137">
        <v>0.01</v>
      </c>
      <c r="I723" s="66">
        <f>ROUND(H723*I721,2)</f>
        <v>125889546.55</v>
      </c>
      <c r="R723" s="157"/>
      <c r="S723" s="157"/>
      <c r="T723" s="158">
        <f>T721+U721</f>
        <v>13062630974.329996</v>
      </c>
    </row>
    <row r="724" spans="2:21" x14ac:dyDescent="0.25">
      <c r="B724" s="425" t="s">
        <v>1036</v>
      </c>
      <c r="C724" s="425"/>
      <c r="D724" s="425"/>
      <c r="E724" s="425"/>
      <c r="F724" s="219"/>
      <c r="G724" s="219"/>
      <c r="H724" s="136">
        <v>0.05</v>
      </c>
      <c r="I724" s="66">
        <f>ROUND(H724*I721,2)</f>
        <v>629447732.75999999</v>
      </c>
    </row>
    <row r="725" spans="2:21" ht="15" x14ac:dyDescent="0.25">
      <c r="B725" s="431" t="s">
        <v>1033</v>
      </c>
      <c r="C725" s="432"/>
      <c r="D725" s="432"/>
      <c r="E725" s="432"/>
      <c r="F725" s="432"/>
      <c r="G725" s="432"/>
      <c r="H725" s="433"/>
      <c r="I725" s="67">
        <f>ROUND(I722+I723+I724,2)</f>
        <v>3069187144.9400001</v>
      </c>
    </row>
    <row r="726" spans="2:21" x14ac:dyDescent="0.25">
      <c r="B726" s="425" t="s">
        <v>1038</v>
      </c>
      <c r="C726" s="425"/>
      <c r="D726" s="425"/>
      <c r="E726" s="425"/>
      <c r="F726" s="219"/>
      <c r="G726" s="219"/>
      <c r="H726" s="136">
        <v>0.19</v>
      </c>
      <c r="I726" s="66">
        <f>ROUND(H726*I724,2)</f>
        <v>119595069.22</v>
      </c>
      <c r="T726" s="65">
        <f>+T723</f>
        <v>13062630974.329996</v>
      </c>
    </row>
    <row r="727" spans="2:21" x14ac:dyDescent="0.25">
      <c r="B727" s="426" t="s">
        <v>1402</v>
      </c>
      <c r="C727" s="426"/>
      <c r="D727" s="426"/>
      <c r="E727" s="426"/>
      <c r="F727" s="220"/>
      <c r="G727" s="220"/>
      <c r="H727" s="138"/>
      <c r="I727" s="65">
        <f>ROUND(I721+I725+I726,2)</f>
        <v>15777736869.360001</v>
      </c>
    </row>
    <row r="728" spans="2:21" x14ac:dyDescent="0.25">
      <c r="E728" s="215"/>
      <c r="F728" s="215"/>
      <c r="G728" s="215"/>
      <c r="I728" s="65">
        <v>9238797411</v>
      </c>
      <c r="K728" s="1" t="s">
        <v>1403</v>
      </c>
      <c r="L728" s="1">
        <f>+I728-I729</f>
        <v>570797411</v>
      </c>
    </row>
    <row r="729" spans="2:21" x14ac:dyDescent="0.25">
      <c r="E729" s="215"/>
      <c r="F729" s="215"/>
      <c r="G729" s="215"/>
      <c r="I729" s="65">
        <v>8668000000</v>
      </c>
      <c r="J729" s="1">
        <f>I721+'Neiva 2021 FASE I UNIFICADO'!G541</f>
        <v>18226525457.359993</v>
      </c>
      <c r="K729" s="1" t="s">
        <v>1404</v>
      </c>
      <c r="M729" s="146">
        <f>J729-M721</f>
        <v>5986205671.0799942</v>
      </c>
      <c r="O729" s="1">
        <f>+T723-J729</f>
        <v>-5163894483.0299969</v>
      </c>
      <c r="Q729" s="221">
        <f>+T723-M721</f>
        <v>822311188.04999733</v>
      </c>
    </row>
    <row r="730" spans="2:21" x14ac:dyDescent="0.25">
      <c r="E730" s="215"/>
      <c r="F730" s="215"/>
      <c r="G730" s="215"/>
      <c r="I730" s="300">
        <f>+I729+7475000000</f>
        <v>16143000000</v>
      </c>
      <c r="K730" s="1" t="s">
        <v>1405</v>
      </c>
    </row>
    <row r="731" spans="2:21" x14ac:dyDescent="0.25">
      <c r="E731" s="215"/>
      <c r="F731" s="215"/>
      <c r="G731" s="215"/>
      <c r="K731" s="224">
        <f>+I727</f>
        <v>15777736869.360001</v>
      </c>
      <c r="L731" s="158">
        <f>+I730-K731</f>
        <v>365263130.63999939</v>
      </c>
    </row>
    <row r="732" spans="2:21" x14ac:dyDescent="0.25">
      <c r="E732" s="215"/>
      <c r="F732" s="215"/>
      <c r="G732" s="215"/>
      <c r="K732" s="1" t="s">
        <v>1406</v>
      </c>
      <c r="L732" s="1" t="s">
        <v>1407</v>
      </c>
    </row>
    <row r="733" spans="2:21" x14ac:dyDescent="0.25">
      <c r="E733" s="215"/>
      <c r="F733" s="215"/>
      <c r="G733" s="215"/>
      <c r="K733" s="224">
        <f>+K731+L740</f>
        <v>16502673431.210001</v>
      </c>
    </row>
    <row r="734" spans="2:21" x14ac:dyDescent="0.25">
      <c r="E734" s="215"/>
      <c r="F734" s="215"/>
      <c r="G734" s="215"/>
      <c r="L734" s="158"/>
    </row>
    <row r="735" spans="2:21" x14ac:dyDescent="0.25">
      <c r="E735" s="215"/>
      <c r="F735" s="215"/>
      <c r="G735" s="215"/>
    </row>
    <row r="736" spans="2:21" x14ac:dyDescent="0.25">
      <c r="E736" s="215"/>
      <c r="F736" s="215"/>
      <c r="G736" s="215"/>
    </row>
    <row r="737" spans="5:14" x14ac:dyDescent="0.25">
      <c r="E737" s="215"/>
      <c r="F737" s="215"/>
      <c r="G737" s="215"/>
      <c r="L737" s="1" t="s">
        <v>1408</v>
      </c>
      <c r="M737" t="s">
        <v>1409</v>
      </c>
    </row>
    <row r="738" spans="5:14" x14ac:dyDescent="0.25">
      <c r="E738" s="215"/>
      <c r="F738" s="215"/>
      <c r="G738" s="215"/>
      <c r="K738" s="158">
        <f>+K733-M742</f>
        <v>-704113277.78999901</v>
      </c>
      <c r="L738" s="1">
        <f>+K731*0.08</f>
        <v>1262218949.5488</v>
      </c>
      <c r="M738" t="s">
        <v>1410</v>
      </c>
      <c r="N738" t="s">
        <v>1411</v>
      </c>
    </row>
    <row r="739" spans="5:14" x14ac:dyDescent="0.25">
      <c r="E739" s="215"/>
      <c r="F739" s="215"/>
      <c r="G739" s="215"/>
      <c r="M739" s="225">
        <v>492921520</v>
      </c>
      <c r="N739" s="1">
        <v>526264970</v>
      </c>
    </row>
    <row r="740" spans="5:14" x14ac:dyDescent="0.25">
      <c r="E740" s="215"/>
      <c r="F740" s="215"/>
      <c r="G740" s="215"/>
      <c r="L740" s="224">
        <v>724936561.85000002</v>
      </c>
      <c r="M740" s="225">
        <v>7475067778</v>
      </c>
    </row>
    <row r="741" spans="5:14" x14ac:dyDescent="0.25">
      <c r="E741" s="215"/>
      <c r="F741" s="215"/>
      <c r="G741" s="215"/>
      <c r="M741" s="1">
        <f>SUM(M739:M740)</f>
        <v>7967989298</v>
      </c>
    </row>
    <row r="742" spans="5:14" x14ac:dyDescent="0.25">
      <c r="E742" s="215"/>
      <c r="F742" s="215"/>
      <c r="G742" s="215"/>
      <c r="K742" s="1" t="s">
        <v>1416</v>
      </c>
      <c r="M742" s="226">
        <f>+M741+I728</f>
        <v>17206786709</v>
      </c>
    </row>
    <row r="743" spans="5:14" x14ac:dyDescent="0.25">
      <c r="E743" s="215"/>
      <c r="F743" s="215"/>
      <c r="G743" s="215"/>
      <c r="K743" s="1">
        <v>15000000</v>
      </c>
      <c r="M743" t="s">
        <v>1413</v>
      </c>
    </row>
    <row r="744" spans="5:14" x14ac:dyDescent="0.25">
      <c r="E744" s="215"/>
      <c r="F744" s="215"/>
      <c r="G744" s="215"/>
      <c r="K744" s="1">
        <v>17694791</v>
      </c>
    </row>
    <row r="745" spans="5:14" x14ac:dyDescent="0.25">
      <c r="E745" s="215"/>
      <c r="F745" s="215"/>
      <c r="G745" s="215"/>
      <c r="K745" s="1">
        <f>+K744+K743</f>
        <v>32694791</v>
      </c>
    </row>
    <row r="746" spans="5:14" x14ac:dyDescent="0.25">
      <c r="E746" s="215"/>
      <c r="F746" s="215"/>
      <c r="G746" s="215"/>
    </row>
    <row r="747" spans="5:14" x14ac:dyDescent="0.25">
      <c r="E747" s="215"/>
      <c r="F747" s="215"/>
      <c r="G747" s="215"/>
    </row>
    <row r="748" spans="5:14" x14ac:dyDescent="0.25">
      <c r="E748" s="215"/>
      <c r="F748" s="215"/>
      <c r="G748" s="215"/>
    </row>
    <row r="749" spans="5:14" x14ac:dyDescent="0.25">
      <c r="E749" s="215"/>
      <c r="F749" s="215"/>
      <c r="G749" s="215"/>
    </row>
    <row r="750" spans="5:14" x14ac:dyDescent="0.25">
      <c r="E750" s="215"/>
      <c r="F750" s="215"/>
      <c r="G750" s="215"/>
    </row>
    <row r="751" spans="5:14" x14ac:dyDescent="0.25">
      <c r="E751" s="215"/>
      <c r="F751" s="215"/>
      <c r="G751" s="215"/>
    </row>
    <row r="752" spans="5:14" x14ac:dyDescent="0.25">
      <c r="E752" s="215"/>
      <c r="F752" s="215"/>
      <c r="G752" s="215"/>
    </row>
    <row r="753" spans="5:7" x14ac:dyDescent="0.25">
      <c r="E753" s="215"/>
      <c r="F753" s="215"/>
      <c r="G753" s="215"/>
    </row>
    <row r="754" spans="5:7" x14ac:dyDescent="0.25">
      <c r="E754" s="215"/>
      <c r="F754" s="215"/>
      <c r="G754" s="215"/>
    </row>
    <row r="755" spans="5:7" x14ac:dyDescent="0.25">
      <c r="E755" s="215"/>
      <c r="F755" s="215"/>
      <c r="G755" s="215"/>
    </row>
    <row r="756" spans="5:7" x14ac:dyDescent="0.25">
      <c r="E756" s="215"/>
      <c r="F756" s="215"/>
      <c r="G756" s="215"/>
    </row>
    <row r="757" spans="5:7" x14ac:dyDescent="0.25">
      <c r="E757" s="215"/>
      <c r="F757" s="215"/>
      <c r="G757" s="215"/>
    </row>
    <row r="758" spans="5:7" x14ac:dyDescent="0.25">
      <c r="E758" s="215"/>
      <c r="F758" s="215"/>
      <c r="G758" s="215"/>
    </row>
    <row r="759" spans="5:7" x14ac:dyDescent="0.25">
      <c r="E759" s="215"/>
      <c r="F759" s="215"/>
      <c r="G759" s="215"/>
    </row>
    <row r="760" spans="5:7" x14ac:dyDescent="0.25">
      <c r="E760" s="215"/>
      <c r="F760" s="215"/>
      <c r="G760" s="215"/>
    </row>
    <row r="761" spans="5:7" x14ac:dyDescent="0.25">
      <c r="E761" s="215"/>
      <c r="F761" s="215"/>
      <c r="G761" s="215"/>
    </row>
    <row r="762" spans="5:7" x14ac:dyDescent="0.25">
      <c r="E762" s="215"/>
      <c r="F762" s="215"/>
      <c r="G762" s="215"/>
    </row>
    <row r="763" spans="5:7" x14ac:dyDescent="0.25">
      <c r="E763" s="215"/>
      <c r="F763" s="215"/>
      <c r="G763" s="215"/>
    </row>
    <row r="764" spans="5:7" x14ac:dyDescent="0.25">
      <c r="E764" s="215"/>
      <c r="F764" s="215"/>
      <c r="G764" s="215"/>
    </row>
    <row r="765" spans="5:7" x14ac:dyDescent="0.25">
      <c r="E765" s="215"/>
      <c r="F765" s="215"/>
      <c r="G765" s="215"/>
    </row>
    <row r="766" spans="5:7" x14ac:dyDescent="0.25">
      <c r="E766" s="215"/>
      <c r="F766" s="215"/>
      <c r="G766" s="215"/>
    </row>
    <row r="767" spans="5:7" x14ac:dyDescent="0.25">
      <c r="E767" s="215"/>
      <c r="F767" s="215"/>
      <c r="G767" s="215"/>
    </row>
    <row r="768" spans="5:7" x14ac:dyDescent="0.25">
      <c r="E768" s="215"/>
      <c r="F768" s="215"/>
      <c r="G768" s="215"/>
    </row>
    <row r="769" spans="5:7" x14ac:dyDescent="0.25">
      <c r="E769" s="215"/>
      <c r="F769" s="215"/>
      <c r="G769" s="215"/>
    </row>
    <row r="770" spans="5:7" x14ac:dyDescent="0.25">
      <c r="E770" s="215"/>
      <c r="F770" s="215"/>
      <c r="G770" s="215"/>
    </row>
    <row r="771" spans="5:7" x14ac:dyDescent="0.25">
      <c r="E771" s="215"/>
      <c r="F771" s="215"/>
      <c r="G771" s="215"/>
    </row>
    <row r="772" spans="5:7" x14ac:dyDescent="0.25">
      <c r="E772" s="215"/>
      <c r="F772" s="215"/>
      <c r="G772" s="215"/>
    </row>
    <row r="773" spans="5:7" x14ac:dyDescent="0.25">
      <c r="E773" s="215"/>
      <c r="F773" s="215"/>
      <c r="G773" s="215"/>
    </row>
    <row r="774" spans="5:7" x14ac:dyDescent="0.25">
      <c r="E774" s="215"/>
      <c r="F774" s="215"/>
      <c r="G774" s="215"/>
    </row>
    <row r="775" spans="5:7" x14ac:dyDescent="0.25">
      <c r="E775" s="215"/>
      <c r="F775" s="215"/>
      <c r="G775" s="215"/>
    </row>
    <row r="776" spans="5:7" x14ac:dyDescent="0.25">
      <c r="E776" s="215"/>
      <c r="F776" s="215"/>
      <c r="G776" s="215"/>
    </row>
    <row r="777" spans="5:7" x14ac:dyDescent="0.25">
      <c r="E777" s="215"/>
      <c r="F777" s="215"/>
      <c r="G777" s="215"/>
    </row>
    <row r="778" spans="5:7" x14ac:dyDescent="0.25">
      <c r="E778" s="215"/>
      <c r="F778" s="215"/>
      <c r="G778" s="215"/>
    </row>
    <row r="779" spans="5:7" x14ac:dyDescent="0.25">
      <c r="E779" s="215"/>
      <c r="F779" s="215"/>
      <c r="G779" s="215"/>
    </row>
    <row r="780" spans="5:7" x14ac:dyDescent="0.25">
      <c r="E780" s="215"/>
      <c r="F780" s="215"/>
      <c r="G780" s="215"/>
    </row>
    <row r="781" spans="5:7" x14ac:dyDescent="0.25">
      <c r="E781" s="215"/>
      <c r="F781" s="215"/>
      <c r="G781" s="215"/>
    </row>
    <row r="782" spans="5:7" x14ac:dyDescent="0.25">
      <c r="E782" s="215"/>
      <c r="F782" s="215"/>
      <c r="G782" s="215"/>
    </row>
    <row r="783" spans="5:7" x14ac:dyDescent="0.25">
      <c r="E783" s="215"/>
      <c r="F783" s="215"/>
      <c r="G783" s="215"/>
    </row>
    <row r="784" spans="5:7" x14ac:dyDescent="0.25">
      <c r="E784" s="215"/>
      <c r="F784" s="215"/>
      <c r="G784" s="215"/>
    </row>
    <row r="785" spans="5:7" x14ac:dyDescent="0.25">
      <c r="E785" s="215"/>
      <c r="F785" s="215"/>
      <c r="G785" s="215"/>
    </row>
    <row r="786" spans="5:7" x14ac:dyDescent="0.25">
      <c r="E786" s="215"/>
      <c r="F786" s="215"/>
      <c r="G786" s="215"/>
    </row>
    <row r="787" spans="5:7" x14ac:dyDescent="0.25">
      <c r="E787" s="215"/>
      <c r="F787" s="215"/>
      <c r="G787" s="215"/>
    </row>
    <row r="788" spans="5:7" x14ac:dyDescent="0.25">
      <c r="E788" s="215"/>
      <c r="F788" s="215"/>
      <c r="G788" s="215"/>
    </row>
    <row r="789" spans="5:7" x14ac:dyDescent="0.25">
      <c r="E789" s="215"/>
      <c r="F789" s="215"/>
      <c r="G789" s="215"/>
    </row>
    <row r="790" spans="5:7" x14ac:dyDescent="0.25">
      <c r="E790" s="215"/>
      <c r="F790" s="215"/>
      <c r="G790" s="215"/>
    </row>
    <row r="1048564" spans="13:13" x14ac:dyDescent="0.25">
      <c r="M1048564" s="68"/>
    </row>
    <row r="1048576" spans="13:13" ht="15" customHeight="1" x14ac:dyDescent="0.25"/>
  </sheetData>
  <mergeCells count="8">
    <mergeCell ref="B726:E726"/>
    <mergeCell ref="B727:E727"/>
    <mergeCell ref="B2:I3"/>
    <mergeCell ref="B721:H721"/>
    <mergeCell ref="B722:E722"/>
    <mergeCell ref="B723:E723"/>
    <mergeCell ref="B724:E724"/>
    <mergeCell ref="B725:H725"/>
  </mergeCells>
  <conditionalFormatting sqref="I2:I4 I763:I1048576 I726:I727 I6:I9 I11:I12 I14:I15 I18:I21 I23:I136 I139 I141:I142 I144:I148 I150:I153 I155 I158:I161 I163:I169 I171:I176 I178:I183 I186:I189 I191:I197 I199:I204 I206:I211 I213:I220 I222 I225 I227:I228 I230 I233:I235 I237:I238 I240 I242:I246 I248:I251 I253:I258 I260 I263:I311 I313:I320 I322:I335 I337:I340 I342:I344 I347:I359 I361:I375 I378:I393 I395:I399 I401:I404 I407:I412 I414:I415 I417:I426 I428:I430 I432:I447 I449:I450 I452:I458 I460 I462:I464 I466:I470 I472:I476 I478:I479 I481:I490 I492:I503 I505 I507:I511 I514:I522 I525:I539 I541:I548 I550:I557 I559:I595 I597:I602 I604:I617 I619:I623 I625:I635 I638:I641 I643 I645:I650 I652:I654 I656:I658 I660:I671 I673:I676 I678:I679 I682:I688 I690:I699 I701:I711 I713:I724">
    <cfRule type="cellIs" dxfId="44" priority="7" operator="equal">
      <formula>0</formula>
    </cfRule>
  </conditionalFormatting>
  <conditionalFormatting sqref="I725">
    <cfRule type="cellIs" dxfId="43" priority="6" operator="equal">
      <formula>0</formula>
    </cfRule>
  </conditionalFormatting>
  <conditionalFormatting sqref="M721">
    <cfRule type="cellIs" dxfId="42" priority="5" operator="equal">
      <formula>0</formula>
    </cfRule>
  </conditionalFormatting>
  <conditionalFormatting sqref="L721">
    <cfRule type="cellIs" dxfId="41" priority="4" operator="equal">
      <formula>0</formula>
    </cfRule>
  </conditionalFormatting>
  <conditionalFormatting sqref="T726">
    <cfRule type="cellIs" dxfId="40" priority="3" operator="equal">
      <formula>0</formula>
    </cfRule>
  </conditionalFormatting>
  <conditionalFormatting sqref="I728">
    <cfRule type="cellIs" dxfId="39" priority="2" operator="equal">
      <formula>0</formula>
    </cfRule>
  </conditionalFormatting>
  <conditionalFormatting sqref="I729">
    <cfRule type="cellIs" dxfId="38" priority="1" operator="equal">
      <formula>0</formula>
    </cfRule>
  </conditionalFormatting>
  <printOptions horizontalCentered="1"/>
  <pageMargins left="0.70866141732283472" right="0.70866141732283472" top="0.74803149606299213" bottom="0.74803149606299213" header="0.31496062992125984" footer="0.31496062992125984"/>
  <pageSetup scale="5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740"/>
  <sheetViews>
    <sheetView view="pageBreakPreview" zoomScale="90" zoomScaleNormal="91" zoomScaleSheetLayoutView="90" workbookViewId="0">
      <pane ySplit="3" topLeftCell="A4" activePane="bottomLeft" state="frozen"/>
      <selection activeCell="M553" sqref="M553"/>
      <selection pane="bottomLeft" activeCell="B15" sqref="B15"/>
    </sheetView>
  </sheetViews>
  <sheetFormatPr baseColWidth="10" defaultColWidth="11.42578125" defaultRowHeight="16.5" x14ac:dyDescent="0.25"/>
  <cols>
    <col min="1" max="1" width="9" style="215" customWidth="1"/>
    <col min="2" max="2" width="62" style="215" customWidth="1"/>
    <col min="3" max="3" width="10.28515625" style="215" customWidth="1"/>
    <col min="4" max="6" width="15.42578125" style="69" customWidth="1"/>
    <col min="7" max="7" width="18.42578125" style="234" customWidth="1"/>
    <col min="8" max="8" width="22.5703125" style="234" customWidth="1"/>
    <col min="9" max="9" width="15.140625" customWidth="1"/>
    <col min="10" max="10" width="17" customWidth="1"/>
  </cols>
  <sheetData>
    <row r="1" spans="1:9" ht="15" customHeight="1" x14ac:dyDescent="0.25">
      <c r="A1" s="427" t="s">
        <v>1417</v>
      </c>
      <c r="B1" s="427"/>
      <c r="C1" s="427"/>
      <c r="D1" s="427"/>
      <c r="E1" s="427"/>
      <c r="F1" s="427"/>
      <c r="G1" s="427"/>
      <c r="H1" s="427"/>
    </row>
    <row r="2" spans="1:9" ht="23.25" customHeight="1" x14ac:dyDescent="0.25">
      <c r="A2" s="427"/>
      <c r="B2" s="427"/>
      <c r="C2" s="427"/>
      <c r="D2" s="427"/>
      <c r="E2" s="427"/>
      <c r="F2" s="427"/>
      <c r="G2" s="427"/>
      <c r="H2" s="427"/>
    </row>
    <row r="3" spans="1:9" ht="27" customHeight="1" x14ac:dyDescent="0.25">
      <c r="A3" s="2" t="s">
        <v>1</v>
      </c>
      <c r="B3" s="2" t="s">
        <v>2</v>
      </c>
      <c r="C3" s="2" t="s">
        <v>3</v>
      </c>
      <c r="D3" s="3" t="s">
        <v>1414</v>
      </c>
      <c r="E3" s="3" t="s">
        <v>1415</v>
      </c>
      <c r="F3" s="3" t="s">
        <v>1047</v>
      </c>
      <c r="G3" s="301" t="s">
        <v>5</v>
      </c>
      <c r="H3" s="2" t="s">
        <v>6</v>
      </c>
    </row>
    <row r="4" spans="1:9" s="9" customFormat="1" ht="35.1" customHeight="1" x14ac:dyDescent="0.25">
      <c r="A4" s="235" t="s">
        <v>9</v>
      </c>
      <c r="B4" s="236" t="s">
        <v>10</v>
      </c>
      <c r="C4" s="237"/>
      <c r="D4" s="238"/>
      <c r="E4" s="238"/>
      <c r="F4" s="238"/>
      <c r="G4" s="302"/>
      <c r="H4" s="238"/>
      <c r="I4" s="153"/>
    </row>
    <row r="5" spans="1:9" s="9" customFormat="1" ht="35.1" customHeight="1" x14ac:dyDescent="0.25">
      <c r="A5" s="240" t="s">
        <v>11</v>
      </c>
      <c r="B5" s="241" t="s">
        <v>12</v>
      </c>
      <c r="C5" s="240" t="s">
        <v>13</v>
      </c>
      <c r="D5" s="242">
        <v>295</v>
      </c>
      <c r="E5" s="242">
        <v>250</v>
      </c>
      <c r="F5" s="242">
        <f>+E5+D5</f>
        <v>545</v>
      </c>
      <c r="G5" s="243">
        <v>27093</v>
      </c>
      <c r="H5" s="243">
        <f>ROUND(+G5*F5,2)</f>
        <v>14765685</v>
      </c>
      <c r="I5" s="156"/>
    </row>
    <row r="6" spans="1:9" s="9" customFormat="1" ht="35.1" customHeight="1" x14ac:dyDescent="0.25">
      <c r="A6" s="240" t="s">
        <v>1049</v>
      </c>
      <c r="B6" s="241" t="s">
        <v>1050</v>
      </c>
      <c r="C6" s="240" t="s">
        <v>13</v>
      </c>
      <c r="D6" s="242">
        <v>580</v>
      </c>
      <c r="E6" s="242">
        <v>0</v>
      </c>
      <c r="F6" s="242">
        <f>+E6+D6</f>
        <v>580</v>
      </c>
      <c r="G6" s="243">
        <v>3555</v>
      </c>
      <c r="H6" s="243">
        <f>ROUND(+G6*F6,2)</f>
        <v>2061900</v>
      </c>
      <c r="I6" s="156"/>
    </row>
    <row r="7" spans="1:9" s="9" customFormat="1" ht="35.1" customHeight="1" x14ac:dyDescent="0.25">
      <c r="A7" s="240" t="s">
        <v>1051</v>
      </c>
      <c r="B7" s="241" t="s">
        <v>1052</v>
      </c>
      <c r="C7" s="240" t="s">
        <v>94</v>
      </c>
      <c r="D7" s="242">
        <v>40</v>
      </c>
      <c r="E7" s="242">
        <v>0</v>
      </c>
      <c r="F7" s="242">
        <f>+E7+D7</f>
        <v>40</v>
      </c>
      <c r="G7" s="243">
        <v>34420</v>
      </c>
      <c r="H7" s="243">
        <f>ROUND(+G7*F7,2)</f>
        <v>1376800</v>
      </c>
      <c r="I7" s="156"/>
    </row>
    <row r="8" spans="1:9" s="9" customFormat="1" ht="35.1" customHeight="1" x14ac:dyDescent="0.25">
      <c r="A8" s="240" t="s">
        <v>14</v>
      </c>
      <c r="B8" s="241" t="s">
        <v>15</v>
      </c>
      <c r="C8" s="240" t="s">
        <v>16</v>
      </c>
      <c r="D8" s="242">
        <v>0</v>
      </c>
      <c r="E8" s="242">
        <v>8</v>
      </c>
      <c r="F8" s="242">
        <f>+E8+D8</f>
        <v>8</v>
      </c>
      <c r="G8" s="243">
        <v>35951</v>
      </c>
      <c r="H8" s="243">
        <f>ROUND(+G8*F8,2)</f>
        <v>287608</v>
      </c>
      <c r="I8" s="156"/>
    </row>
    <row r="9" spans="1:9" s="9" customFormat="1" ht="35.1" hidden="1" customHeight="1" x14ac:dyDescent="0.25">
      <c r="A9" s="244" t="s">
        <v>17</v>
      </c>
      <c r="B9" s="245" t="s">
        <v>18</v>
      </c>
      <c r="C9" s="244"/>
      <c r="D9" s="246"/>
      <c r="E9" s="246"/>
      <c r="F9" s="246"/>
      <c r="G9" s="303">
        <v>0</v>
      </c>
      <c r="H9" s="246"/>
      <c r="I9" s="156"/>
    </row>
    <row r="10" spans="1:9" s="9" customFormat="1" ht="35.1" hidden="1" customHeight="1" x14ac:dyDescent="0.25">
      <c r="A10" s="240" t="s">
        <v>1053</v>
      </c>
      <c r="B10" s="241" t="s">
        <v>1054</v>
      </c>
      <c r="C10" s="240" t="s">
        <v>374</v>
      </c>
      <c r="D10" s="242">
        <v>0</v>
      </c>
      <c r="E10" s="242">
        <v>0</v>
      </c>
      <c r="F10" s="242">
        <f>+E10+D10</f>
        <v>0</v>
      </c>
      <c r="G10" s="243">
        <v>563857</v>
      </c>
      <c r="H10" s="243">
        <f>ROUND(+G10*F10,2)</f>
        <v>0</v>
      </c>
      <c r="I10" s="156"/>
    </row>
    <row r="11" spans="1:9" s="9" customFormat="1" ht="35.1" hidden="1" customHeight="1" x14ac:dyDescent="0.25">
      <c r="A11" s="240" t="s">
        <v>1055</v>
      </c>
      <c r="B11" s="241" t="s">
        <v>1056</v>
      </c>
      <c r="C11" s="240" t="s">
        <v>374</v>
      </c>
      <c r="D11" s="242">
        <v>0</v>
      </c>
      <c r="E11" s="242">
        <v>0</v>
      </c>
      <c r="F11" s="242">
        <f>+E11+D11</f>
        <v>0</v>
      </c>
      <c r="G11" s="243">
        <v>4041000</v>
      </c>
      <c r="H11" s="243">
        <f>ROUND(+G11*F11,2)</f>
        <v>0</v>
      </c>
      <c r="I11" s="156"/>
    </row>
    <row r="12" spans="1:9" s="9" customFormat="1" ht="35.1" customHeight="1" x14ac:dyDescent="0.25">
      <c r="A12" s="244" t="s">
        <v>19</v>
      </c>
      <c r="B12" s="245" t="s">
        <v>20</v>
      </c>
      <c r="C12" s="244"/>
      <c r="D12" s="246"/>
      <c r="E12" s="246"/>
      <c r="F12" s="246"/>
      <c r="G12" s="303"/>
      <c r="H12" s="246"/>
      <c r="I12" s="156"/>
    </row>
    <row r="13" spans="1:9" s="9" customFormat="1" ht="35.1" hidden="1" customHeight="1" x14ac:dyDescent="0.25">
      <c r="A13" s="240" t="s">
        <v>21</v>
      </c>
      <c r="B13" s="241" t="s">
        <v>1057</v>
      </c>
      <c r="C13" s="240" t="s">
        <v>13</v>
      </c>
      <c r="D13" s="242">
        <v>0</v>
      </c>
      <c r="E13" s="242">
        <v>0</v>
      </c>
      <c r="F13" s="242">
        <f>+E13+D13</f>
        <v>0</v>
      </c>
      <c r="G13" s="243">
        <v>17127</v>
      </c>
      <c r="H13" s="243">
        <f>ROUND(+G13*F13,2)</f>
        <v>0</v>
      </c>
      <c r="I13" s="156"/>
    </row>
    <row r="14" spans="1:9" s="9" customFormat="1" ht="35.1" customHeight="1" x14ac:dyDescent="0.25">
      <c r="A14" s="240" t="s">
        <v>23</v>
      </c>
      <c r="B14" s="241" t="s">
        <v>1058</v>
      </c>
      <c r="C14" s="240" t="s">
        <v>13</v>
      </c>
      <c r="D14" s="242">
        <v>0</v>
      </c>
      <c r="E14" s="242">
        <v>151</v>
      </c>
      <c r="F14" s="242">
        <f>+E14+D14</f>
        <v>151</v>
      </c>
      <c r="G14" s="243">
        <v>13438</v>
      </c>
      <c r="H14" s="243">
        <f>ROUND(+G14*F14,2)</f>
        <v>2029138</v>
      </c>
      <c r="I14" s="156"/>
    </row>
    <row r="15" spans="1:9" s="9" customFormat="1" ht="35.1" customHeight="1" x14ac:dyDescent="0.25">
      <c r="A15" s="247">
        <v>2</v>
      </c>
      <c r="B15" s="248" t="s">
        <v>25</v>
      </c>
      <c r="C15" s="248"/>
      <c r="D15" s="249"/>
      <c r="E15" s="249"/>
      <c r="F15" s="249"/>
      <c r="G15" s="304"/>
      <c r="H15" s="249"/>
      <c r="I15" s="156"/>
    </row>
    <row r="16" spans="1:9" s="9" customFormat="1" ht="35.1" customHeight="1" x14ac:dyDescent="0.25">
      <c r="A16" s="244" t="s">
        <v>26</v>
      </c>
      <c r="B16" s="245" t="s">
        <v>27</v>
      </c>
      <c r="C16" s="244"/>
      <c r="D16" s="246"/>
      <c r="E16" s="246"/>
      <c r="F16" s="246"/>
      <c r="G16" s="303"/>
      <c r="H16" s="246"/>
      <c r="I16" s="156"/>
    </row>
    <row r="17" spans="1:9" s="9" customFormat="1" ht="35.1" customHeight="1" x14ac:dyDescent="0.25">
      <c r="A17" s="240" t="s">
        <v>28</v>
      </c>
      <c r="B17" s="241" t="s">
        <v>29</v>
      </c>
      <c r="C17" s="240" t="s">
        <v>30</v>
      </c>
      <c r="D17" s="242">
        <v>400</v>
      </c>
      <c r="E17" s="242">
        <v>0</v>
      </c>
      <c r="F17" s="242">
        <f>+E17+D17</f>
        <v>400</v>
      </c>
      <c r="G17" s="243">
        <v>32449</v>
      </c>
      <c r="H17" s="243">
        <f>ROUND(+G17*F17,2)</f>
        <v>12979600</v>
      </c>
      <c r="I17" s="156"/>
    </row>
    <row r="18" spans="1:9" s="9" customFormat="1" ht="35.1" customHeight="1" x14ac:dyDescent="0.25">
      <c r="A18" s="240" t="s">
        <v>31</v>
      </c>
      <c r="B18" s="241" t="s">
        <v>32</v>
      </c>
      <c r="C18" s="240" t="s">
        <v>30</v>
      </c>
      <c r="D18" s="242">
        <v>57.945499999999981</v>
      </c>
      <c r="E18" s="242">
        <v>299.45</v>
      </c>
      <c r="F18" s="242">
        <f>+E18+D18</f>
        <v>357.39549999999997</v>
      </c>
      <c r="G18" s="243">
        <v>40990</v>
      </c>
      <c r="H18" s="243">
        <f>ROUND(+G18*F18,2)</f>
        <v>14649641.550000001</v>
      </c>
      <c r="I18" s="156"/>
    </row>
    <row r="19" spans="1:9" s="9" customFormat="1" ht="35.1" customHeight="1" x14ac:dyDescent="0.25">
      <c r="A19" s="240" t="s">
        <v>33</v>
      </c>
      <c r="B19" s="251" t="s">
        <v>34</v>
      </c>
      <c r="C19" s="240" t="s">
        <v>30</v>
      </c>
      <c r="D19" s="242">
        <v>56.107679999999959</v>
      </c>
      <c r="E19" s="242">
        <v>524.07000000000005</v>
      </c>
      <c r="F19" s="242">
        <f>+E19+D19</f>
        <v>580.17768000000001</v>
      </c>
      <c r="G19" s="243">
        <v>12819</v>
      </c>
      <c r="H19" s="243">
        <f>ROUND(+G19*F19,2)</f>
        <v>7437297.6799999997</v>
      </c>
      <c r="I19" s="156"/>
    </row>
    <row r="20" spans="1:9" s="9" customFormat="1" ht="35.1" customHeight="1" x14ac:dyDescent="0.25">
      <c r="A20" s="240" t="s">
        <v>35</v>
      </c>
      <c r="B20" s="241" t="s">
        <v>36</v>
      </c>
      <c r="C20" s="240" t="s">
        <v>30</v>
      </c>
      <c r="D20" s="242">
        <v>70.485000000000014</v>
      </c>
      <c r="E20" s="242">
        <v>122.54</v>
      </c>
      <c r="F20" s="242">
        <f>+E20+D20</f>
        <v>193.02500000000003</v>
      </c>
      <c r="G20" s="243">
        <v>64537</v>
      </c>
      <c r="H20" s="243">
        <f>ROUND(+G20*F20,2)</f>
        <v>12457254.43</v>
      </c>
      <c r="I20" s="156"/>
    </row>
    <row r="21" spans="1:9" s="9" customFormat="1" ht="35.1" customHeight="1" x14ac:dyDescent="0.25">
      <c r="A21" s="244" t="s">
        <v>37</v>
      </c>
      <c r="B21" s="245" t="s">
        <v>38</v>
      </c>
      <c r="C21" s="244"/>
      <c r="D21" s="246"/>
      <c r="E21" s="246"/>
      <c r="F21" s="246"/>
      <c r="G21" s="252"/>
      <c r="H21" s="246"/>
      <c r="I21" s="156"/>
    </row>
    <row r="22" spans="1:9" s="9" customFormat="1" ht="35.1" customHeight="1" x14ac:dyDescent="0.25">
      <c r="A22" s="253" t="s">
        <v>39</v>
      </c>
      <c r="B22" s="254" t="s">
        <v>40</v>
      </c>
      <c r="C22" s="255" t="s">
        <v>13</v>
      </c>
      <c r="D22" s="242">
        <v>72.123000000000047</v>
      </c>
      <c r="E22" s="242">
        <v>1111.51</v>
      </c>
      <c r="F22" s="242">
        <f>+E22+D22</f>
        <v>1183.633</v>
      </c>
      <c r="G22" s="243">
        <v>26091</v>
      </c>
      <c r="H22" s="243">
        <f t="shared" ref="H22:H85" si="0">ROUND(+G22*F22,2)</f>
        <v>30882168.600000001</v>
      </c>
      <c r="I22" s="156"/>
    </row>
    <row r="23" spans="1:9" s="9" customFormat="1" ht="35.1" customHeight="1" x14ac:dyDescent="0.25">
      <c r="A23" s="253" t="s">
        <v>41</v>
      </c>
      <c r="B23" s="241" t="s">
        <v>42</v>
      </c>
      <c r="C23" s="240" t="s">
        <v>30</v>
      </c>
      <c r="D23" s="242">
        <v>36</v>
      </c>
      <c r="E23" s="242">
        <v>46.48</v>
      </c>
      <c r="F23" s="242">
        <f>+E23+D23</f>
        <v>82.47999999999999</v>
      </c>
      <c r="G23" s="243">
        <v>705830</v>
      </c>
      <c r="H23" s="243">
        <f t="shared" si="0"/>
        <v>58216858.399999999</v>
      </c>
      <c r="I23" s="156"/>
    </row>
    <row r="24" spans="1:9" s="9" customFormat="1" ht="35.1" customHeight="1" x14ac:dyDescent="0.25">
      <c r="A24" s="253" t="s">
        <v>43</v>
      </c>
      <c r="B24" s="241" t="s">
        <v>44</v>
      </c>
      <c r="C24" s="240" t="s">
        <v>30</v>
      </c>
      <c r="D24" s="242">
        <v>36.5</v>
      </c>
      <c r="E24" s="242">
        <v>45.04</v>
      </c>
      <c r="F24" s="242">
        <f>+E24+D24</f>
        <v>81.539999999999992</v>
      </c>
      <c r="G24" s="243">
        <v>705830</v>
      </c>
      <c r="H24" s="243">
        <f t="shared" si="0"/>
        <v>57553378.200000003</v>
      </c>
      <c r="I24" s="156"/>
    </row>
    <row r="25" spans="1:9" s="9" customFormat="1" ht="35.1" customHeight="1" x14ac:dyDescent="0.25">
      <c r="A25" s="253" t="s">
        <v>45</v>
      </c>
      <c r="B25" s="241" t="s">
        <v>46</v>
      </c>
      <c r="C25" s="240" t="s">
        <v>30</v>
      </c>
      <c r="D25" s="242">
        <v>13</v>
      </c>
      <c r="E25" s="242">
        <v>34.93</v>
      </c>
      <c r="F25" s="242">
        <f>+E25+D25</f>
        <v>47.93</v>
      </c>
      <c r="G25" s="243">
        <v>815298</v>
      </c>
      <c r="H25" s="243">
        <f t="shared" si="0"/>
        <v>39077233.140000001</v>
      </c>
      <c r="I25" s="156"/>
    </row>
    <row r="26" spans="1:9" s="9" customFormat="1" ht="35.1" customHeight="1" x14ac:dyDescent="0.25">
      <c r="A26" s="244" t="s">
        <v>47</v>
      </c>
      <c r="B26" s="245" t="s">
        <v>1059</v>
      </c>
      <c r="C26" s="244"/>
      <c r="D26" s="246"/>
      <c r="E26" s="246"/>
      <c r="F26" s="246"/>
      <c r="G26" s="303">
        <v>0</v>
      </c>
      <c r="H26" s="246"/>
      <c r="I26" s="156"/>
    </row>
    <row r="27" spans="1:9" s="9" customFormat="1" ht="35.1" customHeight="1" x14ac:dyDescent="0.25">
      <c r="A27" s="255" t="s">
        <v>49</v>
      </c>
      <c r="B27" s="241" t="s">
        <v>50</v>
      </c>
      <c r="C27" s="240" t="s">
        <v>30</v>
      </c>
      <c r="D27" s="242">
        <v>13.700000000000003</v>
      </c>
      <c r="E27" s="242">
        <v>50.62</v>
      </c>
      <c r="F27" s="242">
        <f>+E27+D27</f>
        <v>64.319999999999993</v>
      </c>
      <c r="G27" s="243">
        <v>842176</v>
      </c>
      <c r="H27" s="243">
        <f t="shared" si="0"/>
        <v>54168760.32</v>
      </c>
      <c r="I27" s="156"/>
    </row>
    <row r="28" spans="1:9" s="9" customFormat="1" ht="35.1" customHeight="1" x14ac:dyDescent="0.25">
      <c r="A28" s="244" t="s">
        <v>51</v>
      </c>
      <c r="B28" s="256" t="s">
        <v>52</v>
      </c>
      <c r="C28" s="256"/>
      <c r="D28" s="246"/>
      <c r="E28" s="246"/>
      <c r="F28" s="246"/>
      <c r="G28" s="303">
        <v>0</v>
      </c>
      <c r="H28" s="246"/>
      <c r="I28" s="156"/>
    </row>
    <row r="29" spans="1:9" s="9" customFormat="1" ht="35.1" customHeight="1" x14ac:dyDescent="0.25">
      <c r="A29" s="240" t="s">
        <v>53</v>
      </c>
      <c r="B29" s="241" t="s">
        <v>54</v>
      </c>
      <c r="C29" s="240" t="s">
        <v>55</v>
      </c>
      <c r="D29" s="242">
        <v>8230.6999999999971</v>
      </c>
      <c r="E29" s="242">
        <v>16621.25</v>
      </c>
      <c r="F29" s="242">
        <f>+E29+D29</f>
        <v>24851.949999999997</v>
      </c>
      <c r="G29" s="243">
        <v>5221</v>
      </c>
      <c r="H29" s="243">
        <f t="shared" si="0"/>
        <v>129752030.95</v>
      </c>
      <c r="I29" s="156"/>
    </row>
    <row r="30" spans="1:9" s="9" customFormat="1" ht="35.1" customHeight="1" x14ac:dyDescent="0.25">
      <c r="A30" s="253" t="s">
        <v>56</v>
      </c>
      <c r="B30" s="241" t="s">
        <v>57</v>
      </c>
      <c r="C30" s="240" t="s">
        <v>13</v>
      </c>
      <c r="D30" s="242">
        <v>242.5</v>
      </c>
      <c r="E30" s="242">
        <v>1871.1</v>
      </c>
      <c r="F30" s="242">
        <f>+E30+D30</f>
        <v>2113.6</v>
      </c>
      <c r="G30" s="243">
        <v>7898</v>
      </c>
      <c r="H30" s="243">
        <f t="shared" si="0"/>
        <v>16693212.800000001</v>
      </c>
      <c r="I30" s="156"/>
    </row>
    <row r="31" spans="1:9" s="9" customFormat="1" ht="35.1" customHeight="1" x14ac:dyDescent="0.25">
      <c r="A31" s="247">
        <v>3</v>
      </c>
      <c r="B31" s="248" t="s">
        <v>58</v>
      </c>
      <c r="C31" s="248"/>
      <c r="D31" s="249"/>
      <c r="E31" s="249"/>
      <c r="F31" s="249"/>
      <c r="G31" s="305">
        <v>0</v>
      </c>
      <c r="H31" s="249"/>
      <c r="I31" s="156"/>
    </row>
    <row r="32" spans="1:9" s="9" customFormat="1" ht="35.1" customHeight="1" x14ac:dyDescent="0.25">
      <c r="A32" s="244" t="s">
        <v>59</v>
      </c>
      <c r="B32" s="245" t="s">
        <v>60</v>
      </c>
      <c r="C32" s="244"/>
      <c r="D32" s="246"/>
      <c r="E32" s="246"/>
      <c r="F32" s="246"/>
      <c r="G32" s="303">
        <v>0</v>
      </c>
      <c r="H32" s="246"/>
      <c r="I32" s="156"/>
    </row>
    <row r="33" spans="1:9" s="9" customFormat="1" ht="35.1" customHeight="1" x14ac:dyDescent="0.25">
      <c r="A33" s="255" t="s">
        <v>61</v>
      </c>
      <c r="B33" s="241" t="s">
        <v>62</v>
      </c>
      <c r="C33" s="240" t="s">
        <v>30</v>
      </c>
      <c r="D33" s="242">
        <v>24.939999999999998</v>
      </c>
      <c r="E33" s="242">
        <v>247.78</v>
      </c>
      <c r="F33" s="242">
        <f>+E33+D33</f>
        <v>272.72000000000003</v>
      </c>
      <c r="G33" s="243">
        <v>831289</v>
      </c>
      <c r="H33" s="243">
        <f t="shared" si="0"/>
        <v>226709136.08000001</v>
      </c>
      <c r="I33" s="156"/>
    </row>
    <row r="34" spans="1:9" s="9" customFormat="1" ht="35.1" customHeight="1" x14ac:dyDescent="0.25">
      <c r="A34" s="255" t="s">
        <v>63</v>
      </c>
      <c r="B34" s="241" t="s">
        <v>64</v>
      </c>
      <c r="C34" s="240" t="s">
        <v>30</v>
      </c>
      <c r="D34" s="242">
        <v>15.569999999999993</v>
      </c>
      <c r="E34" s="242">
        <v>152.63999999999999</v>
      </c>
      <c r="F34" s="242">
        <f>+E34+D34</f>
        <v>168.20999999999998</v>
      </c>
      <c r="G34" s="243">
        <v>831289</v>
      </c>
      <c r="H34" s="243">
        <f t="shared" si="0"/>
        <v>139831122.69</v>
      </c>
      <c r="I34" s="156"/>
    </row>
    <row r="35" spans="1:9" s="9" customFormat="1" ht="35.1" customHeight="1" x14ac:dyDescent="0.25">
      <c r="A35" s="244" t="s">
        <v>65</v>
      </c>
      <c r="B35" s="245" t="s">
        <v>66</v>
      </c>
      <c r="C35" s="244"/>
      <c r="D35" s="246"/>
      <c r="E35" s="246"/>
      <c r="F35" s="246"/>
      <c r="G35" s="303">
        <v>0</v>
      </c>
      <c r="H35" s="246"/>
      <c r="I35" s="156"/>
    </row>
    <row r="36" spans="1:9" s="9" customFormat="1" ht="35.1" customHeight="1" x14ac:dyDescent="0.25">
      <c r="A36" s="253" t="s">
        <v>67</v>
      </c>
      <c r="B36" s="241" t="s">
        <v>1060</v>
      </c>
      <c r="C36" s="255" t="s">
        <v>30</v>
      </c>
      <c r="D36" s="242">
        <v>0</v>
      </c>
      <c r="E36" s="242">
        <v>2128.8200000000002</v>
      </c>
      <c r="F36" s="242">
        <f>+E36+D36</f>
        <v>2128.8200000000002</v>
      </c>
      <c r="G36" s="243">
        <v>928877</v>
      </c>
      <c r="H36" s="243">
        <f t="shared" si="0"/>
        <v>1977411935.1400001</v>
      </c>
      <c r="I36" s="156"/>
    </row>
    <row r="37" spans="1:9" s="9" customFormat="1" ht="35.1" customHeight="1" x14ac:dyDescent="0.25">
      <c r="A37" s="253" t="s">
        <v>69</v>
      </c>
      <c r="B37" s="241" t="s">
        <v>70</v>
      </c>
      <c r="C37" s="255" t="s">
        <v>13</v>
      </c>
      <c r="D37" s="242">
        <v>235.59999999999991</v>
      </c>
      <c r="E37" s="242">
        <v>1581</v>
      </c>
      <c r="F37" s="242">
        <f>+E37+D37</f>
        <v>1816.6</v>
      </c>
      <c r="G37" s="243">
        <v>100365</v>
      </c>
      <c r="H37" s="243">
        <f t="shared" si="0"/>
        <v>182323059</v>
      </c>
      <c r="I37" s="156"/>
    </row>
    <row r="38" spans="1:9" s="9" customFormat="1" ht="35.1" customHeight="1" x14ac:dyDescent="0.25">
      <c r="A38" s="253" t="s">
        <v>71</v>
      </c>
      <c r="B38" s="241" t="s">
        <v>72</v>
      </c>
      <c r="C38" s="255" t="s">
        <v>30</v>
      </c>
      <c r="D38" s="242">
        <v>0</v>
      </c>
      <c r="E38" s="242">
        <v>8.9</v>
      </c>
      <c r="F38" s="242">
        <f>+E38+D38</f>
        <v>8.9</v>
      </c>
      <c r="G38" s="243">
        <v>809579</v>
      </c>
      <c r="H38" s="243">
        <f t="shared" si="0"/>
        <v>7205253.0999999996</v>
      </c>
      <c r="I38" s="156"/>
    </row>
    <row r="39" spans="1:9" s="9" customFormat="1" ht="35.1" customHeight="1" x14ac:dyDescent="0.25">
      <c r="A39" s="244" t="s">
        <v>73</v>
      </c>
      <c r="B39" s="245" t="s">
        <v>74</v>
      </c>
      <c r="C39" s="244"/>
      <c r="D39" s="246"/>
      <c r="E39" s="246"/>
      <c r="F39" s="246"/>
      <c r="G39" s="303">
        <v>0</v>
      </c>
      <c r="H39" s="246"/>
      <c r="I39" s="156"/>
    </row>
    <row r="40" spans="1:9" s="9" customFormat="1" ht="35.1" customHeight="1" x14ac:dyDescent="0.25">
      <c r="A40" s="253" t="s">
        <v>75</v>
      </c>
      <c r="B40" s="241" t="s">
        <v>76</v>
      </c>
      <c r="C40" s="255" t="s">
        <v>30</v>
      </c>
      <c r="D40" s="242">
        <v>11.299999999999997</v>
      </c>
      <c r="E40" s="242">
        <v>73</v>
      </c>
      <c r="F40" s="242">
        <f>+E40+D40</f>
        <v>84.3</v>
      </c>
      <c r="G40" s="243">
        <v>815298</v>
      </c>
      <c r="H40" s="243">
        <f t="shared" si="0"/>
        <v>68729621.400000006</v>
      </c>
      <c r="I40" s="156"/>
    </row>
    <row r="41" spans="1:9" s="9" customFormat="1" ht="35.1" customHeight="1" x14ac:dyDescent="0.25">
      <c r="A41" s="253" t="s">
        <v>77</v>
      </c>
      <c r="B41" s="241" t="s">
        <v>78</v>
      </c>
      <c r="C41" s="255" t="s">
        <v>30</v>
      </c>
      <c r="D41" s="242">
        <v>15.900000000000006</v>
      </c>
      <c r="E41" s="242">
        <v>109</v>
      </c>
      <c r="F41" s="242">
        <f>+E41+D41</f>
        <v>124.9</v>
      </c>
      <c r="G41" s="243">
        <v>786314</v>
      </c>
      <c r="H41" s="243">
        <f t="shared" si="0"/>
        <v>98210618.599999994</v>
      </c>
      <c r="I41" s="156"/>
    </row>
    <row r="42" spans="1:9" s="9" customFormat="1" ht="35.1" customHeight="1" x14ac:dyDescent="0.25">
      <c r="A42" s="253" t="s">
        <v>79</v>
      </c>
      <c r="B42" s="241" t="s">
        <v>80</v>
      </c>
      <c r="C42" s="240" t="s">
        <v>30</v>
      </c>
      <c r="D42" s="242">
        <v>4.7000000000000028</v>
      </c>
      <c r="E42" s="242">
        <v>30</v>
      </c>
      <c r="F42" s="242">
        <f>+E42+D42</f>
        <v>34.700000000000003</v>
      </c>
      <c r="G42" s="243">
        <v>933848</v>
      </c>
      <c r="H42" s="243">
        <f t="shared" si="0"/>
        <v>32404525.600000001</v>
      </c>
      <c r="I42" s="156"/>
    </row>
    <row r="43" spans="1:9" s="9" customFormat="1" ht="35.1" customHeight="1" x14ac:dyDescent="0.25">
      <c r="A43" s="253" t="s">
        <v>81</v>
      </c>
      <c r="B43" s="241" t="s">
        <v>82</v>
      </c>
      <c r="C43" s="240" t="s">
        <v>30</v>
      </c>
      <c r="D43" s="242">
        <v>2</v>
      </c>
      <c r="E43" s="242">
        <v>17</v>
      </c>
      <c r="F43" s="242">
        <f>+E43+D43</f>
        <v>19</v>
      </c>
      <c r="G43" s="243">
        <v>933848</v>
      </c>
      <c r="H43" s="243">
        <f t="shared" si="0"/>
        <v>17743112</v>
      </c>
      <c r="I43" s="156"/>
    </row>
    <row r="44" spans="1:9" s="9" customFormat="1" ht="35.1" customHeight="1" x14ac:dyDescent="0.25">
      <c r="A44" s="253" t="s">
        <v>83</v>
      </c>
      <c r="B44" s="241" t="s">
        <v>84</v>
      </c>
      <c r="C44" s="255" t="s">
        <v>30</v>
      </c>
      <c r="D44" s="242">
        <v>9</v>
      </c>
      <c r="E44" s="242">
        <v>63</v>
      </c>
      <c r="F44" s="242">
        <f>+E44+D44</f>
        <v>72</v>
      </c>
      <c r="G44" s="243">
        <v>873849</v>
      </c>
      <c r="H44" s="243">
        <f t="shared" si="0"/>
        <v>62917128</v>
      </c>
      <c r="I44" s="156"/>
    </row>
    <row r="45" spans="1:9" s="9" customFormat="1" ht="35.1" customHeight="1" x14ac:dyDescent="0.25">
      <c r="A45" s="244" t="s">
        <v>85</v>
      </c>
      <c r="B45" s="256" t="s">
        <v>86</v>
      </c>
      <c r="C45" s="256"/>
      <c r="D45" s="246"/>
      <c r="E45" s="246"/>
      <c r="F45" s="246"/>
      <c r="G45" s="303">
        <v>0</v>
      </c>
      <c r="H45" s="246"/>
      <c r="I45" s="156"/>
    </row>
    <row r="46" spans="1:9" s="9" customFormat="1" ht="35.1" customHeight="1" x14ac:dyDescent="0.25">
      <c r="A46" s="240" t="s">
        <v>87</v>
      </c>
      <c r="B46" s="251" t="s">
        <v>54</v>
      </c>
      <c r="C46" s="240" t="s">
        <v>55</v>
      </c>
      <c r="D46" s="242">
        <v>84343.400000000023</v>
      </c>
      <c r="E46" s="242">
        <v>134615.48000000001</v>
      </c>
      <c r="F46" s="242">
        <f>+E46+D46</f>
        <v>218958.88000000003</v>
      </c>
      <c r="G46" s="243">
        <v>5221</v>
      </c>
      <c r="H46" s="243">
        <f t="shared" si="0"/>
        <v>1143184312.48</v>
      </c>
      <c r="I46" s="156"/>
    </row>
    <row r="47" spans="1:9" s="9" customFormat="1" ht="35.1" customHeight="1" x14ac:dyDescent="0.25">
      <c r="A47" s="253" t="s">
        <v>88</v>
      </c>
      <c r="B47" s="254" t="s">
        <v>89</v>
      </c>
      <c r="C47" s="240" t="s">
        <v>13</v>
      </c>
      <c r="D47" s="242">
        <v>938.19999999999982</v>
      </c>
      <c r="E47" s="242">
        <v>6220.01</v>
      </c>
      <c r="F47" s="242">
        <f>+E47+D47</f>
        <v>7158.21</v>
      </c>
      <c r="G47" s="243">
        <v>7898</v>
      </c>
      <c r="H47" s="243">
        <f t="shared" si="0"/>
        <v>56535542.579999998</v>
      </c>
      <c r="I47" s="156"/>
    </row>
    <row r="48" spans="1:9" s="9" customFormat="1" ht="35.1" customHeight="1" x14ac:dyDescent="0.25">
      <c r="A48" s="244" t="s">
        <v>90</v>
      </c>
      <c r="B48" s="256" t="s">
        <v>91</v>
      </c>
      <c r="C48" s="256"/>
      <c r="D48" s="246"/>
      <c r="E48" s="246"/>
      <c r="F48" s="246"/>
      <c r="G48" s="303">
        <v>0</v>
      </c>
      <c r="H48" s="246"/>
      <c r="I48" s="156"/>
    </row>
    <row r="49" spans="1:9" s="9" customFormat="1" ht="35.1" customHeight="1" x14ac:dyDescent="0.25">
      <c r="A49" s="240" t="s">
        <v>92</v>
      </c>
      <c r="B49" s="251" t="s">
        <v>93</v>
      </c>
      <c r="C49" s="240" t="s">
        <v>94</v>
      </c>
      <c r="D49" s="242">
        <v>14.099999999999994</v>
      </c>
      <c r="E49" s="242">
        <v>194</v>
      </c>
      <c r="F49" s="242">
        <f>+E49+D49</f>
        <v>208.1</v>
      </c>
      <c r="G49" s="243">
        <v>112181</v>
      </c>
      <c r="H49" s="243">
        <f t="shared" si="0"/>
        <v>23344866.100000001</v>
      </c>
      <c r="I49" s="156"/>
    </row>
    <row r="50" spans="1:9" s="9" customFormat="1" ht="35.1" customHeight="1" x14ac:dyDescent="0.25">
      <c r="A50" s="240" t="s">
        <v>95</v>
      </c>
      <c r="B50" s="251" t="s">
        <v>96</v>
      </c>
      <c r="C50" s="240" t="s">
        <v>94</v>
      </c>
      <c r="D50" s="242">
        <v>28.599999999999994</v>
      </c>
      <c r="E50" s="242">
        <v>1240</v>
      </c>
      <c r="F50" s="242">
        <f>+E50+D50</f>
        <v>1268.5999999999999</v>
      </c>
      <c r="G50" s="243">
        <v>80260</v>
      </c>
      <c r="H50" s="243">
        <f t="shared" si="0"/>
        <v>101817836</v>
      </c>
      <c r="I50" s="156"/>
    </row>
    <row r="51" spans="1:9" s="9" customFormat="1" ht="35.1" customHeight="1" x14ac:dyDescent="0.25">
      <c r="A51" s="240" t="s">
        <v>97</v>
      </c>
      <c r="B51" s="254" t="s">
        <v>98</v>
      </c>
      <c r="C51" s="255" t="s">
        <v>13</v>
      </c>
      <c r="D51" s="242">
        <v>488.5</v>
      </c>
      <c r="E51" s="242">
        <v>508</v>
      </c>
      <c r="F51" s="242">
        <f>+E51+D51</f>
        <v>996.5</v>
      </c>
      <c r="G51" s="243">
        <v>106122</v>
      </c>
      <c r="H51" s="243">
        <f t="shared" si="0"/>
        <v>105750573</v>
      </c>
      <c r="I51" s="156"/>
    </row>
    <row r="52" spans="1:9" s="9" customFormat="1" ht="35.1" customHeight="1" x14ac:dyDescent="0.25">
      <c r="A52" s="247">
        <v>4</v>
      </c>
      <c r="B52" s="248" t="s">
        <v>99</v>
      </c>
      <c r="C52" s="248"/>
      <c r="D52" s="249"/>
      <c r="E52" s="249"/>
      <c r="F52" s="249"/>
      <c r="G52" s="305">
        <v>0</v>
      </c>
      <c r="H52" s="249"/>
      <c r="I52" s="156"/>
    </row>
    <row r="53" spans="1:9" s="9" customFormat="1" ht="35.1" customHeight="1" x14ac:dyDescent="0.25">
      <c r="A53" s="244" t="s">
        <v>100</v>
      </c>
      <c r="B53" s="245" t="s">
        <v>101</v>
      </c>
      <c r="C53" s="260"/>
      <c r="D53" s="246"/>
      <c r="E53" s="246"/>
      <c r="F53" s="246"/>
      <c r="G53" s="303">
        <v>0</v>
      </c>
      <c r="H53" s="246"/>
      <c r="I53" s="156"/>
    </row>
    <row r="54" spans="1:9" s="9" customFormat="1" ht="35.1" customHeight="1" x14ac:dyDescent="0.25">
      <c r="A54" s="255" t="s">
        <v>102</v>
      </c>
      <c r="B54" s="254" t="s">
        <v>1062</v>
      </c>
      <c r="C54" s="255" t="s">
        <v>13</v>
      </c>
      <c r="D54" s="242">
        <v>0</v>
      </c>
      <c r="E54" s="242">
        <v>59.86</v>
      </c>
      <c r="F54" s="242">
        <f>+E54+D54</f>
        <v>59.86</v>
      </c>
      <c r="G54" s="243">
        <v>54016</v>
      </c>
      <c r="H54" s="243">
        <f t="shared" si="0"/>
        <v>3233397.76</v>
      </c>
      <c r="I54" s="156"/>
    </row>
    <row r="55" spans="1:9" s="9" customFormat="1" ht="35.1" customHeight="1" x14ac:dyDescent="0.25">
      <c r="A55" s="255" t="s">
        <v>104</v>
      </c>
      <c r="B55" s="254" t="s">
        <v>105</v>
      </c>
      <c r="C55" s="255" t="s">
        <v>13</v>
      </c>
      <c r="D55" s="242">
        <v>0</v>
      </c>
      <c r="E55" s="242">
        <v>388.43</v>
      </c>
      <c r="F55" s="242">
        <f>+E55+D55</f>
        <v>388.43</v>
      </c>
      <c r="G55" s="243">
        <v>54016</v>
      </c>
      <c r="H55" s="243">
        <f t="shared" si="0"/>
        <v>20981434.879999999</v>
      </c>
      <c r="I55" s="156"/>
    </row>
    <row r="56" spans="1:9" s="9" customFormat="1" ht="35.1" customHeight="1" x14ac:dyDescent="0.25">
      <c r="A56" s="261" t="s">
        <v>1063</v>
      </c>
      <c r="B56" s="262" t="s">
        <v>1064</v>
      </c>
      <c r="C56" s="263"/>
      <c r="D56" s="264"/>
      <c r="E56" s="264"/>
      <c r="F56" s="264"/>
      <c r="G56" s="303">
        <v>0</v>
      </c>
      <c r="H56" s="246"/>
      <c r="I56" s="156"/>
    </row>
    <row r="57" spans="1:9" s="9" customFormat="1" ht="49.15" customHeight="1" x14ac:dyDescent="0.25">
      <c r="A57" s="255" t="s">
        <v>1065</v>
      </c>
      <c r="B57" s="254" t="s">
        <v>103</v>
      </c>
      <c r="C57" s="255" t="s">
        <v>13</v>
      </c>
      <c r="D57" s="242">
        <v>68.989999999999995</v>
      </c>
      <c r="E57" s="242">
        <v>0</v>
      </c>
      <c r="F57" s="242">
        <f>+E57+D57</f>
        <v>68.989999999999995</v>
      </c>
      <c r="G57" s="243">
        <v>54016</v>
      </c>
      <c r="H57" s="243">
        <f t="shared" si="0"/>
        <v>3726563.84</v>
      </c>
      <c r="I57" s="156"/>
    </row>
    <row r="58" spans="1:9" s="9" customFormat="1" ht="35.1" customHeight="1" x14ac:dyDescent="0.25">
      <c r="A58" s="255" t="s">
        <v>1066</v>
      </c>
      <c r="B58" s="254" t="s">
        <v>105</v>
      </c>
      <c r="C58" s="255" t="s">
        <v>13</v>
      </c>
      <c r="D58" s="242">
        <v>701.75</v>
      </c>
      <c r="E58" s="242">
        <v>0</v>
      </c>
      <c r="F58" s="242">
        <f>+E58+D58</f>
        <v>701.75</v>
      </c>
      <c r="G58" s="243">
        <v>54016</v>
      </c>
      <c r="H58" s="243">
        <f t="shared" si="0"/>
        <v>37905728</v>
      </c>
      <c r="I58" s="156"/>
    </row>
    <row r="59" spans="1:9" s="9" customFormat="1" ht="35.1" customHeight="1" x14ac:dyDescent="0.25">
      <c r="A59" s="244" t="s">
        <v>1067</v>
      </c>
      <c r="B59" s="245" t="s">
        <v>1068</v>
      </c>
      <c r="C59" s="260"/>
      <c r="D59" s="246"/>
      <c r="E59" s="246"/>
      <c r="F59" s="246"/>
      <c r="G59" s="303">
        <v>0</v>
      </c>
      <c r="H59" s="246"/>
      <c r="I59" s="156"/>
    </row>
    <row r="60" spans="1:9" s="9" customFormat="1" ht="46.15" customHeight="1" x14ac:dyDescent="0.25">
      <c r="A60" s="255" t="s">
        <v>1069</v>
      </c>
      <c r="B60" s="254" t="s">
        <v>103</v>
      </c>
      <c r="C60" s="255" t="s">
        <v>13</v>
      </c>
      <c r="D60" s="242">
        <v>68.989999999999995</v>
      </c>
      <c r="E60" s="242">
        <v>0</v>
      </c>
      <c r="F60" s="242">
        <f>+E60+D60</f>
        <v>68.989999999999995</v>
      </c>
      <c r="G60" s="243">
        <v>74748</v>
      </c>
      <c r="H60" s="243">
        <f t="shared" si="0"/>
        <v>5156864.5199999996</v>
      </c>
      <c r="I60" s="156"/>
    </row>
    <row r="61" spans="1:9" s="9" customFormat="1" ht="35.1" customHeight="1" x14ac:dyDescent="0.25">
      <c r="A61" s="255" t="s">
        <v>1070</v>
      </c>
      <c r="B61" s="254" t="s">
        <v>105</v>
      </c>
      <c r="C61" s="255" t="s">
        <v>13</v>
      </c>
      <c r="D61" s="242">
        <v>565.59</v>
      </c>
      <c r="E61" s="242">
        <v>0</v>
      </c>
      <c r="F61" s="242">
        <f>+E61+D61</f>
        <v>565.59</v>
      </c>
      <c r="G61" s="243">
        <v>70784</v>
      </c>
      <c r="H61" s="243">
        <f t="shared" si="0"/>
        <v>40034722.560000002</v>
      </c>
      <c r="I61" s="156"/>
    </row>
    <row r="62" spans="1:9" s="9" customFormat="1" ht="35.1" customHeight="1" x14ac:dyDescent="0.25">
      <c r="A62" s="265" t="s">
        <v>1071</v>
      </c>
      <c r="B62" s="245" t="s">
        <v>1072</v>
      </c>
      <c r="C62" s="260"/>
      <c r="D62" s="246"/>
      <c r="E62" s="246"/>
      <c r="F62" s="246"/>
      <c r="G62" s="303">
        <v>0</v>
      </c>
      <c r="H62" s="246"/>
      <c r="I62" s="156"/>
    </row>
    <row r="63" spans="1:9" s="9" customFormat="1" ht="50.45" customHeight="1" x14ac:dyDescent="0.25">
      <c r="A63" s="255" t="s">
        <v>1073</v>
      </c>
      <c r="B63" s="254" t="s">
        <v>103</v>
      </c>
      <c r="C63" s="255" t="s">
        <v>13</v>
      </c>
      <c r="D63" s="242">
        <v>51.89</v>
      </c>
      <c r="E63" s="242">
        <v>0</v>
      </c>
      <c r="F63" s="242">
        <f>+E63+D63</f>
        <v>51.89</v>
      </c>
      <c r="G63" s="243">
        <v>74748</v>
      </c>
      <c r="H63" s="243">
        <f t="shared" si="0"/>
        <v>3878673.72</v>
      </c>
      <c r="I63" s="156"/>
    </row>
    <row r="64" spans="1:9" s="9" customFormat="1" ht="35.1" customHeight="1" x14ac:dyDescent="0.25">
      <c r="A64" s="255" t="s">
        <v>1074</v>
      </c>
      <c r="B64" s="254" t="s">
        <v>105</v>
      </c>
      <c r="C64" s="255" t="s">
        <v>13</v>
      </c>
      <c r="D64" s="242">
        <v>1250.28</v>
      </c>
      <c r="E64" s="242">
        <v>0</v>
      </c>
      <c r="F64" s="242">
        <f>+E64+D64</f>
        <v>1250.28</v>
      </c>
      <c r="G64" s="243">
        <v>70784</v>
      </c>
      <c r="H64" s="243">
        <f t="shared" si="0"/>
        <v>88499819.519999996</v>
      </c>
      <c r="I64" s="156"/>
    </row>
    <row r="65" spans="1:9" s="9" customFormat="1" ht="35.1" customHeight="1" x14ac:dyDescent="0.25">
      <c r="A65" s="255" t="s">
        <v>1075</v>
      </c>
      <c r="B65" s="254" t="s">
        <v>1076</v>
      </c>
      <c r="C65" s="255" t="s">
        <v>94</v>
      </c>
      <c r="D65" s="242">
        <v>250.05600000000001</v>
      </c>
      <c r="E65" s="242">
        <v>0</v>
      </c>
      <c r="F65" s="242">
        <f>+E65+D65</f>
        <v>250.05600000000001</v>
      </c>
      <c r="G65" s="243">
        <v>17969</v>
      </c>
      <c r="H65" s="243">
        <f t="shared" si="0"/>
        <v>4493256.26</v>
      </c>
      <c r="I65" s="156"/>
    </row>
    <row r="66" spans="1:9" s="9" customFormat="1" ht="35.1" customHeight="1" x14ac:dyDescent="0.25">
      <c r="A66" s="255" t="s">
        <v>1077</v>
      </c>
      <c r="B66" s="254" t="s">
        <v>1078</v>
      </c>
      <c r="C66" s="255" t="s">
        <v>13</v>
      </c>
      <c r="D66" s="242">
        <v>149.82</v>
      </c>
      <c r="E66" s="242">
        <v>0</v>
      </c>
      <c r="F66" s="242">
        <f>+E66+D66</f>
        <v>149.82</v>
      </c>
      <c r="G66" s="243">
        <v>49329</v>
      </c>
      <c r="H66" s="243">
        <f t="shared" si="0"/>
        <v>7390470.7800000003</v>
      </c>
      <c r="I66" s="156"/>
    </row>
    <row r="67" spans="1:9" s="9" customFormat="1" ht="35.1" customHeight="1" x14ac:dyDescent="0.25">
      <c r="A67" s="247">
        <v>5</v>
      </c>
      <c r="B67" s="248" t="s">
        <v>106</v>
      </c>
      <c r="C67" s="248"/>
      <c r="D67" s="249"/>
      <c r="E67" s="249"/>
      <c r="F67" s="249"/>
      <c r="G67" s="305">
        <v>0</v>
      </c>
      <c r="H67" s="249"/>
      <c r="I67" s="156"/>
    </row>
    <row r="68" spans="1:9" s="9" customFormat="1" ht="35.1" customHeight="1" x14ac:dyDescent="0.25">
      <c r="A68" s="244" t="s">
        <v>107</v>
      </c>
      <c r="B68" s="256" t="s">
        <v>108</v>
      </c>
      <c r="C68" s="256"/>
      <c r="D68" s="246"/>
      <c r="E68" s="246"/>
      <c r="F68" s="246"/>
      <c r="G68" s="303">
        <v>0</v>
      </c>
      <c r="H68" s="246"/>
      <c r="I68" s="156"/>
    </row>
    <row r="69" spans="1:9" s="9" customFormat="1" ht="35.1" customHeight="1" x14ac:dyDescent="0.25">
      <c r="A69" s="255" t="s">
        <v>109</v>
      </c>
      <c r="B69" s="241" t="s">
        <v>110</v>
      </c>
      <c r="C69" s="240" t="s">
        <v>30</v>
      </c>
      <c r="D69" s="242">
        <v>0</v>
      </c>
      <c r="E69" s="242">
        <v>0.73</v>
      </c>
      <c r="F69" s="242">
        <f t="shared" ref="F69:F75" si="1">+E69+D69</f>
        <v>0.73</v>
      </c>
      <c r="G69" s="243">
        <v>842176</v>
      </c>
      <c r="H69" s="243">
        <f t="shared" si="0"/>
        <v>614788.48</v>
      </c>
      <c r="I69" s="156"/>
    </row>
    <row r="70" spans="1:9" s="9" customFormat="1" ht="35.1" customHeight="1" x14ac:dyDescent="0.25">
      <c r="A70" s="255" t="s">
        <v>111</v>
      </c>
      <c r="B70" s="241" t="s">
        <v>112</v>
      </c>
      <c r="C70" s="240" t="s">
        <v>30</v>
      </c>
      <c r="D70" s="242">
        <v>11.33</v>
      </c>
      <c r="E70" s="242">
        <v>11.33</v>
      </c>
      <c r="F70" s="242">
        <f t="shared" si="1"/>
        <v>22.66</v>
      </c>
      <c r="G70" s="243">
        <v>842176</v>
      </c>
      <c r="H70" s="243">
        <f t="shared" si="0"/>
        <v>19083708.16</v>
      </c>
      <c r="I70" s="156"/>
    </row>
    <row r="71" spans="1:9" s="9" customFormat="1" ht="35.1" customHeight="1" x14ac:dyDescent="0.25">
      <c r="A71" s="255" t="s">
        <v>113</v>
      </c>
      <c r="B71" s="241" t="s">
        <v>114</v>
      </c>
      <c r="C71" s="240" t="s">
        <v>30</v>
      </c>
      <c r="D71" s="242">
        <v>95.594999999999999</v>
      </c>
      <c r="E71" s="242">
        <v>95.6</v>
      </c>
      <c r="F71" s="242">
        <f t="shared" si="1"/>
        <v>191.19499999999999</v>
      </c>
      <c r="G71" s="243">
        <v>842176</v>
      </c>
      <c r="H71" s="243">
        <f t="shared" si="0"/>
        <v>161019840.31999999</v>
      </c>
      <c r="I71" s="156"/>
    </row>
    <row r="72" spans="1:9" s="9" customFormat="1" ht="35.1" customHeight="1" x14ac:dyDescent="0.25">
      <c r="A72" s="255" t="s">
        <v>115</v>
      </c>
      <c r="B72" s="241" t="s">
        <v>116</v>
      </c>
      <c r="C72" s="240" t="s">
        <v>30</v>
      </c>
      <c r="D72" s="242">
        <v>20.12</v>
      </c>
      <c r="E72" s="242">
        <v>20.12</v>
      </c>
      <c r="F72" s="242">
        <f t="shared" si="1"/>
        <v>40.24</v>
      </c>
      <c r="G72" s="243">
        <v>842176</v>
      </c>
      <c r="H72" s="243">
        <f t="shared" si="0"/>
        <v>33889162.240000002</v>
      </c>
      <c r="I72" s="156"/>
    </row>
    <row r="73" spans="1:9" s="9" customFormat="1" ht="35.1" customHeight="1" x14ac:dyDescent="0.25">
      <c r="A73" s="255" t="s">
        <v>117</v>
      </c>
      <c r="B73" s="241" t="s">
        <v>118</v>
      </c>
      <c r="C73" s="240" t="s">
        <v>30</v>
      </c>
      <c r="D73" s="242">
        <v>80.484999999999999</v>
      </c>
      <c r="E73" s="242">
        <v>80.489999999999995</v>
      </c>
      <c r="F73" s="242">
        <f t="shared" si="1"/>
        <v>160.97499999999999</v>
      </c>
      <c r="G73" s="243">
        <v>842176</v>
      </c>
      <c r="H73" s="243">
        <f t="shared" si="0"/>
        <v>135569281.59999999</v>
      </c>
      <c r="I73" s="156"/>
    </row>
    <row r="74" spans="1:9" s="9" customFormat="1" ht="35.1" customHeight="1" x14ac:dyDescent="0.25">
      <c r="A74" s="255" t="s">
        <v>119</v>
      </c>
      <c r="B74" s="241" t="s">
        <v>120</v>
      </c>
      <c r="C74" s="240" t="s">
        <v>13</v>
      </c>
      <c r="D74" s="242">
        <v>79.69</v>
      </c>
      <c r="E74" s="242">
        <v>79.69</v>
      </c>
      <c r="F74" s="242">
        <f t="shared" si="1"/>
        <v>159.38</v>
      </c>
      <c r="G74" s="243">
        <v>153751</v>
      </c>
      <c r="H74" s="243">
        <f t="shared" si="0"/>
        <v>24504834.379999999</v>
      </c>
      <c r="I74" s="156"/>
    </row>
    <row r="75" spans="1:9" s="9" customFormat="1" ht="35.1" customHeight="1" x14ac:dyDescent="0.25">
      <c r="A75" s="255" t="s">
        <v>121</v>
      </c>
      <c r="B75" s="254" t="s">
        <v>122</v>
      </c>
      <c r="C75" s="255" t="s">
        <v>13</v>
      </c>
      <c r="D75" s="242">
        <v>21.32</v>
      </c>
      <c r="E75" s="242">
        <v>21.32</v>
      </c>
      <c r="F75" s="242">
        <f t="shared" si="1"/>
        <v>42.64</v>
      </c>
      <c r="G75" s="243">
        <v>307503</v>
      </c>
      <c r="H75" s="243">
        <f t="shared" si="0"/>
        <v>13111927.92</v>
      </c>
      <c r="I75" s="156"/>
    </row>
    <row r="76" spans="1:9" s="9" customFormat="1" ht="35.1" customHeight="1" x14ac:dyDescent="0.25">
      <c r="A76" s="244" t="s">
        <v>123</v>
      </c>
      <c r="B76" s="256" t="s">
        <v>124</v>
      </c>
      <c r="C76" s="256"/>
      <c r="D76" s="246"/>
      <c r="E76" s="246"/>
      <c r="F76" s="246"/>
      <c r="G76" s="303">
        <v>0</v>
      </c>
      <c r="H76" s="246"/>
      <c r="I76" s="156"/>
    </row>
    <row r="77" spans="1:9" s="9" customFormat="1" ht="35.1" customHeight="1" x14ac:dyDescent="0.25">
      <c r="A77" s="255" t="s">
        <v>125</v>
      </c>
      <c r="B77" s="241" t="s">
        <v>1079</v>
      </c>
      <c r="C77" s="240" t="s">
        <v>30</v>
      </c>
      <c r="D77" s="242">
        <v>0</v>
      </c>
      <c r="E77" s="242">
        <v>0.17</v>
      </c>
      <c r="F77" s="242">
        <f>+E77+D77</f>
        <v>0.17</v>
      </c>
      <c r="G77" s="243">
        <v>842176</v>
      </c>
      <c r="H77" s="243">
        <f t="shared" si="0"/>
        <v>143169.92000000001</v>
      </c>
      <c r="I77" s="156"/>
    </row>
    <row r="78" spans="1:9" s="9" customFormat="1" ht="35.1" customHeight="1" x14ac:dyDescent="0.25">
      <c r="A78" s="255" t="s">
        <v>126</v>
      </c>
      <c r="B78" s="241" t="s">
        <v>1080</v>
      </c>
      <c r="C78" s="240" t="s">
        <v>30</v>
      </c>
      <c r="D78" s="242">
        <v>0</v>
      </c>
      <c r="E78" s="242">
        <v>56.08</v>
      </c>
      <c r="F78" s="242">
        <f>+E78+D78</f>
        <v>56.08</v>
      </c>
      <c r="G78" s="243">
        <v>842176</v>
      </c>
      <c r="H78" s="243">
        <f t="shared" si="0"/>
        <v>47229230.079999998</v>
      </c>
      <c r="I78" s="156"/>
    </row>
    <row r="79" spans="1:9" s="9" customFormat="1" ht="35.1" customHeight="1" x14ac:dyDescent="0.25">
      <c r="A79" s="244" t="s">
        <v>127</v>
      </c>
      <c r="B79" s="245" t="s">
        <v>128</v>
      </c>
      <c r="C79" s="244"/>
      <c r="D79" s="246"/>
      <c r="E79" s="246"/>
      <c r="F79" s="246"/>
      <c r="G79" s="303">
        <v>0</v>
      </c>
      <c r="H79" s="246"/>
      <c r="I79" s="156"/>
    </row>
    <row r="80" spans="1:9" s="9" customFormat="1" ht="35.1" customHeight="1" x14ac:dyDescent="0.25">
      <c r="A80" s="255" t="s">
        <v>129</v>
      </c>
      <c r="B80" s="87" t="s">
        <v>130</v>
      </c>
      <c r="C80" s="240" t="s">
        <v>13</v>
      </c>
      <c r="D80" s="242">
        <v>91.915000000000006</v>
      </c>
      <c r="E80" s="242">
        <v>91.92</v>
      </c>
      <c r="F80" s="242">
        <f t="shared" ref="F80:F85" si="2">+E80+D80</f>
        <v>183.83500000000001</v>
      </c>
      <c r="G80" s="243">
        <v>110927</v>
      </c>
      <c r="H80" s="243">
        <f t="shared" si="0"/>
        <v>20392265.050000001</v>
      </c>
      <c r="I80" s="156"/>
    </row>
    <row r="81" spans="1:9" s="9" customFormat="1" ht="35.1" customHeight="1" x14ac:dyDescent="0.25">
      <c r="A81" s="255" t="s">
        <v>131</v>
      </c>
      <c r="B81" s="87" t="s">
        <v>112</v>
      </c>
      <c r="C81" s="240" t="s">
        <v>30</v>
      </c>
      <c r="D81" s="242">
        <v>29.659999999999997</v>
      </c>
      <c r="E81" s="242">
        <v>29.67</v>
      </c>
      <c r="F81" s="242">
        <f t="shared" si="2"/>
        <v>59.33</v>
      </c>
      <c r="G81" s="243">
        <v>842176</v>
      </c>
      <c r="H81" s="243">
        <f t="shared" si="0"/>
        <v>49966302.079999998</v>
      </c>
      <c r="I81" s="156"/>
    </row>
    <row r="82" spans="1:9" s="9" customFormat="1" ht="35.1" customHeight="1" x14ac:dyDescent="0.25">
      <c r="A82" s="255" t="s">
        <v>132</v>
      </c>
      <c r="B82" s="87" t="s">
        <v>114</v>
      </c>
      <c r="C82" s="240" t="s">
        <v>30</v>
      </c>
      <c r="D82" s="242">
        <v>8.76</v>
      </c>
      <c r="E82" s="242">
        <v>8.76</v>
      </c>
      <c r="F82" s="242">
        <f t="shared" si="2"/>
        <v>17.52</v>
      </c>
      <c r="G82" s="243">
        <v>842176</v>
      </c>
      <c r="H82" s="243">
        <f t="shared" si="0"/>
        <v>14754923.52</v>
      </c>
      <c r="I82" s="156"/>
    </row>
    <row r="83" spans="1:9" s="9" customFormat="1" ht="35.1" customHeight="1" x14ac:dyDescent="0.25">
      <c r="A83" s="255" t="s">
        <v>133</v>
      </c>
      <c r="B83" s="87" t="s">
        <v>118</v>
      </c>
      <c r="C83" s="240" t="s">
        <v>30</v>
      </c>
      <c r="D83" s="242">
        <v>54.390000000000008</v>
      </c>
      <c r="E83" s="242">
        <v>54.4</v>
      </c>
      <c r="F83" s="242">
        <f t="shared" si="2"/>
        <v>108.79</v>
      </c>
      <c r="G83" s="243">
        <v>842176</v>
      </c>
      <c r="H83" s="243">
        <f t="shared" si="0"/>
        <v>91620327.040000007</v>
      </c>
      <c r="I83" s="156"/>
    </row>
    <row r="84" spans="1:9" s="9" customFormat="1" ht="35.1" customHeight="1" x14ac:dyDescent="0.25">
      <c r="A84" s="255" t="s">
        <v>135</v>
      </c>
      <c r="B84" s="87" t="s">
        <v>120</v>
      </c>
      <c r="C84" s="240" t="s">
        <v>13</v>
      </c>
      <c r="D84" s="242">
        <v>204.56</v>
      </c>
      <c r="E84" s="242">
        <v>204.57</v>
      </c>
      <c r="F84" s="242">
        <f t="shared" si="2"/>
        <v>409.13</v>
      </c>
      <c r="G84" s="243">
        <v>153751</v>
      </c>
      <c r="H84" s="243">
        <f t="shared" si="0"/>
        <v>62904146.630000003</v>
      </c>
      <c r="I84" s="156"/>
    </row>
    <row r="85" spans="1:9" s="9" customFormat="1" ht="35.1" customHeight="1" x14ac:dyDescent="0.25">
      <c r="A85" s="255" t="s">
        <v>136</v>
      </c>
      <c r="B85" s="87" t="s">
        <v>122</v>
      </c>
      <c r="C85" s="255" t="s">
        <v>13</v>
      </c>
      <c r="D85" s="242">
        <v>76.37</v>
      </c>
      <c r="E85" s="242">
        <v>76.38</v>
      </c>
      <c r="F85" s="242">
        <f t="shared" si="2"/>
        <v>152.75</v>
      </c>
      <c r="G85" s="243">
        <v>307503</v>
      </c>
      <c r="H85" s="243">
        <f t="shared" si="0"/>
        <v>46971083.25</v>
      </c>
      <c r="I85" s="156"/>
    </row>
    <row r="86" spans="1:9" s="9" customFormat="1" ht="35.1" customHeight="1" x14ac:dyDescent="0.25">
      <c r="A86" s="244" t="s">
        <v>137</v>
      </c>
      <c r="B86" s="245" t="s">
        <v>138</v>
      </c>
      <c r="C86" s="244"/>
      <c r="D86" s="246"/>
      <c r="E86" s="246"/>
      <c r="F86" s="246"/>
      <c r="G86" s="303">
        <v>0</v>
      </c>
      <c r="H86" s="246"/>
      <c r="I86" s="156"/>
    </row>
    <row r="87" spans="1:9" s="9" customFormat="1" ht="35.1" customHeight="1" x14ac:dyDescent="0.25">
      <c r="A87" s="255" t="s">
        <v>139</v>
      </c>
      <c r="B87" s="87" t="s">
        <v>130</v>
      </c>
      <c r="C87" s="240" t="s">
        <v>13</v>
      </c>
      <c r="D87" s="242">
        <v>89.605000000000004</v>
      </c>
      <c r="E87" s="242">
        <v>89.61</v>
      </c>
      <c r="F87" s="242">
        <f t="shared" ref="F87:F92" si="3">+E87+D87</f>
        <v>179.215</v>
      </c>
      <c r="G87" s="243">
        <v>110927</v>
      </c>
      <c r="H87" s="243">
        <f t="shared" ref="H87:H135" si="4">ROUND(+G87*F87,2)</f>
        <v>19879782.309999999</v>
      </c>
      <c r="I87" s="156"/>
    </row>
    <row r="88" spans="1:9" s="9" customFormat="1" ht="35.1" customHeight="1" x14ac:dyDescent="0.25">
      <c r="A88" s="255" t="s">
        <v>140</v>
      </c>
      <c r="B88" s="87" t="s">
        <v>112</v>
      </c>
      <c r="C88" s="240" t="s">
        <v>30</v>
      </c>
      <c r="D88" s="242">
        <v>1.1200000000000001</v>
      </c>
      <c r="E88" s="242">
        <v>1.1299999999999999</v>
      </c>
      <c r="F88" s="242">
        <f t="shared" si="3"/>
        <v>2.25</v>
      </c>
      <c r="G88" s="243">
        <v>842176</v>
      </c>
      <c r="H88" s="243">
        <f t="shared" si="4"/>
        <v>1894896</v>
      </c>
      <c r="I88" s="156"/>
    </row>
    <row r="89" spans="1:9" s="9" customFormat="1" ht="35.1" customHeight="1" x14ac:dyDescent="0.25">
      <c r="A89" s="255" t="s">
        <v>141</v>
      </c>
      <c r="B89" s="87" t="s">
        <v>114</v>
      </c>
      <c r="C89" s="240" t="s">
        <v>30</v>
      </c>
      <c r="D89" s="242">
        <v>31.71</v>
      </c>
      <c r="E89" s="242">
        <v>31.71</v>
      </c>
      <c r="F89" s="242">
        <f t="shared" si="3"/>
        <v>63.42</v>
      </c>
      <c r="G89" s="243">
        <v>842176</v>
      </c>
      <c r="H89" s="243">
        <f t="shared" si="4"/>
        <v>53410801.920000002</v>
      </c>
      <c r="I89" s="156"/>
    </row>
    <row r="90" spans="1:9" s="9" customFormat="1" ht="35.1" customHeight="1" x14ac:dyDescent="0.25">
      <c r="A90" s="255" t="s">
        <v>142</v>
      </c>
      <c r="B90" s="87" t="s">
        <v>118</v>
      </c>
      <c r="C90" s="240" t="s">
        <v>30</v>
      </c>
      <c r="D90" s="242">
        <v>81.89</v>
      </c>
      <c r="E90" s="242">
        <v>77.67</v>
      </c>
      <c r="F90" s="242">
        <f t="shared" si="3"/>
        <v>159.56</v>
      </c>
      <c r="G90" s="243">
        <v>842176</v>
      </c>
      <c r="H90" s="243">
        <f t="shared" si="4"/>
        <v>134377602.56</v>
      </c>
      <c r="I90" s="156"/>
    </row>
    <row r="91" spans="1:9" s="9" customFormat="1" ht="35.1" customHeight="1" x14ac:dyDescent="0.25">
      <c r="A91" s="255" t="s">
        <v>143</v>
      </c>
      <c r="B91" s="87" t="s">
        <v>120</v>
      </c>
      <c r="C91" s="240" t="s">
        <v>13</v>
      </c>
      <c r="D91" s="242">
        <v>139.68</v>
      </c>
      <c r="E91" s="242">
        <v>139.68</v>
      </c>
      <c r="F91" s="242">
        <f t="shared" si="3"/>
        <v>279.36</v>
      </c>
      <c r="G91" s="243">
        <v>153751</v>
      </c>
      <c r="H91" s="243">
        <f t="shared" si="4"/>
        <v>42951879.359999999</v>
      </c>
      <c r="I91" s="156"/>
    </row>
    <row r="92" spans="1:9" s="9" customFormat="1" ht="35.1" customHeight="1" x14ac:dyDescent="0.25">
      <c r="A92" s="255" t="s">
        <v>144</v>
      </c>
      <c r="B92" s="87" t="s">
        <v>122</v>
      </c>
      <c r="C92" s="240" t="s">
        <v>13</v>
      </c>
      <c r="D92" s="242">
        <v>124.47</v>
      </c>
      <c r="E92" s="242">
        <v>124.47</v>
      </c>
      <c r="F92" s="242">
        <f t="shared" si="3"/>
        <v>248.94</v>
      </c>
      <c r="G92" s="243">
        <v>307503</v>
      </c>
      <c r="H92" s="243">
        <f t="shared" si="4"/>
        <v>76549796.819999993</v>
      </c>
      <c r="I92" s="156"/>
    </row>
    <row r="93" spans="1:9" s="9" customFormat="1" ht="35.1" customHeight="1" x14ac:dyDescent="0.25">
      <c r="A93" s="244" t="s">
        <v>1081</v>
      </c>
      <c r="B93" s="245" t="s">
        <v>1082</v>
      </c>
      <c r="C93" s="244"/>
      <c r="D93" s="246"/>
      <c r="E93" s="246"/>
      <c r="F93" s="246"/>
      <c r="G93" s="303">
        <v>0</v>
      </c>
      <c r="H93" s="246"/>
      <c r="I93" s="156"/>
    </row>
    <row r="94" spans="1:9" s="9" customFormat="1" ht="35.1" customHeight="1" x14ac:dyDescent="0.25">
      <c r="A94" s="255" t="s">
        <v>1083</v>
      </c>
      <c r="B94" s="87" t="s">
        <v>130</v>
      </c>
      <c r="C94" s="255" t="s">
        <v>13</v>
      </c>
      <c r="D94" s="242">
        <v>179.21</v>
      </c>
      <c r="E94" s="242">
        <v>0</v>
      </c>
      <c r="F94" s="242">
        <f t="shared" ref="F94:F99" si="5">+E94+D94</f>
        <v>179.21</v>
      </c>
      <c r="G94" s="243">
        <v>110927</v>
      </c>
      <c r="H94" s="243">
        <f t="shared" si="4"/>
        <v>19879227.670000002</v>
      </c>
      <c r="I94" s="156"/>
    </row>
    <row r="95" spans="1:9" s="9" customFormat="1" ht="35.1" customHeight="1" x14ac:dyDescent="0.25">
      <c r="A95" s="255" t="s">
        <v>1084</v>
      </c>
      <c r="B95" s="87" t="s">
        <v>112</v>
      </c>
      <c r="C95" s="255" t="s">
        <v>30</v>
      </c>
      <c r="D95" s="242">
        <v>1.45</v>
      </c>
      <c r="E95" s="242">
        <v>0</v>
      </c>
      <c r="F95" s="242">
        <f t="shared" si="5"/>
        <v>1.45</v>
      </c>
      <c r="G95" s="243">
        <v>842176</v>
      </c>
      <c r="H95" s="243">
        <f t="shared" si="4"/>
        <v>1221155.2</v>
      </c>
      <c r="I95" s="156"/>
    </row>
    <row r="96" spans="1:9" s="9" customFormat="1" ht="35.1" customHeight="1" x14ac:dyDescent="0.25">
      <c r="A96" s="255" t="s">
        <v>1085</v>
      </c>
      <c r="B96" s="87" t="s">
        <v>114</v>
      </c>
      <c r="C96" s="255" t="s">
        <v>30</v>
      </c>
      <c r="D96" s="242">
        <v>31.54</v>
      </c>
      <c r="E96" s="242">
        <v>0</v>
      </c>
      <c r="F96" s="242">
        <f t="shared" si="5"/>
        <v>31.54</v>
      </c>
      <c r="G96" s="243">
        <v>842176</v>
      </c>
      <c r="H96" s="243">
        <f t="shared" si="4"/>
        <v>26562231.039999999</v>
      </c>
      <c r="I96" s="156"/>
    </row>
    <row r="97" spans="1:9" s="9" customFormat="1" ht="35.1" customHeight="1" x14ac:dyDescent="0.25">
      <c r="A97" s="255" t="s">
        <v>1086</v>
      </c>
      <c r="B97" s="87" t="s">
        <v>118</v>
      </c>
      <c r="C97" s="255" t="s">
        <v>30</v>
      </c>
      <c r="D97" s="242">
        <v>69.08</v>
      </c>
      <c r="E97" s="242">
        <v>0</v>
      </c>
      <c r="F97" s="242">
        <f t="shared" si="5"/>
        <v>69.08</v>
      </c>
      <c r="G97" s="243">
        <v>842176</v>
      </c>
      <c r="H97" s="243">
        <f t="shared" si="4"/>
        <v>58177518.079999998</v>
      </c>
      <c r="I97" s="156"/>
    </row>
    <row r="98" spans="1:9" s="9" customFormat="1" ht="35.1" customHeight="1" x14ac:dyDescent="0.25">
      <c r="A98" s="255" t="s">
        <v>1087</v>
      </c>
      <c r="B98" s="87" t="s">
        <v>120</v>
      </c>
      <c r="C98" s="255" t="s">
        <v>13</v>
      </c>
      <c r="D98" s="242">
        <v>276.55</v>
      </c>
      <c r="E98" s="242">
        <v>0</v>
      </c>
      <c r="F98" s="242">
        <f t="shared" si="5"/>
        <v>276.55</v>
      </c>
      <c r="G98" s="243">
        <v>161791</v>
      </c>
      <c r="H98" s="243">
        <f t="shared" si="4"/>
        <v>44743301.049999997</v>
      </c>
      <c r="I98" s="156"/>
    </row>
    <row r="99" spans="1:9" s="9" customFormat="1" ht="35.1" customHeight="1" x14ac:dyDescent="0.25">
      <c r="A99" s="255" t="s">
        <v>1088</v>
      </c>
      <c r="B99" s="87" t="s">
        <v>122</v>
      </c>
      <c r="C99" s="255" t="s">
        <v>13</v>
      </c>
      <c r="D99" s="242">
        <v>132.12</v>
      </c>
      <c r="E99" s="242">
        <v>0</v>
      </c>
      <c r="F99" s="242">
        <f t="shared" si="5"/>
        <v>132.12</v>
      </c>
      <c r="G99" s="243">
        <v>323580</v>
      </c>
      <c r="H99" s="243">
        <f t="shared" si="4"/>
        <v>42751389.600000001</v>
      </c>
      <c r="I99" s="156"/>
    </row>
    <row r="100" spans="1:9" s="9" customFormat="1" ht="35.1" customHeight="1" x14ac:dyDescent="0.25">
      <c r="A100" s="244" t="s">
        <v>1089</v>
      </c>
      <c r="B100" s="245" t="s">
        <v>1090</v>
      </c>
      <c r="C100" s="244"/>
      <c r="D100" s="246"/>
      <c r="E100" s="246"/>
      <c r="F100" s="246"/>
      <c r="G100" s="303">
        <v>0</v>
      </c>
      <c r="H100" s="246"/>
      <c r="I100" s="156"/>
    </row>
    <row r="101" spans="1:9" s="9" customFormat="1" ht="35.1" customHeight="1" x14ac:dyDescent="0.25">
      <c r="A101" s="240" t="s">
        <v>1091</v>
      </c>
      <c r="B101" s="87" t="s">
        <v>130</v>
      </c>
      <c r="C101" s="240" t="s">
        <v>13</v>
      </c>
      <c r="D101" s="242">
        <v>142.06</v>
      </c>
      <c r="E101" s="242">
        <v>0</v>
      </c>
      <c r="F101" s="242">
        <f t="shared" ref="F101:F106" si="6">+E101+D101</f>
        <v>142.06</v>
      </c>
      <c r="G101" s="243">
        <v>110927</v>
      </c>
      <c r="H101" s="243">
        <f t="shared" si="4"/>
        <v>15758289.619999999</v>
      </c>
      <c r="I101" s="156"/>
    </row>
    <row r="102" spans="1:9" s="9" customFormat="1" ht="35.1" customHeight="1" x14ac:dyDescent="0.25">
      <c r="A102" s="240" t="s">
        <v>1092</v>
      </c>
      <c r="B102" s="87" t="s">
        <v>112</v>
      </c>
      <c r="C102" s="240" t="s">
        <v>30</v>
      </c>
      <c r="D102" s="242">
        <v>1.25</v>
      </c>
      <c r="E102" s="242">
        <v>0</v>
      </c>
      <c r="F102" s="242">
        <f t="shared" si="6"/>
        <v>1.25</v>
      </c>
      <c r="G102" s="243">
        <v>842176</v>
      </c>
      <c r="H102" s="243">
        <f t="shared" si="4"/>
        <v>1052720</v>
      </c>
      <c r="I102" s="156"/>
    </row>
    <row r="103" spans="1:9" s="9" customFormat="1" ht="35.1" customHeight="1" x14ac:dyDescent="0.25">
      <c r="A103" s="240" t="s">
        <v>1093</v>
      </c>
      <c r="B103" s="87" t="s">
        <v>114</v>
      </c>
      <c r="C103" s="240" t="s">
        <v>30</v>
      </c>
      <c r="D103" s="242">
        <v>27.45</v>
      </c>
      <c r="E103" s="242">
        <v>0</v>
      </c>
      <c r="F103" s="242">
        <f t="shared" si="6"/>
        <v>27.45</v>
      </c>
      <c r="G103" s="243">
        <v>842176</v>
      </c>
      <c r="H103" s="243">
        <f t="shared" si="4"/>
        <v>23117731.199999999</v>
      </c>
      <c r="I103" s="156"/>
    </row>
    <row r="104" spans="1:9" s="9" customFormat="1" ht="35.1" customHeight="1" x14ac:dyDescent="0.25">
      <c r="A104" s="240" t="s">
        <v>1094</v>
      </c>
      <c r="B104" s="87" t="s">
        <v>118</v>
      </c>
      <c r="C104" s="240" t="s">
        <v>30</v>
      </c>
      <c r="D104" s="242">
        <v>14.01</v>
      </c>
      <c r="E104" s="242">
        <v>0</v>
      </c>
      <c r="F104" s="242">
        <f t="shared" si="6"/>
        <v>14.01</v>
      </c>
      <c r="G104" s="243">
        <v>842176</v>
      </c>
      <c r="H104" s="243">
        <f t="shared" si="4"/>
        <v>11798885.76</v>
      </c>
      <c r="I104" s="156"/>
    </row>
    <row r="105" spans="1:9" s="9" customFormat="1" ht="35.1" customHeight="1" x14ac:dyDescent="0.25">
      <c r="A105" s="240" t="s">
        <v>1095</v>
      </c>
      <c r="B105" s="87" t="s">
        <v>120</v>
      </c>
      <c r="C105" s="240" t="s">
        <v>13</v>
      </c>
      <c r="D105" s="242">
        <v>316.99</v>
      </c>
      <c r="E105" s="242">
        <v>0</v>
      </c>
      <c r="F105" s="242">
        <f t="shared" si="6"/>
        <v>316.99</v>
      </c>
      <c r="G105" s="243">
        <v>161791</v>
      </c>
      <c r="H105" s="243">
        <f t="shared" si="4"/>
        <v>51286129.090000004</v>
      </c>
      <c r="I105" s="156"/>
    </row>
    <row r="106" spans="1:9" s="9" customFormat="1" ht="35.1" customHeight="1" x14ac:dyDescent="0.25">
      <c r="A106" s="240" t="s">
        <v>1096</v>
      </c>
      <c r="B106" s="87" t="s">
        <v>122</v>
      </c>
      <c r="C106" s="240" t="s">
        <v>13</v>
      </c>
      <c r="D106" s="242">
        <v>112.85</v>
      </c>
      <c r="E106" s="242">
        <v>0</v>
      </c>
      <c r="F106" s="242">
        <f t="shared" si="6"/>
        <v>112.85</v>
      </c>
      <c r="G106" s="243">
        <v>323580</v>
      </c>
      <c r="H106" s="243">
        <f t="shared" si="4"/>
        <v>36516003</v>
      </c>
      <c r="I106" s="156"/>
    </row>
    <row r="107" spans="1:9" s="9" customFormat="1" ht="35.1" customHeight="1" x14ac:dyDescent="0.25">
      <c r="A107" s="244" t="s">
        <v>1097</v>
      </c>
      <c r="B107" s="245" t="s">
        <v>1098</v>
      </c>
      <c r="C107" s="244"/>
      <c r="D107" s="246"/>
      <c r="E107" s="246"/>
      <c r="F107" s="246"/>
      <c r="G107" s="303">
        <v>0</v>
      </c>
      <c r="H107" s="246"/>
      <c r="I107" s="156"/>
    </row>
    <row r="108" spans="1:9" s="9" customFormat="1" ht="35.1" customHeight="1" x14ac:dyDescent="0.25">
      <c r="A108" s="240" t="s">
        <v>1099</v>
      </c>
      <c r="B108" s="241" t="s">
        <v>1100</v>
      </c>
      <c r="C108" s="240" t="s">
        <v>13</v>
      </c>
      <c r="D108" s="242">
        <v>94.59</v>
      </c>
      <c r="E108" s="242">
        <v>0</v>
      </c>
      <c r="F108" s="242">
        <f>+E108+D108</f>
        <v>94.59</v>
      </c>
      <c r="G108" s="243">
        <v>55531</v>
      </c>
      <c r="H108" s="243">
        <f t="shared" si="4"/>
        <v>5252677.29</v>
      </c>
      <c r="I108" s="156"/>
    </row>
    <row r="109" spans="1:9" s="9" customFormat="1" ht="35.1" customHeight="1" x14ac:dyDescent="0.25">
      <c r="A109" s="240" t="s">
        <v>1101</v>
      </c>
      <c r="B109" s="87" t="s">
        <v>112</v>
      </c>
      <c r="C109" s="240" t="s">
        <v>30</v>
      </c>
      <c r="D109" s="242">
        <v>26.75</v>
      </c>
      <c r="E109" s="242">
        <v>0</v>
      </c>
      <c r="F109" s="242">
        <f>+E109+D109</f>
        <v>26.75</v>
      </c>
      <c r="G109" s="243">
        <v>842176</v>
      </c>
      <c r="H109" s="243">
        <f t="shared" si="4"/>
        <v>22528208</v>
      </c>
      <c r="I109" s="156"/>
    </row>
    <row r="110" spans="1:9" s="9" customFormat="1" ht="35.1" customHeight="1" x14ac:dyDescent="0.25">
      <c r="A110" s="240" t="s">
        <v>1102</v>
      </c>
      <c r="B110" s="87" t="s">
        <v>114</v>
      </c>
      <c r="C110" s="240" t="s">
        <v>30</v>
      </c>
      <c r="D110" s="242">
        <v>33.22</v>
      </c>
      <c r="E110" s="242">
        <v>0</v>
      </c>
      <c r="F110" s="242">
        <f>+E110+D110</f>
        <v>33.22</v>
      </c>
      <c r="G110" s="243">
        <v>842176</v>
      </c>
      <c r="H110" s="243">
        <f t="shared" si="4"/>
        <v>27977086.719999999</v>
      </c>
      <c r="I110" s="156"/>
    </row>
    <row r="111" spans="1:9" s="9" customFormat="1" ht="35.1" customHeight="1" x14ac:dyDescent="0.25">
      <c r="A111" s="266">
        <v>6</v>
      </c>
      <c r="B111" s="267" t="s">
        <v>145</v>
      </c>
      <c r="C111" s="267"/>
      <c r="D111" s="268"/>
      <c r="E111" s="268"/>
      <c r="F111" s="268"/>
      <c r="G111" s="306">
        <v>0</v>
      </c>
      <c r="H111" s="268"/>
      <c r="I111" s="156"/>
    </row>
    <row r="112" spans="1:9" s="9" customFormat="1" ht="35.1" customHeight="1" x14ac:dyDescent="0.25">
      <c r="A112" s="244" t="s">
        <v>146</v>
      </c>
      <c r="B112" s="245" t="s">
        <v>147</v>
      </c>
      <c r="C112" s="244"/>
      <c r="D112" s="246"/>
      <c r="E112" s="246"/>
      <c r="F112" s="246"/>
      <c r="G112" s="303">
        <v>0</v>
      </c>
      <c r="H112" s="246"/>
      <c r="I112" s="156"/>
    </row>
    <row r="113" spans="1:9" s="9" customFormat="1" ht="35.1" customHeight="1" x14ac:dyDescent="0.25">
      <c r="A113" s="255" t="s">
        <v>148</v>
      </c>
      <c r="B113" s="254" t="s">
        <v>149</v>
      </c>
      <c r="C113" s="255" t="s">
        <v>13</v>
      </c>
      <c r="D113" s="242">
        <v>0</v>
      </c>
      <c r="E113" s="242">
        <v>457.19</v>
      </c>
      <c r="F113" s="242">
        <f>+E113+D113</f>
        <v>457.19</v>
      </c>
      <c r="G113" s="243">
        <v>94327</v>
      </c>
      <c r="H113" s="243">
        <f t="shared" si="4"/>
        <v>43125361.130000003</v>
      </c>
      <c r="I113" s="156"/>
    </row>
    <row r="114" spans="1:9" s="9" customFormat="1" ht="35.1" customHeight="1" x14ac:dyDescent="0.25">
      <c r="A114" s="255" t="s">
        <v>150</v>
      </c>
      <c r="B114" s="254" t="s">
        <v>151</v>
      </c>
      <c r="C114" s="255" t="s">
        <v>13</v>
      </c>
      <c r="D114" s="242">
        <v>0</v>
      </c>
      <c r="E114" s="242">
        <v>1963.08</v>
      </c>
      <c r="F114" s="242">
        <f>+E114+D114</f>
        <v>1963.08</v>
      </c>
      <c r="G114" s="243">
        <v>8420</v>
      </c>
      <c r="H114" s="243">
        <f t="shared" si="4"/>
        <v>16529133.6</v>
      </c>
      <c r="I114" s="156"/>
    </row>
    <row r="115" spans="1:9" s="9" customFormat="1" ht="35.1" customHeight="1" x14ac:dyDescent="0.25">
      <c r="A115" s="240" t="s">
        <v>152</v>
      </c>
      <c r="B115" s="241" t="s">
        <v>153</v>
      </c>
      <c r="C115" s="240" t="s">
        <v>13</v>
      </c>
      <c r="D115" s="242">
        <v>0</v>
      </c>
      <c r="E115" s="242">
        <v>1.4</v>
      </c>
      <c r="F115" s="242">
        <f>+E115+D115</f>
        <v>1.4</v>
      </c>
      <c r="G115" s="243">
        <v>110969</v>
      </c>
      <c r="H115" s="243">
        <f t="shared" si="4"/>
        <v>155356.6</v>
      </c>
      <c r="I115" s="156"/>
    </row>
    <row r="116" spans="1:9" s="9" customFormat="1" ht="35.1" customHeight="1" x14ac:dyDescent="0.25">
      <c r="A116" s="244" t="s">
        <v>154</v>
      </c>
      <c r="B116" s="256" t="s">
        <v>155</v>
      </c>
      <c r="C116" s="256"/>
      <c r="D116" s="246"/>
      <c r="E116" s="246"/>
      <c r="F116" s="246"/>
      <c r="G116" s="303">
        <v>0</v>
      </c>
      <c r="H116" s="246"/>
      <c r="I116" s="156"/>
    </row>
    <row r="117" spans="1:9" s="9" customFormat="1" ht="35.1" customHeight="1" x14ac:dyDescent="0.25">
      <c r="A117" s="255" t="s">
        <v>156</v>
      </c>
      <c r="B117" s="254" t="s">
        <v>157</v>
      </c>
      <c r="C117" s="255" t="s">
        <v>13</v>
      </c>
      <c r="D117" s="242">
        <v>1832.0720000000001</v>
      </c>
      <c r="E117" s="242">
        <v>45.8</v>
      </c>
      <c r="F117" s="242">
        <f>+E117+D117</f>
        <v>1877.8720000000001</v>
      </c>
      <c r="G117" s="243">
        <v>94035</v>
      </c>
      <c r="H117" s="243">
        <f t="shared" si="4"/>
        <v>176585693.52000001</v>
      </c>
      <c r="I117" s="156"/>
    </row>
    <row r="118" spans="1:9" s="9" customFormat="1" ht="35.1" customHeight="1" x14ac:dyDescent="0.25">
      <c r="A118" s="255" t="s">
        <v>158</v>
      </c>
      <c r="B118" s="254" t="s">
        <v>159</v>
      </c>
      <c r="C118" s="255" t="s">
        <v>13</v>
      </c>
      <c r="D118" s="242">
        <v>183.66400000000002</v>
      </c>
      <c r="E118" s="242">
        <v>4.59</v>
      </c>
      <c r="F118" s="242">
        <f>+E118+D118</f>
        <v>188.25400000000002</v>
      </c>
      <c r="G118" s="243">
        <v>98762</v>
      </c>
      <c r="H118" s="243">
        <f t="shared" si="4"/>
        <v>18592341.550000001</v>
      </c>
      <c r="I118" s="156"/>
    </row>
    <row r="119" spans="1:9" s="9" customFormat="1" ht="35.1" customHeight="1" x14ac:dyDescent="0.25">
      <c r="A119" s="244" t="s">
        <v>160</v>
      </c>
      <c r="B119" s="256" t="s">
        <v>161</v>
      </c>
      <c r="C119" s="256"/>
      <c r="D119" s="246"/>
      <c r="E119" s="246"/>
      <c r="F119" s="246"/>
      <c r="G119" s="303">
        <v>0</v>
      </c>
      <c r="H119" s="246"/>
      <c r="I119" s="156"/>
    </row>
    <row r="120" spans="1:9" s="9" customFormat="1" ht="35.1" customHeight="1" x14ac:dyDescent="0.25">
      <c r="A120" s="255" t="s">
        <v>162</v>
      </c>
      <c r="B120" s="254" t="s">
        <v>153</v>
      </c>
      <c r="C120" s="255" t="s">
        <v>13</v>
      </c>
      <c r="D120" s="242">
        <v>513.95999999999992</v>
      </c>
      <c r="E120" s="242">
        <v>718.89</v>
      </c>
      <c r="F120" s="242">
        <f>+E120+D120</f>
        <v>1232.8499999999999</v>
      </c>
      <c r="G120" s="243">
        <v>110969</v>
      </c>
      <c r="H120" s="243">
        <f t="shared" si="4"/>
        <v>136808131.65000001</v>
      </c>
      <c r="I120" s="156"/>
    </row>
    <row r="121" spans="1:9" s="9" customFormat="1" ht="35.1" customHeight="1" x14ac:dyDescent="0.25">
      <c r="A121" s="255" t="s">
        <v>163</v>
      </c>
      <c r="B121" s="254" t="s">
        <v>164</v>
      </c>
      <c r="C121" s="255" t="s">
        <v>13</v>
      </c>
      <c r="D121" s="242">
        <v>230.83</v>
      </c>
      <c r="E121" s="242">
        <v>576.27</v>
      </c>
      <c r="F121" s="242">
        <f>+E121+D121</f>
        <v>807.1</v>
      </c>
      <c r="G121" s="243">
        <v>72415</v>
      </c>
      <c r="H121" s="243">
        <f t="shared" si="4"/>
        <v>58446146.5</v>
      </c>
      <c r="I121" s="156"/>
    </row>
    <row r="122" spans="1:9" s="9" customFormat="1" ht="35.1" customHeight="1" x14ac:dyDescent="0.25">
      <c r="A122" s="255" t="s">
        <v>165</v>
      </c>
      <c r="B122" s="254" t="s">
        <v>166</v>
      </c>
      <c r="C122" s="255" t="s">
        <v>13</v>
      </c>
      <c r="D122" s="242">
        <v>11.069999999999999</v>
      </c>
      <c r="E122" s="242">
        <v>33.11</v>
      </c>
      <c r="F122" s="242">
        <f>+E122+D122</f>
        <v>44.18</v>
      </c>
      <c r="G122" s="243">
        <v>48266</v>
      </c>
      <c r="H122" s="243">
        <f t="shared" si="4"/>
        <v>2132391.88</v>
      </c>
      <c r="I122" s="156"/>
    </row>
    <row r="123" spans="1:9" s="9" customFormat="1" ht="35.1" customHeight="1" x14ac:dyDescent="0.25">
      <c r="A123" s="255" t="s">
        <v>167</v>
      </c>
      <c r="B123" s="254" t="s">
        <v>168</v>
      </c>
      <c r="C123" s="255" t="s">
        <v>13</v>
      </c>
      <c r="D123" s="242">
        <v>12.31</v>
      </c>
      <c r="E123" s="242">
        <v>297.04000000000002</v>
      </c>
      <c r="F123" s="242">
        <f>+E123+D123</f>
        <v>309.35000000000002</v>
      </c>
      <c r="G123" s="243">
        <v>104672</v>
      </c>
      <c r="H123" s="243">
        <f t="shared" si="4"/>
        <v>32380283.199999999</v>
      </c>
      <c r="I123" s="156"/>
    </row>
    <row r="124" spans="1:9" s="9" customFormat="1" ht="35.1" customHeight="1" x14ac:dyDescent="0.25">
      <c r="A124" s="255" t="s">
        <v>169</v>
      </c>
      <c r="B124" s="254" t="s">
        <v>159</v>
      </c>
      <c r="C124" s="255" t="s">
        <v>13</v>
      </c>
      <c r="D124" s="242">
        <v>106.58</v>
      </c>
      <c r="E124" s="242">
        <v>145.79</v>
      </c>
      <c r="F124" s="242">
        <f>+E124+D124</f>
        <v>252.37</v>
      </c>
      <c r="G124" s="243">
        <v>95187</v>
      </c>
      <c r="H124" s="243">
        <f t="shared" si="4"/>
        <v>24022343.190000001</v>
      </c>
      <c r="I124" s="156"/>
    </row>
    <row r="125" spans="1:9" s="9" customFormat="1" ht="35.1" customHeight="1" x14ac:dyDescent="0.25">
      <c r="A125" s="270" t="s">
        <v>170</v>
      </c>
      <c r="B125" s="271" t="s">
        <v>171</v>
      </c>
      <c r="C125" s="272"/>
      <c r="D125" s="273"/>
      <c r="E125" s="273"/>
      <c r="F125" s="273"/>
      <c r="G125" s="307">
        <v>0</v>
      </c>
      <c r="H125" s="273"/>
      <c r="I125" s="156"/>
    </row>
    <row r="126" spans="1:9" s="9" customFormat="1" ht="35.1" customHeight="1" x14ac:dyDescent="0.25">
      <c r="A126" s="255" t="s">
        <v>172</v>
      </c>
      <c r="B126" s="254" t="s">
        <v>153</v>
      </c>
      <c r="C126" s="255" t="s">
        <v>13</v>
      </c>
      <c r="D126" s="242">
        <v>482.95999999999992</v>
      </c>
      <c r="E126" s="242">
        <v>1039</v>
      </c>
      <c r="F126" s="242">
        <f>+E126+D126</f>
        <v>1521.96</v>
      </c>
      <c r="G126" s="243">
        <v>110969</v>
      </c>
      <c r="H126" s="243">
        <f t="shared" si="4"/>
        <v>168890379.24000001</v>
      </c>
      <c r="I126" s="156"/>
    </row>
    <row r="127" spans="1:9" s="9" customFormat="1" ht="35.1" customHeight="1" x14ac:dyDescent="0.25">
      <c r="A127" s="255" t="s">
        <v>173</v>
      </c>
      <c r="B127" s="254" t="s">
        <v>164</v>
      </c>
      <c r="C127" s="255" t="s">
        <v>13</v>
      </c>
      <c r="D127" s="242">
        <v>80.070000000000007</v>
      </c>
      <c r="E127" s="242">
        <v>190.12</v>
      </c>
      <c r="F127" s="242">
        <f>+E127+D127</f>
        <v>270.19</v>
      </c>
      <c r="G127" s="243">
        <v>72415</v>
      </c>
      <c r="H127" s="243">
        <f t="shared" si="4"/>
        <v>19565808.850000001</v>
      </c>
      <c r="I127" s="156"/>
    </row>
    <row r="128" spans="1:9" s="9" customFormat="1" ht="35.1" customHeight="1" x14ac:dyDescent="0.25">
      <c r="A128" s="255" t="s">
        <v>174</v>
      </c>
      <c r="B128" s="254" t="s">
        <v>159</v>
      </c>
      <c r="C128" s="255" t="s">
        <v>13</v>
      </c>
      <c r="D128" s="242">
        <v>52.37</v>
      </c>
      <c r="E128" s="242">
        <v>110.24</v>
      </c>
      <c r="F128" s="242">
        <f>+E128+D128</f>
        <v>162.60999999999999</v>
      </c>
      <c r="G128" s="243">
        <v>95187</v>
      </c>
      <c r="H128" s="243">
        <f t="shared" si="4"/>
        <v>15478358.07</v>
      </c>
      <c r="I128" s="156"/>
    </row>
    <row r="129" spans="1:9" s="9" customFormat="1" ht="35.1" customHeight="1" x14ac:dyDescent="0.25">
      <c r="A129" s="244" t="s">
        <v>1103</v>
      </c>
      <c r="B129" s="245" t="s">
        <v>1104</v>
      </c>
      <c r="C129" s="260"/>
      <c r="D129" s="246"/>
      <c r="E129" s="246"/>
      <c r="F129" s="246"/>
      <c r="G129" s="303">
        <v>0</v>
      </c>
      <c r="H129" s="246"/>
      <c r="I129" s="156"/>
    </row>
    <row r="130" spans="1:9" s="9" customFormat="1" ht="35.1" customHeight="1" x14ac:dyDescent="0.25">
      <c r="A130" s="255" t="s">
        <v>1105</v>
      </c>
      <c r="B130" s="254" t="s">
        <v>153</v>
      </c>
      <c r="C130" s="255" t="s">
        <v>13</v>
      </c>
      <c r="D130" s="242">
        <v>1159.8800000000001</v>
      </c>
      <c r="E130" s="242">
        <v>0</v>
      </c>
      <c r="F130" s="242">
        <f>+E130+D130</f>
        <v>1159.8800000000001</v>
      </c>
      <c r="G130" s="243">
        <v>124643</v>
      </c>
      <c r="H130" s="243">
        <f t="shared" si="4"/>
        <v>144570922.84</v>
      </c>
      <c r="I130" s="156"/>
    </row>
    <row r="131" spans="1:9" s="9" customFormat="1" ht="35.1" customHeight="1" x14ac:dyDescent="0.25">
      <c r="A131" s="255" t="s">
        <v>1106</v>
      </c>
      <c r="B131" s="254" t="s">
        <v>164</v>
      </c>
      <c r="C131" s="255" t="s">
        <v>13</v>
      </c>
      <c r="D131" s="242">
        <v>53.48</v>
      </c>
      <c r="E131" s="242">
        <v>0</v>
      </c>
      <c r="F131" s="242">
        <f>+E131+D131</f>
        <v>53.48</v>
      </c>
      <c r="G131" s="243">
        <v>72415</v>
      </c>
      <c r="H131" s="243">
        <f t="shared" si="4"/>
        <v>3872754.2</v>
      </c>
      <c r="I131" s="156"/>
    </row>
    <row r="132" spans="1:9" s="9" customFormat="1" ht="35.1" customHeight="1" x14ac:dyDescent="0.25">
      <c r="A132" s="255" t="s">
        <v>1107</v>
      </c>
      <c r="B132" s="254" t="s">
        <v>159</v>
      </c>
      <c r="C132" s="255" t="s">
        <v>13</v>
      </c>
      <c r="D132" s="242">
        <v>9</v>
      </c>
      <c r="E132" s="242">
        <v>0</v>
      </c>
      <c r="F132" s="242">
        <f>+E132+D132</f>
        <v>9</v>
      </c>
      <c r="G132" s="243">
        <v>98762</v>
      </c>
      <c r="H132" s="243">
        <f t="shared" si="4"/>
        <v>888858</v>
      </c>
      <c r="I132" s="156"/>
    </row>
    <row r="133" spans="1:9" s="9" customFormat="1" ht="35.1" customHeight="1" x14ac:dyDescent="0.25">
      <c r="A133" s="244" t="s">
        <v>1108</v>
      </c>
      <c r="B133" s="245" t="s">
        <v>1109</v>
      </c>
      <c r="C133" s="260"/>
      <c r="D133" s="246"/>
      <c r="E133" s="246"/>
      <c r="F133" s="246"/>
      <c r="G133" s="303">
        <v>0</v>
      </c>
      <c r="H133" s="246"/>
      <c r="I133" s="156"/>
    </row>
    <row r="134" spans="1:9" s="9" customFormat="1" ht="35.1" customHeight="1" x14ac:dyDescent="0.25">
      <c r="A134" s="255" t="s">
        <v>1110</v>
      </c>
      <c r="B134" s="254" t="s">
        <v>153</v>
      </c>
      <c r="C134" s="255" t="s">
        <v>13</v>
      </c>
      <c r="D134" s="242">
        <v>949.13</v>
      </c>
      <c r="E134" s="242">
        <v>0</v>
      </c>
      <c r="F134" s="242">
        <f>+E134+D134</f>
        <v>949.13</v>
      </c>
      <c r="G134" s="243">
        <v>124643</v>
      </c>
      <c r="H134" s="243">
        <f t="shared" si="4"/>
        <v>118302410.59</v>
      </c>
      <c r="I134" s="156"/>
    </row>
    <row r="135" spans="1:9" s="9" customFormat="1" ht="35.1" customHeight="1" x14ac:dyDescent="0.25">
      <c r="A135" s="255" t="s">
        <v>1111</v>
      </c>
      <c r="B135" s="254" t="s">
        <v>159</v>
      </c>
      <c r="C135" s="255" t="s">
        <v>13</v>
      </c>
      <c r="D135" s="242">
        <v>56.54</v>
      </c>
      <c r="E135" s="242">
        <v>0</v>
      </c>
      <c r="F135" s="242">
        <f>+E135+D135</f>
        <v>56.54</v>
      </c>
      <c r="G135" s="243">
        <v>98762</v>
      </c>
      <c r="H135" s="243">
        <f t="shared" si="4"/>
        <v>5584003.4800000004</v>
      </c>
      <c r="I135" s="156"/>
    </row>
    <row r="136" spans="1:9" s="9" customFormat="1" ht="35.1" customHeight="1" x14ac:dyDescent="0.25">
      <c r="A136" s="247">
        <v>7</v>
      </c>
      <c r="B136" s="248" t="s">
        <v>175</v>
      </c>
      <c r="C136" s="248"/>
      <c r="D136" s="249"/>
      <c r="E136" s="249"/>
      <c r="F136" s="249"/>
      <c r="G136" s="308">
        <v>0</v>
      </c>
      <c r="H136" s="274"/>
      <c r="I136" s="156"/>
    </row>
    <row r="137" spans="1:9" s="9" customFormat="1" ht="35.1" customHeight="1" x14ac:dyDescent="0.25">
      <c r="A137" s="244" t="s">
        <v>176</v>
      </c>
      <c r="B137" s="256" t="s">
        <v>177</v>
      </c>
      <c r="C137" s="256"/>
      <c r="D137" s="246"/>
      <c r="E137" s="246"/>
      <c r="F137" s="246"/>
      <c r="G137" s="303">
        <v>0</v>
      </c>
      <c r="H137" s="246"/>
      <c r="I137" s="156"/>
    </row>
    <row r="138" spans="1:9" s="9" customFormat="1" ht="35.1" customHeight="1" x14ac:dyDescent="0.25">
      <c r="A138" s="255" t="s">
        <v>178</v>
      </c>
      <c r="B138" s="254" t="s">
        <v>1112</v>
      </c>
      <c r="C138" s="240" t="s">
        <v>13</v>
      </c>
      <c r="D138" s="242">
        <v>0</v>
      </c>
      <c r="E138" s="242">
        <v>4.8600000000000003</v>
      </c>
      <c r="F138" s="242">
        <f>+E138+D138</f>
        <v>4.8600000000000003</v>
      </c>
      <c r="G138" s="243">
        <v>274296</v>
      </c>
      <c r="H138" s="243">
        <f>ROUND(+G138*F138,2)</f>
        <v>1333078.56</v>
      </c>
      <c r="I138" s="156"/>
    </row>
    <row r="139" spans="1:9" s="9" customFormat="1" ht="35.1" customHeight="1" x14ac:dyDescent="0.25">
      <c r="A139" s="244" t="s">
        <v>180</v>
      </c>
      <c r="B139" s="245" t="s">
        <v>181</v>
      </c>
      <c r="C139" s="244"/>
      <c r="D139" s="246"/>
      <c r="E139" s="246"/>
      <c r="F139" s="246"/>
      <c r="G139" s="303">
        <v>0</v>
      </c>
      <c r="H139" s="246"/>
      <c r="I139" s="156"/>
    </row>
    <row r="140" spans="1:9" s="9" customFormat="1" ht="35.1" customHeight="1" x14ac:dyDescent="0.25">
      <c r="A140" s="255" t="s">
        <v>182</v>
      </c>
      <c r="B140" s="254" t="s">
        <v>183</v>
      </c>
      <c r="C140" s="240" t="s">
        <v>13</v>
      </c>
      <c r="D140" s="242">
        <v>0</v>
      </c>
      <c r="E140" s="242">
        <v>0.55000000000000004</v>
      </c>
      <c r="F140" s="242">
        <f>+E140+D140</f>
        <v>0.55000000000000004</v>
      </c>
      <c r="G140" s="243">
        <v>274296</v>
      </c>
      <c r="H140" s="243">
        <f>ROUND(+G140*F140,2)</f>
        <v>150862.79999999999</v>
      </c>
      <c r="I140" s="156"/>
    </row>
    <row r="141" spans="1:9" s="9" customFormat="1" ht="35.1" customHeight="1" x14ac:dyDescent="0.25">
      <c r="A141" s="255" t="s">
        <v>184</v>
      </c>
      <c r="B141" s="254" t="s">
        <v>1113</v>
      </c>
      <c r="C141" s="240" t="s">
        <v>13</v>
      </c>
      <c r="D141" s="242">
        <v>0</v>
      </c>
      <c r="E141" s="242">
        <v>0.36</v>
      </c>
      <c r="F141" s="242">
        <f>+E141+D141</f>
        <v>0.36</v>
      </c>
      <c r="G141" s="243">
        <v>274296</v>
      </c>
      <c r="H141" s="243">
        <f>ROUND(+G141*F141,2)</f>
        <v>98746.559999999998</v>
      </c>
      <c r="I141" s="156"/>
    </row>
    <row r="142" spans="1:9" s="9" customFormat="1" ht="35.1" customHeight="1" x14ac:dyDescent="0.25">
      <c r="A142" s="244" t="s">
        <v>186</v>
      </c>
      <c r="B142" s="245" t="s">
        <v>187</v>
      </c>
      <c r="C142" s="244"/>
      <c r="D142" s="246"/>
      <c r="E142" s="246"/>
      <c r="F142" s="246"/>
      <c r="G142" s="303">
        <v>0</v>
      </c>
      <c r="H142" s="246"/>
      <c r="I142" s="156"/>
    </row>
    <row r="143" spans="1:9" s="9" customFormat="1" ht="35.1" customHeight="1" x14ac:dyDescent="0.25">
      <c r="A143" s="255" t="s">
        <v>188</v>
      </c>
      <c r="B143" s="254" t="s">
        <v>189</v>
      </c>
      <c r="C143" s="240" t="s">
        <v>13</v>
      </c>
      <c r="D143" s="242">
        <v>0</v>
      </c>
      <c r="E143" s="242">
        <v>0.05</v>
      </c>
      <c r="F143" s="242">
        <f>+E143+D143</f>
        <v>0.05</v>
      </c>
      <c r="G143" s="243">
        <v>274296</v>
      </c>
      <c r="H143" s="243">
        <f>ROUND(+G143*F143,2)</f>
        <v>13714.8</v>
      </c>
      <c r="I143" s="156"/>
    </row>
    <row r="144" spans="1:9" s="9" customFormat="1" ht="35.1" customHeight="1" x14ac:dyDescent="0.25">
      <c r="A144" s="255" t="s">
        <v>190</v>
      </c>
      <c r="B144" s="254" t="s">
        <v>191</v>
      </c>
      <c r="C144" s="240" t="s">
        <v>13</v>
      </c>
      <c r="D144" s="242">
        <v>0</v>
      </c>
      <c r="E144" s="242">
        <v>0.32</v>
      </c>
      <c r="F144" s="242">
        <f>+E144+D144</f>
        <v>0.32</v>
      </c>
      <c r="G144" s="243">
        <v>274296</v>
      </c>
      <c r="H144" s="243">
        <f>ROUND(+G144*F144,2)</f>
        <v>87774.720000000001</v>
      </c>
      <c r="I144" s="156"/>
    </row>
    <row r="145" spans="1:9" s="9" customFormat="1" ht="35.1" customHeight="1" x14ac:dyDescent="0.25">
      <c r="A145" s="255" t="s">
        <v>192</v>
      </c>
      <c r="B145" s="254" t="s">
        <v>183</v>
      </c>
      <c r="C145" s="240" t="s">
        <v>13</v>
      </c>
      <c r="D145" s="242">
        <v>0</v>
      </c>
      <c r="E145" s="242">
        <v>0.48</v>
      </c>
      <c r="F145" s="242">
        <f>+E145+D145</f>
        <v>0.48</v>
      </c>
      <c r="G145" s="243">
        <v>274296</v>
      </c>
      <c r="H145" s="243">
        <f>ROUND(+G145*F145,2)</f>
        <v>131662.07999999999</v>
      </c>
      <c r="I145" s="156"/>
    </row>
    <row r="146" spans="1:9" s="9" customFormat="1" ht="35.1" customHeight="1" x14ac:dyDescent="0.25">
      <c r="A146" s="255" t="s">
        <v>193</v>
      </c>
      <c r="B146" s="254" t="s">
        <v>1114</v>
      </c>
      <c r="C146" s="240" t="s">
        <v>13</v>
      </c>
      <c r="D146" s="242">
        <v>0</v>
      </c>
      <c r="E146" s="242">
        <v>0.12</v>
      </c>
      <c r="F146" s="242">
        <f>+E146+D146</f>
        <v>0.12</v>
      </c>
      <c r="G146" s="243">
        <v>274296</v>
      </c>
      <c r="H146" s="243">
        <f>ROUND(+G146*F146,2)</f>
        <v>32915.519999999997</v>
      </c>
      <c r="I146" s="156"/>
    </row>
    <row r="147" spans="1:9" s="9" customFormat="1" ht="35.1" customHeight="1" x14ac:dyDescent="0.25">
      <c r="A147" s="255" t="s">
        <v>194</v>
      </c>
      <c r="B147" s="254" t="s">
        <v>195</v>
      </c>
      <c r="C147" s="240" t="s">
        <v>13</v>
      </c>
      <c r="D147" s="242">
        <v>0</v>
      </c>
      <c r="E147" s="242">
        <v>0.36</v>
      </c>
      <c r="F147" s="242">
        <f>+E147+D147</f>
        <v>0.36</v>
      </c>
      <c r="G147" s="243">
        <v>274296</v>
      </c>
      <c r="H147" s="243">
        <f>ROUND(+G147*F147,2)</f>
        <v>98746.559999999998</v>
      </c>
      <c r="I147" s="156"/>
    </row>
    <row r="148" spans="1:9" s="9" customFormat="1" ht="35.1" customHeight="1" x14ac:dyDescent="0.25">
      <c r="A148" s="244" t="s">
        <v>1115</v>
      </c>
      <c r="B148" s="245" t="s">
        <v>1116</v>
      </c>
      <c r="C148" s="244"/>
      <c r="D148" s="246"/>
      <c r="E148" s="246"/>
      <c r="F148" s="246"/>
      <c r="G148" s="303">
        <v>0</v>
      </c>
      <c r="H148" s="246"/>
      <c r="I148" s="156"/>
    </row>
    <row r="149" spans="1:9" s="9" customFormat="1" ht="35.1" customHeight="1" x14ac:dyDescent="0.25">
      <c r="A149" s="255" t="s">
        <v>1117</v>
      </c>
      <c r="B149" s="254" t="s">
        <v>189</v>
      </c>
      <c r="C149" s="240" t="s">
        <v>13</v>
      </c>
      <c r="D149" s="242">
        <v>0.54</v>
      </c>
      <c r="E149" s="242">
        <v>0</v>
      </c>
      <c r="F149" s="242">
        <f>+E149+D149</f>
        <v>0.54</v>
      </c>
      <c r="G149" s="243">
        <v>274997</v>
      </c>
      <c r="H149" s="243">
        <f>ROUND(+G149*F149,2)</f>
        <v>148498.38</v>
      </c>
      <c r="I149" s="156"/>
    </row>
    <row r="150" spans="1:9" s="9" customFormat="1" ht="35.1" customHeight="1" x14ac:dyDescent="0.25">
      <c r="A150" s="255" t="s">
        <v>1118</v>
      </c>
      <c r="B150" s="254" t="s">
        <v>191</v>
      </c>
      <c r="C150" s="240" t="s">
        <v>13</v>
      </c>
      <c r="D150" s="242">
        <v>2.38</v>
      </c>
      <c r="E150" s="242">
        <v>0</v>
      </c>
      <c r="F150" s="242">
        <f>+E150+D150</f>
        <v>2.38</v>
      </c>
      <c r="G150" s="243">
        <v>274997</v>
      </c>
      <c r="H150" s="243">
        <f>ROUND(+G150*F150,2)</f>
        <v>654492.86</v>
      </c>
      <c r="I150" s="156"/>
    </row>
    <row r="151" spans="1:9" s="9" customFormat="1" ht="35.1" customHeight="1" x14ac:dyDescent="0.25">
      <c r="A151" s="255" t="s">
        <v>1119</v>
      </c>
      <c r="B151" s="254" t="s">
        <v>183</v>
      </c>
      <c r="C151" s="240" t="s">
        <v>13</v>
      </c>
      <c r="D151" s="242">
        <v>3.45</v>
      </c>
      <c r="E151" s="242">
        <v>0</v>
      </c>
      <c r="F151" s="242">
        <f>+E151+D151</f>
        <v>3.45</v>
      </c>
      <c r="G151" s="243">
        <v>274997</v>
      </c>
      <c r="H151" s="243">
        <f>ROUND(+G151*F151,2)</f>
        <v>948739.65</v>
      </c>
      <c r="I151" s="156"/>
    </row>
    <row r="152" spans="1:9" s="9" customFormat="1" ht="35.1" customHeight="1" x14ac:dyDescent="0.25">
      <c r="A152" s="255" t="s">
        <v>1120</v>
      </c>
      <c r="B152" s="254" t="s">
        <v>195</v>
      </c>
      <c r="C152" s="240" t="s">
        <v>13</v>
      </c>
      <c r="D152" s="242">
        <v>1.8</v>
      </c>
      <c r="E152" s="242">
        <v>0</v>
      </c>
      <c r="F152" s="242">
        <f>+E152+D152</f>
        <v>1.8</v>
      </c>
      <c r="G152" s="243">
        <v>274997</v>
      </c>
      <c r="H152" s="243">
        <f>ROUND(+G152*F152,2)</f>
        <v>494994.6</v>
      </c>
      <c r="I152" s="156"/>
    </row>
    <row r="153" spans="1:9" s="9" customFormat="1" ht="35.1" customHeight="1" x14ac:dyDescent="0.25">
      <c r="A153" s="244" t="s">
        <v>1121</v>
      </c>
      <c r="B153" s="245" t="s">
        <v>1122</v>
      </c>
      <c r="C153" s="244"/>
      <c r="D153" s="246"/>
      <c r="E153" s="246"/>
      <c r="F153" s="246"/>
      <c r="G153" s="303">
        <v>0</v>
      </c>
      <c r="H153" s="246"/>
      <c r="I153" s="156"/>
    </row>
    <row r="154" spans="1:9" s="9" customFormat="1" ht="35.1" customHeight="1" x14ac:dyDescent="0.25">
      <c r="A154" s="255" t="s">
        <v>1123</v>
      </c>
      <c r="B154" s="254" t="s">
        <v>183</v>
      </c>
      <c r="C154" s="240" t="s">
        <v>13</v>
      </c>
      <c r="D154" s="242">
        <v>3.45</v>
      </c>
      <c r="E154" s="242">
        <v>0</v>
      </c>
      <c r="F154" s="242">
        <f>+E154+D154</f>
        <v>3.45</v>
      </c>
      <c r="G154" s="243">
        <v>274997</v>
      </c>
      <c r="H154" s="243">
        <f>ROUND(+G154*F154,2)</f>
        <v>948739.65</v>
      </c>
      <c r="I154" s="156"/>
    </row>
    <row r="155" spans="1:9" s="9" customFormat="1" ht="35.1" customHeight="1" x14ac:dyDescent="0.25">
      <c r="A155" s="247">
        <v>8</v>
      </c>
      <c r="B155" s="248" t="s">
        <v>196</v>
      </c>
      <c r="C155" s="248"/>
      <c r="D155" s="249"/>
      <c r="E155" s="249"/>
      <c r="F155" s="249"/>
      <c r="G155" s="305">
        <v>0</v>
      </c>
      <c r="H155" s="249"/>
      <c r="I155" s="156"/>
    </row>
    <row r="156" spans="1:9" s="9" customFormat="1" ht="35.1" customHeight="1" x14ac:dyDescent="0.25">
      <c r="A156" s="244" t="s">
        <v>197</v>
      </c>
      <c r="B156" s="245" t="s">
        <v>198</v>
      </c>
      <c r="C156" s="244"/>
      <c r="D156" s="246"/>
      <c r="E156" s="246"/>
      <c r="F156" s="246"/>
      <c r="G156" s="303">
        <v>0</v>
      </c>
      <c r="H156" s="246"/>
      <c r="I156" s="156"/>
    </row>
    <row r="157" spans="1:9" s="9" customFormat="1" ht="35.1" customHeight="1" x14ac:dyDescent="0.25">
      <c r="A157" s="255" t="s">
        <v>199</v>
      </c>
      <c r="B157" s="254" t="s">
        <v>200</v>
      </c>
      <c r="C157" s="240" t="s">
        <v>13</v>
      </c>
      <c r="D157" s="242">
        <v>44.879999999999995</v>
      </c>
      <c r="E157" s="242">
        <v>16.32</v>
      </c>
      <c r="F157" s="242">
        <f>+E157+D157</f>
        <v>61.199999999999996</v>
      </c>
      <c r="G157" s="243">
        <v>319840</v>
      </c>
      <c r="H157" s="243">
        <f>ROUND(+G157*F157,2)</f>
        <v>19574208</v>
      </c>
      <c r="I157" s="156"/>
    </row>
    <row r="158" spans="1:9" s="9" customFormat="1" ht="35.1" customHeight="1" x14ac:dyDescent="0.25">
      <c r="A158" s="255" t="s">
        <v>201</v>
      </c>
      <c r="B158" s="254" t="s">
        <v>202</v>
      </c>
      <c r="C158" s="240" t="s">
        <v>13</v>
      </c>
      <c r="D158" s="242">
        <v>111.41999999999999</v>
      </c>
      <c r="E158" s="242">
        <v>111.43</v>
      </c>
      <c r="F158" s="242">
        <f>+E158+D158</f>
        <v>222.85</v>
      </c>
      <c r="G158" s="243">
        <v>362451</v>
      </c>
      <c r="H158" s="243">
        <f>ROUND(+G158*F158,2)</f>
        <v>80772205.349999994</v>
      </c>
      <c r="I158" s="156"/>
    </row>
    <row r="159" spans="1:9" s="9" customFormat="1" ht="35.1" customHeight="1" x14ac:dyDescent="0.25">
      <c r="A159" s="255" t="s">
        <v>203</v>
      </c>
      <c r="B159" s="254" t="s">
        <v>204</v>
      </c>
      <c r="C159" s="240" t="s">
        <v>13</v>
      </c>
      <c r="D159" s="242">
        <v>17.010000000000002</v>
      </c>
      <c r="E159" s="242">
        <v>17.010000000000002</v>
      </c>
      <c r="F159" s="242">
        <f>+E159+D159</f>
        <v>34.020000000000003</v>
      </c>
      <c r="G159" s="243">
        <v>379207</v>
      </c>
      <c r="H159" s="243">
        <f>ROUND(+G159*F159,2)</f>
        <v>12900622.140000001</v>
      </c>
      <c r="I159" s="156"/>
    </row>
    <row r="160" spans="1:9" s="9" customFormat="1" ht="35.1" customHeight="1" x14ac:dyDescent="0.25">
      <c r="A160" s="255" t="s">
        <v>205</v>
      </c>
      <c r="B160" s="254" t="s">
        <v>206</v>
      </c>
      <c r="C160" s="240" t="s">
        <v>13</v>
      </c>
      <c r="D160" s="242">
        <v>13.059999999999999</v>
      </c>
      <c r="E160" s="242">
        <v>13.07</v>
      </c>
      <c r="F160" s="242">
        <f>+E160+D160</f>
        <v>26.13</v>
      </c>
      <c r="G160" s="243">
        <v>379207</v>
      </c>
      <c r="H160" s="243">
        <f>ROUND(+G160*F160,2)</f>
        <v>9908678.9100000001</v>
      </c>
      <c r="I160" s="156"/>
    </row>
    <row r="161" spans="1:9" s="9" customFormat="1" ht="35.1" customHeight="1" x14ac:dyDescent="0.25">
      <c r="A161" s="244" t="s">
        <v>207</v>
      </c>
      <c r="B161" s="245" t="s">
        <v>208</v>
      </c>
      <c r="C161" s="244"/>
      <c r="D161" s="246"/>
      <c r="E161" s="246"/>
      <c r="F161" s="246"/>
      <c r="G161" s="303">
        <v>0</v>
      </c>
      <c r="H161" s="246"/>
      <c r="I161" s="156"/>
    </row>
    <row r="162" spans="1:9" s="9" customFormat="1" ht="35.1" customHeight="1" x14ac:dyDescent="0.25">
      <c r="A162" s="255" t="s">
        <v>209</v>
      </c>
      <c r="B162" s="254" t="s">
        <v>210</v>
      </c>
      <c r="C162" s="240" t="s">
        <v>13</v>
      </c>
      <c r="D162" s="242">
        <v>221.89</v>
      </c>
      <c r="E162" s="242">
        <v>21.89</v>
      </c>
      <c r="F162" s="242">
        <f t="shared" ref="F162:F168" si="7">+E162+D162</f>
        <v>243.77999999999997</v>
      </c>
      <c r="G162" s="243">
        <v>253611</v>
      </c>
      <c r="H162" s="243">
        <f t="shared" ref="H162:H168" si="8">ROUND(+G162*F162,2)</f>
        <v>61825289.579999998</v>
      </c>
      <c r="I162" s="156"/>
    </row>
    <row r="163" spans="1:9" s="9" customFormat="1" ht="35.1" customHeight="1" x14ac:dyDescent="0.25">
      <c r="A163" s="255" t="s">
        <v>211</v>
      </c>
      <c r="B163" s="254" t="s">
        <v>200</v>
      </c>
      <c r="C163" s="240" t="s">
        <v>13</v>
      </c>
      <c r="D163" s="242">
        <v>13.48</v>
      </c>
      <c r="E163" s="242">
        <v>13.48</v>
      </c>
      <c r="F163" s="242">
        <f t="shared" si="7"/>
        <v>26.96</v>
      </c>
      <c r="G163" s="243">
        <v>319840</v>
      </c>
      <c r="H163" s="243">
        <f t="shared" si="8"/>
        <v>8622886.4000000004</v>
      </c>
      <c r="I163" s="156"/>
    </row>
    <row r="164" spans="1:9" s="9" customFormat="1" ht="35.1" customHeight="1" x14ac:dyDescent="0.25">
      <c r="A164" s="255" t="s">
        <v>212</v>
      </c>
      <c r="B164" s="254" t="s">
        <v>202</v>
      </c>
      <c r="C164" s="240" t="s">
        <v>13</v>
      </c>
      <c r="D164" s="242">
        <v>29.999999999999996</v>
      </c>
      <c r="E164" s="242">
        <v>30.01</v>
      </c>
      <c r="F164" s="242">
        <f t="shared" si="7"/>
        <v>60.01</v>
      </c>
      <c r="G164" s="243">
        <v>362451</v>
      </c>
      <c r="H164" s="243">
        <f t="shared" si="8"/>
        <v>21750684.510000002</v>
      </c>
      <c r="I164" s="156"/>
    </row>
    <row r="165" spans="1:9" s="9" customFormat="1" ht="35.1" customHeight="1" x14ac:dyDescent="0.25">
      <c r="A165" s="255" t="s">
        <v>213</v>
      </c>
      <c r="B165" s="254" t="s">
        <v>214</v>
      </c>
      <c r="C165" s="240" t="s">
        <v>13</v>
      </c>
      <c r="D165" s="242">
        <v>78.760000000000005</v>
      </c>
      <c r="E165" s="242">
        <v>63.83</v>
      </c>
      <c r="F165" s="242">
        <f t="shared" si="7"/>
        <v>142.59</v>
      </c>
      <c r="G165" s="243">
        <v>362451</v>
      </c>
      <c r="H165" s="243">
        <f t="shared" si="8"/>
        <v>51681888.090000004</v>
      </c>
      <c r="I165" s="156"/>
    </row>
    <row r="166" spans="1:9" s="9" customFormat="1" ht="35.1" customHeight="1" x14ac:dyDescent="0.25">
      <c r="A166" s="255" t="s">
        <v>215</v>
      </c>
      <c r="B166" s="254" t="s">
        <v>216</v>
      </c>
      <c r="C166" s="240" t="s">
        <v>13</v>
      </c>
      <c r="D166" s="242">
        <v>78.989999999999995</v>
      </c>
      <c r="E166" s="242">
        <v>7.99</v>
      </c>
      <c r="F166" s="242">
        <f t="shared" si="7"/>
        <v>86.97999999999999</v>
      </c>
      <c r="G166" s="243">
        <v>376284</v>
      </c>
      <c r="H166" s="243">
        <f t="shared" si="8"/>
        <v>32729182.32</v>
      </c>
      <c r="I166" s="156"/>
    </row>
    <row r="167" spans="1:9" s="9" customFormat="1" ht="35.1" customHeight="1" x14ac:dyDescent="0.25">
      <c r="A167" s="255" t="s">
        <v>217</v>
      </c>
      <c r="B167" s="254" t="s">
        <v>218</v>
      </c>
      <c r="C167" s="240" t="s">
        <v>13</v>
      </c>
      <c r="D167" s="242">
        <v>11.76</v>
      </c>
      <c r="E167" s="242">
        <v>11.76</v>
      </c>
      <c r="F167" s="242">
        <f t="shared" si="7"/>
        <v>23.52</v>
      </c>
      <c r="G167" s="243">
        <v>379207</v>
      </c>
      <c r="H167" s="243">
        <f t="shared" si="8"/>
        <v>8918948.6400000006</v>
      </c>
      <c r="I167" s="156"/>
    </row>
    <row r="168" spans="1:9" s="9" customFormat="1" ht="35.1" customHeight="1" x14ac:dyDescent="0.25">
      <c r="A168" s="255" t="s">
        <v>219</v>
      </c>
      <c r="B168" s="241" t="s">
        <v>220</v>
      </c>
      <c r="C168" s="240" t="s">
        <v>13</v>
      </c>
      <c r="D168" s="242">
        <v>15.659999999999998</v>
      </c>
      <c r="E168" s="242">
        <v>10.72</v>
      </c>
      <c r="F168" s="242">
        <f t="shared" si="7"/>
        <v>26.38</v>
      </c>
      <c r="G168" s="243">
        <v>422487</v>
      </c>
      <c r="H168" s="243">
        <f t="shared" si="8"/>
        <v>11145207.060000001</v>
      </c>
      <c r="I168" s="156"/>
    </row>
    <row r="169" spans="1:9" s="9" customFormat="1" ht="35.1" customHeight="1" x14ac:dyDescent="0.25">
      <c r="A169" s="244" t="s">
        <v>1124</v>
      </c>
      <c r="B169" s="245" t="s">
        <v>1125</v>
      </c>
      <c r="C169" s="244"/>
      <c r="D169" s="246"/>
      <c r="E169" s="246"/>
      <c r="F169" s="246"/>
      <c r="G169" s="303">
        <v>0</v>
      </c>
      <c r="H169" s="246"/>
      <c r="I169" s="156"/>
    </row>
    <row r="170" spans="1:9" s="9" customFormat="1" ht="35.1" customHeight="1" x14ac:dyDescent="0.25">
      <c r="A170" s="255" t="s">
        <v>1126</v>
      </c>
      <c r="B170" s="254" t="s">
        <v>210</v>
      </c>
      <c r="C170" s="240" t="s">
        <v>13</v>
      </c>
      <c r="D170" s="242">
        <v>181.07</v>
      </c>
      <c r="E170" s="242">
        <v>0</v>
      </c>
      <c r="F170" s="242">
        <f t="shared" ref="F170:F175" si="9">+E170+D170</f>
        <v>181.07</v>
      </c>
      <c r="G170" s="243">
        <v>255936</v>
      </c>
      <c r="H170" s="243">
        <f t="shared" ref="H170:H175" si="10">ROUND(+G170*F170,2)</f>
        <v>46342331.520000003</v>
      </c>
      <c r="I170" s="156"/>
    </row>
    <row r="171" spans="1:9" s="9" customFormat="1" ht="35.1" customHeight="1" x14ac:dyDescent="0.25">
      <c r="A171" s="255" t="s">
        <v>1127</v>
      </c>
      <c r="B171" s="254" t="s">
        <v>1128</v>
      </c>
      <c r="C171" s="240" t="s">
        <v>13</v>
      </c>
      <c r="D171" s="242">
        <v>34.630000000000003</v>
      </c>
      <c r="E171" s="242">
        <v>0</v>
      </c>
      <c r="F171" s="242">
        <f t="shared" si="9"/>
        <v>34.630000000000003</v>
      </c>
      <c r="G171" s="243">
        <v>319840</v>
      </c>
      <c r="H171" s="243">
        <f t="shared" si="10"/>
        <v>11076059.199999999</v>
      </c>
      <c r="I171" s="156"/>
    </row>
    <row r="172" spans="1:9" s="9" customFormat="1" ht="35.1" customHeight="1" x14ac:dyDescent="0.25">
      <c r="A172" s="255" t="s">
        <v>1129</v>
      </c>
      <c r="B172" s="254" t="s">
        <v>202</v>
      </c>
      <c r="C172" s="240" t="s">
        <v>13</v>
      </c>
      <c r="D172" s="242">
        <v>87.57</v>
      </c>
      <c r="E172" s="242">
        <v>0</v>
      </c>
      <c r="F172" s="242">
        <f t="shared" si="9"/>
        <v>87.57</v>
      </c>
      <c r="G172" s="243">
        <v>362451</v>
      </c>
      <c r="H172" s="243">
        <f t="shared" si="10"/>
        <v>31739834.07</v>
      </c>
      <c r="I172" s="156"/>
    </row>
    <row r="173" spans="1:9" s="9" customFormat="1" ht="35.1" customHeight="1" x14ac:dyDescent="0.25">
      <c r="A173" s="255" t="s">
        <v>1130</v>
      </c>
      <c r="B173" s="254" t="s">
        <v>214</v>
      </c>
      <c r="C173" s="240" t="s">
        <v>13</v>
      </c>
      <c r="D173" s="242">
        <v>157.53</v>
      </c>
      <c r="E173" s="242">
        <v>0</v>
      </c>
      <c r="F173" s="242">
        <f t="shared" si="9"/>
        <v>157.53</v>
      </c>
      <c r="G173" s="243">
        <v>362451</v>
      </c>
      <c r="H173" s="243">
        <f t="shared" si="10"/>
        <v>57096906.030000001</v>
      </c>
      <c r="I173" s="156"/>
    </row>
    <row r="174" spans="1:9" s="9" customFormat="1" ht="35.1" customHeight="1" x14ac:dyDescent="0.25">
      <c r="A174" s="255" t="s">
        <v>1131</v>
      </c>
      <c r="B174" s="254" t="s">
        <v>204</v>
      </c>
      <c r="C174" s="240" t="s">
        <v>13</v>
      </c>
      <c r="D174" s="242">
        <v>148.13999999999999</v>
      </c>
      <c r="E174" s="242">
        <v>0</v>
      </c>
      <c r="F174" s="242">
        <f t="shared" si="9"/>
        <v>148.13999999999999</v>
      </c>
      <c r="G174" s="243">
        <v>379207</v>
      </c>
      <c r="H174" s="243">
        <f t="shared" si="10"/>
        <v>56175724.979999997</v>
      </c>
      <c r="I174" s="156"/>
    </row>
    <row r="175" spans="1:9" s="9" customFormat="1" ht="35.1" customHeight="1" x14ac:dyDescent="0.25">
      <c r="A175" s="255" t="s">
        <v>1132</v>
      </c>
      <c r="B175" s="241" t="s">
        <v>1133</v>
      </c>
      <c r="C175" s="240" t="s">
        <v>13</v>
      </c>
      <c r="D175" s="242">
        <v>31.33</v>
      </c>
      <c r="E175" s="242">
        <v>0</v>
      </c>
      <c r="F175" s="242">
        <f t="shared" si="9"/>
        <v>31.33</v>
      </c>
      <c r="G175" s="243">
        <v>422487</v>
      </c>
      <c r="H175" s="243">
        <f t="shared" si="10"/>
        <v>13236517.710000001</v>
      </c>
      <c r="I175" s="156"/>
    </row>
    <row r="176" spans="1:9" s="9" customFormat="1" ht="35.1" customHeight="1" x14ac:dyDescent="0.25">
      <c r="A176" s="244" t="s">
        <v>1134</v>
      </c>
      <c r="B176" s="245" t="s">
        <v>1135</v>
      </c>
      <c r="C176" s="244"/>
      <c r="D176" s="246"/>
      <c r="E176" s="246"/>
      <c r="F176" s="246"/>
      <c r="G176" s="303">
        <v>0</v>
      </c>
      <c r="H176" s="246"/>
      <c r="I176" s="156"/>
    </row>
    <row r="177" spans="1:9" s="9" customFormat="1" ht="35.1" customHeight="1" x14ac:dyDescent="0.25">
      <c r="A177" s="255" t="s">
        <v>1136</v>
      </c>
      <c r="B177" s="254" t="s">
        <v>210</v>
      </c>
      <c r="C177" s="240" t="s">
        <v>13</v>
      </c>
      <c r="D177" s="242">
        <v>41.36</v>
      </c>
      <c r="E177" s="242">
        <v>0</v>
      </c>
      <c r="F177" s="242">
        <f t="shared" ref="F177:F182" si="11">+E177+D177</f>
        <v>41.36</v>
      </c>
      <c r="G177" s="243">
        <v>255936</v>
      </c>
      <c r="H177" s="243">
        <f t="shared" ref="H177:H182" si="12">ROUND(+G177*F177,2)</f>
        <v>10585512.960000001</v>
      </c>
      <c r="I177" s="156"/>
    </row>
    <row r="178" spans="1:9" s="9" customFormat="1" ht="35.1" customHeight="1" x14ac:dyDescent="0.25">
      <c r="A178" s="255" t="s">
        <v>1137</v>
      </c>
      <c r="B178" s="254" t="s">
        <v>1128</v>
      </c>
      <c r="C178" s="240" t="s">
        <v>13</v>
      </c>
      <c r="D178" s="242">
        <v>124.89</v>
      </c>
      <c r="E178" s="242">
        <v>0</v>
      </c>
      <c r="F178" s="242">
        <f t="shared" si="11"/>
        <v>124.89</v>
      </c>
      <c r="G178" s="243">
        <v>319840</v>
      </c>
      <c r="H178" s="243">
        <f t="shared" si="12"/>
        <v>39944817.600000001</v>
      </c>
      <c r="I178" s="156"/>
    </row>
    <row r="179" spans="1:9" s="9" customFormat="1" ht="35.1" customHeight="1" x14ac:dyDescent="0.25">
      <c r="A179" s="255" t="s">
        <v>1138</v>
      </c>
      <c r="B179" s="254" t="s">
        <v>202</v>
      </c>
      <c r="C179" s="240" t="s">
        <v>13</v>
      </c>
      <c r="D179" s="242">
        <v>82.95</v>
      </c>
      <c r="E179" s="242">
        <v>0</v>
      </c>
      <c r="F179" s="242">
        <f t="shared" si="11"/>
        <v>82.95</v>
      </c>
      <c r="G179" s="243">
        <v>362451</v>
      </c>
      <c r="H179" s="243">
        <f t="shared" si="12"/>
        <v>30065310.449999999</v>
      </c>
      <c r="I179" s="156"/>
    </row>
    <row r="180" spans="1:9" s="9" customFormat="1" ht="35.1" customHeight="1" x14ac:dyDescent="0.25">
      <c r="A180" s="240" t="s">
        <v>1139</v>
      </c>
      <c r="B180" s="241" t="s">
        <v>214</v>
      </c>
      <c r="C180" s="240" t="s">
        <v>13</v>
      </c>
      <c r="D180" s="242">
        <v>157.53</v>
      </c>
      <c r="E180" s="242">
        <v>0</v>
      </c>
      <c r="F180" s="242">
        <f t="shared" si="11"/>
        <v>157.53</v>
      </c>
      <c r="G180" s="243">
        <v>362451</v>
      </c>
      <c r="H180" s="243">
        <f t="shared" si="12"/>
        <v>57096906.030000001</v>
      </c>
      <c r="I180" s="156"/>
    </row>
    <row r="181" spans="1:9" s="9" customFormat="1" ht="35.1" customHeight="1" x14ac:dyDescent="0.25">
      <c r="A181" s="240" t="s">
        <v>1140</v>
      </c>
      <c r="B181" s="241" t="s">
        <v>216</v>
      </c>
      <c r="C181" s="240" t="s">
        <v>13</v>
      </c>
      <c r="D181" s="242">
        <v>84.61</v>
      </c>
      <c r="E181" s="242">
        <v>0</v>
      </c>
      <c r="F181" s="242">
        <f t="shared" si="11"/>
        <v>84.61</v>
      </c>
      <c r="G181" s="243">
        <v>376284</v>
      </c>
      <c r="H181" s="243">
        <f t="shared" si="12"/>
        <v>31837389.239999998</v>
      </c>
      <c r="I181" s="156"/>
    </row>
    <row r="182" spans="1:9" s="9" customFormat="1" ht="35.1" customHeight="1" x14ac:dyDescent="0.25">
      <c r="A182" s="240" t="s">
        <v>1141</v>
      </c>
      <c r="B182" s="241" t="s">
        <v>220</v>
      </c>
      <c r="C182" s="240" t="s">
        <v>13</v>
      </c>
      <c r="D182" s="242">
        <v>31.96</v>
      </c>
      <c r="E182" s="242">
        <v>0</v>
      </c>
      <c r="F182" s="242">
        <f t="shared" si="11"/>
        <v>31.96</v>
      </c>
      <c r="G182" s="243">
        <v>422487</v>
      </c>
      <c r="H182" s="243">
        <f t="shared" si="12"/>
        <v>13502684.52</v>
      </c>
      <c r="I182" s="156"/>
    </row>
    <row r="183" spans="1:9" s="9" customFormat="1" ht="35.1" customHeight="1" x14ac:dyDescent="0.25">
      <c r="A183" s="247">
        <v>9</v>
      </c>
      <c r="B183" s="248" t="s">
        <v>221</v>
      </c>
      <c r="C183" s="248"/>
      <c r="D183" s="249"/>
      <c r="E183" s="249"/>
      <c r="F183" s="249"/>
      <c r="G183" s="305">
        <v>0</v>
      </c>
      <c r="H183" s="249"/>
      <c r="I183" s="156"/>
    </row>
    <row r="184" spans="1:9" s="9" customFormat="1" ht="35.1" customHeight="1" x14ac:dyDescent="0.25">
      <c r="A184" s="244" t="s">
        <v>222</v>
      </c>
      <c r="B184" s="245" t="s">
        <v>223</v>
      </c>
      <c r="C184" s="244"/>
      <c r="D184" s="246"/>
      <c r="E184" s="246"/>
      <c r="F184" s="246"/>
      <c r="G184" s="303">
        <v>0</v>
      </c>
      <c r="H184" s="246"/>
      <c r="I184" s="156"/>
    </row>
    <row r="185" spans="1:9" s="9" customFormat="1" ht="35.1" customHeight="1" x14ac:dyDescent="0.25">
      <c r="A185" s="255" t="s">
        <v>224</v>
      </c>
      <c r="B185" s="254" t="s">
        <v>225</v>
      </c>
      <c r="C185" s="240" t="s">
        <v>13</v>
      </c>
      <c r="D185" s="242">
        <v>0</v>
      </c>
      <c r="E185" s="242">
        <v>4.4000000000000004</v>
      </c>
      <c r="F185" s="242">
        <f>+E185+D185</f>
        <v>4.4000000000000004</v>
      </c>
      <c r="G185" s="243">
        <v>1417231</v>
      </c>
      <c r="H185" s="243">
        <f>ROUND(+G185*F185,2)</f>
        <v>6235816.4000000004</v>
      </c>
      <c r="I185" s="156"/>
    </row>
    <row r="186" spans="1:9" s="9" customFormat="1" ht="35.1" customHeight="1" x14ac:dyDescent="0.25">
      <c r="A186" s="255" t="s">
        <v>226</v>
      </c>
      <c r="B186" s="254" t="s">
        <v>227</v>
      </c>
      <c r="C186" s="240" t="s">
        <v>13</v>
      </c>
      <c r="D186" s="242">
        <v>0</v>
      </c>
      <c r="E186" s="242">
        <v>15.12</v>
      </c>
      <c r="F186" s="242">
        <f>+E186+D186</f>
        <v>15.12</v>
      </c>
      <c r="G186" s="243">
        <v>134902</v>
      </c>
      <c r="H186" s="243">
        <f>ROUND(+G186*F186,2)</f>
        <v>2039718.24</v>
      </c>
      <c r="I186" s="156"/>
    </row>
    <row r="187" spans="1:9" s="9" customFormat="1" ht="35.1" customHeight="1" x14ac:dyDescent="0.25">
      <c r="A187" s="255" t="s">
        <v>228</v>
      </c>
      <c r="B187" s="254" t="s">
        <v>229</v>
      </c>
      <c r="C187" s="240" t="s">
        <v>13</v>
      </c>
      <c r="D187" s="242">
        <v>0</v>
      </c>
      <c r="E187" s="242">
        <v>33.6</v>
      </c>
      <c r="F187" s="242">
        <f>+E187+D187</f>
        <v>33.6</v>
      </c>
      <c r="G187" s="243">
        <v>158642</v>
      </c>
      <c r="H187" s="243">
        <f>ROUND(+G187*F187,2)</f>
        <v>5330371.2</v>
      </c>
      <c r="I187" s="156"/>
    </row>
    <row r="188" spans="1:9" s="9" customFormat="1" ht="35.1" customHeight="1" x14ac:dyDescent="0.25">
      <c r="A188" s="255" t="s">
        <v>230</v>
      </c>
      <c r="B188" s="254" t="s">
        <v>1142</v>
      </c>
      <c r="C188" s="240" t="s">
        <v>13</v>
      </c>
      <c r="D188" s="242">
        <v>0</v>
      </c>
      <c r="E188" s="242">
        <v>15.84</v>
      </c>
      <c r="F188" s="242">
        <f>+E188+D188</f>
        <v>15.84</v>
      </c>
      <c r="G188" s="243">
        <v>258643</v>
      </c>
      <c r="H188" s="243">
        <f>ROUND(+G188*F188,2)</f>
        <v>4096905.12</v>
      </c>
      <c r="I188" s="156"/>
    </row>
    <row r="189" spans="1:9" s="9" customFormat="1" ht="35.1" customHeight="1" x14ac:dyDescent="0.25">
      <c r="A189" s="244" t="s">
        <v>232</v>
      </c>
      <c r="B189" s="245" t="s">
        <v>233</v>
      </c>
      <c r="C189" s="260"/>
      <c r="D189" s="246"/>
      <c r="E189" s="246"/>
      <c r="F189" s="246"/>
      <c r="G189" s="303">
        <v>0</v>
      </c>
      <c r="H189" s="246"/>
      <c r="I189" s="156"/>
    </row>
    <row r="190" spans="1:9" s="9" customFormat="1" ht="35.1" customHeight="1" x14ac:dyDescent="0.25">
      <c r="A190" s="255" t="s">
        <v>234</v>
      </c>
      <c r="B190" s="254" t="s">
        <v>225</v>
      </c>
      <c r="C190" s="240" t="s">
        <v>13</v>
      </c>
      <c r="D190" s="242">
        <v>0</v>
      </c>
      <c r="E190" s="242">
        <v>4.4000000000000004</v>
      </c>
      <c r="F190" s="242">
        <f t="shared" ref="F190:F196" si="13">+E190+D190</f>
        <v>4.4000000000000004</v>
      </c>
      <c r="G190" s="243">
        <v>1417231</v>
      </c>
      <c r="H190" s="243">
        <f t="shared" ref="H190:H196" si="14">ROUND(+G190*F190,2)</f>
        <v>6235816.4000000004</v>
      </c>
      <c r="I190" s="156"/>
    </row>
    <row r="191" spans="1:9" s="9" customFormat="1" ht="35.1" customHeight="1" x14ac:dyDescent="0.25">
      <c r="A191" s="255" t="s">
        <v>235</v>
      </c>
      <c r="B191" s="254" t="s">
        <v>227</v>
      </c>
      <c r="C191" s="240" t="s">
        <v>13</v>
      </c>
      <c r="D191" s="242">
        <v>0</v>
      </c>
      <c r="E191" s="242">
        <v>12.96</v>
      </c>
      <c r="F191" s="242">
        <f t="shared" si="13"/>
        <v>12.96</v>
      </c>
      <c r="G191" s="243">
        <v>134902</v>
      </c>
      <c r="H191" s="243">
        <f t="shared" si="14"/>
        <v>1748329.92</v>
      </c>
      <c r="I191" s="156"/>
    </row>
    <row r="192" spans="1:9" s="9" customFormat="1" ht="35.1" customHeight="1" x14ac:dyDescent="0.25">
      <c r="A192" s="255" t="s">
        <v>236</v>
      </c>
      <c r="B192" s="254" t="s">
        <v>237</v>
      </c>
      <c r="C192" s="240" t="s">
        <v>13</v>
      </c>
      <c r="D192" s="242">
        <v>0</v>
      </c>
      <c r="E192" s="242">
        <v>2.4</v>
      </c>
      <c r="F192" s="242">
        <f t="shared" si="13"/>
        <v>2.4</v>
      </c>
      <c r="G192" s="243">
        <v>750208</v>
      </c>
      <c r="H192" s="243">
        <f t="shared" si="14"/>
        <v>1800499.2</v>
      </c>
      <c r="I192" s="156"/>
    </row>
    <row r="193" spans="1:9" s="9" customFormat="1" ht="35.1" customHeight="1" x14ac:dyDescent="0.25">
      <c r="A193" s="255" t="s">
        <v>238</v>
      </c>
      <c r="B193" s="254" t="s">
        <v>239</v>
      </c>
      <c r="C193" s="240" t="s">
        <v>13</v>
      </c>
      <c r="D193" s="242">
        <v>0</v>
      </c>
      <c r="E193" s="242">
        <v>12.96</v>
      </c>
      <c r="F193" s="242">
        <f t="shared" si="13"/>
        <v>12.96</v>
      </c>
      <c r="G193" s="243">
        <v>750208</v>
      </c>
      <c r="H193" s="243">
        <f t="shared" si="14"/>
        <v>9722695.6799999997</v>
      </c>
      <c r="I193" s="156"/>
    </row>
    <row r="194" spans="1:9" s="9" customFormat="1" ht="35.1" customHeight="1" x14ac:dyDescent="0.25">
      <c r="A194" s="255" t="s">
        <v>240</v>
      </c>
      <c r="B194" s="254" t="s">
        <v>241</v>
      </c>
      <c r="C194" s="240" t="s">
        <v>13</v>
      </c>
      <c r="D194" s="242">
        <v>0</v>
      </c>
      <c r="E194" s="242">
        <v>5.76</v>
      </c>
      <c r="F194" s="242">
        <f t="shared" si="13"/>
        <v>5.76</v>
      </c>
      <c r="G194" s="243">
        <v>750208</v>
      </c>
      <c r="H194" s="243">
        <f t="shared" si="14"/>
        <v>4321198.0800000001</v>
      </c>
      <c r="I194" s="156"/>
    </row>
    <row r="195" spans="1:9" s="9" customFormat="1" ht="35.1" customHeight="1" x14ac:dyDescent="0.25">
      <c r="A195" s="255" t="s">
        <v>242</v>
      </c>
      <c r="B195" s="254" t="s">
        <v>229</v>
      </c>
      <c r="C195" s="240" t="s">
        <v>13</v>
      </c>
      <c r="D195" s="242">
        <v>0</v>
      </c>
      <c r="E195" s="242">
        <v>4.8</v>
      </c>
      <c r="F195" s="242">
        <f t="shared" si="13"/>
        <v>4.8</v>
      </c>
      <c r="G195" s="243">
        <v>158642</v>
      </c>
      <c r="H195" s="243">
        <f t="shared" si="14"/>
        <v>761481.6</v>
      </c>
      <c r="I195" s="156"/>
    </row>
    <row r="196" spans="1:9" s="9" customFormat="1" ht="35.1" customHeight="1" x14ac:dyDescent="0.25">
      <c r="A196" s="255" t="s">
        <v>243</v>
      </c>
      <c r="B196" s="254" t="s">
        <v>244</v>
      </c>
      <c r="C196" s="240" t="s">
        <v>13</v>
      </c>
      <c r="D196" s="242">
        <v>0</v>
      </c>
      <c r="E196" s="242">
        <v>24.8</v>
      </c>
      <c r="F196" s="242">
        <f t="shared" si="13"/>
        <v>24.8</v>
      </c>
      <c r="G196" s="243">
        <v>594607</v>
      </c>
      <c r="H196" s="243">
        <f t="shared" si="14"/>
        <v>14746253.6</v>
      </c>
      <c r="I196" s="156"/>
    </row>
    <row r="197" spans="1:9" s="9" customFormat="1" ht="35.1" customHeight="1" x14ac:dyDescent="0.25">
      <c r="A197" s="244" t="s">
        <v>245</v>
      </c>
      <c r="B197" s="245" t="s">
        <v>246</v>
      </c>
      <c r="C197" s="244"/>
      <c r="D197" s="246"/>
      <c r="E197" s="246"/>
      <c r="F197" s="246"/>
      <c r="G197" s="303">
        <v>0</v>
      </c>
      <c r="H197" s="246"/>
      <c r="I197" s="156"/>
    </row>
    <row r="198" spans="1:9" s="9" customFormat="1" ht="35.1" customHeight="1" x14ac:dyDescent="0.25">
      <c r="A198" s="255" t="s">
        <v>247</v>
      </c>
      <c r="B198" s="254" t="s">
        <v>225</v>
      </c>
      <c r="C198" s="240" t="s">
        <v>13</v>
      </c>
      <c r="D198" s="242">
        <v>2.2000000000000002</v>
      </c>
      <c r="E198" s="242">
        <v>2.2000000000000002</v>
      </c>
      <c r="F198" s="242">
        <f t="shared" ref="F198:F203" si="15">+E198+D198</f>
        <v>4.4000000000000004</v>
      </c>
      <c r="G198" s="243">
        <v>1417231</v>
      </c>
      <c r="H198" s="243">
        <f t="shared" ref="H198:H203" si="16">ROUND(+G198*F198,2)</f>
        <v>6235816.4000000004</v>
      </c>
      <c r="I198" s="156"/>
    </row>
    <row r="199" spans="1:9" s="9" customFormat="1" ht="35.1" customHeight="1" x14ac:dyDescent="0.25">
      <c r="A199" s="255" t="s">
        <v>248</v>
      </c>
      <c r="B199" s="254" t="s">
        <v>227</v>
      </c>
      <c r="C199" s="240" t="s">
        <v>13</v>
      </c>
      <c r="D199" s="242">
        <v>2.16</v>
      </c>
      <c r="E199" s="242">
        <v>2.16</v>
      </c>
      <c r="F199" s="242">
        <f t="shared" si="15"/>
        <v>4.32</v>
      </c>
      <c r="G199" s="243">
        <v>134902</v>
      </c>
      <c r="H199" s="243">
        <f t="shared" si="16"/>
        <v>582776.64</v>
      </c>
      <c r="I199" s="156"/>
    </row>
    <row r="200" spans="1:9" s="9" customFormat="1" ht="35.1" customHeight="1" x14ac:dyDescent="0.25">
      <c r="A200" s="255" t="s">
        <v>249</v>
      </c>
      <c r="B200" s="254" t="s">
        <v>237</v>
      </c>
      <c r="C200" s="240" t="s">
        <v>13</v>
      </c>
      <c r="D200" s="242">
        <v>4.8</v>
      </c>
      <c r="E200" s="242">
        <v>4.8</v>
      </c>
      <c r="F200" s="242">
        <f t="shared" si="15"/>
        <v>9.6</v>
      </c>
      <c r="G200" s="243">
        <v>750208</v>
      </c>
      <c r="H200" s="243">
        <f t="shared" si="16"/>
        <v>7201996.7999999998</v>
      </c>
      <c r="I200" s="156"/>
    </row>
    <row r="201" spans="1:9" s="9" customFormat="1" ht="35.1" customHeight="1" x14ac:dyDescent="0.25">
      <c r="A201" s="255" t="s">
        <v>250</v>
      </c>
      <c r="B201" s="254" t="s">
        <v>239</v>
      </c>
      <c r="C201" s="240" t="s">
        <v>13</v>
      </c>
      <c r="D201" s="242">
        <v>2.16</v>
      </c>
      <c r="E201" s="242">
        <v>2.16</v>
      </c>
      <c r="F201" s="242">
        <f t="shared" si="15"/>
        <v>4.32</v>
      </c>
      <c r="G201" s="243">
        <v>750208</v>
      </c>
      <c r="H201" s="243">
        <f t="shared" si="16"/>
        <v>3240898.5600000001</v>
      </c>
      <c r="I201" s="156"/>
    </row>
    <row r="202" spans="1:9" s="9" customFormat="1" ht="35.1" customHeight="1" x14ac:dyDescent="0.25">
      <c r="A202" s="255" t="s">
        <v>251</v>
      </c>
      <c r="B202" s="254" t="s">
        <v>241</v>
      </c>
      <c r="C202" s="240" t="s">
        <v>13</v>
      </c>
      <c r="D202" s="242">
        <v>2.88</v>
      </c>
      <c r="E202" s="242">
        <v>2.88</v>
      </c>
      <c r="F202" s="242">
        <f t="shared" si="15"/>
        <v>5.76</v>
      </c>
      <c r="G202" s="243">
        <v>750208</v>
      </c>
      <c r="H202" s="243">
        <f t="shared" si="16"/>
        <v>4321198.0800000001</v>
      </c>
      <c r="I202" s="156"/>
    </row>
    <row r="203" spans="1:9" s="9" customFormat="1" ht="35.1" customHeight="1" x14ac:dyDescent="0.25">
      <c r="A203" s="255" t="s">
        <v>252</v>
      </c>
      <c r="B203" s="254" t="s">
        <v>244</v>
      </c>
      <c r="C203" s="240" t="s">
        <v>13</v>
      </c>
      <c r="D203" s="242">
        <v>14.3</v>
      </c>
      <c r="E203" s="242">
        <v>14.21</v>
      </c>
      <c r="F203" s="242">
        <f t="shared" si="15"/>
        <v>28.51</v>
      </c>
      <c r="G203" s="243">
        <v>594607</v>
      </c>
      <c r="H203" s="243">
        <f t="shared" si="16"/>
        <v>16952245.57</v>
      </c>
      <c r="I203" s="156"/>
    </row>
    <row r="204" spans="1:9" s="9" customFormat="1" ht="35.1" customHeight="1" x14ac:dyDescent="0.25">
      <c r="A204" s="244" t="s">
        <v>1143</v>
      </c>
      <c r="B204" s="245" t="s">
        <v>1144</v>
      </c>
      <c r="C204" s="244"/>
      <c r="D204" s="246"/>
      <c r="E204" s="246"/>
      <c r="F204" s="246"/>
      <c r="G204" s="303">
        <v>0</v>
      </c>
      <c r="H204" s="246"/>
      <c r="I204" s="156"/>
    </row>
    <row r="205" spans="1:9" s="9" customFormat="1" ht="35.1" customHeight="1" x14ac:dyDescent="0.25">
      <c r="A205" s="255" t="s">
        <v>1145</v>
      </c>
      <c r="B205" s="254" t="s">
        <v>225</v>
      </c>
      <c r="C205" s="240" t="s">
        <v>13</v>
      </c>
      <c r="D205" s="242">
        <v>4.4000000000000004</v>
      </c>
      <c r="E205" s="242">
        <v>0</v>
      </c>
      <c r="F205" s="242">
        <f t="shared" ref="F205:F210" si="17">+E205+D205</f>
        <v>4.4000000000000004</v>
      </c>
      <c r="G205" s="243">
        <v>1417231</v>
      </c>
      <c r="H205" s="243">
        <f t="shared" ref="H205:H210" si="18">ROUND(+G205*F205,2)</f>
        <v>6235816.4000000004</v>
      </c>
      <c r="I205" s="156"/>
    </row>
    <row r="206" spans="1:9" s="9" customFormat="1" ht="35.1" customHeight="1" x14ac:dyDescent="0.25">
      <c r="A206" s="255" t="s">
        <v>1146</v>
      </c>
      <c r="B206" s="254" t="s">
        <v>227</v>
      </c>
      <c r="C206" s="240" t="s">
        <v>13</v>
      </c>
      <c r="D206" s="242">
        <v>4.32</v>
      </c>
      <c r="E206" s="242">
        <v>0</v>
      </c>
      <c r="F206" s="242">
        <f t="shared" si="17"/>
        <v>4.32</v>
      </c>
      <c r="G206" s="243">
        <v>134902</v>
      </c>
      <c r="H206" s="243">
        <f t="shared" si="18"/>
        <v>582776.64</v>
      </c>
      <c r="I206" s="156"/>
    </row>
    <row r="207" spans="1:9" s="9" customFormat="1" ht="35.1" customHeight="1" x14ac:dyDescent="0.25">
      <c r="A207" s="255" t="s">
        <v>1147</v>
      </c>
      <c r="B207" s="254" t="s">
        <v>237</v>
      </c>
      <c r="C207" s="240" t="s">
        <v>13</v>
      </c>
      <c r="D207" s="242">
        <v>7.2</v>
      </c>
      <c r="E207" s="242">
        <v>0</v>
      </c>
      <c r="F207" s="242">
        <f t="shared" si="17"/>
        <v>7.2</v>
      </c>
      <c r="G207" s="243">
        <v>750208</v>
      </c>
      <c r="H207" s="243">
        <f t="shared" si="18"/>
        <v>5401497.5999999996</v>
      </c>
      <c r="I207" s="156"/>
    </row>
    <row r="208" spans="1:9" s="9" customFormat="1" ht="35.1" customHeight="1" x14ac:dyDescent="0.25">
      <c r="A208" s="255" t="s">
        <v>1148</v>
      </c>
      <c r="B208" s="254" t="s">
        <v>239</v>
      </c>
      <c r="C208" s="240" t="s">
        <v>13</v>
      </c>
      <c r="D208" s="242">
        <v>2.16</v>
      </c>
      <c r="E208" s="242">
        <v>0</v>
      </c>
      <c r="F208" s="242">
        <f t="shared" si="17"/>
        <v>2.16</v>
      </c>
      <c r="G208" s="243">
        <v>750208</v>
      </c>
      <c r="H208" s="243">
        <f t="shared" si="18"/>
        <v>1620449.28</v>
      </c>
      <c r="I208" s="156"/>
    </row>
    <row r="209" spans="1:9" s="9" customFormat="1" ht="35.1" customHeight="1" x14ac:dyDescent="0.25">
      <c r="A209" s="255" t="s">
        <v>1149</v>
      </c>
      <c r="B209" s="254" t="s">
        <v>241</v>
      </c>
      <c r="C209" s="240" t="s">
        <v>13</v>
      </c>
      <c r="D209" s="242">
        <v>5.76</v>
      </c>
      <c r="E209" s="242">
        <v>0</v>
      </c>
      <c r="F209" s="242">
        <f t="shared" si="17"/>
        <v>5.76</v>
      </c>
      <c r="G209" s="243">
        <v>750208</v>
      </c>
      <c r="H209" s="243">
        <f t="shared" si="18"/>
        <v>4321198.0800000001</v>
      </c>
      <c r="I209" s="156"/>
    </row>
    <row r="210" spans="1:9" s="9" customFormat="1" ht="35.1" customHeight="1" x14ac:dyDescent="0.25">
      <c r="A210" s="255" t="s">
        <v>1150</v>
      </c>
      <c r="B210" s="254" t="s">
        <v>244</v>
      </c>
      <c r="C210" s="240" t="s">
        <v>13</v>
      </c>
      <c r="D210" s="242">
        <v>24.12</v>
      </c>
      <c r="E210" s="242">
        <v>0</v>
      </c>
      <c r="F210" s="242">
        <f t="shared" si="17"/>
        <v>24.12</v>
      </c>
      <c r="G210" s="243">
        <v>594607</v>
      </c>
      <c r="H210" s="243">
        <f t="shared" si="18"/>
        <v>14341920.84</v>
      </c>
      <c r="I210" s="156"/>
    </row>
    <row r="211" spans="1:9" s="9" customFormat="1" ht="35.1" customHeight="1" x14ac:dyDescent="0.25">
      <c r="A211" s="244" t="s">
        <v>1151</v>
      </c>
      <c r="B211" s="245" t="s">
        <v>1152</v>
      </c>
      <c r="C211" s="244"/>
      <c r="D211" s="246"/>
      <c r="E211" s="246"/>
      <c r="F211" s="246"/>
      <c r="G211" s="303">
        <v>0</v>
      </c>
      <c r="H211" s="246"/>
      <c r="I211" s="156"/>
    </row>
    <row r="212" spans="1:9" s="9" customFormat="1" ht="35.1" customHeight="1" x14ac:dyDescent="0.25">
      <c r="A212" s="255" t="s">
        <v>1153</v>
      </c>
      <c r="B212" s="254" t="s">
        <v>225</v>
      </c>
      <c r="C212" s="240" t="s">
        <v>13</v>
      </c>
      <c r="D212" s="242">
        <v>4.4000000000000004</v>
      </c>
      <c r="E212" s="242">
        <v>0</v>
      </c>
      <c r="F212" s="242">
        <f t="shared" ref="F212:F219" si="19">+E212+D212</f>
        <v>4.4000000000000004</v>
      </c>
      <c r="G212" s="243">
        <v>1417231</v>
      </c>
      <c r="H212" s="243">
        <f t="shared" ref="H212:H219" si="20">ROUND(+G212*F212,2)</f>
        <v>6235816.4000000004</v>
      </c>
      <c r="I212" s="156"/>
    </row>
    <row r="213" spans="1:9" s="9" customFormat="1" ht="35.1" customHeight="1" x14ac:dyDescent="0.25">
      <c r="A213" s="255" t="s">
        <v>1154</v>
      </c>
      <c r="B213" s="254" t="s">
        <v>227</v>
      </c>
      <c r="C213" s="240" t="s">
        <v>13</v>
      </c>
      <c r="D213" s="242">
        <v>4.32</v>
      </c>
      <c r="E213" s="242">
        <v>0</v>
      </c>
      <c r="F213" s="242">
        <f t="shared" si="19"/>
        <v>4.32</v>
      </c>
      <c r="G213" s="243">
        <v>134902</v>
      </c>
      <c r="H213" s="243">
        <f t="shared" si="20"/>
        <v>582776.64</v>
      </c>
      <c r="I213" s="156"/>
    </row>
    <row r="214" spans="1:9" s="9" customFormat="1" ht="35.1" customHeight="1" x14ac:dyDescent="0.25">
      <c r="A214" s="255" t="s">
        <v>1155</v>
      </c>
      <c r="B214" s="254" t="s">
        <v>237</v>
      </c>
      <c r="C214" s="240" t="s">
        <v>13</v>
      </c>
      <c r="D214" s="242">
        <v>4.8</v>
      </c>
      <c r="E214" s="242">
        <v>0</v>
      </c>
      <c r="F214" s="242">
        <f t="shared" si="19"/>
        <v>4.8</v>
      </c>
      <c r="G214" s="243">
        <v>750208</v>
      </c>
      <c r="H214" s="243">
        <f t="shared" si="20"/>
        <v>3600998.3999999999</v>
      </c>
      <c r="I214" s="156"/>
    </row>
    <row r="215" spans="1:9" s="9" customFormat="1" ht="35.1" customHeight="1" x14ac:dyDescent="0.25">
      <c r="A215" s="255" t="s">
        <v>1156</v>
      </c>
      <c r="B215" s="254" t="s">
        <v>239</v>
      </c>
      <c r="C215" s="240" t="s">
        <v>13</v>
      </c>
      <c r="D215" s="242">
        <v>2.16</v>
      </c>
      <c r="E215" s="242">
        <v>0</v>
      </c>
      <c r="F215" s="242">
        <f t="shared" si="19"/>
        <v>2.16</v>
      </c>
      <c r="G215" s="243">
        <v>750208</v>
      </c>
      <c r="H215" s="243">
        <f t="shared" si="20"/>
        <v>1620449.28</v>
      </c>
      <c r="I215" s="156"/>
    </row>
    <row r="216" spans="1:9" s="9" customFormat="1" ht="35.1" customHeight="1" x14ac:dyDescent="0.25">
      <c r="A216" s="255" t="s">
        <v>1157</v>
      </c>
      <c r="B216" s="254" t="s">
        <v>241</v>
      </c>
      <c r="C216" s="240" t="s">
        <v>13</v>
      </c>
      <c r="D216" s="242">
        <v>3.84</v>
      </c>
      <c r="E216" s="242">
        <v>0</v>
      </c>
      <c r="F216" s="242">
        <f t="shared" si="19"/>
        <v>3.84</v>
      </c>
      <c r="G216" s="243">
        <v>750208</v>
      </c>
      <c r="H216" s="243">
        <f t="shared" si="20"/>
        <v>2880798.7200000002</v>
      </c>
      <c r="I216" s="156"/>
    </row>
    <row r="217" spans="1:9" s="9" customFormat="1" ht="35.1" customHeight="1" x14ac:dyDescent="0.25">
      <c r="A217" s="255" t="s">
        <v>1158</v>
      </c>
      <c r="B217" s="254" t="s">
        <v>1159</v>
      </c>
      <c r="C217" s="240" t="s">
        <v>13</v>
      </c>
      <c r="D217" s="242">
        <v>3.36</v>
      </c>
      <c r="E217" s="242">
        <v>0</v>
      </c>
      <c r="F217" s="242">
        <f t="shared" si="19"/>
        <v>3.36</v>
      </c>
      <c r="G217" s="243">
        <v>750208</v>
      </c>
      <c r="H217" s="243">
        <f t="shared" si="20"/>
        <v>2520698.8799999999</v>
      </c>
      <c r="I217" s="156"/>
    </row>
    <row r="218" spans="1:9" s="9" customFormat="1" ht="35.1" customHeight="1" x14ac:dyDescent="0.25">
      <c r="A218" s="255" t="s">
        <v>1160</v>
      </c>
      <c r="B218" s="254" t="s">
        <v>229</v>
      </c>
      <c r="C218" s="240" t="s">
        <v>13</v>
      </c>
      <c r="D218" s="242">
        <v>4.8</v>
      </c>
      <c r="E218" s="242">
        <v>0</v>
      </c>
      <c r="F218" s="242">
        <f t="shared" si="19"/>
        <v>4.8</v>
      </c>
      <c r="G218" s="243">
        <v>750208</v>
      </c>
      <c r="H218" s="243">
        <f t="shared" si="20"/>
        <v>3600998.3999999999</v>
      </c>
      <c r="I218" s="156"/>
    </row>
    <row r="219" spans="1:9" s="9" customFormat="1" ht="35.1" customHeight="1" x14ac:dyDescent="0.25">
      <c r="A219" s="255" t="s">
        <v>1161</v>
      </c>
      <c r="B219" s="254" t="s">
        <v>244</v>
      </c>
      <c r="C219" s="240" t="s">
        <v>13</v>
      </c>
      <c r="D219" s="242">
        <v>24.89</v>
      </c>
      <c r="E219" s="242">
        <v>0</v>
      </c>
      <c r="F219" s="242">
        <f t="shared" si="19"/>
        <v>24.89</v>
      </c>
      <c r="G219" s="243">
        <v>594607</v>
      </c>
      <c r="H219" s="243">
        <f t="shared" si="20"/>
        <v>14799768.23</v>
      </c>
      <c r="I219" s="156"/>
    </row>
    <row r="220" spans="1:9" s="9" customFormat="1" ht="35.1" customHeight="1" x14ac:dyDescent="0.25">
      <c r="A220" s="244" t="s">
        <v>1162</v>
      </c>
      <c r="B220" s="245" t="s">
        <v>1163</v>
      </c>
      <c r="C220" s="244"/>
      <c r="D220" s="246"/>
      <c r="E220" s="246"/>
      <c r="F220" s="246"/>
      <c r="G220" s="303">
        <v>0</v>
      </c>
      <c r="H220" s="246"/>
      <c r="I220" s="156"/>
    </row>
    <row r="221" spans="1:9" s="9" customFormat="1" ht="35.1" customHeight="1" x14ac:dyDescent="0.25">
      <c r="A221" s="255" t="s">
        <v>1164</v>
      </c>
      <c r="B221" s="254" t="s">
        <v>225</v>
      </c>
      <c r="C221" s="240" t="s">
        <v>13</v>
      </c>
      <c r="D221" s="242">
        <v>2.2000000000000002</v>
      </c>
      <c r="E221" s="242">
        <v>0</v>
      </c>
      <c r="F221" s="242">
        <f>+E221+D221</f>
        <v>2.2000000000000002</v>
      </c>
      <c r="G221" s="243">
        <v>1417231</v>
      </c>
      <c r="H221" s="243">
        <f>ROUND(+G221*F221,2)</f>
        <v>3117908.2</v>
      </c>
      <c r="I221" s="156"/>
    </row>
    <row r="222" spans="1:9" s="9" customFormat="1" ht="35.1" customHeight="1" x14ac:dyDescent="0.25">
      <c r="A222" s="266">
        <v>10</v>
      </c>
      <c r="B222" s="267" t="s">
        <v>253</v>
      </c>
      <c r="C222" s="267"/>
      <c r="D222" s="268"/>
      <c r="E222" s="268"/>
      <c r="F222" s="268"/>
      <c r="G222" s="306">
        <v>0</v>
      </c>
      <c r="H222" s="268"/>
      <c r="I222" s="156"/>
    </row>
    <row r="223" spans="1:9" s="9" customFormat="1" ht="35.1" customHeight="1" x14ac:dyDescent="0.25">
      <c r="A223" s="275" t="s">
        <v>1165</v>
      </c>
      <c r="B223" s="245" t="s">
        <v>1166</v>
      </c>
      <c r="C223" s="244"/>
      <c r="D223" s="246"/>
      <c r="E223" s="246"/>
      <c r="F223" s="246"/>
      <c r="G223" s="303">
        <v>0</v>
      </c>
      <c r="H223" s="246"/>
      <c r="I223" s="156"/>
    </row>
    <row r="224" spans="1:9" s="9" customFormat="1" ht="35.1" customHeight="1" x14ac:dyDescent="0.25">
      <c r="A224" s="255" t="s">
        <v>1167</v>
      </c>
      <c r="B224" s="254" t="s">
        <v>1168</v>
      </c>
      <c r="C224" s="255" t="s">
        <v>16</v>
      </c>
      <c r="D224" s="242">
        <v>2</v>
      </c>
      <c r="E224" s="242">
        <v>0</v>
      </c>
      <c r="F224" s="242">
        <f>+E224+D224</f>
        <v>2</v>
      </c>
      <c r="G224" s="243">
        <v>137187139</v>
      </c>
      <c r="H224" s="243">
        <f>ROUND(+G224*F224,2)</f>
        <v>274374278</v>
      </c>
      <c r="I224" s="156"/>
    </row>
    <row r="225" spans="1:9" s="9" customFormat="1" ht="35.1" customHeight="1" x14ac:dyDescent="0.25">
      <c r="A225" s="276" t="s">
        <v>254</v>
      </c>
      <c r="B225" s="245" t="s">
        <v>255</v>
      </c>
      <c r="C225" s="244"/>
      <c r="D225" s="246"/>
      <c r="E225" s="246"/>
      <c r="F225" s="246"/>
      <c r="G225" s="303">
        <v>0</v>
      </c>
      <c r="H225" s="246"/>
      <c r="I225" s="156"/>
    </row>
    <row r="226" spans="1:9" s="9" customFormat="1" ht="35.1" customHeight="1" x14ac:dyDescent="0.25">
      <c r="A226" s="240" t="s">
        <v>256</v>
      </c>
      <c r="B226" s="254" t="s">
        <v>257</v>
      </c>
      <c r="C226" s="255" t="s">
        <v>94</v>
      </c>
      <c r="D226" s="242">
        <v>288.39999999999998</v>
      </c>
      <c r="E226" s="242">
        <v>106</v>
      </c>
      <c r="F226" s="242">
        <f>+E226+D226</f>
        <v>394.4</v>
      </c>
      <c r="G226" s="243">
        <v>648864</v>
      </c>
      <c r="H226" s="243">
        <f>ROUND(+G226*F226,2)</f>
        <v>255911961.59999999</v>
      </c>
      <c r="I226" s="156"/>
    </row>
    <row r="227" spans="1:9" s="9" customFormat="1" ht="35.1" customHeight="1" x14ac:dyDescent="0.25">
      <c r="A227" s="240" t="s">
        <v>258</v>
      </c>
      <c r="B227" s="254" t="s">
        <v>259</v>
      </c>
      <c r="C227" s="255" t="s">
        <v>94</v>
      </c>
      <c r="D227" s="242">
        <v>44.13</v>
      </c>
      <c r="E227" s="242">
        <v>16</v>
      </c>
      <c r="F227" s="242">
        <f>+E227+D227</f>
        <v>60.13</v>
      </c>
      <c r="G227" s="243">
        <v>260332</v>
      </c>
      <c r="H227" s="243">
        <f>ROUND(+G227*F227,2)</f>
        <v>15653763.16</v>
      </c>
      <c r="I227" s="156"/>
    </row>
    <row r="228" spans="1:9" s="9" customFormat="1" ht="35.1" customHeight="1" x14ac:dyDescent="0.25">
      <c r="A228" s="276" t="s">
        <v>260</v>
      </c>
      <c r="B228" s="256" t="s">
        <v>261</v>
      </c>
      <c r="C228" s="256"/>
      <c r="D228" s="246"/>
      <c r="E228" s="246"/>
      <c r="F228" s="246"/>
      <c r="G228" s="303">
        <v>0</v>
      </c>
      <c r="H228" s="246"/>
      <c r="I228" s="156"/>
    </row>
    <row r="229" spans="1:9" s="9" customFormat="1" ht="35.1" customHeight="1" x14ac:dyDescent="0.25">
      <c r="A229" s="240" t="s">
        <v>262</v>
      </c>
      <c r="B229" s="254" t="s">
        <v>263</v>
      </c>
      <c r="C229" s="255" t="s">
        <v>13</v>
      </c>
      <c r="D229" s="242">
        <v>83.5</v>
      </c>
      <c r="E229" s="242">
        <v>83.5</v>
      </c>
      <c r="F229" s="242">
        <f>+E229+D229</f>
        <v>167</v>
      </c>
      <c r="G229" s="243">
        <v>624440</v>
      </c>
      <c r="H229" s="243">
        <f>ROUND(+G229*F229,2)</f>
        <v>104281480</v>
      </c>
      <c r="I229" s="156"/>
    </row>
    <row r="230" spans="1:9" s="9" customFormat="1" ht="35.1" customHeight="1" x14ac:dyDescent="0.25">
      <c r="A230" s="266">
        <v>11</v>
      </c>
      <c r="B230" s="267" t="s">
        <v>1169</v>
      </c>
      <c r="C230" s="268"/>
      <c r="D230" s="268"/>
      <c r="E230" s="268"/>
      <c r="F230" s="268"/>
      <c r="G230" s="306">
        <v>0</v>
      </c>
      <c r="H230" s="268"/>
      <c r="I230" s="156"/>
    </row>
    <row r="231" spans="1:9" s="9" customFormat="1" ht="35.1" customHeight="1" x14ac:dyDescent="0.25">
      <c r="A231" s="244" t="s">
        <v>1170</v>
      </c>
      <c r="B231" s="245" t="s">
        <v>10</v>
      </c>
      <c r="C231" s="244"/>
      <c r="D231" s="246"/>
      <c r="E231" s="246"/>
      <c r="F231" s="246"/>
      <c r="G231" s="303">
        <v>0</v>
      </c>
      <c r="H231" s="246"/>
      <c r="I231" s="156"/>
    </row>
    <row r="232" spans="1:9" s="9" customFormat="1" ht="35.1" customHeight="1" x14ac:dyDescent="0.25">
      <c r="A232" s="255" t="s">
        <v>1171</v>
      </c>
      <c r="B232" s="254" t="s">
        <v>1050</v>
      </c>
      <c r="C232" s="255" t="s">
        <v>13</v>
      </c>
      <c r="D232" s="242">
        <v>745.71560000000011</v>
      </c>
      <c r="E232" s="242">
        <v>0</v>
      </c>
      <c r="F232" s="242">
        <f>+E232+D232</f>
        <v>745.71560000000011</v>
      </c>
      <c r="G232" s="243">
        <v>3555</v>
      </c>
      <c r="H232" s="243">
        <f>ROUND(+G232*F232,2)</f>
        <v>2651018.96</v>
      </c>
      <c r="I232" s="156"/>
    </row>
    <row r="233" spans="1:9" s="9" customFormat="1" ht="35.1" customHeight="1" x14ac:dyDescent="0.25">
      <c r="A233" s="255" t="s">
        <v>1172</v>
      </c>
      <c r="B233" s="254" t="s">
        <v>12</v>
      </c>
      <c r="C233" s="255" t="s">
        <v>13</v>
      </c>
      <c r="D233" s="242">
        <v>745.71560000000011</v>
      </c>
      <c r="E233" s="242">
        <v>0</v>
      </c>
      <c r="F233" s="242">
        <f>+E233+D233</f>
        <v>745.71560000000011</v>
      </c>
      <c r="G233" s="243">
        <v>27093</v>
      </c>
      <c r="H233" s="243">
        <f>ROUND(+G233*F233,2)</f>
        <v>20203672.75</v>
      </c>
      <c r="I233" s="156"/>
    </row>
    <row r="234" spans="1:9" s="9" customFormat="1" ht="35.1" customHeight="1" x14ac:dyDescent="0.25">
      <c r="A234" s="255" t="s">
        <v>1173</v>
      </c>
      <c r="B234" s="254" t="s">
        <v>1052</v>
      </c>
      <c r="C234" s="255" t="s">
        <v>94</v>
      </c>
      <c r="D234" s="242">
        <v>110.98</v>
      </c>
      <c r="E234" s="242">
        <v>0</v>
      </c>
      <c r="F234" s="242">
        <f>+E234+D234</f>
        <v>110.98</v>
      </c>
      <c r="G234" s="243">
        <v>35368</v>
      </c>
      <c r="H234" s="243">
        <f>ROUND(+G234*F234,2)</f>
        <v>3925140.64</v>
      </c>
      <c r="I234" s="156"/>
    </row>
    <row r="235" spans="1:9" s="9" customFormat="1" ht="35.1" customHeight="1" x14ac:dyDescent="0.25">
      <c r="A235" s="244" t="s">
        <v>1174</v>
      </c>
      <c r="B235" s="245" t="s">
        <v>18</v>
      </c>
      <c r="C235" s="244"/>
      <c r="D235" s="246"/>
      <c r="E235" s="246"/>
      <c r="F235" s="246"/>
      <c r="G235" s="303">
        <v>0</v>
      </c>
      <c r="H235" s="246"/>
      <c r="I235" s="156"/>
    </row>
    <row r="236" spans="1:9" s="9" customFormat="1" ht="35.1" customHeight="1" x14ac:dyDescent="0.25">
      <c r="A236" s="255" t="s">
        <v>1175</v>
      </c>
      <c r="B236" s="254" t="s">
        <v>1176</v>
      </c>
      <c r="C236" s="255" t="s">
        <v>374</v>
      </c>
      <c r="D236" s="242">
        <v>1</v>
      </c>
      <c r="E236" s="242">
        <v>0</v>
      </c>
      <c r="F236" s="242">
        <f>+E236+D236</f>
        <v>1</v>
      </c>
      <c r="G236" s="243">
        <v>563857</v>
      </c>
      <c r="H236" s="243">
        <f>ROUND(+G236*F236,2)</f>
        <v>563857</v>
      </c>
      <c r="I236" s="156"/>
    </row>
    <row r="237" spans="1:9" s="9" customFormat="1" ht="35.1" customHeight="1" x14ac:dyDescent="0.25">
      <c r="A237" s="255" t="s">
        <v>1177</v>
      </c>
      <c r="B237" s="254" t="s">
        <v>1178</v>
      </c>
      <c r="C237" s="255" t="s">
        <v>374</v>
      </c>
      <c r="D237" s="242">
        <v>1</v>
      </c>
      <c r="E237" s="242">
        <v>0</v>
      </c>
      <c r="F237" s="242">
        <f>+E237+D237</f>
        <v>1</v>
      </c>
      <c r="G237" s="243">
        <v>4041000</v>
      </c>
      <c r="H237" s="243">
        <f>ROUND(+G237*F237,2)</f>
        <v>4041000</v>
      </c>
      <c r="I237" s="156"/>
    </row>
    <row r="238" spans="1:9" s="9" customFormat="1" ht="35.1" customHeight="1" x14ac:dyDescent="0.25">
      <c r="A238" s="244" t="s">
        <v>1179</v>
      </c>
      <c r="B238" s="245" t="s">
        <v>20</v>
      </c>
      <c r="C238" s="246"/>
      <c r="D238" s="246"/>
      <c r="E238" s="246"/>
      <c r="F238" s="246"/>
      <c r="G238" s="303">
        <v>0</v>
      </c>
      <c r="H238" s="246"/>
      <c r="I238" s="156"/>
    </row>
    <row r="239" spans="1:9" s="9" customFormat="1" ht="35.1" customHeight="1" x14ac:dyDescent="0.25">
      <c r="A239" s="255" t="s">
        <v>1180</v>
      </c>
      <c r="B239" s="254" t="s">
        <v>1181</v>
      </c>
      <c r="C239" s="255" t="s">
        <v>1182</v>
      </c>
      <c r="D239" s="242">
        <v>1</v>
      </c>
      <c r="E239" s="242">
        <v>0</v>
      </c>
      <c r="F239" s="242">
        <f>+E239+D239</f>
        <v>1</v>
      </c>
      <c r="G239" s="243">
        <v>1976190</v>
      </c>
      <c r="H239" s="243">
        <f>ROUND(+G239*F239,2)</f>
        <v>1976190</v>
      </c>
      <c r="I239" s="156"/>
    </row>
    <row r="240" spans="1:9" s="9" customFormat="1" ht="35.1" customHeight="1" x14ac:dyDescent="0.25">
      <c r="A240" s="244" t="s">
        <v>1183</v>
      </c>
      <c r="B240" s="245" t="s">
        <v>1184</v>
      </c>
      <c r="C240" s="246"/>
      <c r="D240" s="246"/>
      <c r="E240" s="246"/>
      <c r="F240" s="246"/>
      <c r="G240" s="303">
        <v>0</v>
      </c>
      <c r="H240" s="246"/>
      <c r="I240" s="156"/>
    </row>
    <row r="241" spans="1:9" s="9" customFormat="1" ht="35.1" customHeight="1" x14ac:dyDescent="0.25">
      <c r="A241" s="240" t="s">
        <v>1185</v>
      </c>
      <c r="B241" s="241" t="s">
        <v>1186</v>
      </c>
      <c r="C241" s="240" t="s">
        <v>30</v>
      </c>
      <c r="D241" s="242">
        <v>79.201499999999996</v>
      </c>
      <c r="E241" s="242">
        <v>0</v>
      </c>
      <c r="F241" s="242">
        <f>+E241+D241</f>
        <v>79.201499999999996</v>
      </c>
      <c r="G241" s="243">
        <v>32449</v>
      </c>
      <c r="H241" s="243">
        <f>ROUND(+G241*F241,2)</f>
        <v>2570009.4700000002</v>
      </c>
      <c r="I241" s="156"/>
    </row>
    <row r="242" spans="1:9" s="9" customFormat="1" ht="35.1" customHeight="1" x14ac:dyDescent="0.25">
      <c r="A242" s="240" t="s">
        <v>1187</v>
      </c>
      <c r="B242" s="251" t="s">
        <v>1188</v>
      </c>
      <c r="C242" s="240" t="s">
        <v>30</v>
      </c>
      <c r="D242" s="242">
        <v>110</v>
      </c>
      <c r="E242" s="242">
        <v>0</v>
      </c>
      <c r="F242" s="242">
        <f>+E242+D242</f>
        <v>110</v>
      </c>
      <c r="G242" s="243">
        <v>147410</v>
      </c>
      <c r="H242" s="243">
        <f>ROUND(+G242*F242,2)</f>
        <v>16215100</v>
      </c>
      <c r="I242" s="156"/>
    </row>
    <row r="243" spans="1:9" s="9" customFormat="1" ht="35.1" customHeight="1" x14ac:dyDescent="0.25">
      <c r="A243" s="240" t="s">
        <v>1189</v>
      </c>
      <c r="B243" s="254" t="s">
        <v>422</v>
      </c>
      <c r="C243" s="240" t="s">
        <v>30</v>
      </c>
      <c r="D243" s="242">
        <v>64.790000000000006</v>
      </c>
      <c r="E243" s="242">
        <v>0</v>
      </c>
      <c r="F243" s="242">
        <f>+E243+D243</f>
        <v>64.790000000000006</v>
      </c>
      <c r="G243" s="243">
        <v>77514</v>
      </c>
      <c r="H243" s="243">
        <f>ROUND(+G243*F243,2)</f>
        <v>5022132.0599999996</v>
      </c>
      <c r="I243" s="156"/>
    </row>
    <row r="244" spans="1:9" s="9" customFormat="1" ht="35.1" customHeight="1" x14ac:dyDescent="0.25">
      <c r="A244" s="240" t="s">
        <v>1190</v>
      </c>
      <c r="B244" s="241" t="s">
        <v>1191</v>
      </c>
      <c r="C244" s="240" t="s">
        <v>30</v>
      </c>
      <c r="D244" s="242">
        <v>2</v>
      </c>
      <c r="E244" s="242">
        <v>0</v>
      </c>
      <c r="F244" s="242">
        <f>+E244+D244</f>
        <v>2</v>
      </c>
      <c r="G244" s="243">
        <v>532168</v>
      </c>
      <c r="H244" s="243">
        <f>ROUND(+G244*F244,2)</f>
        <v>1064336</v>
      </c>
      <c r="I244" s="156"/>
    </row>
    <row r="245" spans="1:9" s="9" customFormat="1" ht="35.1" customHeight="1" x14ac:dyDescent="0.25">
      <c r="A245" s="240" t="s">
        <v>1192</v>
      </c>
      <c r="B245" s="241" t="s">
        <v>1193</v>
      </c>
      <c r="C245" s="240" t="s">
        <v>30</v>
      </c>
      <c r="D245" s="242">
        <v>139.05000000000001</v>
      </c>
      <c r="E245" s="242">
        <v>0</v>
      </c>
      <c r="F245" s="242">
        <f>+E245+D245</f>
        <v>139.05000000000001</v>
      </c>
      <c r="G245" s="243">
        <v>35210</v>
      </c>
      <c r="H245" s="243">
        <f>ROUND(+G245*F245,2)</f>
        <v>4895950.5</v>
      </c>
      <c r="I245" s="156"/>
    </row>
    <row r="246" spans="1:9" s="9" customFormat="1" ht="35.1" customHeight="1" x14ac:dyDescent="0.25">
      <c r="A246" s="265" t="s">
        <v>1194</v>
      </c>
      <c r="B246" s="245" t="s">
        <v>1195</v>
      </c>
      <c r="C246" s="256"/>
      <c r="D246" s="246"/>
      <c r="E246" s="246"/>
      <c r="F246" s="246"/>
      <c r="G246" s="303">
        <v>0</v>
      </c>
      <c r="H246" s="246"/>
      <c r="I246" s="156"/>
    </row>
    <row r="247" spans="1:9" s="9" customFormat="1" ht="35.1" customHeight="1" x14ac:dyDescent="0.25">
      <c r="A247" s="240" t="s">
        <v>1196</v>
      </c>
      <c r="B247" s="251" t="s">
        <v>1197</v>
      </c>
      <c r="C247" s="240" t="s">
        <v>13</v>
      </c>
      <c r="D247" s="242">
        <v>185.11</v>
      </c>
      <c r="E247" s="242">
        <v>0</v>
      </c>
      <c r="F247" s="242">
        <f>+E247+D247</f>
        <v>185.11</v>
      </c>
      <c r="G247" s="243">
        <v>79722</v>
      </c>
      <c r="H247" s="243">
        <f>ROUND(+G247*F247,2)</f>
        <v>14757339.42</v>
      </c>
      <c r="I247" s="156"/>
    </row>
    <row r="248" spans="1:9" s="9" customFormat="1" ht="35.1" customHeight="1" x14ac:dyDescent="0.25">
      <c r="A248" s="240" t="s">
        <v>1198</v>
      </c>
      <c r="B248" s="241" t="s">
        <v>1199</v>
      </c>
      <c r="C248" s="240" t="s">
        <v>94</v>
      </c>
      <c r="D248" s="242">
        <v>72.05</v>
      </c>
      <c r="E248" s="242">
        <v>0</v>
      </c>
      <c r="F248" s="242">
        <f>+E248+D248</f>
        <v>72.05</v>
      </c>
      <c r="G248" s="243">
        <v>47413</v>
      </c>
      <c r="H248" s="243">
        <f>ROUND(+G248*F248,2)</f>
        <v>3416106.65</v>
      </c>
      <c r="I248" s="156"/>
    </row>
    <row r="249" spans="1:9" s="9" customFormat="1" ht="35.1" customHeight="1" x14ac:dyDescent="0.25">
      <c r="A249" s="240" t="s">
        <v>1200</v>
      </c>
      <c r="B249" s="241" t="s">
        <v>1201</v>
      </c>
      <c r="C249" s="240" t="s">
        <v>94</v>
      </c>
      <c r="D249" s="242">
        <v>303.41000000000003</v>
      </c>
      <c r="E249" s="242">
        <v>0</v>
      </c>
      <c r="F249" s="242">
        <f>+E249+D249</f>
        <v>303.41000000000003</v>
      </c>
      <c r="G249" s="243">
        <v>72468</v>
      </c>
      <c r="H249" s="243">
        <f>ROUND(+G249*F249,2)</f>
        <v>21987515.879999999</v>
      </c>
      <c r="I249" s="156"/>
    </row>
    <row r="250" spans="1:9" s="9" customFormat="1" ht="35.1" customHeight="1" x14ac:dyDescent="0.25">
      <c r="A250" s="240" t="s">
        <v>1202</v>
      </c>
      <c r="B250" s="241" t="s">
        <v>1203</v>
      </c>
      <c r="C250" s="240" t="s">
        <v>13</v>
      </c>
      <c r="D250" s="242">
        <v>433</v>
      </c>
      <c r="E250" s="242">
        <v>0</v>
      </c>
      <c r="F250" s="242">
        <f>+E250+D250</f>
        <v>433</v>
      </c>
      <c r="G250" s="243">
        <v>16029</v>
      </c>
      <c r="H250" s="243">
        <f>ROUND(+G250*F250,2)</f>
        <v>6940557</v>
      </c>
      <c r="I250" s="156"/>
    </row>
    <row r="251" spans="1:9" s="9" customFormat="1" ht="35.1" customHeight="1" x14ac:dyDescent="0.25">
      <c r="A251" s="244" t="s">
        <v>1204</v>
      </c>
      <c r="B251" s="245" t="s">
        <v>1205</v>
      </c>
      <c r="C251" s="244"/>
      <c r="D251" s="246"/>
      <c r="E251" s="246"/>
      <c r="F251" s="246"/>
      <c r="G251" s="303">
        <v>0</v>
      </c>
      <c r="H251" s="246"/>
      <c r="I251" s="156"/>
    </row>
    <row r="252" spans="1:9" s="9" customFormat="1" ht="35.1" customHeight="1" x14ac:dyDescent="0.25">
      <c r="A252" s="255" t="s">
        <v>1206</v>
      </c>
      <c r="B252" s="241" t="s">
        <v>1207</v>
      </c>
      <c r="C252" s="240" t="s">
        <v>16</v>
      </c>
      <c r="D252" s="242">
        <v>4</v>
      </c>
      <c r="E252" s="242">
        <v>0</v>
      </c>
      <c r="F252" s="242">
        <f t="shared" ref="F252:F257" si="21">+E252+D252</f>
        <v>4</v>
      </c>
      <c r="G252" s="243">
        <v>790611</v>
      </c>
      <c r="H252" s="243">
        <f t="shared" ref="H252:H257" si="22">ROUND(+G252*F252,2)</f>
        <v>3162444</v>
      </c>
      <c r="I252" s="156"/>
    </row>
    <row r="253" spans="1:9" s="9" customFormat="1" ht="35.1" customHeight="1" x14ac:dyDescent="0.25">
      <c r="A253" s="255" t="s">
        <v>1208</v>
      </c>
      <c r="B253" s="241" t="s">
        <v>1209</v>
      </c>
      <c r="C253" s="240" t="s">
        <v>16</v>
      </c>
      <c r="D253" s="242">
        <v>6</v>
      </c>
      <c r="E253" s="242">
        <v>0</v>
      </c>
      <c r="F253" s="242">
        <f t="shared" si="21"/>
        <v>6</v>
      </c>
      <c r="G253" s="243">
        <v>395332</v>
      </c>
      <c r="H253" s="243">
        <f t="shared" si="22"/>
        <v>2371992</v>
      </c>
      <c r="I253" s="156"/>
    </row>
    <row r="254" spans="1:9" s="9" customFormat="1" ht="35.1" customHeight="1" x14ac:dyDescent="0.25">
      <c r="A254" s="255" t="s">
        <v>1210</v>
      </c>
      <c r="B254" s="241" t="s">
        <v>1211</v>
      </c>
      <c r="C254" s="240" t="s">
        <v>16</v>
      </c>
      <c r="D254" s="242">
        <v>1</v>
      </c>
      <c r="E254" s="242">
        <v>0</v>
      </c>
      <c r="F254" s="242">
        <f t="shared" si="21"/>
        <v>1</v>
      </c>
      <c r="G254" s="243">
        <v>9881750</v>
      </c>
      <c r="H254" s="243">
        <f t="shared" si="22"/>
        <v>9881750</v>
      </c>
      <c r="I254" s="156"/>
    </row>
    <row r="255" spans="1:9" s="9" customFormat="1" ht="35.1" customHeight="1" x14ac:dyDescent="0.25">
      <c r="A255" s="255" t="s">
        <v>1212</v>
      </c>
      <c r="B255" s="254" t="s">
        <v>1213</v>
      </c>
      <c r="C255" s="240" t="s">
        <v>16</v>
      </c>
      <c r="D255" s="242">
        <v>3</v>
      </c>
      <c r="E255" s="242">
        <v>0</v>
      </c>
      <c r="F255" s="242">
        <f t="shared" si="21"/>
        <v>3</v>
      </c>
      <c r="G255" s="243">
        <v>237578</v>
      </c>
      <c r="H255" s="243">
        <f t="shared" si="22"/>
        <v>712734</v>
      </c>
      <c r="I255" s="156"/>
    </row>
    <row r="256" spans="1:9" s="9" customFormat="1" ht="35.1" customHeight="1" x14ac:dyDescent="0.25">
      <c r="A256" s="255" t="s">
        <v>1214</v>
      </c>
      <c r="B256" s="254" t="s">
        <v>1215</v>
      </c>
      <c r="C256" s="240" t="s">
        <v>16</v>
      </c>
      <c r="D256" s="242">
        <v>3</v>
      </c>
      <c r="E256" s="242">
        <v>0</v>
      </c>
      <c r="F256" s="242">
        <f t="shared" si="21"/>
        <v>3</v>
      </c>
      <c r="G256" s="243">
        <v>329530</v>
      </c>
      <c r="H256" s="243">
        <f t="shared" si="22"/>
        <v>988590</v>
      </c>
      <c r="I256" s="156"/>
    </row>
    <row r="257" spans="1:9" s="9" customFormat="1" ht="35.1" customHeight="1" x14ac:dyDescent="0.25">
      <c r="A257" s="255" t="s">
        <v>1216</v>
      </c>
      <c r="B257" s="254" t="s">
        <v>1217</v>
      </c>
      <c r="C257" s="240" t="s">
        <v>16</v>
      </c>
      <c r="D257" s="242">
        <v>1</v>
      </c>
      <c r="E257" s="242">
        <v>0</v>
      </c>
      <c r="F257" s="242">
        <f t="shared" si="21"/>
        <v>1</v>
      </c>
      <c r="G257" s="243">
        <v>395403</v>
      </c>
      <c r="H257" s="243">
        <f t="shared" si="22"/>
        <v>395403</v>
      </c>
      <c r="I257" s="156"/>
    </row>
    <row r="258" spans="1:9" s="9" customFormat="1" ht="35.1" customHeight="1" x14ac:dyDescent="0.25">
      <c r="A258" s="244" t="s">
        <v>1218</v>
      </c>
      <c r="B258" s="245" t="s">
        <v>1219</v>
      </c>
      <c r="C258" s="244"/>
      <c r="D258" s="246"/>
      <c r="E258" s="246"/>
      <c r="F258" s="246"/>
      <c r="G258" s="303">
        <v>0</v>
      </c>
      <c r="H258" s="246"/>
      <c r="I258" s="156"/>
    </row>
    <row r="259" spans="1:9" s="9" customFormat="1" ht="35.1" customHeight="1" x14ac:dyDescent="0.25">
      <c r="A259" s="240" t="s">
        <v>1220</v>
      </c>
      <c r="B259" s="241" t="s">
        <v>1221</v>
      </c>
      <c r="C259" s="240" t="s">
        <v>16</v>
      </c>
      <c r="D259" s="242">
        <v>8</v>
      </c>
      <c r="E259" s="242">
        <v>0</v>
      </c>
      <c r="F259" s="242">
        <f>+E259+D259</f>
        <v>8</v>
      </c>
      <c r="G259" s="243">
        <v>3300179</v>
      </c>
      <c r="H259" s="243">
        <f>ROUND(+G259*F259,2)</f>
        <v>26401432</v>
      </c>
      <c r="I259" s="156"/>
    </row>
    <row r="260" spans="1:9" s="9" customFormat="1" ht="35.1" customHeight="1" x14ac:dyDescent="0.25">
      <c r="A260" s="266">
        <v>12</v>
      </c>
      <c r="B260" s="267" t="s">
        <v>264</v>
      </c>
      <c r="C260" s="267"/>
      <c r="D260" s="268"/>
      <c r="E260" s="268"/>
      <c r="F260" s="268"/>
      <c r="G260" s="306">
        <v>0</v>
      </c>
      <c r="H260" s="268"/>
      <c r="I260" s="156"/>
    </row>
    <row r="261" spans="1:9" s="9" customFormat="1" ht="35.1" customHeight="1" x14ac:dyDescent="0.25">
      <c r="A261" s="277" t="s">
        <v>265</v>
      </c>
      <c r="B261" s="278" t="s">
        <v>266</v>
      </c>
      <c r="C261" s="256"/>
      <c r="D261" s="246"/>
      <c r="E261" s="246"/>
      <c r="F261" s="246"/>
      <c r="G261" s="303">
        <v>0</v>
      </c>
      <c r="H261" s="246"/>
      <c r="I261" s="156"/>
    </row>
    <row r="262" spans="1:9" s="9" customFormat="1" ht="35.1" customHeight="1" x14ac:dyDescent="0.25">
      <c r="A262" s="279" t="s">
        <v>267</v>
      </c>
      <c r="B262" s="254" t="s">
        <v>268</v>
      </c>
      <c r="C262" s="255" t="s">
        <v>269</v>
      </c>
      <c r="D262" s="242">
        <v>121</v>
      </c>
      <c r="E262" s="242">
        <v>45</v>
      </c>
      <c r="F262" s="242">
        <f t="shared" ref="F262:F290" si="23">+E262+D262</f>
        <v>166</v>
      </c>
      <c r="G262" s="243">
        <v>12999</v>
      </c>
      <c r="H262" s="243">
        <f t="shared" ref="H262:H310" si="24">ROUND(+G262*F262,2)</f>
        <v>2157834</v>
      </c>
      <c r="I262" s="156"/>
    </row>
    <row r="263" spans="1:9" s="9" customFormat="1" ht="35.1" customHeight="1" x14ac:dyDescent="0.25">
      <c r="A263" s="279" t="s">
        <v>270</v>
      </c>
      <c r="B263" s="254" t="s">
        <v>271</v>
      </c>
      <c r="C263" s="255" t="s">
        <v>269</v>
      </c>
      <c r="D263" s="242">
        <v>49</v>
      </c>
      <c r="E263" s="242">
        <v>18</v>
      </c>
      <c r="F263" s="242">
        <f t="shared" si="23"/>
        <v>67</v>
      </c>
      <c r="G263" s="243">
        <v>19342</v>
      </c>
      <c r="H263" s="243">
        <f t="shared" si="24"/>
        <v>1295914</v>
      </c>
      <c r="I263" s="156"/>
    </row>
    <row r="264" spans="1:9" s="9" customFormat="1" ht="35.1" customHeight="1" x14ac:dyDescent="0.25">
      <c r="A264" s="279" t="s">
        <v>272</v>
      </c>
      <c r="B264" s="254" t="s">
        <v>273</v>
      </c>
      <c r="C264" s="255" t="s">
        <v>269</v>
      </c>
      <c r="D264" s="242">
        <v>40</v>
      </c>
      <c r="E264" s="242">
        <v>15</v>
      </c>
      <c r="F264" s="242">
        <f t="shared" si="23"/>
        <v>55</v>
      </c>
      <c r="G264" s="243">
        <v>20509</v>
      </c>
      <c r="H264" s="243">
        <f t="shared" si="24"/>
        <v>1127995</v>
      </c>
      <c r="I264" s="156"/>
    </row>
    <row r="265" spans="1:9" s="9" customFormat="1" ht="35.1" customHeight="1" x14ac:dyDescent="0.25">
      <c r="A265" s="279" t="s">
        <v>274</v>
      </c>
      <c r="B265" s="254" t="s">
        <v>275</v>
      </c>
      <c r="C265" s="255" t="s">
        <v>269</v>
      </c>
      <c r="D265" s="242">
        <v>64</v>
      </c>
      <c r="E265" s="242">
        <v>23</v>
      </c>
      <c r="F265" s="242">
        <f t="shared" si="23"/>
        <v>87</v>
      </c>
      <c r="G265" s="243">
        <v>21787</v>
      </c>
      <c r="H265" s="243">
        <f t="shared" si="24"/>
        <v>1895469</v>
      </c>
      <c r="I265" s="156"/>
    </row>
    <row r="266" spans="1:9" s="9" customFormat="1" ht="35.1" customHeight="1" x14ac:dyDescent="0.25">
      <c r="A266" s="279" t="s">
        <v>276</v>
      </c>
      <c r="B266" s="254" t="s">
        <v>277</v>
      </c>
      <c r="C266" s="255" t="s">
        <v>269</v>
      </c>
      <c r="D266" s="242">
        <v>57</v>
      </c>
      <c r="E266" s="242">
        <v>21</v>
      </c>
      <c r="F266" s="242">
        <f t="shared" si="23"/>
        <v>78</v>
      </c>
      <c r="G266" s="243">
        <v>28005</v>
      </c>
      <c r="H266" s="243">
        <f t="shared" si="24"/>
        <v>2184390</v>
      </c>
      <c r="I266" s="156"/>
    </row>
    <row r="267" spans="1:9" s="9" customFormat="1" ht="35.1" customHeight="1" x14ac:dyDescent="0.25">
      <c r="A267" s="279" t="s">
        <v>278</v>
      </c>
      <c r="B267" s="254" t="s">
        <v>279</v>
      </c>
      <c r="C267" s="255" t="s">
        <v>269</v>
      </c>
      <c r="D267" s="242">
        <v>90</v>
      </c>
      <c r="E267" s="242">
        <v>33</v>
      </c>
      <c r="F267" s="242">
        <f t="shared" si="23"/>
        <v>123</v>
      </c>
      <c r="G267" s="243">
        <v>40094</v>
      </c>
      <c r="H267" s="243">
        <f t="shared" si="24"/>
        <v>4931562</v>
      </c>
      <c r="I267" s="156"/>
    </row>
    <row r="268" spans="1:9" s="9" customFormat="1" ht="35.1" customHeight="1" x14ac:dyDescent="0.25">
      <c r="A268" s="279" t="s">
        <v>280</v>
      </c>
      <c r="B268" s="254" t="s">
        <v>281</v>
      </c>
      <c r="C268" s="255" t="s">
        <v>269</v>
      </c>
      <c r="D268" s="242">
        <v>18</v>
      </c>
      <c r="E268" s="242">
        <v>7</v>
      </c>
      <c r="F268" s="242">
        <f t="shared" si="23"/>
        <v>25</v>
      </c>
      <c r="G268" s="243">
        <v>54119</v>
      </c>
      <c r="H268" s="243">
        <f t="shared" si="24"/>
        <v>1352975</v>
      </c>
      <c r="I268" s="156"/>
    </row>
    <row r="269" spans="1:9" s="9" customFormat="1" ht="35.1" customHeight="1" x14ac:dyDescent="0.25">
      <c r="A269" s="279" t="s">
        <v>282</v>
      </c>
      <c r="B269" s="254" t="s">
        <v>283</v>
      </c>
      <c r="C269" s="255" t="s">
        <v>284</v>
      </c>
      <c r="D269" s="242">
        <v>105</v>
      </c>
      <c r="E269" s="242">
        <v>39</v>
      </c>
      <c r="F269" s="242">
        <f t="shared" si="23"/>
        <v>144</v>
      </c>
      <c r="G269" s="243">
        <v>3365</v>
      </c>
      <c r="H269" s="243">
        <f t="shared" si="24"/>
        <v>484560</v>
      </c>
      <c r="I269" s="156"/>
    </row>
    <row r="270" spans="1:9" s="9" customFormat="1" ht="35.1" customHeight="1" x14ac:dyDescent="0.25">
      <c r="A270" s="279" t="s">
        <v>285</v>
      </c>
      <c r="B270" s="254" t="s">
        <v>286</v>
      </c>
      <c r="C270" s="255" t="s">
        <v>284</v>
      </c>
      <c r="D270" s="242">
        <v>38</v>
      </c>
      <c r="E270" s="242">
        <v>14</v>
      </c>
      <c r="F270" s="242">
        <f t="shared" si="23"/>
        <v>52</v>
      </c>
      <c r="G270" s="243">
        <v>3995</v>
      </c>
      <c r="H270" s="243">
        <f t="shared" si="24"/>
        <v>207740</v>
      </c>
      <c r="I270" s="156"/>
    </row>
    <row r="271" spans="1:9" s="9" customFormat="1" ht="35.1" customHeight="1" x14ac:dyDescent="0.25">
      <c r="A271" s="279" t="s">
        <v>287</v>
      </c>
      <c r="B271" s="254" t="s">
        <v>288</v>
      </c>
      <c r="C271" s="255" t="s">
        <v>284</v>
      </c>
      <c r="D271" s="242">
        <v>30</v>
      </c>
      <c r="E271" s="242">
        <v>11</v>
      </c>
      <c r="F271" s="242">
        <f t="shared" si="23"/>
        <v>41</v>
      </c>
      <c r="G271" s="243">
        <v>4719</v>
      </c>
      <c r="H271" s="243">
        <f t="shared" si="24"/>
        <v>193479</v>
      </c>
      <c r="I271" s="156"/>
    </row>
    <row r="272" spans="1:9" s="9" customFormat="1" ht="35.1" customHeight="1" x14ac:dyDescent="0.25">
      <c r="A272" s="279" t="s">
        <v>289</v>
      </c>
      <c r="B272" s="254" t="s">
        <v>290</v>
      </c>
      <c r="C272" s="255" t="s">
        <v>284</v>
      </c>
      <c r="D272" s="242">
        <v>96</v>
      </c>
      <c r="E272" s="242">
        <v>35</v>
      </c>
      <c r="F272" s="242">
        <f t="shared" si="23"/>
        <v>131</v>
      </c>
      <c r="G272" s="243">
        <v>7451</v>
      </c>
      <c r="H272" s="243">
        <f t="shared" si="24"/>
        <v>976081</v>
      </c>
      <c r="I272" s="156"/>
    </row>
    <row r="273" spans="1:9" s="9" customFormat="1" ht="35.1" customHeight="1" x14ac:dyDescent="0.25">
      <c r="A273" s="279" t="s">
        <v>291</v>
      </c>
      <c r="B273" s="254" t="s">
        <v>292</v>
      </c>
      <c r="C273" s="255" t="s">
        <v>284</v>
      </c>
      <c r="D273" s="242">
        <v>82</v>
      </c>
      <c r="E273" s="242">
        <v>30</v>
      </c>
      <c r="F273" s="242">
        <f t="shared" si="23"/>
        <v>112</v>
      </c>
      <c r="G273" s="243">
        <v>9186</v>
      </c>
      <c r="H273" s="243">
        <f t="shared" si="24"/>
        <v>1028832</v>
      </c>
      <c r="I273" s="156"/>
    </row>
    <row r="274" spans="1:9" s="9" customFormat="1" ht="35.1" customHeight="1" x14ac:dyDescent="0.25">
      <c r="A274" s="279" t="s">
        <v>293</v>
      </c>
      <c r="B274" s="254" t="s">
        <v>294</v>
      </c>
      <c r="C274" s="255" t="s">
        <v>284</v>
      </c>
      <c r="D274" s="242">
        <v>55</v>
      </c>
      <c r="E274" s="242">
        <v>21</v>
      </c>
      <c r="F274" s="242">
        <f t="shared" si="23"/>
        <v>76</v>
      </c>
      <c r="G274" s="243">
        <v>12520</v>
      </c>
      <c r="H274" s="243">
        <f t="shared" si="24"/>
        <v>951520</v>
      </c>
      <c r="I274" s="156"/>
    </row>
    <row r="275" spans="1:9" s="9" customFormat="1" ht="35.1" customHeight="1" x14ac:dyDescent="0.25">
      <c r="A275" s="279" t="s">
        <v>295</v>
      </c>
      <c r="B275" s="254" t="s">
        <v>296</v>
      </c>
      <c r="C275" s="255" t="s">
        <v>284</v>
      </c>
      <c r="D275" s="242">
        <v>12</v>
      </c>
      <c r="E275" s="242">
        <v>4</v>
      </c>
      <c r="F275" s="242">
        <f t="shared" si="23"/>
        <v>16</v>
      </c>
      <c r="G275" s="243">
        <v>30468</v>
      </c>
      <c r="H275" s="243">
        <f t="shared" si="24"/>
        <v>487488</v>
      </c>
      <c r="I275" s="156"/>
    </row>
    <row r="276" spans="1:9" s="9" customFormat="1" ht="35.1" customHeight="1" x14ac:dyDescent="0.25">
      <c r="A276" s="279" t="s">
        <v>297</v>
      </c>
      <c r="B276" s="254" t="s">
        <v>298</v>
      </c>
      <c r="C276" s="255" t="s">
        <v>284</v>
      </c>
      <c r="D276" s="242">
        <v>49</v>
      </c>
      <c r="E276" s="242">
        <v>18</v>
      </c>
      <c r="F276" s="242">
        <f t="shared" si="23"/>
        <v>67</v>
      </c>
      <c r="G276" s="243">
        <v>1748</v>
      </c>
      <c r="H276" s="243">
        <f t="shared" si="24"/>
        <v>117116</v>
      </c>
      <c r="I276" s="156"/>
    </row>
    <row r="277" spans="1:9" s="9" customFormat="1" ht="35.1" customHeight="1" x14ac:dyDescent="0.25">
      <c r="A277" s="279" t="s">
        <v>299</v>
      </c>
      <c r="B277" s="254" t="s">
        <v>300</v>
      </c>
      <c r="C277" s="255" t="s">
        <v>284</v>
      </c>
      <c r="D277" s="242">
        <v>18</v>
      </c>
      <c r="E277" s="242">
        <v>6</v>
      </c>
      <c r="F277" s="242">
        <f t="shared" si="23"/>
        <v>24</v>
      </c>
      <c r="G277" s="243">
        <v>2347</v>
      </c>
      <c r="H277" s="243">
        <f t="shared" si="24"/>
        <v>56328</v>
      </c>
      <c r="I277" s="156"/>
    </row>
    <row r="278" spans="1:9" s="9" customFormat="1" ht="35.1" customHeight="1" x14ac:dyDescent="0.25">
      <c r="A278" s="279" t="s">
        <v>301</v>
      </c>
      <c r="B278" s="254" t="s">
        <v>302</v>
      </c>
      <c r="C278" s="255" t="s">
        <v>284</v>
      </c>
      <c r="D278" s="242">
        <v>18</v>
      </c>
      <c r="E278" s="242">
        <v>6</v>
      </c>
      <c r="F278" s="242">
        <f t="shared" si="23"/>
        <v>24</v>
      </c>
      <c r="G278" s="243">
        <v>2831</v>
      </c>
      <c r="H278" s="243">
        <f t="shared" si="24"/>
        <v>67944</v>
      </c>
      <c r="I278" s="156"/>
    </row>
    <row r="279" spans="1:9" s="9" customFormat="1" ht="35.1" customHeight="1" x14ac:dyDescent="0.25">
      <c r="A279" s="279" t="s">
        <v>303</v>
      </c>
      <c r="B279" s="254" t="s">
        <v>304</v>
      </c>
      <c r="C279" s="255" t="s">
        <v>284</v>
      </c>
      <c r="D279" s="242">
        <v>26</v>
      </c>
      <c r="E279" s="242">
        <v>10</v>
      </c>
      <c r="F279" s="242">
        <f t="shared" si="23"/>
        <v>36</v>
      </c>
      <c r="G279" s="243">
        <v>3211</v>
      </c>
      <c r="H279" s="243">
        <f t="shared" si="24"/>
        <v>115596</v>
      </c>
      <c r="I279" s="156"/>
    </row>
    <row r="280" spans="1:9" s="9" customFormat="1" ht="35.1" customHeight="1" x14ac:dyDescent="0.25">
      <c r="A280" s="279" t="s">
        <v>305</v>
      </c>
      <c r="B280" s="280" t="s">
        <v>306</v>
      </c>
      <c r="C280" s="255" t="s">
        <v>284</v>
      </c>
      <c r="D280" s="242">
        <v>24</v>
      </c>
      <c r="E280" s="242">
        <v>9</v>
      </c>
      <c r="F280" s="242">
        <f t="shared" si="23"/>
        <v>33</v>
      </c>
      <c r="G280" s="243">
        <v>3888</v>
      </c>
      <c r="H280" s="243">
        <f t="shared" si="24"/>
        <v>128304</v>
      </c>
      <c r="I280" s="156"/>
    </row>
    <row r="281" spans="1:9" s="9" customFormat="1" ht="35.1" customHeight="1" x14ac:dyDescent="0.25">
      <c r="A281" s="279" t="s">
        <v>307</v>
      </c>
      <c r="B281" s="254" t="s">
        <v>308</v>
      </c>
      <c r="C281" s="255" t="s">
        <v>284</v>
      </c>
      <c r="D281" s="242">
        <v>31</v>
      </c>
      <c r="E281" s="242">
        <v>11</v>
      </c>
      <c r="F281" s="242">
        <f t="shared" si="23"/>
        <v>42</v>
      </c>
      <c r="G281" s="243">
        <v>5009</v>
      </c>
      <c r="H281" s="243">
        <f t="shared" si="24"/>
        <v>210378</v>
      </c>
      <c r="I281" s="156"/>
    </row>
    <row r="282" spans="1:9" s="9" customFormat="1" ht="35.1" customHeight="1" x14ac:dyDescent="0.25">
      <c r="A282" s="279" t="s">
        <v>309</v>
      </c>
      <c r="B282" s="254" t="s">
        <v>310</v>
      </c>
      <c r="C282" s="255" t="s">
        <v>284</v>
      </c>
      <c r="D282" s="242">
        <v>7</v>
      </c>
      <c r="E282" s="242">
        <v>3</v>
      </c>
      <c r="F282" s="242">
        <f t="shared" si="23"/>
        <v>10</v>
      </c>
      <c r="G282" s="243">
        <v>5788</v>
      </c>
      <c r="H282" s="243">
        <f t="shared" si="24"/>
        <v>57880</v>
      </c>
      <c r="I282" s="156"/>
    </row>
    <row r="283" spans="1:9" s="9" customFormat="1" ht="35.1" customHeight="1" x14ac:dyDescent="0.25">
      <c r="A283" s="279" t="s">
        <v>311</v>
      </c>
      <c r="B283" s="254" t="s">
        <v>312</v>
      </c>
      <c r="C283" s="255" t="s">
        <v>284</v>
      </c>
      <c r="D283" s="281">
        <v>41</v>
      </c>
      <c r="E283" s="242">
        <v>15</v>
      </c>
      <c r="F283" s="242">
        <f t="shared" si="23"/>
        <v>56</v>
      </c>
      <c r="G283" s="243">
        <v>65865</v>
      </c>
      <c r="H283" s="243">
        <f t="shared" si="24"/>
        <v>3688440</v>
      </c>
      <c r="I283" s="156"/>
    </row>
    <row r="284" spans="1:9" s="9" customFormat="1" ht="35.1" customHeight="1" x14ac:dyDescent="0.25">
      <c r="A284" s="279" t="s">
        <v>313</v>
      </c>
      <c r="B284" s="254" t="s">
        <v>314</v>
      </c>
      <c r="C284" s="255" t="s">
        <v>284</v>
      </c>
      <c r="D284" s="242">
        <v>14</v>
      </c>
      <c r="E284" s="242">
        <v>5</v>
      </c>
      <c r="F284" s="242">
        <f t="shared" si="23"/>
        <v>19</v>
      </c>
      <c r="G284" s="243">
        <v>70178</v>
      </c>
      <c r="H284" s="243">
        <f t="shared" si="24"/>
        <v>1333382</v>
      </c>
      <c r="I284" s="156"/>
    </row>
    <row r="285" spans="1:9" s="9" customFormat="1" ht="35.1" customHeight="1" x14ac:dyDescent="0.25">
      <c r="A285" s="279" t="s">
        <v>315</v>
      </c>
      <c r="B285" s="254" t="s">
        <v>316</v>
      </c>
      <c r="C285" s="255" t="s">
        <v>284</v>
      </c>
      <c r="D285" s="242">
        <v>39</v>
      </c>
      <c r="E285" s="242">
        <v>15</v>
      </c>
      <c r="F285" s="242">
        <f t="shared" si="23"/>
        <v>54</v>
      </c>
      <c r="G285" s="243">
        <v>99924</v>
      </c>
      <c r="H285" s="243">
        <f t="shared" si="24"/>
        <v>5395896</v>
      </c>
      <c r="I285" s="156"/>
    </row>
    <row r="286" spans="1:9" s="9" customFormat="1" ht="35.1" customHeight="1" x14ac:dyDescent="0.25">
      <c r="A286" s="279" t="s">
        <v>317</v>
      </c>
      <c r="B286" s="254" t="s">
        <v>318</v>
      </c>
      <c r="C286" s="255" t="s">
        <v>284</v>
      </c>
      <c r="D286" s="242">
        <v>12</v>
      </c>
      <c r="E286" s="242">
        <v>5</v>
      </c>
      <c r="F286" s="242">
        <f t="shared" si="23"/>
        <v>17</v>
      </c>
      <c r="G286" s="243">
        <v>64927</v>
      </c>
      <c r="H286" s="243">
        <f t="shared" si="24"/>
        <v>1103759</v>
      </c>
      <c r="I286" s="156"/>
    </row>
    <row r="287" spans="1:9" s="9" customFormat="1" ht="35.1" customHeight="1" x14ac:dyDescent="0.25">
      <c r="A287" s="279" t="s">
        <v>319</v>
      </c>
      <c r="B287" s="254" t="s">
        <v>320</v>
      </c>
      <c r="C287" s="255" t="s">
        <v>284</v>
      </c>
      <c r="D287" s="242">
        <v>6</v>
      </c>
      <c r="E287" s="242">
        <v>2</v>
      </c>
      <c r="F287" s="242">
        <f t="shared" si="23"/>
        <v>8</v>
      </c>
      <c r="G287" s="243">
        <v>168268</v>
      </c>
      <c r="H287" s="243">
        <f t="shared" si="24"/>
        <v>1346144</v>
      </c>
      <c r="I287" s="156"/>
    </row>
    <row r="288" spans="1:9" s="9" customFormat="1" ht="35.1" customHeight="1" x14ac:dyDescent="0.25">
      <c r="A288" s="279" t="s">
        <v>321</v>
      </c>
      <c r="B288" s="254" t="s">
        <v>322</v>
      </c>
      <c r="C288" s="255" t="s">
        <v>284</v>
      </c>
      <c r="D288" s="242">
        <v>6</v>
      </c>
      <c r="E288" s="242">
        <v>2</v>
      </c>
      <c r="F288" s="242">
        <f t="shared" si="23"/>
        <v>8</v>
      </c>
      <c r="G288" s="243">
        <v>228433</v>
      </c>
      <c r="H288" s="243">
        <f t="shared" si="24"/>
        <v>1827464</v>
      </c>
      <c r="I288" s="156"/>
    </row>
    <row r="289" spans="1:9" s="9" customFormat="1" ht="35.1" customHeight="1" x14ac:dyDescent="0.25">
      <c r="A289" s="279" t="s">
        <v>323</v>
      </c>
      <c r="B289" s="254" t="s">
        <v>324</v>
      </c>
      <c r="C289" s="255" t="s">
        <v>284</v>
      </c>
      <c r="D289" s="242">
        <v>0</v>
      </c>
      <c r="E289" s="242">
        <v>2</v>
      </c>
      <c r="F289" s="242">
        <f t="shared" si="23"/>
        <v>2</v>
      </c>
      <c r="G289" s="243">
        <v>111201</v>
      </c>
      <c r="H289" s="243">
        <f t="shared" si="24"/>
        <v>222402</v>
      </c>
      <c r="I289" s="156"/>
    </row>
    <row r="290" spans="1:9" s="9" customFormat="1" ht="35.1" customHeight="1" x14ac:dyDescent="0.25">
      <c r="A290" s="279" t="s">
        <v>325</v>
      </c>
      <c r="B290" s="254" t="s">
        <v>326</v>
      </c>
      <c r="C290" s="255" t="s">
        <v>284</v>
      </c>
      <c r="D290" s="242">
        <v>0</v>
      </c>
      <c r="E290" s="242">
        <v>1</v>
      </c>
      <c r="F290" s="242">
        <f t="shared" si="23"/>
        <v>1</v>
      </c>
      <c r="G290" s="243">
        <v>173889</v>
      </c>
      <c r="H290" s="243">
        <f t="shared" si="24"/>
        <v>173889</v>
      </c>
      <c r="I290" s="156"/>
    </row>
    <row r="291" spans="1:9" s="9" customFormat="1" ht="35.1" customHeight="1" x14ac:dyDescent="0.25">
      <c r="A291" s="283" t="s">
        <v>327</v>
      </c>
      <c r="B291" s="256" t="s">
        <v>328</v>
      </c>
      <c r="C291" s="256"/>
      <c r="D291" s="246"/>
      <c r="E291" s="246"/>
      <c r="F291" s="246"/>
      <c r="G291" s="303">
        <v>0</v>
      </c>
      <c r="H291" s="246"/>
      <c r="I291" s="156"/>
    </row>
    <row r="292" spans="1:9" s="9" customFormat="1" ht="35.1" customHeight="1" x14ac:dyDescent="0.25">
      <c r="A292" s="240" t="s">
        <v>329</v>
      </c>
      <c r="B292" s="284" t="s">
        <v>330</v>
      </c>
      <c r="C292" s="255" t="s">
        <v>269</v>
      </c>
      <c r="D292" s="242">
        <v>34</v>
      </c>
      <c r="E292" s="242">
        <v>12</v>
      </c>
      <c r="F292" s="242">
        <f t="shared" ref="F292:F310" si="25">+E292+D292</f>
        <v>46</v>
      </c>
      <c r="G292" s="243">
        <v>25180</v>
      </c>
      <c r="H292" s="243">
        <f t="shared" si="24"/>
        <v>1158280</v>
      </c>
      <c r="I292" s="156"/>
    </row>
    <row r="293" spans="1:9" s="9" customFormat="1" ht="35.1" customHeight="1" x14ac:dyDescent="0.25">
      <c r="A293" s="240" t="s">
        <v>331</v>
      </c>
      <c r="B293" s="254" t="s">
        <v>332</v>
      </c>
      <c r="C293" s="255" t="s">
        <v>269</v>
      </c>
      <c r="D293" s="242">
        <v>157</v>
      </c>
      <c r="E293" s="242">
        <v>58</v>
      </c>
      <c r="F293" s="242">
        <f t="shared" si="25"/>
        <v>215</v>
      </c>
      <c r="G293" s="243">
        <v>37056</v>
      </c>
      <c r="H293" s="243">
        <f t="shared" si="24"/>
        <v>7967040</v>
      </c>
      <c r="I293" s="156"/>
    </row>
    <row r="294" spans="1:9" s="9" customFormat="1" ht="35.1" customHeight="1" x14ac:dyDescent="0.25">
      <c r="A294" s="240" t="s">
        <v>333</v>
      </c>
      <c r="B294" s="254" t="s">
        <v>334</v>
      </c>
      <c r="C294" s="255" t="s">
        <v>269</v>
      </c>
      <c r="D294" s="242">
        <v>272</v>
      </c>
      <c r="E294" s="242">
        <v>101</v>
      </c>
      <c r="F294" s="242">
        <f t="shared" si="25"/>
        <v>373</v>
      </c>
      <c r="G294" s="243">
        <v>52865</v>
      </c>
      <c r="H294" s="243">
        <f t="shared" si="24"/>
        <v>19718645</v>
      </c>
      <c r="I294" s="156"/>
    </row>
    <row r="295" spans="1:9" s="9" customFormat="1" ht="35.1" customHeight="1" x14ac:dyDescent="0.25">
      <c r="A295" s="240" t="s">
        <v>335</v>
      </c>
      <c r="B295" s="254" t="s">
        <v>336</v>
      </c>
      <c r="C295" s="255" t="s">
        <v>269</v>
      </c>
      <c r="D295" s="242">
        <v>72</v>
      </c>
      <c r="E295" s="242">
        <v>26</v>
      </c>
      <c r="F295" s="242">
        <f t="shared" si="25"/>
        <v>98</v>
      </c>
      <c r="G295" s="243">
        <v>21912</v>
      </c>
      <c r="H295" s="243">
        <f t="shared" si="24"/>
        <v>2147376</v>
      </c>
      <c r="I295" s="156"/>
    </row>
    <row r="296" spans="1:9" s="9" customFormat="1" ht="35.1" customHeight="1" x14ac:dyDescent="0.25">
      <c r="A296" s="240" t="s">
        <v>337</v>
      </c>
      <c r="B296" s="254" t="s">
        <v>338</v>
      </c>
      <c r="C296" s="255" t="s">
        <v>269</v>
      </c>
      <c r="D296" s="242">
        <v>97</v>
      </c>
      <c r="E296" s="242">
        <v>36</v>
      </c>
      <c r="F296" s="242">
        <f t="shared" si="25"/>
        <v>133</v>
      </c>
      <c r="G296" s="243">
        <v>32577</v>
      </c>
      <c r="H296" s="243">
        <f t="shared" si="24"/>
        <v>4332741</v>
      </c>
      <c r="I296" s="156"/>
    </row>
    <row r="297" spans="1:9" s="9" customFormat="1" ht="35.1" customHeight="1" x14ac:dyDescent="0.25">
      <c r="A297" s="240" t="s">
        <v>339</v>
      </c>
      <c r="B297" s="254" t="s">
        <v>340</v>
      </c>
      <c r="C297" s="255" t="s">
        <v>284</v>
      </c>
      <c r="D297" s="242">
        <v>122</v>
      </c>
      <c r="E297" s="242">
        <v>45</v>
      </c>
      <c r="F297" s="242">
        <f t="shared" si="25"/>
        <v>167</v>
      </c>
      <c r="G297" s="243">
        <v>7704</v>
      </c>
      <c r="H297" s="243">
        <f t="shared" si="24"/>
        <v>1286568</v>
      </c>
      <c r="I297" s="156"/>
    </row>
    <row r="298" spans="1:9" s="9" customFormat="1" ht="35.1" customHeight="1" x14ac:dyDescent="0.25">
      <c r="A298" s="240" t="s">
        <v>341</v>
      </c>
      <c r="B298" s="254" t="s">
        <v>342</v>
      </c>
      <c r="C298" s="255" t="s">
        <v>284</v>
      </c>
      <c r="D298" s="242">
        <v>161</v>
      </c>
      <c r="E298" s="242">
        <v>60</v>
      </c>
      <c r="F298" s="242">
        <f t="shared" si="25"/>
        <v>221</v>
      </c>
      <c r="G298" s="243">
        <v>10973</v>
      </c>
      <c r="H298" s="243">
        <f t="shared" si="24"/>
        <v>2425033</v>
      </c>
      <c r="I298" s="156"/>
    </row>
    <row r="299" spans="1:9" s="9" customFormat="1" ht="35.1" customHeight="1" x14ac:dyDescent="0.25">
      <c r="A299" s="240" t="s">
        <v>343</v>
      </c>
      <c r="B299" s="254" t="s">
        <v>344</v>
      </c>
      <c r="C299" s="255" t="s">
        <v>284</v>
      </c>
      <c r="D299" s="242">
        <v>288</v>
      </c>
      <c r="E299" s="242">
        <v>106</v>
      </c>
      <c r="F299" s="242">
        <f t="shared" si="25"/>
        <v>394</v>
      </c>
      <c r="G299" s="243">
        <v>16126</v>
      </c>
      <c r="H299" s="243">
        <f t="shared" si="24"/>
        <v>6353644</v>
      </c>
      <c r="I299" s="156"/>
    </row>
    <row r="300" spans="1:9" s="9" customFormat="1" ht="35.1" customHeight="1" x14ac:dyDescent="0.25">
      <c r="A300" s="240" t="s">
        <v>345</v>
      </c>
      <c r="B300" s="254" t="s">
        <v>346</v>
      </c>
      <c r="C300" s="255" t="s">
        <v>284</v>
      </c>
      <c r="D300" s="242">
        <v>14</v>
      </c>
      <c r="E300" s="242">
        <v>5</v>
      </c>
      <c r="F300" s="242">
        <f t="shared" si="25"/>
        <v>19</v>
      </c>
      <c r="G300" s="243">
        <v>5009</v>
      </c>
      <c r="H300" s="243">
        <f t="shared" si="24"/>
        <v>95171</v>
      </c>
      <c r="I300" s="156"/>
    </row>
    <row r="301" spans="1:9" s="9" customFormat="1" ht="35.1" customHeight="1" x14ac:dyDescent="0.25">
      <c r="A301" s="240" t="s">
        <v>347</v>
      </c>
      <c r="B301" s="254" t="s">
        <v>348</v>
      </c>
      <c r="C301" s="255" t="s">
        <v>284</v>
      </c>
      <c r="D301" s="242">
        <v>64</v>
      </c>
      <c r="E301" s="242">
        <v>23</v>
      </c>
      <c r="F301" s="242">
        <f t="shared" si="25"/>
        <v>87</v>
      </c>
      <c r="G301" s="243">
        <v>6370</v>
      </c>
      <c r="H301" s="243">
        <f t="shared" si="24"/>
        <v>554190</v>
      </c>
      <c r="I301" s="156"/>
    </row>
    <row r="302" spans="1:9" s="9" customFormat="1" ht="35.1" customHeight="1" x14ac:dyDescent="0.25">
      <c r="A302" s="240" t="s">
        <v>349</v>
      </c>
      <c r="B302" s="254" t="s">
        <v>350</v>
      </c>
      <c r="C302" s="255" t="s">
        <v>284</v>
      </c>
      <c r="D302" s="242">
        <v>101</v>
      </c>
      <c r="E302" s="242">
        <v>38</v>
      </c>
      <c r="F302" s="242">
        <f t="shared" si="25"/>
        <v>139</v>
      </c>
      <c r="G302" s="243">
        <v>12643</v>
      </c>
      <c r="H302" s="243">
        <f t="shared" si="24"/>
        <v>1757377</v>
      </c>
      <c r="I302" s="156"/>
    </row>
    <row r="303" spans="1:9" s="9" customFormat="1" ht="35.1" customHeight="1" x14ac:dyDescent="0.25">
      <c r="A303" s="240" t="s">
        <v>351</v>
      </c>
      <c r="B303" s="254" t="s">
        <v>352</v>
      </c>
      <c r="C303" s="255" t="s">
        <v>284</v>
      </c>
      <c r="D303" s="242">
        <v>36</v>
      </c>
      <c r="E303" s="242">
        <v>14</v>
      </c>
      <c r="F303" s="242">
        <f t="shared" si="25"/>
        <v>50</v>
      </c>
      <c r="G303" s="243">
        <v>42439</v>
      </c>
      <c r="H303" s="243">
        <f t="shared" si="24"/>
        <v>2121950</v>
      </c>
      <c r="I303" s="156"/>
    </row>
    <row r="304" spans="1:9" s="9" customFormat="1" ht="35.1" customHeight="1" x14ac:dyDescent="0.25">
      <c r="A304" s="240" t="s">
        <v>353</v>
      </c>
      <c r="B304" s="254" t="s">
        <v>354</v>
      </c>
      <c r="C304" s="255" t="s">
        <v>284</v>
      </c>
      <c r="D304" s="242">
        <v>23</v>
      </c>
      <c r="E304" s="242">
        <v>9</v>
      </c>
      <c r="F304" s="242">
        <f t="shared" si="25"/>
        <v>32</v>
      </c>
      <c r="G304" s="243">
        <v>51297</v>
      </c>
      <c r="H304" s="243">
        <f t="shared" si="24"/>
        <v>1641504</v>
      </c>
      <c r="I304" s="156"/>
    </row>
    <row r="305" spans="1:9" s="9" customFormat="1" ht="35.1" customHeight="1" x14ac:dyDescent="0.25">
      <c r="A305" s="240" t="s">
        <v>355</v>
      </c>
      <c r="B305" s="254" t="s">
        <v>356</v>
      </c>
      <c r="C305" s="255" t="s">
        <v>284</v>
      </c>
      <c r="D305" s="242">
        <v>42</v>
      </c>
      <c r="E305" s="242">
        <v>16</v>
      </c>
      <c r="F305" s="242">
        <f t="shared" si="25"/>
        <v>58</v>
      </c>
      <c r="G305" s="243">
        <v>63040</v>
      </c>
      <c r="H305" s="243">
        <f t="shared" si="24"/>
        <v>3656320</v>
      </c>
      <c r="I305" s="156"/>
    </row>
    <row r="306" spans="1:9" s="9" customFormat="1" ht="35.1" customHeight="1" x14ac:dyDescent="0.25">
      <c r="A306" s="240" t="s">
        <v>357</v>
      </c>
      <c r="B306" s="254" t="s">
        <v>358</v>
      </c>
      <c r="C306" s="255" t="s">
        <v>284</v>
      </c>
      <c r="D306" s="242">
        <v>1</v>
      </c>
      <c r="E306" s="242">
        <v>1</v>
      </c>
      <c r="F306" s="242">
        <f t="shared" si="25"/>
        <v>2</v>
      </c>
      <c r="G306" s="243">
        <v>556137</v>
      </c>
      <c r="H306" s="243">
        <f t="shared" si="24"/>
        <v>1112274</v>
      </c>
      <c r="I306" s="156"/>
    </row>
    <row r="307" spans="1:9" s="9" customFormat="1" ht="35.1" customHeight="1" x14ac:dyDescent="0.25">
      <c r="A307" s="240" t="s">
        <v>359</v>
      </c>
      <c r="B307" s="254" t="s">
        <v>360</v>
      </c>
      <c r="C307" s="255" t="s">
        <v>269</v>
      </c>
      <c r="D307" s="242">
        <v>29</v>
      </c>
      <c r="E307" s="242">
        <v>11</v>
      </c>
      <c r="F307" s="242">
        <f t="shared" si="25"/>
        <v>40</v>
      </c>
      <c r="G307" s="243">
        <v>46966</v>
      </c>
      <c r="H307" s="243">
        <f t="shared" si="24"/>
        <v>1878640</v>
      </c>
      <c r="I307" s="156"/>
    </row>
    <row r="308" spans="1:9" s="9" customFormat="1" ht="35.1" customHeight="1" x14ac:dyDescent="0.25">
      <c r="A308" s="240" t="s">
        <v>361</v>
      </c>
      <c r="B308" s="254" t="s">
        <v>362</v>
      </c>
      <c r="C308" s="255" t="s">
        <v>269</v>
      </c>
      <c r="D308" s="242">
        <v>7</v>
      </c>
      <c r="E308" s="242">
        <v>3</v>
      </c>
      <c r="F308" s="242">
        <f t="shared" si="25"/>
        <v>10</v>
      </c>
      <c r="G308" s="243">
        <v>65586</v>
      </c>
      <c r="H308" s="243">
        <f t="shared" si="24"/>
        <v>655860</v>
      </c>
      <c r="I308" s="156"/>
    </row>
    <row r="309" spans="1:9" s="9" customFormat="1" ht="35.1" customHeight="1" x14ac:dyDescent="0.25">
      <c r="A309" s="240" t="s">
        <v>363</v>
      </c>
      <c r="B309" s="254" t="s">
        <v>364</v>
      </c>
      <c r="C309" s="255" t="s">
        <v>269</v>
      </c>
      <c r="D309" s="242">
        <v>29</v>
      </c>
      <c r="E309" s="242">
        <v>11</v>
      </c>
      <c r="F309" s="242">
        <f t="shared" si="25"/>
        <v>40</v>
      </c>
      <c r="G309" s="243">
        <v>99646</v>
      </c>
      <c r="H309" s="243">
        <f t="shared" si="24"/>
        <v>3985840</v>
      </c>
      <c r="I309" s="156"/>
    </row>
    <row r="310" spans="1:9" s="9" customFormat="1" ht="35.1" customHeight="1" x14ac:dyDescent="0.25">
      <c r="A310" s="240" t="s">
        <v>365</v>
      </c>
      <c r="B310" s="254" t="s">
        <v>366</v>
      </c>
      <c r="C310" s="255" t="s">
        <v>284</v>
      </c>
      <c r="D310" s="242">
        <v>15</v>
      </c>
      <c r="E310" s="242">
        <v>5</v>
      </c>
      <c r="F310" s="242">
        <f t="shared" si="25"/>
        <v>20</v>
      </c>
      <c r="G310" s="243">
        <v>80246</v>
      </c>
      <c r="H310" s="243">
        <f t="shared" si="24"/>
        <v>1604920</v>
      </c>
      <c r="I310" s="156"/>
    </row>
    <row r="311" spans="1:9" s="9" customFormat="1" ht="35.1" customHeight="1" x14ac:dyDescent="0.25">
      <c r="A311" s="283" t="s">
        <v>367</v>
      </c>
      <c r="B311" s="256" t="s">
        <v>368</v>
      </c>
      <c r="C311" s="256" t="s">
        <v>369</v>
      </c>
      <c r="D311" s="246"/>
      <c r="E311" s="246"/>
      <c r="F311" s="246"/>
      <c r="G311" s="303">
        <v>0</v>
      </c>
      <c r="H311" s="246"/>
      <c r="I311" s="156"/>
    </row>
    <row r="312" spans="1:9" s="9" customFormat="1" ht="35.1" customHeight="1" x14ac:dyDescent="0.25">
      <c r="A312" s="255" t="s">
        <v>370</v>
      </c>
      <c r="B312" s="87" t="s">
        <v>371</v>
      </c>
      <c r="C312" s="255" t="s">
        <v>284</v>
      </c>
      <c r="D312" s="242">
        <v>24</v>
      </c>
      <c r="E312" s="242">
        <v>28</v>
      </c>
      <c r="F312" s="242">
        <f t="shared" ref="F312:F319" si="26">+E312+D312</f>
        <v>52</v>
      </c>
      <c r="G312" s="243">
        <v>1134023</v>
      </c>
      <c r="H312" s="243">
        <f t="shared" ref="H312:H319" si="27">ROUND(+G312*F312,2)</f>
        <v>58969196</v>
      </c>
      <c r="I312" s="156"/>
    </row>
    <row r="313" spans="1:9" s="9" customFormat="1" ht="35.1" customHeight="1" x14ac:dyDescent="0.25">
      <c r="A313" s="255" t="s">
        <v>372</v>
      </c>
      <c r="B313" s="87" t="s">
        <v>373</v>
      </c>
      <c r="C313" s="255" t="s">
        <v>374</v>
      </c>
      <c r="D313" s="242">
        <v>4</v>
      </c>
      <c r="E313" s="242">
        <v>4</v>
      </c>
      <c r="F313" s="242">
        <f t="shared" si="26"/>
        <v>8</v>
      </c>
      <c r="G313" s="243">
        <v>687128</v>
      </c>
      <c r="H313" s="243">
        <f t="shared" si="27"/>
        <v>5497024</v>
      </c>
      <c r="I313" s="156"/>
    </row>
    <row r="314" spans="1:9" s="9" customFormat="1" ht="35.1" customHeight="1" x14ac:dyDescent="0.25">
      <c r="A314" s="255" t="s">
        <v>375</v>
      </c>
      <c r="B314" s="87" t="s">
        <v>376</v>
      </c>
      <c r="C314" s="255" t="s">
        <v>284</v>
      </c>
      <c r="D314" s="242">
        <v>9</v>
      </c>
      <c r="E314" s="242">
        <v>12</v>
      </c>
      <c r="F314" s="242">
        <f t="shared" si="26"/>
        <v>21</v>
      </c>
      <c r="G314" s="243">
        <v>777032</v>
      </c>
      <c r="H314" s="243">
        <f t="shared" si="27"/>
        <v>16317672</v>
      </c>
      <c r="I314" s="156"/>
    </row>
    <row r="315" spans="1:9" s="9" customFormat="1" ht="35.1" customHeight="1" x14ac:dyDescent="0.25">
      <c r="A315" s="255" t="s">
        <v>377</v>
      </c>
      <c r="B315" s="241" t="s">
        <v>378</v>
      </c>
      <c r="C315" s="255" t="s">
        <v>94</v>
      </c>
      <c r="D315" s="242">
        <v>13</v>
      </c>
      <c r="E315" s="242">
        <v>14</v>
      </c>
      <c r="F315" s="242">
        <f t="shared" si="26"/>
        <v>27</v>
      </c>
      <c r="G315" s="243">
        <v>223678</v>
      </c>
      <c r="H315" s="243">
        <f t="shared" si="27"/>
        <v>6039306</v>
      </c>
      <c r="I315" s="156"/>
    </row>
    <row r="316" spans="1:9" s="9" customFormat="1" ht="35.1" customHeight="1" x14ac:dyDescent="0.25">
      <c r="A316" s="255" t="s">
        <v>379</v>
      </c>
      <c r="B316" s="87" t="s">
        <v>380</v>
      </c>
      <c r="C316" s="255" t="s">
        <v>284</v>
      </c>
      <c r="D316" s="242">
        <v>18</v>
      </c>
      <c r="E316" s="242">
        <v>20</v>
      </c>
      <c r="F316" s="242">
        <f t="shared" si="26"/>
        <v>38</v>
      </c>
      <c r="G316" s="243">
        <v>603870</v>
      </c>
      <c r="H316" s="243">
        <f t="shared" si="27"/>
        <v>22947060</v>
      </c>
      <c r="I316" s="156"/>
    </row>
    <row r="317" spans="1:9" s="9" customFormat="1" ht="35.1" customHeight="1" x14ac:dyDescent="0.25">
      <c r="A317" s="255" t="s">
        <v>381</v>
      </c>
      <c r="B317" s="87" t="s">
        <v>382</v>
      </c>
      <c r="C317" s="255" t="s">
        <v>284</v>
      </c>
      <c r="D317" s="242">
        <v>3</v>
      </c>
      <c r="E317" s="242">
        <v>3</v>
      </c>
      <c r="F317" s="242">
        <f t="shared" si="26"/>
        <v>6</v>
      </c>
      <c r="G317" s="243">
        <v>571131</v>
      </c>
      <c r="H317" s="243">
        <f t="shared" si="27"/>
        <v>3426786</v>
      </c>
      <c r="I317" s="156"/>
    </row>
    <row r="318" spans="1:9" s="9" customFormat="1" ht="35.1" customHeight="1" x14ac:dyDescent="0.25">
      <c r="A318" s="255" t="s">
        <v>383</v>
      </c>
      <c r="B318" s="241" t="s">
        <v>384</v>
      </c>
      <c r="C318" s="255" t="s">
        <v>13</v>
      </c>
      <c r="D318" s="242">
        <v>11</v>
      </c>
      <c r="E318" s="242">
        <v>12</v>
      </c>
      <c r="F318" s="242">
        <f t="shared" si="26"/>
        <v>23</v>
      </c>
      <c r="G318" s="243">
        <v>93168</v>
      </c>
      <c r="H318" s="243">
        <f t="shared" si="27"/>
        <v>2142864</v>
      </c>
      <c r="I318" s="156"/>
    </row>
    <row r="319" spans="1:9" s="9" customFormat="1" ht="35.1" customHeight="1" x14ac:dyDescent="0.25">
      <c r="A319" s="255" t="s">
        <v>385</v>
      </c>
      <c r="B319" s="241" t="s">
        <v>386</v>
      </c>
      <c r="C319" s="255" t="s">
        <v>284</v>
      </c>
      <c r="D319" s="242">
        <v>1</v>
      </c>
      <c r="E319" s="242">
        <v>2</v>
      </c>
      <c r="F319" s="242">
        <f t="shared" si="26"/>
        <v>3</v>
      </c>
      <c r="G319" s="243">
        <v>45253</v>
      </c>
      <c r="H319" s="243">
        <f t="shared" si="27"/>
        <v>135759</v>
      </c>
      <c r="I319" s="156"/>
    </row>
    <row r="320" spans="1:9" s="9" customFormat="1" ht="35.1" customHeight="1" x14ac:dyDescent="0.25">
      <c r="A320" s="283" t="s">
        <v>387</v>
      </c>
      <c r="B320" s="256" t="s">
        <v>388</v>
      </c>
      <c r="C320" s="256"/>
      <c r="D320" s="246"/>
      <c r="E320" s="246"/>
      <c r="F320" s="246"/>
      <c r="G320" s="303">
        <v>0</v>
      </c>
      <c r="H320" s="246"/>
      <c r="I320" s="156"/>
    </row>
    <row r="321" spans="1:9" s="9" customFormat="1" ht="35.1" customHeight="1" x14ac:dyDescent="0.25">
      <c r="A321" s="255" t="s">
        <v>389</v>
      </c>
      <c r="B321" s="254" t="s">
        <v>390</v>
      </c>
      <c r="C321" s="255" t="s">
        <v>269</v>
      </c>
      <c r="D321" s="242">
        <v>248</v>
      </c>
      <c r="E321" s="242">
        <v>92</v>
      </c>
      <c r="F321" s="242">
        <f t="shared" ref="F321:F334" si="28">+E321+D321</f>
        <v>340</v>
      </c>
      <c r="G321" s="243">
        <v>37056</v>
      </c>
      <c r="H321" s="243">
        <f t="shared" ref="H321:H334" si="29">ROUND(+G321*F321,2)</f>
        <v>12599040</v>
      </c>
      <c r="I321" s="156"/>
    </row>
    <row r="322" spans="1:9" s="9" customFormat="1" ht="35.1" customHeight="1" x14ac:dyDescent="0.25">
      <c r="A322" s="255" t="s">
        <v>391</v>
      </c>
      <c r="B322" s="241" t="s">
        <v>392</v>
      </c>
      <c r="C322" s="240" t="s">
        <v>269</v>
      </c>
      <c r="D322" s="242">
        <v>122</v>
      </c>
      <c r="E322" s="242">
        <v>45</v>
      </c>
      <c r="F322" s="242">
        <f t="shared" si="28"/>
        <v>167</v>
      </c>
      <c r="G322" s="243">
        <v>52865</v>
      </c>
      <c r="H322" s="243">
        <f t="shared" si="29"/>
        <v>8828455</v>
      </c>
      <c r="I322" s="156"/>
    </row>
    <row r="323" spans="1:9" s="9" customFormat="1" ht="35.1" customHeight="1" x14ac:dyDescent="0.25">
      <c r="A323" s="255" t="s">
        <v>393</v>
      </c>
      <c r="B323" s="241" t="s">
        <v>394</v>
      </c>
      <c r="C323" s="240" t="s">
        <v>269</v>
      </c>
      <c r="D323" s="242">
        <v>161</v>
      </c>
      <c r="E323" s="242">
        <v>60</v>
      </c>
      <c r="F323" s="242">
        <f t="shared" si="28"/>
        <v>221</v>
      </c>
      <c r="G323" s="243">
        <v>95536</v>
      </c>
      <c r="H323" s="243">
        <f t="shared" si="29"/>
        <v>21113456</v>
      </c>
      <c r="I323" s="156"/>
    </row>
    <row r="324" spans="1:9" s="9" customFormat="1" ht="35.1" customHeight="1" x14ac:dyDescent="0.25">
      <c r="A324" s="255" t="s">
        <v>395</v>
      </c>
      <c r="B324" s="241" t="s">
        <v>396</v>
      </c>
      <c r="C324" s="240" t="s">
        <v>374</v>
      </c>
      <c r="D324" s="242">
        <v>101</v>
      </c>
      <c r="E324" s="242">
        <v>38</v>
      </c>
      <c r="F324" s="242">
        <f t="shared" si="28"/>
        <v>139</v>
      </c>
      <c r="G324" s="243">
        <v>10973</v>
      </c>
      <c r="H324" s="243">
        <f t="shared" si="29"/>
        <v>1525247</v>
      </c>
      <c r="I324" s="156"/>
    </row>
    <row r="325" spans="1:9" s="9" customFormat="1" ht="35.1" customHeight="1" x14ac:dyDescent="0.25">
      <c r="A325" s="255" t="s">
        <v>397</v>
      </c>
      <c r="B325" s="285" t="s">
        <v>398</v>
      </c>
      <c r="C325" s="240" t="s">
        <v>374</v>
      </c>
      <c r="D325" s="242">
        <v>58</v>
      </c>
      <c r="E325" s="242">
        <v>21</v>
      </c>
      <c r="F325" s="242">
        <f t="shared" si="28"/>
        <v>79</v>
      </c>
      <c r="G325" s="243">
        <v>16126</v>
      </c>
      <c r="H325" s="243">
        <f t="shared" si="29"/>
        <v>1273954</v>
      </c>
      <c r="I325" s="156"/>
    </row>
    <row r="326" spans="1:9" s="9" customFormat="1" ht="35.1" customHeight="1" x14ac:dyDescent="0.25">
      <c r="A326" s="255" t="s">
        <v>399</v>
      </c>
      <c r="B326" s="241" t="s">
        <v>400</v>
      </c>
      <c r="C326" s="240" t="s">
        <v>374</v>
      </c>
      <c r="D326" s="242">
        <v>68</v>
      </c>
      <c r="E326" s="242">
        <v>25</v>
      </c>
      <c r="F326" s="242">
        <f t="shared" si="28"/>
        <v>93</v>
      </c>
      <c r="G326" s="243">
        <v>76849</v>
      </c>
      <c r="H326" s="243">
        <f t="shared" si="29"/>
        <v>7146957</v>
      </c>
      <c r="I326" s="156"/>
    </row>
    <row r="327" spans="1:9" s="9" customFormat="1" ht="35.1" customHeight="1" x14ac:dyDescent="0.25">
      <c r="A327" s="255" t="s">
        <v>401</v>
      </c>
      <c r="B327" s="241" t="s">
        <v>402</v>
      </c>
      <c r="C327" s="240" t="s">
        <v>269</v>
      </c>
      <c r="D327" s="242">
        <v>31</v>
      </c>
      <c r="E327" s="242">
        <v>12</v>
      </c>
      <c r="F327" s="242">
        <f t="shared" si="28"/>
        <v>43</v>
      </c>
      <c r="G327" s="243">
        <v>51297</v>
      </c>
      <c r="H327" s="243">
        <f t="shared" si="29"/>
        <v>2205771</v>
      </c>
      <c r="I327" s="156"/>
    </row>
    <row r="328" spans="1:9" s="9" customFormat="1" ht="35.1" customHeight="1" x14ac:dyDescent="0.25">
      <c r="A328" s="255" t="s">
        <v>403</v>
      </c>
      <c r="B328" s="241" t="s">
        <v>404</v>
      </c>
      <c r="C328" s="240" t="s">
        <v>269</v>
      </c>
      <c r="D328" s="242">
        <v>23</v>
      </c>
      <c r="E328" s="242">
        <v>8</v>
      </c>
      <c r="F328" s="242">
        <f t="shared" si="28"/>
        <v>31</v>
      </c>
      <c r="G328" s="243">
        <v>63040</v>
      </c>
      <c r="H328" s="243">
        <f t="shared" si="29"/>
        <v>1954240</v>
      </c>
      <c r="I328" s="156"/>
    </row>
    <row r="329" spans="1:9" s="9" customFormat="1" ht="35.1" customHeight="1" x14ac:dyDescent="0.25">
      <c r="A329" s="255" t="s">
        <v>405</v>
      </c>
      <c r="B329" s="241" t="s">
        <v>406</v>
      </c>
      <c r="C329" s="240" t="s">
        <v>269</v>
      </c>
      <c r="D329" s="242">
        <v>0</v>
      </c>
      <c r="E329" s="242">
        <v>50</v>
      </c>
      <c r="F329" s="242">
        <f t="shared" si="28"/>
        <v>50</v>
      </c>
      <c r="G329" s="243">
        <v>54906</v>
      </c>
      <c r="H329" s="243">
        <f t="shared" si="29"/>
        <v>2745300</v>
      </c>
      <c r="I329" s="156"/>
    </row>
    <row r="330" spans="1:9" s="9" customFormat="1" ht="35.1" customHeight="1" x14ac:dyDescent="0.25">
      <c r="A330" s="255" t="s">
        <v>407</v>
      </c>
      <c r="B330" s="241" t="s">
        <v>408</v>
      </c>
      <c r="C330" s="240" t="s">
        <v>269</v>
      </c>
      <c r="D330" s="242">
        <v>0</v>
      </c>
      <c r="E330" s="242">
        <v>30</v>
      </c>
      <c r="F330" s="242">
        <f t="shared" si="28"/>
        <v>30</v>
      </c>
      <c r="G330" s="243">
        <v>28625</v>
      </c>
      <c r="H330" s="243">
        <f t="shared" si="29"/>
        <v>858750</v>
      </c>
      <c r="I330" s="156"/>
    </row>
    <row r="331" spans="1:9" s="9" customFormat="1" ht="35.1" customHeight="1" x14ac:dyDescent="0.25">
      <c r="A331" s="255" t="s">
        <v>409</v>
      </c>
      <c r="B331" s="241" t="s">
        <v>410</v>
      </c>
      <c r="C331" s="240" t="s">
        <v>269</v>
      </c>
      <c r="D331" s="242">
        <v>0</v>
      </c>
      <c r="E331" s="242">
        <v>15</v>
      </c>
      <c r="F331" s="242">
        <f t="shared" si="28"/>
        <v>15</v>
      </c>
      <c r="G331" s="243">
        <v>35178</v>
      </c>
      <c r="H331" s="243">
        <f t="shared" si="29"/>
        <v>527670</v>
      </c>
      <c r="I331" s="156"/>
    </row>
    <row r="332" spans="1:9" s="9" customFormat="1" ht="35.1" customHeight="1" x14ac:dyDescent="0.25">
      <c r="A332" s="255" t="s">
        <v>411</v>
      </c>
      <c r="B332" s="241" t="s">
        <v>412</v>
      </c>
      <c r="C332" s="240" t="s">
        <v>269</v>
      </c>
      <c r="D332" s="242">
        <v>0</v>
      </c>
      <c r="E332" s="242">
        <v>70</v>
      </c>
      <c r="F332" s="242">
        <f t="shared" si="28"/>
        <v>70</v>
      </c>
      <c r="G332" s="243">
        <v>46966</v>
      </c>
      <c r="H332" s="243">
        <f t="shared" si="29"/>
        <v>3287620</v>
      </c>
      <c r="I332" s="156"/>
    </row>
    <row r="333" spans="1:9" s="9" customFormat="1" ht="35.1" customHeight="1" x14ac:dyDescent="0.25">
      <c r="A333" s="255" t="s">
        <v>413</v>
      </c>
      <c r="B333" s="241" t="s">
        <v>414</v>
      </c>
      <c r="C333" s="240" t="s">
        <v>269</v>
      </c>
      <c r="D333" s="242">
        <v>0</v>
      </c>
      <c r="E333" s="242">
        <v>20</v>
      </c>
      <c r="F333" s="242">
        <f t="shared" si="28"/>
        <v>20</v>
      </c>
      <c r="G333" s="243">
        <v>81938</v>
      </c>
      <c r="H333" s="243">
        <f t="shared" si="29"/>
        <v>1638760</v>
      </c>
      <c r="I333" s="156"/>
    </row>
    <row r="334" spans="1:9" s="9" customFormat="1" ht="35.1" customHeight="1" x14ac:dyDescent="0.25">
      <c r="A334" s="255" t="s">
        <v>415</v>
      </c>
      <c r="B334" s="241" t="s">
        <v>358</v>
      </c>
      <c r="C334" s="240" t="s">
        <v>284</v>
      </c>
      <c r="D334" s="242">
        <v>0</v>
      </c>
      <c r="E334" s="242">
        <v>4</v>
      </c>
      <c r="F334" s="242">
        <f t="shared" si="28"/>
        <v>4</v>
      </c>
      <c r="G334" s="243">
        <v>556137</v>
      </c>
      <c r="H334" s="243">
        <f t="shared" si="29"/>
        <v>2224548</v>
      </c>
      <c r="I334" s="156"/>
    </row>
    <row r="335" spans="1:9" s="9" customFormat="1" ht="35.1" customHeight="1" x14ac:dyDescent="0.25">
      <c r="A335" s="283" t="s">
        <v>416</v>
      </c>
      <c r="B335" s="256" t="s">
        <v>417</v>
      </c>
      <c r="C335" s="256" t="s">
        <v>369</v>
      </c>
      <c r="D335" s="246"/>
      <c r="E335" s="246"/>
      <c r="F335" s="246"/>
      <c r="G335" s="303">
        <v>0</v>
      </c>
      <c r="H335" s="246"/>
      <c r="I335" s="156"/>
    </row>
    <row r="336" spans="1:9" s="9" customFormat="1" ht="35.1" customHeight="1" x14ac:dyDescent="0.25">
      <c r="A336" s="240" t="s">
        <v>418</v>
      </c>
      <c r="B336" s="241" t="s">
        <v>1222</v>
      </c>
      <c r="C336" s="240" t="s">
        <v>420</v>
      </c>
      <c r="D336" s="242">
        <v>0</v>
      </c>
      <c r="E336" s="242">
        <v>94</v>
      </c>
      <c r="F336" s="242">
        <f>+E336+D336</f>
        <v>94</v>
      </c>
      <c r="G336" s="243">
        <v>40990</v>
      </c>
      <c r="H336" s="243">
        <f>ROUND(+G336*F336,2)</f>
        <v>3853060</v>
      </c>
      <c r="I336" s="156"/>
    </row>
    <row r="337" spans="1:9" s="9" customFormat="1" ht="35.1" customHeight="1" x14ac:dyDescent="0.25">
      <c r="A337" s="240" t="s">
        <v>421</v>
      </c>
      <c r="B337" s="241" t="s">
        <v>422</v>
      </c>
      <c r="C337" s="240" t="s">
        <v>420</v>
      </c>
      <c r="D337" s="242">
        <v>0</v>
      </c>
      <c r="E337" s="242">
        <v>28</v>
      </c>
      <c r="F337" s="242">
        <f>+E337+D337</f>
        <v>28</v>
      </c>
      <c r="G337" s="243">
        <v>77514</v>
      </c>
      <c r="H337" s="243">
        <f>ROUND(+G337*F337,2)</f>
        <v>2170392</v>
      </c>
      <c r="I337" s="156"/>
    </row>
    <row r="338" spans="1:9" s="9" customFormat="1" ht="35.1" customHeight="1" x14ac:dyDescent="0.25">
      <c r="A338" s="240" t="s">
        <v>423</v>
      </c>
      <c r="B338" s="241" t="s">
        <v>36</v>
      </c>
      <c r="C338" s="240" t="s">
        <v>420</v>
      </c>
      <c r="D338" s="242">
        <v>0</v>
      </c>
      <c r="E338" s="242">
        <v>28</v>
      </c>
      <c r="F338" s="242">
        <f>+E338+D338</f>
        <v>28</v>
      </c>
      <c r="G338" s="243">
        <v>64537</v>
      </c>
      <c r="H338" s="243">
        <f>ROUND(+G338*F338,2)</f>
        <v>1807036</v>
      </c>
      <c r="I338" s="156"/>
    </row>
    <row r="339" spans="1:9" s="9" customFormat="1" ht="35.1" customHeight="1" x14ac:dyDescent="0.25">
      <c r="A339" s="240" t="s">
        <v>424</v>
      </c>
      <c r="B339" s="241" t="s">
        <v>425</v>
      </c>
      <c r="C339" s="240" t="s">
        <v>420</v>
      </c>
      <c r="D339" s="242">
        <v>0</v>
      </c>
      <c r="E339" s="242">
        <v>37</v>
      </c>
      <c r="F339" s="242">
        <f>+E339+D339</f>
        <v>37</v>
      </c>
      <c r="G339" s="243">
        <v>12819</v>
      </c>
      <c r="H339" s="243">
        <f>ROUND(+G339*F339,2)</f>
        <v>474303</v>
      </c>
      <c r="I339" s="156"/>
    </row>
    <row r="340" spans="1:9" s="9" customFormat="1" ht="35.1" customHeight="1" x14ac:dyDescent="0.25">
      <c r="A340" s="283" t="s">
        <v>426</v>
      </c>
      <c r="B340" s="256" t="s">
        <v>427</v>
      </c>
      <c r="C340" s="256" t="s">
        <v>369</v>
      </c>
      <c r="D340" s="246"/>
      <c r="E340" s="246"/>
      <c r="F340" s="246"/>
      <c r="G340" s="303">
        <v>0</v>
      </c>
      <c r="H340" s="246"/>
      <c r="I340" s="156"/>
    </row>
    <row r="341" spans="1:9" s="9" customFormat="1" ht="35.1" customHeight="1" x14ac:dyDescent="0.25">
      <c r="A341" s="240" t="s">
        <v>428</v>
      </c>
      <c r="B341" s="241" t="s">
        <v>1223</v>
      </c>
      <c r="C341" s="240" t="s">
        <v>374</v>
      </c>
      <c r="D341" s="242">
        <v>0</v>
      </c>
      <c r="E341" s="242">
        <v>1</v>
      </c>
      <c r="F341" s="242">
        <f>+E341+D341</f>
        <v>1</v>
      </c>
      <c r="G341" s="243">
        <v>35859926</v>
      </c>
      <c r="H341" s="243">
        <f>ROUND(+G341*F341,2)</f>
        <v>35859926</v>
      </c>
      <c r="I341" s="156"/>
    </row>
    <row r="342" spans="1:9" s="9" customFormat="1" ht="35.1" customHeight="1" x14ac:dyDescent="0.25">
      <c r="A342" s="240" t="s">
        <v>430</v>
      </c>
      <c r="B342" s="241" t="s">
        <v>1224</v>
      </c>
      <c r="C342" s="240" t="s">
        <v>374</v>
      </c>
      <c r="D342" s="242">
        <v>0</v>
      </c>
      <c r="E342" s="242">
        <v>1</v>
      </c>
      <c r="F342" s="242">
        <f>+E342+D342</f>
        <v>1</v>
      </c>
      <c r="G342" s="243">
        <v>98214761</v>
      </c>
      <c r="H342" s="243">
        <f>ROUND(+G342*F342,2)</f>
        <v>98214761</v>
      </c>
      <c r="I342" s="156"/>
    </row>
    <row r="343" spans="1:9" s="9" customFormat="1" ht="35.1" customHeight="1" x14ac:dyDescent="0.25">
      <c r="A343" s="255" t="s">
        <v>432</v>
      </c>
      <c r="B343" s="241" t="s">
        <v>433</v>
      </c>
      <c r="C343" s="240" t="s">
        <v>374</v>
      </c>
      <c r="D343" s="242">
        <v>0</v>
      </c>
      <c r="E343" s="242">
        <v>1</v>
      </c>
      <c r="F343" s="242">
        <f>+E343+D343</f>
        <v>1</v>
      </c>
      <c r="G343" s="243">
        <v>14455163</v>
      </c>
      <c r="H343" s="243">
        <f>ROUND(+G343*F343,2)</f>
        <v>14455163</v>
      </c>
      <c r="I343" s="156"/>
    </row>
    <row r="344" spans="1:9" s="9" customFormat="1" ht="35.1" customHeight="1" x14ac:dyDescent="0.25">
      <c r="A344" s="247">
        <v>13</v>
      </c>
      <c r="B344" s="248" t="s">
        <v>434</v>
      </c>
      <c r="C344" s="248"/>
      <c r="D344" s="249"/>
      <c r="E344" s="249"/>
      <c r="F344" s="249"/>
      <c r="G344" s="305">
        <v>0</v>
      </c>
      <c r="H344" s="249"/>
      <c r="I344" s="156"/>
    </row>
    <row r="345" spans="1:9" s="9" customFormat="1" ht="35.1" customHeight="1" x14ac:dyDescent="0.25">
      <c r="A345" s="286" t="s">
        <v>435</v>
      </c>
      <c r="B345" s="287" t="s">
        <v>436</v>
      </c>
      <c r="C345" s="287"/>
      <c r="D345" s="288"/>
      <c r="E345" s="288"/>
      <c r="F345" s="288"/>
      <c r="G345" s="309">
        <v>0</v>
      </c>
      <c r="H345" s="288"/>
      <c r="I345" s="156"/>
    </row>
    <row r="346" spans="1:9" s="9" customFormat="1" ht="35.1" customHeight="1" x14ac:dyDescent="0.25">
      <c r="A346" s="255" t="s">
        <v>437</v>
      </c>
      <c r="B346" s="254" t="s">
        <v>438</v>
      </c>
      <c r="C346" s="255" t="s">
        <v>269</v>
      </c>
      <c r="D346" s="242">
        <v>694</v>
      </c>
      <c r="E346" s="242">
        <v>257</v>
      </c>
      <c r="F346" s="242">
        <f t="shared" ref="F346:F358" si="30">+E346+D346</f>
        <v>951</v>
      </c>
      <c r="G346" s="243">
        <v>24951</v>
      </c>
      <c r="H346" s="243">
        <f t="shared" ref="H346:H358" si="31">ROUND(+G346*F346,2)</f>
        <v>23728401</v>
      </c>
      <c r="I346" s="156"/>
    </row>
    <row r="347" spans="1:9" s="9" customFormat="1" ht="35.1" customHeight="1" x14ac:dyDescent="0.25">
      <c r="A347" s="255" t="s">
        <v>439</v>
      </c>
      <c r="B347" s="254" t="s">
        <v>440</v>
      </c>
      <c r="C347" s="255" t="s">
        <v>269</v>
      </c>
      <c r="D347" s="242">
        <v>350</v>
      </c>
      <c r="E347" s="242">
        <v>129</v>
      </c>
      <c r="F347" s="242">
        <f t="shared" si="30"/>
        <v>479</v>
      </c>
      <c r="G347" s="243">
        <v>53442</v>
      </c>
      <c r="H347" s="243">
        <f t="shared" si="31"/>
        <v>25598718</v>
      </c>
      <c r="I347" s="156"/>
    </row>
    <row r="348" spans="1:9" s="9" customFormat="1" ht="35.1" customHeight="1" x14ac:dyDescent="0.25">
      <c r="A348" s="255" t="s">
        <v>441</v>
      </c>
      <c r="B348" s="254" t="s">
        <v>442</v>
      </c>
      <c r="C348" s="255" t="s">
        <v>269</v>
      </c>
      <c r="D348" s="242">
        <v>301</v>
      </c>
      <c r="E348" s="242">
        <v>112</v>
      </c>
      <c r="F348" s="242">
        <f t="shared" si="30"/>
        <v>413</v>
      </c>
      <c r="G348" s="243">
        <v>99572</v>
      </c>
      <c r="H348" s="243">
        <f t="shared" si="31"/>
        <v>41123236</v>
      </c>
      <c r="I348" s="156"/>
    </row>
    <row r="349" spans="1:9" s="9" customFormat="1" ht="35.1" customHeight="1" x14ac:dyDescent="0.25">
      <c r="A349" s="255" t="s">
        <v>443</v>
      </c>
      <c r="B349" s="254" t="s">
        <v>444</v>
      </c>
      <c r="C349" s="255" t="s">
        <v>269</v>
      </c>
      <c r="D349" s="242">
        <v>44</v>
      </c>
      <c r="E349" s="242">
        <v>16</v>
      </c>
      <c r="F349" s="242">
        <f t="shared" si="30"/>
        <v>60</v>
      </c>
      <c r="G349" s="243">
        <v>140507</v>
      </c>
      <c r="H349" s="243">
        <f t="shared" si="31"/>
        <v>8430420</v>
      </c>
      <c r="I349" s="156"/>
    </row>
    <row r="350" spans="1:9" s="9" customFormat="1" ht="35.1" customHeight="1" x14ac:dyDescent="0.25">
      <c r="A350" s="255" t="s">
        <v>445</v>
      </c>
      <c r="B350" s="254" t="s">
        <v>446</v>
      </c>
      <c r="C350" s="255" t="s">
        <v>284</v>
      </c>
      <c r="D350" s="242">
        <v>256</v>
      </c>
      <c r="E350" s="242">
        <v>95</v>
      </c>
      <c r="F350" s="242">
        <f t="shared" si="30"/>
        <v>351</v>
      </c>
      <c r="G350" s="243">
        <v>8405</v>
      </c>
      <c r="H350" s="243">
        <f t="shared" si="31"/>
        <v>2950155</v>
      </c>
      <c r="I350" s="156"/>
    </row>
    <row r="351" spans="1:9" s="9" customFormat="1" ht="35.1" customHeight="1" x14ac:dyDescent="0.25">
      <c r="A351" s="255" t="s">
        <v>447</v>
      </c>
      <c r="B351" s="254" t="s">
        <v>448</v>
      </c>
      <c r="C351" s="255" t="s">
        <v>284</v>
      </c>
      <c r="D351" s="242">
        <v>95</v>
      </c>
      <c r="E351" s="242">
        <v>35</v>
      </c>
      <c r="F351" s="242">
        <f t="shared" si="30"/>
        <v>130</v>
      </c>
      <c r="G351" s="243">
        <v>18288</v>
      </c>
      <c r="H351" s="243">
        <f t="shared" si="31"/>
        <v>2377440</v>
      </c>
      <c r="I351" s="156"/>
    </row>
    <row r="352" spans="1:9" s="9" customFormat="1" ht="35.1" customHeight="1" x14ac:dyDescent="0.25">
      <c r="A352" s="255" t="s">
        <v>449</v>
      </c>
      <c r="B352" s="254" t="s">
        <v>450</v>
      </c>
      <c r="C352" s="255" t="s">
        <v>284</v>
      </c>
      <c r="D352" s="242">
        <v>128</v>
      </c>
      <c r="E352" s="242">
        <v>48</v>
      </c>
      <c r="F352" s="242">
        <f t="shared" si="30"/>
        <v>176</v>
      </c>
      <c r="G352" s="243">
        <v>28316</v>
      </c>
      <c r="H352" s="243">
        <f t="shared" si="31"/>
        <v>4983616</v>
      </c>
      <c r="I352" s="156"/>
    </row>
    <row r="353" spans="1:9" s="9" customFormat="1" ht="35.1" customHeight="1" x14ac:dyDescent="0.25">
      <c r="A353" s="255" t="s">
        <v>451</v>
      </c>
      <c r="B353" s="254" t="s">
        <v>452</v>
      </c>
      <c r="C353" s="255" t="s">
        <v>284</v>
      </c>
      <c r="D353" s="242">
        <v>19</v>
      </c>
      <c r="E353" s="242">
        <v>7</v>
      </c>
      <c r="F353" s="242">
        <f t="shared" si="30"/>
        <v>26</v>
      </c>
      <c r="G353" s="243">
        <v>44248</v>
      </c>
      <c r="H353" s="243">
        <f t="shared" si="31"/>
        <v>1150448</v>
      </c>
      <c r="I353" s="156"/>
    </row>
    <row r="354" spans="1:9" s="9" customFormat="1" ht="35.1" customHeight="1" x14ac:dyDescent="0.25">
      <c r="A354" s="255" t="s">
        <v>453</v>
      </c>
      <c r="B354" s="254" t="s">
        <v>454</v>
      </c>
      <c r="C354" s="255" t="s">
        <v>284</v>
      </c>
      <c r="D354" s="242">
        <v>55</v>
      </c>
      <c r="E354" s="242">
        <v>21</v>
      </c>
      <c r="F354" s="242">
        <f t="shared" si="30"/>
        <v>76</v>
      </c>
      <c r="G354" s="243">
        <v>8532</v>
      </c>
      <c r="H354" s="243">
        <f t="shared" si="31"/>
        <v>648432</v>
      </c>
      <c r="I354" s="156"/>
    </row>
    <row r="355" spans="1:9" s="9" customFormat="1" ht="35.1" customHeight="1" x14ac:dyDescent="0.25">
      <c r="A355" s="255" t="s">
        <v>455</v>
      </c>
      <c r="B355" s="254" t="s">
        <v>456</v>
      </c>
      <c r="C355" s="255" t="s">
        <v>284</v>
      </c>
      <c r="D355" s="242">
        <v>58</v>
      </c>
      <c r="E355" s="242">
        <v>22</v>
      </c>
      <c r="F355" s="242">
        <f t="shared" si="30"/>
        <v>80</v>
      </c>
      <c r="G355" s="243">
        <v>11325</v>
      </c>
      <c r="H355" s="243">
        <f t="shared" si="31"/>
        <v>906000</v>
      </c>
      <c r="I355" s="156"/>
    </row>
    <row r="356" spans="1:9" s="9" customFormat="1" ht="35.1" customHeight="1" x14ac:dyDescent="0.25">
      <c r="A356" s="255" t="s">
        <v>457</v>
      </c>
      <c r="B356" s="254" t="s">
        <v>458</v>
      </c>
      <c r="C356" s="255" t="s">
        <v>284</v>
      </c>
      <c r="D356" s="242">
        <v>9</v>
      </c>
      <c r="E356" s="242">
        <v>3</v>
      </c>
      <c r="F356" s="242">
        <f t="shared" si="30"/>
        <v>12</v>
      </c>
      <c r="G356" s="243">
        <v>14011</v>
      </c>
      <c r="H356" s="243">
        <f t="shared" si="31"/>
        <v>168132</v>
      </c>
      <c r="I356" s="156"/>
    </row>
    <row r="357" spans="1:9" s="9" customFormat="1" ht="35.1" customHeight="1" x14ac:dyDescent="0.25">
      <c r="A357" s="255" t="s">
        <v>459</v>
      </c>
      <c r="B357" s="254" t="s">
        <v>460</v>
      </c>
      <c r="C357" s="255" t="s">
        <v>269</v>
      </c>
      <c r="D357" s="242">
        <v>602</v>
      </c>
      <c r="E357" s="242">
        <v>222</v>
      </c>
      <c r="F357" s="242">
        <f t="shared" si="30"/>
        <v>824</v>
      </c>
      <c r="G357" s="243">
        <v>6038</v>
      </c>
      <c r="H357" s="243">
        <f t="shared" si="31"/>
        <v>4975312</v>
      </c>
      <c r="I357" s="156"/>
    </row>
    <row r="358" spans="1:9" s="9" customFormat="1" ht="35.1" customHeight="1" x14ac:dyDescent="0.25">
      <c r="A358" s="255" t="s">
        <v>461</v>
      </c>
      <c r="B358" s="254" t="s">
        <v>462</v>
      </c>
      <c r="C358" s="255" t="s">
        <v>269</v>
      </c>
      <c r="D358" s="242">
        <v>107</v>
      </c>
      <c r="E358" s="242">
        <v>40</v>
      </c>
      <c r="F358" s="242">
        <f t="shared" si="30"/>
        <v>147</v>
      </c>
      <c r="G358" s="243">
        <v>10269</v>
      </c>
      <c r="H358" s="243">
        <f t="shared" si="31"/>
        <v>1509543</v>
      </c>
      <c r="I358" s="156"/>
    </row>
    <row r="359" spans="1:9" s="9" customFormat="1" ht="35.1" customHeight="1" x14ac:dyDescent="0.25">
      <c r="A359" s="286" t="s">
        <v>463</v>
      </c>
      <c r="B359" s="287" t="s">
        <v>464</v>
      </c>
      <c r="C359" s="287"/>
      <c r="D359" s="288"/>
      <c r="E359" s="288"/>
      <c r="F359" s="288"/>
      <c r="G359" s="309">
        <v>0</v>
      </c>
      <c r="H359" s="288"/>
      <c r="I359" s="156"/>
    </row>
    <row r="360" spans="1:9" s="9" customFormat="1" ht="35.1" customHeight="1" x14ac:dyDescent="0.25">
      <c r="A360" s="255" t="s">
        <v>465</v>
      </c>
      <c r="B360" s="254" t="s">
        <v>466</v>
      </c>
      <c r="C360" s="255" t="s">
        <v>284</v>
      </c>
      <c r="D360" s="242">
        <v>276</v>
      </c>
      <c r="E360" s="242">
        <v>102</v>
      </c>
      <c r="F360" s="242">
        <f t="shared" ref="F360:F374" si="32">+E360+D360</f>
        <v>378</v>
      </c>
      <c r="G360" s="243">
        <v>60880</v>
      </c>
      <c r="H360" s="243">
        <f t="shared" ref="H360:H374" si="33">ROUND(+G360*F360,2)</f>
        <v>23012640</v>
      </c>
      <c r="I360" s="156"/>
    </row>
    <row r="361" spans="1:9" s="9" customFormat="1" ht="35.1" customHeight="1" x14ac:dyDescent="0.25">
      <c r="A361" s="255" t="s">
        <v>467</v>
      </c>
      <c r="B361" s="254" t="s">
        <v>468</v>
      </c>
      <c r="C361" s="255" t="s">
        <v>284</v>
      </c>
      <c r="D361" s="242">
        <v>38</v>
      </c>
      <c r="E361" s="242">
        <v>14</v>
      </c>
      <c r="F361" s="242">
        <f t="shared" si="32"/>
        <v>52</v>
      </c>
      <c r="G361" s="243">
        <v>39891</v>
      </c>
      <c r="H361" s="243">
        <f t="shared" si="33"/>
        <v>2074332</v>
      </c>
      <c r="I361" s="156"/>
    </row>
    <row r="362" spans="1:9" s="9" customFormat="1" ht="35.1" customHeight="1" x14ac:dyDescent="0.25">
      <c r="A362" s="255" t="s">
        <v>469</v>
      </c>
      <c r="B362" s="254" t="s">
        <v>470</v>
      </c>
      <c r="C362" s="255" t="s">
        <v>284</v>
      </c>
      <c r="D362" s="242">
        <v>27</v>
      </c>
      <c r="E362" s="242">
        <v>10</v>
      </c>
      <c r="F362" s="242">
        <f t="shared" si="32"/>
        <v>37</v>
      </c>
      <c r="G362" s="243">
        <v>131639</v>
      </c>
      <c r="H362" s="243">
        <f t="shared" si="33"/>
        <v>4870643</v>
      </c>
      <c r="I362" s="156"/>
    </row>
    <row r="363" spans="1:9" s="9" customFormat="1" ht="35.1" customHeight="1" x14ac:dyDescent="0.25">
      <c r="A363" s="255" t="s">
        <v>471</v>
      </c>
      <c r="B363" s="254" t="s">
        <v>472</v>
      </c>
      <c r="C363" s="255" t="s">
        <v>284</v>
      </c>
      <c r="D363" s="242">
        <v>341</v>
      </c>
      <c r="E363" s="242">
        <v>126</v>
      </c>
      <c r="F363" s="242">
        <f t="shared" si="32"/>
        <v>467</v>
      </c>
      <c r="G363" s="243">
        <v>48051</v>
      </c>
      <c r="H363" s="243">
        <f t="shared" si="33"/>
        <v>22439817</v>
      </c>
      <c r="I363" s="156"/>
    </row>
    <row r="364" spans="1:9" s="9" customFormat="1" ht="35.1" customHeight="1" x14ac:dyDescent="0.25">
      <c r="A364" s="255" t="s">
        <v>473</v>
      </c>
      <c r="B364" s="254" t="s">
        <v>474</v>
      </c>
      <c r="C364" s="255" t="s">
        <v>284</v>
      </c>
      <c r="D364" s="242">
        <v>2</v>
      </c>
      <c r="E364" s="242">
        <v>3</v>
      </c>
      <c r="F364" s="242">
        <f t="shared" si="32"/>
        <v>5</v>
      </c>
      <c r="G364" s="243">
        <v>4291257</v>
      </c>
      <c r="H364" s="243">
        <f t="shared" si="33"/>
        <v>21456285</v>
      </c>
      <c r="I364" s="156"/>
    </row>
    <row r="365" spans="1:9" s="9" customFormat="1" ht="35.1" customHeight="1" x14ac:dyDescent="0.25">
      <c r="A365" s="255" t="s">
        <v>475</v>
      </c>
      <c r="B365" s="254" t="s">
        <v>476</v>
      </c>
      <c r="C365" s="255" t="s">
        <v>284</v>
      </c>
      <c r="D365" s="242">
        <v>7</v>
      </c>
      <c r="E365" s="242">
        <v>3</v>
      </c>
      <c r="F365" s="242">
        <f t="shared" si="32"/>
        <v>10</v>
      </c>
      <c r="G365" s="243">
        <v>82150</v>
      </c>
      <c r="H365" s="243">
        <f t="shared" si="33"/>
        <v>821500</v>
      </c>
      <c r="I365" s="156"/>
    </row>
    <row r="366" spans="1:9" s="9" customFormat="1" ht="35.1" customHeight="1" x14ac:dyDescent="0.25">
      <c r="A366" s="255" t="s">
        <v>477</v>
      </c>
      <c r="B366" s="254" t="s">
        <v>478</v>
      </c>
      <c r="C366" s="255" t="s">
        <v>284</v>
      </c>
      <c r="D366" s="242">
        <v>1</v>
      </c>
      <c r="E366" s="242">
        <v>1</v>
      </c>
      <c r="F366" s="242">
        <f t="shared" si="32"/>
        <v>2</v>
      </c>
      <c r="G366" s="243">
        <v>1524289</v>
      </c>
      <c r="H366" s="243">
        <f t="shared" si="33"/>
        <v>3048578</v>
      </c>
      <c r="I366" s="156"/>
    </row>
    <row r="367" spans="1:9" s="9" customFormat="1" ht="35.1" customHeight="1" x14ac:dyDescent="0.25">
      <c r="A367" s="255" t="s">
        <v>479</v>
      </c>
      <c r="B367" s="254" t="s">
        <v>480</v>
      </c>
      <c r="C367" s="255" t="s">
        <v>284</v>
      </c>
      <c r="D367" s="242">
        <v>0</v>
      </c>
      <c r="E367" s="242">
        <v>1</v>
      </c>
      <c r="F367" s="242">
        <f t="shared" si="32"/>
        <v>1</v>
      </c>
      <c r="G367" s="243">
        <v>5512716</v>
      </c>
      <c r="H367" s="243">
        <f t="shared" si="33"/>
        <v>5512716</v>
      </c>
      <c r="I367" s="156"/>
    </row>
    <row r="368" spans="1:9" s="9" customFormat="1" ht="35.1" customHeight="1" x14ac:dyDescent="0.25">
      <c r="A368" s="255" t="s">
        <v>481</v>
      </c>
      <c r="B368" s="254" t="s">
        <v>482</v>
      </c>
      <c r="C368" s="255" t="s">
        <v>284</v>
      </c>
      <c r="D368" s="242">
        <v>0</v>
      </c>
      <c r="E368" s="242">
        <v>1</v>
      </c>
      <c r="F368" s="242">
        <f t="shared" si="32"/>
        <v>1</v>
      </c>
      <c r="G368" s="243">
        <v>440410</v>
      </c>
      <c r="H368" s="243">
        <f t="shared" si="33"/>
        <v>440410</v>
      </c>
      <c r="I368" s="156"/>
    </row>
    <row r="369" spans="1:9" s="9" customFormat="1" ht="35.1" customHeight="1" x14ac:dyDescent="0.25">
      <c r="A369" s="255" t="s">
        <v>483</v>
      </c>
      <c r="B369" s="254" t="s">
        <v>484</v>
      </c>
      <c r="C369" s="255" t="s">
        <v>284</v>
      </c>
      <c r="D369" s="242">
        <v>0</v>
      </c>
      <c r="E369" s="242">
        <v>1</v>
      </c>
      <c r="F369" s="242">
        <f t="shared" si="32"/>
        <v>1</v>
      </c>
      <c r="G369" s="243">
        <v>1584366</v>
      </c>
      <c r="H369" s="243">
        <f t="shared" si="33"/>
        <v>1584366</v>
      </c>
      <c r="I369" s="156"/>
    </row>
    <row r="370" spans="1:9" s="9" customFormat="1" ht="35.1" customHeight="1" x14ac:dyDescent="0.25">
      <c r="A370" s="255" t="s">
        <v>485</v>
      </c>
      <c r="B370" s="254" t="s">
        <v>486</v>
      </c>
      <c r="C370" s="255" t="s">
        <v>284</v>
      </c>
      <c r="D370" s="242">
        <v>15</v>
      </c>
      <c r="E370" s="242">
        <v>5</v>
      </c>
      <c r="F370" s="242">
        <f t="shared" si="32"/>
        <v>20</v>
      </c>
      <c r="G370" s="243">
        <v>143318</v>
      </c>
      <c r="H370" s="243">
        <f t="shared" si="33"/>
        <v>2866360</v>
      </c>
      <c r="I370" s="156"/>
    </row>
    <row r="371" spans="1:9" s="9" customFormat="1" ht="35.1" customHeight="1" x14ac:dyDescent="0.25">
      <c r="A371" s="255" t="s">
        <v>487</v>
      </c>
      <c r="B371" s="254" t="s">
        <v>488</v>
      </c>
      <c r="C371" s="255" t="s">
        <v>284</v>
      </c>
      <c r="D371" s="242">
        <v>2</v>
      </c>
      <c r="E371" s="242">
        <v>1</v>
      </c>
      <c r="F371" s="242">
        <f t="shared" si="32"/>
        <v>3</v>
      </c>
      <c r="G371" s="243">
        <v>288238</v>
      </c>
      <c r="H371" s="243">
        <f t="shared" si="33"/>
        <v>864714</v>
      </c>
      <c r="I371" s="156"/>
    </row>
    <row r="372" spans="1:9" s="9" customFormat="1" ht="35.1" customHeight="1" x14ac:dyDescent="0.25">
      <c r="A372" s="255" t="s">
        <v>489</v>
      </c>
      <c r="B372" s="254" t="s">
        <v>490</v>
      </c>
      <c r="C372" s="255" t="s">
        <v>284</v>
      </c>
      <c r="D372" s="242">
        <v>32</v>
      </c>
      <c r="E372" s="242">
        <v>12</v>
      </c>
      <c r="F372" s="242">
        <f t="shared" si="32"/>
        <v>44</v>
      </c>
      <c r="G372" s="243">
        <v>123260</v>
      </c>
      <c r="H372" s="243">
        <f t="shared" si="33"/>
        <v>5423440</v>
      </c>
      <c r="I372" s="156"/>
    </row>
    <row r="373" spans="1:9" s="9" customFormat="1" ht="35.1" customHeight="1" x14ac:dyDescent="0.25">
      <c r="A373" s="255" t="s">
        <v>491</v>
      </c>
      <c r="B373" s="254" t="s">
        <v>492</v>
      </c>
      <c r="C373" s="255" t="s">
        <v>284</v>
      </c>
      <c r="D373" s="242">
        <v>27</v>
      </c>
      <c r="E373" s="242">
        <v>10</v>
      </c>
      <c r="F373" s="242">
        <f t="shared" si="32"/>
        <v>37</v>
      </c>
      <c r="G373" s="243">
        <v>129848</v>
      </c>
      <c r="H373" s="243">
        <f t="shared" si="33"/>
        <v>4804376</v>
      </c>
      <c r="I373" s="156"/>
    </row>
    <row r="374" spans="1:9" s="9" customFormat="1" ht="35.1" customHeight="1" x14ac:dyDescent="0.25">
      <c r="A374" s="255" t="s">
        <v>493</v>
      </c>
      <c r="B374" s="254" t="s">
        <v>494</v>
      </c>
      <c r="C374" s="255" t="s">
        <v>284</v>
      </c>
      <c r="D374" s="242">
        <v>6</v>
      </c>
      <c r="E374" s="242">
        <v>2</v>
      </c>
      <c r="F374" s="242">
        <f t="shared" si="32"/>
        <v>8</v>
      </c>
      <c r="G374" s="243">
        <v>1646911</v>
      </c>
      <c r="H374" s="243">
        <f t="shared" si="33"/>
        <v>13175288</v>
      </c>
      <c r="I374" s="156"/>
    </row>
    <row r="375" spans="1:9" s="9" customFormat="1" ht="35.1" customHeight="1" x14ac:dyDescent="0.25">
      <c r="A375" s="266">
        <v>14</v>
      </c>
      <c r="B375" s="267" t="s">
        <v>495</v>
      </c>
      <c r="C375" s="267"/>
      <c r="D375" s="268"/>
      <c r="E375" s="268"/>
      <c r="F375" s="268"/>
      <c r="G375" s="306">
        <v>0</v>
      </c>
      <c r="H375" s="268"/>
      <c r="I375" s="156"/>
    </row>
    <row r="376" spans="1:9" s="9" customFormat="1" ht="35.1" customHeight="1" x14ac:dyDescent="0.25">
      <c r="A376" s="283" t="s">
        <v>496</v>
      </c>
      <c r="B376" s="278" t="s">
        <v>497</v>
      </c>
      <c r="C376" s="256"/>
      <c r="D376" s="246"/>
      <c r="E376" s="246"/>
      <c r="F376" s="246"/>
      <c r="G376" s="303">
        <v>0</v>
      </c>
      <c r="H376" s="246"/>
      <c r="I376" s="156"/>
    </row>
    <row r="377" spans="1:9" s="9" customFormat="1" ht="35.1" customHeight="1" x14ac:dyDescent="0.25">
      <c r="A377" s="255" t="s">
        <v>498</v>
      </c>
      <c r="B377" s="87" t="s">
        <v>499</v>
      </c>
      <c r="C377" s="255" t="s">
        <v>374</v>
      </c>
      <c r="D377" s="242">
        <v>153</v>
      </c>
      <c r="E377" s="242">
        <v>57</v>
      </c>
      <c r="F377" s="242">
        <f t="shared" ref="F377:F392" si="34">+E377+D377</f>
        <v>210</v>
      </c>
      <c r="G377" s="243">
        <v>85196</v>
      </c>
      <c r="H377" s="243">
        <f t="shared" ref="H377:H392" si="35">ROUND(+G377*F377,2)</f>
        <v>17891160</v>
      </c>
      <c r="I377" s="156"/>
    </row>
    <row r="378" spans="1:9" s="9" customFormat="1" ht="35.1" customHeight="1" x14ac:dyDescent="0.25">
      <c r="A378" s="255" t="s">
        <v>500</v>
      </c>
      <c r="B378" s="87" t="s">
        <v>501</v>
      </c>
      <c r="C378" s="255" t="s">
        <v>374</v>
      </c>
      <c r="D378" s="242">
        <v>82</v>
      </c>
      <c r="E378" s="242">
        <v>30</v>
      </c>
      <c r="F378" s="242">
        <f t="shared" si="34"/>
        <v>112</v>
      </c>
      <c r="G378" s="243">
        <v>77072</v>
      </c>
      <c r="H378" s="243">
        <f t="shared" si="35"/>
        <v>8632064</v>
      </c>
      <c r="I378" s="156"/>
    </row>
    <row r="379" spans="1:9" s="9" customFormat="1" ht="35.1" customHeight="1" x14ac:dyDescent="0.25">
      <c r="A379" s="255" t="s">
        <v>502</v>
      </c>
      <c r="B379" s="254" t="s">
        <v>503</v>
      </c>
      <c r="C379" s="255" t="s">
        <v>374</v>
      </c>
      <c r="D379" s="242">
        <v>121</v>
      </c>
      <c r="E379" s="242">
        <v>45</v>
      </c>
      <c r="F379" s="242">
        <f t="shared" si="34"/>
        <v>166</v>
      </c>
      <c r="G379" s="243">
        <v>72264</v>
      </c>
      <c r="H379" s="243">
        <f t="shared" si="35"/>
        <v>11995824</v>
      </c>
      <c r="I379" s="156"/>
    </row>
    <row r="380" spans="1:9" s="9" customFormat="1" ht="35.1" customHeight="1" x14ac:dyDescent="0.25">
      <c r="A380" s="255" t="s">
        <v>504</v>
      </c>
      <c r="B380" s="254" t="s">
        <v>505</v>
      </c>
      <c r="C380" s="255" t="s">
        <v>374</v>
      </c>
      <c r="D380" s="242">
        <v>50</v>
      </c>
      <c r="E380" s="242">
        <v>19</v>
      </c>
      <c r="F380" s="242">
        <f t="shared" si="34"/>
        <v>69</v>
      </c>
      <c r="G380" s="243">
        <v>72264</v>
      </c>
      <c r="H380" s="243">
        <f t="shared" si="35"/>
        <v>4986216</v>
      </c>
      <c r="I380" s="156"/>
    </row>
    <row r="381" spans="1:9" s="9" customFormat="1" ht="35.1" customHeight="1" x14ac:dyDescent="0.25">
      <c r="A381" s="255" t="s">
        <v>506</v>
      </c>
      <c r="B381" s="254" t="s">
        <v>507</v>
      </c>
      <c r="C381" s="255" t="s">
        <v>374</v>
      </c>
      <c r="D381" s="242">
        <v>184</v>
      </c>
      <c r="E381" s="242">
        <v>68</v>
      </c>
      <c r="F381" s="242">
        <f t="shared" si="34"/>
        <v>252</v>
      </c>
      <c r="G381" s="243">
        <v>72264</v>
      </c>
      <c r="H381" s="243">
        <f t="shared" si="35"/>
        <v>18210528</v>
      </c>
      <c r="I381" s="156"/>
    </row>
    <row r="382" spans="1:9" s="9" customFormat="1" ht="35.1" customHeight="1" x14ac:dyDescent="0.25">
      <c r="A382" s="255" t="s">
        <v>508</v>
      </c>
      <c r="B382" s="254" t="s">
        <v>509</v>
      </c>
      <c r="C382" s="255" t="s">
        <v>374</v>
      </c>
      <c r="D382" s="242">
        <v>6</v>
      </c>
      <c r="E382" s="242">
        <v>2</v>
      </c>
      <c r="F382" s="242">
        <f t="shared" si="34"/>
        <v>8</v>
      </c>
      <c r="G382" s="243">
        <v>69983</v>
      </c>
      <c r="H382" s="243">
        <f t="shared" si="35"/>
        <v>559864</v>
      </c>
      <c r="I382" s="156"/>
    </row>
    <row r="383" spans="1:9" s="9" customFormat="1" ht="35.1" customHeight="1" x14ac:dyDescent="0.25">
      <c r="A383" s="255" t="s">
        <v>510</v>
      </c>
      <c r="B383" s="254" t="s">
        <v>511</v>
      </c>
      <c r="C383" s="255" t="s">
        <v>374</v>
      </c>
      <c r="D383" s="242">
        <v>6</v>
      </c>
      <c r="E383" s="242">
        <v>2</v>
      </c>
      <c r="F383" s="242">
        <f t="shared" si="34"/>
        <v>8</v>
      </c>
      <c r="G383" s="243">
        <v>76723</v>
      </c>
      <c r="H383" s="243">
        <f t="shared" si="35"/>
        <v>613784</v>
      </c>
      <c r="I383" s="156"/>
    </row>
    <row r="384" spans="1:9" s="9" customFormat="1" ht="35.1" customHeight="1" x14ac:dyDescent="0.25">
      <c r="A384" s="255" t="s">
        <v>512</v>
      </c>
      <c r="B384" s="254" t="s">
        <v>513</v>
      </c>
      <c r="C384" s="255" t="s">
        <v>374</v>
      </c>
      <c r="D384" s="242">
        <v>67</v>
      </c>
      <c r="E384" s="242">
        <v>25</v>
      </c>
      <c r="F384" s="242">
        <f t="shared" si="34"/>
        <v>92</v>
      </c>
      <c r="G384" s="243">
        <v>76723</v>
      </c>
      <c r="H384" s="243">
        <f t="shared" si="35"/>
        <v>7058516</v>
      </c>
      <c r="I384" s="156"/>
    </row>
    <row r="385" spans="1:9" s="9" customFormat="1" ht="35.1" customHeight="1" x14ac:dyDescent="0.25">
      <c r="A385" s="255" t="s">
        <v>514</v>
      </c>
      <c r="B385" s="254" t="s">
        <v>515</v>
      </c>
      <c r="C385" s="255" t="s">
        <v>374</v>
      </c>
      <c r="D385" s="242">
        <v>10</v>
      </c>
      <c r="E385" s="242">
        <v>4</v>
      </c>
      <c r="F385" s="242">
        <f t="shared" si="34"/>
        <v>14</v>
      </c>
      <c r="G385" s="243">
        <v>76723</v>
      </c>
      <c r="H385" s="243">
        <f t="shared" si="35"/>
        <v>1074122</v>
      </c>
      <c r="I385" s="156"/>
    </row>
    <row r="386" spans="1:9" s="9" customFormat="1" ht="35.1" customHeight="1" x14ac:dyDescent="0.25">
      <c r="A386" s="255" t="s">
        <v>516</v>
      </c>
      <c r="B386" s="87" t="s">
        <v>517</v>
      </c>
      <c r="C386" s="255" t="s">
        <v>374</v>
      </c>
      <c r="D386" s="242">
        <v>42</v>
      </c>
      <c r="E386" s="242">
        <v>16</v>
      </c>
      <c r="F386" s="242">
        <f t="shared" si="34"/>
        <v>58</v>
      </c>
      <c r="G386" s="243">
        <v>82051</v>
      </c>
      <c r="H386" s="243">
        <f t="shared" si="35"/>
        <v>4758958</v>
      </c>
      <c r="I386" s="156"/>
    </row>
    <row r="387" spans="1:9" s="9" customFormat="1" ht="35.1" customHeight="1" x14ac:dyDescent="0.25">
      <c r="A387" s="255" t="s">
        <v>518</v>
      </c>
      <c r="B387" s="87" t="s">
        <v>519</v>
      </c>
      <c r="C387" s="255" t="s">
        <v>374</v>
      </c>
      <c r="D387" s="242">
        <v>18</v>
      </c>
      <c r="E387" s="242">
        <v>6</v>
      </c>
      <c r="F387" s="242">
        <f t="shared" si="34"/>
        <v>24</v>
      </c>
      <c r="G387" s="243">
        <v>88968</v>
      </c>
      <c r="H387" s="243">
        <f t="shared" si="35"/>
        <v>2135232</v>
      </c>
      <c r="I387" s="156"/>
    </row>
    <row r="388" spans="1:9" s="9" customFormat="1" ht="35.1" customHeight="1" x14ac:dyDescent="0.25">
      <c r="A388" s="255" t="s">
        <v>520</v>
      </c>
      <c r="B388" s="87" t="s">
        <v>521</v>
      </c>
      <c r="C388" s="255" t="s">
        <v>374</v>
      </c>
      <c r="D388" s="242">
        <v>6</v>
      </c>
      <c r="E388" s="242">
        <v>2</v>
      </c>
      <c r="F388" s="242">
        <f t="shared" si="34"/>
        <v>8</v>
      </c>
      <c r="G388" s="243">
        <v>90830</v>
      </c>
      <c r="H388" s="243">
        <f t="shared" si="35"/>
        <v>726640</v>
      </c>
      <c r="I388" s="156"/>
    </row>
    <row r="389" spans="1:9" s="9" customFormat="1" ht="35.1" customHeight="1" x14ac:dyDescent="0.25">
      <c r="A389" s="255" t="s">
        <v>522</v>
      </c>
      <c r="B389" s="87" t="s">
        <v>523</v>
      </c>
      <c r="C389" s="255" t="s">
        <v>374</v>
      </c>
      <c r="D389" s="242">
        <v>4</v>
      </c>
      <c r="E389" s="242">
        <v>2</v>
      </c>
      <c r="F389" s="242">
        <f t="shared" si="34"/>
        <v>6</v>
      </c>
      <c r="G389" s="243">
        <v>99247</v>
      </c>
      <c r="H389" s="243">
        <f t="shared" si="35"/>
        <v>595482</v>
      </c>
      <c r="I389" s="156"/>
    </row>
    <row r="390" spans="1:9" s="9" customFormat="1" ht="35.1" customHeight="1" x14ac:dyDescent="0.25">
      <c r="A390" s="255" t="s">
        <v>524</v>
      </c>
      <c r="B390" s="254" t="s">
        <v>525</v>
      </c>
      <c r="C390" s="255" t="s">
        <v>374</v>
      </c>
      <c r="D390" s="242">
        <v>12</v>
      </c>
      <c r="E390" s="242">
        <v>5</v>
      </c>
      <c r="F390" s="242">
        <f t="shared" si="34"/>
        <v>17</v>
      </c>
      <c r="G390" s="243">
        <v>93144</v>
      </c>
      <c r="H390" s="243">
        <f t="shared" si="35"/>
        <v>1583448</v>
      </c>
      <c r="I390" s="156"/>
    </row>
    <row r="391" spans="1:9" s="9" customFormat="1" ht="35.1" customHeight="1" x14ac:dyDescent="0.25">
      <c r="A391" s="255" t="s">
        <v>526</v>
      </c>
      <c r="B391" s="254" t="s">
        <v>527</v>
      </c>
      <c r="C391" s="255" t="s">
        <v>374</v>
      </c>
      <c r="D391" s="242">
        <v>4</v>
      </c>
      <c r="E391" s="242">
        <v>1</v>
      </c>
      <c r="F391" s="242">
        <f t="shared" si="34"/>
        <v>5</v>
      </c>
      <c r="G391" s="243">
        <v>105026</v>
      </c>
      <c r="H391" s="243">
        <f t="shared" si="35"/>
        <v>525130</v>
      </c>
      <c r="I391" s="156"/>
    </row>
    <row r="392" spans="1:9" s="9" customFormat="1" ht="35.1" customHeight="1" x14ac:dyDescent="0.25">
      <c r="A392" s="255" t="s">
        <v>528</v>
      </c>
      <c r="B392" s="254" t="s">
        <v>529</v>
      </c>
      <c r="C392" s="255" t="s">
        <v>269</v>
      </c>
      <c r="D392" s="242">
        <v>474</v>
      </c>
      <c r="E392" s="242">
        <v>176</v>
      </c>
      <c r="F392" s="242">
        <f t="shared" si="34"/>
        <v>650</v>
      </c>
      <c r="G392" s="243">
        <v>1748</v>
      </c>
      <c r="H392" s="243">
        <f t="shared" si="35"/>
        <v>1136200</v>
      </c>
      <c r="I392" s="156"/>
    </row>
    <row r="393" spans="1:9" s="9" customFormat="1" ht="35.1" customHeight="1" x14ac:dyDescent="0.25">
      <c r="A393" s="283" t="s">
        <v>530</v>
      </c>
      <c r="B393" s="256" t="s">
        <v>531</v>
      </c>
      <c r="C393" s="256"/>
      <c r="D393" s="246"/>
      <c r="E393" s="246"/>
      <c r="F393" s="246"/>
      <c r="G393" s="303">
        <v>0</v>
      </c>
      <c r="H393" s="246"/>
      <c r="I393" s="156"/>
    </row>
    <row r="394" spans="1:9" s="9" customFormat="1" ht="35.1" customHeight="1" x14ac:dyDescent="0.25">
      <c r="A394" s="255" t="s">
        <v>532</v>
      </c>
      <c r="B394" s="254" t="s">
        <v>533</v>
      </c>
      <c r="C394" s="255" t="s">
        <v>284</v>
      </c>
      <c r="D394" s="242">
        <v>264</v>
      </c>
      <c r="E394" s="242">
        <v>97</v>
      </c>
      <c r="F394" s="242">
        <f>+E394+D394</f>
        <v>361</v>
      </c>
      <c r="G394" s="243">
        <v>84631</v>
      </c>
      <c r="H394" s="243">
        <f>ROUND(+G394*F394,2)</f>
        <v>30551791</v>
      </c>
      <c r="I394" s="156"/>
    </row>
    <row r="395" spans="1:9" s="9" customFormat="1" ht="35.1" customHeight="1" x14ac:dyDescent="0.25">
      <c r="A395" s="255" t="s">
        <v>534</v>
      </c>
      <c r="B395" s="254" t="s">
        <v>535</v>
      </c>
      <c r="C395" s="255" t="s">
        <v>284</v>
      </c>
      <c r="D395" s="242">
        <v>5</v>
      </c>
      <c r="E395" s="242">
        <v>2</v>
      </c>
      <c r="F395" s="242">
        <f>+E395+D395</f>
        <v>7</v>
      </c>
      <c r="G395" s="243">
        <v>114408</v>
      </c>
      <c r="H395" s="243">
        <f>ROUND(+G395*F395,2)</f>
        <v>800856</v>
      </c>
      <c r="I395" s="156"/>
    </row>
    <row r="396" spans="1:9" s="9" customFormat="1" ht="35.1" customHeight="1" x14ac:dyDescent="0.25">
      <c r="A396" s="255" t="s">
        <v>536</v>
      </c>
      <c r="B396" s="254" t="s">
        <v>537</v>
      </c>
      <c r="C396" s="255" t="s">
        <v>284</v>
      </c>
      <c r="D396" s="242">
        <v>18</v>
      </c>
      <c r="E396" s="242">
        <v>7</v>
      </c>
      <c r="F396" s="242">
        <f>+E396+D396</f>
        <v>25</v>
      </c>
      <c r="G396" s="243">
        <v>85646</v>
      </c>
      <c r="H396" s="243">
        <f>ROUND(+G396*F396,2)</f>
        <v>2141150</v>
      </c>
      <c r="I396" s="156"/>
    </row>
    <row r="397" spans="1:9" s="9" customFormat="1" ht="35.1" customHeight="1" x14ac:dyDescent="0.25">
      <c r="A397" s="255" t="s">
        <v>538</v>
      </c>
      <c r="B397" s="87" t="s">
        <v>539</v>
      </c>
      <c r="C397" s="255" t="s">
        <v>284</v>
      </c>
      <c r="D397" s="242">
        <v>3</v>
      </c>
      <c r="E397" s="242">
        <v>1</v>
      </c>
      <c r="F397" s="242">
        <f>+E397+D397</f>
        <v>4</v>
      </c>
      <c r="G397" s="243">
        <v>103776</v>
      </c>
      <c r="H397" s="243">
        <f>ROUND(+G397*F397,2)</f>
        <v>415104</v>
      </c>
      <c r="I397" s="156"/>
    </row>
    <row r="398" spans="1:9" s="9" customFormat="1" ht="35.1" customHeight="1" x14ac:dyDescent="0.25">
      <c r="A398" s="255" t="s">
        <v>540</v>
      </c>
      <c r="B398" s="254" t="s">
        <v>541</v>
      </c>
      <c r="C398" s="255" t="s">
        <v>269</v>
      </c>
      <c r="D398" s="242">
        <v>985</v>
      </c>
      <c r="E398" s="242">
        <v>365</v>
      </c>
      <c r="F398" s="242">
        <f>+E398+D398</f>
        <v>1350</v>
      </c>
      <c r="G398" s="243">
        <v>1748</v>
      </c>
      <c r="H398" s="243">
        <f>ROUND(+G398*F398,2)</f>
        <v>2359800</v>
      </c>
      <c r="I398" s="156"/>
    </row>
    <row r="399" spans="1:9" s="9" customFormat="1" ht="35.1" customHeight="1" x14ac:dyDescent="0.25">
      <c r="A399" s="283" t="s">
        <v>542</v>
      </c>
      <c r="B399" s="256" t="s">
        <v>543</v>
      </c>
      <c r="C399" s="256"/>
      <c r="D399" s="246"/>
      <c r="E399" s="246"/>
      <c r="F399" s="246"/>
      <c r="G399" s="303">
        <v>0</v>
      </c>
      <c r="H399" s="246"/>
      <c r="I399" s="156"/>
    </row>
    <row r="400" spans="1:9" s="9" customFormat="1" ht="35.1" customHeight="1" x14ac:dyDescent="0.25">
      <c r="A400" s="255" t="s">
        <v>544</v>
      </c>
      <c r="B400" s="87" t="s">
        <v>545</v>
      </c>
      <c r="C400" s="255" t="s">
        <v>374</v>
      </c>
      <c r="D400" s="242">
        <v>39</v>
      </c>
      <c r="E400" s="242">
        <v>15</v>
      </c>
      <c r="F400" s="242">
        <f>+E400+D400</f>
        <v>54</v>
      </c>
      <c r="G400" s="243">
        <v>125189</v>
      </c>
      <c r="H400" s="243">
        <f>ROUND(+G400*F400,2)</f>
        <v>6760206</v>
      </c>
      <c r="I400" s="156"/>
    </row>
    <row r="401" spans="1:9" s="9" customFormat="1" ht="35.1" customHeight="1" x14ac:dyDescent="0.25">
      <c r="A401" s="255" t="s">
        <v>546</v>
      </c>
      <c r="B401" s="87" t="s">
        <v>547</v>
      </c>
      <c r="C401" s="255" t="s">
        <v>374</v>
      </c>
      <c r="D401" s="242">
        <v>80</v>
      </c>
      <c r="E401" s="242">
        <v>29</v>
      </c>
      <c r="F401" s="242">
        <f>+E401+D401</f>
        <v>109</v>
      </c>
      <c r="G401" s="243">
        <v>115393</v>
      </c>
      <c r="H401" s="243">
        <f>ROUND(+G401*F401,2)</f>
        <v>12577837</v>
      </c>
      <c r="I401" s="156"/>
    </row>
    <row r="402" spans="1:9" s="9" customFormat="1" ht="35.1" customHeight="1" x14ac:dyDescent="0.25">
      <c r="A402" s="255" t="s">
        <v>548</v>
      </c>
      <c r="B402" s="87" t="s">
        <v>549</v>
      </c>
      <c r="C402" s="255" t="s">
        <v>269</v>
      </c>
      <c r="D402" s="242">
        <v>36</v>
      </c>
      <c r="E402" s="242">
        <v>14</v>
      </c>
      <c r="F402" s="242">
        <f>+E402+D402</f>
        <v>50</v>
      </c>
      <c r="G402" s="243">
        <v>11721</v>
      </c>
      <c r="H402" s="243">
        <f>ROUND(+G402*F402,2)</f>
        <v>586050</v>
      </c>
      <c r="I402" s="156"/>
    </row>
    <row r="403" spans="1:9" s="9" customFormat="1" ht="35.1" customHeight="1" x14ac:dyDescent="0.25">
      <c r="A403" s="255" t="s">
        <v>550</v>
      </c>
      <c r="B403" s="87" t="s">
        <v>551</v>
      </c>
      <c r="C403" s="255" t="s">
        <v>269</v>
      </c>
      <c r="D403" s="242">
        <v>1496</v>
      </c>
      <c r="E403" s="242">
        <v>554</v>
      </c>
      <c r="F403" s="242">
        <f>+E403+D403</f>
        <v>2050</v>
      </c>
      <c r="G403" s="243">
        <v>1748</v>
      </c>
      <c r="H403" s="243">
        <f>ROUND(+G403*F403,2)</f>
        <v>3583400</v>
      </c>
      <c r="I403" s="156"/>
    </row>
    <row r="404" spans="1:9" s="9" customFormat="1" ht="35.1" customHeight="1" x14ac:dyDescent="0.25">
      <c r="A404" s="266">
        <v>15</v>
      </c>
      <c r="B404" s="267" t="s">
        <v>552</v>
      </c>
      <c r="C404" s="267"/>
      <c r="D404" s="268"/>
      <c r="E404" s="268"/>
      <c r="F404" s="268"/>
      <c r="G404" s="306">
        <v>0</v>
      </c>
      <c r="H404" s="268"/>
      <c r="I404" s="156"/>
    </row>
    <row r="405" spans="1:9" s="9" customFormat="1" ht="35.1" customHeight="1" x14ac:dyDescent="0.25">
      <c r="A405" s="289" t="s">
        <v>553</v>
      </c>
      <c r="B405" s="256" t="s">
        <v>554</v>
      </c>
      <c r="C405" s="256"/>
      <c r="D405" s="246"/>
      <c r="E405" s="246"/>
      <c r="F405" s="246"/>
      <c r="G405" s="303">
        <v>0</v>
      </c>
      <c r="H405" s="246"/>
      <c r="I405" s="156"/>
    </row>
    <row r="406" spans="1:9" s="9" customFormat="1" ht="35.1" customHeight="1" x14ac:dyDescent="0.25">
      <c r="A406" s="255" t="s">
        <v>555</v>
      </c>
      <c r="B406" s="87" t="s">
        <v>556</v>
      </c>
      <c r="C406" s="255" t="s">
        <v>269</v>
      </c>
      <c r="D406" s="242">
        <v>194</v>
      </c>
      <c r="E406" s="242">
        <v>72</v>
      </c>
      <c r="F406" s="242">
        <f t="shared" ref="F406:F411" si="36">+E406+D406</f>
        <v>266</v>
      </c>
      <c r="G406" s="243">
        <v>107979</v>
      </c>
      <c r="H406" s="243">
        <f t="shared" ref="H406:H411" si="37">ROUND(+G406*F406,2)</f>
        <v>28722414</v>
      </c>
      <c r="I406" s="156"/>
    </row>
    <row r="407" spans="1:9" s="9" customFormat="1" ht="35.1" customHeight="1" x14ac:dyDescent="0.25">
      <c r="A407" s="255" t="s">
        <v>557</v>
      </c>
      <c r="B407" s="254" t="s">
        <v>558</v>
      </c>
      <c r="C407" s="255" t="s">
        <v>284</v>
      </c>
      <c r="D407" s="242">
        <v>8</v>
      </c>
      <c r="E407" s="242">
        <v>3</v>
      </c>
      <c r="F407" s="242">
        <f t="shared" si="36"/>
        <v>11</v>
      </c>
      <c r="G407" s="243">
        <v>138654</v>
      </c>
      <c r="H407" s="243">
        <f t="shared" si="37"/>
        <v>1525194</v>
      </c>
      <c r="I407" s="156"/>
    </row>
    <row r="408" spans="1:9" s="9" customFormat="1" ht="35.1" customHeight="1" x14ac:dyDescent="0.25">
      <c r="A408" s="255" t="s">
        <v>559</v>
      </c>
      <c r="B408" s="254" t="s">
        <v>560</v>
      </c>
      <c r="C408" s="255" t="s">
        <v>284</v>
      </c>
      <c r="D408" s="242">
        <v>91</v>
      </c>
      <c r="E408" s="242">
        <v>34</v>
      </c>
      <c r="F408" s="242">
        <f t="shared" si="36"/>
        <v>125</v>
      </c>
      <c r="G408" s="243">
        <v>30752</v>
      </c>
      <c r="H408" s="243">
        <f t="shared" si="37"/>
        <v>3844000</v>
      </c>
      <c r="I408" s="156"/>
    </row>
    <row r="409" spans="1:9" s="9" customFormat="1" ht="35.1" customHeight="1" x14ac:dyDescent="0.25">
      <c r="A409" s="255" t="s">
        <v>561</v>
      </c>
      <c r="B409" s="87" t="s">
        <v>562</v>
      </c>
      <c r="C409" s="255" t="s">
        <v>269</v>
      </c>
      <c r="D409" s="242">
        <v>67</v>
      </c>
      <c r="E409" s="242">
        <v>25</v>
      </c>
      <c r="F409" s="242">
        <f t="shared" si="36"/>
        <v>92</v>
      </c>
      <c r="G409" s="243">
        <v>201005</v>
      </c>
      <c r="H409" s="243">
        <f t="shared" si="37"/>
        <v>18492460</v>
      </c>
      <c r="I409" s="156"/>
    </row>
    <row r="410" spans="1:9" s="9" customFormat="1" ht="35.1" customHeight="1" x14ac:dyDescent="0.25">
      <c r="A410" s="255" t="s">
        <v>563</v>
      </c>
      <c r="B410" s="254" t="s">
        <v>564</v>
      </c>
      <c r="C410" s="255" t="s">
        <v>284</v>
      </c>
      <c r="D410" s="242">
        <v>2</v>
      </c>
      <c r="E410" s="242">
        <v>1</v>
      </c>
      <c r="F410" s="242">
        <f t="shared" si="36"/>
        <v>3</v>
      </c>
      <c r="G410" s="243">
        <v>166382</v>
      </c>
      <c r="H410" s="243">
        <f t="shared" si="37"/>
        <v>499146</v>
      </c>
      <c r="I410" s="156"/>
    </row>
    <row r="411" spans="1:9" s="9" customFormat="1" ht="35.1" customHeight="1" x14ac:dyDescent="0.25">
      <c r="A411" s="255" t="s">
        <v>565</v>
      </c>
      <c r="B411" s="254" t="s">
        <v>566</v>
      </c>
      <c r="C411" s="255" t="s">
        <v>284</v>
      </c>
      <c r="D411" s="242">
        <v>34</v>
      </c>
      <c r="E411" s="242">
        <v>12</v>
      </c>
      <c r="F411" s="242">
        <f t="shared" si="36"/>
        <v>46</v>
      </c>
      <c r="G411" s="243">
        <v>30752</v>
      </c>
      <c r="H411" s="243">
        <f t="shared" si="37"/>
        <v>1414592</v>
      </c>
      <c r="I411" s="156"/>
    </row>
    <row r="412" spans="1:9" s="9" customFormat="1" ht="35.1" customHeight="1" x14ac:dyDescent="0.25">
      <c r="A412" s="289" t="s">
        <v>567</v>
      </c>
      <c r="B412" s="256" t="s">
        <v>568</v>
      </c>
      <c r="C412" s="256"/>
      <c r="D412" s="246"/>
      <c r="E412" s="246"/>
      <c r="F412" s="246"/>
      <c r="G412" s="303">
        <v>0</v>
      </c>
      <c r="H412" s="246"/>
      <c r="I412" s="156"/>
    </row>
    <row r="413" spans="1:9" s="9" customFormat="1" ht="35.1" customHeight="1" x14ac:dyDescent="0.25">
      <c r="A413" s="255" t="s">
        <v>569</v>
      </c>
      <c r="B413" s="254" t="s">
        <v>570</v>
      </c>
      <c r="C413" s="255" t="s">
        <v>269</v>
      </c>
      <c r="D413" s="242">
        <v>182</v>
      </c>
      <c r="E413" s="242">
        <v>68</v>
      </c>
      <c r="F413" s="242">
        <f>+E413+D413</f>
        <v>250</v>
      </c>
      <c r="G413" s="243">
        <v>30603</v>
      </c>
      <c r="H413" s="243">
        <f>ROUND(+G413*F413,2)</f>
        <v>7650750</v>
      </c>
      <c r="I413" s="156"/>
    </row>
    <row r="414" spans="1:9" s="9" customFormat="1" ht="35.1" customHeight="1" x14ac:dyDescent="0.25">
      <c r="A414" s="255" t="s">
        <v>571</v>
      </c>
      <c r="B414" s="254" t="s">
        <v>572</v>
      </c>
      <c r="C414" s="255" t="s">
        <v>374</v>
      </c>
      <c r="D414" s="242">
        <v>80</v>
      </c>
      <c r="E414" s="242">
        <v>29</v>
      </c>
      <c r="F414" s="242">
        <f>+E414+D414</f>
        <v>109</v>
      </c>
      <c r="G414" s="243">
        <v>23878</v>
      </c>
      <c r="H414" s="243">
        <f>ROUND(+G414*F414,2)</f>
        <v>2602702</v>
      </c>
      <c r="I414" s="156"/>
    </row>
    <row r="415" spans="1:9" s="9" customFormat="1" ht="35.1" customHeight="1" x14ac:dyDescent="0.25">
      <c r="A415" s="289" t="s">
        <v>573</v>
      </c>
      <c r="B415" s="256" t="s">
        <v>574</v>
      </c>
      <c r="C415" s="256"/>
      <c r="D415" s="246"/>
      <c r="E415" s="246"/>
      <c r="F415" s="246"/>
      <c r="G415" s="303">
        <v>0</v>
      </c>
      <c r="H415" s="246"/>
      <c r="I415" s="156"/>
    </row>
    <row r="416" spans="1:9" s="9" customFormat="1" ht="35.1" customHeight="1" x14ac:dyDescent="0.25">
      <c r="A416" s="255" t="s">
        <v>575</v>
      </c>
      <c r="B416" s="254" t="s">
        <v>576</v>
      </c>
      <c r="C416" s="255" t="s">
        <v>374</v>
      </c>
      <c r="D416" s="242">
        <v>0</v>
      </c>
      <c r="E416" s="242">
        <v>1</v>
      </c>
      <c r="F416" s="242">
        <f t="shared" ref="F416:F425" si="38">+E416+D416</f>
        <v>1</v>
      </c>
      <c r="G416" s="243">
        <v>73526124</v>
      </c>
      <c r="H416" s="243">
        <f t="shared" ref="H416:H425" si="39">ROUND(+G416*F416,2)</f>
        <v>73526124</v>
      </c>
      <c r="I416" s="156"/>
    </row>
    <row r="417" spans="1:9" s="9" customFormat="1" ht="35.1" customHeight="1" x14ac:dyDescent="0.25">
      <c r="A417" s="255" t="s">
        <v>577</v>
      </c>
      <c r="B417" s="254" t="s">
        <v>578</v>
      </c>
      <c r="C417" s="255" t="s">
        <v>374</v>
      </c>
      <c r="D417" s="242">
        <v>0</v>
      </c>
      <c r="E417" s="242">
        <v>1</v>
      </c>
      <c r="F417" s="242">
        <f t="shared" si="38"/>
        <v>1</v>
      </c>
      <c r="G417" s="243">
        <v>5443884</v>
      </c>
      <c r="H417" s="243">
        <f t="shared" si="39"/>
        <v>5443884</v>
      </c>
      <c r="I417" s="156"/>
    </row>
    <row r="418" spans="1:9" s="9" customFormat="1" ht="35.1" customHeight="1" x14ac:dyDescent="0.25">
      <c r="A418" s="255" t="s">
        <v>579</v>
      </c>
      <c r="B418" s="254" t="s">
        <v>580</v>
      </c>
      <c r="C418" s="255" t="s">
        <v>374</v>
      </c>
      <c r="D418" s="242">
        <v>0</v>
      </c>
      <c r="E418" s="242">
        <v>1</v>
      </c>
      <c r="F418" s="242">
        <f t="shared" si="38"/>
        <v>1</v>
      </c>
      <c r="G418" s="243">
        <v>202604</v>
      </c>
      <c r="H418" s="243">
        <f t="shared" si="39"/>
        <v>202604</v>
      </c>
      <c r="I418" s="156"/>
    </row>
    <row r="419" spans="1:9" s="9" customFormat="1" ht="35.1" customHeight="1" x14ac:dyDescent="0.25">
      <c r="A419" s="255" t="s">
        <v>581</v>
      </c>
      <c r="B419" s="254" t="s">
        <v>1225</v>
      </c>
      <c r="C419" s="255" t="s">
        <v>374</v>
      </c>
      <c r="D419" s="242">
        <v>0</v>
      </c>
      <c r="E419" s="242">
        <v>1</v>
      </c>
      <c r="F419" s="242">
        <f t="shared" si="38"/>
        <v>1</v>
      </c>
      <c r="G419" s="243">
        <v>165116</v>
      </c>
      <c r="H419" s="243">
        <f t="shared" si="39"/>
        <v>165116</v>
      </c>
      <c r="I419" s="156"/>
    </row>
    <row r="420" spans="1:9" s="9" customFormat="1" ht="35.1" customHeight="1" x14ac:dyDescent="0.25">
      <c r="A420" s="255" t="s">
        <v>583</v>
      </c>
      <c r="B420" s="254" t="s">
        <v>584</v>
      </c>
      <c r="C420" s="255" t="s">
        <v>374</v>
      </c>
      <c r="D420" s="242">
        <v>0</v>
      </c>
      <c r="E420" s="242">
        <v>1</v>
      </c>
      <c r="F420" s="242">
        <f t="shared" si="38"/>
        <v>1</v>
      </c>
      <c r="G420" s="243">
        <v>332818</v>
      </c>
      <c r="H420" s="243">
        <f t="shared" si="39"/>
        <v>332818</v>
      </c>
      <c r="I420" s="156"/>
    </row>
    <row r="421" spans="1:9" s="9" customFormat="1" ht="35.1" customHeight="1" x14ac:dyDescent="0.25">
      <c r="A421" s="255" t="s">
        <v>585</v>
      </c>
      <c r="B421" s="254" t="s">
        <v>586</v>
      </c>
      <c r="C421" s="255" t="s">
        <v>374</v>
      </c>
      <c r="D421" s="242">
        <v>0</v>
      </c>
      <c r="E421" s="242">
        <v>1</v>
      </c>
      <c r="F421" s="242">
        <f t="shared" si="38"/>
        <v>1</v>
      </c>
      <c r="G421" s="243">
        <v>405750</v>
      </c>
      <c r="H421" s="243">
        <f t="shared" si="39"/>
        <v>405750</v>
      </c>
      <c r="I421" s="156"/>
    </row>
    <row r="422" spans="1:9" s="9" customFormat="1" ht="35.1" customHeight="1" x14ac:dyDescent="0.25">
      <c r="A422" s="255" t="s">
        <v>587</v>
      </c>
      <c r="B422" s="254" t="s">
        <v>1226</v>
      </c>
      <c r="C422" s="255" t="s">
        <v>374</v>
      </c>
      <c r="D422" s="242">
        <v>0</v>
      </c>
      <c r="E422" s="242">
        <v>1</v>
      </c>
      <c r="F422" s="242">
        <f t="shared" si="38"/>
        <v>1</v>
      </c>
      <c r="G422" s="243">
        <v>297041</v>
      </c>
      <c r="H422" s="243">
        <f t="shared" si="39"/>
        <v>297041</v>
      </c>
      <c r="I422" s="156"/>
    </row>
    <row r="423" spans="1:9" s="9" customFormat="1" ht="35.1" customHeight="1" x14ac:dyDescent="0.25">
      <c r="A423" s="255" t="s">
        <v>589</v>
      </c>
      <c r="B423" s="254" t="s">
        <v>590</v>
      </c>
      <c r="C423" s="255" t="s">
        <v>374</v>
      </c>
      <c r="D423" s="242">
        <v>1</v>
      </c>
      <c r="E423" s="242">
        <v>1</v>
      </c>
      <c r="F423" s="242">
        <f t="shared" si="38"/>
        <v>2</v>
      </c>
      <c r="G423" s="243">
        <v>599021</v>
      </c>
      <c r="H423" s="243">
        <f t="shared" si="39"/>
        <v>1198042</v>
      </c>
      <c r="I423" s="156"/>
    </row>
    <row r="424" spans="1:9" s="9" customFormat="1" ht="35.1" customHeight="1" x14ac:dyDescent="0.25">
      <c r="A424" s="255" t="s">
        <v>591</v>
      </c>
      <c r="B424" s="254" t="s">
        <v>1227</v>
      </c>
      <c r="C424" s="255" t="s">
        <v>374</v>
      </c>
      <c r="D424" s="242">
        <v>0</v>
      </c>
      <c r="E424" s="242">
        <v>1</v>
      </c>
      <c r="F424" s="242">
        <f t="shared" si="38"/>
        <v>1</v>
      </c>
      <c r="G424" s="243">
        <v>19225447</v>
      </c>
      <c r="H424" s="243">
        <f t="shared" si="39"/>
        <v>19225447</v>
      </c>
      <c r="I424" s="156"/>
    </row>
    <row r="425" spans="1:9" s="9" customFormat="1" ht="35.1" customHeight="1" x14ac:dyDescent="0.25">
      <c r="A425" s="255" t="s">
        <v>593</v>
      </c>
      <c r="B425" s="254" t="s">
        <v>594</v>
      </c>
      <c r="C425" s="255" t="s">
        <v>374</v>
      </c>
      <c r="D425" s="242">
        <v>2</v>
      </c>
      <c r="E425" s="242">
        <v>1</v>
      </c>
      <c r="F425" s="242">
        <f t="shared" si="38"/>
        <v>3</v>
      </c>
      <c r="G425" s="243">
        <v>1528030</v>
      </c>
      <c r="H425" s="243">
        <f t="shared" si="39"/>
        <v>4584090</v>
      </c>
      <c r="I425" s="156"/>
    </row>
    <row r="426" spans="1:9" s="9" customFormat="1" ht="35.1" customHeight="1" x14ac:dyDescent="0.25">
      <c r="A426" s="289" t="s">
        <v>595</v>
      </c>
      <c r="B426" s="256" t="s">
        <v>596</v>
      </c>
      <c r="C426" s="256"/>
      <c r="D426" s="246"/>
      <c r="E426" s="246"/>
      <c r="F426" s="246"/>
      <c r="G426" s="303">
        <v>0</v>
      </c>
      <c r="H426" s="246"/>
      <c r="I426" s="156"/>
    </row>
    <row r="427" spans="1:9" s="9" customFormat="1" ht="35.1" customHeight="1" x14ac:dyDescent="0.25">
      <c r="A427" s="255" t="s">
        <v>597</v>
      </c>
      <c r="B427" s="254" t="s">
        <v>598</v>
      </c>
      <c r="C427" s="255" t="s">
        <v>269</v>
      </c>
      <c r="D427" s="242">
        <v>0</v>
      </c>
      <c r="E427" s="242">
        <v>20</v>
      </c>
      <c r="F427" s="242">
        <f>+E427+D427</f>
        <v>20</v>
      </c>
      <c r="G427" s="243">
        <v>322883</v>
      </c>
      <c r="H427" s="243">
        <f>ROUND(+G427*F427,2)</f>
        <v>6457660</v>
      </c>
      <c r="I427" s="156"/>
    </row>
    <row r="428" spans="1:9" s="9" customFormat="1" ht="35.1" customHeight="1" x14ac:dyDescent="0.25">
      <c r="A428" s="255" t="s">
        <v>599</v>
      </c>
      <c r="B428" s="254" t="s">
        <v>1228</v>
      </c>
      <c r="C428" s="255" t="s">
        <v>269</v>
      </c>
      <c r="D428" s="242">
        <v>0</v>
      </c>
      <c r="E428" s="242">
        <v>6</v>
      </c>
      <c r="F428" s="242">
        <f>+E428+D428</f>
        <v>6</v>
      </c>
      <c r="G428" s="243">
        <v>1191705</v>
      </c>
      <c r="H428" s="243">
        <f>ROUND(+G428*F428,2)</f>
        <v>7150230</v>
      </c>
      <c r="I428" s="156"/>
    </row>
    <row r="429" spans="1:9" s="9" customFormat="1" ht="35.1" customHeight="1" x14ac:dyDescent="0.25">
      <c r="A429" s="255" t="s">
        <v>601</v>
      </c>
      <c r="B429" s="254" t="s">
        <v>1229</v>
      </c>
      <c r="C429" s="255" t="s">
        <v>269</v>
      </c>
      <c r="D429" s="242">
        <v>0</v>
      </c>
      <c r="E429" s="242">
        <v>5</v>
      </c>
      <c r="F429" s="242">
        <f>+E429+D429</f>
        <v>5</v>
      </c>
      <c r="G429" s="243">
        <v>1253733</v>
      </c>
      <c r="H429" s="243">
        <f>ROUND(+G429*F429,2)</f>
        <v>6268665</v>
      </c>
      <c r="I429" s="156"/>
    </row>
    <row r="430" spans="1:9" s="9" customFormat="1" ht="35.1" customHeight="1" x14ac:dyDescent="0.25">
      <c r="A430" s="289" t="s">
        <v>603</v>
      </c>
      <c r="B430" s="256" t="s">
        <v>596</v>
      </c>
      <c r="C430" s="256"/>
      <c r="D430" s="246"/>
      <c r="E430" s="246"/>
      <c r="F430" s="246"/>
      <c r="G430" s="303">
        <v>0</v>
      </c>
      <c r="H430" s="246"/>
      <c r="I430" s="156"/>
    </row>
    <row r="431" spans="1:9" s="9" customFormat="1" ht="35.1" customHeight="1" x14ac:dyDescent="0.25">
      <c r="A431" s="255" t="s">
        <v>604</v>
      </c>
      <c r="B431" s="254" t="s">
        <v>605</v>
      </c>
      <c r="C431" s="255" t="s">
        <v>269</v>
      </c>
      <c r="D431" s="242">
        <v>0</v>
      </c>
      <c r="E431" s="242">
        <v>8</v>
      </c>
      <c r="F431" s="242">
        <f t="shared" ref="F431:F446" si="40">+E431+D431</f>
        <v>8</v>
      </c>
      <c r="G431" s="243">
        <v>195760</v>
      </c>
      <c r="H431" s="243">
        <f t="shared" ref="H431:H446" si="41">ROUND(+G431*F431,2)</f>
        <v>1566080</v>
      </c>
      <c r="I431" s="156"/>
    </row>
    <row r="432" spans="1:9" s="9" customFormat="1" ht="35.1" customHeight="1" x14ac:dyDescent="0.25">
      <c r="A432" s="255" t="s">
        <v>606</v>
      </c>
      <c r="B432" s="254" t="s">
        <v>607</v>
      </c>
      <c r="C432" s="255" t="s">
        <v>269</v>
      </c>
      <c r="D432" s="242">
        <v>0</v>
      </c>
      <c r="E432" s="242">
        <v>52</v>
      </c>
      <c r="F432" s="242">
        <f t="shared" si="40"/>
        <v>52</v>
      </c>
      <c r="G432" s="243">
        <v>62878</v>
      </c>
      <c r="H432" s="243">
        <f t="shared" si="41"/>
        <v>3269656</v>
      </c>
      <c r="I432" s="156"/>
    </row>
    <row r="433" spans="1:9" s="9" customFormat="1" ht="35.1" customHeight="1" x14ac:dyDescent="0.25">
      <c r="A433" s="255" t="s">
        <v>608</v>
      </c>
      <c r="B433" s="254" t="s">
        <v>609</v>
      </c>
      <c r="C433" s="255" t="s">
        <v>269</v>
      </c>
      <c r="D433" s="242">
        <v>0</v>
      </c>
      <c r="E433" s="242">
        <v>106</v>
      </c>
      <c r="F433" s="242">
        <f t="shared" si="40"/>
        <v>106</v>
      </c>
      <c r="G433" s="243">
        <v>62878</v>
      </c>
      <c r="H433" s="243">
        <f t="shared" si="41"/>
        <v>6665068</v>
      </c>
      <c r="I433" s="156"/>
    </row>
    <row r="434" spans="1:9" s="9" customFormat="1" ht="35.1" customHeight="1" x14ac:dyDescent="0.25">
      <c r="A434" s="255" t="s">
        <v>610</v>
      </c>
      <c r="B434" s="254" t="s">
        <v>611</v>
      </c>
      <c r="C434" s="255" t="s">
        <v>269</v>
      </c>
      <c r="D434" s="242">
        <v>0</v>
      </c>
      <c r="E434" s="242">
        <v>5</v>
      </c>
      <c r="F434" s="242">
        <f t="shared" si="40"/>
        <v>5</v>
      </c>
      <c r="G434" s="243">
        <v>367601</v>
      </c>
      <c r="H434" s="243">
        <f t="shared" si="41"/>
        <v>1838005</v>
      </c>
      <c r="I434" s="156"/>
    </row>
    <row r="435" spans="1:9" s="9" customFormat="1" ht="35.1" customHeight="1" x14ac:dyDescent="0.25">
      <c r="A435" s="255" t="s">
        <v>612</v>
      </c>
      <c r="B435" s="254" t="s">
        <v>613</v>
      </c>
      <c r="C435" s="255" t="s">
        <v>269</v>
      </c>
      <c r="D435" s="242">
        <v>0</v>
      </c>
      <c r="E435" s="242">
        <v>6</v>
      </c>
      <c r="F435" s="242">
        <f t="shared" si="40"/>
        <v>6</v>
      </c>
      <c r="G435" s="243">
        <v>62878</v>
      </c>
      <c r="H435" s="243">
        <f t="shared" si="41"/>
        <v>377268</v>
      </c>
      <c r="I435" s="156"/>
    </row>
    <row r="436" spans="1:9" s="9" customFormat="1" ht="35.1" customHeight="1" x14ac:dyDescent="0.25">
      <c r="A436" s="255" t="s">
        <v>614</v>
      </c>
      <c r="B436" s="254" t="s">
        <v>615</v>
      </c>
      <c r="C436" s="255" t="s">
        <v>269</v>
      </c>
      <c r="D436" s="242">
        <v>0</v>
      </c>
      <c r="E436" s="242">
        <v>60</v>
      </c>
      <c r="F436" s="242">
        <f t="shared" si="40"/>
        <v>60</v>
      </c>
      <c r="G436" s="243">
        <v>132053</v>
      </c>
      <c r="H436" s="243">
        <f t="shared" si="41"/>
        <v>7923180</v>
      </c>
      <c r="I436" s="156"/>
    </row>
    <row r="437" spans="1:9" s="9" customFormat="1" ht="35.1" customHeight="1" x14ac:dyDescent="0.25">
      <c r="A437" s="255" t="s">
        <v>616</v>
      </c>
      <c r="B437" s="254" t="s">
        <v>617</v>
      </c>
      <c r="C437" s="255" t="s">
        <v>269</v>
      </c>
      <c r="D437" s="242">
        <v>0</v>
      </c>
      <c r="E437" s="242">
        <v>64</v>
      </c>
      <c r="F437" s="242">
        <f t="shared" si="40"/>
        <v>64</v>
      </c>
      <c r="G437" s="243">
        <v>195436</v>
      </c>
      <c r="H437" s="243">
        <f t="shared" si="41"/>
        <v>12507904</v>
      </c>
      <c r="I437" s="156"/>
    </row>
    <row r="438" spans="1:9" s="9" customFormat="1" ht="35.1" customHeight="1" x14ac:dyDescent="0.25">
      <c r="A438" s="255" t="s">
        <v>618</v>
      </c>
      <c r="B438" s="254" t="s">
        <v>619</v>
      </c>
      <c r="C438" s="255" t="s">
        <v>269</v>
      </c>
      <c r="D438" s="242">
        <v>0</v>
      </c>
      <c r="E438" s="242">
        <v>68</v>
      </c>
      <c r="F438" s="242">
        <f t="shared" si="40"/>
        <v>68</v>
      </c>
      <c r="G438" s="243">
        <v>195436</v>
      </c>
      <c r="H438" s="243">
        <f t="shared" si="41"/>
        <v>13289648</v>
      </c>
      <c r="I438" s="156"/>
    </row>
    <row r="439" spans="1:9" s="9" customFormat="1" ht="35.1" customHeight="1" x14ac:dyDescent="0.25">
      <c r="A439" s="255" t="s">
        <v>620</v>
      </c>
      <c r="B439" s="254" t="s">
        <v>621</v>
      </c>
      <c r="C439" s="255" t="s">
        <v>269</v>
      </c>
      <c r="D439" s="242">
        <v>0</v>
      </c>
      <c r="E439" s="242">
        <v>72</v>
      </c>
      <c r="F439" s="242">
        <f t="shared" si="40"/>
        <v>72</v>
      </c>
      <c r="G439" s="243">
        <v>195436</v>
      </c>
      <c r="H439" s="243">
        <f t="shared" si="41"/>
        <v>14071392</v>
      </c>
      <c r="I439" s="156"/>
    </row>
    <row r="440" spans="1:9" s="9" customFormat="1" ht="35.1" customHeight="1" x14ac:dyDescent="0.25">
      <c r="A440" s="255" t="s">
        <v>622</v>
      </c>
      <c r="B440" s="254" t="s">
        <v>623</v>
      </c>
      <c r="C440" s="255" t="s">
        <v>269</v>
      </c>
      <c r="D440" s="242">
        <v>0</v>
      </c>
      <c r="E440" s="242">
        <v>60</v>
      </c>
      <c r="F440" s="242">
        <f t="shared" si="40"/>
        <v>60</v>
      </c>
      <c r="G440" s="243">
        <v>175265</v>
      </c>
      <c r="H440" s="243">
        <f t="shared" si="41"/>
        <v>10515900</v>
      </c>
      <c r="I440" s="156"/>
    </row>
    <row r="441" spans="1:9" s="9" customFormat="1" ht="35.1" customHeight="1" x14ac:dyDescent="0.25">
      <c r="A441" s="255" t="s">
        <v>624</v>
      </c>
      <c r="B441" s="254" t="s">
        <v>625</v>
      </c>
      <c r="C441" s="255" t="s">
        <v>269</v>
      </c>
      <c r="D441" s="242">
        <v>0</v>
      </c>
      <c r="E441" s="242">
        <v>7</v>
      </c>
      <c r="F441" s="242">
        <f t="shared" si="40"/>
        <v>7</v>
      </c>
      <c r="G441" s="243">
        <v>102265</v>
      </c>
      <c r="H441" s="243">
        <f t="shared" si="41"/>
        <v>715855</v>
      </c>
      <c r="I441" s="156"/>
    </row>
    <row r="442" spans="1:9" s="9" customFormat="1" ht="35.1" customHeight="1" x14ac:dyDescent="0.25">
      <c r="A442" s="255" t="s">
        <v>1230</v>
      </c>
      <c r="B442" s="254" t="s">
        <v>1231</v>
      </c>
      <c r="C442" s="255" t="s">
        <v>269</v>
      </c>
      <c r="D442" s="242">
        <v>72</v>
      </c>
      <c r="E442" s="242">
        <v>0</v>
      </c>
      <c r="F442" s="242">
        <f t="shared" si="40"/>
        <v>72</v>
      </c>
      <c r="G442" s="243">
        <v>175338</v>
      </c>
      <c r="H442" s="243">
        <f t="shared" si="41"/>
        <v>12624336</v>
      </c>
      <c r="I442" s="156"/>
    </row>
    <row r="443" spans="1:9" s="9" customFormat="1" ht="35.1" customHeight="1" x14ac:dyDescent="0.25">
      <c r="A443" s="255" t="s">
        <v>1232</v>
      </c>
      <c r="B443" s="254" t="s">
        <v>1233</v>
      </c>
      <c r="C443" s="255" t="s">
        <v>269</v>
      </c>
      <c r="D443" s="242">
        <v>7</v>
      </c>
      <c r="E443" s="242">
        <v>0</v>
      </c>
      <c r="F443" s="242">
        <f t="shared" si="40"/>
        <v>7</v>
      </c>
      <c r="G443" s="243">
        <v>102265</v>
      </c>
      <c r="H443" s="243">
        <f t="shared" si="41"/>
        <v>715855</v>
      </c>
      <c r="I443" s="156"/>
    </row>
    <row r="444" spans="1:9" s="9" customFormat="1" ht="35.1" customHeight="1" x14ac:dyDescent="0.25">
      <c r="A444" s="255" t="s">
        <v>1234</v>
      </c>
      <c r="B444" s="254" t="s">
        <v>1235</v>
      </c>
      <c r="C444" s="255" t="s">
        <v>269</v>
      </c>
      <c r="D444" s="242">
        <v>76</v>
      </c>
      <c r="E444" s="242">
        <v>0</v>
      </c>
      <c r="F444" s="242">
        <f t="shared" si="40"/>
        <v>76</v>
      </c>
      <c r="G444" s="243">
        <v>486251</v>
      </c>
      <c r="H444" s="243">
        <f t="shared" si="41"/>
        <v>36955076</v>
      </c>
      <c r="I444" s="156"/>
    </row>
    <row r="445" spans="1:9" s="9" customFormat="1" ht="35.1" customHeight="1" x14ac:dyDescent="0.25">
      <c r="A445" s="255" t="s">
        <v>1236</v>
      </c>
      <c r="B445" s="254" t="s">
        <v>1237</v>
      </c>
      <c r="C445" s="255" t="s">
        <v>269</v>
      </c>
      <c r="D445" s="242">
        <v>76</v>
      </c>
      <c r="E445" s="242">
        <v>0</v>
      </c>
      <c r="F445" s="242">
        <f t="shared" si="40"/>
        <v>76</v>
      </c>
      <c r="G445" s="243">
        <v>486251</v>
      </c>
      <c r="H445" s="243">
        <f t="shared" si="41"/>
        <v>36955076</v>
      </c>
      <c r="I445" s="156"/>
    </row>
    <row r="446" spans="1:9" s="9" customFormat="1" ht="35.1" customHeight="1" x14ac:dyDescent="0.25">
      <c r="A446" s="255" t="s">
        <v>626</v>
      </c>
      <c r="B446" s="254" t="s">
        <v>1238</v>
      </c>
      <c r="C446" s="255" t="s">
        <v>269</v>
      </c>
      <c r="D446" s="242">
        <v>0</v>
      </c>
      <c r="E446" s="242">
        <v>102</v>
      </c>
      <c r="F446" s="242">
        <f t="shared" si="40"/>
        <v>102</v>
      </c>
      <c r="G446" s="243">
        <v>166577</v>
      </c>
      <c r="H446" s="243">
        <f t="shared" si="41"/>
        <v>16990854</v>
      </c>
      <c r="I446" s="156"/>
    </row>
    <row r="447" spans="1:9" s="9" customFormat="1" ht="35.1" customHeight="1" x14ac:dyDescent="0.25">
      <c r="A447" s="289" t="s">
        <v>628</v>
      </c>
      <c r="B447" s="256" t="s">
        <v>629</v>
      </c>
      <c r="C447" s="256"/>
      <c r="D447" s="246"/>
      <c r="E447" s="246"/>
      <c r="F447" s="246"/>
      <c r="G447" s="303">
        <v>0</v>
      </c>
      <c r="H447" s="246"/>
      <c r="I447" s="156"/>
    </row>
    <row r="448" spans="1:9" s="9" customFormat="1" ht="35.1" customHeight="1" x14ac:dyDescent="0.25">
      <c r="A448" s="255" t="s">
        <v>630</v>
      </c>
      <c r="B448" s="254" t="s">
        <v>631</v>
      </c>
      <c r="C448" s="255" t="s">
        <v>269</v>
      </c>
      <c r="D448" s="242">
        <v>0</v>
      </c>
      <c r="E448" s="242">
        <v>50</v>
      </c>
      <c r="F448" s="242">
        <f>+E448+D448</f>
        <v>50</v>
      </c>
      <c r="G448" s="243">
        <v>37279</v>
      </c>
      <c r="H448" s="243">
        <f>ROUND(+G448*F448,2)</f>
        <v>1863950</v>
      </c>
      <c r="I448" s="156"/>
    </row>
    <row r="449" spans="1:9" s="9" customFormat="1" ht="35.1" customHeight="1" x14ac:dyDescent="0.25">
      <c r="A449" s="255" t="s">
        <v>632</v>
      </c>
      <c r="B449" s="254" t="s">
        <v>1239</v>
      </c>
      <c r="C449" s="255" t="s">
        <v>269</v>
      </c>
      <c r="D449" s="242">
        <v>0</v>
      </c>
      <c r="E449" s="242">
        <v>100</v>
      </c>
      <c r="F449" s="242">
        <f>+E449+D449</f>
        <v>100</v>
      </c>
      <c r="G449" s="243">
        <v>67515</v>
      </c>
      <c r="H449" s="243">
        <f>ROUND(+G449*F449,2)</f>
        <v>6751500</v>
      </c>
      <c r="I449" s="156"/>
    </row>
    <row r="450" spans="1:9" s="9" customFormat="1" ht="39.950000000000003" customHeight="1" x14ac:dyDescent="0.25">
      <c r="A450" s="289" t="s">
        <v>634</v>
      </c>
      <c r="B450" s="256" t="s">
        <v>635</v>
      </c>
      <c r="C450" s="256"/>
      <c r="D450" s="246"/>
      <c r="E450" s="246"/>
      <c r="F450" s="246"/>
      <c r="G450" s="303">
        <v>0</v>
      </c>
      <c r="H450" s="246"/>
      <c r="I450" s="156"/>
    </row>
    <row r="451" spans="1:9" s="9" customFormat="1" ht="39.950000000000003" customHeight="1" x14ac:dyDescent="0.25">
      <c r="A451" s="255" t="s">
        <v>636</v>
      </c>
      <c r="B451" s="254" t="s">
        <v>637</v>
      </c>
      <c r="C451" s="255" t="s">
        <v>374</v>
      </c>
      <c r="D451" s="242">
        <v>0</v>
      </c>
      <c r="E451" s="242">
        <v>1</v>
      </c>
      <c r="F451" s="242">
        <f t="shared" ref="F451:F457" si="42">+E451+D451</f>
        <v>1</v>
      </c>
      <c r="G451" s="243">
        <v>871878</v>
      </c>
      <c r="H451" s="243">
        <f t="shared" ref="H451:H457" si="43">ROUND(+G451*F451,2)</f>
        <v>871878</v>
      </c>
      <c r="I451" s="156"/>
    </row>
    <row r="452" spans="1:9" s="9" customFormat="1" ht="39.950000000000003" customHeight="1" x14ac:dyDescent="0.25">
      <c r="A452" s="255" t="s">
        <v>638</v>
      </c>
      <c r="B452" s="254" t="s">
        <v>639</v>
      </c>
      <c r="C452" s="255" t="s">
        <v>374</v>
      </c>
      <c r="D452" s="242">
        <v>0</v>
      </c>
      <c r="E452" s="242">
        <v>1</v>
      </c>
      <c r="F452" s="242">
        <f t="shared" si="42"/>
        <v>1</v>
      </c>
      <c r="G452" s="243">
        <v>700334</v>
      </c>
      <c r="H452" s="243">
        <f t="shared" si="43"/>
        <v>700334</v>
      </c>
      <c r="I452" s="156"/>
    </row>
    <row r="453" spans="1:9" s="9" customFormat="1" ht="39.950000000000003" customHeight="1" x14ac:dyDescent="0.25">
      <c r="A453" s="255" t="s">
        <v>640</v>
      </c>
      <c r="B453" s="254" t="s">
        <v>641</v>
      </c>
      <c r="C453" s="255" t="s">
        <v>374</v>
      </c>
      <c r="D453" s="242">
        <v>0</v>
      </c>
      <c r="E453" s="242">
        <v>3</v>
      </c>
      <c r="F453" s="242">
        <f t="shared" si="42"/>
        <v>3</v>
      </c>
      <c r="G453" s="243">
        <v>703736</v>
      </c>
      <c r="H453" s="243">
        <f t="shared" si="43"/>
        <v>2111208</v>
      </c>
      <c r="I453" s="156"/>
    </row>
    <row r="454" spans="1:9" s="9" customFormat="1" ht="39.950000000000003" customHeight="1" x14ac:dyDescent="0.25">
      <c r="A454" s="255" t="s">
        <v>642</v>
      </c>
      <c r="B454" s="254" t="s">
        <v>643</v>
      </c>
      <c r="C454" s="255" t="s">
        <v>374</v>
      </c>
      <c r="D454" s="242">
        <v>0</v>
      </c>
      <c r="E454" s="242">
        <v>3</v>
      </c>
      <c r="F454" s="242">
        <f t="shared" si="42"/>
        <v>3</v>
      </c>
      <c r="G454" s="243">
        <v>987858</v>
      </c>
      <c r="H454" s="243">
        <f t="shared" si="43"/>
        <v>2963574</v>
      </c>
      <c r="I454" s="156"/>
    </row>
    <row r="455" spans="1:9" s="9" customFormat="1" ht="39.950000000000003" customHeight="1" x14ac:dyDescent="0.25">
      <c r="A455" s="255" t="s">
        <v>644</v>
      </c>
      <c r="B455" s="87" t="s">
        <v>645</v>
      </c>
      <c r="C455" s="255" t="s">
        <v>374</v>
      </c>
      <c r="D455" s="242">
        <v>51</v>
      </c>
      <c r="E455" s="242">
        <v>19</v>
      </c>
      <c r="F455" s="242">
        <f t="shared" si="42"/>
        <v>70</v>
      </c>
      <c r="G455" s="243">
        <v>21079</v>
      </c>
      <c r="H455" s="243">
        <f t="shared" si="43"/>
        <v>1475530</v>
      </c>
      <c r="I455" s="156"/>
    </row>
    <row r="456" spans="1:9" s="9" customFormat="1" ht="39.950000000000003" customHeight="1" x14ac:dyDescent="0.25">
      <c r="A456" s="255" t="s">
        <v>646</v>
      </c>
      <c r="B456" s="87" t="s">
        <v>647</v>
      </c>
      <c r="C456" s="255" t="s">
        <v>374</v>
      </c>
      <c r="D456" s="242">
        <v>36</v>
      </c>
      <c r="E456" s="242">
        <v>14</v>
      </c>
      <c r="F456" s="242">
        <f t="shared" si="42"/>
        <v>50</v>
      </c>
      <c r="G456" s="243">
        <v>21079</v>
      </c>
      <c r="H456" s="243">
        <f t="shared" si="43"/>
        <v>1053950</v>
      </c>
      <c r="I456" s="156"/>
    </row>
    <row r="457" spans="1:9" s="9" customFormat="1" ht="39.950000000000003" customHeight="1" x14ac:dyDescent="0.25">
      <c r="A457" s="255" t="s">
        <v>648</v>
      </c>
      <c r="B457" s="87" t="s">
        <v>649</v>
      </c>
      <c r="C457" s="255" t="s">
        <v>374</v>
      </c>
      <c r="D457" s="242">
        <v>4</v>
      </c>
      <c r="E457" s="242">
        <v>2</v>
      </c>
      <c r="F457" s="242">
        <f t="shared" si="42"/>
        <v>6</v>
      </c>
      <c r="G457" s="243">
        <v>59521</v>
      </c>
      <c r="H457" s="243">
        <f t="shared" si="43"/>
        <v>357126</v>
      </c>
      <c r="I457" s="156"/>
    </row>
    <row r="458" spans="1:9" s="9" customFormat="1" ht="39.950000000000003" customHeight="1" x14ac:dyDescent="0.25">
      <c r="A458" s="289" t="s">
        <v>650</v>
      </c>
      <c r="B458" s="256" t="s">
        <v>1240</v>
      </c>
      <c r="C458" s="256"/>
      <c r="D458" s="256"/>
      <c r="E458" s="256"/>
      <c r="F458" s="256"/>
      <c r="G458" s="310">
        <v>0</v>
      </c>
      <c r="H458" s="256"/>
      <c r="I458" s="156"/>
    </row>
    <row r="459" spans="1:9" s="9" customFormat="1" ht="39.950000000000003" customHeight="1" x14ac:dyDescent="0.25">
      <c r="A459" s="255" t="s">
        <v>652</v>
      </c>
      <c r="B459" s="254" t="s">
        <v>1241</v>
      </c>
      <c r="C459" s="255" t="s">
        <v>374</v>
      </c>
      <c r="D459" s="242">
        <v>0</v>
      </c>
      <c r="E459" s="242">
        <v>1</v>
      </c>
      <c r="F459" s="242">
        <f>+E459+D459</f>
        <v>1</v>
      </c>
      <c r="G459" s="243">
        <v>597053</v>
      </c>
      <c r="H459" s="243">
        <f>ROUND(+G459*F459,2)</f>
        <v>597053</v>
      </c>
      <c r="I459" s="156"/>
    </row>
    <row r="460" spans="1:9" s="9" customFormat="1" ht="39.950000000000003" customHeight="1" x14ac:dyDescent="0.25">
      <c r="A460" s="289" t="s">
        <v>654</v>
      </c>
      <c r="B460" s="256" t="s">
        <v>655</v>
      </c>
      <c r="C460" s="256"/>
      <c r="D460" s="246"/>
      <c r="E460" s="256"/>
      <c r="F460" s="256"/>
      <c r="G460" s="310">
        <v>0</v>
      </c>
      <c r="H460" s="256"/>
      <c r="I460" s="156"/>
    </row>
    <row r="461" spans="1:9" s="9" customFormat="1" ht="39.950000000000003" customHeight="1" x14ac:dyDescent="0.25">
      <c r="A461" s="255" t="s">
        <v>656</v>
      </c>
      <c r="B461" s="254" t="s">
        <v>1242</v>
      </c>
      <c r="C461" s="255" t="s">
        <v>374</v>
      </c>
      <c r="D461" s="242">
        <v>0</v>
      </c>
      <c r="E461" s="242">
        <v>1</v>
      </c>
      <c r="F461" s="242">
        <f>+E461+D461</f>
        <v>1</v>
      </c>
      <c r="G461" s="243">
        <v>16180184</v>
      </c>
      <c r="H461" s="243">
        <f>ROUND(+G461*F461,2)</f>
        <v>16180184</v>
      </c>
      <c r="I461" s="156"/>
    </row>
    <row r="462" spans="1:9" s="9" customFormat="1" ht="39.950000000000003" customHeight="1" x14ac:dyDescent="0.25">
      <c r="A462" s="255" t="s">
        <v>658</v>
      </c>
      <c r="B462" s="87" t="s">
        <v>659</v>
      </c>
      <c r="C462" s="255" t="s">
        <v>374</v>
      </c>
      <c r="D462" s="242">
        <v>1</v>
      </c>
      <c r="E462" s="242">
        <v>1</v>
      </c>
      <c r="F462" s="242">
        <f>+E462+D462</f>
        <v>2</v>
      </c>
      <c r="G462" s="243">
        <v>12227805</v>
      </c>
      <c r="H462" s="243">
        <f>ROUND(+G462*F462,2)</f>
        <v>24455610</v>
      </c>
      <c r="I462" s="156"/>
    </row>
    <row r="463" spans="1:9" s="9" customFormat="1" ht="39.950000000000003" customHeight="1" x14ac:dyDescent="0.25">
      <c r="A463" s="255" t="s">
        <v>660</v>
      </c>
      <c r="B463" s="254" t="s">
        <v>1243</v>
      </c>
      <c r="C463" s="255" t="s">
        <v>374</v>
      </c>
      <c r="D463" s="242">
        <v>0</v>
      </c>
      <c r="E463" s="242">
        <v>1</v>
      </c>
      <c r="F463" s="242">
        <f>+E463+D463</f>
        <v>1</v>
      </c>
      <c r="G463" s="243">
        <v>14203994</v>
      </c>
      <c r="H463" s="243">
        <f>ROUND(+G463*F463,2)</f>
        <v>14203994</v>
      </c>
      <c r="I463" s="156"/>
    </row>
    <row r="464" spans="1:9" s="9" customFormat="1" ht="39.950000000000003" customHeight="1" x14ac:dyDescent="0.25">
      <c r="A464" s="290" t="s">
        <v>662</v>
      </c>
      <c r="B464" s="256" t="s">
        <v>663</v>
      </c>
      <c r="C464" s="256"/>
      <c r="D464" s="246"/>
      <c r="E464" s="246"/>
      <c r="F464" s="246"/>
      <c r="G464" s="303">
        <v>0</v>
      </c>
      <c r="H464" s="246"/>
      <c r="I464" s="156"/>
    </row>
    <row r="465" spans="1:9" s="9" customFormat="1" ht="35.1" customHeight="1" x14ac:dyDescent="0.25">
      <c r="A465" s="255" t="s">
        <v>664</v>
      </c>
      <c r="B465" s="254" t="s">
        <v>665</v>
      </c>
      <c r="C465" s="255" t="s">
        <v>269</v>
      </c>
      <c r="D465" s="242">
        <v>0</v>
      </c>
      <c r="E465" s="242">
        <v>35</v>
      </c>
      <c r="F465" s="242">
        <f>+E465+D465</f>
        <v>35</v>
      </c>
      <c r="G465" s="243">
        <v>25031</v>
      </c>
      <c r="H465" s="243">
        <f>ROUND(+G465*F465,2)</f>
        <v>876085</v>
      </c>
      <c r="I465" s="156"/>
    </row>
    <row r="466" spans="1:9" s="9" customFormat="1" ht="35.1" customHeight="1" x14ac:dyDescent="0.25">
      <c r="A466" s="255" t="s">
        <v>666</v>
      </c>
      <c r="B466" s="254" t="s">
        <v>1244</v>
      </c>
      <c r="C466" s="255" t="s">
        <v>374</v>
      </c>
      <c r="D466" s="242">
        <v>0</v>
      </c>
      <c r="E466" s="242">
        <v>6</v>
      </c>
      <c r="F466" s="242">
        <f>+E466+D466</f>
        <v>6</v>
      </c>
      <c r="G466" s="243">
        <v>130889</v>
      </c>
      <c r="H466" s="243">
        <f>ROUND(+G466*F466,2)</f>
        <v>785334</v>
      </c>
      <c r="I466" s="156"/>
    </row>
    <row r="467" spans="1:9" s="9" customFormat="1" ht="35.1" customHeight="1" x14ac:dyDescent="0.25">
      <c r="A467" s="255" t="s">
        <v>668</v>
      </c>
      <c r="B467" s="254" t="s">
        <v>1245</v>
      </c>
      <c r="C467" s="255" t="s">
        <v>374</v>
      </c>
      <c r="D467" s="242">
        <v>0</v>
      </c>
      <c r="E467" s="242">
        <v>6</v>
      </c>
      <c r="F467" s="242">
        <f>+E467+D467</f>
        <v>6</v>
      </c>
      <c r="G467" s="243">
        <v>135495</v>
      </c>
      <c r="H467" s="243">
        <f>ROUND(+G467*F467,2)</f>
        <v>812970</v>
      </c>
      <c r="I467" s="156"/>
    </row>
    <row r="468" spans="1:9" s="9" customFormat="1" ht="35.1" customHeight="1" x14ac:dyDescent="0.25">
      <c r="A468" s="255" t="s">
        <v>670</v>
      </c>
      <c r="B468" s="254" t="s">
        <v>1246</v>
      </c>
      <c r="C468" s="255" t="s">
        <v>374</v>
      </c>
      <c r="D468" s="242">
        <v>0</v>
      </c>
      <c r="E468" s="242">
        <v>2</v>
      </c>
      <c r="F468" s="242">
        <f>+E468+D468</f>
        <v>2</v>
      </c>
      <c r="G468" s="243">
        <v>135495</v>
      </c>
      <c r="H468" s="243">
        <f>ROUND(+G468*F468,2)</f>
        <v>270990</v>
      </c>
      <c r="I468" s="156"/>
    </row>
    <row r="469" spans="1:9" s="9" customFormat="1" ht="35.1" customHeight="1" x14ac:dyDescent="0.25">
      <c r="A469" s="255" t="s">
        <v>672</v>
      </c>
      <c r="B469" s="291" t="s">
        <v>1247</v>
      </c>
      <c r="C469" s="292" t="s">
        <v>16</v>
      </c>
      <c r="D469" s="242">
        <v>0</v>
      </c>
      <c r="E469" s="242">
        <v>6</v>
      </c>
      <c r="F469" s="242">
        <f>+E469+D469</f>
        <v>6</v>
      </c>
      <c r="G469" s="243">
        <v>171131</v>
      </c>
      <c r="H469" s="243">
        <f>ROUND(+G469*F469,2)</f>
        <v>1026786</v>
      </c>
      <c r="I469" s="156"/>
    </row>
    <row r="470" spans="1:9" s="9" customFormat="1" ht="35.1" customHeight="1" x14ac:dyDescent="0.25">
      <c r="A470" s="290" t="s">
        <v>674</v>
      </c>
      <c r="B470" s="256" t="s">
        <v>675</v>
      </c>
      <c r="C470" s="256"/>
      <c r="D470" s="246"/>
      <c r="E470" s="246"/>
      <c r="F470" s="246"/>
      <c r="G470" s="303">
        <v>0</v>
      </c>
      <c r="H470" s="246"/>
      <c r="I470" s="156"/>
    </row>
    <row r="471" spans="1:9" s="9" customFormat="1" ht="35.1" customHeight="1" x14ac:dyDescent="0.25">
      <c r="A471" s="255" t="s">
        <v>676</v>
      </c>
      <c r="B471" s="254" t="s">
        <v>677</v>
      </c>
      <c r="C471" s="255" t="s">
        <v>269</v>
      </c>
      <c r="D471" s="242">
        <v>0</v>
      </c>
      <c r="E471" s="242">
        <v>10</v>
      </c>
      <c r="F471" s="242">
        <f>+E471+D471</f>
        <v>10</v>
      </c>
      <c r="G471" s="243">
        <v>7377</v>
      </c>
      <c r="H471" s="243">
        <f>ROUND(+G471*F471,2)</f>
        <v>73770</v>
      </c>
      <c r="I471" s="156"/>
    </row>
    <row r="472" spans="1:9" s="9" customFormat="1" ht="35.1" customHeight="1" x14ac:dyDescent="0.25">
      <c r="A472" s="255" t="s">
        <v>678</v>
      </c>
      <c r="B472" s="254" t="s">
        <v>679</v>
      </c>
      <c r="C472" s="255" t="s">
        <v>374</v>
      </c>
      <c r="D472" s="242">
        <v>0</v>
      </c>
      <c r="E472" s="242">
        <v>1</v>
      </c>
      <c r="F472" s="242">
        <f>+E472+D472</f>
        <v>1</v>
      </c>
      <c r="G472" s="243">
        <v>130889</v>
      </c>
      <c r="H472" s="243">
        <f>ROUND(+G472*F472,2)</f>
        <v>130889</v>
      </c>
      <c r="I472" s="156"/>
    </row>
    <row r="473" spans="1:9" s="9" customFormat="1" ht="35.1" customHeight="1" x14ac:dyDescent="0.25">
      <c r="A473" s="255" t="s">
        <v>680</v>
      </c>
      <c r="B473" s="254" t="s">
        <v>681</v>
      </c>
      <c r="C473" s="255" t="s">
        <v>374</v>
      </c>
      <c r="D473" s="242">
        <v>0</v>
      </c>
      <c r="E473" s="242">
        <v>1</v>
      </c>
      <c r="F473" s="242">
        <f>+E473+D473</f>
        <v>1</v>
      </c>
      <c r="G473" s="243">
        <v>135495</v>
      </c>
      <c r="H473" s="243">
        <f>ROUND(+G473*F473,2)</f>
        <v>135495</v>
      </c>
      <c r="I473" s="156"/>
    </row>
    <row r="474" spans="1:9" s="9" customFormat="1" ht="35.1" customHeight="1" x14ac:dyDescent="0.25">
      <c r="A474" s="255" t="s">
        <v>682</v>
      </c>
      <c r="B474" s="254" t="s">
        <v>1248</v>
      </c>
      <c r="C474" s="255" t="s">
        <v>374</v>
      </c>
      <c r="D474" s="242">
        <v>0</v>
      </c>
      <c r="E474" s="242">
        <v>2</v>
      </c>
      <c r="F474" s="242">
        <f>+E474+D474</f>
        <v>2</v>
      </c>
      <c r="G474" s="243">
        <v>135495</v>
      </c>
      <c r="H474" s="243">
        <f>ROUND(+G474*F474,2)</f>
        <v>270990</v>
      </c>
      <c r="I474" s="156"/>
    </row>
    <row r="475" spans="1:9" s="9" customFormat="1" ht="39.950000000000003" customHeight="1" x14ac:dyDescent="0.25">
      <c r="A475" s="255" t="s">
        <v>684</v>
      </c>
      <c r="B475" s="254" t="s">
        <v>1247</v>
      </c>
      <c r="C475" s="255" t="s">
        <v>374</v>
      </c>
      <c r="D475" s="242">
        <v>0</v>
      </c>
      <c r="E475" s="242">
        <v>1</v>
      </c>
      <c r="F475" s="242">
        <f>+E475+D475</f>
        <v>1</v>
      </c>
      <c r="G475" s="243">
        <v>171131</v>
      </c>
      <c r="H475" s="243">
        <f>ROUND(+G475*F475,2)</f>
        <v>171131</v>
      </c>
      <c r="I475" s="156"/>
    </row>
    <row r="476" spans="1:9" s="9" customFormat="1" ht="35.1" customHeight="1" x14ac:dyDescent="0.25">
      <c r="A476" s="290" t="s">
        <v>685</v>
      </c>
      <c r="B476" s="256" t="s">
        <v>686</v>
      </c>
      <c r="C476" s="256"/>
      <c r="D476" s="256"/>
      <c r="E476" s="256"/>
      <c r="F476" s="256"/>
      <c r="G476" s="310">
        <v>0</v>
      </c>
      <c r="H476" s="256"/>
      <c r="I476" s="156"/>
    </row>
    <row r="477" spans="1:9" s="9" customFormat="1" ht="35.1" customHeight="1" x14ac:dyDescent="0.25">
      <c r="A477" s="255" t="s">
        <v>687</v>
      </c>
      <c r="B477" s="254" t="s">
        <v>665</v>
      </c>
      <c r="C477" s="255" t="s">
        <v>269</v>
      </c>
      <c r="D477" s="242">
        <v>0</v>
      </c>
      <c r="E477" s="242">
        <v>8</v>
      </c>
      <c r="F477" s="242">
        <f>+E477+D477</f>
        <v>8</v>
      </c>
      <c r="G477" s="243">
        <v>25031</v>
      </c>
      <c r="H477" s="243">
        <f>ROUND(+G477*F477,2)</f>
        <v>200248</v>
      </c>
      <c r="I477" s="156"/>
    </row>
    <row r="478" spans="1:9" s="9" customFormat="1" ht="57" customHeight="1" x14ac:dyDescent="0.25">
      <c r="A478" s="255" t="s">
        <v>688</v>
      </c>
      <c r="B478" s="254" t="s">
        <v>1249</v>
      </c>
      <c r="C478" s="255" t="s">
        <v>374</v>
      </c>
      <c r="D478" s="242">
        <v>0</v>
      </c>
      <c r="E478" s="242">
        <v>1</v>
      </c>
      <c r="F478" s="242">
        <f>+E478+D478</f>
        <v>1</v>
      </c>
      <c r="G478" s="243">
        <v>725857</v>
      </c>
      <c r="H478" s="243">
        <f>ROUND(+G478*F478,2)</f>
        <v>725857</v>
      </c>
      <c r="I478" s="156"/>
    </row>
    <row r="479" spans="1:9" s="9" customFormat="1" ht="35.1" customHeight="1" x14ac:dyDescent="0.25">
      <c r="A479" s="244" t="s">
        <v>690</v>
      </c>
      <c r="B479" s="256" t="s">
        <v>691</v>
      </c>
      <c r="C479" s="256"/>
      <c r="D479" s="256"/>
      <c r="E479" s="256"/>
      <c r="F479" s="256"/>
      <c r="G479" s="310">
        <v>0</v>
      </c>
      <c r="H479" s="256"/>
      <c r="I479" s="156"/>
    </row>
    <row r="480" spans="1:9" s="9" customFormat="1" ht="35.1" customHeight="1" x14ac:dyDescent="0.25">
      <c r="A480" s="255" t="s">
        <v>692</v>
      </c>
      <c r="B480" s="254" t="s">
        <v>693</v>
      </c>
      <c r="C480" s="255" t="s">
        <v>269</v>
      </c>
      <c r="D480" s="242">
        <v>0</v>
      </c>
      <c r="E480" s="242">
        <v>65</v>
      </c>
      <c r="F480" s="242">
        <f t="shared" ref="F480:F489" si="44">+E480+D480</f>
        <v>65</v>
      </c>
      <c r="G480" s="243">
        <v>4876</v>
      </c>
      <c r="H480" s="243">
        <f t="shared" ref="H480:H489" si="45">ROUND(+G480*F480,2)</f>
        <v>316940</v>
      </c>
      <c r="I480" s="156"/>
    </row>
    <row r="481" spans="1:9" s="9" customFormat="1" ht="35.1" customHeight="1" x14ac:dyDescent="0.25">
      <c r="A481" s="255" t="s">
        <v>694</v>
      </c>
      <c r="B481" s="254" t="s">
        <v>695</v>
      </c>
      <c r="C481" s="255" t="s">
        <v>269</v>
      </c>
      <c r="D481" s="242">
        <v>0</v>
      </c>
      <c r="E481" s="242">
        <v>69</v>
      </c>
      <c r="F481" s="242">
        <f t="shared" si="44"/>
        <v>69</v>
      </c>
      <c r="G481" s="243">
        <v>15151</v>
      </c>
      <c r="H481" s="243">
        <f t="shared" si="45"/>
        <v>1045419</v>
      </c>
      <c r="I481" s="156"/>
    </row>
    <row r="482" spans="1:9" s="9" customFormat="1" ht="35.1" customHeight="1" x14ac:dyDescent="0.25">
      <c r="A482" s="255" t="s">
        <v>696</v>
      </c>
      <c r="B482" s="254" t="s">
        <v>697</v>
      </c>
      <c r="C482" s="255" t="s">
        <v>269</v>
      </c>
      <c r="D482" s="242">
        <v>0</v>
      </c>
      <c r="E482" s="242">
        <v>244</v>
      </c>
      <c r="F482" s="242">
        <f t="shared" si="44"/>
        <v>244</v>
      </c>
      <c r="G482" s="243">
        <v>5534</v>
      </c>
      <c r="H482" s="243">
        <f t="shared" si="45"/>
        <v>1350296</v>
      </c>
      <c r="I482" s="156"/>
    </row>
    <row r="483" spans="1:9" s="9" customFormat="1" ht="35.1" customHeight="1" x14ac:dyDescent="0.25">
      <c r="A483" s="255" t="s">
        <v>698</v>
      </c>
      <c r="B483" s="254" t="s">
        <v>1250</v>
      </c>
      <c r="C483" s="255" t="s">
        <v>269</v>
      </c>
      <c r="D483" s="242">
        <v>0</v>
      </c>
      <c r="E483" s="242">
        <v>190</v>
      </c>
      <c r="F483" s="242">
        <f t="shared" si="44"/>
        <v>190</v>
      </c>
      <c r="G483" s="243">
        <v>15151</v>
      </c>
      <c r="H483" s="243">
        <f t="shared" si="45"/>
        <v>2878690</v>
      </c>
      <c r="I483" s="156"/>
    </row>
    <row r="484" spans="1:9" s="9" customFormat="1" ht="54" customHeight="1" x14ac:dyDescent="0.25">
      <c r="A484" s="255" t="s">
        <v>700</v>
      </c>
      <c r="B484" s="254" t="s">
        <v>1251</v>
      </c>
      <c r="C484" s="255" t="s">
        <v>374</v>
      </c>
      <c r="D484" s="242">
        <v>0</v>
      </c>
      <c r="E484" s="242">
        <v>14</v>
      </c>
      <c r="F484" s="242">
        <f t="shared" si="44"/>
        <v>14</v>
      </c>
      <c r="G484" s="243">
        <v>219354</v>
      </c>
      <c r="H484" s="243">
        <f t="shared" si="45"/>
        <v>3070956</v>
      </c>
      <c r="I484" s="156"/>
    </row>
    <row r="485" spans="1:9" s="9" customFormat="1" ht="35.1" customHeight="1" x14ac:dyDescent="0.25">
      <c r="A485" s="255" t="s">
        <v>702</v>
      </c>
      <c r="B485" s="254" t="s">
        <v>703</v>
      </c>
      <c r="C485" s="255" t="s">
        <v>374</v>
      </c>
      <c r="D485" s="242">
        <v>0</v>
      </c>
      <c r="E485" s="242">
        <v>86</v>
      </c>
      <c r="F485" s="242">
        <f t="shared" si="44"/>
        <v>86</v>
      </c>
      <c r="G485" s="243">
        <v>21649</v>
      </c>
      <c r="H485" s="243">
        <f t="shared" si="45"/>
        <v>1861814</v>
      </c>
      <c r="I485" s="156"/>
    </row>
    <row r="486" spans="1:9" s="9" customFormat="1" ht="35.1" customHeight="1" x14ac:dyDescent="0.25">
      <c r="A486" s="255" t="s">
        <v>704</v>
      </c>
      <c r="B486" s="254" t="s">
        <v>705</v>
      </c>
      <c r="C486" s="255" t="s">
        <v>374</v>
      </c>
      <c r="D486" s="242">
        <v>0</v>
      </c>
      <c r="E486" s="242">
        <v>4</v>
      </c>
      <c r="F486" s="242">
        <f t="shared" si="44"/>
        <v>4</v>
      </c>
      <c r="G486" s="243">
        <v>26864</v>
      </c>
      <c r="H486" s="243">
        <f t="shared" si="45"/>
        <v>107456</v>
      </c>
      <c r="I486" s="156"/>
    </row>
    <row r="487" spans="1:9" s="9" customFormat="1" ht="35.1" customHeight="1" x14ac:dyDescent="0.25">
      <c r="A487" s="255" t="s">
        <v>706</v>
      </c>
      <c r="B487" s="254" t="s">
        <v>707</v>
      </c>
      <c r="C487" s="255" t="s">
        <v>374</v>
      </c>
      <c r="D487" s="242">
        <v>0</v>
      </c>
      <c r="E487" s="242">
        <v>4</v>
      </c>
      <c r="F487" s="242">
        <f t="shared" si="44"/>
        <v>4</v>
      </c>
      <c r="G487" s="243">
        <v>220459</v>
      </c>
      <c r="H487" s="243">
        <f t="shared" si="45"/>
        <v>881836</v>
      </c>
      <c r="I487" s="156"/>
    </row>
    <row r="488" spans="1:9" s="9" customFormat="1" ht="35.1" customHeight="1" x14ac:dyDescent="0.25">
      <c r="A488" s="255" t="s">
        <v>708</v>
      </c>
      <c r="B488" s="254" t="s">
        <v>709</v>
      </c>
      <c r="C488" s="255" t="s">
        <v>374</v>
      </c>
      <c r="D488" s="242">
        <v>0</v>
      </c>
      <c r="E488" s="242">
        <v>4</v>
      </c>
      <c r="F488" s="242">
        <f t="shared" si="44"/>
        <v>4</v>
      </c>
      <c r="G488" s="243">
        <v>135495</v>
      </c>
      <c r="H488" s="243">
        <f t="shared" si="45"/>
        <v>541980</v>
      </c>
      <c r="I488" s="156"/>
    </row>
    <row r="489" spans="1:9" s="9" customFormat="1" ht="35.1" customHeight="1" x14ac:dyDescent="0.25">
      <c r="A489" s="255" t="s">
        <v>710</v>
      </c>
      <c r="B489" s="254" t="s">
        <v>1252</v>
      </c>
      <c r="C489" s="255" t="s">
        <v>374</v>
      </c>
      <c r="D489" s="242">
        <v>0</v>
      </c>
      <c r="E489" s="242">
        <v>4</v>
      </c>
      <c r="F489" s="242">
        <f t="shared" si="44"/>
        <v>4</v>
      </c>
      <c r="G489" s="243">
        <v>269435</v>
      </c>
      <c r="H489" s="243">
        <f t="shared" si="45"/>
        <v>1077740</v>
      </c>
      <c r="I489" s="156"/>
    </row>
    <row r="490" spans="1:9" s="9" customFormat="1" ht="35.1" customHeight="1" x14ac:dyDescent="0.25">
      <c r="A490" s="244" t="s">
        <v>1253</v>
      </c>
      <c r="B490" s="256" t="s">
        <v>1254</v>
      </c>
      <c r="C490" s="256"/>
      <c r="D490" s="246"/>
      <c r="E490" s="246"/>
      <c r="F490" s="246"/>
      <c r="G490" s="303">
        <v>0</v>
      </c>
      <c r="H490" s="246"/>
      <c r="I490" s="156"/>
    </row>
    <row r="491" spans="1:9" s="9" customFormat="1" ht="108.75" customHeight="1" x14ac:dyDescent="0.25">
      <c r="A491" s="255" t="s">
        <v>1255</v>
      </c>
      <c r="B491" s="254" t="s">
        <v>1256</v>
      </c>
      <c r="C491" s="255" t="s">
        <v>374</v>
      </c>
      <c r="D491" s="242">
        <v>1</v>
      </c>
      <c r="E491" s="242">
        <v>0</v>
      </c>
      <c r="F491" s="242">
        <f t="shared" ref="F491:F502" si="46">+E491+D491</f>
        <v>1</v>
      </c>
      <c r="G491" s="243">
        <v>211450356</v>
      </c>
      <c r="H491" s="243">
        <f t="shared" ref="H491:H502" si="47">ROUND(+G491*F491,2)</f>
        <v>211450356</v>
      </c>
      <c r="I491" s="156"/>
    </row>
    <row r="492" spans="1:9" s="9" customFormat="1" ht="35.1" customHeight="1" x14ac:dyDescent="0.25">
      <c r="A492" s="255" t="s">
        <v>1257</v>
      </c>
      <c r="B492" s="254" t="s">
        <v>1258</v>
      </c>
      <c r="C492" s="255" t="s">
        <v>374</v>
      </c>
      <c r="D492" s="242">
        <v>1</v>
      </c>
      <c r="E492" s="242">
        <v>0</v>
      </c>
      <c r="F492" s="242">
        <f t="shared" si="46"/>
        <v>1</v>
      </c>
      <c r="G492" s="243">
        <v>1028290</v>
      </c>
      <c r="H492" s="243">
        <f t="shared" si="47"/>
        <v>1028290</v>
      </c>
      <c r="I492" s="156"/>
    </row>
    <row r="493" spans="1:9" s="9" customFormat="1" ht="35.1" customHeight="1" x14ac:dyDescent="0.25">
      <c r="A493" s="255" t="s">
        <v>1259</v>
      </c>
      <c r="B493" s="254" t="s">
        <v>1260</v>
      </c>
      <c r="C493" s="255" t="s">
        <v>374</v>
      </c>
      <c r="D493" s="242">
        <v>4</v>
      </c>
      <c r="E493" s="242">
        <v>0</v>
      </c>
      <c r="F493" s="242">
        <f t="shared" si="46"/>
        <v>4</v>
      </c>
      <c r="G493" s="243">
        <v>192597</v>
      </c>
      <c r="H493" s="243">
        <f t="shared" si="47"/>
        <v>770388</v>
      </c>
      <c r="I493" s="156"/>
    </row>
    <row r="494" spans="1:9" s="9" customFormat="1" ht="50.25" customHeight="1" x14ac:dyDescent="0.25">
      <c r="A494" s="255" t="s">
        <v>1261</v>
      </c>
      <c r="B494" s="254" t="s">
        <v>1262</v>
      </c>
      <c r="C494" s="255" t="s">
        <v>374</v>
      </c>
      <c r="D494" s="242">
        <v>1</v>
      </c>
      <c r="E494" s="242">
        <v>0</v>
      </c>
      <c r="F494" s="242">
        <f t="shared" si="46"/>
        <v>1</v>
      </c>
      <c r="G494" s="243">
        <v>1585520</v>
      </c>
      <c r="H494" s="243">
        <f t="shared" si="47"/>
        <v>1585520</v>
      </c>
      <c r="I494" s="156"/>
    </row>
    <row r="495" spans="1:9" s="9" customFormat="1" ht="35.1" customHeight="1" x14ac:dyDescent="0.25">
      <c r="A495" s="255" t="s">
        <v>1263</v>
      </c>
      <c r="B495" s="254" t="s">
        <v>1264</v>
      </c>
      <c r="C495" s="255" t="s">
        <v>374</v>
      </c>
      <c r="D495" s="242">
        <v>1</v>
      </c>
      <c r="E495" s="242">
        <v>0</v>
      </c>
      <c r="F495" s="242">
        <f t="shared" si="46"/>
        <v>1</v>
      </c>
      <c r="G495" s="243">
        <v>798978</v>
      </c>
      <c r="H495" s="243">
        <f t="shared" si="47"/>
        <v>798978</v>
      </c>
      <c r="I495" s="156"/>
    </row>
    <row r="496" spans="1:9" s="9" customFormat="1" ht="35.1" customHeight="1" x14ac:dyDescent="0.25">
      <c r="A496" s="255" t="s">
        <v>1265</v>
      </c>
      <c r="B496" s="254" t="s">
        <v>1266</v>
      </c>
      <c r="C496" s="255" t="s">
        <v>374</v>
      </c>
      <c r="D496" s="242">
        <v>1</v>
      </c>
      <c r="E496" s="242">
        <v>0</v>
      </c>
      <c r="F496" s="242">
        <f t="shared" si="46"/>
        <v>1</v>
      </c>
      <c r="G496" s="243">
        <v>1512010</v>
      </c>
      <c r="H496" s="243">
        <f t="shared" si="47"/>
        <v>1512010</v>
      </c>
      <c r="I496" s="156"/>
    </row>
    <row r="497" spans="1:9" s="9" customFormat="1" ht="42.75" customHeight="1" x14ac:dyDescent="0.25">
      <c r="A497" s="255" t="s">
        <v>1267</v>
      </c>
      <c r="B497" s="254" t="s">
        <v>1268</v>
      </c>
      <c r="C497" s="255" t="s">
        <v>269</v>
      </c>
      <c r="D497" s="242">
        <v>8</v>
      </c>
      <c r="E497" s="242">
        <v>0</v>
      </c>
      <c r="F497" s="242">
        <f t="shared" si="46"/>
        <v>8</v>
      </c>
      <c r="G497" s="243">
        <v>224164</v>
      </c>
      <c r="H497" s="243">
        <f t="shared" si="47"/>
        <v>1793312</v>
      </c>
      <c r="I497" s="156"/>
    </row>
    <row r="498" spans="1:9" s="9" customFormat="1" ht="35.1" customHeight="1" x14ac:dyDescent="0.25">
      <c r="A498" s="255" t="s">
        <v>1269</v>
      </c>
      <c r="B498" s="254" t="s">
        <v>1270</v>
      </c>
      <c r="C498" s="255" t="s">
        <v>374</v>
      </c>
      <c r="D498" s="242">
        <v>2</v>
      </c>
      <c r="E498" s="242">
        <v>0</v>
      </c>
      <c r="F498" s="242">
        <f t="shared" si="46"/>
        <v>2</v>
      </c>
      <c r="G498" s="243">
        <v>224164</v>
      </c>
      <c r="H498" s="243">
        <f t="shared" si="47"/>
        <v>448328</v>
      </c>
      <c r="I498" s="156"/>
    </row>
    <row r="499" spans="1:9" s="9" customFormat="1" ht="35.1" customHeight="1" x14ac:dyDescent="0.25">
      <c r="A499" s="255" t="s">
        <v>1271</v>
      </c>
      <c r="B499" s="254" t="s">
        <v>1272</v>
      </c>
      <c r="C499" s="255" t="s">
        <v>374</v>
      </c>
      <c r="D499" s="242">
        <v>1</v>
      </c>
      <c r="E499" s="242">
        <v>0</v>
      </c>
      <c r="F499" s="242">
        <f t="shared" si="46"/>
        <v>1</v>
      </c>
      <c r="G499" s="243">
        <v>504920</v>
      </c>
      <c r="H499" s="243">
        <f t="shared" si="47"/>
        <v>504920</v>
      </c>
      <c r="I499" s="156"/>
    </row>
    <row r="500" spans="1:9" s="9" customFormat="1" ht="37.5" customHeight="1" x14ac:dyDescent="0.25">
      <c r="A500" s="255" t="s">
        <v>1273</v>
      </c>
      <c r="B500" s="254" t="s">
        <v>1274</v>
      </c>
      <c r="C500" s="255" t="s">
        <v>374</v>
      </c>
      <c r="D500" s="242">
        <v>1</v>
      </c>
      <c r="E500" s="242">
        <v>0</v>
      </c>
      <c r="F500" s="242">
        <f t="shared" si="46"/>
        <v>1</v>
      </c>
      <c r="G500" s="243">
        <v>460203</v>
      </c>
      <c r="H500" s="243">
        <f t="shared" si="47"/>
        <v>460203</v>
      </c>
      <c r="I500" s="156"/>
    </row>
    <row r="501" spans="1:9" s="9" customFormat="1" ht="35.1" customHeight="1" x14ac:dyDescent="0.25">
      <c r="A501" s="255" t="s">
        <v>1275</v>
      </c>
      <c r="B501" s="254" t="s">
        <v>1276</v>
      </c>
      <c r="C501" s="255" t="s">
        <v>269</v>
      </c>
      <c r="D501" s="242">
        <v>8</v>
      </c>
      <c r="E501" s="242">
        <v>0</v>
      </c>
      <c r="F501" s="242">
        <f t="shared" si="46"/>
        <v>8</v>
      </c>
      <c r="G501" s="243">
        <v>112871</v>
      </c>
      <c r="H501" s="243">
        <f t="shared" si="47"/>
        <v>902968</v>
      </c>
      <c r="I501" s="156"/>
    </row>
    <row r="502" spans="1:9" s="9" customFormat="1" ht="35.1" customHeight="1" x14ac:dyDescent="0.25">
      <c r="A502" s="255" t="s">
        <v>1277</v>
      </c>
      <c r="B502" s="254" t="s">
        <v>1278</v>
      </c>
      <c r="C502" s="255" t="s">
        <v>269</v>
      </c>
      <c r="D502" s="242">
        <v>2</v>
      </c>
      <c r="E502" s="242">
        <v>0</v>
      </c>
      <c r="F502" s="242">
        <f t="shared" si="46"/>
        <v>2</v>
      </c>
      <c r="G502" s="243">
        <v>112871</v>
      </c>
      <c r="H502" s="243">
        <f t="shared" si="47"/>
        <v>225742</v>
      </c>
      <c r="I502" s="156"/>
    </row>
    <row r="503" spans="1:9" s="9" customFormat="1" ht="35.1" customHeight="1" x14ac:dyDescent="0.25">
      <c r="A503" s="244" t="s">
        <v>1279</v>
      </c>
      <c r="B503" s="245" t="s">
        <v>1280</v>
      </c>
      <c r="C503" s="256"/>
      <c r="D503" s="246"/>
      <c r="E503" s="246"/>
      <c r="F503" s="246"/>
      <c r="G503" s="303">
        <v>0</v>
      </c>
      <c r="H503" s="246"/>
      <c r="I503" s="156"/>
    </row>
    <row r="504" spans="1:9" s="9" customFormat="1" ht="35.1" customHeight="1" x14ac:dyDescent="0.25">
      <c r="A504" s="255" t="s">
        <v>1281</v>
      </c>
      <c r="B504" s="254" t="s">
        <v>1282</v>
      </c>
      <c r="C504" s="255" t="s">
        <v>374</v>
      </c>
      <c r="D504" s="242">
        <v>1</v>
      </c>
      <c r="E504" s="242">
        <v>0</v>
      </c>
      <c r="F504" s="242">
        <f>+E504+D504</f>
        <v>1</v>
      </c>
      <c r="G504" s="243">
        <v>23811571</v>
      </c>
      <c r="H504" s="243">
        <f>ROUND(+G504*F504,2)</f>
        <v>23811571</v>
      </c>
      <c r="I504" s="156"/>
    </row>
    <row r="505" spans="1:9" s="9" customFormat="1" ht="39.950000000000003" customHeight="1" x14ac:dyDescent="0.25">
      <c r="A505" s="244" t="s">
        <v>1283</v>
      </c>
      <c r="B505" s="245" t="s">
        <v>1284</v>
      </c>
      <c r="C505" s="256"/>
      <c r="D505" s="246"/>
      <c r="E505" s="246"/>
      <c r="F505" s="246"/>
      <c r="G505" s="303">
        <v>0</v>
      </c>
      <c r="H505" s="246"/>
      <c r="I505" s="156"/>
    </row>
    <row r="506" spans="1:9" s="9" customFormat="1" ht="39.950000000000003" customHeight="1" x14ac:dyDescent="0.25">
      <c r="A506" s="255" t="s">
        <v>1285</v>
      </c>
      <c r="B506" s="254" t="s">
        <v>1286</v>
      </c>
      <c r="C506" s="255" t="s">
        <v>374</v>
      </c>
      <c r="D506" s="242">
        <v>1</v>
      </c>
      <c r="E506" s="242">
        <v>0</v>
      </c>
      <c r="F506" s="242">
        <f>+E506+D506</f>
        <v>1</v>
      </c>
      <c r="G506" s="243">
        <v>2327032</v>
      </c>
      <c r="H506" s="243">
        <f>ROUND(+G506*F506,2)</f>
        <v>2327032</v>
      </c>
      <c r="I506" s="156"/>
    </row>
    <row r="507" spans="1:9" s="9" customFormat="1" ht="39.950000000000003" customHeight="1" x14ac:dyDescent="0.25">
      <c r="A507" s="255" t="s">
        <v>1287</v>
      </c>
      <c r="B507" s="254" t="s">
        <v>1288</v>
      </c>
      <c r="C507" s="255" t="s">
        <v>269</v>
      </c>
      <c r="D507" s="242">
        <v>10</v>
      </c>
      <c r="E507" s="242">
        <v>0</v>
      </c>
      <c r="F507" s="242">
        <f>+E507+D507</f>
        <v>10</v>
      </c>
      <c r="G507" s="243">
        <v>103302</v>
      </c>
      <c r="H507" s="243">
        <f>ROUND(+G507*F507,2)</f>
        <v>1033020</v>
      </c>
      <c r="I507" s="156"/>
    </row>
    <row r="508" spans="1:9" s="9" customFormat="1" ht="39.950000000000003" customHeight="1" x14ac:dyDescent="0.25">
      <c r="A508" s="255" t="s">
        <v>1289</v>
      </c>
      <c r="B508" s="254" t="s">
        <v>1290</v>
      </c>
      <c r="C508" s="255" t="s">
        <v>269</v>
      </c>
      <c r="D508" s="242">
        <v>5</v>
      </c>
      <c r="E508" s="242">
        <v>0</v>
      </c>
      <c r="F508" s="242">
        <f>+E508+D508</f>
        <v>5</v>
      </c>
      <c r="G508" s="243">
        <v>188987</v>
      </c>
      <c r="H508" s="243">
        <f>ROUND(+G508*F508,2)</f>
        <v>944935</v>
      </c>
      <c r="I508" s="156"/>
    </row>
    <row r="509" spans="1:9" s="9" customFormat="1" ht="39.950000000000003" customHeight="1" x14ac:dyDescent="0.25">
      <c r="A509" s="255" t="s">
        <v>1291</v>
      </c>
      <c r="B509" s="254" t="s">
        <v>1292</v>
      </c>
      <c r="C509" s="255" t="s">
        <v>269</v>
      </c>
      <c r="D509" s="242">
        <v>5</v>
      </c>
      <c r="E509" s="242">
        <v>0</v>
      </c>
      <c r="F509" s="242">
        <f>+E509+D509</f>
        <v>5</v>
      </c>
      <c r="G509" s="243">
        <v>188987</v>
      </c>
      <c r="H509" s="243">
        <f>ROUND(+G509*F509,2)</f>
        <v>944935</v>
      </c>
      <c r="I509" s="156"/>
    </row>
    <row r="510" spans="1:9" s="9" customFormat="1" ht="35.1" customHeight="1" x14ac:dyDescent="0.25">
      <c r="A510" s="255" t="s">
        <v>1293</v>
      </c>
      <c r="B510" s="254" t="s">
        <v>1294</v>
      </c>
      <c r="C510" s="255" t="s">
        <v>1182</v>
      </c>
      <c r="D510" s="242">
        <v>200</v>
      </c>
      <c r="E510" s="242">
        <v>0</v>
      </c>
      <c r="F510" s="242">
        <f>+E510+D510</f>
        <v>200</v>
      </c>
      <c r="G510" s="243">
        <v>12689</v>
      </c>
      <c r="H510" s="243">
        <f>ROUND(+G510*F510,2)</f>
        <v>2537800</v>
      </c>
      <c r="I510" s="156"/>
    </row>
    <row r="511" spans="1:9" s="9" customFormat="1" ht="35.1" customHeight="1" x14ac:dyDescent="0.25">
      <c r="A511" s="293">
        <v>16</v>
      </c>
      <c r="B511" s="294" t="s">
        <v>712</v>
      </c>
      <c r="C511" s="267"/>
      <c r="D511" s="268"/>
      <c r="E511" s="268"/>
      <c r="F511" s="268"/>
      <c r="G511" s="306">
        <v>0</v>
      </c>
      <c r="H511" s="268"/>
      <c r="I511" s="156"/>
    </row>
    <row r="512" spans="1:9" s="9" customFormat="1" ht="35.1" customHeight="1" x14ac:dyDescent="0.25">
      <c r="A512" s="244" t="s">
        <v>713</v>
      </c>
      <c r="B512" s="256" t="s">
        <v>714</v>
      </c>
      <c r="C512" s="256"/>
      <c r="D512" s="246"/>
      <c r="E512" s="246"/>
      <c r="F512" s="246"/>
      <c r="G512" s="303">
        <v>0</v>
      </c>
      <c r="H512" s="246"/>
      <c r="I512" s="156"/>
    </row>
    <row r="513" spans="1:9" s="9" customFormat="1" ht="35.1" customHeight="1" x14ac:dyDescent="0.25">
      <c r="A513" s="255" t="s">
        <v>715</v>
      </c>
      <c r="B513" s="87" t="s">
        <v>716</v>
      </c>
      <c r="C513" s="255" t="s">
        <v>374</v>
      </c>
      <c r="D513" s="242">
        <v>153</v>
      </c>
      <c r="E513" s="242">
        <v>57</v>
      </c>
      <c r="F513" s="242">
        <f t="shared" ref="F513:F521" si="48">+E513+D513</f>
        <v>210</v>
      </c>
      <c r="G513" s="243">
        <v>132419</v>
      </c>
      <c r="H513" s="243">
        <f t="shared" ref="H513:H521" si="49">ROUND(+G513*F513,2)</f>
        <v>27807990</v>
      </c>
      <c r="I513" s="156"/>
    </row>
    <row r="514" spans="1:9" s="9" customFormat="1" ht="35.1" customHeight="1" x14ac:dyDescent="0.25">
      <c r="A514" s="255" t="s">
        <v>717</v>
      </c>
      <c r="B514" s="87" t="s">
        <v>718</v>
      </c>
      <c r="C514" s="255" t="s">
        <v>374</v>
      </c>
      <c r="D514" s="242">
        <v>82</v>
      </c>
      <c r="E514" s="242">
        <v>30</v>
      </c>
      <c r="F514" s="242">
        <f t="shared" si="48"/>
        <v>112</v>
      </c>
      <c r="G514" s="243">
        <v>214137</v>
      </c>
      <c r="H514" s="243">
        <f t="shared" si="49"/>
        <v>23983344</v>
      </c>
      <c r="I514" s="156"/>
    </row>
    <row r="515" spans="1:9" s="9" customFormat="1" ht="35.1" customHeight="1" x14ac:dyDescent="0.25">
      <c r="A515" s="255" t="s">
        <v>719</v>
      </c>
      <c r="B515" s="254" t="s">
        <v>720</v>
      </c>
      <c r="C515" s="255" t="s">
        <v>374</v>
      </c>
      <c r="D515" s="242">
        <v>121</v>
      </c>
      <c r="E515" s="242">
        <v>45</v>
      </c>
      <c r="F515" s="242">
        <f t="shared" si="48"/>
        <v>166</v>
      </c>
      <c r="G515" s="243">
        <v>195814</v>
      </c>
      <c r="H515" s="243">
        <f t="shared" si="49"/>
        <v>32505124</v>
      </c>
      <c r="I515" s="156"/>
    </row>
    <row r="516" spans="1:9" s="9" customFormat="1" ht="35.1" customHeight="1" x14ac:dyDescent="0.25">
      <c r="A516" s="255" t="s">
        <v>721</v>
      </c>
      <c r="B516" s="254" t="s">
        <v>722</v>
      </c>
      <c r="C516" s="255" t="s">
        <v>374</v>
      </c>
      <c r="D516" s="242">
        <v>50</v>
      </c>
      <c r="E516" s="242">
        <v>19</v>
      </c>
      <c r="F516" s="242">
        <f t="shared" si="48"/>
        <v>69</v>
      </c>
      <c r="G516" s="243">
        <v>144433</v>
      </c>
      <c r="H516" s="243">
        <f t="shared" si="49"/>
        <v>9965877</v>
      </c>
      <c r="I516" s="156"/>
    </row>
    <row r="517" spans="1:9" s="9" customFormat="1" ht="35.1" customHeight="1" x14ac:dyDescent="0.25">
      <c r="A517" s="255" t="s">
        <v>723</v>
      </c>
      <c r="B517" s="254" t="s">
        <v>724</v>
      </c>
      <c r="C517" s="255" t="s">
        <v>374</v>
      </c>
      <c r="D517" s="242">
        <v>184</v>
      </c>
      <c r="E517" s="242">
        <v>68</v>
      </c>
      <c r="F517" s="242">
        <f t="shared" si="48"/>
        <v>252</v>
      </c>
      <c r="G517" s="243">
        <v>232703</v>
      </c>
      <c r="H517" s="243">
        <f t="shared" si="49"/>
        <v>58641156</v>
      </c>
      <c r="I517" s="156"/>
    </row>
    <row r="518" spans="1:9" s="9" customFormat="1" ht="35.1" customHeight="1" x14ac:dyDescent="0.25">
      <c r="A518" s="255" t="s">
        <v>725</v>
      </c>
      <c r="B518" s="254" t="s">
        <v>726</v>
      </c>
      <c r="C518" s="255" t="s">
        <v>374</v>
      </c>
      <c r="D518" s="242">
        <v>6</v>
      </c>
      <c r="E518" s="242">
        <v>2</v>
      </c>
      <c r="F518" s="242">
        <f t="shared" si="48"/>
        <v>8</v>
      </c>
      <c r="G518" s="243">
        <v>277466</v>
      </c>
      <c r="H518" s="243">
        <f t="shared" si="49"/>
        <v>2219728</v>
      </c>
      <c r="I518" s="156"/>
    </row>
    <row r="519" spans="1:9" s="9" customFormat="1" ht="35.1" customHeight="1" x14ac:dyDescent="0.25">
      <c r="A519" s="255" t="s">
        <v>727</v>
      </c>
      <c r="B519" s="254" t="s">
        <v>728</v>
      </c>
      <c r="C519" s="255" t="s">
        <v>374</v>
      </c>
      <c r="D519" s="242">
        <v>6</v>
      </c>
      <c r="E519" s="242">
        <v>2</v>
      </c>
      <c r="F519" s="242">
        <f t="shared" si="48"/>
        <v>8</v>
      </c>
      <c r="G519" s="243">
        <v>205006</v>
      </c>
      <c r="H519" s="243">
        <f t="shared" si="49"/>
        <v>1640048</v>
      </c>
      <c r="I519" s="156"/>
    </row>
    <row r="520" spans="1:9" s="9" customFormat="1" ht="35.1" customHeight="1" x14ac:dyDescent="0.25">
      <c r="A520" s="255" t="s">
        <v>729</v>
      </c>
      <c r="B520" s="291" t="s">
        <v>730</v>
      </c>
      <c r="C520" s="292" t="s">
        <v>374</v>
      </c>
      <c r="D520" s="242">
        <v>67</v>
      </c>
      <c r="E520" s="242">
        <v>25</v>
      </c>
      <c r="F520" s="242">
        <f t="shared" si="48"/>
        <v>92</v>
      </c>
      <c r="G520" s="243">
        <v>99609</v>
      </c>
      <c r="H520" s="243">
        <f t="shared" si="49"/>
        <v>9164028</v>
      </c>
      <c r="I520" s="156"/>
    </row>
    <row r="521" spans="1:9" s="9" customFormat="1" ht="35.1" customHeight="1" x14ac:dyDescent="0.25">
      <c r="A521" s="255" t="s">
        <v>731</v>
      </c>
      <c r="B521" s="254" t="s">
        <v>732</v>
      </c>
      <c r="C521" s="255" t="s">
        <v>374</v>
      </c>
      <c r="D521" s="242">
        <v>10</v>
      </c>
      <c r="E521" s="242">
        <v>4</v>
      </c>
      <c r="F521" s="242">
        <f t="shared" si="48"/>
        <v>14</v>
      </c>
      <c r="G521" s="243">
        <v>79847</v>
      </c>
      <c r="H521" s="243">
        <f t="shared" si="49"/>
        <v>1117858</v>
      </c>
      <c r="I521" s="156"/>
    </row>
    <row r="522" spans="1:9" s="9" customFormat="1" ht="35.1" customHeight="1" x14ac:dyDescent="0.25">
      <c r="A522" s="266">
        <v>17</v>
      </c>
      <c r="B522" s="267" t="s">
        <v>733</v>
      </c>
      <c r="C522" s="267"/>
      <c r="D522" s="268"/>
      <c r="E522" s="268"/>
      <c r="F522" s="268"/>
      <c r="G522" s="306">
        <v>0</v>
      </c>
      <c r="H522" s="268"/>
      <c r="I522" s="156"/>
    </row>
    <row r="523" spans="1:9" s="9" customFormat="1" ht="35.1" customHeight="1" x14ac:dyDescent="0.25">
      <c r="A523" s="244" t="s">
        <v>1295</v>
      </c>
      <c r="B523" s="256" t="s">
        <v>1296</v>
      </c>
      <c r="C523" s="256"/>
      <c r="D523" s="246"/>
      <c r="E523" s="246"/>
      <c r="F523" s="246"/>
      <c r="G523" s="303">
        <v>0</v>
      </c>
      <c r="H523" s="246"/>
      <c r="I523" s="156"/>
    </row>
    <row r="524" spans="1:9" s="9" customFormat="1" ht="35.1" customHeight="1" x14ac:dyDescent="0.25">
      <c r="A524" s="255" t="s">
        <v>1297</v>
      </c>
      <c r="B524" s="254" t="s">
        <v>1298</v>
      </c>
      <c r="C524" s="240" t="s">
        <v>16</v>
      </c>
      <c r="D524" s="242">
        <v>1</v>
      </c>
      <c r="E524" s="242">
        <v>0</v>
      </c>
      <c r="F524" s="242">
        <f t="shared" ref="F524:F538" si="50">+E524+D524</f>
        <v>1</v>
      </c>
      <c r="G524" s="243">
        <v>246291164</v>
      </c>
      <c r="H524" s="243">
        <f t="shared" ref="H524:H538" si="51">ROUND(+G524*F524,2)</f>
        <v>246291164</v>
      </c>
      <c r="I524" s="156"/>
    </row>
    <row r="525" spans="1:9" s="9" customFormat="1" ht="35.1" customHeight="1" x14ac:dyDescent="0.25">
      <c r="A525" s="255" t="s">
        <v>1299</v>
      </c>
      <c r="B525" s="254" t="s">
        <v>1300</v>
      </c>
      <c r="C525" s="240" t="s">
        <v>16</v>
      </c>
      <c r="D525" s="242">
        <v>1</v>
      </c>
      <c r="E525" s="242">
        <v>0</v>
      </c>
      <c r="F525" s="242">
        <f t="shared" si="50"/>
        <v>1</v>
      </c>
      <c r="G525" s="243">
        <v>197545150</v>
      </c>
      <c r="H525" s="243">
        <f t="shared" si="51"/>
        <v>197545150</v>
      </c>
      <c r="I525" s="156"/>
    </row>
    <row r="526" spans="1:9" s="9" customFormat="1" ht="35.1" customHeight="1" x14ac:dyDescent="0.25">
      <c r="A526" s="255" t="s">
        <v>1301</v>
      </c>
      <c r="B526" s="254" t="s">
        <v>1302</v>
      </c>
      <c r="C526" s="240" t="s">
        <v>16</v>
      </c>
      <c r="D526" s="242">
        <v>2</v>
      </c>
      <c r="E526" s="242">
        <v>0</v>
      </c>
      <c r="F526" s="242">
        <f t="shared" si="50"/>
        <v>2</v>
      </c>
      <c r="G526" s="243">
        <v>856442</v>
      </c>
      <c r="H526" s="243">
        <f t="shared" si="51"/>
        <v>1712884</v>
      </c>
      <c r="I526" s="156"/>
    </row>
    <row r="527" spans="1:9" s="9" customFormat="1" ht="35.1" customHeight="1" x14ac:dyDescent="0.25">
      <c r="A527" s="255" t="s">
        <v>1303</v>
      </c>
      <c r="B527" s="254" t="s">
        <v>1304</v>
      </c>
      <c r="C527" s="240" t="s">
        <v>16</v>
      </c>
      <c r="D527" s="242">
        <v>9</v>
      </c>
      <c r="E527" s="242">
        <v>0</v>
      </c>
      <c r="F527" s="242">
        <f t="shared" si="50"/>
        <v>9</v>
      </c>
      <c r="G527" s="243">
        <v>3292279</v>
      </c>
      <c r="H527" s="243">
        <f t="shared" si="51"/>
        <v>29630511</v>
      </c>
      <c r="I527" s="156"/>
    </row>
    <row r="528" spans="1:9" s="9" customFormat="1" ht="35.1" customHeight="1" x14ac:dyDescent="0.25">
      <c r="A528" s="255" t="s">
        <v>1305</v>
      </c>
      <c r="B528" s="254" t="s">
        <v>1306</v>
      </c>
      <c r="C528" s="240" t="s">
        <v>16</v>
      </c>
      <c r="D528" s="242">
        <v>16</v>
      </c>
      <c r="E528" s="242">
        <v>0</v>
      </c>
      <c r="F528" s="242">
        <f t="shared" si="50"/>
        <v>16</v>
      </c>
      <c r="G528" s="243">
        <v>2238311</v>
      </c>
      <c r="H528" s="243">
        <f t="shared" si="51"/>
        <v>35812976</v>
      </c>
      <c r="I528" s="156"/>
    </row>
    <row r="529" spans="1:9" s="9" customFormat="1" ht="35.1" customHeight="1" x14ac:dyDescent="0.25">
      <c r="A529" s="255" t="s">
        <v>1307</v>
      </c>
      <c r="B529" s="254" t="s">
        <v>1308</v>
      </c>
      <c r="C529" s="240" t="s">
        <v>16</v>
      </c>
      <c r="D529" s="242">
        <v>1</v>
      </c>
      <c r="E529" s="242">
        <v>0</v>
      </c>
      <c r="F529" s="242">
        <f t="shared" si="50"/>
        <v>1</v>
      </c>
      <c r="G529" s="243">
        <v>2106565</v>
      </c>
      <c r="H529" s="243">
        <f t="shared" si="51"/>
        <v>2106565</v>
      </c>
      <c r="I529" s="156"/>
    </row>
    <row r="530" spans="1:9" s="9" customFormat="1" ht="35.1" customHeight="1" x14ac:dyDescent="0.25">
      <c r="A530" s="255" t="s">
        <v>1309</v>
      </c>
      <c r="B530" s="254" t="s">
        <v>1310</v>
      </c>
      <c r="C530" s="240" t="s">
        <v>16</v>
      </c>
      <c r="D530" s="242">
        <v>1</v>
      </c>
      <c r="E530" s="242">
        <v>0</v>
      </c>
      <c r="F530" s="242">
        <f t="shared" si="50"/>
        <v>1</v>
      </c>
      <c r="G530" s="243">
        <v>1974819</v>
      </c>
      <c r="H530" s="243">
        <f t="shared" si="51"/>
        <v>1974819</v>
      </c>
      <c r="I530" s="156"/>
    </row>
    <row r="531" spans="1:9" s="9" customFormat="1" ht="35.1" customHeight="1" x14ac:dyDescent="0.25">
      <c r="A531" s="255" t="s">
        <v>1311</v>
      </c>
      <c r="B531" s="254" t="s">
        <v>1312</v>
      </c>
      <c r="C531" s="240" t="s">
        <v>16</v>
      </c>
      <c r="D531" s="242">
        <v>3</v>
      </c>
      <c r="E531" s="242">
        <v>0</v>
      </c>
      <c r="F531" s="242">
        <f t="shared" si="50"/>
        <v>3</v>
      </c>
      <c r="G531" s="243">
        <v>1184343</v>
      </c>
      <c r="H531" s="243">
        <f t="shared" si="51"/>
        <v>3553029</v>
      </c>
      <c r="I531" s="156"/>
    </row>
    <row r="532" spans="1:9" s="9" customFormat="1" ht="35.1" customHeight="1" x14ac:dyDescent="0.25">
      <c r="A532" s="255" t="s">
        <v>1313</v>
      </c>
      <c r="B532" s="254" t="s">
        <v>1314</v>
      </c>
      <c r="C532" s="240" t="s">
        <v>16</v>
      </c>
      <c r="D532" s="242">
        <v>3</v>
      </c>
      <c r="E532" s="242">
        <v>0</v>
      </c>
      <c r="F532" s="242">
        <f t="shared" si="50"/>
        <v>3</v>
      </c>
      <c r="G532" s="243">
        <v>1566406</v>
      </c>
      <c r="H532" s="243">
        <f t="shared" si="51"/>
        <v>4699218</v>
      </c>
      <c r="I532" s="156"/>
    </row>
    <row r="533" spans="1:9" s="9" customFormat="1" ht="35.1" customHeight="1" x14ac:dyDescent="0.25">
      <c r="A533" s="255" t="s">
        <v>1315</v>
      </c>
      <c r="B533" s="254" t="s">
        <v>1316</v>
      </c>
      <c r="C533" s="240" t="s">
        <v>16</v>
      </c>
      <c r="D533" s="242">
        <v>1</v>
      </c>
      <c r="E533" s="242">
        <v>0</v>
      </c>
      <c r="F533" s="242">
        <f t="shared" si="50"/>
        <v>1</v>
      </c>
      <c r="G533" s="243">
        <v>1691564</v>
      </c>
      <c r="H533" s="243">
        <f t="shared" si="51"/>
        <v>1691564</v>
      </c>
      <c r="I533" s="156"/>
    </row>
    <row r="534" spans="1:9" s="9" customFormat="1" ht="35.1" customHeight="1" x14ac:dyDescent="0.25">
      <c r="A534" s="255" t="s">
        <v>1317</v>
      </c>
      <c r="B534" s="254" t="s">
        <v>1318</v>
      </c>
      <c r="C534" s="240" t="s">
        <v>16</v>
      </c>
      <c r="D534" s="242">
        <v>1</v>
      </c>
      <c r="E534" s="242">
        <v>0</v>
      </c>
      <c r="F534" s="242">
        <f t="shared" si="50"/>
        <v>1</v>
      </c>
      <c r="G534" s="243">
        <v>1843073</v>
      </c>
      <c r="H534" s="243">
        <f t="shared" si="51"/>
        <v>1843073</v>
      </c>
      <c r="I534" s="156"/>
    </row>
    <row r="535" spans="1:9" s="9" customFormat="1" ht="35.1" customHeight="1" x14ac:dyDescent="0.25">
      <c r="A535" s="255" t="s">
        <v>1319</v>
      </c>
      <c r="B535" s="254" t="s">
        <v>1320</v>
      </c>
      <c r="C535" s="240" t="s">
        <v>16</v>
      </c>
      <c r="D535" s="242">
        <v>2</v>
      </c>
      <c r="E535" s="242">
        <v>0</v>
      </c>
      <c r="F535" s="242">
        <f t="shared" si="50"/>
        <v>2</v>
      </c>
      <c r="G535" s="243">
        <v>10144815</v>
      </c>
      <c r="H535" s="243">
        <f t="shared" si="51"/>
        <v>20289630</v>
      </c>
      <c r="I535" s="156"/>
    </row>
    <row r="536" spans="1:9" s="9" customFormat="1" ht="35.1" customHeight="1" x14ac:dyDescent="0.25">
      <c r="A536" s="255" t="s">
        <v>1321</v>
      </c>
      <c r="B536" s="254" t="s">
        <v>1322</v>
      </c>
      <c r="C536" s="240" t="s">
        <v>16</v>
      </c>
      <c r="D536" s="242">
        <v>1</v>
      </c>
      <c r="E536" s="242">
        <v>0</v>
      </c>
      <c r="F536" s="242">
        <f t="shared" si="50"/>
        <v>1</v>
      </c>
      <c r="G536" s="243">
        <v>16336970</v>
      </c>
      <c r="H536" s="243">
        <f t="shared" si="51"/>
        <v>16336970</v>
      </c>
      <c r="I536" s="156"/>
    </row>
    <row r="537" spans="1:9" s="9" customFormat="1" ht="35.1" customHeight="1" x14ac:dyDescent="0.25">
      <c r="A537" s="255" t="s">
        <v>1323</v>
      </c>
      <c r="B537" s="254" t="s">
        <v>1324</v>
      </c>
      <c r="C537" s="240" t="s">
        <v>16</v>
      </c>
      <c r="D537" s="242">
        <v>4</v>
      </c>
      <c r="E537" s="242">
        <v>0</v>
      </c>
      <c r="F537" s="242">
        <f t="shared" si="50"/>
        <v>4</v>
      </c>
      <c r="G537" s="243">
        <v>6806986</v>
      </c>
      <c r="H537" s="243">
        <f t="shared" si="51"/>
        <v>27227944</v>
      </c>
      <c r="I537" s="156"/>
    </row>
    <row r="538" spans="1:9" s="9" customFormat="1" ht="35.1" customHeight="1" x14ac:dyDescent="0.25">
      <c r="A538" s="255" t="s">
        <v>1325</v>
      </c>
      <c r="B538" s="254" t="s">
        <v>1326</v>
      </c>
      <c r="C538" s="240" t="s">
        <v>16</v>
      </c>
      <c r="D538" s="242">
        <v>2</v>
      </c>
      <c r="E538" s="242">
        <v>0</v>
      </c>
      <c r="F538" s="242">
        <f t="shared" si="50"/>
        <v>2</v>
      </c>
      <c r="G538" s="243">
        <v>23820382</v>
      </c>
      <c r="H538" s="243">
        <f t="shared" si="51"/>
        <v>47640764</v>
      </c>
      <c r="I538" s="156"/>
    </row>
    <row r="539" spans="1:9" s="9" customFormat="1" ht="35.1" customHeight="1" x14ac:dyDescent="0.25">
      <c r="A539" s="244" t="s">
        <v>734</v>
      </c>
      <c r="B539" s="256" t="s">
        <v>735</v>
      </c>
      <c r="C539" s="256"/>
      <c r="D539" s="246"/>
      <c r="E539" s="246"/>
      <c r="F539" s="246"/>
      <c r="G539" s="303">
        <v>0</v>
      </c>
      <c r="H539" s="246"/>
      <c r="I539" s="156"/>
    </row>
    <row r="540" spans="1:9" s="9" customFormat="1" ht="35.1" customHeight="1" x14ac:dyDescent="0.25">
      <c r="A540" s="255" t="s">
        <v>736</v>
      </c>
      <c r="B540" s="254" t="s">
        <v>737</v>
      </c>
      <c r="C540" s="240" t="s">
        <v>94</v>
      </c>
      <c r="D540" s="242">
        <v>45</v>
      </c>
      <c r="E540" s="242">
        <v>17</v>
      </c>
      <c r="F540" s="242">
        <f t="shared" ref="F540:F547" si="52">+E540+D540</f>
        <v>62</v>
      </c>
      <c r="G540" s="243">
        <v>73508</v>
      </c>
      <c r="H540" s="243">
        <f t="shared" ref="H540:H547" si="53">ROUND(+G540*F540,2)</f>
        <v>4557496</v>
      </c>
      <c r="I540" s="156"/>
    </row>
    <row r="541" spans="1:9" s="9" customFormat="1" ht="35.1" customHeight="1" x14ac:dyDescent="0.25">
      <c r="A541" s="255" t="s">
        <v>738</v>
      </c>
      <c r="B541" s="254" t="s">
        <v>739</v>
      </c>
      <c r="C541" s="240" t="s">
        <v>94</v>
      </c>
      <c r="D541" s="242">
        <v>24</v>
      </c>
      <c r="E541" s="242">
        <v>9</v>
      </c>
      <c r="F541" s="242">
        <f t="shared" si="52"/>
        <v>33</v>
      </c>
      <c r="G541" s="243">
        <v>47798</v>
      </c>
      <c r="H541" s="243">
        <f t="shared" si="53"/>
        <v>1577334</v>
      </c>
      <c r="I541" s="156"/>
    </row>
    <row r="542" spans="1:9" s="9" customFormat="1" ht="35.1" customHeight="1" x14ac:dyDescent="0.25">
      <c r="A542" s="255" t="s">
        <v>740</v>
      </c>
      <c r="B542" s="254" t="s">
        <v>741</v>
      </c>
      <c r="C542" s="240" t="s">
        <v>94</v>
      </c>
      <c r="D542" s="242">
        <v>64</v>
      </c>
      <c r="E542" s="242">
        <v>24</v>
      </c>
      <c r="F542" s="242">
        <f t="shared" si="52"/>
        <v>88</v>
      </c>
      <c r="G542" s="243">
        <v>35622</v>
      </c>
      <c r="H542" s="243">
        <f t="shared" si="53"/>
        <v>3134736</v>
      </c>
      <c r="I542" s="156"/>
    </row>
    <row r="543" spans="1:9" s="9" customFormat="1" ht="35.1" customHeight="1" x14ac:dyDescent="0.25">
      <c r="A543" s="255" t="s">
        <v>742</v>
      </c>
      <c r="B543" s="254" t="s">
        <v>743</v>
      </c>
      <c r="C543" s="240" t="s">
        <v>94</v>
      </c>
      <c r="D543" s="242">
        <v>185.4</v>
      </c>
      <c r="E543" s="242">
        <v>68</v>
      </c>
      <c r="F543" s="242">
        <f t="shared" si="52"/>
        <v>253.4</v>
      </c>
      <c r="G543" s="243">
        <v>24250</v>
      </c>
      <c r="H543" s="243">
        <f t="shared" si="53"/>
        <v>6144950</v>
      </c>
      <c r="I543" s="156"/>
    </row>
    <row r="544" spans="1:9" s="9" customFormat="1" ht="35.1" customHeight="1" x14ac:dyDescent="0.25">
      <c r="A544" s="255" t="s">
        <v>744</v>
      </c>
      <c r="B544" s="254" t="s">
        <v>745</v>
      </c>
      <c r="C544" s="240" t="s">
        <v>94</v>
      </c>
      <c r="D544" s="242">
        <v>106.80000000000001</v>
      </c>
      <c r="E544" s="242">
        <v>40</v>
      </c>
      <c r="F544" s="242">
        <f t="shared" si="52"/>
        <v>146.80000000000001</v>
      </c>
      <c r="G544" s="243">
        <v>17669</v>
      </c>
      <c r="H544" s="243">
        <f t="shared" si="53"/>
        <v>2593809.2000000002</v>
      </c>
      <c r="I544" s="156"/>
    </row>
    <row r="545" spans="1:9" s="9" customFormat="1" ht="35.1" customHeight="1" x14ac:dyDescent="0.25">
      <c r="A545" s="255" t="s">
        <v>746</v>
      </c>
      <c r="B545" s="254" t="s">
        <v>747</v>
      </c>
      <c r="C545" s="240" t="s">
        <v>94</v>
      </c>
      <c r="D545" s="242">
        <v>165.6</v>
      </c>
      <c r="E545" s="242">
        <v>61</v>
      </c>
      <c r="F545" s="242">
        <f t="shared" si="52"/>
        <v>226.6</v>
      </c>
      <c r="G545" s="243">
        <v>15032</v>
      </c>
      <c r="H545" s="243">
        <f t="shared" si="53"/>
        <v>3406251.2</v>
      </c>
      <c r="I545" s="156"/>
    </row>
    <row r="546" spans="1:9" s="9" customFormat="1" ht="35.1" customHeight="1" x14ac:dyDescent="0.25">
      <c r="A546" s="255" t="s">
        <v>748</v>
      </c>
      <c r="B546" s="254" t="s">
        <v>749</v>
      </c>
      <c r="C546" s="240" t="s">
        <v>94</v>
      </c>
      <c r="D546" s="242">
        <v>28.799999999999997</v>
      </c>
      <c r="E546" s="242">
        <v>10</v>
      </c>
      <c r="F546" s="242">
        <f t="shared" si="52"/>
        <v>38.799999999999997</v>
      </c>
      <c r="G546" s="243">
        <v>10998</v>
      </c>
      <c r="H546" s="243">
        <f t="shared" si="53"/>
        <v>426722.4</v>
      </c>
      <c r="I546" s="156"/>
    </row>
    <row r="547" spans="1:9" s="9" customFormat="1" ht="35.1" customHeight="1" x14ac:dyDescent="0.25">
      <c r="A547" s="255" t="s">
        <v>750</v>
      </c>
      <c r="B547" s="254" t="s">
        <v>751</v>
      </c>
      <c r="C547" s="240" t="s">
        <v>94</v>
      </c>
      <c r="D547" s="242">
        <v>32</v>
      </c>
      <c r="E547" s="242">
        <v>12</v>
      </c>
      <c r="F547" s="242">
        <f t="shared" si="52"/>
        <v>44</v>
      </c>
      <c r="G547" s="243">
        <v>9661</v>
      </c>
      <c r="H547" s="243">
        <f t="shared" si="53"/>
        <v>425084</v>
      </c>
      <c r="I547" s="156"/>
    </row>
    <row r="548" spans="1:9" s="9" customFormat="1" ht="35.1" customHeight="1" x14ac:dyDescent="0.25">
      <c r="A548" s="244" t="s">
        <v>752</v>
      </c>
      <c r="B548" s="256" t="s">
        <v>1327</v>
      </c>
      <c r="C548" s="256"/>
      <c r="D548" s="246"/>
      <c r="E548" s="246"/>
      <c r="F548" s="246"/>
      <c r="G548" s="303">
        <v>0</v>
      </c>
      <c r="H548" s="246"/>
      <c r="I548" s="156"/>
    </row>
    <row r="549" spans="1:9" s="9" customFormat="1" ht="35.1" customHeight="1" x14ac:dyDescent="0.25">
      <c r="A549" s="240" t="s">
        <v>754</v>
      </c>
      <c r="B549" s="254" t="s">
        <v>755</v>
      </c>
      <c r="C549" s="240" t="s">
        <v>94</v>
      </c>
      <c r="D549" s="242">
        <v>45</v>
      </c>
      <c r="E549" s="242">
        <v>17</v>
      </c>
      <c r="F549" s="242">
        <f t="shared" ref="F549:F556" si="54">+E549+D549</f>
        <v>62</v>
      </c>
      <c r="G549" s="243">
        <v>42439</v>
      </c>
      <c r="H549" s="243">
        <f t="shared" ref="H549:H556" si="55">ROUND(+G549*F549,2)</f>
        <v>2631218</v>
      </c>
      <c r="I549" s="156"/>
    </row>
    <row r="550" spans="1:9" s="9" customFormat="1" ht="35.1" customHeight="1" x14ac:dyDescent="0.25">
      <c r="A550" s="240" t="s">
        <v>756</v>
      </c>
      <c r="B550" s="87" t="s">
        <v>757</v>
      </c>
      <c r="C550" s="240" t="s">
        <v>94</v>
      </c>
      <c r="D550" s="242">
        <v>24</v>
      </c>
      <c r="E550" s="242">
        <v>9</v>
      </c>
      <c r="F550" s="242">
        <f t="shared" si="54"/>
        <v>33</v>
      </c>
      <c r="G550" s="243">
        <v>38123</v>
      </c>
      <c r="H550" s="243">
        <f t="shared" si="55"/>
        <v>1258059</v>
      </c>
      <c r="I550" s="156"/>
    </row>
    <row r="551" spans="1:9" s="9" customFormat="1" ht="35.1" customHeight="1" x14ac:dyDescent="0.25">
      <c r="A551" s="255" t="s">
        <v>758</v>
      </c>
      <c r="B551" s="254" t="s">
        <v>759</v>
      </c>
      <c r="C551" s="240" t="s">
        <v>94</v>
      </c>
      <c r="D551" s="242">
        <v>64</v>
      </c>
      <c r="E551" s="242">
        <v>24</v>
      </c>
      <c r="F551" s="242">
        <f t="shared" si="54"/>
        <v>88</v>
      </c>
      <c r="G551" s="243">
        <v>29232</v>
      </c>
      <c r="H551" s="243">
        <f t="shared" si="55"/>
        <v>2572416</v>
      </c>
      <c r="I551" s="156"/>
    </row>
    <row r="552" spans="1:9" s="9" customFormat="1" ht="35.1" customHeight="1" x14ac:dyDescent="0.25">
      <c r="A552" s="255" t="s">
        <v>760</v>
      </c>
      <c r="B552" s="254" t="s">
        <v>761</v>
      </c>
      <c r="C552" s="240" t="s">
        <v>94</v>
      </c>
      <c r="D552" s="242">
        <v>185.4</v>
      </c>
      <c r="E552" s="242">
        <v>68</v>
      </c>
      <c r="F552" s="242">
        <f t="shared" si="54"/>
        <v>253.4</v>
      </c>
      <c r="G552" s="243">
        <v>23058</v>
      </c>
      <c r="H552" s="243">
        <f t="shared" si="55"/>
        <v>5842897.2000000002</v>
      </c>
      <c r="I552" s="156"/>
    </row>
    <row r="553" spans="1:9" s="9" customFormat="1" ht="35.1" customHeight="1" x14ac:dyDescent="0.25">
      <c r="A553" s="255" t="s">
        <v>762</v>
      </c>
      <c r="B553" s="87" t="s">
        <v>763</v>
      </c>
      <c r="C553" s="240" t="s">
        <v>94</v>
      </c>
      <c r="D553" s="242">
        <v>106.80000000000001</v>
      </c>
      <c r="E553" s="242">
        <v>40</v>
      </c>
      <c r="F553" s="242">
        <f t="shared" si="54"/>
        <v>146.80000000000001</v>
      </c>
      <c r="G553" s="243">
        <v>17390</v>
      </c>
      <c r="H553" s="243">
        <f t="shared" si="55"/>
        <v>2552852</v>
      </c>
      <c r="I553" s="156"/>
    </row>
    <row r="554" spans="1:9" s="9" customFormat="1" ht="35.1" customHeight="1" x14ac:dyDescent="0.25">
      <c r="A554" s="255" t="s">
        <v>764</v>
      </c>
      <c r="B554" s="87" t="s">
        <v>765</v>
      </c>
      <c r="C554" s="240" t="s">
        <v>94</v>
      </c>
      <c r="D554" s="242">
        <v>165.6</v>
      </c>
      <c r="E554" s="242">
        <v>61</v>
      </c>
      <c r="F554" s="242">
        <f t="shared" si="54"/>
        <v>226.6</v>
      </c>
      <c r="G554" s="243">
        <v>14914</v>
      </c>
      <c r="H554" s="243">
        <f t="shared" si="55"/>
        <v>3379512.4</v>
      </c>
      <c r="I554" s="156"/>
    </row>
    <row r="555" spans="1:9" s="9" customFormat="1" ht="35.1" customHeight="1" x14ac:dyDescent="0.25">
      <c r="A555" s="255" t="s">
        <v>766</v>
      </c>
      <c r="B555" s="254" t="s">
        <v>767</v>
      </c>
      <c r="C555" s="240" t="s">
        <v>94</v>
      </c>
      <c r="D555" s="242">
        <v>28.799999999999997</v>
      </c>
      <c r="E555" s="242">
        <v>10</v>
      </c>
      <c r="F555" s="242">
        <f t="shared" si="54"/>
        <v>38.799999999999997</v>
      </c>
      <c r="G555" s="243">
        <v>10869</v>
      </c>
      <c r="H555" s="243">
        <f t="shared" si="55"/>
        <v>421717.2</v>
      </c>
      <c r="I555" s="156"/>
    </row>
    <row r="556" spans="1:9" s="9" customFormat="1" ht="35.1" customHeight="1" x14ac:dyDescent="0.25">
      <c r="A556" s="255" t="s">
        <v>768</v>
      </c>
      <c r="B556" s="254" t="s">
        <v>769</v>
      </c>
      <c r="C556" s="240" t="s">
        <v>94</v>
      </c>
      <c r="D556" s="242">
        <v>32</v>
      </c>
      <c r="E556" s="242">
        <v>12</v>
      </c>
      <c r="F556" s="242">
        <f t="shared" si="54"/>
        <v>44</v>
      </c>
      <c r="G556" s="243">
        <v>9486</v>
      </c>
      <c r="H556" s="243">
        <f t="shared" si="55"/>
        <v>417384</v>
      </c>
      <c r="I556" s="156"/>
    </row>
    <row r="557" spans="1:9" s="9" customFormat="1" ht="35.1" customHeight="1" x14ac:dyDescent="0.25">
      <c r="A557" s="244" t="s">
        <v>770</v>
      </c>
      <c r="B557" s="256" t="s">
        <v>1328</v>
      </c>
      <c r="C557" s="256"/>
      <c r="D557" s="246"/>
      <c r="E557" s="246"/>
      <c r="F557" s="246"/>
      <c r="G557" s="303">
        <v>0</v>
      </c>
      <c r="H557" s="246"/>
      <c r="I557" s="156"/>
    </row>
    <row r="558" spans="1:9" s="9" customFormat="1" ht="35.1" customHeight="1" x14ac:dyDescent="0.25">
      <c r="A558" s="255" t="s">
        <v>772</v>
      </c>
      <c r="B558" s="254" t="s">
        <v>773</v>
      </c>
      <c r="C558" s="240" t="s">
        <v>16</v>
      </c>
      <c r="D558" s="242">
        <v>3</v>
      </c>
      <c r="E558" s="242">
        <v>1</v>
      </c>
      <c r="F558" s="242">
        <f t="shared" ref="F558:F594" si="56">+E558+D558</f>
        <v>4</v>
      </c>
      <c r="G558" s="243">
        <v>295890</v>
      </c>
      <c r="H558" s="243">
        <f t="shared" ref="H558:H594" si="57">ROUND(+G558*F558,2)</f>
        <v>1183560</v>
      </c>
      <c r="I558" s="156"/>
    </row>
    <row r="559" spans="1:9" s="9" customFormat="1" ht="35.1" customHeight="1" x14ac:dyDescent="0.25">
      <c r="A559" s="255" t="s">
        <v>774</v>
      </c>
      <c r="B559" s="254" t="s">
        <v>775</v>
      </c>
      <c r="C559" s="240" t="s">
        <v>16</v>
      </c>
      <c r="D559" s="242">
        <v>3</v>
      </c>
      <c r="E559" s="242">
        <v>1</v>
      </c>
      <c r="F559" s="242">
        <f t="shared" si="56"/>
        <v>4</v>
      </c>
      <c r="G559" s="243">
        <v>569349</v>
      </c>
      <c r="H559" s="243">
        <f t="shared" si="57"/>
        <v>2277396</v>
      </c>
      <c r="I559" s="156"/>
    </row>
    <row r="560" spans="1:9" s="9" customFormat="1" ht="35.1" customHeight="1" x14ac:dyDescent="0.25">
      <c r="A560" s="255" t="s">
        <v>776</v>
      </c>
      <c r="B560" s="254" t="s">
        <v>777</v>
      </c>
      <c r="C560" s="240" t="s">
        <v>16</v>
      </c>
      <c r="D560" s="242">
        <v>3</v>
      </c>
      <c r="E560" s="242">
        <v>1</v>
      </c>
      <c r="F560" s="242">
        <f t="shared" si="56"/>
        <v>4</v>
      </c>
      <c r="G560" s="243">
        <v>200461</v>
      </c>
      <c r="H560" s="243">
        <f t="shared" si="57"/>
        <v>801844</v>
      </c>
      <c r="I560" s="156"/>
    </row>
    <row r="561" spans="1:9" s="9" customFormat="1" ht="35.1" customHeight="1" x14ac:dyDescent="0.25">
      <c r="A561" s="255" t="s">
        <v>778</v>
      </c>
      <c r="B561" s="254" t="s">
        <v>779</v>
      </c>
      <c r="C561" s="240" t="s">
        <v>16</v>
      </c>
      <c r="D561" s="242">
        <v>1</v>
      </c>
      <c r="E561" s="242">
        <v>1</v>
      </c>
      <c r="F561" s="242">
        <f t="shared" si="56"/>
        <v>2</v>
      </c>
      <c r="G561" s="243">
        <v>463953</v>
      </c>
      <c r="H561" s="243">
        <f t="shared" si="57"/>
        <v>927906</v>
      </c>
      <c r="I561" s="156"/>
    </row>
    <row r="562" spans="1:9" s="9" customFormat="1" ht="35.1" customHeight="1" x14ac:dyDescent="0.25">
      <c r="A562" s="255" t="s">
        <v>780</v>
      </c>
      <c r="B562" s="254" t="s">
        <v>781</v>
      </c>
      <c r="C562" s="240" t="s">
        <v>16</v>
      </c>
      <c r="D562" s="242">
        <v>3</v>
      </c>
      <c r="E562" s="242">
        <v>1</v>
      </c>
      <c r="F562" s="242">
        <f t="shared" si="56"/>
        <v>4</v>
      </c>
      <c r="G562" s="243">
        <v>2393894</v>
      </c>
      <c r="H562" s="243">
        <f t="shared" si="57"/>
        <v>9575576</v>
      </c>
      <c r="I562" s="156"/>
    </row>
    <row r="563" spans="1:9" s="9" customFormat="1" ht="35.1" customHeight="1" x14ac:dyDescent="0.25">
      <c r="A563" s="255" t="s">
        <v>782</v>
      </c>
      <c r="B563" s="254" t="s">
        <v>783</v>
      </c>
      <c r="C563" s="240" t="s">
        <v>16</v>
      </c>
      <c r="D563" s="242">
        <v>3</v>
      </c>
      <c r="E563" s="242">
        <v>1</v>
      </c>
      <c r="F563" s="242">
        <f t="shared" si="56"/>
        <v>4</v>
      </c>
      <c r="G563" s="243">
        <v>2393894</v>
      </c>
      <c r="H563" s="243">
        <f t="shared" si="57"/>
        <v>9575576</v>
      </c>
      <c r="I563" s="156"/>
    </row>
    <row r="564" spans="1:9" s="9" customFormat="1" ht="35.1" customHeight="1" x14ac:dyDescent="0.25">
      <c r="A564" s="255" t="s">
        <v>784</v>
      </c>
      <c r="B564" s="254" t="s">
        <v>785</v>
      </c>
      <c r="C564" s="240" t="s">
        <v>16</v>
      </c>
      <c r="D564" s="242">
        <v>1</v>
      </c>
      <c r="E564" s="242">
        <v>1</v>
      </c>
      <c r="F564" s="242">
        <f t="shared" si="56"/>
        <v>2</v>
      </c>
      <c r="G564" s="243">
        <v>1264836</v>
      </c>
      <c r="H564" s="243">
        <f t="shared" si="57"/>
        <v>2529672</v>
      </c>
      <c r="I564" s="156"/>
    </row>
    <row r="565" spans="1:9" s="9" customFormat="1" ht="35.1" customHeight="1" x14ac:dyDescent="0.25">
      <c r="A565" s="255" t="s">
        <v>786</v>
      </c>
      <c r="B565" s="254" t="s">
        <v>787</v>
      </c>
      <c r="C565" s="240" t="s">
        <v>16</v>
      </c>
      <c r="D565" s="242">
        <v>0</v>
      </c>
      <c r="E565" s="242">
        <v>1</v>
      </c>
      <c r="F565" s="242">
        <f t="shared" si="56"/>
        <v>1</v>
      </c>
      <c r="G565" s="243">
        <v>372432</v>
      </c>
      <c r="H565" s="243">
        <f t="shared" si="57"/>
        <v>372432</v>
      </c>
      <c r="I565" s="156"/>
    </row>
    <row r="566" spans="1:9" s="9" customFormat="1" ht="35.1" customHeight="1" x14ac:dyDescent="0.25">
      <c r="A566" s="255" t="s">
        <v>788</v>
      </c>
      <c r="B566" s="254" t="s">
        <v>789</v>
      </c>
      <c r="C566" s="240" t="s">
        <v>16</v>
      </c>
      <c r="D566" s="242">
        <v>0</v>
      </c>
      <c r="E566" s="242">
        <v>1</v>
      </c>
      <c r="F566" s="242">
        <f t="shared" si="56"/>
        <v>1</v>
      </c>
      <c r="G566" s="243">
        <v>520645</v>
      </c>
      <c r="H566" s="243">
        <f t="shared" si="57"/>
        <v>520645</v>
      </c>
      <c r="I566" s="156"/>
    </row>
    <row r="567" spans="1:9" s="9" customFormat="1" ht="35.1" customHeight="1" x14ac:dyDescent="0.25">
      <c r="A567" s="255" t="s">
        <v>790</v>
      </c>
      <c r="B567" s="254" t="s">
        <v>791</v>
      </c>
      <c r="C567" s="240" t="s">
        <v>16</v>
      </c>
      <c r="D567" s="242">
        <v>5</v>
      </c>
      <c r="E567" s="242">
        <v>2</v>
      </c>
      <c r="F567" s="242">
        <f t="shared" si="56"/>
        <v>7</v>
      </c>
      <c r="G567" s="243">
        <v>330932</v>
      </c>
      <c r="H567" s="243">
        <f t="shared" si="57"/>
        <v>2316524</v>
      </c>
      <c r="I567" s="156"/>
    </row>
    <row r="568" spans="1:9" s="9" customFormat="1" ht="35.1" customHeight="1" x14ac:dyDescent="0.25">
      <c r="A568" s="255" t="s">
        <v>792</v>
      </c>
      <c r="B568" s="254" t="s">
        <v>793</v>
      </c>
      <c r="C568" s="240" t="s">
        <v>16</v>
      </c>
      <c r="D568" s="242">
        <v>5</v>
      </c>
      <c r="E568" s="242">
        <v>2</v>
      </c>
      <c r="F568" s="242">
        <f t="shared" si="56"/>
        <v>7</v>
      </c>
      <c r="G568" s="243">
        <v>466894</v>
      </c>
      <c r="H568" s="243">
        <f t="shared" si="57"/>
        <v>3268258</v>
      </c>
      <c r="I568" s="156"/>
    </row>
    <row r="569" spans="1:9" s="9" customFormat="1" ht="35.1" customHeight="1" x14ac:dyDescent="0.25">
      <c r="A569" s="255" t="s">
        <v>794</v>
      </c>
      <c r="B569" s="254" t="s">
        <v>795</v>
      </c>
      <c r="C569" s="240" t="s">
        <v>16</v>
      </c>
      <c r="D569" s="242">
        <v>1</v>
      </c>
      <c r="E569" s="242">
        <v>1</v>
      </c>
      <c r="F569" s="242">
        <f t="shared" si="56"/>
        <v>2</v>
      </c>
      <c r="G569" s="243">
        <v>244769</v>
      </c>
      <c r="H569" s="243">
        <f t="shared" si="57"/>
        <v>489538</v>
      </c>
      <c r="I569" s="156"/>
    </row>
    <row r="570" spans="1:9" s="9" customFormat="1" ht="35.1" customHeight="1" x14ac:dyDescent="0.25">
      <c r="A570" s="255" t="s">
        <v>796</v>
      </c>
      <c r="B570" s="254" t="s">
        <v>797</v>
      </c>
      <c r="C570" s="240" t="s">
        <v>16</v>
      </c>
      <c r="D570" s="242">
        <v>1</v>
      </c>
      <c r="E570" s="242">
        <v>1</v>
      </c>
      <c r="F570" s="242">
        <f t="shared" si="56"/>
        <v>2</v>
      </c>
      <c r="G570" s="243">
        <v>266786</v>
      </c>
      <c r="H570" s="243">
        <f t="shared" si="57"/>
        <v>533572</v>
      </c>
      <c r="I570" s="156"/>
    </row>
    <row r="571" spans="1:9" s="9" customFormat="1" ht="35.1" customHeight="1" x14ac:dyDescent="0.25">
      <c r="A571" s="255" t="s">
        <v>1329</v>
      </c>
      <c r="B571" s="254" t="s">
        <v>1330</v>
      </c>
      <c r="C571" s="240" t="s">
        <v>16</v>
      </c>
      <c r="D571" s="242">
        <v>2</v>
      </c>
      <c r="E571" s="242">
        <v>0</v>
      </c>
      <c r="F571" s="242">
        <f t="shared" si="56"/>
        <v>2</v>
      </c>
      <c r="G571" s="243">
        <v>128701</v>
      </c>
      <c r="H571" s="243">
        <f t="shared" si="57"/>
        <v>257402</v>
      </c>
      <c r="I571" s="156"/>
    </row>
    <row r="572" spans="1:9" s="9" customFormat="1" ht="35.1" customHeight="1" x14ac:dyDescent="0.25">
      <c r="A572" s="255" t="s">
        <v>1331</v>
      </c>
      <c r="B572" s="254" t="s">
        <v>1332</v>
      </c>
      <c r="C572" s="240" t="s">
        <v>16</v>
      </c>
      <c r="D572" s="242">
        <v>2</v>
      </c>
      <c r="E572" s="242">
        <v>0</v>
      </c>
      <c r="F572" s="242">
        <f t="shared" si="56"/>
        <v>2</v>
      </c>
      <c r="G572" s="243">
        <v>164931</v>
      </c>
      <c r="H572" s="243">
        <f t="shared" si="57"/>
        <v>329862</v>
      </c>
      <c r="I572" s="156"/>
    </row>
    <row r="573" spans="1:9" s="9" customFormat="1" ht="35.1" customHeight="1" x14ac:dyDescent="0.25">
      <c r="A573" s="255" t="s">
        <v>798</v>
      </c>
      <c r="B573" s="254" t="s">
        <v>799</v>
      </c>
      <c r="C573" s="240" t="s">
        <v>16</v>
      </c>
      <c r="D573" s="242">
        <v>1</v>
      </c>
      <c r="E573" s="242">
        <v>1</v>
      </c>
      <c r="F573" s="242">
        <f t="shared" si="56"/>
        <v>2</v>
      </c>
      <c r="G573" s="243">
        <v>599693</v>
      </c>
      <c r="H573" s="243">
        <f t="shared" si="57"/>
        <v>1199386</v>
      </c>
      <c r="I573" s="156"/>
    </row>
    <row r="574" spans="1:9" s="9" customFormat="1" ht="35.1" customHeight="1" x14ac:dyDescent="0.25">
      <c r="A574" s="255" t="s">
        <v>800</v>
      </c>
      <c r="B574" s="254" t="s">
        <v>801</v>
      </c>
      <c r="C574" s="240" t="s">
        <v>16</v>
      </c>
      <c r="D574" s="242">
        <v>1</v>
      </c>
      <c r="E574" s="242">
        <v>1</v>
      </c>
      <c r="F574" s="242">
        <f t="shared" si="56"/>
        <v>2</v>
      </c>
      <c r="G574" s="243">
        <v>3295154</v>
      </c>
      <c r="H574" s="243">
        <f t="shared" si="57"/>
        <v>6590308</v>
      </c>
      <c r="I574" s="156"/>
    </row>
    <row r="575" spans="1:9" s="9" customFormat="1" ht="35.1" customHeight="1" x14ac:dyDescent="0.25">
      <c r="A575" s="255" t="s">
        <v>802</v>
      </c>
      <c r="B575" s="254" t="s">
        <v>803</v>
      </c>
      <c r="C575" s="240" t="s">
        <v>16</v>
      </c>
      <c r="D575" s="242">
        <v>2</v>
      </c>
      <c r="E575" s="242">
        <v>2</v>
      </c>
      <c r="F575" s="242">
        <f t="shared" si="56"/>
        <v>4</v>
      </c>
      <c r="G575" s="243">
        <v>1031722</v>
      </c>
      <c r="H575" s="243">
        <f t="shared" si="57"/>
        <v>4126888</v>
      </c>
      <c r="I575" s="156"/>
    </row>
    <row r="576" spans="1:9" s="9" customFormat="1" ht="35.1" customHeight="1" x14ac:dyDescent="0.25">
      <c r="A576" s="255" t="s">
        <v>804</v>
      </c>
      <c r="B576" s="254" t="s">
        <v>805</v>
      </c>
      <c r="C576" s="240" t="s">
        <v>16</v>
      </c>
      <c r="D576" s="242">
        <v>2</v>
      </c>
      <c r="E576" s="242">
        <v>2</v>
      </c>
      <c r="F576" s="242">
        <f t="shared" si="56"/>
        <v>4</v>
      </c>
      <c r="G576" s="243">
        <v>985438</v>
      </c>
      <c r="H576" s="243">
        <f t="shared" si="57"/>
        <v>3941752</v>
      </c>
      <c r="I576" s="156"/>
    </row>
    <row r="577" spans="1:9" s="9" customFormat="1" ht="35.1" customHeight="1" x14ac:dyDescent="0.25">
      <c r="A577" s="255" t="s">
        <v>806</v>
      </c>
      <c r="B577" s="254" t="s">
        <v>807</v>
      </c>
      <c r="C577" s="240" t="s">
        <v>16</v>
      </c>
      <c r="D577" s="242">
        <v>0</v>
      </c>
      <c r="E577" s="242">
        <v>1</v>
      </c>
      <c r="F577" s="242">
        <f t="shared" si="56"/>
        <v>1</v>
      </c>
      <c r="G577" s="243">
        <v>260594</v>
      </c>
      <c r="H577" s="243">
        <f t="shared" si="57"/>
        <v>260594</v>
      </c>
      <c r="I577" s="156"/>
    </row>
    <row r="578" spans="1:9" s="9" customFormat="1" ht="35.1" customHeight="1" x14ac:dyDescent="0.25">
      <c r="A578" s="255" t="s">
        <v>808</v>
      </c>
      <c r="B578" s="254" t="s">
        <v>809</v>
      </c>
      <c r="C578" s="240" t="s">
        <v>16</v>
      </c>
      <c r="D578" s="242">
        <v>0</v>
      </c>
      <c r="E578" s="242">
        <v>1</v>
      </c>
      <c r="F578" s="242">
        <f t="shared" si="56"/>
        <v>1</v>
      </c>
      <c r="G578" s="243">
        <v>290039</v>
      </c>
      <c r="H578" s="243">
        <f t="shared" si="57"/>
        <v>290039</v>
      </c>
      <c r="I578" s="156"/>
    </row>
    <row r="579" spans="1:9" s="9" customFormat="1" ht="35.1" customHeight="1" x14ac:dyDescent="0.25">
      <c r="A579" s="255" t="s">
        <v>810</v>
      </c>
      <c r="B579" s="87" t="s">
        <v>811</v>
      </c>
      <c r="C579" s="240" t="s">
        <v>16</v>
      </c>
      <c r="D579" s="242">
        <v>17</v>
      </c>
      <c r="E579" s="242">
        <v>6</v>
      </c>
      <c r="F579" s="242">
        <f t="shared" si="56"/>
        <v>23</v>
      </c>
      <c r="G579" s="243">
        <v>220223</v>
      </c>
      <c r="H579" s="243">
        <f t="shared" si="57"/>
        <v>5065129</v>
      </c>
      <c r="I579" s="156"/>
    </row>
    <row r="580" spans="1:9" s="9" customFormat="1" ht="35.1" customHeight="1" x14ac:dyDescent="0.25">
      <c r="A580" s="255" t="s">
        <v>812</v>
      </c>
      <c r="B580" s="87" t="s">
        <v>813</v>
      </c>
      <c r="C580" s="240" t="s">
        <v>16</v>
      </c>
      <c r="D580" s="242">
        <v>17</v>
      </c>
      <c r="E580" s="242">
        <v>6</v>
      </c>
      <c r="F580" s="242">
        <f t="shared" si="56"/>
        <v>23</v>
      </c>
      <c r="G580" s="243">
        <v>332470</v>
      </c>
      <c r="H580" s="243">
        <f t="shared" si="57"/>
        <v>7646810</v>
      </c>
      <c r="I580" s="156"/>
    </row>
    <row r="581" spans="1:9" s="9" customFormat="1" ht="35.1" customHeight="1" x14ac:dyDescent="0.25">
      <c r="A581" s="255" t="s">
        <v>814</v>
      </c>
      <c r="B581" s="87" t="s">
        <v>815</v>
      </c>
      <c r="C581" s="240" t="s">
        <v>16</v>
      </c>
      <c r="D581" s="242">
        <v>1</v>
      </c>
      <c r="E581" s="242">
        <v>1</v>
      </c>
      <c r="F581" s="242">
        <f t="shared" si="56"/>
        <v>2</v>
      </c>
      <c r="G581" s="243">
        <v>239984</v>
      </c>
      <c r="H581" s="243">
        <f t="shared" si="57"/>
        <v>479968</v>
      </c>
      <c r="I581" s="156"/>
    </row>
    <row r="582" spans="1:9" s="9" customFormat="1" ht="35.1" customHeight="1" x14ac:dyDescent="0.25">
      <c r="A582" s="255" t="s">
        <v>816</v>
      </c>
      <c r="B582" s="87" t="s">
        <v>817</v>
      </c>
      <c r="C582" s="240" t="s">
        <v>16</v>
      </c>
      <c r="D582" s="242">
        <v>1</v>
      </c>
      <c r="E582" s="242">
        <v>1</v>
      </c>
      <c r="F582" s="242">
        <f t="shared" si="56"/>
        <v>2</v>
      </c>
      <c r="G582" s="243">
        <v>345381</v>
      </c>
      <c r="H582" s="243">
        <f t="shared" si="57"/>
        <v>690762</v>
      </c>
      <c r="I582" s="156"/>
    </row>
    <row r="583" spans="1:9" s="9" customFormat="1" ht="35.1" customHeight="1" x14ac:dyDescent="0.25">
      <c r="A583" s="255" t="s">
        <v>818</v>
      </c>
      <c r="B583" s="87" t="s">
        <v>819</v>
      </c>
      <c r="C583" s="240" t="s">
        <v>16</v>
      </c>
      <c r="D583" s="242">
        <v>2</v>
      </c>
      <c r="E583" s="242">
        <v>2</v>
      </c>
      <c r="F583" s="242">
        <f t="shared" si="56"/>
        <v>4</v>
      </c>
      <c r="G583" s="243">
        <v>160937</v>
      </c>
      <c r="H583" s="243">
        <f t="shared" si="57"/>
        <v>643748</v>
      </c>
      <c r="I583" s="156"/>
    </row>
    <row r="584" spans="1:9" s="9" customFormat="1" ht="35.1" customHeight="1" x14ac:dyDescent="0.25">
      <c r="A584" s="255" t="s">
        <v>820</v>
      </c>
      <c r="B584" s="254" t="s">
        <v>821</v>
      </c>
      <c r="C584" s="240" t="s">
        <v>16</v>
      </c>
      <c r="D584" s="242">
        <v>2</v>
      </c>
      <c r="E584" s="242">
        <v>2</v>
      </c>
      <c r="F584" s="242">
        <f t="shared" si="56"/>
        <v>4</v>
      </c>
      <c r="G584" s="243">
        <v>200461</v>
      </c>
      <c r="H584" s="243">
        <f t="shared" si="57"/>
        <v>801844</v>
      </c>
      <c r="I584" s="156"/>
    </row>
    <row r="585" spans="1:9" s="9" customFormat="1" ht="35.1" customHeight="1" x14ac:dyDescent="0.25">
      <c r="A585" s="255" t="s">
        <v>822</v>
      </c>
      <c r="B585" s="87" t="s">
        <v>823</v>
      </c>
      <c r="C585" s="240" t="s">
        <v>16</v>
      </c>
      <c r="D585" s="242">
        <v>4</v>
      </c>
      <c r="E585" s="242">
        <v>4</v>
      </c>
      <c r="F585" s="242">
        <f t="shared" si="56"/>
        <v>8</v>
      </c>
      <c r="G585" s="243">
        <v>128701</v>
      </c>
      <c r="H585" s="243">
        <f t="shared" si="57"/>
        <v>1029608</v>
      </c>
      <c r="I585" s="156"/>
    </row>
    <row r="586" spans="1:9" s="9" customFormat="1" ht="35.1" customHeight="1" x14ac:dyDescent="0.25">
      <c r="A586" s="255" t="s">
        <v>824</v>
      </c>
      <c r="B586" s="254" t="s">
        <v>825</v>
      </c>
      <c r="C586" s="240" t="s">
        <v>16</v>
      </c>
      <c r="D586" s="242">
        <v>4</v>
      </c>
      <c r="E586" s="242">
        <v>4</v>
      </c>
      <c r="F586" s="242">
        <f t="shared" si="56"/>
        <v>8</v>
      </c>
      <c r="G586" s="243">
        <v>164931</v>
      </c>
      <c r="H586" s="243">
        <f t="shared" si="57"/>
        <v>1319448</v>
      </c>
      <c r="I586" s="156"/>
    </row>
    <row r="587" spans="1:9" s="9" customFormat="1" ht="35.1" customHeight="1" x14ac:dyDescent="0.25">
      <c r="A587" s="255" t="s">
        <v>826</v>
      </c>
      <c r="B587" s="254" t="s">
        <v>827</v>
      </c>
      <c r="C587" s="240" t="s">
        <v>16</v>
      </c>
      <c r="D587" s="242">
        <v>6</v>
      </c>
      <c r="E587" s="242">
        <v>2</v>
      </c>
      <c r="F587" s="242">
        <f t="shared" si="56"/>
        <v>8</v>
      </c>
      <c r="G587" s="243">
        <v>200461</v>
      </c>
      <c r="H587" s="243">
        <f t="shared" si="57"/>
        <v>1603688</v>
      </c>
      <c r="I587" s="156"/>
    </row>
    <row r="588" spans="1:9" s="9" customFormat="1" ht="35.1" customHeight="1" x14ac:dyDescent="0.25">
      <c r="A588" s="255" t="s">
        <v>828</v>
      </c>
      <c r="B588" s="254" t="s">
        <v>829</v>
      </c>
      <c r="C588" s="240" t="s">
        <v>16</v>
      </c>
      <c r="D588" s="242">
        <v>22</v>
      </c>
      <c r="E588" s="242">
        <v>8</v>
      </c>
      <c r="F588" s="242">
        <f t="shared" si="56"/>
        <v>30</v>
      </c>
      <c r="G588" s="243">
        <v>332207</v>
      </c>
      <c r="H588" s="243">
        <f t="shared" si="57"/>
        <v>9966210</v>
      </c>
      <c r="I588" s="156"/>
    </row>
    <row r="589" spans="1:9" s="9" customFormat="1" ht="35.1" customHeight="1" x14ac:dyDescent="0.25">
      <c r="A589" s="255" t="s">
        <v>830</v>
      </c>
      <c r="B589" s="254" t="s">
        <v>831</v>
      </c>
      <c r="C589" s="240" t="s">
        <v>16</v>
      </c>
      <c r="D589" s="242">
        <v>6</v>
      </c>
      <c r="E589" s="242">
        <v>2</v>
      </c>
      <c r="F589" s="242">
        <f t="shared" si="56"/>
        <v>8</v>
      </c>
      <c r="G589" s="243">
        <v>253159</v>
      </c>
      <c r="H589" s="243">
        <f t="shared" si="57"/>
        <v>2025272</v>
      </c>
      <c r="I589" s="156"/>
    </row>
    <row r="590" spans="1:9" s="9" customFormat="1" ht="35.1" customHeight="1" x14ac:dyDescent="0.25">
      <c r="A590" s="255" t="s">
        <v>832</v>
      </c>
      <c r="B590" s="254" t="s">
        <v>833</v>
      </c>
      <c r="C590" s="240" t="s">
        <v>16</v>
      </c>
      <c r="D590" s="242">
        <v>0</v>
      </c>
      <c r="E590" s="242">
        <v>1</v>
      </c>
      <c r="F590" s="242">
        <f t="shared" si="56"/>
        <v>1</v>
      </c>
      <c r="G590" s="243">
        <v>839429</v>
      </c>
      <c r="H590" s="243">
        <f t="shared" si="57"/>
        <v>839429</v>
      </c>
      <c r="I590" s="156"/>
    </row>
    <row r="591" spans="1:9" s="9" customFormat="1" ht="35.1" customHeight="1" x14ac:dyDescent="0.25">
      <c r="A591" s="255" t="s">
        <v>834</v>
      </c>
      <c r="B591" s="87" t="s">
        <v>835</v>
      </c>
      <c r="C591" s="240" t="s">
        <v>16</v>
      </c>
      <c r="D591" s="242">
        <v>2</v>
      </c>
      <c r="E591" s="242">
        <v>1</v>
      </c>
      <c r="F591" s="242">
        <f t="shared" si="56"/>
        <v>3</v>
      </c>
      <c r="G591" s="243">
        <v>839429</v>
      </c>
      <c r="H591" s="243">
        <f t="shared" si="57"/>
        <v>2518287</v>
      </c>
      <c r="I591" s="156"/>
    </row>
    <row r="592" spans="1:9" s="9" customFormat="1" ht="35.1" customHeight="1" x14ac:dyDescent="0.25">
      <c r="A592" s="255" t="s">
        <v>836</v>
      </c>
      <c r="B592" s="87" t="s">
        <v>837</v>
      </c>
      <c r="C592" s="240" t="s">
        <v>16</v>
      </c>
      <c r="D592" s="242">
        <v>0</v>
      </c>
      <c r="E592" s="242">
        <v>1</v>
      </c>
      <c r="F592" s="242">
        <f t="shared" si="56"/>
        <v>1</v>
      </c>
      <c r="G592" s="243">
        <v>839429</v>
      </c>
      <c r="H592" s="243">
        <f t="shared" si="57"/>
        <v>839429</v>
      </c>
      <c r="I592" s="156"/>
    </row>
    <row r="593" spans="1:9" s="9" customFormat="1" ht="35.1" customHeight="1" x14ac:dyDescent="0.25">
      <c r="A593" s="255" t="s">
        <v>838</v>
      </c>
      <c r="B593" s="87" t="s">
        <v>839</v>
      </c>
      <c r="C593" s="240" t="s">
        <v>16</v>
      </c>
      <c r="D593" s="242">
        <v>15</v>
      </c>
      <c r="E593" s="242">
        <v>5</v>
      </c>
      <c r="F593" s="242">
        <f t="shared" si="56"/>
        <v>20</v>
      </c>
      <c r="G593" s="243">
        <v>740619</v>
      </c>
      <c r="H593" s="243">
        <f t="shared" si="57"/>
        <v>14812380</v>
      </c>
      <c r="I593" s="156"/>
    </row>
    <row r="594" spans="1:9" s="9" customFormat="1" ht="35.1" customHeight="1" x14ac:dyDescent="0.25">
      <c r="A594" s="255" t="s">
        <v>840</v>
      </c>
      <c r="B594" s="254" t="s">
        <v>841</v>
      </c>
      <c r="C594" s="240" t="s">
        <v>16</v>
      </c>
      <c r="D594" s="242">
        <v>0</v>
      </c>
      <c r="E594" s="242">
        <v>1</v>
      </c>
      <c r="F594" s="242">
        <f t="shared" si="56"/>
        <v>1</v>
      </c>
      <c r="G594" s="243">
        <v>597280</v>
      </c>
      <c r="H594" s="243">
        <f t="shared" si="57"/>
        <v>597280</v>
      </c>
      <c r="I594" s="156"/>
    </row>
    <row r="595" spans="1:9" s="9" customFormat="1" ht="35.1" customHeight="1" x14ac:dyDescent="0.25">
      <c r="A595" s="244" t="s">
        <v>842</v>
      </c>
      <c r="B595" s="256" t="s">
        <v>843</v>
      </c>
      <c r="C595" s="256"/>
      <c r="D595" s="246"/>
      <c r="E595" s="246"/>
      <c r="F595" s="246"/>
      <c r="G595" s="303">
        <v>0</v>
      </c>
      <c r="H595" s="246"/>
      <c r="I595" s="156"/>
    </row>
    <row r="596" spans="1:9" s="9" customFormat="1" ht="35.1" customHeight="1" x14ac:dyDescent="0.25">
      <c r="A596" s="255" t="s">
        <v>844</v>
      </c>
      <c r="B596" s="254" t="s">
        <v>845</v>
      </c>
      <c r="C596" s="295" t="s">
        <v>13</v>
      </c>
      <c r="D596" s="242">
        <v>77</v>
      </c>
      <c r="E596" s="242">
        <v>28</v>
      </c>
      <c r="F596" s="242">
        <f t="shared" ref="F596:F601" si="58">+E596+D596</f>
        <v>105</v>
      </c>
      <c r="G596" s="243">
        <v>65432</v>
      </c>
      <c r="H596" s="243">
        <f t="shared" ref="H596:H601" si="59">ROUND(+G596*F596,2)</f>
        <v>6870360</v>
      </c>
      <c r="I596" s="156"/>
    </row>
    <row r="597" spans="1:9" s="9" customFormat="1" ht="35.1" customHeight="1" x14ac:dyDescent="0.25">
      <c r="A597" s="255" t="s">
        <v>846</v>
      </c>
      <c r="B597" s="254" t="s">
        <v>847</v>
      </c>
      <c r="C597" s="295" t="s">
        <v>13</v>
      </c>
      <c r="D597" s="242">
        <v>540</v>
      </c>
      <c r="E597" s="242">
        <v>200</v>
      </c>
      <c r="F597" s="242">
        <f t="shared" si="58"/>
        <v>740</v>
      </c>
      <c r="G597" s="243">
        <v>71969</v>
      </c>
      <c r="H597" s="243">
        <f t="shared" si="59"/>
        <v>53257060</v>
      </c>
      <c r="I597" s="156"/>
    </row>
    <row r="598" spans="1:9" s="9" customFormat="1" ht="35.1" customHeight="1" x14ac:dyDescent="0.25">
      <c r="A598" s="255" t="s">
        <v>848</v>
      </c>
      <c r="B598" s="254" t="s">
        <v>849</v>
      </c>
      <c r="C598" s="295" t="s">
        <v>13</v>
      </c>
      <c r="D598" s="242">
        <v>617</v>
      </c>
      <c r="E598" s="242">
        <v>228</v>
      </c>
      <c r="F598" s="242">
        <f t="shared" si="58"/>
        <v>845</v>
      </c>
      <c r="G598" s="243">
        <v>19953</v>
      </c>
      <c r="H598" s="243">
        <f t="shared" si="59"/>
        <v>16860285</v>
      </c>
      <c r="I598" s="156"/>
    </row>
    <row r="599" spans="1:9" s="9" customFormat="1" ht="35.1" customHeight="1" x14ac:dyDescent="0.25">
      <c r="A599" s="255" t="s">
        <v>850</v>
      </c>
      <c r="B599" s="254" t="s">
        <v>851</v>
      </c>
      <c r="C599" s="295" t="s">
        <v>13</v>
      </c>
      <c r="D599" s="242">
        <v>150</v>
      </c>
      <c r="E599" s="242">
        <v>55</v>
      </c>
      <c r="F599" s="242">
        <f t="shared" si="58"/>
        <v>205</v>
      </c>
      <c r="G599" s="243">
        <v>78556</v>
      </c>
      <c r="H599" s="243">
        <f t="shared" si="59"/>
        <v>16103980</v>
      </c>
      <c r="I599" s="156"/>
    </row>
    <row r="600" spans="1:9" s="9" customFormat="1" ht="35.1" customHeight="1" x14ac:dyDescent="0.25">
      <c r="A600" s="255" t="s">
        <v>852</v>
      </c>
      <c r="B600" s="254" t="s">
        <v>853</v>
      </c>
      <c r="C600" s="295" t="s">
        <v>13</v>
      </c>
      <c r="D600" s="242">
        <v>150</v>
      </c>
      <c r="E600" s="242">
        <v>55</v>
      </c>
      <c r="F600" s="242">
        <f t="shared" si="58"/>
        <v>205</v>
      </c>
      <c r="G600" s="243">
        <v>19953</v>
      </c>
      <c r="H600" s="243">
        <f t="shared" si="59"/>
        <v>4090365</v>
      </c>
      <c r="I600" s="156"/>
    </row>
    <row r="601" spans="1:9" s="9" customFormat="1" ht="35.1" customHeight="1" x14ac:dyDescent="0.25">
      <c r="A601" s="255" t="s">
        <v>854</v>
      </c>
      <c r="B601" s="254" t="s">
        <v>855</v>
      </c>
      <c r="C601" s="240" t="s">
        <v>16</v>
      </c>
      <c r="D601" s="242">
        <v>24</v>
      </c>
      <c r="E601" s="242">
        <v>9</v>
      </c>
      <c r="F601" s="242">
        <f t="shared" si="58"/>
        <v>33</v>
      </c>
      <c r="G601" s="243">
        <v>34246</v>
      </c>
      <c r="H601" s="243">
        <f t="shared" si="59"/>
        <v>1130118</v>
      </c>
      <c r="I601" s="156"/>
    </row>
    <row r="602" spans="1:9" s="9" customFormat="1" ht="35.1" customHeight="1" x14ac:dyDescent="0.25">
      <c r="A602" s="244" t="s">
        <v>856</v>
      </c>
      <c r="B602" s="245" t="s">
        <v>857</v>
      </c>
      <c r="C602" s="260"/>
      <c r="D602" s="246"/>
      <c r="E602" s="246"/>
      <c r="F602" s="246"/>
      <c r="G602" s="303">
        <v>0</v>
      </c>
      <c r="H602" s="246"/>
      <c r="I602" s="156"/>
    </row>
    <row r="603" spans="1:9" s="9" customFormat="1" ht="35.1" customHeight="1" x14ac:dyDescent="0.25">
      <c r="A603" s="240" t="s">
        <v>858</v>
      </c>
      <c r="B603" s="254" t="s">
        <v>859</v>
      </c>
      <c r="C603" s="240" t="s">
        <v>16</v>
      </c>
      <c r="D603" s="242">
        <v>82</v>
      </c>
      <c r="E603" s="242">
        <v>30</v>
      </c>
      <c r="F603" s="242">
        <f t="shared" ref="F603:F616" si="60">+E603+D603</f>
        <v>112</v>
      </c>
      <c r="G603" s="243">
        <v>161298</v>
      </c>
      <c r="H603" s="243">
        <f t="shared" ref="H603:H616" si="61">ROUND(+G603*F603,2)</f>
        <v>18065376</v>
      </c>
      <c r="I603" s="156"/>
    </row>
    <row r="604" spans="1:9" s="9" customFormat="1" ht="35.1" customHeight="1" x14ac:dyDescent="0.25">
      <c r="A604" s="240" t="s">
        <v>860</v>
      </c>
      <c r="B604" s="254" t="s">
        <v>861</v>
      </c>
      <c r="C604" s="240" t="s">
        <v>16</v>
      </c>
      <c r="D604" s="242">
        <v>4</v>
      </c>
      <c r="E604" s="242">
        <v>2</v>
      </c>
      <c r="F604" s="242">
        <f t="shared" si="60"/>
        <v>6</v>
      </c>
      <c r="G604" s="243">
        <v>112552</v>
      </c>
      <c r="H604" s="243">
        <f t="shared" si="61"/>
        <v>675312</v>
      </c>
      <c r="I604" s="156"/>
    </row>
    <row r="605" spans="1:9" s="9" customFormat="1" ht="35.1" customHeight="1" x14ac:dyDescent="0.25">
      <c r="A605" s="240" t="s">
        <v>862</v>
      </c>
      <c r="B605" s="254" t="s">
        <v>863</v>
      </c>
      <c r="C605" s="240" t="s">
        <v>16</v>
      </c>
      <c r="D605" s="242">
        <v>4</v>
      </c>
      <c r="E605" s="242">
        <v>1</v>
      </c>
      <c r="F605" s="242">
        <f t="shared" si="60"/>
        <v>5</v>
      </c>
      <c r="G605" s="243">
        <v>237711</v>
      </c>
      <c r="H605" s="243">
        <f t="shared" si="61"/>
        <v>1188555</v>
      </c>
      <c r="I605" s="156"/>
    </row>
    <row r="606" spans="1:9" s="9" customFormat="1" ht="35.1" customHeight="1" x14ac:dyDescent="0.25">
      <c r="A606" s="240" t="s">
        <v>864</v>
      </c>
      <c r="B606" s="87" t="s">
        <v>865</v>
      </c>
      <c r="C606" s="240" t="s">
        <v>16</v>
      </c>
      <c r="D606" s="242">
        <v>2</v>
      </c>
      <c r="E606" s="242">
        <v>1</v>
      </c>
      <c r="F606" s="242">
        <f t="shared" si="60"/>
        <v>3</v>
      </c>
      <c r="G606" s="243">
        <v>59853</v>
      </c>
      <c r="H606" s="243">
        <f t="shared" si="61"/>
        <v>179559</v>
      </c>
      <c r="I606" s="156"/>
    </row>
    <row r="607" spans="1:9" s="9" customFormat="1" ht="35.1" customHeight="1" x14ac:dyDescent="0.25">
      <c r="A607" s="240" t="s">
        <v>866</v>
      </c>
      <c r="B607" s="254" t="s">
        <v>867</v>
      </c>
      <c r="C607" s="240" t="s">
        <v>16</v>
      </c>
      <c r="D607" s="242">
        <v>12</v>
      </c>
      <c r="E607" s="242">
        <v>4</v>
      </c>
      <c r="F607" s="242">
        <f t="shared" si="60"/>
        <v>16</v>
      </c>
      <c r="G607" s="243">
        <v>224536</v>
      </c>
      <c r="H607" s="243">
        <f t="shared" si="61"/>
        <v>3592576</v>
      </c>
      <c r="I607" s="156"/>
    </row>
    <row r="608" spans="1:9" s="9" customFormat="1" ht="35.1" customHeight="1" x14ac:dyDescent="0.25">
      <c r="A608" s="240" t="s">
        <v>868</v>
      </c>
      <c r="B608" s="254" t="s">
        <v>869</v>
      </c>
      <c r="C608" s="240" t="s">
        <v>16</v>
      </c>
      <c r="D608" s="242">
        <v>8</v>
      </c>
      <c r="E608" s="242">
        <v>3</v>
      </c>
      <c r="F608" s="242">
        <f t="shared" si="60"/>
        <v>11</v>
      </c>
      <c r="G608" s="243">
        <v>237711</v>
      </c>
      <c r="H608" s="243">
        <f t="shared" si="61"/>
        <v>2614821</v>
      </c>
      <c r="I608" s="156"/>
    </row>
    <row r="609" spans="1:9" s="9" customFormat="1" ht="35.1" customHeight="1" x14ac:dyDescent="0.25">
      <c r="A609" s="240" t="s">
        <v>870</v>
      </c>
      <c r="B609" s="87" t="s">
        <v>871</v>
      </c>
      <c r="C609" s="240" t="s">
        <v>16</v>
      </c>
      <c r="D609" s="242">
        <v>1</v>
      </c>
      <c r="E609" s="242">
        <v>1</v>
      </c>
      <c r="F609" s="242">
        <f t="shared" si="60"/>
        <v>2</v>
      </c>
      <c r="G609" s="243">
        <v>511742</v>
      </c>
      <c r="H609" s="243">
        <f t="shared" si="61"/>
        <v>1023484</v>
      </c>
      <c r="I609" s="156"/>
    </row>
    <row r="610" spans="1:9" s="9" customFormat="1" ht="35.1" customHeight="1" x14ac:dyDescent="0.25">
      <c r="A610" s="240" t="s">
        <v>872</v>
      </c>
      <c r="B610" s="87" t="s">
        <v>873</v>
      </c>
      <c r="C610" s="240" t="s">
        <v>16</v>
      </c>
      <c r="D610" s="242">
        <v>3</v>
      </c>
      <c r="E610" s="242">
        <v>1</v>
      </c>
      <c r="F610" s="242">
        <f t="shared" si="60"/>
        <v>4</v>
      </c>
      <c r="G610" s="243">
        <v>455091</v>
      </c>
      <c r="H610" s="243">
        <f t="shared" si="61"/>
        <v>1820364</v>
      </c>
      <c r="I610" s="156"/>
    </row>
    <row r="611" spans="1:9" s="9" customFormat="1" ht="35.1" customHeight="1" x14ac:dyDescent="0.25">
      <c r="A611" s="240" t="s">
        <v>874</v>
      </c>
      <c r="B611" s="254" t="s">
        <v>875</v>
      </c>
      <c r="C611" s="240" t="s">
        <v>16</v>
      </c>
      <c r="D611" s="242">
        <v>0</v>
      </c>
      <c r="E611" s="242">
        <v>1</v>
      </c>
      <c r="F611" s="242">
        <f t="shared" si="60"/>
        <v>1</v>
      </c>
      <c r="G611" s="243">
        <v>24282</v>
      </c>
      <c r="H611" s="243">
        <f t="shared" si="61"/>
        <v>24282</v>
      </c>
      <c r="I611" s="156"/>
    </row>
    <row r="612" spans="1:9" s="9" customFormat="1" ht="35.1" customHeight="1" x14ac:dyDescent="0.25">
      <c r="A612" s="240" t="s">
        <v>876</v>
      </c>
      <c r="B612" s="254" t="s">
        <v>877</v>
      </c>
      <c r="C612" s="240" t="s">
        <v>16</v>
      </c>
      <c r="D612" s="242">
        <v>0</v>
      </c>
      <c r="E612" s="242">
        <v>1</v>
      </c>
      <c r="F612" s="242">
        <f t="shared" si="60"/>
        <v>1</v>
      </c>
      <c r="G612" s="243">
        <v>33504</v>
      </c>
      <c r="H612" s="243">
        <f t="shared" si="61"/>
        <v>33504</v>
      </c>
      <c r="I612" s="156"/>
    </row>
    <row r="613" spans="1:9" s="9" customFormat="1" ht="35.1" customHeight="1" x14ac:dyDescent="0.25">
      <c r="A613" s="240" t="s">
        <v>878</v>
      </c>
      <c r="B613" s="254" t="s">
        <v>879</v>
      </c>
      <c r="C613" s="240" t="s">
        <v>16</v>
      </c>
      <c r="D613" s="242">
        <v>16</v>
      </c>
      <c r="E613" s="242">
        <v>6</v>
      </c>
      <c r="F613" s="242">
        <f t="shared" si="60"/>
        <v>22</v>
      </c>
      <c r="G613" s="243">
        <v>46679</v>
      </c>
      <c r="H613" s="243">
        <f t="shared" si="61"/>
        <v>1026938</v>
      </c>
      <c r="I613" s="156"/>
    </row>
    <row r="614" spans="1:9" s="9" customFormat="1" ht="35.1" customHeight="1" x14ac:dyDescent="0.25">
      <c r="A614" s="240" t="s">
        <v>880</v>
      </c>
      <c r="B614" s="254" t="s">
        <v>881</v>
      </c>
      <c r="C614" s="240" t="s">
        <v>16</v>
      </c>
      <c r="D614" s="242">
        <v>2</v>
      </c>
      <c r="E614" s="242">
        <v>1</v>
      </c>
      <c r="F614" s="242">
        <f t="shared" si="60"/>
        <v>3</v>
      </c>
      <c r="G614" s="243">
        <v>59853</v>
      </c>
      <c r="H614" s="243">
        <f t="shared" si="61"/>
        <v>179559</v>
      </c>
      <c r="I614" s="156"/>
    </row>
    <row r="615" spans="1:9" s="9" customFormat="1" ht="35.1" customHeight="1" x14ac:dyDescent="0.25">
      <c r="A615" s="240" t="s">
        <v>882</v>
      </c>
      <c r="B615" s="254" t="s">
        <v>1333</v>
      </c>
      <c r="C615" s="240" t="s">
        <v>16</v>
      </c>
      <c r="D615" s="242">
        <v>0</v>
      </c>
      <c r="E615" s="242">
        <v>1</v>
      </c>
      <c r="F615" s="242">
        <f t="shared" si="60"/>
        <v>1</v>
      </c>
      <c r="G615" s="243">
        <v>593425</v>
      </c>
      <c r="H615" s="243">
        <f t="shared" si="61"/>
        <v>593425</v>
      </c>
      <c r="I615" s="156"/>
    </row>
    <row r="616" spans="1:9" s="9" customFormat="1" ht="35.1" customHeight="1" x14ac:dyDescent="0.25">
      <c r="A616" s="240" t="s">
        <v>884</v>
      </c>
      <c r="B616" s="254" t="s">
        <v>1334</v>
      </c>
      <c r="C616" s="240" t="s">
        <v>16</v>
      </c>
      <c r="D616" s="242">
        <v>0</v>
      </c>
      <c r="E616" s="242">
        <v>1</v>
      </c>
      <c r="F616" s="242">
        <f t="shared" si="60"/>
        <v>1</v>
      </c>
      <c r="G616" s="243">
        <v>685079</v>
      </c>
      <c r="H616" s="243">
        <f t="shared" si="61"/>
        <v>685079</v>
      </c>
      <c r="I616" s="156"/>
    </row>
    <row r="617" spans="1:9" s="9" customFormat="1" ht="35.1" customHeight="1" x14ac:dyDescent="0.25">
      <c r="A617" s="244" t="s">
        <v>886</v>
      </c>
      <c r="B617" s="256" t="s">
        <v>887</v>
      </c>
      <c r="C617" s="256"/>
      <c r="D617" s="246"/>
      <c r="E617" s="246"/>
      <c r="F617" s="246"/>
      <c r="G617" s="303">
        <v>0</v>
      </c>
      <c r="H617" s="246"/>
      <c r="I617" s="156"/>
    </row>
    <row r="618" spans="1:9" s="9" customFormat="1" ht="35.1" customHeight="1" x14ac:dyDescent="0.25">
      <c r="A618" s="255" t="s">
        <v>1335</v>
      </c>
      <c r="B618" s="254" t="s">
        <v>1336</v>
      </c>
      <c r="C618" s="240" t="s">
        <v>16</v>
      </c>
      <c r="D618" s="242">
        <v>1</v>
      </c>
      <c r="E618" s="242">
        <v>0</v>
      </c>
      <c r="F618" s="242">
        <f>+E618+D618</f>
        <v>1</v>
      </c>
      <c r="G618" s="243">
        <v>11528426</v>
      </c>
      <c r="H618" s="243">
        <f>ROUND(+G618*F618,2)</f>
        <v>11528426</v>
      </c>
      <c r="I618" s="156"/>
    </row>
    <row r="619" spans="1:9" s="9" customFormat="1" ht="35.1" customHeight="1" x14ac:dyDescent="0.25">
      <c r="A619" s="255" t="s">
        <v>1337</v>
      </c>
      <c r="B619" s="254" t="s">
        <v>1338</v>
      </c>
      <c r="C619" s="240" t="s">
        <v>16</v>
      </c>
      <c r="D619" s="242">
        <v>1</v>
      </c>
      <c r="E619" s="242">
        <v>0</v>
      </c>
      <c r="F619" s="242">
        <f>+E619+D619</f>
        <v>1</v>
      </c>
      <c r="G619" s="243">
        <v>9947474</v>
      </c>
      <c r="H619" s="243">
        <f>ROUND(+G619*F619,2)</f>
        <v>9947474</v>
      </c>
      <c r="I619" s="156"/>
    </row>
    <row r="620" spans="1:9" s="9" customFormat="1" ht="35.1" customHeight="1" x14ac:dyDescent="0.25">
      <c r="A620" s="255" t="s">
        <v>888</v>
      </c>
      <c r="B620" s="254" t="s">
        <v>851</v>
      </c>
      <c r="C620" s="295" t="s">
        <v>13</v>
      </c>
      <c r="D620" s="242">
        <v>88</v>
      </c>
      <c r="E620" s="242">
        <v>32</v>
      </c>
      <c r="F620" s="242">
        <f>+E620+D620</f>
        <v>120</v>
      </c>
      <c r="G620" s="243">
        <v>92310</v>
      </c>
      <c r="H620" s="243">
        <f>ROUND(+G620*F620,2)</f>
        <v>11077200</v>
      </c>
      <c r="I620" s="156"/>
    </row>
    <row r="621" spans="1:9" s="9" customFormat="1" ht="35.1" customHeight="1" x14ac:dyDescent="0.25">
      <c r="A621" s="255" t="s">
        <v>889</v>
      </c>
      <c r="B621" s="254" t="s">
        <v>890</v>
      </c>
      <c r="C621" s="295" t="s">
        <v>13</v>
      </c>
      <c r="D621" s="242">
        <v>191</v>
      </c>
      <c r="E621" s="242">
        <v>71</v>
      </c>
      <c r="F621" s="242">
        <f>+E621+D621</f>
        <v>262</v>
      </c>
      <c r="G621" s="243">
        <v>85724</v>
      </c>
      <c r="H621" s="243">
        <f>ROUND(+G621*F621,2)</f>
        <v>22459688</v>
      </c>
      <c r="I621" s="156"/>
    </row>
    <row r="622" spans="1:9" s="9" customFormat="1" ht="35.1" customHeight="1" x14ac:dyDescent="0.25">
      <c r="A622" s="255" t="s">
        <v>891</v>
      </c>
      <c r="B622" s="254" t="s">
        <v>892</v>
      </c>
      <c r="C622" s="240" t="s">
        <v>16</v>
      </c>
      <c r="D622" s="242">
        <v>2</v>
      </c>
      <c r="E622" s="242">
        <v>1</v>
      </c>
      <c r="F622" s="242">
        <f>+E622+D622</f>
        <v>3</v>
      </c>
      <c r="G622" s="243">
        <v>511153</v>
      </c>
      <c r="H622" s="243">
        <f>ROUND(+G622*F622,2)</f>
        <v>1533459</v>
      </c>
      <c r="I622" s="156"/>
    </row>
    <row r="623" spans="1:9" s="9" customFormat="1" ht="35.1" customHeight="1" x14ac:dyDescent="0.25">
      <c r="A623" s="244" t="s">
        <v>893</v>
      </c>
      <c r="B623" s="256" t="s">
        <v>894</v>
      </c>
      <c r="C623" s="256"/>
      <c r="D623" s="246"/>
      <c r="E623" s="246"/>
      <c r="F623" s="246"/>
      <c r="G623" s="303">
        <v>0</v>
      </c>
      <c r="H623" s="246"/>
      <c r="I623" s="156"/>
    </row>
    <row r="624" spans="1:9" s="9" customFormat="1" ht="35.1" customHeight="1" x14ac:dyDescent="0.25">
      <c r="A624" s="240" t="s">
        <v>1339</v>
      </c>
      <c r="B624" s="254" t="s">
        <v>1340</v>
      </c>
      <c r="C624" s="240" t="s">
        <v>16</v>
      </c>
      <c r="D624" s="242">
        <v>2</v>
      </c>
      <c r="E624" s="242">
        <v>0</v>
      </c>
      <c r="F624" s="242">
        <f t="shared" ref="F624:F634" si="62">+E624+D624</f>
        <v>2</v>
      </c>
      <c r="G624" s="243">
        <v>11900822</v>
      </c>
      <c r="H624" s="243">
        <f t="shared" ref="H624:H634" si="63">ROUND(+G624*F624,2)</f>
        <v>23801644</v>
      </c>
      <c r="I624" s="156"/>
    </row>
    <row r="625" spans="1:9" s="9" customFormat="1" ht="35.1" customHeight="1" x14ac:dyDescent="0.25">
      <c r="A625" s="240" t="s">
        <v>895</v>
      </c>
      <c r="B625" s="254" t="s">
        <v>896</v>
      </c>
      <c r="C625" s="240" t="s">
        <v>16</v>
      </c>
      <c r="D625" s="242">
        <v>1</v>
      </c>
      <c r="E625" s="242">
        <v>1</v>
      </c>
      <c r="F625" s="242">
        <f t="shared" si="62"/>
        <v>2</v>
      </c>
      <c r="G625" s="243">
        <v>2028785</v>
      </c>
      <c r="H625" s="243">
        <f t="shared" si="63"/>
        <v>4057570</v>
      </c>
      <c r="I625" s="156"/>
    </row>
    <row r="626" spans="1:9" s="9" customFormat="1" ht="35.1" customHeight="1" x14ac:dyDescent="0.25">
      <c r="A626" s="240" t="s">
        <v>897</v>
      </c>
      <c r="B626" s="254" t="s">
        <v>898</v>
      </c>
      <c r="C626" s="240" t="s">
        <v>16</v>
      </c>
      <c r="D626" s="242">
        <v>2</v>
      </c>
      <c r="E626" s="242">
        <v>2</v>
      </c>
      <c r="F626" s="242">
        <f t="shared" si="62"/>
        <v>4</v>
      </c>
      <c r="G626" s="243">
        <v>1238360</v>
      </c>
      <c r="H626" s="243">
        <f t="shared" si="63"/>
        <v>4953440</v>
      </c>
      <c r="I626" s="156"/>
    </row>
    <row r="627" spans="1:9" s="9" customFormat="1" ht="35.1" customHeight="1" x14ac:dyDescent="0.25">
      <c r="A627" s="240" t="s">
        <v>899</v>
      </c>
      <c r="B627" s="254" t="s">
        <v>900</v>
      </c>
      <c r="C627" s="240" t="s">
        <v>16</v>
      </c>
      <c r="D627" s="242">
        <v>1</v>
      </c>
      <c r="E627" s="242">
        <v>1</v>
      </c>
      <c r="F627" s="242">
        <f t="shared" si="62"/>
        <v>2</v>
      </c>
      <c r="G627" s="243">
        <v>889891</v>
      </c>
      <c r="H627" s="243">
        <f t="shared" si="63"/>
        <v>1779782</v>
      </c>
      <c r="I627" s="156"/>
    </row>
    <row r="628" spans="1:9" s="9" customFormat="1" ht="35.1" customHeight="1" x14ac:dyDescent="0.25">
      <c r="A628" s="240" t="s">
        <v>901</v>
      </c>
      <c r="B628" s="254" t="s">
        <v>902</v>
      </c>
      <c r="C628" s="240" t="s">
        <v>16</v>
      </c>
      <c r="D628" s="242">
        <v>2</v>
      </c>
      <c r="E628" s="242">
        <v>1</v>
      </c>
      <c r="F628" s="242">
        <f t="shared" si="62"/>
        <v>3</v>
      </c>
      <c r="G628" s="243">
        <v>889891</v>
      </c>
      <c r="H628" s="243">
        <f t="shared" si="63"/>
        <v>2669673</v>
      </c>
      <c r="I628" s="156"/>
    </row>
    <row r="629" spans="1:9" s="9" customFormat="1" ht="35.1" customHeight="1" x14ac:dyDescent="0.25">
      <c r="A629" s="240" t="s">
        <v>1341</v>
      </c>
      <c r="B629" s="254" t="s">
        <v>1342</v>
      </c>
      <c r="C629" s="240" t="s">
        <v>16</v>
      </c>
      <c r="D629" s="242">
        <v>2</v>
      </c>
      <c r="E629" s="242">
        <v>0</v>
      </c>
      <c r="F629" s="242">
        <f t="shared" si="62"/>
        <v>2</v>
      </c>
      <c r="G629" s="243">
        <v>3385820</v>
      </c>
      <c r="H629" s="243">
        <f t="shared" si="63"/>
        <v>6771640</v>
      </c>
      <c r="I629" s="156"/>
    </row>
    <row r="630" spans="1:9" s="9" customFormat="1" ht="35.1" customHeight="1" x14ac:dyDescent="0.25">
      <c r="A630" s="240" t="s">
        <v>1343</v>
      </c>
      <c r="B630" s="254" t="s">
        <v>1344</v>
      </c>
      <c r="C630" s="240" t="s">
        <v>16</v>
      </c>
      <c r="D630" s="242">
        <v>2</v>
      </c>
      <c r="E630" s="242">
        <v>0</v>
      </c>
      <c r="F630" s="242">
        <f t="shared" si="62"/>
        <v>2</v>
      </c>
      <c r="G630" s="243">
        <v>5954779</v>
      </c>
      <c r="H630" s="243">
        <f t="shared" si="63"/>
        <v>11909558</v>
      </c>
      <c r="I630" s="156"/>
    </row>
    <row r="631" spans="1:9" s="9" customFormat="1" ht="35.1" customHeight="1" x14ac:dyDescent="0.25">
      <c r="A631" s="240" t="s">
        <v>1345</v>
      </c>
      <c r="B631" s="254" t="s">
        <v>1346</v>
      </c>
      <c r="C631" s="240" t="s">
        <v>16</v>
      </c>
      <c r="D631" s="242">
        <v>2</v>
      </c>
      <c r="E631" s="242">
        <v>0</v>
      </c>
      <c r="F631" s="242">
        <f t="shared" si="62"/>
        <v>2</v>
      </c>
      <c r="G631" s="243">
        <v>2028785</v>
      </c>
      <c r="H631" s="243">
        <f t="shared" si="63"/>
        <v>4057570</v>
      </c>
      <c r="I631" s="156"/>
    </row>
    <row r="632" spans="1:9" s="9" customFormat="1" ht="35.1" customHeight="1" x14ac:dyDescent="0.25">
      <c r="A632" s="240" t="s">
        <v>903</v>
      </c>
      <c r="B632" s="254" t="s">
        <v>904</v>
      </c>
      <c r="C632" s="240" t="s">
        <v>16</v>
      </c>
      <c r="D632" s="242">
        <v>3</v>
      </c>
      <c r="E632" s="242">
        <v>2</v>
      </c>
      <c r="F632" s="242">
        <f t="shared" si="62"/>
        <v>5</v>
      </c>
      <c r="G632" s="243">
        <v>1132946</v>
      </c>
      <c r="H632" s="243">
        <f t="shared" si="63"/>
        <v>5664730</v>
      </c>
      <c r="I632" s="156"/>
    </row>
    <row r="633" spans="1:9" s="9" customFormat="1" ht="35.1" customHeight="1" x14ac:dyDescent="0.25">
      <c r="A633" s="240" t="s">
        <v>905</v>
      </c>
      <c r="B633" s="254" t="s">
        <v>906</v>
      </c>
      <c r="C633" s="240" t="s">
        <v>16</v>
      </c>
      <c r="D633" s="242">
        <v>2</v>
      </c>
      <c r="E633" s="242">
        <v>2</v>
      </c>
      <c r="F633" s="242">
        <f t="shared" si="62"/>
        <v>4</v>
      </c>
      <c r="G633" s="243">
        <v>339884</v>
      </c>
      <c r="H633" s="243">
        <f t="shared" si="63"/>
        <v>1359536</v>
      </c>
      <c r="I633" s="156"/>
    </row>
    <row r="634" spans="1:9" s="9" customFormat="1" ht="35.1" customHeight="1" x14ac:dyDescent="0.25">
      <c r="A634" s="240" t="s">
        <v>1347</v>
      </c>
      <c r="B634" s="254" t="s">
        <v>1348</v>
      </c>
      <c r="C634" s="240" t="s">
        <v>16</v>
      </c>
      <c r="D634" s="242">
        <v>2</v>
      </c>
      <c r="E634" s="242">
        <v>0</v>
      </c>
      <c r="F634" s="242">
        <f t="shared" si="62"/>
        <v>2</v>
      </c>
      <c r="G634" s="243">
        <v>2028785</v>
      </c>
      <c r="H634" s="243">
        <f t="shared" si="63"/>
        <v>4057570</v>
      </c>
      <c r="I634" s="156"/>
    </row>
    <row r="635" spans="1:9" s="9" customFormat="1" ht="35.1" customHeight="1" x14ac:dyDescent="0.25">
      <c r="A635" s="266">
        <v>18</v>
      </c>
      <c r="B635" s="267" t="s">
        <v>907</v>
      </c>
      <c r="C635" s="267"/>
      <c r="D635" s="268"/>
      <c r="E635" s="268"/>
      <c r="F635" s="268"/>
      <c r="G635" s="306">
        <v>0</v>
      </c>
      <c r="H635" s="268"/>
      <c r="I635" s="156"/>
    </row>
    <row r="636" spans="1:9" s="9" customFormat="1" ht="35.1" customHeight="1" x14ac:dyDescent="0.25">
      <c r="A636" s="244" t="s">
        <v>908</v>
      </c>
      <c r="B636" s="256" t="s">
        <v>909</v>
      </c>
      <c r="C636" s="256"/>
      <c r="D636" s="246"/>
      <c r="E636" s="246"/>
      <c r="F636" s="246"/>
      <c r="G636" s="303">
        <v>0</v>
      </c>
      <c r="H636" s="246"/>
      <c r="I636" s="156"/>
    </row>
    <row r="637" spans="1:9" s="9" customFormat="1" ht="35.1" customHeight="1" x14ac:dyDescent="0.25">
      <c r="A637" s="255" t="s">
        <v>910</v>
      </c>
      <c r="B637" s="284" t="s">
        <v>911</v>
      </c>
      <c r="C637" s="240" t="s">
        <v>16</v>
      </c>
      <c r="D637" s="242">
        <v>172</v>
      </c>
      <c r="E637" s="242">
        <v>64</v>
      </c>
      <c r="F637" s="242">
        <f>+E637+D637</f>
        <v>236</v>
      </c>
      <c r="G637" s="243">
        <v>38552</v>
      </c>
      <c r="H637" s="243">
        <f>ROUND(+G637*F637,2)</f>
        <v>9098272</v>
      </c>
      <c r="I637" s="156"/>
    </row>
    <row r="638" spans="1:9" s="9" customFormat="1" ht="35.1" customHeight="1" x14ac:dyDescent="0.25">
      <c r="A638" s="255" t="s">
        <v>912</v>
      </c>
      <c r="B638" s="254" t="s">
        <v>913</v>
      </c>
      <c r="C638" s="240" t="s">
        <v>16</v>
      </c>
      <c r="D638" s="242">
        <v>38</v>
      </c>
      <c r="E638" s="242">
        <v>14</v>
      </c>
      <c r="F638" s="242">
        <f>+E638+D638</f>
        <v>52</v>
      </c>
      <c r="G638" s="243">
        <v>38552</v>
      </c>
      <c r="H638" s="243">
        <f>ROUND(+G638*F638,2)</f>
        <v>2004704</v>
      </c>
      <c r="I638" s="156"/>
    </row>
    <row r="639" spans="1:9" s="9" customFormat="1" ht="35.1" customHeight="1" x14ac:dyDescent="0.25">
      <c r="A639" s="255" t="s">
        <v>914</v>
      </c>
      <c r="B639" s="254" t="s">
        <v>915</v>
      </c>
      <c r="C639" s="240" t="s">
        <v>16</v>
      </c>
      <c r="D639" s="242">
        <v>172</v>
      </c>
      <c r="E639" s="242">
        <v>64</v>
      </c>
      <c r="F639" s="242">
        <f>+E639+D639</f>
        <v>236</v>
      </c>
      <c r="G639" s="243">
        <v>10176</v>
      </c>
      <c r="H639" s="243">
        <f>ROUND(+G639*F639,2)</f>
        <v>2401536</v>
      </c>
      <c r="I639" s="156"/>
    </row>
    <row r="640" spans="1:9" s="9" customFormat="1" ht="35.1" customHeight="1" x14ac:dyDescent="0.25">
      <c r="A640" s="255" t="s">
        <v>916</v>
      </c>
      <c r="B640" s="254" t="s">
        <v>917</v>
      </c>
      <c r="C640" s="240" t="s">
        <v>16</v>
      </c>
      <c r="D640" s="242">
        <v>172</v>
      </c>
      <c r="E640" s="242">
        <v>64</v>
      </c>
      <c r="F640" s="242">
        <f>+E640+D640</f>
        <v>236</v>
      </c>
      <c r="G640" s="243">
        <v>46374</v>
      </c>
      <c r="H640" s="243">
        <f>ROUND(+G640*F640,2)</f>
        <v>10944264</v>
      </c>
      <c r="I640" s="156"/>
    </row>
    <row r="641" spans="1:9" s="9" customFormat="1" ht="35.1" customHeight="1" x14ac:dyDescent="0.25">
      <c r="A641" s="244" t="s">
        <v>918</v>
      </c>
      <c r="B641" s="256" t="s">
        <v>919</v>
      </c>
      <c r="C641" s="256"/>
      <c r="D641" s="246"/>
      <c r="E641" s="246"/>
      <c r="F641" s="246"/>
      <c r="G641" s="303">
        <v>0</v>
      </c>
      <c r="H641" s="246"/>
      <c r="I641" s="156"/>
    </row>
    <row r="642" spans="1:9" s="9" customFormat="1" ht="35.1" customHeight="1" x14ac:dyDescent="0.25">
      <c r="A642" s="255" t="s">
        <v>920</v>
      </c>
      <c r="B642" s="254" t="s">
        <v>921</v>
      </c>
      <c r="C642" s="240" t="s">
        <v>94</v>
      </c>
      <c r="D642" s="242">
        <v>11247</v>
      </c>
      <c r="E642" s="242">
        <v>1765</v>
      </c>
      <c r="F642" s="242">
        <f>+E642+D642</f>
        <v>13012</v>
      </c>
      <c r="G642" s="243">
        <v>4618</v>
      </c>
      <c r="H642" s="243">
        <f>ROUND(+G642*F642,2)</f>
        <v>60089416</v>
      </c>
      <c r="I642" s="156"/>
    </row>
    <row r="643" spans="1:9" s="9" customFormat="1" ht="35.1" customHeight="1" x14ac:dyDescent="0.25">
      <c r="A643" s="244" t="s">
        <v>922</v>
      </c>
      <c r="B643" s="256" t="s">
        <v>923</v>
      </c>
      <c r="C643" s="256"/>
      <c r="D643" s="246"/>
      <c r="E643" s="246"/>
      <c r="F643" s="246"/>
      <c r="G643" s="303">
        <v>0</v>
      </c>
      <c r="H643" s="246"/>
      <c r="I643" s="156"/>
    </row>
    <row r="644" spans="1:9" s="9" customFormat="1" ht="35.1" customHeight="1" x14ac:dyDescent="0.25">
      <c r="A644" s="255" t="s">
        <v>924</v>
      </c>
      <c r="B644" s="254" t="s">
        <v>925</v>
      </c>
      <c r="C644" s="240" t="s">
        <v>16</v>
      </c>
      <c r="D644" s="242">
        <v>9</v>
      </c>
      <c r="E644" s="242">
        <v>4</v>
      </c>
      <c r="F644" s="242">
        <f t="shared" ref="F644:F649" si="64">+E644+D644</f>
        <v>13</v>
      </c>
      <c r="G644" s="243">
        <v>275478</v>
      </c>
      <c r="H644" s="243">
        <f t="shared" ref="H644:H649" si="65">ROUND(+G644*F644,2)</f>
        <v>3581214</v>
      </c>
      <c r="I644" s="156"/>
    </row>
    <row r="645" spans="1:9" s="9" customFormat="1" ht="35.1" customHeight="1" x14ac:dyDescent="0.25">
      <c r="A645" s="255" t="s">
        <v>926</v>
      </c>
      <c r="B645" s="254" t="s">
        <v>927</v>
      </c>
      <c r="C645" s="240" t="s">
        <v>16</v>
      </c>
      <c r="D645" s="242">
        <v>172</v>
      </c>
      <c r="E645" s="242">
        <v>64</v>
      </c>
      <c r="F645" s="242">
        <f t="shared" si="64"/>
        <v>236</v>
      </c>
      <c r="G645" s="243">
        <v>38554</v>
      </c>
      <c r="H645" s="243">
        <f t="shared" si="65"/>
        <v>9098744</v>
      </c>
      <c r="I645" s="156"/>
    </row>
    <row r="646" spans="1:9" s="9" customFormat="1" ht="35.1" customHeight="1" x14ac:dyDescent="0.25">
      <c r="A646" s="255" t="s">
        <v>928</v>
      </c>
      <c r="B646" s="254" t="s">
        <v>929</v>
      </c>
      <c r="C646" s="240" t="s">
        <v>16</v>
      </c>
      <c r="D646" s="242">
        <v>38</v>
      </c>
      <c r="E646" s="242">
        <v>14</v>
      </c>
      <c r="F646" s="242">
        <f t="shared" si="64"/>
        <v>52</v>
      </c>
      <c r="G646" s="243">
        <v>38554</v>
      </c>
      <c r="H646" s="243">
        <f t="shared" si="65"/>
        <v>2004808</v>
      </c>
      <c r="I646" s="156"/>
    </row>
    <row r="647" spans="1:9" s="9" customFormat="1" ht="35.1" customHeight="1" x14ac:dyDescent="0.25">
      <c r="A647" s="255" t="s">
        <v>930</v>
      </c>
      <c r="B647" s="254" t="s">
        <v>931</v>
      </c>
      <c r="C647" s="240" t="s">
        <v>16</v>
      </c>
      <c r="D647" s="242">
        <v>172</v>
      </c>
      <c r="E647" s="242">
        <v>64</v>
      </c>
      <c r="F647" s="242">
        <f t="shared" si="64"/>
        <v>236</v>
      </c>
      <c r="G647" s="243">
        <v>49451</v>
      </c>
      <c r="H647" s="243">
        <f t="shared" si="65"/>
        <v>11670436</v>
      </c>
      <c r="I647" s="156"/>
    </row>
    <row r="648" spans="1:9" s="9" customFormat="1" ht="35.1" customHeight="1" x14ac:dyDescent="0.25">
      <c r="A648" s="255" t="s">
        <v>932</v>
      </c>
      <c r="B648" s="254" t="s">
        <v>933</v>
      </c>
      <c r="C648" s="240" t="s">
        <v>16</v>
      </c>
      <c r="D648" s="242">
        <v>38</v>
      </c>
      <c r="E648" s="242">
        <v>14</v>
      </c>
      <c r="F648" s="242">
        <f t="shared" si="64"/>
        <v>52</v>
      </c>
      <c r="G648" s="243">
        <v>49451</v>
      </c>
      <c r="H648" s="243">
        <f t="shared" si="65"/>
        <v>2571452</v>
      </c>
      <c r="I648" s="156"/>
    </row>
    <row r="649" spans="1:9" s="9" customFormat="1" ht="35.1" customHeight="1" x14ac:dyDescent="0.25">
      <c r="A649" s="255" t="s">
        <v>934</v>
      </c>
      <c r="B649" s="254" t="s">
        <v>935</v>
      </c>
      <c r="C649" s="240" t="s">
        <v>16</v>
      </c>
      <c r="D649" s="242">
        <v>9</v>
      </c>
      <c r="E649" s="242">
        <v>4</v>
      </c>
      <c r="F649" s="242">
        <f t="shared" si="64"/>
        <v>13</v>
      </c>
      <c r="G649" s="243">
        <v>257112</v>
      </c>
      <c r="H649" s="243">
        <f t="shared" si="65"/>
        <v>3342456</v>
      </c>
      <c r="I649" s="156"/>
    </row>
    <row r="650" spans="1:9" s="9" customFormat="1" ht="35.1" customHeight="1" x14ac:dyDescent="0.25">
      <c r="A650" s="244" t="s">
        <v>936</v>
      </c>
      <c r="B650" s="245" t="s">
        <v>937</v>
      </c>
      <c r="C650" s="244"/>
      <c r="D650" s="246"/>
      <c r="E650" s="246"/>
      <c r="F650" s="246"/>
      <c r="G650" s="303">
        <v>0</v>
      </c>
      <c r="H650" s="246"/>
      <c r="I650" s="156"/>
    </row>
    <row r="651" spans="1:9" s="9" customFormat="1" ht="35.1" customHeight="1" x14ac:dyDescent="0.25">
      <c r="A651" s="255" t="s">
        <v>938</v>
      </c>
      <c r="B651" s="254" t="s">
        <v>939</v>
      </c>
      <c r="C651" s="240" t="s">
        <v>16</v>
      </c>
      <c r="D651" s="242">
        <v>1</v>
      </c>
      <c r="E651" s="242">
        <v>1</v>
      </c>
      <c r="F651" s="242">
        <f>+E651+D651</f>
        <v>2</v>
      </c>
      <c r="G651" s="243">
        <v>596595</v>
      </c>
      <c r="H651" s="243">
        <f>ROUND(+G651*F651,2)</f>
        <v>1193190</v>
      </c>
      <c r="I651" s="156"/>
    </row>
    <row r="652" spans="1:9" s="9" customFormat="1" ht="35.1" customHeight="1" x14ac:dyDescent="0.25">
      <c r="A652" s="255" t="s">
        <v>940</v>
      </c>
      <c r="B652" s="254" t="s">
        <v>941</v>
      </c>
      <c r="C652" s="240" t="s">
        <v>16</v>
      </c>
      <c r="D652" s="242">
        <v>38</v>
      </c>
      <c r="E652" s="242">
        <v>14</v>
      </c>
      <c r="F652" s="242">
        <f>+E652+D652</f>
        <v>52</v>
      </c>
      <c r="G652" s="243">
        <v>36237</v>
      </c>
      <c r="H652" s="243">
        <f>ROUND(+G652*F652,2)</f>
        <v>1884324</v>
      </c>
      <c r="I652" s="156"/>
    </row>
    <row r="653" spans="1:9" s="9" customFormat="1" ht="35.1" customHeight="1" x14ac:dyDescent="0.25">
      <c r="A653" s="255" t="s">
        <v>942</v>
      </c>
      <c r="B653" s="254" t="s">
        <v>935</v>
      </c>
      <c r="C653" s="240" t="s">
        <v>16</v>
      </c>
      <c r="D653" s="242">
        <v>1</v>
      </c>
      <c r="E653" s="242">
        <v>1</v>
      </c>
      <c r="F653" s="242">
        <f>+E653+D653</f>
        <v>2</v>
      </c>
      <c r="G653" s="243">
        <v>257112</v>
      </c>
      <c r="H653" s="243">
        <f>ROUND(+G653*F653,2)</f>
        <v>514224</v>
      </c>
      <c r="I653" s="156"/>
    </row>
    <row r="654" spans="1:9" s="9" customFormat="1" ht="35.1" customHeight="1" x14ac:dyDescent="0.25">
      <c r="A654" s="244" t="s">
        <v>943</v>
      </c>
      <c r="B654" s="245" t="s">
        <v>944</v>
      </c>
      <c r="C654" s="260"/>
      <c r="D654" s="246"/>
      <c r="E654" s="246"/>
      <c r="F654" s="246"/>
      <c r="G654" s="303">
        <v>0</v>
      </c>
      <c r="H654" s="246"/>
      <c r="I654" s="156"/>
    </row>
    <row r="655" spans="1:9" s="9" customFormat="1" ht="35.1" customHeight="1" x14ac:dyDescent="0.25">
      <c r="A655" s="255" t="s">
        <v>945</v>
      </c>
      <c r="B655" s="254" t="s">
        <v>946</v>
      </c>
      <c r="C655" s="240" t="s">
        <v>94</v>
      </c>
      <c r="D655" s="242">
        <v>32</v>
      </c>
      <c r="E655" s="242">
        <v>12</v>
      </c>
      <c r="F655" s="242">
        <f>+E655+D655</f>
        <v>44</v>
      </c>
      <c r="G655" s="243">
        <v>20102</v>
      </c>
      <c r="H655" s="243">
        <f>ROUND(+G655*F655,2)</f>
        <v>884488</v>
      </c>
      <c r="I655" s="156"/>
    </row>
    <row r="656" spans="1:9" s="9" customFormat="1" ht="35.1" customHeight="1" x14ac:dyDescent="0.25">
      <c r="A656" s="255" t="s">
        <v>947</v>
      </c>
      <c r="B656" s="254" t="s">
        <v>948</v>
      </c>
      <c r="C656" s="240" t="s">
        <v>16</v>
      </c>
      <c r="D656" s="242">
        <v>2</v>
      </c>
      <c r="E656" s="242">
        <v>2</v>
      </c>
      <c r="F656" s="242">
        <f>+E656+D656</f>
        <v>4</v>
      </c>
      <c r="G656" s="243">
        <v>724697</v>
      </c>
      <c r="H656" s="243">
        <f>ROUND(+G656*F656,2)</f>
        <v>2898788</v>
      </c>
      <c r="I656" s="156"/>
    </row>
    <row r="657" spans="1:9" s="9" customFormat="1" ht="35.1" customHeight="1" x14ac:dyDescent="0.25">
      <c r="A657" s="255" t="s">
        <v>949</v>
      </c>
      <c r="B657" s="254" t="s">
        <v>950</v>
      </c>
      <c r="C657" s="240" t="s">
        <v>16</v>
      </c>
      <c r="D657" s="242">
        <v>2</v>
      </c>
      <c r="E657" s="242">
        <v>2</v>
      </c>
      <c r="F657" s="242">
        <f>+E657+D657</f>
        <v>4</v>
      </c>
      <c r="G657" s="243">
        <v>257112</v>
      </c>
      <c r="H657" s="243">
        <f>ROUND(+G657*F657,2)</f>
        <v>1028448</v>
      </c>
      <c r="I657" s="156"/>
    </row>
    <row r="658" spans="1:9" s="9" customFormat="1" ht="35.1" customHeight="1" x14ac:dyDescent="0.25">
      <c r="A658" s="244" t="s">
        <v>951</v>
      </c>
      <c r="B658" s="245" t="s">
        <v>952</v>
      </c>
      <c r="C658" s="260"/>
      <c r="D658" s="246"/>
      <c r="E658" s="246"/>
      <c r="F658" s="246"/>
      <c r="G658" s="303">
        <v>0</v>
      </c>
      <c r="H658" s="246"/>
      <c r="I658" s="156"/>
    </row>
    <row r="659" spans="1:9" s="9" customFormat="1" ht="35.1" customHeight="1" x14ac:dyDescent="0.25">
      <c r="A659" s="255" t="s">
        <v>953</v>
      </c>
      <c r="B659" s="254" t="s">
        <v>954</v>
      </c>
      <c r="C659" s="240" t="s">
        <v>16</v>
      </c>
      <c r="D659" s="242">
        <v>3</v>
      </c>
      <c r="E659" s="242">
        <v>1</v>
      </c>
      <c r="F659" s="242">
        <f t="shared" ref="F659:F670" si="66">+E659+D659</f>
        <v>4</v>
      </c>
      <c r="G659" s="243">
        <v>4619597</v>
      </c>
      <c r="H659" s="243">
        <f t="shared" ref="H659:H670" si="67">ROUND(+G659*F659,2)</f>
        <v>18478388</v>
      </c>
      <c r="I659" s="156"/>
    </row>
    <row r="660" spans="1:9" s="9" customFormat="1" ht="35.1" customHeight="1" x14ac:dyDescent="0.25">
      <c r="A660" s="255" t="s">
        <v>955</v>
      </c>
      <c r="B660" s="254" t="s">
        <v>956</v>
      </c>
      <c r="C660" s="240" t="s">
        <v>16</v>
      </c>
      <c r="D660" s="242">
        <v>6</v>
      </c>
      <c r="E660" s="242">
        <v>2</v>
      </c>
      <c r="F660" s="242">
        <f t="shared" si="66"/>
        <v>8</v>
      </c>
      <c r="G660" s="243">
        <v>593668</v>
      </c>
      <c r="H660" s="243">
        <f t="shared" si="67"/>
        <v>4749344</v>
      </c>
      <c r="I660" s="156"/>
    </row>
    <row r="661" spans="1:9" s="9" customFormat="1" ht="35.1" customHeight="1" x14ac:dyDescent="0.25">
      <c r="A661" s="255" t="s">
        <v>957</v>
      </c>
      <c r="B661" s="254" t="s">
        <v>958</v>
      </c>
      <c r="C661" s="240" t="s">
        <v>16</v>
      </c>
      <c r="D661" s="242">
        <v>3</v>
      </c>
      <c r="E661" s="242">
        <v>1</v>
      </c>
      <c r="F661" s="242">
        <f t="shared" si="66"/>
        <v>4</v>
      </c>
      <c r="G661" s="243">
        <v>514115</v>
      </c>
      <c r="H661" s="243">
        <f t="shared" si="67"/>
        <v>2056460</v>
      </c>
      <c r="I661" s="156"/>
    </row>
    <row r="662" spans="1:9" s="9" customFormat="1" ht="35.1" customHeight="1" x14ac:dyDescent="0.25">
      <c r="A662" s="255" t="s">
        <v>959</v>
      </c>
      <c r="B662" s="254" t="s">
        <v>960</v>
      </c>
      <c r="C662" s="240" t="s">
        <v>94</v>
      </c>
      <c r="D662" s="242">
        <v>29</v>
      </c>
      <c r="E662" s="242">
        <v>11</v>
      </c>
      <c r="F662" s="242">
        <f t="shared" si="66"/>
        <v>40</v>
      </c>
      <c r="G662" s="243">
        <v>4749</v>
      </c>
      <c r="H662" s="243">
        <f t="shared" si="67"/>
        <v>189960</v>
      </c>
      <c r="I662" s="156"/>
    </row>
    <row r="663" spans="1:9" s="9" customFormat="1" ht="35.1" customHeight="1" x14ac:dyDescent="0.25">
      <c r="A663" s="255" t="s">
        <v>961</v>
      </c>
      <c r="B663" s="254" t="s">
        <v>962</v>
      </c>
      <c r="C663" s="255" t="s">
        <v>94</v>
      </c>
      <c r="D663" s="242">
        <v>316</v>
      </c>
      <c r="E663" s="242">
        <v>230</v>
      </c>
      <c r="F663" s="242">
        <f t="shared" si="66"/>
        <v>546</v>
      </c>
      <c r="G663" s="243">
        <v>158168</v>
      </c>
      <c r="H663" s="243">
        <f t="shared" si="67"/>
        <v>86359728</v>
      </c>
      <c r="I663" s="156"/>
    </row>
    <row r="664" spans="1:9" s="9" customFormat="1" ht="35.1" customHeight="1" x14ac:dyDescent="0.25">
      <c r="A664" s="255" t="s">
        <v>963</v>
      </c>
      <c r="B664" s="254" t="s">
        <v>964</v>
      </c>
      <c r="C664" s="240" t="s">
        <v>94</v>
      </c>
      <c r="D664" s="242">
        <v>245</v>
      </c>
      <c r="E664" s="242">
        <v>91</v>
      </c>
      <c r="F664" s="242">
        <f t="shared" si="66"/>
        <v>336</v>
      </c>
      <c r="G664" s="243">
        <v>37475</v>
      </c>
      <c r="H664" s="243">
        <f t="shared" si="67"/>
        <v>12591600</v>
      </c>
      <c r="I664" s="156"/>
    </row>
    <row r="665" spans="1:9" s="9" customFormat="1" ht="35.1" customHeight="1" x14ac:dyDescent="0.25">
      <c r="A665" s="255" t="s">
        <v>965</v>
      </c>
      <c r="B665" s="254" t="s">
        <v>966</v>
      </c>
      <c r="C665" s="240" t="s">
        <v>94</v>
      </c>
      <c r="D665" s="242">
        <v>64</v>
      </c>
      <c r="E665" s="242">
        <v>23</v>
      </c>
      <c r="F665" s="242">
        <f t="shared" si="66"/>
        <v>87</v>
      </c>
      <c r="G665" s="243">
        <v>20696</v>
      </c>
      <c r="H665" s="243">
        <f t="shared" si="67"/>
        <v>1800552</v>
      </c>
      <c r="I665" s="156"/>
    </row>
    <row r="666" spans="1:9" s="9" customFormat="1" ht="35.1" customHeight="1" x14ac:dyDescent="0.25">
      <c r="A666" s="255" t="s">
        <v>967</v>
      </c>
      <c r="B666" s="254" t="s">
        <v>968</v>
      </c>
      <c r="C666" s="240" t="s">
        <v>94</v>
      </c>
      <c r="D666" s="242">
        <v>166</v>
      </c>
      <c r="E666" s="242">
        <v>61</v>
      </c>
      <c r="F666" s="242">
        <f t="shared" si="66"/>
        <v>227</v>
      </c>
      <c r="G666" s="243">
        <v>16448</v>
      </c>
      <c r="H666" s="243">
        <f t="shared" si="67"/>
        <v>3733696</v>
      </c>
      <c r="I666" s="156"/>
    </row>
    <row r="667" spans="1:9" s="9" customFormat="1" ht="35.1" customHeight="1" x14ac:dyDescent="0.25">
      <c r="A667" s="255" t="s">
        <v>969</v>
      </c>
      <c r="B667" s="254" t="s">
        <v>970</v>
      </c>
      <c r="C667" s="240" t="s">
        <v>94</v>
      </c>
      <c r="D667" s="242">
        <v>22</v>
      </c>
      <c r="E667" s="242">
        <v>8</v>
      </c>
      <c r="F667" s="242">
        <f t="shared" si="66"/>
        <v>30</v>
      </c>
      <c r="G667" s="243">
        <v>6061</v>
      </c>
      <c r="H667" s="243">
        <f t="shared" si="67"/>
        <v>181830</v>
      </c>
      <c r="I667" s="156"/>
    </row>
    <row r="668" spans="1:9" s="9" customFormat="1" ht="35.1" customHeight="1" x14ac:dyDescent="0.25">
      <c r="A668" s="255" t="s">
        <v>971</v>
      </c>
      <c r="B668" s="254" t="s">
        <v>972</v>
      </c>
      <c r="C668" s="240" t="s">
        <v>94</v>
      </c>
      <c r="D668" s="242">
        <v>84</v>
      </c>
      <c r="E668" s="242">
        <v>31</v>
      </c>
      <c r="F668" s="242">
        <f t="shared" si="66"/>
        <v>115</v>
      </c>
      <c r="G668" s="243">
        <v>4876</v>
      </c>
      <c r="H668" s="243">
        <f t="shared" si="67"/>
        <v>560740</v>
      </c>
      <c r="I668" s="156"/>
    </row>
    <row r="669" spans="1:9" s="9" customFormat="1" ht="35.1" customHeight="1" x14ac:dyDescent="0.25">
      <c r="A669" s="255" t="s">
        <v>973</v>
      </c>
      <c r="B669" s="254" t="s">
        <v>974</v>
      </c>
      <c r="C669" s="240" t="s">
        <v>16</v>
      </c>
      <c r="D669" s="242">
        <v>2</v>
      </c>
      <c r="E669" s="242">
        <v>4</v>
      </c>
      <c r="F669" s="242">
        <f t="shared" si="66"/>
        <v>6</v>
      </c>
      <c r="G669" s="243">
        <v>790806</v>
      </c>
      <c r="H669" s="243">
        <f t="shared" si="67"/>
        <v>4744836</v>
      </c>
      <c r="I669" s="156"/>
    </row>
    <row r="670" spans="1:9" s="9" customFormat="1" ht="35.1" customHeight="1" x14ac:dyDescent="0.25">
      <c r="A670" s="255" t="s">
        <v>975</v>
      </c>
      <c r="B670" s="254" t="s">
        <v>976</v>
      </c>
      <c r="C670" s="240" t="s">
        <v>16</v>
      </c>
      <c r="D670" s="242">
        <v>4</v>
      </c>
      <c r="E670" s="242">
        <v>4</v>
      </c>
      <c r="F670" s="242">
        <f t="shared" si="66"/>
        <v>8</v>
      </c>
      <c r="G670" s="243">
        <v>13258</v>
      </c>
      <c r="H670" s="243">
        <f t="shared" si="67"/>
        <v>106064</v>
      </c>
      <c r="I670" s="156"/>
    </row>
    <row r="671" spans="1:9" s="9" customFormat="1" ht="35.1" customHeight="1" x14ac:dyDescent="0.25">
      <c r="A671" s="244" t="s">
        <v>977</v>
      </c>
      <c r="B671" s="256" t="s">
        <v>978</v>
      </c>
      <c r="C671" s="256"/>
      <c r="D671" s="246"/>
      <c r="E671" s="246"/>
      <c r="F671" s="246"/>
      <c r="G671" s="303">
        <v>0</v>
      </c>
      <c r="H671" s="246"/>
      <c r="I671" s="156"/>
    </row>
    <row r="672" spans="1:9" s="9" customFormat="1" ht="35.1" customHeight="1" x14ac:dyDescent="0.25">
      <c r="A672" s="255" t="s">
        <v>979</v>
      </c>
      <c r="B672" s="254" t="s">
        <v>980</v>
      </c>
      <c r="C672" s="240" t="s">
        <v>16</v>
      </c>
      <c r="D672" s="242">
        <v>2</v>
      </c>
      <c r="E672" s="242">
        <v>2</v>
      </c>
      <c r="F672" s="242">
        <f>+E672+D672</f>
        <v>4</v>
      </c>
      <c r="G672" s="243">
        <v>65873</v>
      </c>
      <c r="H672" s="243">
        <f>ROUND(+G672*F672,2)</f>
        <v>263492</v>
      </c>
      <c r="I672" s="156"/>
    </row>
    <row r="673" spans="1:9" s="9" customFormat="1" ht="35.1" customHeight="1" x14ac:dyDescent="0.25">
      <c r="A673" s="255" t="s">
        <v>981</v>
      </c>
      <c r="B673" s="254" t="s">
        <v>982</v>
      </c>
      <c r="C673" s="240" t="s">
        <v>94</v>
      </c>
      <c r="D673" s="242">
        <v>2</v>
      </c>
      <c r="E673" s="242">
        <v>2</v>
      </c>
      <c r="F673" s="242">
        <f>+E673+D673</f>
        <v>4</v>
      </c>
      <c r="G673" s="243">
        <v>6635</v>
      </c>
      <c r="H673" s="243">
        <f>ROUND(+G673*F673,2)</f>
        <v>26540</v>
      </c>
      <c r="I673" s="156"/>
    </row>
    <row r="674" spans="1:9" s="9" customFormat="1" ht="35.1" customHeight="1" x14ac:dyDescent="0.25">
      <c r="A674" s="255" t="s">
        <v>983</v>
      </c>
      <c r="B674" s="254" t="s">
        <v>984</v>
      </c>
      <c r="C674" s="240" t="s">
        <v>94</v>
      </c>
      <c r="D674" s="242">
        <v>2</v>
      </c>
      <c r="E674" s="242">
        <v>2</v>
      </c>
      <c r="F674" s="242">
        <f>+E674+D674</f>
        <v>4</v>
      </c>
      <c r="G674" s="243">
        <v>6635</v>
      </c>
      <c r="H674" s="243">
        <f>ROUND(+G674*F674,2)</f>
        <v>26540</v>
      </c>
      <c r="I674" s="156"/>
    </row>
    <row r="675" spans="1:9" s="9" customFormat="1" ht="35.1" customHeight="1" x14ac:dyDescent="0.25">
      <c r="A675" s="255" t="s">
        <v>985</v>
      </c>
      <c r="B675" s="254" t="s">
        <v>986</v>
      </c>
      <c r="C675" s="240" t="s">
        <v>16</v>
      </c>
      <c r="D675" s="242">
        <v>2</v>
      </c>
      <c r="E675" s="242">
        <v>2</v>
      </c>
      <c r="F675" s="242">
        <f>+E675+D675</f>
        <v>4</v>
      </c>
      <c r="G675" s="243">
        <v>649052</v>
      </c>
      <c r="H675" s="243">
        <f>ROUND(+G675*F675,2)</f>
        <v>2596208</v>
      </c>
      <c r="I675" s="156"/>
    </row>
    <row r="676" spans="1:9" s="9" customFormat="1" ht="35.1" customHeight="1" x14ac:dyDescent="0.25">
      <c r="A676" s="244" t="s">
        <v>987</v>
      </c>
      <c r="B676" s="256" t="s">
        <v>988</v>
      </c>
      <c r="C676" s="256"/>
      <c r="D676" s="246"/>
      <c r="E676" s="246"/>
      <c r="F676" s="246"/>
      <c r="G676" s="303">
        <v>0</v>
      </c>
      <c r="H676" s="246"/>
      <c r="I676" s="156"/>
    </row>
    <row r="677" spans="1:9" s="9" customFormat="1" ht="35.1" customHeight="1" x14ac:dyDescent="0.25">
      <c r="A677" s="240" t="s">
        <v>989</v>
      </c>
      <c r="B677" s="254" t="s">
        <v>990</v>
      </c>
      <c r="C677" s="240" t="s">
        <v>16</v>
      </c>
      <c r="D677" s="242">
        <v>13</v>
      </c>
      <c r="E677" s="242">
        <v>1</v>
      </c>
      <c r="F677" s="242">
        <f>+E677+D677</f>
        <v>14</v>
      </c>
      <c r="G677" s="243">
        <v>7531688</v>
      </c>
      <c r="H677" s="243">
        <f>ROUND(+G677*F677,2)</f>
        <v>105443632</v>
      </c>
      <c r="I677" s="156"/>
    </row>
    <row r="678" spans="1:9" s="9" customFormat="1" ht="35.1" customHeight="1" x14ac:dyDescent="0.25">
      <c r="A678" s="240" t="s">
        <v>991</v>
      </c>
      <c r="B678" s="254" t="s">
        <v>992</v>
      </c>
      <c r="C678" s="240" t="s">
        <v>16</v>
      </c>
      <c r="D678" s="242">
        <v>0</v>
      </c>
      <c r="E678" s="242">
        <v>1</v>
      </c>
      <c r="F678" s="242">
        <f>+E678+D678</f>
        <v>1</v>
      </c>
      <c r="G678" s="243">
        <v>863097</v>
      </c>
      <c r="H678" s="243">
        <f>ROUND(+G678*F678,2)</f>
        <v>863097</v>
      </c>
      <c r="I678" s="156"/>
    </row>
    <row r="679" spans="1:9" s="9" customFormat="1" ht="35.1" customHeight="1" x14ac:dyDescent="0.25">
      <c r="A679" s="266">
        <v>19</v>
      </c>
      <c r="B679" s="267" t="s">
        <v>993</v>
      </c>
      <c r="C679" s="267"/>
      <c r="D679" s="268"/>
      <c r="E679" s="268"/>
      <c r="F679" s="268"/>
      <c r="G679" s="306">
        <v>0</v>
      </c>
      <c r="H679" s="268"/>
      <c r="I679" s="156"/>
    </row>
    <row r="680" spans="1:9" s="9" customFormat="1" ht="35.1" customHeight="1" x14ac:dyDescent="0.25">
      <c r="A680" s="296" t="s">
        <v>1349</v>
      </c>
      <c r="B680" s="297" t="s">
        <v>1350</v>
      </c>
      <c r="C680" s="298"/>
      <c r="D680" s="299"/>
      <c r="E680" s="246"/>
      <c r="F680" s="246"/>
      <c r="G680" s="303">
        <v>0</v>
      </c>
      <c r="H680" s="246"/>
      <c r="I680" s="156"/>
    </row>
    <row r="681" spans="1:9" s="9" customFormat="1" ht="35.1" customHeight="1" x14ac:dyDescent="0.25">
      <c r="A681" s="255" t="s">
        <v>1351</v>
      </c>
      <c r="B681" s="254" t="s">
        <v>1352</v>
      </c>
      <c r="C681" s="240" t="s">
        <v>16</v>
      </c>
      <c r="D681" s="242">
        <v>10</v>
      </c>
      <c r="E681" s="242">
        <v>0</v>
      </c>
      <c r="F681" s="242">
        <f t="shared" ref="F681:F687" si="68">+E681+D681</f>
        <v>10</v>
      </c>
      <c r="G681" s="243">
        <v>1292800</v>
      </c>
      <c r="H681" s="243">
        <f t="shared" ref="H681:H687" si="69">ROUND(+G681*F681,2)</f>
        <v>12928000</v>
      </c>
      <c r="I681" s="156"/>
    </row>
    <row r="682" spans="1:9" s="9" customFormat="1" ht="35.1" customHeight="1" x14ac:dyDescent="0.25">
      <c r="A682" s="255" t="s">
        <v>1353</v>
      </c>
      <c r="B682" s="254" t="s">
        <v>1354</v>
      </c>
      <c r="C682" s="240" t="s">
        <v>16</v>
      </c>
      <c r="D682" s="242">
        <v>19</v>
      </c>
      <c r="E682" s="242">
        <v>0</v>
      </c>
      <c r="F682" s="242">
        <f t="shared" si="68"/>
        <v>19</v>
      </c>
      <c r="G682" s="243">
        <v>1753911</v>
      </c>
      <c r="H682" s="243">
        <f t="shared" si="69"/>
        <v>33324309</v>
      </c>
      <c r="I682" s="156"/>
    </row>
    <row r="683" spans="1:9" s="9" customFormat="1" ht="35.1" customHeight="1" x14ac:dyDescent="0.25">
      <c r="A683" s="255" t="s">
        <v>1355</v>
      </c>
      <c r="B683" s="254" t="s">
        <v>1356</v>
      </c>
      <c r="C683" s="240" t="s">
        <v>16</v>
      </c>
      <c r="D683" s="242">
        <v>2</v>
      </c>
      <c r="E683" s="242">
        <v>0</v>
      </c>
      <c r="F683" s="242">
        <f t="shared" si="68"/>
        <v>2</v>
      </c>
      <c r="G683" s="243">
        <v>3775110</v>
      </c>
      <c r="H683" s="243">
        <f t="shared" si="69"/>
        <v>7550220</v>
      </c>
      <c r="I683" s="156"/>
    </row>
    <row r="684" spans="1:9" s="9" customFormat="1" ht="35.1" customHeight="1" x14ac:dyDescent="0.25">
      <c r="A684" s="255" t="s">
        <v>1357</v>
      </c>
      <c r="B684" s="254" t="s">
        <v>1358</v>
      </c>
      <c r="C684" s="240" t="s">
        <v>16</v>
      </c>
      <c r="D684" s="242">
        <v>29</v>
      </c>
      <c r="E684" s="242">
        <v>0</v>
      </c>
      <c r="F684" s="242">
        <f t="shared" si="68"/>
        <v>29</v>
      </c>
      <c r="G684" s="243">
        <v>369744</v>
      </c>
      <c r="H684" s="243">
        <f t="shared" si="69"/>
        <v>10722576</v>
      </c>
      <c r="I684" s="156"/>
    </row>
    <row r="685" spans="1:9" s="9" customFormat="1" ht="35.1" customHeight="1" x14ac:dyDescent="0.25">
      <c r="A685" s="255" t="s">
        <v>1359</v>
      </c>
      <c r="B685" s="254" t="s">
        <v>1360</v>
      </c>
      <c r="C685" s="240" t="s">
        <v>16</v>
      </c>
      <c r="D685" s="242">
        <v>2</v>
      </c>
      <c r="E685" s="242">
        <v>0</v>
      </c>
      <c r="F685" s="242">
        <f t="shared" si="68"/>
        <v>2</v>
      </c>
      <c r="G685" s="243">
        <v>8601134</v>
      </c>
      <c r="H685" s="243">
        <f t="shared" si="69"/>
        <v>17202268</v>
      </c>
      <c r="I685" s="156"/>
    </row>
    <row r="686" spans="1:9" s="9" customFormat="1" ht="35.1" customHeight="1" x14ac:dyDescent="0.25">
      <c r="A686" s="255" t="s">
        <v>1361</v>
      </c>
      <c r="B686" s="254" t="s">
        <v>1362</v>
      </c>
      <c r="C686" s="240" t="s">
        <v>16</v>
      </c>
      <c r="D686" s="242">
        <v>2</v>
      </c>
      <c r="E686" s="242">
        <v>0</v>
      </c>
      <c r="F686" s="242">
        <f t="shared" si="68"/>
        <v>2</v>
      </c>
      <c r="G686" s="243">
        <v>9150233</v>
      </c>
      <c r="H686" s="243">
        <f t="shared" si="69"/>
        <v>18300466</v>
      </c>
      <c r="I686" s="156"/>
    </row>
    <row r="687" spans="1:9" s="9" customFormat="1" ht="35.1" customHeight="1" x14ac:dyDescent="0.25">
      <c r="A687" s="255" t="s">
        <v>1363</v>
      </c>
      <c r="B687" s="254" t="s">
        <v>1364</v>
      </c>
      <c r="C687" s="240" t="s">
        <v>1182</v>
      </c>
      <c r="D687" s="242">
        <v>1</v>
      </c>
      <c r="E687" s="242">
        <v>0</v>
      </c>
      <c r="F687" s="242">
        <f t="shared" si="68"/>
        <v>1</v>
      </c>
      <c r="G687" s="243">
        <v>2929767</v>
      </c>
      <c r="H687" s="243">
        <f t="shared" si="69"/>
        <v>2929767</v>
      </c>
      <c r="I687" s="156"/>
    </row>
    <row r="688" spans="1:9" s="9" customFormat="1" ht="35.1" customHeight="1" x14ac:dyDescent="0.25">
      <c r="A688" s="244" t="s">
        <v>1365</v>
      </c>
      <c r="B688" s="245" t="s">
        <v>1366</v>
      </c>
      <c r="C688" s="260"/>
      <c r="D688" s="246"/>
      <c r="E688" s="246"/>
      <c r="F688" s="246"/>
      <c r="G688" s="303">
        <v>0</v>
      </c>
      <c r="H688" s="246"/>
      <c r="I688" s="156"/>
    </row>
    <row r="689" spans="1:9" s="9" customFormat="1" ht="35.1" customHeight="1" x14ac:dyDescent="0.25">
      <c r="A689" s="255" t="s">
        <v>1367</v>
      </c>
      <c r="B689" s="254" t="s">
        <v>1368</v>
      </c>
      <c r="C689" s="240" t="s">
        <v>16</v>
      </c>
      <c r="D689" s="242">
        <v>19</v>
      </c>
      <c r="E689" s="242">
        <v>0</v>
      </c>
      <c r="F689" s="242">
        <f t="shared" ref="F689:F698" si="70">+E689+D689</f>
        <v>19</v>
      </c>
      <c r="G689" s="243">
        <v>237553</v>
      </c>
      <c r="H689" s="243">
        <f t="shared" ref="H689:H698" si="71">ROUND(+G689*F689,2)</f>
        <v>4513507</v>
      </c>
      <c r="I689" s="156"/>
    </row>
    <row r="690" spans="1:9" s="9" customFormat="1" ht="35.1" customHeight="1" x14ac:dyDescent="0.25">
      <c r="A690" s="255" t="s">
        <v>1369</v>
      </c>
      <c r="B690" s="254" t="s">
        <v>1370</v>
      </c>
      <c r="C690" s="240" t="s">
        <v>16</v>
      </c>
      <c r="D690" s="242">
        <v>16</v>
      </c>
      <c r="E690" s="242">
        <v>0</v>
      </c>
      <c r="F690" s="242">
        <f t="shared" si="70"/>
        <v>16</v>
      </c>
      <c r="G690" s="243">
        <v>1739096</v>
      </c>
      <c r="H690" s="243">
        <f t="shared" si="71"/>
        <v>27825536</v>
      </c>
      <c r="I690" s="156"/>
    </row>
    <row r="691" spans="1:9" s="9" customFormat="1" ht="35.1" customHeight="1" x14ac:dyDescent="0.25">
      <c r="A691" s="255" t="s">
        <v>1371</v>
      </c>
      <c r="B691" s="254" t="s">
        <v>1372</v>
      </c>
      <c r="C691" s="240" t="s">
        <v>16</v>
      </c>
      <c r="D691" s="242">
        <v>18</v>
      </c>
      <c r="E691" s="242">
        <v>0</v>
      </c>
      <c r="F691" s="242">
        <f t="shared" si="70"/>
        <v>18</v>
      </c>
      <c r="G691" s="243">
        <v>367714</v>
      </c>
      <c r="H691" s="243">
        <f t="shared" si="71"/>
        <v>6618852</v>
      </c>
      <c r="I691" s="156"/>
    </row>
    <row r="692" spans="1:9" s="9" customFormat="1" ht="35.1" customHeight="1" x14ac:dyDescent="0.25">
      <c r="A692" s="255" t="s">
        <v>1373</v>
      </c>
      <c r="B692" s="254" t="s">
        <v>1374</v>
      </c>
      <c r="C692" s="240" t="s">
        <v>16</v>
      </c>
      <c r="D692" s="242">
        <v>20</v>
      </c>
      <c r="E692" s="242">
        <v>0</v>
      </c>
      <c r="F692" s="242">
        <f t="shared" si="70"/>
        <v>20</v>
      </c>
      <c r="G692" s="243">
        <v>460673</v>
      </c>
      <c r="H692" s="243">
        <f t="shared" si="71"/>
        <v>9213460</v>
      </c>
      <c r="I692" s="156"/>
    </row>
    <row r="693" spans="1:9" s="9" customFormat="1" ht="35.1" customHeight="1" x14ac:dyDescent="0.25">
      <c r="A693" s="255" t="s">
        <v>1375</v>
      </c>
      <c r="B693" s="254" t="s">
        <v>1376</v>
      </c>
      <c r="C693" s="240" t="s">
        <v>16</v>
      </c>
      <c r="D693" s="242">
        <v>14</v>
      </c>
      <c r="E693" s="242">
        <v>0</v>
      </c>
      <c r="F693" s="242">
        <f t="shared" si="70"/>
        <v>14</v>
      </c>
      <c r="G693" s="243">
        <v>12558</v>
      </c>
      <c r="H693" s="243">
        <f t="shared" si="71"/>
        <v>175812</v>
      </c>
      <c r="I693" s="156"/>
    </row>
    <row r="694" spans="1:9" s="9" customFormat="1" ht="35.1" customHeight="1" x14ac:dyDescent="0.25">
      <c r="A694" s="255" t="s">
        <v>1377</v>
      </c>
      <c r="B694" s="254" t="s">
        <v>976</v>
      </c>
      <c r="C694" s="240" t="s">
        <v>16</v>
      </c>
      <c r="D694" s="242">
        <v>18</v>
      </c>
      <c r="E694" s="242">
        <v>0</v>
      </c>
      <c r="F694" s="242">
        <f t="shared" si="70"/>
        <v>18</v>
      </c>
      <c r="G694" s="243">
        <v>13258</v>
      </c>
      <c r="H694" s="243">
        <f t="shared" si="71"/>
        <v>238644</v>
      </c>
      <c r="I694" s="156"/>
    </row>
    <row r="695" spans="1:9" s="9" customFormat="1" ht="35.1" customHeight="1" x14ac:dyDescent="0.25">
      <c r="A695" s="255" t="s">
        <v>1378</v>
      </c>
      <c r="B695" s="254" t="s">
        <v>1379</v>
      </c>
      <c r="C695" s="240" t="s">
        <v>16</v>
      </c>
      <c r="D695" s="242">
        <v>2</v>
      </c>
      <c r="E695" s="242">
        <v>0</v>
      </c>
      <c r="F695" s="242">
        <f t="shared" si="70"/>
        <v>2</v>
      </c>
      <c r="G695" s="243">
        <v>5972984</v>
      </c>
      <c r="H695" s="243">
        <f t="shared" si="71"/>
        <v>11945968</v>
      </c>
      <c r="I695" s="156"/>
    </row>
    <row r="696" spans="1:9" s="9" customFormat="1" ht="35.1" customHeight="1" x14ac:dyDescent="0.25">
      <c r="A696" s="255" t="s">
        <v>1380</v>
      </c>
      <c r="B696" s="254" t="s">
        <v>1381</v>
      </c>
      <c r="C696" s="240" t="s">
        <v>16</v>
      </c>
      <c r="D696" s="242">
        <v>2</v>
      </c>
      <c r="E696" s="242">
        <v>0</v>
      </c>
      <c r="F696" s="242">
        <f t="shared" si="70"/>
        <v>2</v>
      </c>
      <c r="G696" s="243">
        <v>5706725</v>
      </c>
      <c r="H696" s="243">
        <f t="shared" si="71"/>
        <v>11413450</v>
      </c>
      <c r="I696" s="156"/>
    </row>
    <row r="697" spans="1:9" s="9" customFormat="1" ht="35.1" customHeight="1" x14ac:dyDescent="0.25">
      <c r="A697" s="255" t="s">
        <v>1382</v>
      </c>
      <c r="B697" s="254" t="s">
        <v>1383</v>
      </c>
      <c r="C697" s="240" t="s">
        <v>16</v>
      </c>
      <c r="D697" s="242">
        <v>2</v>
      </c>
      <c r="E697" s="242">
        <v>0</v>
      </c>
      <c r="F697" s="242">
        <f t="shared" si="70"/>
        <v>2</v>
      </c>
      <c r="G697" s="243">
        <v>3775110</v>
      </c>
      <c r="H697" s="243">
        <f t="shared" si="71"/>
        <v>7550220</v>
      </c>
      <c r="I697" s="156"/>
    </row>
    <row r="698" spans="1:9" s="9" customFormat="1" ht="35.1" customHeight="1" x14ac:dyDescent="0.25">
      <c r="A698" s="255" t="s">
        <v>1384</v>
      </c>
      <c r="B698" s="254" t="s">
        <v>1385</v>
      </c>
      <c r="C698" s="240" t="s">
        <v>1182</v>
      </c>
      <c r="D698" s="242">
        <v>1</v>
      </c>
      <c r="E698" s="242">
        <v>0</v>
      </c>
      <c r="F698" s="242">
        <f t="shared" si="70"/>
        <v>1</v>
      </c>
      <c r="G698" s="243">
        <v>2929767</v>
      </c>
      <c r="H698" s="243">
        <f t="shared" si="71"/>
        <v>2929767</v>
      </c>
      <c r="I698" s="156"/>
    </row>
    <row r="699" spans="1:9" s="9" customFormat="1" ht="35.1" customHeight="1" x14ac:dyDescent="0.25">
      <c r="A699" s="244" t="s">
        <v>994</v>
      </c>
      <c r="B699" s="245" t="s">
        <v>995</v>
      </c>
      <c r="C699" s="260"/>
      <c r="D699" s="246"/>
      <c r="E699" s="246"/>
      <c r="F699" s="246"/>
      <c r="G699" s="303">
        <v>0</v>
      </c>
      <c r="H699" s="246"/>
      <c r="I699" s="156"/>
    </row>
    <row r="700" spans="1:9" s="9" customFormat="1" ht="35.1" customHeight="1" x14ac:dyDescent="0.25">
      <c r="A700" s="255" t="s">
        <v>996</v>
      </c>
      <c r="B700" s="254" t="s">
        <v>997</v>
      </c>
      <c r="C700" s="240" t="s">
        <v>16</v>
      </c>
      <c r="D700" s="242">
        <v>8</v>
      </c>
      <c r="E700" s="242">
        <v>3</v>
      </c>
      <c r="F700" s="242">
        <f t="shared" ref="F700:F710" si="72">+E700+D700</f>
        <v>11</v>
      </c>
      <c r="G700" s="243">
        <v>516030</v>
      </c>
      <c r="H700" s="243">
        <f t="shared" ref="H700:H710" si="73">ROUND(+G700*F700,2)</f>
        <v>5676330</v>
      </c>
      <c r="I700" s="156"/>
    </row>
    <row r="701" spans="1:9" s="9" customFormat="1" ht="35.1" customHeight="1" x14ac:dyDescent="0.25">
      <c r="A701" s="255" t="s">
        <v>998</v>
      </c>
      <c r="B701" s="87" t="s">
        <v>999</v>
      </c>
      <c r="C701" s="240" t="s">
        <v>16</v>
      </c>
      <c r="D701" s="242">
        <v>8</v>
      </c>
      <c r="E701" s="242">
        <v>3</v>
      </c>
      <c r="F701" s="242">
        <f t="shared" si="72"/>
        <v>11</v>
      </c>
      <c r="G701" s="243">
        <v>369280</v>
      </c>
      <c r="H701" s="243">
        <f t="shared" si="73"/>
        <v>4062080</v>
      </c>
      <c r="I701" s="156"/>
    </row>
    <row r="702" spans="1:9" s="9" customFormat="1" ht="35.1" customHeight="1" x14ac:dyDescent="0.25">
      <c r="A702" s="255" t="s">
        <v>1000</v>
      </c>
      <c r="B702" s="254" t="s">
        <v>1001</v>
      </c>
      <c r="C702" s="240" t="s">
        <v>16</v>
      </c>
      <c r="D702" s="242">
        <v>96</v>
      </c>
      <c r="E702" s="242">
        <v>46</v>
      </c>
      <c r="F702" s="242">
        <f t="shared" si="72"/>
        <v>142</v>
      </c>
      <c r="G702" s="243">
        <v>415391</v>
      </c>
      <c r="H702" s="243">
        <f t="shared" si="73"/>
        <v>58985522</v>
      </c>
      <c r="I702" s="156"/>
    </row>
    <row r="703" spans="1:9" s="9" customFormat="1" ht="35.1" customHeight="1" x14ac:dyDescent="0.25">
      <c r="A703" s="255" t="s">
        <v>1002</v>
      </c>
      <c r="B703" s="87" t="s">
        <v>1003</v>
      </c>
      <c r="C703" s="240" t="s">
        <v>16</v>
      </c>
      <c r="D703" s="242">
        <v>6</v>
      </c>
      <c r="E703" s="242">
        <v>2</v>
      </c>
      <c r="F703" s="242">
        <f t="shared" si="72"/>
        <v>8</v>
      </c>
      <c r="G703" s="243">
        <v>389042</v>
      </c>
      <c r="H703" s="243">
        <f t="shared" si="73"/>
        <v>3112336</v>
      </c>
      <c r="I703" s="156"/>
    </row>
    <row r="704" spans="1:9" s="9" customFormat="1" ht="35.1" customHeight="1" x14ac:dyDescent="0.25">
      <c r="A704" s="255" t="s">
        <v>1004</v>
      </c>
      <c r="B704" s="254" t="s">
        <v>1005</v>
      </c>
      <c r="C704" s="240" t="s">
        <v>16</v>
      </c>
      <c r="D704" s="242">
        <v>5</v>
      </c>
      <c r="E704" s="242">
        <v>2</v>
      </c>
      <c r="F704" s="242">
        <f t="shared" si="72"/>
        <v>7</v>
      </c>
      <c r="G704" s="243">
        <v>410689</v>
      </c>
      <c r="H704" s="243">
        <f t="shared" si="73"/>
        <v>2874823</v>
      </c>
      <c r="I704" s="156"/>
    </row>
    <row r="705" spans="1:9" s="9" customFormat="1" ht="35.1" customHeight="1" x14ac:dyDescent="0.25">
      <c r="A705" s="255" t="s">
        <v>1006</v>
      </c>
      <c r="B705" s="254" t="s">
        <v>1007</v>
      </c>
      <c r="C705" s="240" t="s">
        <v>16</v>
      </c>
      <c r="D705" s="242">
        <v>1</v>
      </c>
      <c r="E705" s="242">
        <v>1</v>
      </c>
      <c r="F705" s="242">
        <f t="shared" si="72"/>
        <v>2</v>
      </c>
      <c r="G705" s="243">
        <v>8625691</v>
      </c>
      <c r="H705" s="243">
        <f t="shared" si="73"/>
        <v>17251382</v>
      </c>
      <c r="I705" s="156"/>
    </row>
    <row r="706" spans="1:9" s="9" customFormat="1" ht="35.1" customHeight="1" x14ac:dyDescent="0.25">
      <c r="A706" s="255" t="s">
        <v>1008</v>
      </c>
      <c r="B706" s="254" t="s">
        <v>1009</v>
      </c>
      <c r="C706" s="240" t="s">
        <v>94</v>
      </c>
      <c r="D706" s="242">
        <v>1277</v>
      </c>
      <c r="E706" s="242">
        <v>496</v>
      </c>
      <c r="F706" s="242">
        <f t="shared" si="72"/>
        <v>1773</v>
      </c>
      <c r="G706" s="243">
        <v>5401</v>
      </c>
      <c r="H706" s="243">
        <f t="shared" si="73"/>
        <v>9575973</v>
      </c>
      <c r="I706" s="156"/>
    </row>
    <row r="707" spans="1:9" s="9" customFormat="1" ht="35.1" customHeight="1" x14ac:dyDescent="0.25">
      <c r="A707" s="255" t="s">
        <v>1010</v>
      </c>
      <c r="B707" s="254" t="s">
        <v>968</v>
      </c>
      <c r="C707" s="240" t="s">
        <v>94</v>
      </c>
      <c r="D707" s="242">
        <v>854</v>
      </c>
      <c r="E707" s="242">
        <v>456</v>
      </c>
      <c r="F707" s="242">
        <f t="shared" si="72"/>
        <v>1310</v>
      </c>
      <c r="G707" s="243">
        <v>16448</v>
      </c>
      <c r="H707" s="243">
        <f t="shared" si="73"/>
        <v>21546880</v>
      </c>
      <c r="I707" s="156"/>
    </row>
    <row r="708" spans="1:9" s="9" customFormat="1" ht="35.1" customHeight="1" x14ac:dyDescent="0.25">
      <c r="A708" s="255" t="s">
        <v>1011</v>
      </c>
      <c r="B708" s="254" t="s">
        <v>972</v>
      </c>
      <c r="C708" s="240" t="s">
        <v>94</v>
      </c>
      <c r="D708" s="242">
        <v>15</v>
      </c>
      <c r="E708" s="242">
        <v>7</v>
      </c>
      <c r="F708" s="242">
        <f t="shared" si="72"/>
        <v>22</v>
      </c>
      <c r="G708" s="243">
        <v>4876</v>
      </c>
      <c r="H708" s="243">
        <f t="shared" si="73"/>
        <v>107272</v>
      </c>
      <c r="I708" s="156"/>
    </row>
    <row r="709" spans="1:9" s="9" customFormat="1" ht="35.1" customHeight="1" x14ac:dyDescent="0.25">
      <c r="A709" s="255" t="s">
        <v>1012</v>
      </c>
      <c r="B709" s="254" t="s">
        <v>976</v>
      </c>
      <c r="C709" s="240" t="s">
        <v>16</v>
      </c>
      <c r="D709" s="242">
        <v>23</v>
      </c>
      <c r="E709" s="242">
        <v>9</v>
      </c>
      <c r="F709" s="242">
        <f t="shared" si="72"/>
        <v>32</v>
      </c>
      <c r="G709" s="243">
        <v>13258</v>
      </c>
      <c r="H709" s="243">
        <f t="shared" si="73"/>
        <v>424256</v>
      </c>
      <c r="I709" s="156"/>
    </row>
    <row r="710" spans="1:9" s="9" customFormat="1" ht="35.1" hidden="1" customHeight="1" x14ac:dyDescent="0.25">
      <c r="A710" s="255" t="s">
        <v>1386</v>
      </c>
      <c r="B710" s="254" t="s">
        <v>1385</v>
      </c>
      <c r="C710" s="240" t="s">
        <v>1182</v>
      </c>
      <c r="D710" s="242">
        <v>0</v>
      </c>
      <c r="E710" s="242">
        <v>0</v>
      </c>
      <c r="F710" s="242">
        <f t="shared" si="72"/>
        <v>0</v>
      </c>
      <c r="G710" s="243">
        <v>2929767</v>
      </c>
      <c r="H710" s="243">
        <f t="shared" si="73"/>
        <v>0</v>
      </c>
      <c r="I710" s="156"/>
    </row>
    <row r="711" spans="1:9" s="9" customFormat="1" ht="35.1" customHeight="1" x14ac:dyDescent="0.25">
      <c r="A711" s="244" t="s">
        <v>1387</v>
      </c>
      <c r="B711" s="245" t="s">
        <v>1388</v>
      </c>
      <c r="C711" s="260"/>
      <c r="D711" s="246"/>
      <c r="E711" s="246"/>
      <c r="F711" s="246"/>
      <c r="G711" s="303">
        <v>0</v>
      </c>
      <c r="H711" s="246"/>
      <c r="I711" s="156"/>
    </row>
    <row r="712" spans="1:9" s="9" customFormat="1" ht="35.1" customHeight="1" x14ac:dyDescent="0.25">
      <c r="A712" s="255" t="s">
        <v>1389</v>
      </c>
      <c r="B712" s="254" t="s">
        <v>1390</v>
      </c>
      <c r="C712" s="240" t="s">
        <v>16</v>
      </c>
      <c r="D712" s="242">
        <v>64</v>
      </c>
      <c r="E712" s="242">
        <v>0</v>
      </c>
      <c r="F712" s="242">
        <f t="shared" ref="F712:F719" si="74">+E712+D712</f>
        <v>64</v>
      </c>
      <c r="G712" s="243">
        <v>395390</v>
      </c>
      <c r="H712" s="243">
        <f t="shared" ref="H712:H729" si="75">ROUND(+G712*F712,2)</f>
        <v>25304960</v>
      </c>
      <c r="I712" s="156"/>
    </row>
    <row r="713" spans="1:9" s="9" customFormat="1" ht="35.1" customHeight="1" x14ac:dyDescent="0.25">
      <c r="A713" s="255" t="s">
        <v>1391</v>
      </c>
      <c r="B713" s="254" t="s">
        <v>1392</v>
      </c>
      <c r="C713" s="240" t="s">
        <v>16</v>
      </c>
      <c r="D713" s="242">
        <v>2</v>
      </c>
      <c r="E713" s="242">
        <v>0</v>
      </c>
      <c r="F713" s="242">
        <f t="shared" si="74"/>
        <v>2</v>
      </c>
      <c r="G713" s="243">
        <v>9159410</v>
      </c>
      <c r="H713" s="243">
        <f t="shared" si="75"/>
        <v>18318820</v>
      </c>
      <c r="I713" s="156"/>
    </row>
    <row r="714" spans="1:9" s="9" customFormat="1" ht="35.1" customHeight="1" x14ac:dyDescent="0.25">
      <c r="A714" s="255" t="s">
        <v>1393</v>
      </c>
      <c r="B714" s="254" t="s">
        <v>1394</v>
      </c>
      <c r="C714" s="240" t="s">
        <v>16</v>
      </c>
      <c r="D714" s="242">
        <v>2</v>
      </c>
      <c r="E714" s="242">
        <v>0</v>
      </c>
      <c r="F714" s="242">
        <f t="shared" si="74"/>
        <v>2</v>
      </c>
      <c r="G714" s="243">
        <v>16963534</v>
      </c>
      <c r="H714" s="243">
        <f t="shared" si="75"/>
        <v>33927068</v>
      </c>
      <c r="I714" s="156"/>
    </row>
    <row r="715" spans="1:9" s="9" customFormat="1" ht="35.1" customHeight="1" x14ac:dyDescent="0.25">
      <c r="A715" s="255" t="s">
        <v>1395</v>
      </c>
      <c r="B715" s="254" t="s">
        <v>1396</v>
      </c>
      <c r="C715" s="240" t="s">
        <v>16</v>
      </c>
      <c r="D715" s="242">
        <v>2</v>
      </c>
      <c r="E715" s="242">
        <v>0</v>
      </c>
      <c r="F715" s="242">
        <f t="shared" si="74"/>
        <v>2</v>
      </c>
      <c r="G715" s="243">
        <v>1683524</v>
      </c>
      <c r="H715" s="243">
        <f t="shared" si="75"/>
        <v>3367048</v>
      </c>
      <c r="I715" s="156"/>
    </row>
    <row r="716" spans="1:9" s="9" customFormat="1" ht="35.1" customHeight="1" x14ac:dyDescent="0.25">
      <c r="A716" s="255" t="s">
        <v>1397</v>
      </c>
      <c r="B716" s="254" t="s">
        <v>968</v>
      </c>
      <c r="C716" s="240" t="s">
        <v>94</v>
      </c>
      <c r="D716" s="242">
        <v>159</v>
      </c>
      <c r="E716" s="242">
        <v>0</v>
      </c>
      <c r="F716" s="242">
        <f t="shared" si="74"/>
        <v>159</v>
      </c>
      <c r="G716" s="243">
        <v>16448</v>
      </c>
      <c r="H716" s="243">
        <f t="shared" si="75"/>
        <v>2615232</v>
      </c>
      <c r="I716" s="156"/>
    </row>
    <row r="717" spans="1:9" s="9" customFormat="1" ht="35.1" customHeight="1" x14ac:dyDescent="0.25">
      <c r="A717" s="255" t="s">
        <v>1398</v>
      </c>
      <c r="B717" s="254" t="s">
        <v>976</v>
      </c>
      <c r="C717" s="240" t="s">
        <v>16</v>
      </c>
      <c r="D717" s="242">
        <v>4</v>
      </c>
      <c r="E717" s="242">
        <v>0</v>
      </c>
      <c r="F717" s="242">
        <f t="shared" si="74"/>
        <v>4</v>
      </c>
      <c r="G717" s="243">
        <v>13258</v>
      </c>
      <c r="H717" s="243">
        <f t="shared" si="75"/>
        <v>53032</v>
      </c>
      <c r="I717" s="156"/>
    </row>
    <row r="718" spans="1:9" s="9" customFormat="1" ht="35.1" customHeight="1" x14ac:dyDescent="0.25">
      <c r="A718" s="255" t="s">
        <v>1399</v>
      </c>
      <c r="B718" s="254" t="s">
        <v>1400</v>
      </c>
      <c r="C718" s="255" t="s">
        <v>94</v>
      </c>
      <c r="D718" s="242">
        <v>2380</v>
      </c>
      <c r="E718" s="242">
        <v>0</v>
      </c>
      <c r="F718" s="242">
        <f t="shared" si="74"/>
        <v>2380</v>
      </c>
      <c r="G718" s="243">
        <v>8630</v>
      </c>
      <c r="H718" s="243">
        <f t="shared" si="75"/>
        <v>20539400</v>
      </c>
      <c r="I718" s="156"/>
    </row>
    <row r="719" spans="1:9" s="9" customFormat="1" ht="35.1" customHeight="1" x14ac:dyDescent="0.25">
      <c r="A719" s="255" t="s">
        <v>1401</v>
      </c>
      <c r="B719" s="254" t="s">
        <v>1385</v>
      </c>
      <c r="C719" s="240" t="s">
        <v>1182</v>
      </c>
      <c r="D719" s="242">
        <v>1</v>
      </c>
      <c r="E719" s="242">
        <v>0</v>
      </c>
      <c r="F719" s="242">
        <f t="shared" si="74"/>
        <v>1</v>
      </c>
      <c r="G719" s="243">
        <v>2929767</v>
      </c>
      <c r="H719" s="243">
        <f t="shared" si="75"/>
        <v>2929767</v>
      </c>
      <c r="I719" s="156"/>
    </row>
    <row r="720" spans="1:9" s="9" customFormat="1" ht="35.1" customHeight="1" x14ac:dyDescent="0.25">
      <c r="A720" s="266">
        <v>20</v>
      </c>
      <c r="B720" s="267" t="s">
        <v>1013</v>
      </c>
      <c r="C720" s="267"/>
      <c r="D720" s="268"/>
      <c r="E720" s="268"/>
      <c r="F720" s="268"/>
      <c r="G720" s="306"/>
      <c r="H720" s="268"/>
      <c r="I720" s="156"/>
    </row>
    <row r="721" spans="1:10" s="9" customFormat="1" ht="35.1" customHeight="1" x14ac:dyDescent="0.25">
      <c r="A721" s="255">
        <v>20.100000000000001</v>
      </c>
      <c r="B721" s="254" t="s">
        <v>1015</v>
      </c>
      <c r="C721" s="240" t="s">
        <v>13</v>
      </c>
      <c r="D721" s="242">
        <v>0</v>
      </c>
      <c r="E721" s="242">
        <v>600</v>
      </c>
      <c r="F721" s="242">
        <f>+E721+D721</f>
        <v>600</v>
      </c>
      <c r="G721" s="243">
        <v>23602</v>
      </c>
      <c r="H721" s="243">
        <f t="shared" si="75"/>
        <v>14161200</v>
      </c>
      <c r="I721" s="156"/>
    </row>
    <row r="722" spans="1:10" s="9" customFormat="1" ht="35.1" customHeight="1" x14ac:dyDescent="0.25">
      <c r="A722" s="255">
        <v>20.2</v>
      </c>
      <c r="B722" s="254" t="s">
        <v>1017</v>
      </c>
      <c r="C722" s="240" t="s">
        <v>13</v>
      </c>
      <c r="D722" s="242">
        <v>0</v>
      </c>
      <c r="E722" s="242">
        <v>600</v>
      </c>
      <c r="F722" s="242">
        <f t="shared" ref="F722:F729" si="76">+E722+D722</f>
        <v>600</v>
      </c>
      <c r="G722" s="243">
        <v>20123</v>
      </c>
      <c r="H722" s="243">
        <f t="shared" si="75"/>
        <v>12073800</v>
      </c>
      <c r="I722" s="156"/>
    </row>
    <row r="723" spans="1:10" s="9" customFormat="1" ht="35.1" customHeight="1" x14ac:dyDescent="0.25">
      <c r="A723" s="255">
        <v>20.3</v>
      </c>
      <c r="B723" s="254" t="s">
        <v>1019</v>
      </c>
      <c r="C723" s="240" t="s">
        <v>94</v>
      </c>
      <c r="D723" s="242">
        <v>0</v>
      </c>
      <c r="E723" s="242">
        <v>1500</v>
      </c>
      <c r="F723" s="242">
        <f t="shared" si="76"/>
        <v>1500</v>
      </c>
      <c r="G723" s="243">
        <v>7269</v>
      </c>
      <c r="H723" s="243">
        <f t="shared" si="75"/>
        <v>10903500</v>
      </c>
      <c r="I723" s="156"/>
    </row>
    <row r="724" spans="1:10" s="9" customFormat="1" ht="35.1" customHeight="1" x14ac:dyDescent="0.25">
      <c r="A724" s="255">
        <v>20.399999999999999</v>
      </c>
      <c r="B724" s="254" t="s">
        <v>1021</v>
      </c>
      <c r="C724" s="240" t="s">
        <v>13</v>
      </c>
      <c r="D724" s="242">
        <v>0</v>
      </c>
      <c r="E724" s="242">
        <v>100</v>
      </c>
      <c r="F724" s="242">
        <f t="shared" si="76"/>
        <v>100</v>
      </c>
      <c r="G724" s="243">
        <v>153417</v>
      </c>
      <c r="H724" s="243">
        <f t="shared" si="75"/>
        <v>15341700</v>
      </c>
      <c r="I724" s="156"/>
    </row>
    <row r="725" spans="1:10" s="9" customFormat="1" ht="35.1" customHeight="1" x14ac:dyDescent="0.25">
      <c r="A725" s="255">
        <v>20.5</v>
      </c>
      <c r="B725" s="254" t="s">
        <v>1023</v>
      </c>
      <c r="C725" s="240" t="s">
        <v>55</v>
      </c>
      <c r="D725" s="242">
        <v>0</v>
      </c>
      <c r="E725" s="242">
        <v>1072.0999999999999</v>
      </c>
      <c r="F725" s="242">
        <f t="shared" si="76"/>
        <v>1072.0999999999999</v>
      </c>
      <c r="G725" s="243">
        <v>12766</v>
      </c>
      <c r="H725" s="243">
        <f t="shared" si="75"/>
        <v>13686428.6</v>
      </c>
      <c r="I725" s="156"/>
    </row>
    <row r="726" spans="1:10" s="9" customFormat="1" ht="35.1" customHeight="1" x14ac:dyDescent="0.25">
      <c r="A726" s="255">
        <v>20.6</v>
      </c>
      <c r="B726" s="254" t="s">
        <v>1025</v>
      </c>
      <c r="C726" s="240" t="s">
        <v>16</v>
      </c>
      <c r="D726" s="242">
        <v>0</v>
      </c>
      <c r="E726" s="242">
        <v>793</v>
      </c>
      <c r="F726" s="242">
        <f t="shared" si="76"/>
        <v>793</v>
      </c>
      <c r="G726" s="243">
        <v>16726</v>
      </c>
      <c r="H726" s="243">
        <f t="shared" si="75"/>
        <v>13263718</v>
      </c>
      <c r="I726" s="156"/>
    </row>
    <row r="727" spans="1:10" s="9" customFormat="1" ht="35.1" customHeight="1" x14ac:dyDescent="0.25">
      <c r="A727" s="255">
        <v>20.7</v>
      </c>
      <c r="B727" s="254" t="s">
        <v>1027</v>
      </c>
      <c r="C727" s="240" t="s">
        <v>13</v>
      </c>
      <c r="D727" s="242">
        <v>0</v>
      </c>
      <c r="E727" s="242">
        <v>40</v>
      </c>
      <c r="F727" s="242">
        <f t="shared" si="76"/>
        <v>40</v>
      </c>
      <c r="G727" s="243">
        <v>106605</v>
      </c>
      <c r="H727" s="243">
        <f t="shared" si="75"/>
        <v>4264200</v>
      </c>
      <c r="I727" s="156"/>
    </row>
    <row r="728" spans="1:10" s="9" customFormat="1" ht="35.1" customHeight="1" x14ac:dyDescent="0.25">
      <c r="A728" s="255">
        <v>20.8</v>
      </c>
      <c r="B728" s="254" t="s">
        <v>1029</v>
      </c>
      <c r="C728" s="240" t="s">
        <v>13</v>
      </c>
      <c r="D728" s="242">
        <v>0</v>
      </c>
      <c r="E728" s="242">
        <v>1316</v>
      </c>
      <c r="F728" s="242">
        <f t="shared" si="76"/>
        <v>1316</v>
      </c>
      <c r="G728" s="243">
        <v>162722</v>
      </c>
      <c r="H728" s="243">
        <f t="shared" si="75"/>
        <v>214142152</v>
      </c>
      <c r="I728" s="156"/>
    </row>
    <row r="729" spans="1:10" s="9" customFormat="1" ht="35.1" customHeight="1" x14ac:dyDescent="0.25">
      <c r="A729" s="255">
        <v>20.9</v>
      </c>
      <c r="B729" s="254" t="s">
        <v>1031</v>
      </c>
      <c r="C729" s="240" t="s">
        <v>13</v>
      </c>
      <c r="D729" s="242">
        <v>0</v>
      </c>
      <c r="E729" s="242">
        <v>700</v>
      </c>
      <c r="F729" s="242">
        <f t="shared" si="76"/>
        <v>700</v>
      </c>
      <c r="G729" s="243">
        <v>36898</v>
      </c>
      <c r="H729" s="243">
        <f t="shared" si="75"/>
        <v>25828600</v>
      </c>
      <c r="I729" s="156"/>
    </row>
    <row r="730" spans="1:10" ht="15" x14ac:dyDescent="0.25">
      <c r="A730" s="428" t="s">
        <v>1032</v>
      </c>
      <c r="B730" s="429"/>
      <c r="C730" s="429"/>
      <c r="D730" s="429"/>
      <c r="E730" s="429"/>
      <c r="F730" s="429"/>
      <c r="G730" s="430"/>
      <c r="H730" s="65">
        <f>SUM(H5:H729)</f>
        <v>12875905779.550003</v>
      </c>
      <c r="I730" s="157"/>
      <c r="J730" s="1"/>
    </row>
    <row r="731" spans="1:10" x14ac:dyDescent="0.25">
      <c r="A731" s="425" t="s">
        <v>1034</v>
      </c>
      <c r="B731" s="425"/>
      <c r="C731" s="425"/>
      <c r="D731" s="425"/>
      <c r="E731" s="219"/>
      <c r="F731" s="219"/>
      <c r="G731" s="137">
        <v>0.1852</v>
      </c>
      <c r="H731" s="66">
        <f>ROUND(G731*H730,2)</f>
        <v>2384617750.3699999</v>
      </c>
      <c r="I731" s="157"/>
    </row>
    <row r="732" spans="1:10" x14ac:dyDescent="0.25">
      <c r="A732" s="425" t="s">
        <v>1035</v>
      </c>
      <c r="B732" s="425"/>
      <c r="C732" s="425"/>
      <c r="D732" s="425"/>
      <c r="E732" s="219"/>
      <c r="F732" s="219"/>
      <c r="G732" s="137">
        <v>0.01</v>
      </c>
      <c r="H732" s="66">
        <f>ROUND(G732*H730,2)</f>
        <v>128759057.8</v>
      </c>
      <c r="I732" s="157"/>
    </row>
    <row r="733" spans="1:10" x14ac:dyDescent="0.25">
      <c r="A733" s="425" t="s">
        <v>1036</v>
      </c>
      <c r="B733" s="425"/>
      <c r="C733" s="425"/>
      <c r="D733" s="425"/>
      <c r="E733" s="219"/>
      <c r="F733" s="219"/>
      <c r="G733" s="137">
        <v>0.05</v>
      </c>
      <c r="H733" s="66">
        <f>ROUND(G733*H730,2)</f>
        <v>643795288.98000002</v>
      </c>
    </row>
    <row r="734" spans="1:10" ht="15" x14ac:dyDescent="0.25">
      <c r="A734" s="431" t="s">
        <v>1033</v>
      </c>
      <c r="B734" s="432"/>
      <c r="C734" s="432"/>
      <c r="D734" s="432"/>
      <c r="E734" s="432"/>
      <c r="F734" s="432"/>
      <c r="G734" s="433"/>
      <c r="H734" s="67">
        <f>ROUND(H731+H732+H733,2)</f>
        <v>3157172097.1500001</v>
      </c>
    </row>
    <row r="735" spans="1:10" x14ac:dyDescent="0.25">
      <c r="A735" s="425" t="s">
        <v>1038</v>
      </c>
      <c r="B735" s="425"/>
      <c r="C735" s="425"/>
      <c r="D735" s="425"/>
      <c r="E735" s="219"/>
      <c r="F735" s="219"/>
      <c r="G735" s="137">
        <v>0.19</v>
      </c>
      <c r="H735" s="66">
        <f>ROUND(G735*H733,2)</f>
        <v>122321104.91</v>
      </c>
    </row>
    <row r="736" spans="1:10" x14ac:dyDescent="0.25">
      <c r="A736" s="426" t="s">
        <v>1039</v>
      </c>
      <c r="B736" s="426"/>
      <c r="C736" s="426"/>
      <c r="D736" s="426"/>
      <c r="E736" s="220"/>
      <c r="F736" s="220"/>
      <c r="G736" s="311"/>
      <c r="H736" s="65">
        <f>ROUND(H730+H734+H735,2)</f>
        <v>16155398981.610001</v>
      </c>
    </row>
    <row r="737" spans="1:8" ht="34.15" customHeight="1" x14ac:dyDescent="0.25">
      <c r="A737" s="425" t="s">
        <v>1418</v>
      </c>
      <c r="B737" s="425"/>
      <c r="C737" s="425"/>
      <c r="D737" s="425"/>
      <c r="E737" s="219"/>
      <c r="F737" s="434" t="s">
        <v>1419</v>
      </c>
      <c r="G737" s="435"/>
      <c r="H737" s="66">
        <v>32694791</v>
      </c>
    </row>
    <row r="738" spans="1:8" ht="20.45" customHeight="1" x14ac:dyDescent="0.25">
      <c r="A738" s="426" t="s">
        <v>1420</v>
      </c>
      <c r="B738" s="426"/>
      <c r="C738" s="426"/>
      <c r="D738" s="426"/>
      <c r="E738" s="220"/>
      <c r="F738" s="220"/>
      <c r="G738" s="311"/>
      <c r="H738" s="65">
        <f>+H737+H736</f>
        <v>16188093772.610001</v>
      </c>
    </row>
    <row r="739" spans="1:8" x14ac:dyDescent="0.25">
      <c r="D739" s="215"/>
      <c r="E739" s="215"/>
      <c r="F739" s="215"/>
    </row>
    <row r="740" spans="1:8" x14ac:dyDescent="0.25">
      <c r="D740" s="215"/>
      <c r="E740" s="215"/>
      <c r="F740" s="215"/>
    </row>
  </sheetData>
  <mergeCells count="11">
    <mergeCell ref="A734:G734"/>
    <mergeCell ref="A1:H2"/>
    <mergeCell ref="A730:G730"/>
    <mergeCell ref="A731:D731"/>
    <mergeCell ref="A732:D732"/>
    <mergeCell ref="A733:D733"/>
    <mergeCell ref="A735:D735"/>
    <mergeCell ref="A736:D736"/>
    <mergeCell ref="A737:D737"/>
    <mergeCell ref="F737:G737"/>
    <mergeCell ref="A738:D738"/>
  </mergeCells>
  <conditionalFormatting sqref="H1:H3 H735:H736 H5:H8 H10:H11 H13:H14 H17:H20 H22:H25 H138 H140:H141 H143:H147 H149:H152 H154 H157:H160 H162:H168 H170:H175 H177:H182 H185:H188 H190:H196 H198:H203 H205:H210 H212:H219 H221 H224 H226:H227 H229 H232:H234 H236:H237 H239 H241:H245 H247:H250 H252:H257 H259 H262:H290 H312:H319 H321:H334 H336:H339 H341:H343 H346:H358 H360:H374 H377:H392 H394:H398 H400:H403 H406:H411 H413:H414 H416:H425 H427:H429 H431:H446 H448:H449 H451:H457 H459 H461:H463 H465:H469 H471:H475 H477:H478 H480:H489 H491:H502 H504 H506:H510 H513:H521 H524:H538 H540:H547 H549:H556 H558:H594 H596:H601 H603:H616 H618:H622 H624:H634 H637:H640 H642 H644:H649 H651:H653 H655:H657 H659:H670 H672:H675 H677:H678 H681:H687 H689:H698 H700:H710 H712:H719 H730:H733 H27 H29:H30 H33:H34 H36:H38 H40:H44 H46:H47 H49:H51 H54:H55 H57:H58 H60:H61 H63:H66 H69:H75 H77:H78 H80:H85 H87:H92 H94:H99 H101:H106 H108:H110 H113:H115 H117:H118 H120:H124 H126:H128 H130:H132 H134:H135 H292:H310">
    <cfRule type="cellIs" dxfId="37" priority="11" operator="equal">
      <formula>0</formula>
    </cfRule>
  </conditionalFormatting>
  <conditionalFormatting sqref="H734">
    <cfRule type="cellIs" dxfId="36" priority="10" operator="equal">
      <formula>0</formula>
    </cfRule>
  </conditionalFormatting>
  <conditionalFormatting sqref="H721:H729">
    <cfRule type="cellIs" dxfId="35" priority="3" operator="equal">
      <formula>0</formula>
    </cfRule>
  </conditionalFormatting>
  <conditionalFormatting sqref="H738">
    <cfRule type="cellIs" dxfId="34" priority="2" operator="equal">
      <formula>0</formula>
    </cfRule>
  </conditionalFormatting>
  <conditionalFormatting sqref="H737">
    <cfRule type="cellIs" dxfId="33" priority="1" operator="equal">
      <formula>0</formula>
    </cfRule>
  </conditionalFormatting>
  <printOptions horizontalCentered="1"/>
  <pageMargins left="0.70866141732283472" right="0.70866141732283472" top="0.74803149606299213" bottom="0.74803149606299213" header="0.31496062992125984" footer="0.31496062992125984"/>
  <pageSetup scale="46" orientation="portrait" r:id="rId1"/>
  <rowBreaks count="1" manualBreakCount="1">
    <brk id="693"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734"/>
  <sheetViews>
    <sheetView view="pageBreakPreview" topLeftCell="A285" zoomScale="90" zoomScaleNormal="91" zoomScaleSheetLayoutView="90" workbookViewId="0">
      <selection activeCell="G444" sqref="G444"/>
    </sheetView>
  </sheetViews>
  <sheetFormatPr baseColWidth="10" defaultColWidth="11.42578125" defaultRowHeight="16.5" x14ac:dyDescent="0.25"/>
  <cols>
    <col min="1" max="1" width="9" style="215" customWidth="1"/>
    <col min="2" max="2" width="62" style="215" customWidth="1"/>
    <col min="3" max="3" width="10.28515625" style="215" customWidth="1"/>
    <col min="4" max="4" width="15.42578125" style="319" customWidth="1"/>
    <col min="5" max="5" width="18.42578125" style="234" customWidth="1"/>
    <col min="6" max="6" width="22.5703125" style="234" customWidth="1"/>
    <col min="7" max="7" width="17" customWidth="1"/>
  </cols>
  <sheetData>
    <row r="1" spans="1:11" ht="23.45" customHeight="1" x14ac:dyDescent="0.25">
      <c r="A1" s="436" t="s">
        <v>1417</v>
      </c>
      <c r="B1" s="437"/>
      <c r="C1" s="437"/>
      <c r="D1" s="437"/>
      <c r="E1" s="437"/>
      <c r="F1" s="438"/>
    </row>
    <row r="2" spans="1:11" ht="27" customHeight="1" x14ac:dyDescent="0.25">
      <c r="A2" s="2" t="s">
        <v>1</v>
      </c>
      <c r="B2" s="2" t="s">
        <v>2</v>
      </c>
      <c r="C2" s="2" t="s">
        <v>3</v>
      </c>
      <c r="D2" s="3" t="s">
        <v>1047</v>
      </c>
      <c r="E2" s="301" t="s">
        <v>5</v>
      </c>
      <c r="F2" s="2" t="s">
        <v>6</v>
      </c>
    </row>
    <row r="3" spans="1:11" s="9" customFormat="1" ht="35.1" customHeight="1" x14ac:dyDescent="0.25">
      <c r="A3" s="235" t="s">
        <v>9</v>
      </c>
      <c r="B3" s="236" t="s">
        <v>10</v>
      </c>
      <c r="C3" s="237"/>
      <c r="D3" s="238"/>
      <c r="E3" s="302"/>
      <c r="F3" s="238"/>
    </row>
    <row r="4" spans="1:11" s="9" customFormat="1" ht="35.1" customHeight="1" x14ac:dyDescent="0.25">
      <c r="A4" s="240" t="s">
        <v>11</v>
      </c>
      <c r="B4" s="241" t="s">
        <v>12</v>
      </c>
      <c r="C4" s="240" t="s">
        <v>13</v>
      </c>
      <c r="D4" s="295">
        <v>545</v>
      </c>
      <c r="E4" s="243">
        <v>27093</v>
      </c>
      <c r="F4" s="243">
        <f>ROUND(+E4*D4,2)</f>
        <v>14765685</v>
      </c>
      <c r="G4" s="9">
        <v>27093</v>
      </c>
      <c r="H4" s="9">
        <v>14765685</v>
      </c>
      <c r="I4" s="339">
        <f>+E4-G4</f>
        <v>0</v>
      </c>
      <c r="J4" s="339">
        <f>+H4-F4</f>
        <v>0</v>
      </c>
      <c r="K4" s="9">
        <f>IF(J4&gt;0,1,0)</f>
        <v>0</v>
      </c>
    </row>
    <row r="5" spans="1:11" s="9" customFormat="1" ht="35.1" customHeight="1" x14ac:dyDescent="0.25">
      <c r="A5" s="240" t="s">
        <v>1049</v>
      </c>
      <c r="B5" s="241" t="s">
        <v>1050</v>
      </c>
      <c r="C5" s="240" t="s">
        <v>13</v>
      </c>
      <c r="D5" s="295">
        <v>580</v>
      </c>
      <c r="E5" s="243">
        <v>3555</v>
      </c>
      <c r="F5" s="243">
        <f>ROUND(+E5*D5,2)</f>
        <v>2061900</v>
      </c>
      <c r="G5" s="9">
        <v>3555</v>
      </c>
      <c r="H5" s="9">
        <v>2061900</v>
      </c>
      <c r="I5" s="339">
        <f t="shared" ref="I5:I68" si="0">+E5-G5</f>
        <v>0</v>
      </c>
      <c r="J5" s="339">
        <f t="shared" ref="J5:J68" si="1">+H5-F5</f>
        <v>0</v>
      </c>
      <c r="K5" s="9">
        <f t="shared" ref="K5:K68" si="2">IF(J5&gt;0,1,0)</f>
        <v>0</v>
      </c>
    </row>
    <row r="6" spans="1:11" s="9" customFormat="1" ht="35.1" customHeight="1" x14ac:dyDescent="0.25">
      <c r="A6" s="240" t="s">
        <v>1051</v>
      </c>
      <c r="B6" s="241" t="s">
        <v>1052</v>
      </c>
      <c r="C6" s="240" t="s">
        <v>94</v>
      </c>
      <c r="D6" s="295">
        <v>40</v>
      </c>
      <c r="E6" s="243">
        <v>34420</v>
      </c>
      <c r="F6" s="243">
        <f>ROUND(+E6*D6,2)</f>
        <v>1376800</v>
      </c>
      <c r="G6" s="9">
        <v>34420</v>
      </c>
      <c r="H6" s="9">
        <v>1376800</v>
      </c>
      <c r="I6" s="339">
        <f t="shared" si="0"/>
        <v>0</v>
      </c>
      <c r="J6" s="339">
        <f t="shared" si="1"/>
        <v>0</v>
      </c>
      <c r="K6" s="9">
        <f t="shared" si="2"/>
        <v>0</v>
      </c>
    </row>
    <row r="7" spans="1:11" s="9" customFormat="1" ht="35.1" customHeight="1" x14ac:dyDescent="0.25">
      <c r="A7" s="240" t="s">
        <v>14</v>
      </c>
      <c r="B7" s="241" t="s">
        <v>15</v>
      </c>
      <c r="C7" s="240" t="s">
        <v>16</v>
      </c>
      <c r="D7" s="295">
        <v>8</v>
      </c>
      <c r="E7" s="243">
        <v>35951</v>
      </c>
      <c r="F7" s="243">
        <f>ROUND(+E7*D7,2)</f>
        <v>287608</v>
      </c>
      <c r="G7" s="9">
        <v>35951</v>
      </c>
      <c r="H7" s="9">
        <v>287608</v>
      </c>
      <c r="I7" s="339">
        <f t="shared" si="0"/>
        <v>0</v>
      </c>
      <c r="J7" s="339">
        <f t="shared" si="1"/>
        <v>0</v>
      </c>
      <c r="K7" s="9">
        <f t="shared" si="2"/>
        <v>0</v>
      </c>
    </row>
    <row r="8" spans="1:11" s="9" customFormat="1" ht="35.1" customHeight="1" x14ac:dyDescent="0.25">
      <c r="A8" s="244" t="s">
        <v>19</v>
      </c>
      <c r="B8" s="245" t="s">
        <v>20</v>
      </c>
      <c r="C8" s="244"/>
      <c r="D8" s="313"/>
      <c r="E8" s="303"/>
      <c r="F8" s="246"/>
      <c r="I8" s="339">
        <f t="shared" si="0"/>
        <v>0</v>
      </c>
      <c r="J8" s="339">
        <f t="shared" si="1"/>
        <v>0</v>
      </c>
      <c r="K8" s="9">
        <f t="shared" si="2"/>
        <v>0</v>
      </c>
    </row>
    <row r="9" spans="1:11" s="9" customFormat="1" ht="35.1" customHeight="1" x14ac:dyDescent="0.25">
      <c r="A9" s="240" t="s">
        <v>23</v>
      </c>
      <c r="B9" s="241" t="s">
        <v>1058</v>
      </c>
      <c r="C9" s="240" t="s">
        <v>13</v>
      </c>
      <c r="D9" s="295">
        <v>151</v>
      </c>
      <c r="E9" s="243">
        <v>13438</v>
      </c>
      <c r="F9" s="243">
        <f>ROUND(+E9*D9,2)</f>
        <v>2029138</v>
      </c>
      <c r="G9" s="9">
        <v>13438</v>
      </c>
      <c r="H9" s="9">
        <v>2029138</v>
      </c>
      <c r="I9" s="339">
        <f t="shared" si="0"/>
        <v>0</v>
      </c>
      <c r="J9" s="339">
        <f t="shared" si="1"/>
        <v>0</v>
      </c>
      <c r="K9" s="9">
        <f t="shared" si="2"/>
        <v>0</v>
      </c>
    </row>
    <row r="10" spans="1:11" s="9" customFormat="1" ht="35.1" customHeight="1" x14ac:dyDescent="0.25">
      <c r="A10" s="247">
        <v>2</v>
      </c>
      <c r="B10" s="248" t="s">
        <v>25</v>
      </c>
      <c r="C10" s="248"/>
      <c r="D10" s="314"/>
      <c r="E10" s="304"/>
      <c r="F10" s="249"/>
      <c r="I10" s="339">
        <f t="shared" si="0"/>
        <v>0</v>
      </c>
      <c r="J10" s="339">
        <f t="shared" si="1"/>
        <v>0</v>
      </c>
      <c r="K10" s="9">
        <f t="shared" si="2"/>
        <v>0</v>
      </c>
    </row>
    <row r="11" spans="1:11" s="9" customFormat="1" ht="35.1" customHeight="1" x14ac:dyDescent="0.25">
      <c r="A11" s="244" t="s">
        <v>26</v>
      </c>
      <c r="B11" s="245" t="s">
        <v>27</v>
      </c>
      <c r="C11" s="244"/>
      <c r="D11" s="313"/>
      <c r="E11" s="303"/>
      <c r="F11" s="246"/>
      <c r="I11" s="339">
        <f t="shared" si="0"/>
        <v>0</v>
      </c>
      <c r="J11" s="339">
        <f t="shared" si="1"/>
        <v>0</v>
      </c>
      <c r="K11" s="9">
        <f t="shared" si="2"/>
        <v>0</v>
      </c>
    </row>
    <row r="12" spans="1:11" s="9" customFormat="1" ht="35.1" customHeight="1" x14ac:dyDescent="0.25">
      <c r="A12" s="240" t="s">
        <v>28</v>
      </c>
      <c r="B12" s="241" t="s">
        <v>29</v>
      </c>
      <c r="C12" s="240" t="s">
        <v>30</v>
      </c>
      <c r="D12" s="295">
        <v>400</v>
      </c>
      <c r="E12" s="243">
        <v>32449</v>
      </c>
      <c r="F12" s="243">
        <f>ROUND(+E12*D12,2)</f>
        <v>12979600</v>
      </c>
      <c r="G12" s="9">
        <v>32449</v>
      </c>
      <c r="H12" s="9">
        <v>12979600</v>
      </c>
      <c r="I12" s="339">
        <f t="shared" si="0"/>
        <v>0</v>
      </c>
      <c r="J12" s="339">
        <f t="shared" si="1"/>
        <v>0</v>
      </c>
      <c r="K12" s="9">
        <f t="shared" si="2"/>
        <v>0</v>
      </c>
    </row>
    <row r="13" spans="1:11" s="9" customFormat="1" ht="35.1" customHeight="1" x14ac:dyDescent="0.25">
      <c r="A13" s="240" t="s">
        <v>31</v>
      </c>
      <c r="B13" s="241" t="s">
        <v>32</v>
      </c>
      <c r="C13" s="240" t="s">
        <v>30</v>
      </c>
      <c r="D13" s="295">
        <v>357.39549999999997</v>
      </c>
      <c r="E13" s="243">
        <v>40990</v>
      </c>
      <c r="F13" s="243">
        <f>ROUND(+E13*D13,2)</f>
        <v>14649641.550000001</v>
      </c>
      <c r="G13" s="9">
        <v>40990</v>
      </c>
      <c r="H13" s="9">
        <v>14649826</v>
      </c>
      <c r="I13" s="339">
        <f t="shared" si="0"/>
        <v>0</v>
      </c>
      <c r="J13" s="339">
        <f t="shared" si="1"/>
        <v>184.44999999925494</v>
      </c>
      <c r="K13" s="9">
        <f t="shared" si="2"/>
        <v>1</v>
      </c>
    </row>
    <row r="14" spans="1:11" s="9" customFormat="1" ht="35.1" customHeight="1" x14ac:dyDescent="0.25">
      <c r="A14" s="240" t="s">
        <v>33</v>
      </c>
      <c r="B14" s="251" t="s">
        <v>34</v>
      </c>
      <c r="C14" s="240" t="s">
        <v>30</v>
      </c>
      <c r="D14" s="295">
        <v>580.17768000000001</v>
      </c>
      <c r="E14" s="243">
        <v>12819</v>
      </c>
      <c r="F14" s="243">
        <f>ROUND(+E14*D14,2)</f>
        <v>7437297.6799999997</v>
      </c>
      <c r="G14" s="9">
        <v>12819</v>
      </c>
      <c r="H14" s="9">
        <v>7437327.4199999999</v>
      </c>
      <c r="I14" s="339">
        <f t="shared" si="0"/>
        <v>0</v>
      </c>
      <c r="J14" s="339">
        <f t="shared" si="1"/>
        <v>29.740000000223517</v>
      </c>
      <c r="K14" s="9">
        <f t="shared" si="2"/>
        <v>1</v>
      </c>
    </row>
    <row r="15" spans="1:11" s="9" customFormat="1" ht="35.1" customHeight="1" x14ac:dyDescent="0.25">
      <c r="A15" s="240" t="s">
        <v>35</v>
      </c>
      <c r="B15" s="241" t="s">
        <v>36</v>
      </c>
      <c r="C15" s="240" t="s">
        <v>30</v>
      </c>
      <c r="D15" s="295">
        <v>193.02500000000003</v>
      </c>
      <c r="E15" s="243">
        <v>64537</v>
      </c>
      <c r="F15" s="243">
        <f>ROUND(+E15*D15,2)</f>
        <v>12457254.43</v>
      </c>
      <c r="G15" s="9">
        <v>64537</v>
      </c>
      <c r="H15" s="9">
        <v>12457577.109999999</v>
      </c>
      <c r="I15" s="339">
        <f t="shared" si="0"/>
        <v>0</v>
      </c>
      <c r="J15" s="339">
        <f t="shared" si="1"/>
        <v>322.67999999970198</v>
      </c>
      <c r="K15" s="9">
        <f t="shared" si="2"/>
        <v>1</v>
      </c>
    </row>
    <row r="16" spans="1:11" s="9" customFormat="1" ht="35.1" customHeight="1" x14ac:dyDescent="0.25">
      <c r="A16" s="244" t="s">
        <v>37</v>
      </c>
      <c r="B16" s="245" t="s">
        <v>38</v>
      </c>
      <c r="C16" s="244"/>
      <c r="D16" s="313"/>
      <c r="E16" s="252"/>
      <c r="F16" s="246"/>
      <c r="I16" s="339">
        <f t="shared" si="0"/>
        <v>0</v>
      </c>
      <c r="J16" s="339">
        <f t="shared" si="1"/>
        <v>0</v>
      </c>
      <c r="K16" s="9">
        <f t="shared" si="2"/>
        <v>0</v>
      </c>
    </row>
    <row r="17" spans="1:11" s="9" customFormat="1" ht="35.1" customHeight="1" x14ac:dyDescent="0.25">
      <c r="A17" s="253" t="s">
        <v>39</v>
      </c>
      <c r="B17" s="254" t="s">
        <v>40</v>
      </c>
      <c r="C17" s="255" t="s">
        <v>13</v>
      </c>
      <c r="D17" s="295">
        <v>1183.633</v>
      </c>
      <c r="E17" s="243">
        <v>26091</v>
      </c>
      <c r="F17" s="243">
        <f>ROUND(+E17*D17,2)</f>
        <v>30882168.600000001</v>
      </c>
      <c r="G17" s="9">
        <v>26091</v>
      </c>
      <c r="H17" s="9">
        <v>30882090.329999998</v>
      </c>
      <c r="I17" s="339">
        <f t="shared" si="0"/>
        <v>0</v>
      </c>
      <c r="J17" s="339">
        <f t="shared" si="1"/>
        <v>-78.270000003278255</v>
      </c>
      <c r="K17" s="9">
        <f t="shared" si="2"/>
        <v>0</v>
      </c>
    </row>
    <row r="18" spans="1:11" s="9" customFormat="1" ht="35.1" customHeight="1" x14ac:dyDescent="0.25">
      <c r="A18" s="253" t="s">
        <v>41</v>
      </c>
      <c r="B18" s="241" t="s">
        <v>42</v>
      </c>
      <c r="C18" s="240" t="s">
        <v>30</v>
      </c>
      <c r="D18" s="295">
        <v>82.47999999999999</v>
      </c>
      <c r="E18" s="243">
        <v>705830</v>
      </c>
      <c r="F18" s="243">
        <f>ROUND(+E18*D18,2)</f>
        <v>58216858.399999999</v>
      </c>
      <c r="G18" s="9">
        <v>705830</v>
      </c>
      <c r="H18" s="9">
        <v>58216858.399999999</v>
      </c>
      <c r="I18" s="339">
        <f t="shared" si="0"/>
        <v>0</v>
      </c>
      <c r="J18" s="339">
        <f t="shared" si="1"/>
        <v>0</v>
      </c>
      <c r="K18" s="9">
        <f t="shared" si="2"/>
        <v>0</v>
      </c>
    </row>
    <row r="19" spans="1:11" s="9" customFormat="1" ht="35.1" customHeight="1" x14ac:dyDescent="0.25">
      <c r="A19" s="253" t="s">
        <v>43</v>
      </c>
      <c r="B19" s="241" t="s">
        <v>44</v>
      </c>
      <c r="C19" s="240" t="s">
        <v>30</v>
      </c>
      <c r="D19" s="295">
        <v>81.539999999999992</v>
      </c>
      <c r="E19" s="243">
        <v>705830</v>
      </c>
      <c r="F19" s="243">
        <f>ROUND(+E19*D19,2)</f>
        <v>57553378.200000003</v>
      </c>
      <c r="G19" s="9">
        <v>705830</v>
      </c>
      <c r="H19" s="9">
        <v>57553378.200000003</v>
      </c>
      <c r="I19" s="339">
        <f t="shared" si="0"/>
        <v>0</v>
      </c>
      <c r="J19" s="339">
        <f t="shared" si="1"/>
        <v>0</v>
      </c>
      <c r="K19" s="9">
        <f t="shared" si="2"/>
        <v>0</v>
      </c>
    </row>
    <row r="20" spans="1:11" s="9" customFormat="1" ht="35.1" customHeight="1" x14ac:dyDescent="0.25">
      <c r="A20" s="253" t="s">
        <v>45</v>
      </c>
      <c r="B20" s="241" t="s">
        <v>46</v>
      </c>
      <c r="C20" s="240" t="s">
        <v>30</v>
      </c>
      <c r="D20" s="295">
        <v>47.93</v>
      </c>
      <c r="E20" s="243">
        <v>815298</v>
      </c>
      <c r="F20" s="243">
        <f>ROUND(+E20*D20,2)</f>
        <v>39077233.140000001</v>
      </c>
      <c r="G20" s="9">
        <v>815298</v>
      </c>
      <c r="H20" s="9">
        <v>39077233.140000001</v>
      </c>
      <c r="I20" s="339">
        <f t="shared" si="0"/>
        <v>0</v>
      </c>
      <c r="J20" s="339">
        <f t="shared" si="1"/>
        <v>0</v>
      </c>
      <c r="K20" s="9">
        <f t="shared" si="2"/>
        <v>0</v>
      </c>
    </row>
    <row r="21" spans="1:11" s="9" customFormat="1" ht="35.1" customHeight="1" x14ac:dyDescent="0.25">
      <c r="A21" s="244" t="s">
        <v>47</v>
      </c>
      <c r="B21" s="245" t="s">
        <v>1059</v>
      </c>
      <c r="C21" s="244"/>
      <c r="D21" s="313"/>
      <c r="E21" s="303"/>
      <c r="F21" s="246"/>
      <c r="I21" s="339">
        <f t="shared" si="0"/>
        <v>0</v>
      </c>
      <c r="J21" s="339">
        <f t="shared" si="1"/>
        <v>0</v>
      </c>
      <c r="K21" s="9">
        <f t="shared" si="2"/>
        <v>0</v>
      </c>
    </row>
    <row r="22" spans="1:11" s="9" customFormat="1" ht="35.1" customHeight="1" x14ac:dyDescent="0.25">
      <c r="A22" s="255" t="s">
        <v>49</v>
      </c>
      <c r="B22" s="241" t="s">
        <v>50</v>
      </c>
      <c r="C22" s="240" t="s">
        <v>30</v>
      </c>
      <c r="D22" s="295">
        <v>64.319999999999993</v>
      </c>
      <c r="E22" s="243">
        <v>842176</v>
      </c>
      <c r="F22" s="243">
        <f>ROUND(+E22*D22,2)</f>
        <v>54168760.32</v>
      </c>
      <c r="G22" s="9">
        <v>842176</v>
      </c>
      <c r="H22" s="9">
        <v>54168760.32</v>
      </c>
      <c r="I22" s="339">
        <f t="shared" si="0"/>
        <v>0</v>
      </c>
      <c r="J22" s="339">
        <f t="shared" si="1"/>
        <v>0</v>
      </c>
      <c r="K22" s="9">
        <f t="shared" si="2"/>
        <v>0</v>
      </c>
    </row>
    <row r="23" spans="1:11" s="9" customFormat="1" ht="35.1" customHeight="1" x14ac:dyDescent="0.25">
      <c r="A23" s="244" t="s">
        <v>51</v>
      </c>
      <c r="B23" s="256" t="s">
        <v>52</v>
      </c>
      <c r="C23" s="256"/>
      <c r="D23" s="313"/>
      <c r="E23" s="303"/>
      <c r="F23" s="246"/>
      <c r="I23" s="339">
        <f t="shared" si="0"/>
        <v>0</v>
      </c>
      <c r="J23" s="339">
        <f t="shared" si="1"/>
        <v>0</v>
      </c>
      <c r="K23" s="9">
        <f t="shared" si="2"/>
        <v>0</v>
      </c>
    </row>
    <row r="24" spans="1:11" s="9" customFormat="1" ht="35.1" customHeight="1" x14ac:dyDescent="0.25">
      <c r="A24" s="240" t="s">
        <v>53</v>
      </c>
      <c r="B24" s="241" t="s">
        <v>54</v>
      </c>
      <c r="C24" s="240" t="s">
        <v>55</v>
      </c>
      <c r="D24" s="295">
        <v>24851.949999999997</v>
      </c>
      <c r="E24" s="243">
        <v>5221</v>
      </c>
      <c r="F24" s="243">
        <f>ROUND(+E24*D24,2)</f>
        <v>129752030.95</v>
      </c>
      <c r="G24" s="9">
        <v>5221</v>
      </c>
      <c r="H24" s="9">
        <v>129752030.95</v>
      </c>
      <c r="I24" s="339">
        <f t="shared" si="0"/>
        <v>0</v>
      </c>
      <c r="J24" s="339">
        <f t="shared" si="1"/>
        <v>0</v>
      </c>
      <c r="K24" s="9">
        <f t="shared" si="2"/>
        <v>0</v>
      </c>
    </row>
    <row r="25" spans="1:11" s="9" customFormat="1" ht="35.1" customHeight="1" x14ac:dyDescent="0.25">
      <c r="A25" s="253" t="s">
        <v>56</v>
      </c>
      <c r="B25" s="241" t="s">
        <v>57</v>
      </c>
      <c r="C25" s="240" t="s">
        <v>13</v>
      </c>
      <c r="D25" s="295">
        <v>2113.6</v>
      </c>
      <c r="E25" s="243">
        <v>7898</v>
      </c>
      <c r="F25" s="243">
        <f>ROUND(+E25*D25,2)</f>
        <v>16693212.800000001</v>
      </c>
      <c r="G25" s="9">
        <v>7898</v>
      </c>
      <c r="H25" s="9">
        <v>16693212.800000001</v>
      </c>
      <c r="I25" s="339">
        <f t="shared" si="0"/>
        <v>0</v>
      </c>
      <c r="J25" s="339">
        <f t="shared" si="1"/>
        <v>0</v>
      </c>
      <c r="K25" s="9">
        <f t="shared" si="2"/>
        <v>0</v>
      </c>
    </row>
    <row r="26" spans="1:11" s="9" customFormat="1" ht="35.1" customHeight="1" x14ac:dyDescent="0.25">
      <c r="A26" s="247">
        <v>3</v>
      </c>
      <c r="B26" s="248" t="s">
        <v>58</v>
      </c>
      <c r="C26" s="248"/>
      <c r="D26" s="314"/>
      <c r="E26" s="305"/>
      <c r="F26" s="249"/>
      <c r="I26" s="339">
        <f t="shared" si="0"/>
        <v>0</v>
      </c>
      <c r="J26" s="339">
        <f t="shared" si="1"/>
        <v>0</v>
      </c>
      <c r="K26" s="9">
        <f t="shared" si="2"/>
        <v>0</v>
      </c>
    </row>
    <row r="27" spans="1:11" s="9" customFormat="1" ht="35.1" customHeight="1" x14ac:dyDescent="0.25">
      <c r="A27" s="244" t="s">
        <v>59</v>
      </c>
      <c r="B27" s="245" t="s">
        <v>60</v>
      </c>
      <c r="C27" s="244"/>
      <c r="D27" s="313"/>
      <c r="E27" s="303"/>
      <c r="F27" s="246"/>
      <c r="I27" s="339">
        <f t="shared" si="0"/>
        <v>0</v>
      </c>
      <c r="J27" s="339">
        <f t="shared" si="1"/>
        <v>0</v>
      </c>
      <c r="K27" s="9">
        <f t="shared" si="2"/>
        <v>0</v>
      </c>
    </row>
    <row r="28" spans="1:11" s="9" customFormat="1" ht="35.1" customHeight="1" x14ac:dyDescent="0.25">
      <c r="A28" s="255" t="s">
        <v>61</v>
      </c>
      <c r="B28" s="241" t="s">
        <v>62</v>
      </c>
      <c r="C28" s="240" t="s">
        <v>30</v>
      </c>
      <c r="D28" s="295">
        <v>272.72000000000003</v>
      </c>
      <c r="E28" s="243">
        <v>831289</v>
      </c>
      <c r="F28" s="243">
        <f>ROUND(+E28*D28,2)</f>
        <v>226709136.08000001</v>
      </c>
      <c r="G28" s="9">
        <v>831289</v>
      </c>
      <c r="H28" s="9">
        <v>226709136.08000001</v>
      </c>
      <c r="I28" s="339">
        <f t="shared" si="0"/>
        <v>0</v>
      </c>
      <c r="J28" s="339">
        <f t="shared" si="1"/>
        <v>0</v>
      </c>
      <c r="K28" s="9">
        <f t="shared" si="2"/>
        <v>0</v>
      </c>
    </row>
    <row r="29" spans="1:11" s="9" customFormat="1" ht="35.1" customHeight="1" x14ac:dyDescent="0.25">
      <c r="A29" s="255" t="s">
        <v>63</v>
      </c>
      <c r="B29" s="241" t="s">
        <v>64</v>
      </c>
      <c r="C29" s="240" t="s">
        <v>30</v>
      </c>
      <c r="D29" s="295">
        <v>168.20999999999998</v>
      </c>
      <c r="E29" s="243">
        <v>831289</v>
      </c>
      <c r="F29" s="243">
        <f>ROUND(+E29*D29,2)</f>
        <v>139831122.69</v>
      </c>
      <c r="G29" s="9">
        <v>831289</v>
      </c>
      <c r="H29" s="9">
        <v>139831122.69</v>
      </c>
      <c r="I29" s="339">
        <f t="shared" si="0"/>
        <v>0</v>
      </c>
      <c r="J29" s="339">
        <f t="shared" si="1"/>
        <v>0</v>
      </c>
      <c r="K29" s="9">
        <f t="shared" si="2"/>
        <v>0</v>
      </c>
    </row>
    <row r="30" spans="1:11" s="9" customFormat="1" ht="35.1" customHeight="1" x14ac:dyDescent="0.25">
      <c r="A30" s="244" t="s">
        <v>65</v>
      </c>
      <c r="B30" s="245" t="s">
        <v>66</v>
      </c>
      <c r="C30" s="244"/>
      <c r="D30" s="313"/>
      <c r="E30" s="303"/>
      <c r="F30" s="246"/>
      <c r="I30" s="339">
        <f t="shared" si="0"/>
        <v>0</v>
      </c>
      <c r="J30" s="339">
        <f t="shared" si="1"/>
        <v>0</v>
      </c>
      <c r="K30" s="9">
        <f t="shared" si="2"/>
        <v>0</v>
      </c>
    </row>
    <row r="31" spans="1:11" s="9" customFormat="1" ht="35.1" customHeight="1" x14ac:dyDescent="0.25">
      <c r="A31" s="253" t="s">
        <v>67</v>
      </c>
      <c r="B31" s="241" t="s">
        <v>1060</v>
      </c>
      <c r="C31" s="255" t="s">
        <v>30</v>
      </c>
      <c r="D31" s="295">
        <v>2128.8200000000002</v>
      </c>
      <c r="E31" s="243">
        <v>928877</v>
      </c>
      <c r="F31" s="243">
        <f>ROUND(+E31*D31,2)</f>
        <v>1977411935.1400001</v>
      </c>
      <c r="G31" s="9">
        <v>928877</v>
      </c>
      <c r="H31" s="9">
        <v>1977411935.1400001</v>
      </c>
      <c r="I31" s="339">
        <f t="shared" si="0"/>
        <v>0</v>
      </c>
      <c r="J31" s="339">
        <f t="shared" si="1"/>
        <v>0</v>
      </c>
      <c r="K31" s="9">
        <f t="shared" si="2"/>
        <v>0</v>
      </c>
    </row>
    <row r="32" spans="1:11" s="9" customFormat="1" ht="35.1" customHeight="1" x14ac:dyDescent="0.25">
      <c r="A32" s="253" t="s">
        <v>69</v>
      </c>
      <c r="B32" s="241" t="s">
        <v>70</v>
      </c>
      <c r="C32" s="255" t="s">
        <v>13</v>
      </c>
      <c r="D32" s="295">
        <v>1816.6</v>
      </c>
      <c r="E32" s="243">
        <v>100365</v>
      </c>
      <c r="F32" s="243">
        <f>ROUND(+E32*D32,2)</f>
        <v>182323059</v>
      </c>
      <c r="G32" s="9">
        <v>100365</v>
      </c>
      <c r="H32" s="9">
        <v>182323059</v>
      </c>
      <c r="I32" s="339">
        <f t="shared" si="0"/>
        <v>0</v>
      </c>
      <c r="J32" s="339">
        <f t="shared" si="1"/>
        <v>0</v>
      </c>
      <c r="K32" s="9">
        <f t="shared" si="2"/>
        <v>0</v>
      </c>
    </row>
    <row r="33" spans="1:11" s="9" customFormat="1" ht="35.1" customHeight="1" x14ac:dyDescent="0.25">
      <c r="A33" s="253" t="s">
        <v>71</v>
      </c>
      <c r="B33" s="241" t="s">
        <v>72</v>
      </c>
      <c r="C33" s="255" t="s">
        <v>30</v>
      </c>
      <c r="D33" s="295">
        <v>8.9</v>
      </c>
      <c r="E33" s="243">
        <v>809579</v>
      </c>
      <c r="F33" s="243">
        <f>ROUND(+E33*D33,2)</f>
        <v>7205253.0999999996</v>
      </c>
      <c r="G33" s="9">
        <v>809579</v>
      </c>
      <c r="H33" s="9">
        <v>7205253.0999999996</v>
      </c>
      <c r="I33" s="339">
        <f t="shared" si="0"/>
        <v>0</v>
      </c>
      <c r="J33" s="339">
        <f t="shared" si="1"/>
        <v>0</v>
      </c>
      <c r="K33" s="9">
        <f t="shared" si="2"/>
        <v>0</v>
      </c>
    </row>
    <row r="34" spans="1:11" s="9" customFormat="1" ht="35.1" customHeight="1" x14ac:dyDescent="0.25">
      <c r="A34" s="244" t="s">
        <v>73</v>
      </c>
      <c r="B34" s="245" t="s">
        <v>74</v>
      </c>
      <c r="C34" s="244"/>
      <c r="D34" s="313"/>
      <c r="E34" s="303"/>
      <c r="F34" s="246"/>
      <c r="I34" s="339">
        <f t="shared" si="0"/>
        <v>0</v>
      </c>
      <c r="J34" s="339">
        <f t="shared" si="1"/>
        <v>0</v>
      </c>
      <c r="K34" s="9">
        <f t="shared" si="2"/>
        <v>0</v>
      </c>
    </row>
    <row r="35" spans="1:11" s="9" customFormat="1" ht="35.1" customHeight="1" x14ac:dyDescent="0.25">
      <c r="A35" s="253" t="s">
        <v>75</v>
      </c>
      <c r="B35" s="241" t="s">
        <v>76</v>
      </c>
      <c r="C35" s="255" t="s">
        <v>30</v>
      </c>
      <c r="D35" s="295">
        <v>84.3</v>
      </c>
      <c r="E35" s="243">
        <v>815298</v>
      </c>
      <c r="F35" s="243">
        <f>ROUND(+E35*D35,2)</f>
        <v>68729621.400000006</v>
      </c>
      <c r="G35" s="9">
        <v>815298</v>
      </c>
      <c r="H35" s="9">
        <v>68729621.400000006</v>
      </c>
      <c r="I35" s="339">
        <f t="shared" si="0"/>
        <v>0</v>
      </c>
      <c r="J35" s="339">
        <f t="shared" si="1"/>
        <v>0</v>
      </c>
      <c r="K35" s="9">
        <f t="shared" si="2"/>
        <v>0</v>
      </c>
    </row>
    <row r="36" spans="1:11" s="9" customFormat="1" ht="35.1" customHeight="1" x14ac:dyDescent="0.25">
      <c r="A36" s="253" t="s">
        <v>77</v>
      </c>
      <c r="B36" s="241" t="s">
        <v>78</v>
      </c>
      <c r="C36" s="255" t="s">
        <v>30</v>
      </c>
      <c r="D36" s="295">
        <v>124.9</v>
      </c>
      <c r="E36" s="243">
        <v>786314</v>
      </c>
      <c r="F36" s="243">
        <f>ROUND(+E36*D36,2)</f>
        <v>98210618.599999994</v>
      </c>
      <c r="G36" s="9">
        <v>786314</v>
      </c>
      <c r="H36" s="9">
        <v>98210618.599999994</v>
      </c>
      <c r="I36" s="339">
        <f t="shared" si="0"/>
        <v>0</v>
      </c>
      <c r="J36" s="339">
        <f t="shared" si="1"/>
        <v>0</v>
      </c>
      <c r="K36" s="9">
        <f t="shared" si="2"/>
        <v>0</v>
      </c>
    </row>
    <row r="37" spans="1:11" s="9" customFormat="1" ht="35.1" customHeight="1" x14ac:dyDescent="0.25">
      <c r="A37" s="253" t="s">
        <v>79</v>
      </c>
      <c r="B37" s="241" t="s">
        <v>80</v>
      </c>
      <c r="C37" s="240" t="s">
        <v>30</v>
      </c>
      <c r="D37" s="295">
        <v>34.700000000000003</v>
      </c>
      <c r="E37" s="243">
        <v>933848</v>
      </c>
      <c r="F37" s="243">
        <f>ROUND(+E37*D37,2)</f>
        <v>32404525.600000001</v>
      </c>
      <c r="G37" s="9">
        <v>933848</v>
      </c>
      <c r="H37" s="9">
        <v>32404525.600000001</v>
      </c>
      <c r="I37" s="339">
        <f t="shared" si="0"/>
        <v>0</v>
      </c>
      <c r="J37" s="339">
        <f t="shared" si="1"/>
        <v>0</v>
      </c>
      <c r="K37" s="9">
        <f t="shared" si="2"/>
        <v>0</v>
      </c>
    </row>
    <row r="38" spans="1:11" s="9" customFormat="1" ht="35.1" customHeight="1" x14ac:dyDescent="0.25">
      <c r="A38" s="253" t="s">
        <v>81</v>
      </c>
      <c r="B38" s="241" t="s">
        <v>82</v>
      </c>
      <c r="C38" s="240" t="s">
        <v>30</v>
      </c>
      <c r="D38" s="295">
        <v>19</v>
      </c>
      <c r="E38" s="243">
        <v>933848</v>
      </c>
      <c r="F38" s="243">
        <f>ROUND(+E38*D38,2)</f>
        <v>17743112</v>
      </c>
      <c r="G38" s="9">
        <v>933848</v>
      </c>
      <c r="H38" s="9">
        <v>17743112</v>
      </c>
      <c r="I38" s="339">
        <f t="shared" si="0"/>
        <v>0</v>
      </c>
      <c r="J38" s="339">
        <f t="shared" si="1"/>
        <v>0</v>
      </c>
      <c r="K38" s="9">
        <f t="shared" si="2"/>
        <v>0</v>
      </c>
    </row>
    <row r="39" spans="1:11" s="9" customFormat="1" ht="35.1" customHeight="1" x14ac:dyDescent="0.25">
      <c r="A39" s="253" t="s">
        <v>83</v>
      </c>
      <c r="B39" s="241" t="s">
        <v>84</v>
      </c>
      <c r="C39" s="255" t="s">
        <v>30</v>
      </c>
      <c r="D39" s="295">
        <v>72</v>
      </c>
      <c r="E39" s="243">
        <v>873849</v>
      </c>
      <c r="F39" s="243">
        <f>ROUND(+E39*D39,2)</f>
        <v>62917128</v>
      </c>
      <c r="G39" s="9">
        <v>873849</v>
      </c>
      <c r="H39" s="9">
        <v>62917128</v>
      </c>
      <c r="I39" s="339">
        <f t="shared" si="0"/>
        <v>0</v>
      </c>
      <c r="J39" s="339">
        <f t="shared" si="1"/>
        <v>0</v>
      </c>
      <c r="K39" s="9">
        <f t="shared" si="2"/>
        <v>0</v>
      </c>
    </row>
    <row r="40" spans="1:11" s="9" customFormat="1" ht="35.1" customHeight="1" x14ac:dyDescent="0.25">
      <c r="A40" s="244" t="s">
        <v>85</v>
      </c>
      <c r="B40" s="256" t="s">
        <v>86</v>
      </c>
      <c r="C40" s="256"/>
      <c r="D40" s="313"/>
      <c r="E40" s="303"/>
      <c r="F40" s="246"/>
      <c r="I40" s="339">
        <f t="shared" si="0"/>
        <v>0</v>
      </c>
      <c r="J40" s="339">
        <f t="shared" si="1"/>
        <v>0</v>
      </c>
      <c r="K40" s="9">
        <f t="shared" si="2"/>
        <v>0</v>
      </c>
    </row>
    <row r="41" spans="1:11" s="9" customFormat="1" ht="35.1" customHeight="1" x14ac:dyDescent="0.25">
      <c r="A41" s="240" t="s">
        <v>87</v>
      </c>
      <c r="B41" s="251" t="s">
        <v>54</v>
      </c>
      <c r="C41" s="240" t="s">
        <v>55</v>
      </c>
      <c r="D41" s="295">
        <v>218958.88000000003</v>
      </c>
      <c r="E41" s="243">
        <v>5221</v>
      </c>
      <c r="F41" s="243">
        <f>ROUND(+E41*D41,2)</f>
        <v>1143184312.48</v>
      </c>
      <c r="G41" s="9">
        <v>5221</v>
      </c>
      <c r="H41" s="9">
        <v>1143184312.48</v>
      </c>
      <c r="I41" s="339">
        <f t="shared" si="0"/>
        <v>0</v>
      </c>
      <c r="J41" s="339">
        <f t="shared" si="1"/>
        <v>0</v>
      </c>
      <c r="K41" s="9">
        <f t="shared" si="2"/>
        <v>0</v>
      </c>
    </row>
    <row r="42" spans="1:11" s="9" customFormat="1" ht="35.1" customHeight="1" x14ac:dyDescent="0.25">
      <c r="A42" s="253" t="s">
        <v>88</v>
      </c>
      <c r="B42" s="254" t="s">
        <v>89</v>
      </c>
      <c r="C42" s="240" t="s">
        <v>13</v>
      </c>
      <c r="D42" s="295">
        <v>7158.21</v>
      </c>
      <c r="E42" s="243">
        <v>7898</v>
      </c>
      <c r="F42" s="243">
        <f>ROUND(+E42*D42,2)</f>
        <v>56535542.579999998</v>
      </c>
      <c r="G42" s="9">
        <v>7898</v>
      </c>
      <c r="H42" s="9">
        <v>56535542.579999998</v>
      </c>
      <c r="I42" s="339">
        <f t="shared" si="0"/>
        <v>0</v>
      </c>
      <c r="J42" s="339">
        <f t="shared" si="1"/>
        <v>0</v>
      </c>
      <c r="K42" s="9">
        <f t="shared" si="2"/>
        <v>0</v>
      </c>
    </row>
    <row r="43" spans="1:11" s="9" customFormat="1" ht="35.1" customHeight="1" x14ac:dyDescent="0.25">
      <c r="A43" s="244" t="s">
        <v>90</v>
      </c>
      <c r="B43" s="256" t="s">
        <v>91</v>
      </c>
      <c r="C43" s="256"/>
      <c r="D43" s="313"/>
      <c r="E43" s="303"/>
      <c r="F43" s="246"/>
      <c r="I43" s="339">
        <f t="shared" si="0"/>
        <v>0</v>
      </c>
      <c r="J43" s="339">
        <f t="shared" si="1"/>
        <v>0</v>
      </c>
      <c r="K43" s="9">
        <f t="shared" si="2"/>
        <v>0</v>
      </c>
    </row>
    <row r="44" spans="1:11" s="9" customFormat="1" ht="35.1" customHeight="1" x14ac:dyDescent="0.25">
      <c r="A44" s="240" t="s">
        <v>92</v>
      </c>
      <c r="B44" s="251" t="s">
        <v>93</v>
      </c>
      <c r="C44" s="240" t="s">
        <v>94</v>
      </c>
      <c r="D44" s="295">
        <v>208.1</v>
      </c>
      <c r="E44" s="243">
        <v>112181</v>
      </c>
      <c r="F44" s="243">
        <f>ROUND(+E44*D44,2)</f>
        <v>23344866.100000001</v>
      </c>
      <c r="G44" s="9">
        <v>112181</v>
      </c>
      <c r="H44" s="9">
        <v>23344866.100000001</v>
      </c>
      <c r="I44" s="339">
        <f t="shared" si="0"/>
        <v>0</v>
      </c>
      <c r="J44" s="339">
        <f t="shared" si="1"/>
        <v>0</v>
      </c>
      <c r="K44" s="9">
        <f t="shared" si="2"/>
        <v>0</v>
      </c>
    </row>
    <row r="45" spans="1:11" s="9" customFormat="1" ht="35.1" customHeight="1" x14ac:dyDescent="0.25">
      <c r="A45" s="240" t="s">
        <v>95</v>
      </c>
      <c r="B45" s="251" t="s">
        <v>96</v>
      </c>
      <c r="C45" s="240" t="s">
        <v>94</v>
      </c>
      <c r="D45" s="295">
        <v>1268.5999999999999</v>
      </c>
      <c r="E45" s="243">
        <v>80260</v>
      </c>
      <c r="F45" s="243">
        <f>ROUND(+E45*D45,2)</f>
        <v>101817836</v>
      </c>
      <c r="G45" s="9">
        <v>80260</v>
      </c>
      <c r="H45" s="9">
        <v>101817836</v>
      </c>
      <c r="I45" s="339">
        <f t="shared" si="0"/>
        <v>0</v>
      </c>
      <c r="J45" s="339">
        <f t="shared" si="1"/>
        <v>0</v>
      </c>
      <c r="K45" s="9">
        <f t="shared" si="2"/>
        <v>0</v>
      </c>
    </row>
    <row r="46" spans="1:11" s="9" customFormat="1" ht="35.1" customHeight="1" x14ac:dyDescent="0.25">
      <c r="A46" s="240" t="s">
        <v>97</v>
      </c>
      <c r="B46" s="254" t="s">
        <v>98</v>
      </c>
      <c r="C46" s="255" t="s">
        <v>13</v>
      </c>
      <c r="D46" s="295">
        <v>996.5</v>
      </c>
      <c r="E46" s="243">
        <v>106122</v>
      </c>
      <c r="F46" s="243">
        <f>ROUND(+E46*D46,2)</f>
        <v>105750573</v>
      </c>
      <c r="G46" s="9">
        <v>106122</v>
      </c>
      <c r="H46" s="9">
        <v>105750573</v>
      </c>
      <c r="I46" s="339">
        <f t="shared" si="0"/>
        <v>0</v>
      </c>
      <c r="J46" s="339">
        <f t="shared" si="1"/>
        <v>0</v>
      </c>
      <c r="K46" s="9">
        <f t="shared" si="2"/>
        <v>0</v>
      </c>
    </row>
    <row r="47" spans="1:11" s="9" customFormat="1" ht="35.1" customHeight="1" x14ac:dyDescent="0.25">
      <c r="A47" s="247">
        <v>4</v>
      </c>
      <c r="B47" s="248" t="s">
        <v>99</v>
      </c>
      <c r="C47" s="248"/>
      <c r="D47" s="314"/>
      <c r="E47" s="305"/>
      <c r="F47" s="249"/>
      <c r="I47" s="339">
        <f t="shared" si="0"/>
        <v>0</v>
      </c>
      <c r="J47" s="339">
        <f t="shared" si="1"/>
        <v>0</v>
      </c>
      <c r="K47" s="9">
        <f t="shared" si="2"/>
        <v>0</v>
      </c>
    </row>
    <row r="48" spans="1:11" s="9" customFormat="1" ht="35.1" customHeight="1" x14ac:dyDescent="0.25">
      <c r="A48" s="244" t="s">
        <v>100</v>
      </c>
      <c r="B48" s="245" t="s">
        <v>101</v>
      </c>
      <c r="C48" s="260"/>
      <c r="D48" s="313"/>
      <c r="E48" s="303"/>
      <c r="F48" s="246"/>
      <c r="I48" s="339">
        <f t="shared" si="0"/>
        <v>0</v>
      </c>
      <c r="J48" s="339">
        <f t="shared" si="1"/>
        <v>0</v>
      </c>
      <c r="K48" s="9">
        <f t="shared" si="2"/>
        <v>0</v>
      </c>
    </row>
    <row r="49" spans="1:11" s="9" customFormat="1" ht="35.1" customHeight="1" x14ac:dyDescent="0.25">
      <c r="A49" s="255" t="s">
        <v>102</v>
      </c>
      <c r="B49" s="254" t="s">
        <v>1062</v>
      </c>
      <c r="C49" s="255" t="s">
        <v>13</v>
      </c>
      <c r="D49" s="295">
        <v>59.86</v>
      </c>
      <c r="E49" s="243">
        <v>54016</v>
      </c>
      <c r="F49" s="243">
        <f>ROUND(+E49*D49,2)</f>
        <v>3233397.76</v>
      </c>
      <c r="G49" s="9">
        <v>54016</v>
      </c>
      <c r="H49" s="9">
        <v>3233397.76</v>
      </c>
      <c r="I49" s="339">
        <f t="shared" si="0"/>
        <v>0</v>
      </c>
      <c r="J49" s="339">
        <f t="shared" si="1"/>
        <v>0</v>
      </c>
      <c r="K49" s="9">
        <f t="shared" si="2"/>
        <v>0</v>
      </c>
    </row>
    <row r="50" spans="1:11" s="9" customFormat="1" ht="35.1" customHeight="1" x14ac:dyDescent="0.25">
      <c r="A50" s="255" t="s">
        <v>104</v>
      </c>
      <c r="B50" s="254" t="s">
        <v>105</v>
      </c>
      <c r="C50" s="255" t="s">
        <v>13</v>
      </c>
      <c r="D50" s="295">
        <v>388.43</v>
      </c>
      <c r="E50" s="243">
        <v>54016</v>
      </c>
      <c r="F50" s="243">
        <f>ROUND(+E50*D50,2)</f>
        <v>20981434.879999999</v>
      </c>
      <c r="G50" s="9">
        <v>54016</v>
      </c>
      <c r="H50" s="9">
        <v>20981434.879999999</v>
      </c>
      <c r="I50" s="339">
        <f t="shared" si="0"/>
        <v>0</v>
      </c>
      <c r="J50" s="339">
        <f t="shared" si="1"/>
        <v>0</v>
      </c>
      <c r="K50" s="9">
        <f t="shared" si="2"/>
        <v>0</v>
      </c>
    </row>
    <row r="51" spans="1:11" s="9" customFormat="1" ht="35.1" customHeight="1" x14ac:dyDescent="0.25">
      <c r="A51" s="261" t="s">
        <v>1063</v>
      </c>
      <c r="B51" s="262" t="s">
        <v>1064</v>
      </c>
      <c r="C51" s="263"/>
      <c r="D51" s="315"/>
      <c r="E51" s="303"/>
      <c r="F51" s="246"/>
      <c r="I51" s="339">
        <f t="shared" si="0"/>
        <v>0</v>
      </c>
      <c r="J51" s="339">
        <f t="shared" si="1"/>
        <v>0</v>
      </c>
      <c r="K51" s="9">
        <f t="shared" si="2"/>
        <v>0</v>
      </c>
    </row>
    <row r="52" spans="1:11" s="9" customFormat="1" ht="49.15" customHeight="1" x14ac:dyDescent="0.25">
      <c r="A52" s="255" t="s">
        <v>1065</v>
      </c>
      <c r="B52" s="254" t="s">
        <v>103</v>
      </c>
      <c r="C52" s="255" t="s">
        <v>13</v>
      </c>
      <c r="D52" s="295">
        <v>68.989999999999995</v>
      </c>
      <c r="E52" s="243">
        <v>54016</v>
      </c>
      <c r="F52" s="243">
        <f>ROUND(+E52*D52,2)</f>
        <v>3726563.84</v>
      </c>
      <c r="G52" s="9">
        <v>54016</v>
      </c>
      <c r="H52" s="9">
        <v>3726563.84</v>
      </c>
      <c r="I52" s="339">
        <f t="shared" si="0"/>
        <v>0</v>
      </c>
      <c r="J52" s="339">
        <f t="shared" si="1"/>
        <v>0</v>
      </c>
      <c r="K52" s="9">
        <f t="shared" si="2"/>
        <v>0</v>
      </c>
    </row>
    <row r="53" spans="1:11" s="9" customFormat="1" ht="35.1" customHeight="1" x14ac:dyDescent="0.25">
      <c r="A53" s="255" t="s">
        <v>1066</v>
      </c>
      <c r="B53" s="254" t="s">
        <v>105</v>
      </c>
      <c r="C53" s="255" t="s">
        <v>13</v>
      </c>
      <c r="D53" s="295">
        <v>701.75</v>
      </c>
      <c r="E53" s="243">
        <v>54016</v>
      </c>
      <c r="F53" s="243">
        <f>ROUND(+E53*D53,2)</f>
        <v>37905728</v>
      </c>
      <c r="G53" s="9">
        <v>54016</v>
      </c>
      <c r="H53" s="9">
        <v>37905728</v>
      </c>
      <c r="I53" s="339">
        <f t="shared" si="0"/>
        <v>0</v>
      </c>
      <c r="J53" s="339">
        <f t="shared" si="1"/>
        <v>0</v>
      </c>
      <c r="K53" s="9">
        <f t="shared" si="2"/>
        <v>0</v>
      </c>
    </row>
    <row r="54" spans="1:11" s="9" customFormat="1" ht="35.1" customHeight="1" x14ac:dyDescent="0.25">
      <c r="A54" s="244" t="s">
        <v>1067</v>
      </c>
      <c r="B54" s="245" t="s">
        <v>1068</v>
      </c>
      <c r="C54" s="260"/>
      <c r="D54" s="313"/>
      <c r="E54" s="303"/>
      <c r="F54" s="246"/>
      <c r="I54" s="339">
        <f t="shared" si="0"/>
        <v>0</v>
      </c>
      <c r="J54" s="339">
        <f t="shared" si="1"/>
        <v>0</v>
      </c>
      <c r="K54" s="9">
        <f t="shared" si="2"/>
        <v>0</v>
      </c>
    </row>
    <row r="55" spans="1:11" s="9" customFormat="1" ht="46.15" customHeight="1" x14ac:dyDescent="0.25">
      <c r="A55" s="255" t="s">
        <v>1069</v>
      </c>
      <c r="B55" s="254" t="s">
        <v>103</v>
      </c>
      <c r="C55" s="255" t="s">
        <v>13</v>
      </c>
      <c r="D55" s="295">
        <v>68.989999999999995</v>
      </c>
      <c r="E55" s="243">
        <v>74748</v>
      </c>
      <c r="F55" s="243">
        <f>ROUND(+E55*D55,2)</f>
        <v>5156864.5199999996</v>
      </c>
      <c r="G55" s="9">
        <v>74748</v>
      </c>
      <c r="H55" s="9">
        <v>5156864.5199999996</v>
      </c>
      <c r="I55" s="339">
        <f t="shared" si="0"/>
        <v>0</v>
      </c>
      <c r="J55" s="339">
        <f t="shared" si="1"/>
        <v>0</v>
      </c>
      <c r="K55" s="9">
        <f t="shared" si="2"/>
        <v>0</v>
      </c>
    </row>
    <row r="56" spans="1:11" s="9" customFormat="1" ht="35.1" customHeight="1" x14ac:dyDescent="0.25">
      <c r="A56" s="255" t="s">
        <v>1070</v>
      </c>
      <c r="B56" s="254" t="s">
        <v>105</v>
      </c>
      <c r="C56" s="255" t="s">
        <v>13</v>
      </c>
      <c r="D56" s="295">
        <v>565.59</v>
      </c>
      <c r="E56" s="243">
        <v>70784</v>
      </c>
      <c r="F56" s="243">
        <f>ROUND(+E56*D56,2)</f>
        <v>40034722.560000002</v>
      </c>
      <c r="G56" s="9">
        <v>70784</v>
      </c>
      <c r="H56" s="9">
        <v>40034722.560000002</v>
      </c>
      <c r="I56" s="339">
        <f t="shared" si="0"/>
        <v>0</v>
      </c>
      <c r="J56" s="339">
        <f t="shared" si="1"/>
        <v>0</v>
      </c>
      <c r="K56" s="9">
        <f t="shared" si="2"/>
        <v>0</v>
      </c>
    </row>
    <row r="57" spans="1:11" s="9" customFormat="1" ht="35.1" customHeight="1" x14ac:dyDescent="0.25">
      <c r="A57" s="265" t="s">
        <v>1071</v>
      </c>
      <c r="B57" s="245" t="s">
        <v>1072</v>
      </c>
      <c r="C57" s="260"/>
      <c r="D57" s="313"/>
      <c r="E57" s="303"/>
      <c r="F57" s="246"/>
      <c r="I57" s="339">
        <f t="shared" si="0"/>
        <v>0</v>
      </c>
      <c r="J57" s="339">
        <f t="shared" si="1"/>
        <v>0</v>
      </c>
      <c r="K57" s="9">
        <f t="shared" si="2"/>
        <v>0</v>
      </c>
    </row>
    <row r="58" spans="1:11" s="9" customFormat="1" ht="50.45" customHeight="1" x14ac:dyDescent="0.25">
      <c r="A58" s="255" t="s">
        <v>1073</v>
      </c>
      <c r="B58" s="254" t="s">
        <v>103</v>
      </c>
      <c r="C58" s="255" t="s">
        <v>13</v>
      </c>
      <c r="D58" s="295">
        <v>51.89</v>
      </c>
      <c r="E58" s="243">
        <v>74748</v>
      </c>
      <c r="F58" s="243">
        <f>ROUND(+E58*D58,2)</f>
        <v>3878673.72</v>
      </c>
      <c r="G58" s="9">
        <v>74748</v>
      </c>
      <c r="H58" s="9">
        <v>3878673.72</v>
      </c>
      <c r="I58" s="339">
        <f t="shared" si="0"/>
        <v>0</v>
      </c>
      <c r="J58" s="339">
        <f t="shared" si="1"/>
        <v>0</v>
      </c>
      <c r="K58" s="9">
        <f t="shared" si="2"/>
        <v>0</v>
      </c>
    </row>
    <row r="59" spans="1:11" s="9" customFormat="1" ht="35.1" customHeight="1" x14ac:dyDescent="0.25">
      <c r="A59" s="255" t="s">
        <v>1074</v>
      </c>
      <c r="B59" s="254" t="s">
        <v>105</v>
      </c>
      <c r="C59" s="255" t="s">
        <v>13</v>
      </c>
      <c r="D59" s="295">
        <v>1250.28</v>
      </c>
      <c r="E59" s="243">
        <v>70784</v>
      </c>
      <c r="F59" s="243">
        <f>ROUND(+E59*D59,2)</f>
        <v>88499819.519999996</v>
      </c>
      <c r="G59" s="9">
        <v>70784</v>
      </c>
      <c r="H59" s="9">
        <v>88499819.519999996</v>
      </c>
      <c r="I59" s="339">
        <f t="shared" si="0"/>
        <v>0</v>
      </c>
      <c r="J59" s="339">
        <f t="shared" si="1"/>
        <v>0</v>
      </c>
      <c r="K59" s="9">
        <f t="shared" si="2"/>
        <v>0</v>
      </c>
    </row>
    <row r="60" spans="1:11" s="9" customFormat="1" ht="35.1" customHeight="1" x14ac:dyDescent="0.25">
      <c r="A60" s="255" t="s">
        <v>1075</v>
      </c>
      <c r="B60" s="254" t="s">
        <v>1076</v>
      </c>
      <c r="C60" s="255" t="s">
        <v>94</v>
      </c>
      <c r="D60" s="295">
        <v>250.05600000000001</v>
      </c>
      <c r="E60" s="243">
        <v>17969</v>
      </c>
      <c r="F60" s="243">
        <f>ROUND(+E60*D60,2)</f>
        <v>4493256.26</v>
      </c>
      <c r="G60" s="9">
        <v>17969</v>
      </c>
      <c r="H60" s="9">
        <v>4493328.1399999997</v>
      </c>
      <c r="I60" s="339">
        <f t="shared" si="0"/>
        <v>0</v>
      </c>
      <c r="J60" s="339">
        <f t="shared" si="1"/>
        <v>71.879999999888241</v>
      </c>
      <c r="K60" s="9">
        <f t="shared" si="2"/>
        <v>1</v>
      </c>
    </row>
    <row r="61" spans="1:11" s="9" customFormat="1" ht="35.1" customHeight="1" x14ac:dyDescent="0.25">
      <c r="A61" s="255" t="s">
        <v>1077</v>
      </c>
      <c r="B61" s="254" t="s">
        <v>1078</v>
      </c>
      <c r="C61" s="255" t="s">
        <v>13</v>
      </c>
      <c r="D61" s="295">
        <v>149.82</v>
      </c>
      <c r="E61" s="243">
        <v>49329</v>
      </c>
      <c r="F61" s="243">
        <f>ROUND(+E61*D61,2)</f>
        <v>7390470.7800000003</v>
      </c>
      <c r="G61" s="9">
        <v>49329</v>
      </c>
      <c r="H61" s="9">
        <v>7390470.7800000003</v>
      </c>
      <c r="I61" s="339">
        <f t="shared" si="0"/>
        <v>0</v>
      </c>
      <c r="J61" s="339">
        <f t="shared" si="1"/>
        <v>0</v>
      </c>
      <c r="K61" s="9">
        <f t="shared" si="2"/>
        <v>0</v>
      </c>
    </row>
    <row r="62" spans="1:11" s="9" customFormat="1" ht="35.1" customHeight="1" x14ac:dyDescent="0.25">
      <c r="A62" s="247">
        <v>5</v>
      </c>
      <c r="B62" s="248" t="s">
        <v>106</v>
      </c>
      <c r="C62" s="248"/>
      <c r="D62" s="314"/>
      <c r="E62" s="305"/>
      <c r="F62" s="249"/>
      <c r="I62" s="339">
        <f t="shared" si="0"/>
        <v>0</v>
      </c>
      <c r="J62" s="339">
        <f t="shared" si="1"/>
        <v>0</v>
      </c>
      <c r="K62" s="9">
        <f t="shared" si="2"/>
        <v>0</v>
      </c>
    </row>
    <row r="63" spans="1:11" s="9" customFormat="1" ht="35.1" customHeight="1" x14ac:dyDescent="0.25">
      <c r="A63" s="244" t="s">
        <v>107</v>
      </c>
      <c r="B63" s="256" t="s">
        <v>108</v>
      </c>
      <c r="C63" s="256"/>
      <c r="D63" s="313"/>
      <c r="E63" s="303"/>
      <c r="F63" s="246"/>
      <c r="I63" s="339">
        <f t="shared" si="0"/>
        <v>0</v>
      </c>
      <c r="J63" s="339">
        <f t="shared" si="1"/>
        <v>0</v>
      </c>
      <c r="K63" s="9">
        <f t="shared" si="2"/>
        <v>0</v>
      </c>
    </row>
    <row r="64" spans="1:11" s="9" customFormat="1" ht="35.1" customHeight="1" x14ac:dyDescent="0.25">
      <c r="A64" s="255" t="s">
        <v>109</v>
      </c>
      <c r="B64" s="241" t="s">
        <v>110</v>
      </c>
      <c r="C64" s="240" t="s">
        <v>30</v>
      </c>
      <c r="D64" s="295">
        <v>0.73</v>
      </c>
      <c r="E64" s="243">
        <v>842176</v>
      </c>
      <c r="F64" s="243">
        <f t="shared" ref="F64:F70" si="3">ROUND(+E64*D64,2)</f>
        <v>614788.48</v>
      </c>
      <c r="G64" s="9">
        <v>842176</v>
      </c>
      <c r="H64" s="9">
        <v>614788.48</v>
      </c>
      <c r="I64" s="339">
        <f t="shared" si="0"/>
        <v>0</v>
      </c>
      <c r="J64" s="339">
        <f t="shared" si="1"/>
        <v>0</v>
      </c>
      <c r="K64" s="9">
        <f t="shared" si="2"/>
        <v>0</v>
      </c>
    </row>
    <row r="65" spans="1:11" s="9" customFormat="1" ht="35.1" customHeight="1" x14ac:dyDescent="0.25">
      <c r="A65" s="255" t="s">
        <v>111</v>
      </c>
      <c r="B65" s="241" t="s">
        <v>112</v>
      </c>
      <c r="C65" s="240" t="s">
        <v>30</v>
      </c>
      <c r="D65" s="295">
        <v>22.66</v>
      </c>
      <c r="E65" s="243">
        <v>842176</v>
      </c>
      <c r="F65" s="243">
        <f t="shared" si="3"/>
        <v>19083708.16</v>
      </c>
      <c r="G65" s="9">
        <v>842176</v>
      </c>
      <c r="H65" s="9">
        <v>19083708.16</v>
      </c>
      <c r="I65" s="339">
        <f t="shared" si="0"/>
        <v>0</v>
      </c>
      <c r="J65" s="339">
        <f t="shared" si="1"/>
        <v>0</v>
      </c>
      <c r="K65" s="9">
        <f t="shared" si="2"/>
        <v>0</v>
      </c>
    </row>
    <row r="66" spans="1:11" s="9" customFormat="1" ht="35.1" customHeight="1" x14ac:dyDescent="0.25">
      <c r="A66" s="255" t="s">
        <v>113</v>
      </c>
      <c r="B66" s="241" t="s">
        <v>114</v>
      </c>
      <c r="C66" s="240" t="s">
        <v>30</v>
      </c>
      <c r="D66" s="295">
        <v>191.19499999999999</v>
      </c>
      <c r="E66" s="243">
        <v>842176</v>
      </c>
      <c r="F66" s="243">
        <f t="shared" si="3"/>
        <v>161019840.31999999</v>
      </c>
      <c r="G66" s="9">
        <v>842176</v>
      </c>
      <c r="H66" s="9">
        <v>161024051.19999999</v>
      </c>
      <c r="I66" s="339">
        <f t="shared" si="0"/>
        <v>0</v>
      </c>
      <c r="J66" s="339">
        <f t="shared" si="1"/>
        <v>4210.8799999952316</v>
      </c>
      <c r="K66" s="9">
        <f t="shared" si="2"/>
        <v>1</v>
      </c>
    </row>
    <row r="67" spans="1:11" s="9" customFormat="1" ht="35.1" customHeight="1" x14ac:dyDescent="0.25">
      <c r="A67" s="255" t="s">
        <v>115</v>
      </c>
      <c r="B67" s="241" t="s">
        <v>116</v>
      </c>
      <c r="C67" s="240" t="s">
        <v>30</v>
      </c>
      <c r="D67" s="295">
        <v>40.24</v>
      </c>
      <c r="E67" s="243">
        <v>842176</v>
      </c>
      <c r="F67" s="243">
        <f t="shared" si="3"/>
        <v>33889162.240000002</v>
      </c>
      <c r="G67" s="9">
        <v>842176</v>
      </c>
      <c r="H67" s="9">
        <v>33889162.240000002</v>
      </c>
      <c r="I67" s="339">
        <f t="shared" si="0"/>
        <v>0</v>
      </c>
      <c r="J67" s="339">
        <f t="shared" si="1"/>
        <v>0</v>
      </c>
      <c r="K67" s="9">
        <f t="shared" si="2"/>
        <v>0</v>
      </c>
    </row>
    <row r="68" spans="1:11" s="9" customFormat="1" ht="35.1" customHeight="1" x14ac:dyDescent="0.25">
      <c r="A68" s="255" t="s">
        <v>117</v>
      </c>
      <c r="B68" s="241" t="s">
        <v>118</v>
      </c>
      <c r="C68" s="240" t="s">
        <v>30</v>
      </c>
      <c r="D68" s="295">
        <v>160.97499999999999</v>
      </c>
      <c r="E68" s="243">
        <v>842176</v>
      </c>
      <c r="F68" s="243">
        <f t="shared" si="3"/>
        <v>135569281.59999999</v>
      </c>
      <c r="G68" s="9">
        <v>842176</v>
      </c>
      <c r="H68" s="9">
        <v>135573492.47999999</v>
      </c>
      <c r="I68" s="339">
        <f t="shared" si="0"/>
        <v>0</v>
      </c>
      <c r="J68" s="339">
        <f t="shared" si="1"/>
        <v>4210.8799999952316</v>
      </c>
      <c r="K68" s="9">
        <f t="shared" si="2"/>
        <v>1</v>
      </c>
    </row>
    <row r="69" spans="1:11" s="9" customFormat="1" ht="35.1" customHeight="1" x14ac:dyDescent="0.25">
      <c r="A69" s="255" t="s">
        <v>119</v>
      </c>
      <c r="B69" s="241" t="s">
        <v>120</v>
      </c>
      <c r="C69" s="240" t="s">
        <v>13</v>
      </c>
      <c r="D69" s="295">
        <v>159.38</v>
      </c>
      <c r="E69" s="243">
        <v>153751</v>
      </c>
      <c r="F69" s="243">
        <f t="shared" si="3"/>
        <v>24504834.379999999</v>
      </c>
      <c r="G69" s="9">
        <v>153751</v>
      </c>
      <c r="H69" s="9">
        <v>24504834.379999999</v>
      </c>
      <c r="I69" s="339">
        <f t="shared" ref="I69:I132" si="4">+E69-G69</f>
        <v>0</v>
      </c>
      <c r="J69" s="339">
        <f t="shared" ref="J69:J132" si="5">+H69-F69</f>
        <v>0</v>
      </c>
      <c r="K69" s="9">
        <f t="shared" ref="K69:K132" si="6">IF(J69&gt;0,1,0)</f>
        <v>0</v>
      </c>
    </row>
    <row r="70" spans="1:11" s="9" customFormat="1" ht="35.1" customHeight="1" x14ac:dyDescent="0.25">
      <c r="A70" s="255" t="s">
        <v>121</v>
      </c>
      <c r="B70" s="254" t="s">
        <v>122</v>
      </c>
      <c r="C70" s="255" t="s">
        <v>13</v>
      </c>
      <c r="D70" s="295">
        <v>42.64</v>
      </c>
      <c r="E70" s="243">
        <v>307503</v>
      </c>
      <c r="F70" s="243">
        <f t="shared" si="3"/>
        <v>13111927.92</v>
      </c>
      <c r="G70" s="9">
        <v>307503</v>
      </c>
      <c r="H70" s="9">
        <v>13111927.92</v>
      </c>
      <c r="I70" s="339">
        <f t="shared" si="4"/>
        <v>0</v>
      </c>
      <c r="J70" s="339">
        <f t="shared" si="5"/>
        <v>0</v>
      </c>
      <c r="K70" s="9">
        <f t="shared" si="6"/>
        <v>0</v>
      </c>
    </row>
    <row r="71" spans="1:11" s="9" customFormat="1" ht="35.1" customHeight="1" x14ac:dyDescent="0.25">
      <c r="A71" s="244" t="s">
        <v>123</v>
      </c>
      <c r="B71" s="256" t="s">
        <v>124</v>
      </c>
      <c r="C71" s="256"/>
      <c r="D71" s="313"/>
      <c r="E71" s="303"/>
      <c r="F71" s="246"/>
      <c r="I71" s="339">
        <f t="shared" si="4"/>
        <v>0</v>
      </c>
      <c r="J71" s="339">
        <f t="shared" si="5"/>
        <v>0</v>
      </c>
      <c r="K71" s="9">
        <f t="shared" si="6"/>
        <v>0</v>
      </c>
    </row>
    <row r="72" spans="1:11" s="9" customFormat="1" ht="35.1" customHeight="1" x14ac:dyDescent="0.25">
      <c r="A72" s="255" t="s">
        <v>125</v>
      </c>
      <c r="B72" s="241" t="s">
        <v>1079</v>
      </c>
      <c r="C72" s="240" t="s">
        <v>30</v>
      </c>
      <c r="D72" s="295">
        <v>0.17</v>
      </c>
      <c r="E72" s="243">
        <v>842176</v>
      </c>
      <c r="F72" s="243">
        <f>ROUND(+E72*D72,2)</f>
        <v>143169.92000000001</v>
      </c>
      <c r="G72" s="9">
        <v>842176</v>
      </c>
      <c r="H72" s="9">
        <v>143169.92000000001</v>
      </c>
      <c r="I72" s="339">
        <f t="shared" si="4"/>
        <v>0</v>
      </c>
      <c r="J72" s="339">
        <f t="shared" si="5"/>
        <v>0</v>
      </c>
      <c r="K72" s="9">
        <f t="shared" si="6"/>
        <v>0</v>
      </c>
    </row>
    <row r="73" spans="1:11" s="9" customFormat="1" ht="35.1" customHeight="1" x14ac:dyDescent="0.25">
      <c r="A73" s="255" t="s">
        <v>126</v>
      </c>
      <c r="B73" s="241" t="s">
        <v>1080</v>
      </c>
      <c r="C73" s="240" t="s">
        <v>30</v>
      </c>
      <c r="D73" s="295">
        <v>56.08</v>
      </c>
      <c r="E73" s="243">
        <v>842176</v>
      </c>
      <c r="F73" s="243">
        <f>ROUND(+E73*D73,2)</f>
        <v>47229230.079999998</v>
      </c>
      <c r="G73" s="9">
        <v>842176</v>
      </c>
      <c r="H73" s="9">
        <v>47229230.079999998</v>
      </c>
      <c r="I73" s="339">
        <f t="shared" si="4"/>
        <v>0</v>
      </c>
      <c r="J73" s="339">
        <f t="shared" si="5"/>
        <v>0</v>
      </c>
      <c r="K73" s="9">
        <f t="shared" si="6"/>
        <v>0</v>
      </c>
    </row>
    <row r="74" spans="1:11" s="9" customFormat="1" ht="35.1" customHeight="1" x14ac:dyDescent="0.25">
      <c r="A74" s="244" t="s">
        <v>127</v>
      </c>
      <c r="B74" s="245" t="s">
        <v>128</v>
      </c>
      <c r="C74" s="244"/>
      <c r="D74" s="313"/>
      <c r="E74" s="303"/>
      <c r="F74" s="246"/>
      <c r="I74" s="339">
        <f t="shared" si="4"/>
        <v>0</v>
      </c>
      <c r="J74" s="339">
        <f t="shared" si="5"/>
        <v>0</v>
      </c>
      <c r="K74" s="9">
        <f t="shared" si="6"/>
        <v>0</v>
      </c>
    </row>
    <row r="75" spans="1:11" s="9" customFormat="1" ht="35.1" customHeight="1" x14ac:dyDescent="0.25">
      <c r="A75" s="255" t="s">
        <v>129</v>
      </c>
      <c r="B75" s="87" t="s">
        <v>130</v>
      </c>
      <c r="C75" s="240" t="s">
        <v>13</v>
      </c>
      <c r="D75" s="295">
        <v>183.83500000000001</v>
      </c>
      <c r="E75" s="243">
        <v>110927</v>
      </c>
      <c r="F75" s="243">
        <f t="shared" ref="F75:F80" si="7">ROUND(+E75*D75,2)</f>
        <v>20392265.050000001</v>
      </c>
      <c r="G75" s="9">
        <v>110927</v>
      </c>
      <c r="H75" s="9">
        <v>20392819.68</v>
      </c>
      <c r="I75" s="339">
        <f t="shared" si="4"/>
        <v>0</v>
      </c>
      <c r="J75" s="339">
        <f t="shared" si="5"/>
        <v>554.62999999895692</v>
      </c>
      <c r="K75" s="9">
        <f t="shared" si="6"/>
        <v>1</v>
      </c>
    </row>
    <row r="76" spans="1:11" s="9" customFormat="1" ht="35.1" customHeight="1" x14ac:dyDescent="0.25">
      <c r="A76" s="255" t="s">
        <v>131</v>
      </c>
      <c r="B76" s="87" t="s">
        <v>112</v>
      </c>
      <c r="C76" s="240" t="s">
        <v>30</v>
      </c>
      <c r="D76" s="295">
        <v>59.33</v>
      </c>
      <c r="E76" s="243">
        <v>842176</v>
      </c>
      <c r="F76" s="243">
        <f t="shared" si="7"/>
        <v>49966302.079999998</v>
      </c>
      <c r="G76" s="9">
        <v>842176</v>
      </c>
      <c r="H76" s="9">
        <v>49966302.079999998</v>
      </c>
      <c r="I76" s="339">
        <f t="shared" si="4"/>
        <v>0</v>
      </c>
      <c r="J76" s="339">
        <f t="shared" si="5"/>
        <v>0</v>
      </c>
      <c r="K76" s="9">
        <f t="shared" si="6"/>
        <v>0</v>
      </c>
    </row>
    <row r="77" spans="1:11" s="9" customFormat="1" ht="35.1" customHeight="1" x14ac:dyDescent="0.25">
      <c r="A77" s="255" t="s">
        <v>132</v>
      </c>
      <c r="B77" s="87" t="s">
        <v>114</v>
      </c>
      <c r="C77" s="240" t="s">
        <v>30</v>
      </c>
      <c r="D77" s="295">
        <v>17.52</v>
      </c>
      <c r="E77" s="243">
        <v>842176</v>
      </c>
      <c r="F77" s="243">
        <f t="shared" si="7"/>
        <v>14754923.52</v>
      </c>
      <c r="G77" s="9">
        <v>842176</v>
      </c>
      <c r="H77" s="9">
        <v>14754923.52</v>
      </c>
      <c r="I77" s="339">
        <f t="shared" si="4"/>
        <v>0</v>
      </c>
      <c r="J77" s="339">
        <f t="shared" si="5"/>
        <v>0</v>
      </c>
      <c r="K77" s="9">
        <f t="shared" si="6"/>
        <v>0</v>
      </c>
    </row>
    <row r="78" spans="1:11" s="9" customFormat="1" ht="35.1" customHeight="1" x14ac:dyDescent="0.25">
      <c r="A78" s="255" t="s">
        <v>133</v>
      </c>
      <c r="B78" s="87" t="s">
        <v>118</v>
      </c>
      <c r="C78" s="240" t="s">
        <v>30</v>
      </c>
      <c r="D78" s="295">
        <v>108.79</v>
      </c>
      <c r="E78" s="243">
        <v>842176</v>
      </c>
      <c r="F78" s="243">
        <f t="shared" si="7"/>
        <v>91620327.040000007</v>
      </c>
      <c r="G78" s="9">
        <v>842176</v>
      </c>
      <c r="H78" s="9">
        <v>91620327.040000007</v>
      </c>
      <c r="I78" s="339">
        <f t="shared" si="4"/>
        <v>0</v>
      </c>
      <c r="J78" s="339">
        <f t="shared" si="5"/>
        <v>0</v>
      </c>
      <c r="K78" s="9">
        <f t="shared" si="6"/>
        <v>0</v>
      </c>
    </row>
    <row r="79" spans="1:11" s="9" customFormat="1" ht="35.1" customHeight="1" x14ac:dyDescent="0.25">
      <c r="A79" s="255" t="s">
        <v>135</v>
      </c>
      <c r="B79" s="87" t="s">
        <v>120</v>
      </c>
      <c r="C79" s="240" t="s">
        <v>13</v>
      </c>
      <c r="D79" s="295">
        <v>409.13</v>
      </c>
      <c r="E79" s="243">
        <v>153751</v>
      </c>
      <c r="F79" s="243">
        <f t="shared" si="7"/>
        <v>62904146.630000003</v>
      </c>
      <c r="G79" s="9">
        <v>153751</v>
      </c>
      <c r="H79" s="9">
        <v>62904146.630000003</v>
      </c>
      <c r="I79" s="339">
        <f t="shared" si="4"/>
        <v>0</v>
      </c>
      <c r="J79" s="339">
        <f t="shared" si="5"/>
        <v>0</v>
      </c>
      <c r="K79" s="9">
        <f t="shared" si="6"/>
        <v>0</v>
      </c>
    </row>
    <row r="80" spans="1:11" s="9" customFormat="1" ht="35.1" customHeight="1" x14ac:dyDescent="0.25">
      <c r="A80" s="255" t="s">
        <v>136</v>
      </c>
      <c r="B80" s="87" t="s">
        <v>122</v>
      </c>
      <c r="C80" s="255" t="s">
        <v>13</v>
      </c>
      <c r="D80" s="295">
        <v>152.75</v>
      </c>
      <c r="E80" s="243">
        <v>307503</v>
      </c>
      <c r="F80" s="243">
        <f t="shared" si="7"/>
        <v>46971083.25</v>
      </c>
      <c r="G80" s="9">
        <v>307503</v>
      </c>
      <c r="H80" s="9">
        <v>46971083.25</v>
      </c>
      <c r="I80" s="339">
        <f t="shared" si="4"/>
        <v>0</v>
      </c>
      <c r="J80" s="339">
        <f t="shared" si="5"/>
        <v>0</v>
      </c>
      <c r="K80" s="9">
        <f t="shared" si="6"/>
        <v>0</v>
      </c>
    </row>
    <row r="81" spans="1:11" s="9" customFormat="1" ht="35.1" customHeight="1" x14ac:dyDescent="0.25">
      <c r="A81" s="244" t="s">
        <v>137</v>
      </c>
      <c r="B81" s="245" t="s">
        <v>138</v>
      </c>
      <c r="C81" s="244"/>
      <c r="D81" s="313"/>
      <c r="E81" s="303"/>
      <c r="F81" s="246"/>
      <c r="I81" s="339">
        <f t="shared" si="4"/>
        <v>0</v>
      </c>
      <c r="J81" s="339">
        <f t="shared" si="5"/>
        <v>0</v>
      </c>
      <c r="K81" s="9">
        <f t="shared" si="6"/>
        <v>0</v>
      </c>
    </row>
    <row r="82" spans="1:11" s="9" customFormat="1" ht="35.1" customHeight="1" x14ac:dyDescent="0.25">
      <c r="A82" s="255" t="s">
        <v>139</v>
      </c>
      <c r="B82" s="87" t="s">
        <v>130</v>
      </c>
      <c r="C82" s="240" t="s">
        <v>13</v>
      </c>
      <c r="D82" s="295">
        <v>179.215</v>
      </c>
      <c r="E82" s="243">
        <v>110927</v>
      </c>
      <c r="F82" s="243">
        <f t="shared" ref="F82:F87" si="8">ROUND(+E82*D82,2)</f>
        <v>19879782.309999999</v>
      </c>
      <c r="G82" s="9">
        <v>110927</v>
      </c>
      <c r="H82" s="9">
        <v>19880336.940000001</v>
      </c>
      <c r="I82" s="339">
        <f t="shared" si="4"/>
        <v>0</v>
      </c>
      <c r="J82" s="339">
        <f t="shared" si="5"/>
        <v>554.63000000268221</v>
      </c>
      <c r="K82" s="9">
        <f t="shared" si="6"/>
        <v>1</v>
      </c>
    </row>
    <row r="83" spans="1:11" s="9" customFormat="1" ht="35.1" customHeight="1" x14ac:dyDescent="0.25">
      <c r="A83" s="255" t="s">
        <v>140</v>
      </c>
      <c r="B83" s="87" t="s">
        <v>112</v>
      </c>
      <c r="C83" s="240" t="s">
        <v>30</v>
      </c>
      <c r="D83" s="295">
        <v>2.25</v>
      </c>
      <c r="E83" s="243">
        <v>842176</v>
      </c>
      <c r="F83" s="243">
        <f t="shared" si="8"/>
        <v>1894896</v>
      </c>
      <c r="G83" s="9">
        <v>842176</v>
      </c>
      <c r="H83" s="9">
        <v>1894896</v>
      </c>
      <c r="I83" s="339">
        <f t="shared" si="4"/>
        <v>0</v>
      </c>
      <c r="J83" s="339">
        <f t="shared" si="5"/>
        <v>0</v>
      </c>
      <c r="K83" s="9">
        <f t="shared" si="6"/>
        <v>0</v>
      </c>
    </row>
    <row r="84" spans="1:11" s="9" customFormat="1" ht="35.1" customHeight="1" x14ac:dyDescent="0.25">
      <c r="A84" s="255" t="s">
        <v>141</v>
      </c>
      <c r="B84" s="87" t="s">
        <v>114</v>
      </c>
      <c r="C84" s="240" t="s">
        <v>30</v>
      </c>
      <c r="D84" s="295">
        <v>63.42</v>
      </c>
      <c r="E84" s="243">
        <v>842176</v>
      </c>
      <c r="F84" s="243">
        <f t="shared" si="8"/>
        <v>53410801.920000002</v>
      </c>
      <c r="G84" s="9">
        <v>842176</v>
      </c>
      <c r="H84" s="9">
        <v>53410801.920000002</v>
      </c>
      <c r="I84" s="339">
        <f t="shared" si="4"/>
        <v>0</v>
      </c>
      <c r="J84" s="339">
        <f t="shared" si="5"/>
        <v>0</v>
      </c>
      <c r="K84" s="9">
        <f t="shared" si="6"/>
        <v>0</v>
      </c>
    </row>
    <row r="85" spans="1:11" s="9" customFormat="1" ht="35.1" customHeight="1" x14ac:dyDescent="0.25">
      <c r="A85" s="255" t="s">
        <v>142</v>
      </c>
      <c r="B85" s="87" t="s">
        <v>118</v>
      </c>
      <c r="C85" s="240" t="s">
        <v>30</v>
      </c>
      <c r="D85" s="295">
        <v>159.56</v>
      </c>
      <c r="E85" s="243">
        <v>842176</v>
      </c>
      <c r="F85" s="243">
        <f t="shared" si="8"/>
        <v>134377602.56</v>
      </c>
      <c r="G85" s="9">
        <v>842176</v>
      </c>
      <c r="H85" s="9">
        <v>134377602.56</v>
      </c>
      <c r="I85" s="339">
        <f t="shared" si="4"/>
        <v>0</v>
      </c>
      <c r="J85" s="339">
        <f t="shared" si="5"/>
        <v>0</v>
      </c>
      <c r="K85" s="9">
        <f t="shared" si="6"/>
        <v>0</v>
      </c>
    </row>
    <row r="86" spans="1:11" s="9" customFormat="1" ht="35.1" customHeight="1" x14ac:dyDescent="0.25">
      <c r="A86" s="255" t="s">
        <v>143</v>
      </c>
      <c r="B86" s="87" t="s">
        <v>120</v>
      </c>
      <c r="C86" s="240" t="s">
        <v>13</v>
      </c>
      <c r="D86" s="295">
        <v>279.36</v>
      </c>
      <c r="E86" s="243">
        <v>153751</v>
      </c>
      <c r="F86" s="243">
        <f t="shared" si="8"/>
        <v>42951879.359999999</v>
      </c>
      <c r="G86" s="9">
        <v>153751</v>
      </c>
      <c r="H86" s="9">
        <v>42951879.359999999</v>
      </c>
      <c r="I86" s="339">
        <f t="shared" si="4"/>
        <v>0</v>
      </c>
      <c r="J86" s="339">
        <f t="shared" si="5"/>
        <v>0</v>
      </c>
      <c r="K86" s="9">
        <f t="shared" si="6"/>
        <v>0</v>
      </c>
    </row>
    <row r="87" spans="1:11" s="9" customFormat="1" ht="35.1" customHeight="1" x14ac:dyDescent="0.25">
      <c r="A87" s="255" t="s">
        <v>144</v>
      </c>
      <c r="B87" s="87" t="s">
        <v>122</v>
      </c>
      <c r="C87" s="240" t="s">
        <v>13</v>
      </c>
      <c r="D87" s="295">
        <v>248.94</v>
      </c>
      <c r="E87" s="243">
        <v>307503</v>
      </c>
      <c r="F87" s="243">
        <f t="shared" si="8"/>
        <v>76549796.819999993</v>
      </c>
      <c r="G87" s="9">
        <v>307503</v>
      </c>
      <c r="H87" s="9">
        <v>76549796.819999993</v>
      </c>
      <c r="I87" s="339">
        <f t="shared" si="4"/>
        <v>0</v>
      </c>
      <c r="J87" s="339">
        <f t="shared" si="5"/>
        <v>0</v>
      </c>
      <c r="K87" s="9">
        <f t="shared" si="6"/>
        <v>0</v>
      </c>
    </row>
    <row r="88" spans="1:11" s="9" customFormat="1" ht="35.1" customHeight="1" x14ac:dyDescent="0.25">
      <c r="A88" s="244" t="s">
        <v>1081</v>
      </c>
      <c r="B88" s="245" t="s">
        <v>1082</v>
      </c>
      <c r="C88" s="244"/>
      <c r="D88" s="313"/>
      <c r="E88" s="303"/>
      <c r="F88" s="246"/>
      <c r="I88" s="339">
        <f t="shared" si="4"/>
        <v>0</v>
      </c>
      <c r="J88" s="339">
        <f t="shared" si="5"/>
        <v>0</v>
      </c>
      <c r="K88" s="9">
        <f t="shared" si="6"/>
        <v>0</v>
      </c>
    </row>
    <row r="89" spans="1:11" s="9" customFormat="1" ht="35.1" customHeight="1" x14ac:dyDescent="0.25">
      <c r="A89" s="255" t="s">
        <v>1083</v>
      </c>
      <c r="B89" s="87" t="s">
        <v>130</v>
      </c>
      <c r="C89" s="255" t="s">
        <v>13</v>
      </c>
      <c r="D89" s="295">
        <v>179.21</v>
      </c>
      <c r="E89" s="243">
        <v>110927</v>
      </c>
      <c r="F89" s="243">
        <f t="shared" ref="F89:F94" si="9">ROUND(+E89*D89,2)</f>
        <v>19879227.670000002</v>
      </c>
      <c r="G89" s="9">
        <v>110927</v>
      </c>
      <c r="H89" s="9">
        <v>19879227.670000002</v>
      </c>
      <c r="I89" s="339">
        <f t="shared" si="4"/>
        <v>0</v>
      </c>
      <c r="J89" s="339">
        <f t="shared" si="5"/>
        <v>0</v>
      </c>
      <c r="K89" s="9">
        <f t="shared" si="6"/>
        <v>0</v>
      </c>
    </row>
    <row r="90" spans="1:11" s="9" customFormat="1" ht="35.1" customHeight="1" x14ac:dyDescent="0.25">
      <c r="A90" s="255" t="s">
        <v>1084</v>
      </c>
      <c r="B90" s="87" t="s">
        <v>112</v>
      </c>
      <c r="C90" s="255" t="s">
        <v>30</v>
      </c>
      <c r="D90" s="295">
        <v>1.45</v>
      </c>
      <c r="E90" s="243">
        <v>842176</v>
      </c>
      <c r="F90" s="243">
        <f t="shared" si="9"/>
        <v>1221155.2</v>
      </c>
      <c r="G90" s="9">
        <v>842176</v>
      </c>
      <c r="H90" s="9">
        <v>1221155.2</v>
      </c>
      <c r="I90" s="339">
        <f t="shared" si="4"/>
        <v>0</v>
      </c>
      <c r="J90" s="339">
        <f t="shared" si="5"/>
        <v>0</v>
      </c>
      <c r="K90" s="9">
        <f t="shared" si="6"/>
        <v>0</v>
      </c>
    </row>
    <row r="91" spans="1:11" s="9" customFormat="1" ht="35.1" customHeight="1" x14ac:dyDescent="0.25">
      <c r="A91" s="255" t="s">
        <v>1085</v>
      </c>
      <c r="B91" s="87" t="s">
        <v>114</v>
      </c>
      <c r="C91" s="255" t="s">
        <v>30</v>
      </c>
      <c r="D91" s="295">
        <v>31.54</v>
      </c>
      <c r="E91" s="243">
        <v>842176</v>
      </c>
      <c r="F91" s="243">
        <f t="shared" si="9"/>
        <v>26562231.039999999</v>
      </c>
      <c r="G91" s="9">
        <v>842176</v>
      </c>
      <c r="H91" s="9">
        <v>26562231.039999999</v>
      </c>
      <c r="I91" s="339">
        <f t="shared" si="4"/>
        <v>0</v>
      </c>
      <c r="J91" s="339">
        <f t="shared" si="5"/>
        <v>0</v>
      </c>
      <c r="K91" s="9">
        <f t="shared" si="6"/>
        <v>0</v>
      </c>
    </row>
    <row r="92" spans="1:11" s="9" customFormat="1" ht="35.1" customHeight="1" x14ac:dyDescent="0.25">
      <c r="A92" s="255" t="s">
        <v>1086</v>
      </c>
      <c r="B92" s="87" t="s">
        <v>118</v>
      </c>
      <c r="C92" s="255" t="s">
        <v>30</v>
      </c>
      <c r="D92" s="295">
        <v>69.08</v>
      </c>
      <c r="E92" s="243">
        <v>842176</v>
      </c>
      <c r="F92" s="243">
        <f t="shared" si="9"/>
        <v>58177518.079999998</v>
      </c>
      <c r="G92" s="9">
        <v>842176</v>
      </c>
      <c r="H92" s="9">
        <v>58177518.079999998</v>
      </c>
      <c r="I92" s="339">
        <f t="shared" si="4"/>
        <v>0</v>
      </c>
      <c r="J92" s="339">
        <f t="shared" si="5"/>
        <v>0</v>
      </c>
      <c r="K92" s="9">
        <f t="shared" si="6"/>
        <v>0</v>
      </c>
    </row>
    <row r="93" spans="1:11" s="9" customFormat="1" ht="35.1" customHeight="1" x14ac:dyDescent="0.25">
      <c r="A93" s="255" t="s">
        <v>1087</v>
      </c>
      <c r="B93" s="87" t="s">
        <v>120</v>
      </c>
      <c r="C93" s="255" t="s">
        <v>13</v>
      </c>
      <c r="D93" s="295">
        <v>276.55</v>
      </c>
      <c r="E93" s="243">
        <v>161791</v>
      </c>
      <c r="F93" s="243">
        <f t="shared" si="9"/>
        <v>44743301.049999997</v>
      </c>
      <c r="G93" s="9">
        <v>161791</v>
      </c>
      <c r="H93" s="9">
        <v>44743301.049999997</v>
      </c>
      <c r="I93" s="339">
        <f t="shared" si="4"/>
        <v>0</v>
      </c>
      <c r="J93" s="339">
        <f t="shared" si="5"/>
        <v>0</v>
      </c>
      <c r="K93" s="9">
        <f t="shared" si="6"/>
        <v>0</v>
      </c>
    </row>
    <row r="94" spans="1:11" s="9" customFormat="1" ht="35.1" customHeight="1" x14ac:dyDescent="0.25">
      <c r="A94" s="255" t="s">
        <v>1088</v>
      </c>
      <c r="B94" s="87" t="s">
        <v>122</v>
      </c>
      <c r="C94" s="255" t="s">
        <v>13</v>
      </c>
      <c r="D94" s="295">
        <v>132.12</v>
      </c>
      <c r="E94" s="243">
        <v>323580</v>
      </c>
      <c r="F94" s="243">
        <f t="shared" si="9"/>
        <v>42751389.600000001</v>
      </c>
      <c r="G94" s="9">
        <v>323580</v>
      </c>
      <c r="H94" s="9">
        <v>42751389.600000001</v>
      </c>
      <c r="I94" s="339">
        <f t="shared" si="4"/>
        <v>0</v>
      </c>
      <c r="J94" s="339">
        <f t="shared" si="5"/>
        <v>0</v>
      </c>
      <c r="K94" s="9">
        <f t="shared" si="6"/>
        <v>0</v>
      </c>
    </row>
    <row r="95" spans="1:11" s="9" customFormat="1" ht="35.1" customHeight="1" x14ac:dyDescent="0.25">
      <c r="A95" s="244" t="s">
        <v>1089</v>
      </c>
      <c r="B95" s="245" t="s">
        <v>1090</v>
      </c>
      <c r="C95" s="244"/>
      <c r="D95" s="313"/>
      <c r="E95" s="303"/>
      <c r="F95" s="246"/>
      <c r="I95" s="339">
        <f t="shared" si="4"/>
        <v>0</v>
      </c>
      <c r="J95" s="339">
        <f t="shared" si="5"/>
        <v>0</v>
      </c>
      <c r="K95" s="9">
        <f t="shared" si="6"/>
        <v>0</v>
      </c>
    </row>
    <row r="96" spans="1:11" s="9" customFormat="1" ht="35.1" customHeight="1" x14ac:dyDescent="0.25">
      <c r="A96" s="240" t="s">
        <v>1091</v>
      </c>
      <c r="B96" s="87" t="s">
        <v>130</v>
      </c>
      <c r="C96" s="240" t="s">
        <v>13</v>
      </c>
      <c r="D96" s="295">
        <v>142.06</v>
      </c>
      <c r="E96" s="243">
        <v>110927</v>
      </c>
      <c r="F96" s="243">
        <f t="shared" ref="F96:F101" si="10">ROUND(+E96*D96,2)</f>
        <v>15758289.619999999</v>
      </c>
      <c r="G96" s="9">
        <v>110927</v>
      </c>
      <c r="H96" s="9">
        <v>15758289.619999999</v>
      </c>
      <c r="I96" s="339">
        <f t="shared" si="4"/>
        <v>0</v>
      </c>
      <c r="J96" s="339">
        <f t="shared" si="5"/>
        <v>0</v>
      </c>
      <c r="K96" s="9">
        <f t="shared" si="6"/>
        <v>0</v>
      </c>
    </row>
    <row r="97" spans="1:11" s="9" customFormat="1" ht="35.1" customHeight="1" x14ac:dyDescent="0.25">
      <c r="A97" s="240" t="s">
        <v>1092</v>
      </c>
      <c r="B97" s="87" t="s">
        <v>112</v>
      </c>
      <c r="C97" s="240" t="s">
        <v>30</v>
      </c>
      <c r="D97" s="295">
        <v>1.25</v>
      </c>
      <c r="E97" s="243">
        <v>842176</v>
      </c>
      <c r="F97" s="243">
        <f t="shared" si="10"/>
        <v>1052720</v>
      </c>
      <c r="G97" s="9">
        <v>842176</v>
      </c>
      <c r="H97" s="9">
        <v>1052720</v>
      </c>
      <c r="I97" s="339">
        <f t="shared" si="4"/>
        <v>0</v>
      </c>
      <c r="J97" s="339">
        <f t="shared" si="5"/>
        <v>0</v>
      </c>
      <c r="K97" s="9">
        <f t="shared" si="6"/>
        <v>0</v>
      </c>
    </row>
    <row r="98" spans="1:11" s="9" customFormat="1" ht="35.1" customHeight="1" x14ac:dyDescent="0.25">
      <c r="A98" s="240" t="s">
        <v>1093</v>
      </c>
      <c r="B98" s="87" t="s">
        <v>114</v>
      </c>
      <c r="C98" s="240" t="s">
        <v>30</v>
      </c>
      <c r="D98" s="295">
        <v>27.45</v>
      </c>
      <c r="E98" s="243">
        <v>842176</v>
      </c>
      <c r="F98" s="243">
        <f t="shared" si="10"/>
        <v>23117731.199999999</v>
      </c>
      <c r="G98" s="9">
        <v>842176</v>
      </c>
      <c r="H98" s="9">
        <v>23117731.199999999</v>
      </c>
      <c r="I98" s="339">
        <f t="shared" si="4"/>
        <v>0</v>
      </c>
      <c r="J98" s="339">
        <f t="shared" si="5"/>
        <v>0</v>
      </c>
      <c r="K98" s="9">
        <f t="shared" si="6"/>
        <v>0</v>
      </c>
    </row>
    <row r="99" spans="1:11" s="9" customFormat="1" ht="35.1" customHeight="1" x14ac:dyDescent="0.25">
      <c r="A99" s="240" t="s">
        <v>1094</v>
      </c>
      <c r="B99" s="87" t="s">
        <v>118</v>
      </c>
      <c r="C99" s="240" t="s">
        <v>30</v>
      </c>
      <c r="D99" s="295">
        <v>14.01</v>
      </c>
      <c r="E99" s="243">
        <v>842176</v>
      </c>
      <c r="F99" s="243">
        <f t="shared" si="10"/>
        <v>11798885.76</v>
      </c>
      <c r="G99" s="9">
        <v>842176</v>
      </c>
      <c r="H99" s="9">
        <v>11798885.76</v>
      </c>
      <c r="I99" s="339">
        <f t="shared" si="4"/>
        <v>0</v>
      </c>
      <c r="J99" s="339">
        <f t="shared" si="5"/>
        <v>0</v>
      </c>
      <c r="K99" s="9">
        <f t="shared" si="6"/>
        <v>0</v>
      </c>
    </row>
    <row r="100" spans="1:11" s="9" customFormat="1" ht="35.1" customHeight="1" x14ac:dyDescent="0.25">
      <c r="A100" s="240" t="s">
        <v>1095</v>
      </c>
      <c r="B100" s="87" t="s">
        <v>120</v>
      </c>
      <c r="C100" s="240" t="s">
        <v>13</v>
      </c>
      <c r="D100" s="295">
        <v>316.99</v>
      </c>
      <c r="E100" s="243">
        <v>161791</v>
      </c>
      <c r="F100" s="243">
        <f t="shared" si="10"/>
        <v>51286129.090000004</v>
      </c>
      <c r="G100" s="9">
        <v>161791</v>
      </c>
      <c r="H100" s="9">
        <v>51286129.090000004</v>
      </c>
      <c r="I100" s="339">
        <f t="shared" si="4"/>
        <v>0</v>
      </c>
      <c r="J100" s="339">
        <f t="shared" si="5"/>
        <v>0</v>
      </c>
      <c r="K100" s="9">
        <f t="shared" si="6"/>
        <v>0</v>
      </c>
    </row>
    <row r="101" spans="1:11" s="9" customFormat="1" ht="35.1" customHeight="1" x14ac:dyDescent="0.25">
      <c r="A101" s="240" t="s">
        <v>1096</v>
      </c>
      <c r="B101" s="87" t="s">
        <v>122</v>
      </c>
      <c r="C101" s="240" t="s">
        <v>13</v>
      </c>
      <c r="D101" s="295">
        <v>112.85</v>
      </c>
      <c r="E101" s="243">
        <v>323580</v>
      </c>
      <c r="F101" s="243">
        <f t="shared" si="10"/>
        <v>36516003</v>
      </c>
      <c r="G101" s="9">
        <v>323580</v>
      </c>
      <c r="H101" s="9">
        <v>36516003</v>
      </c>
      <c r="I101" s="339">
        <f t="shared" si="4"/>
        <v>0</v>
      </c>
      <c r="J101" s="339">
        <f t="shared" si="5"/>
        <v>0</v>
      </c>
      <c r="K101" s="9">
        <f t="shared" si="6"/>
        <v>0</v>
      </c>
    </row>
    <row r="102" spans="1:11" s="9" customFormat="1" ht="35.1" customHeight="1" x14ac:dyDescent="0.25">
      <c r="A102" s="244" t="s">
        <v>1097</v>
      </c>
      <c r="B102" s="245" t="s">
        <v>1098</v>
      </c>
      <c r="C102" s="244"/>
      <c r="D102" s="313"/>
      <c r="E102" s="303"/>
      <c r="F102" s="246"/>
      <c r="I102" s="339">
        <f t="shared" si="4"/>
        <v>0</v>
      </c>
      <c r="J102" s="339">
        <f t="shared" si="5"/>
        <v>0</v>
      </c>
      <c r="K102" s="9">
        <f t="shared" si="6"/>
        <v>0</v>
      </c>
    </row>
    <row r="103" spans="1:11" s="9" customFormat="1" ht="35.1" customHeight="1" x14ac:dyDescent="0.25">
      <c r="A103" s="240" t="s">
        <v>1099</v>
      </c>
      <c r="B103" s="241" t="s">
        <v>1100</v>
      </c>
      <c r="C103" s="240" t="s">
        <v>13</v>
      </c>
      <c r="D103" s="295">
        <v>94.59</v>
      </c>
      <c r="E103" s="243">
        <v>55531</v>
      </c>
      <c r="F103" s="243">
        <f>ROUND(+E103*D103,2)</f>
        <v>5252677.29</v>
      </c>
      <c r="G103" s="9">
        <v>55531</v>
      </c>
      <c r="H103" s="9">
        <v>5252677.29</v>
      </c>
      <c r="I103" s="339">
        <f t="shared" si="4"/>
        <v>0</v>
      </c>
      <c r="J103" s="339">
        <f t="shared" si="5"/>
        <v>0</v>
      </c>
      <c r="K103" s="9">
        <f t="shared" si="6"/>
        <v>0</v>
      </c>
    </row>
    <row r="104" spans="1:11" s="9" customFormat="1" ht="35.1" customHeight="1" x14ac:dyDescent="0.25">
      <c r="A104" s="240" t="s">
        <v>1101</v>
      </c>
      <c r="B104" s="87" t="s">
        <v>112</v>
      </c>
      <c r="C104" s="240" t="s">
        <v>30</v>
      </c>
      <c r="D104" s="295">
        <v>26.75</v>
      </c>
      <c r="E104" s="243">
        <v>842176</v>
      </c>
      <c r="F104" s="243">
        <f>ROUND(+E104*D104,2)</f>
        <v>22528208</v>
      </c>
      <c r="G104" s="9">
        <v>842176</v>
      </c>
      <c r="H104" s="9">
        <v>22528208</v>
      </c>
      <c r="I104" s="339">
        <f t="shared" si="4"/>
        <v>0</v>
      </c>
      <c r="J104" s="339">
        <f t="shared" si="5"/>
        <v>0</v>
      </c>
      <c r="K104" s="9">
        <f t="shared" si="6"/>
        <v>0</v>
      </c>
    </row>
    <row r="105" spans="1:11" s="9" customFormat="1" ht="35.1" customHeight="1" x14ac:dyDescent="0.25">
      <c r="A105" s="240" t="s">
        <v>1102</v>
      </c>
      <c r="B105" s="87" t="s">
        <v>114</v>
      </c>
      <c r="C105" s="240" t="s">
        <v>30</v>
      </c>
      <c r="D105" s="295">
        <v>33.22</v>
      </c>
      <c r="E105" s="243">
        <v>842176</v>
      </c>
      <c r="F105" s="243">
        <f>ROUND(+E105*D105,2)</f>
        <v>27977086.719999999</v>
      </c>
      <c r="G105" s="9">
        <v>842176</v>
      </c>
      <c r="H105" s="9">
        <v>27977086.719999999</v>
      </c>
      <c r="I105" s="339">
        <f t="shared" si="4"/>
        <v>0</v>
      </c>
      <c r="J105" s="339">
        <f t="shared" si="5"/>
        <v>0</v>
      </c>
      <c r="K105" s="9">
        <f t="shared" si="6"/>
        <v>0</v>
      </c>
    </row>
    <row r="106" spans="1:11" s="9" customFormat="1" ht="35.1" customHeight="1" x14ac:dyDescent="0.25">
      <c r="A106" s="266">
        <v>6</v>
      </c>
      <c r="B106" s="267" t="s">
        <v>145</v>
      </c>
      <c r="C106" s="267"/>
      <c r="D106" s="316"/>
      <c r="E106" s="306"/>
      <c r="F106" s="268"/>
      <c r="I106" s="339">
        <f t="shared" si="4"/>
        <v>0</v>
      </c>
      <c r="J106" s="339">
        <f t="shared" si="5"/>
        <v>0</v>
      </c>
      <c r="K106" s="9">
        <f t="shared" si="6"/>
        <v>0</v>
      </c>
    </row>
    <row r="107" spans="1:11" s="9" customFormat="1" ht="35.1" customHeight="1" x14ac:dyDescent="0.25">
      <c r="A107" s="244" t="s">
        <v>146</v>
      </c>
      <c r="B107" s="245" t="s">
        <v>147</v>
      </c>
      <c r="C107" s="244"/>
      <c r="D107" s="313"/>
      <c r="E107" s="303"/>
      <c r="F107" s="246"/>
      <c r="I107" s="339">
        <f t="shared" si="4"/>
        <v>0</v>
      </c>
      <c r="J107" s="339">
        <f t="shared" si="5"/>
        <v>0</v>
      </c>
      <c r="K107" s="9">
        <f t="shared" si="6"/>
        <v>0</v>
      </c>
    </row>
    <row r="108" spans="1:11" s="9" customFormat="1" ht="35.1" customHeight="1" x14ac:dyDescent="0.25">
      <c r="A108" s="255" t="s">
        <v>148</v>
      </c>
      <c r="B108" s="254" t="s">
        <v>149</v>
      </c>
      <c r="C108" s="255" t="s">
        <v>13</v>
      </c>
      <c r="D108" s="295">
        <v>457.19</v>
      </c>
      <c r="E108" s="243">
        <v>94327</v>
      </c>
      <c r="F108" s="243">
        <f>ROUND(+E108*D108,2)</f>
        <v>43125361.130000003</v>
      </c>
      <c r="G108" s="9">
        <v>94327</v>
      </c>
      <c r="H108" s="9">
        <v>43125361.130000003</v>
      </c>
      <c r="I108" s="339">
        <f t="shared" si="4"/>
        <v>0</v>
      </c>
      <c r="J108" s="339">
        <f t="shared" si="5"/>
        <v>0</v>
      </c>
      <c r="K108" s="9">
        <f t="shared" si="6"/>
        <v>0</v>
      </c>
    </row>
    <row r="109" spans="1:11" s="9" customFormat="1" ht="35.1" customHeight="1" x14ac:dyDescent="0.25">
      <c r="A109" s="255" t="s">
        <v>150</v>
      </c>
      <c r="B109" s="254" t="s">
        <v>151</v>
      </c>
      <c r="C109" s="255" t="s">
        <v>13</v>
      </c>
      <c r="D109" s="295">
        <v>1963.08</v>
      </c>
      <c r="E109" s="243">
        <v>8420</v>
      </c>
      <c r="F109" s="243">
        <f>ROUND(+E109*D109,2)</f>
        <v>16529133.6</v>
      </c>
      <c r="G109" s="9">
        <v>8420</v>
      </c>
      <c r="H109" s="9">
        <v>16529133.6</v>
      </c>
      <c r="I109" s="339">
        <f t="shared" si="4"/>
        <v>0</v>
      </c>
      <c r="J109" s="339">
        <f t="shared" si="5"/>
        <v>0</v>
      </c>
      <c r="K109" s="9">
        <f t="shared" si="6"/>
        <v>0</v>
      </c>
    </row>
    <row r="110" spans="1:11" s="9" customFormat="1" ht="35.1" customHeight="1" x14ac:dyDescent="0.25">
      <c r="A110" s="240" t="s">
        <v>152</v>
      </c>
      <c r="B110" s="241" t="s">
        <v>153</v>
      </c>
      <c r="C110" s="240" t="s">
        <v>13</v>
      </c>
      <c r="D110" s="295">
        <v>1.4</v>
      </c>
      <c r="E110" s="243">
        <v>110969</v>
      </c>
      <c r="F110" s="243">
        <f>ROUND(+E110*D110,2)</f>
        <v>155356.6</v>
      </c>
      <c r="G110" s="9">
        <v>110969</v>
      </c>
      <c r="H110" s="9">
        <v>155356.6</v>
      </c>
      <c r="I110" s="339">
        <f t="shared" si="4"/>
        <v>0</v>
      </c>
      <c r="J110" s="339">
        <f t="shared" si="5"/>
        <v>0</v>
      </c>
      <c r="K110" s="9">
        <f t="shared" si="6"/>
        <v>0</v>
      </c>
    </row>
    <row r="111" spans="1:11" s="9" customFormat="1" ht="35.1" customHeight="1" x14ac:dyDescent="0.25">
      <c r="A111" s="244" t="s">
        <v>154</v>
      </c>
      <c r="B111" s="256" t="s">
        <v>155</v>
      </c>
      <c r="C111" s="256"/>
      <c r="D111" s="313"/>
      <c r="E111" s="303"/>
      <c r="F111" s="246"/>
      <c r="I111" s="339">
        <f t="shared" si="4"/>
        <v>0</v>
      </c>
      <c r="J111" s="339">
        <f t="shared" si="5"/>
        <v>0</v>
      </c>
      <c r="K111" s="9">
        <f t="shared" si="6"/>
        <v>0</v>
      </c>
    </row>
    <row r="112" spans="1:11" s="9" customFormat="1" ht="35.1" customHeight="1" x14ac:dyDescent="0.25">
      <c r="A112" s="255" t="s">
        <v>156</v>
      </c>
      <c r="B112" s="254" t="s">
        <v>157</v>
      </c>
      <c r="C112" s="255" t="s">
        <v>13</v>
      </c>
      <c r="D112" s="295">
        <v>1877.8720000000001</v>
      </c>
      <c r="E112" s="243">
        <v>94035</v>
      </c>
      <c r="F112" s="243">
        <f>ROUND(+E112*D112,2)</f>
        <v>176585693.52000001</v>
      </c>
      <c r="G112" s="9">
        <v>94035</v>
      </c>
      <c r="H112" s="9">
        <v>176585505.44999999</v>
      </c>
      <c r="I112" s="339">
        <f t="shared" si="4"/>
        <v>0</v>
      </c>
      <c r="J112" s="339">
        <f t="shared" si="5"/>
        <v>-188.07000002264977</v>
      </c>
      <c r="K112" s="9">
        <f t="shared" si="6"/>
        <v>0</v>
      </c>
    </row>
    <row r="113" spans="1:11" s="9" customFormat="1" ht="35.1" customHeight="1" x14ac:dyDescent="0.25">
      <c r="A113" s="255" t="s">
        <v>158</v>
      </c>
      <c r="B113" s="254" t="s">
        <v>159</v>
      </c>
      <c r="C113" s="255" t="s">
        <v>13</v>
      </c>
      <c r="D113" s="295">
        <v>188.25400000000002</v>
      </c>
      <c r="E113" s="243">
        <v>98762</v>
      </c>
      <c r="F113" s="243">
        <f>ROUND(+E113*D113,2)</f>
        <v>18592341.550000001</v>
      </c>
      <c r="G113" s="9">
        <v>98762</v>
      </c>
      <c r="H113" s="9">
        <v>18591946.5</v>
      </c>
      <c r="I113" s="339">
        <f t="shared" si="4"/>
        <v>0</v>
      </c>
      <c r="J113" s="339">
        <f t="shared" si="5"/>
        <v>-395.05000000074506</v>
      </c>
      <c r="K113" s="9">
        <f t="shared" si="6"/>
        <v>0</v>
      </c>
    </row>
    <row r="114" spans="1:11" s="9" customFormat="1" ht="35.1" customHeight="1" x14ac:dyDescent="0.25">
      <c r="A114" s="244" t="s">
        <v>160</v>
      </c>
      <c r="B114" s="256" t="s">
        <v>161</v>
      </c>
      <c r="C114" s="256"/>
      <c r="D114" s="313"/>
      <c r="E114" s="303"/>
      <c r="F114" s="246"/>
      <c r="I114" s="339">
        <f t="shared" si="4"/>
        <v>0</v>
      </c>
      <c r="J114" s="339">
        <f t="shared" si="5"/>
        <v>0</v>
      </c>
      <c r="K114" s="9">
        <f t="shared" si="6"/>
        <v>0</v>
      </c>
    </row>
    <row r="115" spans="1:11" s="9" customFormat="1" ht="35.1" customHeight="1" x14ac:dyDescent="0.25">
      <c r="A115" s="255" t="s">
        <v>162</v>
      </c>
      <c r="B115" s="254" t="s">
        <v>153</v>
      </c>
      <c r="C115" s="255" t="s">
        <v>13</v>
      </c>
      <c r="D115" s="295">
        <v>1232.8499999999999</v>
      </c>
      <c r="E115" s="243">
        <v>110969</v>
      </c>
      <c r="F115" s="243">
        <f>ROUND(+E115*D115,2)</f>
        <v>136808131.65000001</v>
      </c>
      <c r="G115" s="9">
        <v>110969</v>
      </c>
      <c r="H115" s="9">
        <v>136808131.65000001</v>
      </c>
      <c r="I115" s="339">
        <f t="shared" si="4"/>
        <v>0</v>
      </c>
      <c r="J115" s="339">
        <f t="shared" si="5"/>
        <v>0</v>
      </c>
      <c r="K115" s="9">
        <f t="shared" si="6"/>
        <v>0</v>
      </c>
    </row>
    <row r="116" spans="1:11" s="9" customFormat="1" ht="35.1" customHeight="1" x14ac:dyDescent="0.25">
      <c r="A116" s="255" t="s">
        <v>163</v>
      </c>
      <c r="B116" s="254" t="s">
        <v>164</v>
      </c>
      <c r="C116" s="255" t="s">
        <v>13</v>
      </c>
      <c r="D116" s="295">
        <v>807.1</v>
      </c>
      <c r="E116" s="243">
        <v>72415</v>
      </c>
      <c r="F116" s="243">
        <f>ROUND(+E116*D116,2)</f>
        <v>58446146.5</v>
      </c>
      <c r="G116" s="9">
        <v>72415</v>
      </c>
      <c r="H116" s="9">
        <v>58446146.5</v>
      </c>
      <c r="I116" s="339">
        <f t="shared" si="4"/>
        <v>0</v>
      </c>
      <c r="J116" s="339">
        <f t="shared" si="5"/>
        <v>0</v>
      </c>
      <c r="K116" s="9">
        <f t="shared" si="6"/>
        <v>0</v>
      </c>
    </row>
    <row r="117" spans="1:11" s="9" customFormat="1" ht="35.1" customHeight="1" x14ac:dyDescent="0.25">
      <c r="A117" s="255" t="s">
        <v>165</v>
      </c>
      <c r="B117" s="254" t="s">
        <v>166</v>
      </c>
      <c r="C117" s="255" t="s">
        <v>13</v>
      </c>
      <c r="D117" s="295">
        <v>44.18</v>
      </c>
      <c r="E117" s="243">
        <v>48266</v>
      </c>
      <c r="F117" s="243">
        <f>ROUND(+E117*D117,2)</f>
        <v>2132391.88</v>
      </c>
      <c r="G117" s="9">
        <v>48266</v>
      </c>
      <c r="H117" s="9">
        <v>2132391.88</v>
      </c>
      <c r="I117" s="339">
        <f t="shared" si="4"/>
        <v>0</v>
      </c>
      <c r="J117" s="339">
        <f t="shared" si="5"/>
        <v>0</v>
      </c>
      <c r="K117" s="9">
        <f t="shared" si="6"/>
        <v>0</v>
      </c>
    </row>
    <row r="118" spans="1:11" s="9" customFormat="1" ht="35.1" customHeight="1" x14ac:dyDescent="0.25">
      <c r="A118" s="255" t="s">
        <v>167</v>
      </c>
      <c r="B118" s="254" t="s">
        <v>168</v>
      </c>
      <c r="C118" s="255" t="s">
        <v>13</v>
      </c>
      <c r="D118" s="295">
        <v>309.35000000000002</v>
      </c>
      <c r="E118" s="243">
        <v>104672</v>
      </c>
      <c r="F118" s="243">
        <f>ROUND(+E118*D118,2)</f>
        <v>32380283.199999999</v>
      </c>
      <c r="G118" s="9">
        <v>104672</v>
      </c>
      <c r="H118" s="9">
        <v>32380283.199999999</v>
      </c>
      <c r="I118" s="339">
        <f t="shared" si="4"/>
        <v>0</v>
      </c>
      <c r="J118" s="339">
        <f t="shared" si="5"/>
        <v>0</v>
      </c>
      <c r="K118" s="9">
        <f t="shared" si="6"/>
        <v>0</v>
      </c>
    </row>
    <row r="119" spans="1:11" s="9" customFormat="1" ht="35.1" customHeight="1" x14ac:dyDescent="0.25">
      <c r="A119" s="255" t="s">
        <v>169</v>
      </c>
      <c r="B119" s="254" t="s">
        <v>159</v>
      </c>
      <c r="C119" s="255" t="s">
        <v>13</v>
      </c>
      <c r="D119" s="295">
        <v>252.37</v>
      </c>
      <c r="E119" s="243">
        <v>95187</v>
      </c>
      <c r="F119" s="243">
        <f>ROUND(+E119*D119,2)</f>
        <v>24022343.190000001</v>
      </c>
      <c r="G119" s="9">
        <v>95187</v>
      </c>
      <c r="H119" s="9">
        <v>24022343.190000001</v>
      </c>
      <c r="I119" s="339">
        <f t="shared" si="4"/>
        <v>0</v>
      </c>
      <c r="J119" s="339">
        <f t="shared" si="5"/>
        <v>0</v>
      </c>
      <c r="K119" s="9">
        <f t="shared" si="6"/>
        <v>0</v>
      </c>
    </row>
    <row r="120" spans="1:11" s="9" customFormat="1" ht="35.1" customHeight="1" x14ac:dyDescent="0.25">
      <c r="A120" s="270" t="s">
        <v>170</v>
      </c>
      <c r="B120" s="271" t="s">
        <v>171</v>
      </c>
      <c r="C120" s="272"/>
      <c r="D120" s="317"/>
      <c r="E120" s="307"/>
      <c r="F120" s="273"/>
      <c r="I120" s="339">
        <f t="shared" si="4"/>
        <v>0</v>
      </c>
      <c r="J120" s="339">
        <f t="shared" si="5"/>
        <v>0</v>
      </c>
      <c r="K120" s="9">
        <f t="shared" si="6"/>
        <v>0</v>
      </c>
    </row>
    <row r="121" spans="1:11" s="9" customFormat="1" ht="35.1" customHeight="1" x14ac:dyDescent="0.25">
      <c r="A121" s="255" t="s">
        <v>172</v>
      </c>
      <c r="B121" s="254" t="s">
        <v>153</v>
      </c>
      <c r="C121" s="255" t="s">
        <v>13</v>
      </c>
      <c r="D121" s="295">
        <v>1521.96</v>
      </c>
      <c r="E121" s="243">
        <v>110969</v>
      </c>
      <c r="F121" s="243">
        <f>ROUND(+E121*D121,2)</f>
        <v>168890379.24000001</v>
      </c>
      <c r="G121" s="9">
        <v>110969</v>
      </c>
      <c r="H121" s="9">
        <v>168890379.24000001</v>
      </c>
      <c r="I121" s="339">
        <f t="shared" si="4"/>
        <v>0</v>
      </c>
      <c r="J121" s="339">
        <f t="shared" si="5"/>
        <v>0</v>
      </c>
      <c r="K121" s="9">
        <f t="shared" si="6"/>
        <v>0</v>
      </c>
    </row>
    <row r="122" spans="1:11" s="9" customFormat="1" ht="35.1" customHeight="1" x14ac:dyDescent="0.25">
      <c r="A122" s="255" t="s">
        <v>173</v>
      </c>
      <c r="B122" s="254" t="s">
        <v>164</v>
      </c>
      <c r="C122" s="255" t="s">
        <v>13</v>
      </c>
      <c r="D122" s="295">
        <v>270.19</v>
      </c>
      <c r="E122" s="243">
        <v>72415</v>
      </c>
      <c r="F122" s="243">
        <f>ROUND(+E122*D122,2)</f>
        <v>19565808.850000001</v>
      </c>
      <c r="G122" s="9">
        <v>72415</v>
      </c>
      <c r="H122" s="9">
        <v>19565808.850000001</v>
      </c>
      <c r="I122" s="339">
        <f t="shared" si="4"/>
        <v>0</v>
      </c>
      <c r="J122" s="339">
        <f t="shared" si="5"/>
        <v>0</v>
      </c>
      <c r="K122" s="9">
        <f t="shared" si="6"/>
        <v>0</v>
      </c>
    </row>
    <row r="123" spans="1:11" s="9" customFormat="1" ht="35.1" customHeight="1" x14ac:dyDescent="0.25">
      <c r="A123" s="255" t="s">
        <v>174</v>
      </c>
      <c r="B123" s="254" t="s">
        <v>159</v>
      </c>
      <c r="C123" s="255" t="s">
        <v>13</v>
      </c>
      <c r="D123" s="295">
        <v>162.60999999999999</v>
      </c>
      <c r="E123" s="243">
        <v>95187</v>
      </c>
      <c r="F123" s="243">
        <f>ROUND(+E123*D123,2)</f>
        <v>15478358.07</v>
      </c>
      <c r="G123" s="9">
        <v>95187</v>
      </c>
      <c r="H123" s="9">
        <v>15478358.07</v>
      </c>
      <c r="I123" s="339">
        <f t="shared" si="4"/>
        <v>0</v>
      </c>
      <c r="J123" s="339">
        <f t="shared" si="5"/>
        <v>0</v>
      </c>
      <c r="K123" s="9">
        <f t="shared" si="6"/>
        <v>0</v>
      </c>
    </row>
    <row r="124" spans="1:11" s="9" customFormat="1" ht="35.1" customHeight="1" x14ac:dyDescent="0.25">
      <c r="A124" s="244" t="s">
        <v>1103</v>
      </c>
      <c r="B124" s="245" t="s">
        <v>1104</v>
      </c>
      <c r="C124" s="260"/>
      <c r="D124" s="313"/>
      <c r="E124" s="303"/>
      <c r="F124" s="246"/>
      <c r="I124" s="339">
        <f t="shared" si="4"/>
        <v>0</v>
      </c>
      <c r="J124" s="339">
        <f t="shared" si="5"/>
        <v>0</v>
      </c>
      <c r="K124" s="9">
        <f t="shared" si="6"/>
        <v>0</v>
      </c>
    </row>
    <row r="125" spans="1:11" s="9" customFormat="1" ht="35.1" customHeight="1" x14ac:dyDescent="0.25">
      <c r="A125" s="255" t="s">
        <v>1105</v>
      </c>
      <c r="B125" s="254" t="s">
        <v>153</v>
      </c>
      <c r="C125" s="255" t="s">
        <v>13</v>
      </c>
      <c r="D125" s="295">
        <v>1159.8800000000001</v>
      </c>
      <c r="E125" s="243">
        <v>124643</v>
      </c>
      <c r="F125" s="243">
        <f>ROUND(+E125*D125,2)</f>
        <v>144570922.84</v>
      </c>
      <c r="G125" s="9">
        <v>124643</v>
      </c>
      <c r="H125" s="9">
        <v>144570922.84</v>
      </c>
      <c r="I125" s="339">
        <f t="shared" si="4"/>
        <v>0</v>
      </c>
      <c r="J125" s="339">
        <f t="shared" si="5"/>
        <v>0</v>
      </c>
      <c r="K125" s="9">
        <f t="shared" si="6"/>
        <v>0</v>
      </c>
    </row>
    <row r="126" spans="1:11" s="9" customFormat="1" ht="35.1" customHeight="1" x14ac:dyDescent="0.25">
      <c r="A126" s="255" t="s">
        <v>1106</v>
      </c>
      <c r="B126" s="254" t="s">
        <v>164</v>
      </c>
      <c r="C126" s="255" t="s">
        <v>13</v>
      </c>
      <c r="D126" s="295">
        <v>53.48</v>
      </c>
      <c r="E126" s="243">
        <v>72415</v>
      </c>
      <c r="F126" s="243">
        <f>ROUND(+E126*D126,2)</f>
        <v>3872754.2</v>
      </c>
      <c r="G126" s="9">
        <v>72415</v>
      </c>
      <c r="H126" s="9">
        <v>3872754.2</v>
      </c>
      <c r="I126" s="339">
        <f t="shared" si="4"/>
        <v>0</v>
      </c>
      <c r="J126" s="339">
        <f t="shared" si="5"/>
        <v>0</v>
      </c>
      <c r="K126" s="9">
        <f t="shared" si="6"/>
        <v>0</v>
      </c>
    </row>
    <row r="127" spans="1:11" s="9" customFormat="1" ht="35.1" customHeight="1" x14ac:dyDescent="0.25">
      <c r="A127" s="255" t="s">
        <v>1107</v>
      </c>
      <c r="B127" s="254" t="s">
        <v>159</v>
      </c>
      <c r="C127" s="255" t="s">
        <v>13</v>
      </c>
      <c r="D127" s="295">
        <v>9</v>
      </c>
      <c r="E127" s="243">
        <v>98762</v>
      </c>
      <c r="F127" s="243">
        <f>ROUND(+E127*D127,2)</f>
        <v>888858</v>
      </c>
      <c r="G127" s="9">
        <v>98762</v>
      </c>
      <c r="H127" s="9">
        <v>888858</v>
      </c>
      <c r="I127" s="339">
        <f t="shared" si="4"/>
        <v>0</v>
      </c>
      <c r="J127" s="339">
        <f t="shared" si="5"/>
        <v>0</v>
      </c>
      <c r="K127" s="9">
        <f t="shared" si="6"/>
        <v>0</v>
      </c>
    </row>
    <row r="128" spans="1:11" s="9" customFormat="1" ht="35.1" customHeight="1" x14ac:dyDescent="0.25">
      <c r="A128" s="244" t="s">
        <v>1108</v>
      </c>
      <c r="B128" s="245" t="s">
        <v>1109</v>
      </c>
      <c r="C128" s="260"/>
      <c r="D128" s="313"/>
      <c r="E128" s="303"/>
      <c r="F128" s="246"/>
      <c r="I128" s="339">
        <f t="shared" si="4"/>
        <v>0</v>
      </c>
      <c r="J128" s="339">
        <f t="shared" si="5"/>
        <v>0</v>
      </c>
      <c r="K128" s="9">
        <f t="shared" si="6"/>
        <v>0</v>
      </c>
    </row>
    <row r="129" spans="1:11" s="9" customFormat="1" ht="35.1" customHeight="1" x14ac:dyDescent="0.25">
      <c r="A129" s="255" t="s">
        <v>1110</v>
      </c>
      <c r="B129" s="254" t="s">
        <v>153</v>
      </c>
      <c r="C129" s="255" t="s">
        <v>13</v>
      </c>
      <c r="D129" s="295">
        <v>949.13</v>
      </c>
      <c r="E129" s="243">
        <v>124643</v>
      </c>
      <c r="F129" s="243">
        <f>ROUND(+E129*D129,2)</f>
        <v>118302410.59</v>
      </c>
      <c r="G129" s="9">
        <v>124643</v>
      </c>
      <c r="H129" s="9">
        <v>118302410.59</v>
      </c>
      <c r="I129" s="339">
        <f t="shared" si="4"/>
        <v>0</v>
      </c>
      <c r="J129" s="339">
        <f t="shared" si="5"/>
        <v>0</v>
      </c>
      <c r="K129" s="9">
        <f t="shared" si="6"/>
        <v>0</v>
      </c>
    </row>
    <row r="130" spans="1:11" s="9" customFormat="1" ht="35.1" customHeight="1" x14ac:dyDescent="0.25">
      <c r="A130" s="255" t="s">
        <v>1111</v>
      </c>
      <c r="B130" s="254" t="s">
        <v>159</v>
      </c>
      <c r="C130" s="255" t="s">
        <v>13</v>
      </c>
      <c r="D130" s="295">
        <v>56.54</v>
      </c>
      <c r="E130" s="243">
        <v>98762</v>
      </c>
      <c r="F130" s="243">
        <f>ROUND(+E130*D130,2)</f>
        <v>5584003.4800000004</v>
      </c>
      <c r="G130" s="9">
        <v>98762</v>
      </c>
      <c r="H130" s="9">
        <v>5584003.4800000004</v>
      </c>
      <c r="I130" s="339">
        <f t="shared" si="4"/>
        <v>0</v>
      </c>
      <c r="J130" s="339">
        <f t="shared" si="5"/>
        <v>0</v>
      </c>
      <c r="K130" s="9">
        <f t="shared" si="6"/>
        <v>0</v>
      </c>
    </row>
    <row r="131" spans="1:11" s="9" customFormat="1" ht="35.1" customHeight="1" x14ac:dyDescent="0.25">
      <c r="A131" s="247">
        <v>7</v>
      </c>
      <c r="B131" s="248" t="s">
        <v>175</v>
      </c>
      <c r="C131" s="248"/>
      <c r="D131" s="314"/>
      <c r="E131" s="308"/>
      <c r="F131" s="274"/>
      <c r="I131" s="339">
        <f t="shared" si="4"/>
        <v>0</v>
      </c>
      <c r="J131" s="339">
        <f t="shared" si="5"/>
        <v>0</v>
      </c>
      <c r="K131" s="9">
        <f t="shared" si="6"/>
        <v>0</v>
      </c>
    </row>
    <row r="132" spans="1:11" s="9" customFormat="1" ht="35.1" customHeight="1" x14ac:dyDescent="0.25">
      <c r="A132" s="244" t="s">
        <v>176</v>
      </c>
      <c r="B132" s="256" t="s">
        <v>177</v>
      </c>
      <c r="C132" s="256"/>
      <c r="D132" s="313"/>
      <c r="E132" s="303"/>
      <c r="F132" s="246"/>
      <c r="I132" s="339">
        <f t="shared" si="4"/>
        <v>0</v>
      </c>
      <c r="J132" s="339">
        <f t="shared" si="5"/>
        <v>0</v>
      </c>
      <c r="K132" s="9">
        <f t="shared" si="6"/>
        <v>0</v>
      </c>
    </row>
    <row r="133" spans="1:11" s="9" customFormat="1" ht="35.1" customHeight="1" x14ac:dyDescent="0.25">
      <c r="A133" s="255" t="s">
        <v>178</v>
      </c>
      <c r="B133" s="254" t="s">
        <v>1112</v>
      </c>
      <c r="C133" s="240" t="s">
        <v>13</v>
      </c>
      <c r="D133" s="295">
        <v>4.8600000000000003</v>
      </c>
      <c r="E133" s="243">
        <v>274296</v>
      </c>
      <c r="F133" s="243">
        <f>ROUND(+E133*D133,2)</f>
        <v>1333078.56</v>
      </c>
      <c r="G133" s="9">
        <v>274296</v>
      </c>
      <c r="H133" s="9">
        <v>1333078.56</v>
      </c>
      <c r="I133" s="339">
        <f t="shared" ref="I133:I196" si="11">+E133-G133</f>
        <v>0</v>
      </c>
      <c r="J133" s="339">
        <f t="shared" ref="J133:J196" si="12">+H133-F133</f>
        <v>0</v>
      </c>
      <c r="K133" s="9">
        <f t="shared" ref="K133:K196" si="13">IF(J133&gt;0,1,0)</f>
        <v>0</v>
      </c>
    </row>
    <row r="134" spans="1:11" s="9" customFormat="1" ht="35.1" customHeight="1" x14ac:dyDescent="0.25">
      <c r="A134" s="244" t="s">
        <v>180</v>
      </c>
      <c r="B134" s="245" t="s">
        <v>181</v>
      </c>
      <c r="C134" s="244"/>
      <c r="D134" s="313"/>
      <c r="E134" s="303"/>
      <c r="F134" s="246"/>
      <c r="I134" s="339">
        <f t="shared" si="11"/>
        <v>0</v>
      </c>
      <c r="J134" s="339">
        <f t="shared" si="12"/>
        <v>0</v>
      </c>
      <c r="K134" s="9">
        <f t="shared" si="13"/>
        <v>0</v>
      </c>
    </row>
    <row r="135" spans="1:11" s="9" customFormat="1" ht="35.1" customHeight="1" x14ac:dyDescent="0.25">
      <c r="A135" s="255" t="s">
        <v>182</v>
      </c>
      <c r="B135" s="254" t="s">
        <v>183</v>
      </c>
      <c r="C135" s="240" t="s">
        <v>13</v>
      </c>
      <c r="D135" s="295">
        <v>0.55000000000000004</v>
      </c>
      <c r="E135" s="243">
        <v>274296</v>
      </c>
      <c r="F135" s="243">
        <f>ROUND(+E135*D135,2)</f>
        <v>150862.79999999999</v>
      </c>
      <c r="G135" s="9">
        <v>274296</v>
      </c>
      <c r="H135" s="9">
        <v>150862.79999999999</v>
      </c>
      <c r="I135" s="339">
        <f t="shared" si="11"/>
        <v>0</v>
      </c>
      <c r="J135" s="339">
        <f t="shared" si="12"/>
        <v>0</v>
      </c>
      <c r="K135" s="9">
        <f t="shared" si="13"/>
        <v>0</v>
      </c>
    </row>
    <row r="136" spans="1:11" s="9" customFormat="1" ht="35.1" customHeight="1" x14ac:dyDescent="0.25">
      <c r="A136" s="255" t="s">
        <v>184</v>
      </c>
      <c r="B136" s="254" t="s">
        <v>1113</v>
      </c>
      <c r="C136" s="240" t="s">
        <v>13</v>
      </c>
      <c r="D136" s="295">
        <v>0.36</v>
      </c>
      <c r="E136" s="243">
        <v>274296</v>
      </c>
      <c r="F136" s="243">
        <f>ROUND(+E136*D136,2)</f>
        <v>98746.559999999998</v>
      </c>
      <c r="G136" s="9">
        <v>274296</v>
      </c>
      <c r="H136" s="9">
        <v>98746.559999999998</v>
      </c>
      <c r="I136" s="339">
        <f t="shared" si="11"/>
        <v>0</v>
      </c>
      <c r="J136" s="339">
        <f t="shared" si="12"/>
        <v>0</v>
      </c>
      <c r="K136" s="9">
        <f t="shared" si="13"/>
        <v>0</v>
      </c>
    </row>
    <row r="137" spans="1:11" s="9" customFormat="1" ht="35.1" customHeight="1" x14ac:dyDescent="0.25">
      <c r="A137" s="244" t="s">
        <v>186</v>
      </c>
      <c r="B137" s="245" t="s">
        <v>187</v>
      </c>
      <c r="C137" s="244"/>
      <c r="D137" s="313"/>
      <c r="E137" s="303"/>
      <c r="F137" s="246"/>
      <c r="I137" s="339">
        <f t="shared" si="11"/>
        <v>0</v>
      </c>
      <c r="J137" s="339">
        <f t="shared" si="12"/>
        <v>0</v>
      </c>
      <c r="K137" s="9">
        <f t="shared" si="13"/>
        <v>0</v>
      </c>
    </row>
    <row r="138" spans="1:11" s="9" customFormat="1" ht="35.1" customHeight="1" x14ac:dyDescent="0.25">
      <c r="A138" s="255" t="s">
        <v>188</v>
      </c>
      <c r="B138" s="254" t="s">
        <v>189</v>
      </c>
      <c r="C138" s="240" t="s">
        <v>13</v>
      </c>
      <c r="D138" s="295">
        <v>0.05</v>
      </c>
      <c r="E138" s="243">
        <v>274296</v>
      </c>
      <c r="F138" s="243">
        <f>ROUND(+E138*D138,2)</f>
        <v>13714.8</v>
      </c>
      <c r="G138" s="9">
        <v>274296</v>
      </c>
      <c r="H138" s="9">
        <v>13714.8</v>
      </c>
      <c r="I138" s="339">
        <f t="shared" si="11"/>
        <v>0</v>
      </c>
      <c r="J138" s="339">
        <f t="shared" si="12"/>
        <v>0</v>
      </c>
      <c r="K138" s="9">
        <f t="shared" si="13"/>
        <v>0</v>
      </c>
    </row>
    <row r="139" spans="1:11" s="9" customFormat="1" ht="35.1" customHeight="1" x14ac:dyDescent="0.25">
      <c r="A139" s="255" t="s">
        <v>190</v>
      </c>
      <c r="B139" s="254" t="s">
        <v>191</v>
      </c>
      <c r="C139" s="240" t="s">
        <v>13</v>
      </c>
      <c r="D139" s="295">
        <v>0.32</v>
      </c>
      <c r="E139" s="243">
        <v>274296</v>
      </c>
      <c r="F139" s="243">
        <f>ROUND(+E139*D139,2)</f>
        <v>87774.720000000001</v>
      </c>
      <c r="G139" s="9">
        <v>274296</v>
      </c>
      <c r="H139" s="9">
        <v>87774.720000000001</v>
      </c>
      <c r="I139" s="339">
        <f t="shared" si="11"/>
        <v>0</v>
      </c>
      <c r="J139" s="339">
        <f t="shared" si="12"/>
        <v>0</v>
      </c>
      <c r="K139" s="9">
        <f t="shared" si="13"/>
        <v>0</v>
      </c>
    </row>
    <row r="140" spans="1:11" s="9" customFormat="1" ht="35.1" customHeight="1" x14ac:dyDescent="0.25">
      <c r="A140" s="255" t="s">
        <v>192</v>
      </c>
      <c r="B140" s="254" t="s">
        <v>183</v>
      </c>
      <c r="C140" s="240" t="s">
        <v>13</v>
      </c>
      <c r="D140" s="295">
        <v>0.48</v>
      </c>
      <c r="E140" s="243">
        <v>274296</v>
      </c>
      <c r="F140" s="243">
        <f>ROUND(+E140*D140,2)</f>
        <v>131662.07999999999</v>
      </c>
      <c r="G140" s="9">
        <v>274296</v>
      </c>
      <c r="H140" s="9">
        <v>131662.07999999999</v>
      </c>
      <c r="I140" s="339">
        <f t="shared" si="11"/>
        <v>0</v>
      </c>
      <c r="J140" s="339">
        <f t="shared" si="12"/>
        <v>0</v>
      </c>
      <c r="K140" s="9">
        <f t="shared" si="13"/>
        <v>0</v>
      </c>
    </row>
    <row r="141" spans="1:11" s="9" customFormat="1" ht="35.1" customHeight="1" x14ac:dyDescent="0.25">
      <c r="A141" s="255" t="s">
        <v>193</v>
      </c>
      <c r="B141" s="254" t="s">
        <v>1114</v>
      </c>
      <c r="C141" s="240" t="s">
        <v>13</v>
      </c>
      <c r="D141" s="295">
        <v>0.12</v>
      </c>
      <c r="E141" s="243">
        <v>274296</v>
      </c>
      <c r="F141" s="243">
        <f>ROUND(+E141*D141,2)</f>
        <v>32915.519999999997</v>
      </c>
      <c r="G141" s="9">
        <v>274296</v>
      </c>
      <c r="H141" s="9">
        <v>32915.519999999997</v>
      </c>
      <c r="I141" s="339">
        <f t="shared" si="11"/>
        <v>0</v>
      </c>
      <c r="J141" s="339">
        <f t="shared" si="12"/>
        <v>0</v>
      </c>
      <c r="K141" s="9">
        <f t="shared" si="13"/>
        <v>0</v>
      </c>
    </row>
    <row r="142" spans="1:11" s="9" customFormat="1" ht="35.1" customHeight="1" x14ac:dyDescent="0.25">
      <c r="A142" s="255" t="s">
        <v>194</v>
      </c>
      <c r="B142" s="254" t="s">
        <v>195</v>
      </c>
      <c r="C142" s="240" t="s">
        <v>13</v>
      </c>
      <c r="D142" s="295">
        <v>0.36</v>
      </c>
      <c r="E142" s="243">
        <v>274296</v>
      </c>
      <c r="F142" s="243">
        <f>ROUND(+E142*D142,2)</f>
        <v>98746.559999999998</v>
      </c>
      <c r="G142" s="9">
        <v>274296</v>
      </c>
      <c r="H142" s="9">
        <v>98746.559999999998</v>
      </c>
      <c r="I142" s="339">
        <f t="shared" si="11"/>
        <v>0</v>
      </c>
      <c r="J142" s="339">
        <f t="shared" si="12"/>
        <v>0</v>
      </c>
      <c r="K142" s="9">
        <f t="shared" si="13"/>
        <v>0</v>
      </c>
    </row>
    <row r="143" spans="1:11" s="9" customFormat="1" ht="35.1" customHeight="1" x14ac:dyDescent="0.25">
      <c r="A143" s="244" t="s">
        <v>1115</v>
      </c>
      <c r="B143" s="245" t="s">
        <v>1116</v>
      </c>
      <c r="C143" s="244"/>
      <c r="D143" s="313"/>
      <c r="E143" s="303"/>
      <c r="F143" s="246"/>
      <c r="I143" s="339">
        <f t="shared" si="11"/>
        <v>0</v>
      </c>
      <c r="J143" s="339">
        <f t="shared" si="12"/>
        <v>0</v>
      </c>
      <c r="K143" s="9">
        <f t="shared" si="13"/>
        <v>0</v>
      </c>
    </row>
    <row r="144" spans="1:11" s="9" customFormat="1" ht="35.1" customHeight="1" x14ac:dyDescent="0.25">
      <c r="A144" s="255" t="s">
        <v>1117</v>
      </c>
      <c r="B144" s="254" t="s">
        <v>189</v>
      </c>
      <c r="C144" s="240" t="s">
        <v>13</v>
      </c>
      <c r="D144" s="295">
        <v>0.54</v>
      </c>
      <c r="E144" s="243">
        <v>274997</v>
      </c>
      <c r="F144" s="243">
        <f>ROUND(+E144*D144,2)</f>
        <v>148498.38</v>
      </c>
      <c r="G144" s="9">
        <v>274997</v>
      </c>
      <c r="H144" s="9">
        <v>148498.38</v>
      </c>
      <c r="I144" s="339">
        <f t="shared" si="11"/>
        <v>0</v>
      </c>
      <c r="J144" s="339">
        <f t="shared" si="12"/>
        <v>0</v>
      </c>
      <c r="K144" s="9">
        <f t="shared" si="13"/>
        <v>0</v>
      </c>
    </row>
    <row r="145" spans="1:11" s="9" customFormat="1" ht="35.1" customHeight="1" x14ac:dyDescent="0.25">
      <c r="A145" s="255" t="s">
        <v>1118</v>
      </c>
      <c r="B145" s="254" t="s">
        <v>191</v>
      </c>
      <c r="C145" s="240" t="s">
        <v>13</v>
      </c>
      <c r="D145" s="295">
        <v>2.38</v>
      </c>
      <c r="E145" s="243">
        <v>274997</v>
      </c>
      <c r="F145" s="243">
        <f>ROUND(+E145*D145,2)</f>
        <v>654492.86</v>
      </c>
      <c r="G145" s="9">
        <v>274997</v>
      </c>
      <c r="H145" s="9">
        <v>654492.86</v>
      </c>
      <c r="I145" s="339">
        <f t="shared" si="11"/>
        <v>0</v>
      </c>
      <c r="J145" s="339">
        <f t="shared" si="12"/>
        <v>0</v>
      </c>
      <c r="K145" s="9">
        <f t="shared" si="13"/>
        <v>0</v>
      </c>
    </row>
    <row r="146" spans="1:11" s="9" customFormat="1" ht="35.1" customHeight="1" x14ac:dyDescent="0.25">
      <c r="A146" s="255" t="s">
        <v>1119</v>
      </c>
      <c r="B146" s="254" t="s">
        <v>183</v>
      </c>
      <c r="C146" s="240" t="s">
        <v>13</v>
      </c>
      <c r="D146" s="295">
        <v>3.45</v>
      </c>
      <c r="E146" s="243">
        <v>274997</v>
      </c>
      <c r="F146" s="243">
        <f>ROUND(+E146*D146,2)</f>
        <v>948739.65</v>
      </c>
      <c r="G146" s="9">
        <v>274997</v>
      </c>
      <c r="H146" s="9">
        <v>948739.65</v>
      </c>
      <c r="I146" s="339">
        <f t="shared" si="11"/>
        <v>0</v>
      </c>
      <c r="J146" s="339">
        <f t="shared" si="12"/>
        <v>0</v>
      </c>
      <c r="K146" s="9">
        <f t="shared" si="13"/>
        <v>0</v>
      </c>
    </row>
    <row r="147" spans="1:11" s="9" customFormat="1" ht="35.1" customHeight="1" x14ac:dyDescent="0.25">
      <c r="A147" s="255" t="s">
        <v>1120</v>
      </c>
      <c r="B147" s="254" t="s">
        <v>195</v>
      </c>
      <c r="C147" s="240" t="s">
        <v>13</v>
      </c>
      <c r="D147" s="295">
        <v>1.8</v>
      </c>
      <c r="E147" s="243">
        <v>274997</v>
      </c>
      <c r="F147" s="243">
        <f>ROUND(+E147*D147,2)</f>
        <v>494994.6</v>
      </c>
      <c r="G147" s="9">
        <v>274997</v>
      </c>
      <c r="H147" s="9">
        <v>494994.6</v>
      </c>
      <c r="I147" s="339">
        <f t="shared" si="11"/>
        <v>0</v>
      </c>
      <c r="J147" s="339">
        <f t="shared" si="12"/>
        <v>0</v>
      </c>
      <c r="K147" s="9">
        <f t="shared" si="13"/>
        <v>0</v>
      </c>
    </row>
    <row r="148" spans="1:11" s="9" customFormat="1" ht="35.1" customHeight="1" x14ac:dyDescent="0.25">
      <c r="A148" s="244" t="s">
        <v>1121</v>
      </c>
      <c r="B148" s="245" t="s">
        <v>1122</v>
      </c>
      <c r="C148" s="244"/>
      <c r="D148" s="313"/>
      <c r="E148" s="303"/>
      <c r="F148" s="246"/>
      <c r="I148" s="339">
        <f t="shared" si="11"/>
        <v>0</v>
      </c>
      <c r="J148" s="339">
        <f t="shared" si="12"/>
        <v>0</v>
      </c>
      <c r="K148" s="9">
        <f t="shared" si="13"/>
        <v>0</v>
      </c>
    </row>
    <row r="149" spans="1:11" s="9" customFormat="1" ht="35.1" customHeight="1" x14ac:dyDescent="0.25">
      <c r="A149" s="255" t="s">
        <v>1123</v>
      </c>
      <c r="B149" s="254" t="s">
        <v>183</v>
      </c>
      <c r="C149" s="240" t="s">
        <v>13</v>
      </c>
      <c r="D149" s="295">
        <v>3.45</v>
      </c>
      <c r="E149" s="243">
        <v>274997</v>
      </c>
      <c r="F149" s="243">
        <f>ROUND(+E149*D149,2)</f>
        <v>948739.65</v>
      </c>
      <c r="G149" s="9">
        <v>274997</v>
      </c>
      <c r="H149" s="9">
        <v>948739.65</v>
      </c>
      <c r="I149" s="339">
        <f t="shared" si="11"/>
        <v>0</v>
      </c>
      <c r="J149" s="339">
        <f t="shared" si="12"/>
        <v>0</v>
      </c>
      <c r="K149" s="9">
        <f t="shared" si="13"/>
        <v>0</v>
      </c>
    </row>
    <row r="150" spans="1:11" s="9" customFormat="1" ht="35.1" customHeight="1" x14ac:dyDescent="0.25">
      <c r="A150" s="247">
        <v>8</v>
      </c>
      <c r="B150" s="248" t="s">
        <v>196</v>
      </c>
      <c r="C150" s="248"/>
      <c r="D150" s="314"/>
      <c r="E150" s="305"/>
      <c r="F150" s="249"/>
      <c r="I150" s="339">
        <f t="shared" si="11"/>
        <v>0</v>
      </c>
      <c r="J150" s="339">
        <f t="shared" si="12"/>
        <v>0</v>
      </c>
      <c r="K150" s="9">
        <f t="shared" si="13"/>
        <v>0</v>
      </c>
    </row>
    <row r="151" spans="1:11" s="9" customFormat="1" ht="35.1" customHeight="1" x14ac:dyDescent="0.25">
      <c r="A151" s="244" t="s">
        <v>197</v>
      </c>
      <c r="B151" s="245" t="s">
        <v>198</v>
      </c>
      <c r="C151" s="244"/>
      <c r="D151" s="313"/>
      <c r="E151" s="303"/>
      <c r="F151" s="246"/>
      <c r="I151" s="339">
        <f t="shared" si="11"/>
        <v>0</v>
      </c>
      <c r="J151" s="339">
        <f t="shared" si="12"/>
        <v>0</v>
      </c>
      <c r="K151" s="9">
        <f t="shared" si="13"/>
        <v>0</v>
      </c>
    </row>
    <row r="152" spans="1:11" s="9" customFormat="1" ht="35.1" customHeight="1" x14ac:dyDescent="0.25">
      <c r="A152" s="255" t="s">
        <v>199</v>
      </c>
      <c r="B152" s="254" t="s">
        <v>200</v>
      </c>
      <c r="C152" s="240" t="s">
        <v>13</v>
      </c>
      <c r="D152" s="295">
        <v>61.199999999999996</v>
      </c>
      <c r="E152" s="243">
        <v>319840</v>
      </c>
      <c r="F152" s="243">
        <f>ROUND(+E152*D152,2)</f>
        <v>19574208</v>
      </c>
      <c r="G152" s="9">
        <v>319840</v>
      </c>
      <c r="H152" s="9">
        <v>19574208</v>
      </c>
      <c r="I152" s="339">
        <f t="shared" si="11"/>
        <v>0</v>
      </c>
      <c r="J152" s="339">
        <f t="shared" si="12"/>
        <v>0</v>
      </c>
      <c r="K152" s="9">
        <f t="shared" si="13"/>
        <v>0</v>
      </c>
    </row>
    <row r="153" spans="1:11" s="9" customFormat="1" ht="35.1" customHeight="1" x14ac:dyDescent="0.25">
      <c r="A153" s="255" t="s">
        <v>201</v>
      </c>
      <c r="B153" s="254" t="s">
        <v>202</v>
      </c>
      <c r="C153" s="240" t="s">
        <v>13</v>
      </c>
      <c r="D153" s="295">
        <v>222.85</v>
      </c>
      <c r="E153" s="243">
        <v>362451</v>
      </c>
      <c r="F153" s="243">
        <f>ROUND(+E153*D153,2)</f>
        <v>80772205.349999994</v>
      </c>
      <c r="G153" s="9">
        <v>362451</v>
      </c>
      <c r="H153" s="9">
        <v>80772205.349999994</v>
      </c>
      <c r="I153" s="339">
        <f t="shared" si="11"/>
        <v>0</v>
      </c>
      <c r="J153" s="339">
        <f t="shared" si="12"/>
        <v>0</v>
      </c>
      <c r="K153" s="9">
        <f t="shared" si="13"/>
        <v>0</v>
      </c>
    </row>
    <row r="154" spans="1:11" s="9" customFormat="1" ht="35.1" customHeight="1" x14ac:dyDescent="0.25">
      <c r="A154" s="255" t="s">
        <v>203</v>
      </c>
      <c r="B154" s="254" t="s">
        <v>204</v>
      </c>
      <c r="C154" s="240" t="s">
        <v>13</v>
      </c>
      <c r="D154" s="295">
        <v>34.020000000000003</v>
      </c>
      <c r="E154" s="243">
        <v>379207</v>
      </c>
      <c r="F154" s="243">
        <f>ROUND(+E154*D154,2)</f>
        <v>12900622.140000001</v>
      </c>
      <c r="G154" s="9">
        <v>379207</v>
      </c>
      <c r="H154" s="9">
        <v>12900622.140000001</v>
      </c>
      <c r="I154" s="339">
        <f t="shared" si="11"/>
        <v>0</v>
      </c>
      <c r="J154" s="339">
        <f t="shared" si="12"/>
        <v>0</v>
      </c>
      <c r="K154" s="9">
        <f t="shared" si="13"/>
        <v>0</v>
      </c>
    </row>
    <row r="155" spans="1:11" s="9" customFormat="1" ht="35.1" customHeight="1" x14ac:dyDescent="0.25">
      <c r="A155" s="255" t="s">
        <v>205</v>
      </c>
      <c r="B155" s="254" t="s">
        <v>206</v>
      </c>
      <c r="C155" s="240" t="s">
        <v>13</v>
      </c>
      <c r="D155" s="295">
        <v>26.13</v>
      </c>
      <c r="E155" s="243">
        <v>379207</v>
      </c>
      <c r="F155" s="243">
        <f>ROUND(+E155*D155,2)</f>
        <v>9908678.9100000001</v>
      </c>
      <c r="G155" s="9">
        <v>379207</v>
      </c>
      <c r="H155" s="9">
        <v>9908678.9100000001</v>
      </c>
      <c r="I155" s="339">
        <f t="shared" si="11"/>
        <v>0</v>
      </c>
      <c r="J155" s="339">
        <f t="shared" si="12"/>
        <v>0</v>
      </c>
      <c r="K155" s="9">
        <f t="shared" si="13"/>
        <v>0</v>
      </c>
    </row>
    <row r="156" spans="1:11" s="9" customFormat="1" ht="35.1" customHeight="1" x14ac:dyDescent="0.25">
      <c r="A156" s="244" t="s">
        <v>207</v>
      </c>
      <c r="B156" s="245" t="s">
        <v>208</v>
      </c>
      <c r="C156" s="244"/>
      <c r="D156" s="313"/>
      <c r="E156" s="303"/>
      <c r="F156" s="246"/>
      <c r="I156" s="339">
        <f t="shared" si="11"/>
        <v>0</v>
      </c>
      <c r="J156" s="339">
        <f t="shared" si="12"/>
        <v>0</v>
      </c>
      <c r="K156" s="9">
        <f t="shared" si="13"/>
        <v>0</v>
      </c>
    </row>
    <row r="157" spans="1:11" s="9" customFormat="1" ht="35.1" customHeight="1" x14ac:dyDescent="0.25">
      <c r="A157" s="255" t="s">
        <v>209</v>
      </c>
      <c r="B157" s="254" t="s">
        <v>210</v>
      </c>
      <c r="C157" s="240" t="s">
        <v>13</v>
      </c>
      <c r="D157" s="295">
        <v>243.77999999999997</v>
      </c>
      <c r="E157" s="243">
        <v>253611</v>
      </c>
      <c r="F157" s="243">
        <f t="shared" ref="F157:F163" si="14">ROUND(+E157*D157,2)</f>
        <v>61825289.579999998</v>
      </c>
      <c r="G157" s="9">
        <v>253611</v>
      </c>
      <c r="H157" s="9">
        <v>61825289.579999998</v>
      </c>
      <c r="I157" s="339">
        <f t="shared" si="11"/>
        <v>0</v>
      </c>
      <c r="J157" s="339">
        <f t="shared" si="12"/>
        <v>0</v>
      </c>
      <c r="K157" s="9">
        <f t="shared" si="13"/>
        <v>0</v>
      </c>
    </row>
    <row r="158" spans="1:11" s="9" customFormat="1" ht="35.1" customHeight="1" x14ac:dyDescent="0.25">
      <c r="A158" s="255" t="s">
        <v>211</v>
      </c>
      <c r="B158" s="254" t="s">
        <v>200</v>
      </c>
      <c r="C158" s="240" t="s">
        <v>13</v>
      </c>
      <c r="D158" s="295">
        <v>26.96</v>
      </c>
      <c r="E158" s="243">
        <v>319840</v>
      </c>
      <c r="F158" s="243">
        <f t="shared" si="14"/>
        <v>8622886.4000000004</v>
      </c>
      <c r="G158" s="9">
        <v>319840</v>
      </c>
      <c r="H158" s="9">
        <v>8622886.4000000004</v>
      </c>
      <c r="I158" s="339">
        <f t="shared" si="11"/>
        <v>0</v>
      </c>
      <c r="J158" s="339">
        <f t="shared" si="12"/>
        <v>0</v>
      </c>
      <c r="K158" s="9">
        <f t="shared" si="13"/>
        <v>0</v>
      </c>
    </row>
    <row r="159" spans="1:11" s="9" customFormat="1" ht="35.1" customHeight="1" x14ac:dyDescent="0.25">
      <c r="A159" s="255" t="s">
        <v>212</v>
      </c>
      <c r="B159" s="254" t="s">
        <v>202</v>
      </c>
      <c r="C159" s="240" t="s">
        <v>13</v>
      </c>
      <c r="D159" s="295">
        <v>60.01</v>
      </c>
      <c r="E159" s="243">
        <v>362451</v>
      </c>
      <c r="F159" s="243">
        <f t="shared" si="14"/>
        <v>21750684.510000002</v>
      </c>
      <c r="G159" s="9">
        <v>362451</v>
      </c>
      <c r="H159" s="9">
        <v>21750684.510000002</v>
      </c>
      <c r="I159" s="339">
        <f t="shared" si="11"/>
        <v>0</v>
      </c>
      <c r="J159" s="339">
        <f t="shared" si="12"/>
        <v>0</v>
      </c>
      <c r="K159" s="9">
        <f t="shared" si="13"/>
        <v>0</v>
      </c>
    </row>
    <row r="160" spans="1:11" s="9" customFormat="1" ht="35.1" customHeight="1" x14ac:dyDescent="0.25">
      <c r="A160" s="255" t="s">
        <v>213</v>
      </c>
      <c r="B160" s="254" t="s">
        <v>214</v>
      </c>
      <c r="C160" s="240" t="s">
        <v>13</v>
      </c>
      <c r="D160" s="295">
        <v>142.59</v>
      </c>
      <c r="E160" s="243">
        <v>362451</v>
      </c>
      <c r="F160" s="243">
        <f t="shared" si="14"/>
        <v>51681888.090000004</v>
      </c>
      <c r="G160" s="9">
        <v>362451</v>
      </c>
      <c r="H160" s="9">
        <v>51681888.090000004</v>
      </c>
      <c r="I160" s="339">
        <f t="shared" si="11"/>
        <v>0</v>
      </c>
      <c r="J160" s="339">
        <f t="shared" si="12"/>
        <v>0</v>
      </c>
      <c r="K160" s="9">
        <f t="shared" si="13"/>
        <v>0</v>
      </c>
    </row>
    <row r="161" spans="1:11" s="9" customFormat="1" ht="35.1" customHeight="1" x14ac:dyDescent="0.25">
      <c r="A161" s="255" t="s">
        <v>215</v>
      </c>
      <c r="B161" s="254" t="s">
        <v>216</v>
      </c>
      <c r="C161" s="240" t="s">
        <v>13</v>
      </c>
      <c r="D161" s="295">
        <v>86.97999999999999</v>
      </c>
      <c r="E161" s="243">
        <v>376284</v>
      </c>
      <c r="F161" s="243">
        <f t="shared" si="14"/>
        <v>32729182.32</v>
      </c>
      <c r="G161" s="9">
        <v>376284</v>
      </c>
      <c r="H161" s="9">
        <v>32729182.32</v>
      </c>
      <c r="I161" s="339">
        <f t="shared" si="11"/>
        <v>0</v>
      </c>
      <c r="J161" s="339">
        <f t="shared" si="12"/>
        <v>0</v>
      </c>
      <c r="K161" s="9">
        <f t="shared" si="13"/>
        <v>0</v>
      </c>
    </row>
    <row r="162" spans="1:11" s="9" customFormat="1" ht="35.1" customHeight="1" x14ac:dyDescent="0.25">
      <c r="A162" s="255" t="s">
        <v>217</v>
      </c>
      <c r="B162" s="254" t="s">
        <v>218</v>
      </c>
      <c r="C162" s="240" t="s">
        <v>13</v>
      </c>
      <c r="D162" s="295">
        <v>23.52</v>
      </c>
      <c r="E162" s="243">
        <v>379207</v>
      </c>
      <c r="F162" s="243">
        <f t="shared" si="14"/>
        <v>8918948.6400000006</v>
      </c>
      <c r="G162" s="9">
        <v>379207</v>
      </c>
      <c r="H162" s="9">
        <v>8918948.6400000006</v>
      </c>
      <c r="I162" s="339">
        <f t="shared" si="11"/>
        <v>0</v>
      </c>
      <c r="J162" s="339">
        <f t="shared" si="12"/>
        <v>0</v>
      </c>
      <c r="K162" s="9">
        <f t="shared" si="13"/>
        <v>0</v>
      </c>
    </row>
    <row r="163" spans="1:11" s="9" customFormat="1" ht="35.1" customHeight="1" x14ac:dyDescent="0.25">
      <c r="A163" s="255" t="s">
        <v>219</v>
      </c>
      <c r="B163" s="241" t="s">
        <v>220</v>
      </c>
      <c r="C163" s="240" t="s">
        <v>13</v>
      </c>
      <c r="D163" s="295">
        <v>26.38</v>
      </c>
      <c r="E163" s="243">
        <v>422487</v>
      </c>
      <c r="F163" s="243">
        <f t="shared" si="14"/>
        <v>11145207.060000001</v>
      </c>
      <c r="G163" s="9">
        <v>422487</v>
      </c>
      <c r="H163" s="9">
        <v>11145207.060000001</v>
      </c>
      <c r="I163" s="339">
        <f t="shared" si="11"/>
        <v>0</v>
      </c>
      <c r="J163" s="339">
        <f t="shared" si="12"/>
        <v>0</v>
      </c>
      <c r="K163" s="9">
        <f t="shared" si="13"/>
        <v>0</v>
      </c>
    </row>
    <row r="164" spans="1:11" s="9" customFormat="1" ht="35.1" customHeight="1" x14ac:dyDescent="0.25">
      <c r="A164" s="244" t="s">
        <v>1124</v>
      </c>
      <c r="B164" s="245" t="s">
        <v>1125</v>
      </c>
      <c r="C164" s="244"/>
      <c r="D164" s="313"/>
      <c r="E164" s="303"/>
      <c r="F164" s="246"/>
      <c r="I164" s="339">
        <f t="shared" si="11"/>
        <v>0</v>
      </c>
      <c r="J164" s="339">
        <f t="shared" si="12"/>
        <v>0</v>
      </c>
      <c r="K164" s="9">
        <f t="shared" si="13"/>
        <v>0</v>
      </c>
    </row>
    <row r="165" spans="1:11" s="9" customFormat="1" ht="35.1" customHeight="1" x14ac:dyDescent="0.25">
      <c r="A165" s="255" t="s">
        <v>1126</v>
      </c>
      <c r="B165" s="254" t="s">
        <v>210</v>
      </c>
      <c r="C165" s="240" t="s">
        <v>13</v>
      </c>
      <c r="D165" s="295">
        <v>181.07</v>
      </c>
      <c r="E165" s="243">
        <v>255936</v>
      </c>
      <c r="F165" s="243">
        <f t="shared" ref="F165:F170" si="15">ROUND(+E165*D165,2)</f>
        <v>46342331.520000003</v>
      </c>
      <c r="G165" s="9">
        <v>255936</v>
      </c>
      <c r="H165" s="9">
        <v>46342331.520000003</v>
      </c>
      <c r="I165" s="339">
        <f t="shared" si="11"/>
        <v>0</v>
      </c>
      <c r="J165" s="339">
        <f t="shared" si="12"/>
        <v>0</v>
      </c>
      <c r="K165" s="9">
        <f t="shared" si="13"/>
        <v>0</v>
      </c>
    </row>
    <row r="166" spans="1:11" s="9" customFormat="1" ht="35.1" customHeight="1" x14ac:dyDescent="0.25">
      <c r="A166" s="255" t="s">
        <v>1127</v>
      </c>
      <c r="B166" s="254" t="s">
        <v>1128</v>
      </c>
      <c r="C166" s="240" t="s">
        <v>13</v>
      </c>
      <c r="D166" s="295">
        <v>34.630000000000003</v>
      </c>
      <c r="E166" s="243">
        <v>319840</v>
      </c>
      <c r="F166" s="243">
        <f t="shared" si="15"/>
        <v>11076059.199999999</v>
      </c>
      <c r="G166" s="9">
        <v>319840</v>
      </c>
      <c r="H166" s="9">
        <v>11076059.199999999</v>
      </c>
      <c r="I166" s="339">
        <f t="shared" si="11"/>
        <v>0</v>
      </c>
      <c r="J166" s="339">
        <f t="shared" si="12"/>
        <v>0</v>
      </c>
      <c r="K166" s="9">
        <f t="shared" si="13"/>
        <v>0</v>
      </c>
    </row>
    <row r="167" spans="1:11" s="9" customFormat="1" ht="35.1" customHeight="1" x14ac:dyDescent="0.25">
      <c r="A167" s="255" t="s">
        <v>1129</v>
      </c>
      <c r="B167" s="254" t="s">
        <v>202</v>
      </c>
      <c r="C167" s="240" t="s">
        <v>13</v>
      </c>
      <c r="D167" s="295">
        <v>87.57</v>
      </c>
      <c r="E167" s="243">
        <v>362451</v>
      </c>
      <c r="F167" s="243">
        <f t="shared" si="15"/>
        <v>31739834.07</v>
      </c>
      <c r="G167" s="9">
        <v>362451</v>
      </c>
      <c r="H167" s="9">
        <v>31739834.07</v>
      </c>
      <c r="I167" s="339">
        <f t="shared" si="11"/>
        <v>0</v>
      </c>
      <c r="J167" s="339">
        <f t="shared" si="12"/>
        <v>0</v>
      </c>
      <c r="K167" s="9">
        <f t="shared" si="13"/>
        <v>0</v>
      </c>
    </row>
    <row r="168" spans="1:11" s="9" customFormat="1" ht="35.1" customHeight="1" x14ac:dyDescent="0.25">
      <c r="A168" s="255" t="s">
        <v>1130</v>
      </c>
      <c r="B168" s="254" t="s">
        <v>214</v>
      </c>
      <c r="C168" s="240" t="s">
        <v>13</v>
      </c>
      <c r="D168" s="295">
        <v>157.53</v>
      </c>
      <c r="E168" s="243">
        <v>362451</v>
      </c>
      <c r="F168" s="243">
        <f t="shared" si="15"/>
        <v>57096906.030000001</v>
      </c>
      <c r="G168" s="9">
        <v>362451</v>
      </c>
      <c r="H168" s="9">
        <v>57096906.030000001</v>
      </c>
      <c r="I168" s="339">
        <f t="shared" si="11"/>
        <v>0</v>
      </c>
      <c r="J168" s="339">
        <f t="shared" si="12"/>
        <v>0</v>
      </c>
      <c r="K168" s="9">
        <f t="shared" si="13"/>
        <v>0</v>
      </c>
    </row>
    <row r="169" spans="1:11" s="9" customFormat="1" ht="35.1" customHeight="1" x14ac:dyDescent="0.25">
      <c r="A169" s="255" t="s">
        <v>1131</v>
      </c>
      <c r="B169" s="254" t="s">
        <v>204</v>
      </c>
      <c r="C169" s="240" t="s">
        <v>13</v>
      </c>
      <c r="D169" s="295">
        <v>148.13999999999999</v>
      </c>
      <c r="E169" s="243">
        <v>379207</v>
      </c>
      <c r="F169" s="243">
        <f t="shared" si="15"/>
        <v>56175724.979999997</v>
      </c>
      <c r="G169" s="9">
        <v>379207</v>
      </c>
      <c r="H169" s="9">
        <v>56175724.979999997</v>
      </c>
      <c r="I169" s="339">
        <f t="shared" si="11"/>
        <v>0</v>
      </c>
      <c r="J169" s="339">
        <f t="shared" si="12"/>
        <v>0</v>
      </c>
      <c r="K169" s="9">
        <f t="shared" si="13"/>
        <v>0</v>
      </c>
    </row>
    <row r="170" spans="1:11" s="9" customFormat="1" ht="35.1" customHeight="1" x14ac:dyDescent="0.25">
      <c r="A170" s="255" t="s">
        <v>1132</v>
      </c>
      <c r="B170" s="241" t="s">
        <v>1133</v>
      </c>
      <c r="C170" s="240" t="s">
        <v>13</v>
      </c>
      <c r="D170" s="295">
        <v>31.33</v>
      </c>
      <c r="E170" s="243">
        <v>422487</v>
      </c>
      <c r="F170" s="243">
        <f t="shared" si="15"/>
        <v>13236517.710000001</v>
      </c>
      <c r="G170" s="9">
        <v>422487</v>
      </c>
      <c r="H170" s="9">
        <v>13236517.710000001</v>
      </c>
      <c r="I170" s="339">
        <f t="shared" si="11"/>
        <v>0</v>
      </c>
      <c r="J170" s="339">
        <f t="shared" si="12"/>
        <v>0</v>
      </c>
      <c r="K170" s="9">
        <f t="shared" si="13"/>
        <v>0</v>
      </c>
    </row>
    <row r="171" spans="1:11" s="9" customFormat="1" ht="35.1" customHeight="1" x14ac:dyDescent="0.25">
      <c r="A171" s="244" t="s">
        <v>1134</v>
      </c>
      <c r="B171" s="245" t="s">
        <v>1135</v>
      </c>
      <c r="C171" s="244"/>
      <c r="D171" s="313"/>
      <c r="E171" s="303"/>
      <c r="F171" s="246"/>
      <c r="I171" s="339">
        <f t="shared" si="11"/>
        <v>0</v>
      </c>
      <c r="J171" s="339">
        <f t="shared" si="12"/>
        <v>0</v>
      </c>
      <c r="K171" s="9">
        <f t="shared" si="13"/>
        <v>0</v>
      </c>
    </row>
    <row r="172" spans="1:11" s="9" customFormat="1" ht="35.1" customHeight="1" x14ac:dyDescent="0.25">
      <c r="A172" s="255" t="s">
        <v>1136</v>
      </c>
      <c r="B172" s="254" t="s">
        <v>210</v>
      </c>
      <c r="C172" s="240" t="s">
        <v>13</v>
      </c>
      <c r="D172" s="295">
        <v>41.36</v>
      </c>
      <c r="E172" s="243">
        <v>255936</v>
      </c>
      <c r="F172" s="243">
        <f t="shared" ref="F172:F177" si="16">ROUND(+E172*D172,2)</f>
        <v>10585512.960000001</v>
      </c>
      <c r="G172" s="9">
        <v>255936</v>
      </c>
      <c r="H172" s="9">
        <v>10585512.960000001</v>
      </c>
      <c r="I172" s="339">
        <f t="shared" si="11"/>
        <v>0</v>
      </c>
      <c r="J172" s="339">
        <f t="shared" si="12"/>
        <v>0</v>
      </c>
      <c r="K172" s="9">
        <f t="shared" si="13"/>
        <v>0</v>
      </c>
    </row>
    <row r="173" spans="1:11" s="9" customFormat="1" ht="35.1" customHeight="1" x14ac:dyDescent="0.25">
      <c r="A173" s="255" t="s">
        <v>1137</v>
      </c>
      <c r="B173" s="254" t="s">
        <v>1128</v>
      </c>
      <c r="C173" s="240" t="s">
        <v>13</v>
      </c>
      <c r="D173" s="295">
        <v>124.89</v>
      </c>
      <c r="E173" s="243">
        <v>319840</v>
      </c>
      <c r="F173" s="243">
        <f t="shared" si="16"/>
        <v>39944817.600000001</v>
      </c>
      <c r="G173" s="9">
        <v>319840</v>
      </c>
      <c r="H173" s="9">
        <v>39944817.600000001</v>
      </c>
      <c r="I173" s="339">
        <f t="shared" si="11"/>
        <v>0</v>
      </c>
      <c r="J173" s="339">
        <f t="shared" si="12"/>
        <v>0</v>
      </c>
      <c r="K173" s="9">
        <f t="shared" si="13"/>
        <v>0</v>
      </c>
    </row>
    <row r="174" spans="1:11" s="9" customFormat="1" ht="35.1" customHeight="1" x14ac:dyDescent="0.25">
      <c r="A174" s="255" t="s">
        <v>1138</v>
      </c>
      <c r="B174" s="254" t="s">
        <v>202</v>
      </c>
      <c r="C174" s="240" t="s">
        <v>13</v>
      </c>
      <c r="D174" s="295">
        <v>82.95</v>
      </c>
      <c r="E174" s="243">
        <v>362451</v>
      </c>
      <c r="F174" s="243">
        <f t="shared" si="16"/>
        <v>30065310.449999999</v>
      </c>
      <c r="G174" s="9">
        <v>362451</v>
      </c>
      <c r="H174" s="9">
        <v>30065310.449999999</v>
      </c>
      <c r="I174" s="339">
        <f t="shared" si="11"/>
        <v>0</v>
      </c>
      <c r="J174" s="339">
        <f t="shared" si="12"/>
        <v>0</v>
      </c>
      <c r="K174" s="9">
        <f t="shared" si="13"/>
        <v>0</v>
      </c>
    </row>
    <row r="175" spans="1:11" s="9" customFormat="1" ht="35.1" customHeight="1" x14ac:dyDescent="0.25">
      <c r="A175" s="240" t="s">
        <v>1139</v>
      </c>
      <c r="B175" s="241" t="s">
        <v>214</v>
      </c>
      <c r="C175" s="240" t="s">
        <v>13</v>
      </c>
      <c r="D175" s="295">
        <v>157.53</v>
      </c>
      <c r="E175" s="243">
        <v>362451</v>
      </c>
      <c r="F175" s="243">
        <f t="shared" si="16"/>
        <v>57096906.030000001</v>
      </c>
      <c r="G175" s="9">
        <v>362451</v>
      </c>
      <c r="H175" s="9">
        <v>57096906.030000001</v>
      </c>
      <c r="I175" s="339">
        <f t="shared" si="11"/>
        <v>0</v>
      </c>
      <c r="J175" s="339">
        <f t="shared" si="12"/>
        <v>0</v>
      </c>
      <c r="K175" s="9">
        <f t="shared" si="13"/>
        <v>0</v>
      </c>
    </row>
    <row r="176" spans="1:11" s="9" customFormat="1" ht="35.1" customHeight="1" x14ac:dyDescent="0.25">
      <c r="A176" s="240" t="s">
        <v>1140</v>
      </c>
      <c r="B176" s="241" t="s">
        <v>216</v>
      </c>
      <c r="C176" s="240" t="s">
        <v>13</v>
      </c>
      <c r="D176" s="295">
        <v>84.61</v>
      </c>
      <c r="E176" s="243">
        <v>376284</v>
      </c>
      <c r="F176" s="243">
        <f t="shared" si="16"/>
        <v>31837389.239999998</v>
      </c>
      <c r="G176" s="9">
        <v>376284</v>
      </c>
      <c r="H176" s="9">
        <v>31837389.239999998</v>
      </c>
      <c r="I176" s="339">
        <f t="shared" si="11"/>
        <v>0</v>
      </c>
      <c r="J176" s="339">
        <f t="shared" si="12"/>
        <v>0</v>
      </c>
      <c r="K176" s="9">
        <f t="shared" si="13"/>
        <v>0</v>
      </c>
    </row>
    <row r="177" spans="1:11" s="9" customFormat="1" ht="35.1" customHeight="1" x14ac:dyDescent="0.25">
      <c r="A177" s="240" t="s">
        <v>1141</v>
      </c>
      <c r="B177" s="241" t="s">
        <v>220</v>
      </c>
      <c r="C177" s="240" t="s">
        <v>13</v>
      </c>
      <c r="D177" s="295">
        <v>31.96</v>
      </c>
      <c r="E177" s="243">
        <v>422487</v>
      </c>
      <c r="F177" s="243">
        <f t="shared" si="16"/>
        <v>13502684.52</v>
      </c>
      <c r="G177" s="9">
        <v>422487</v>
      </c>
      <c r="H177" s="9">
        <v>13502684.52</v>
      </c>
      <c r="I177" s="339">
        <f t="shared" si="11"/>
        <v>0</v>
      </c>
      <c r="J177" s="339">
        <f t="shared" si="12"/>
        <v>0</v>
      </c>
      <c r="K177" s="9">
        <f t="shared" si="13"/>
        <v>0</v>
      </c>
    </row>
    <row r="178" spans="1:11" s="9" customFormat="1" ht="35.1" customHeight="1" x14ac:dyDescent="0.25">
      <c r="A178" s="247">
        <v>9</v>
      </c>
      <c r="B178" s="248" t="s">
        <v>221</v>
      </c>
      <c r="C178" s="248"/>
      <c r="D178" s="314"/>
      <c r="E178" s="305"/>
      <c r="F178" s="249"/>
      <c r="I178" s="339">
        <f t="shared" si="11"/>
        <v>0</v>
      </c>
      <c r="J178" s="339">
        <f t="shared" si="12"/>
        <v>0</v>
      </c>
      <c r="K178" s="9">
        <f t="shared" si="13"/>
        <v>0</v>
      </c>
    </row>
    <row r="179" spans="1:11" s="9" customFormat="1" ht="35.1" customHeight="1" x14ac:dyDescent="0.25">
      <c r="A179" s="244" t="s">
        <v>222</v>
      </c>
      <c r="B179" s="245" t="s">
        <v>223</v>
      </c>
      <c r="C179" s="244"/>
      <c r="D179" s="313"/>
      <c r="E179" s="303"/>
      <c r="F179" s="246"/>
      <c r="I179" s="339">
        <f t="shared" si="11"/>
        <v>0</v>
      </c>
      <c r="J179" s="339">
        <f t="shared" si="12"/>
        <v>0</v>
      </c>
      <c r="K179" s="9">
        <f t="shared" si="13"/>
        <v>0</v>
      </c>
    </row>
    <row r="180" spans="1:11" s="9" customFormat="1" ht="35.1" customHeight="1" x14ac:dyDescent="0.25">
      <c r="A180" s="255" t="s">
        <v>224</v>
      </c>
      <c r="B180" s="254" t="s">
        <v>225</v>
      </c>
      <c r="C180" s="240" t="s">
        <v>13</v>
      </c>
      <c r="D180" s="295">
        <v>4.4000000000000004</v>
      </c>
      <c r="E180" s="243">
        <v>1417231</v>
      </c>
      <c r="F180" s="243">
        <f>ROUND(+E180*D180,2)</f>
        <v>6235816.4000000004</v>
      </c>
      <c r="G180" s="9">
        <v>1417231</v>
      </c>
      <c r="H180" s="9">
        <v>6235816.4000000004</v>
      </c>
      <c r="I180" s="339">
        <f t="shared" si="11"/>
        <v>0</v>
      </c>
      <c r="J180" s="339">
        <f t="shared" si="12"/>
        <v>0</v>
      </c>
      <c r="K180" s="9">
        <f t="shared" si="13"/>
        <v>0</v>
      </c>
    </row>
    <row r="181" spans="1:11" s="9" customFormat="1" ht="35.1" customHeight="1" x14ac:dyDescent="0.25">
      <c r="A181" s="255" t="s">
        <v>226</v>
      </c>
      <c r="B181" s="254" t="s">
        <v>227</v>
      </c>
      <c r="C181" s="240" t="s">
        <v>13</v>
      </c>
      <c r="D181" s="295">
        <v>15.12</v>
      </c>
      <c r="E181" s="243">
        <v>134902</v>
      </c>
      <c r="F181" s="243">
        <f>ROUND(+E181*D181,2)</f>
        <v>2039718.24</v>
      </c>
      <c r="G181" s="9">
        <v>134902</v>
      </c>
      <c r="H181" s="9">
        <v>2039718.24</v>
      </c>
      <c r="I181" s="339">
        <f t="shared" si="11"/>
        <v>0</v>
      </c>
      <c r="J181" s="339">
        <f t="shared" si="12"/>
        <v>0</v>
      </c>
      <c r="K181" s="9">
        <f t="shared" si="13"/>
        <v>0</v>
      </c>
    </row>
    <row r="182" spans="1:11" s="9" customFormat="1" ht="35.1" customHeight="1" x14ac:dyDescent="0.25">
      <c r="A182" s="255" t="s">
        <v>228</v>
      </c>
      <c r="B182" s="254" t="s">
        <v>229</v>
      </c>
      <c r="C182" s="240" t="s">
        <v>13</v>
      </c>
      <c r="D182" s="295">
        <v>33.6</v>
      </c>
      <c r="E182" s="243">
        <v>158642</v>
      </c>
      <c r="F182" s="243">
        <f>ROUND(+E182*D182,2)</f>
        <v>5330371.2</v>
      </c>
      <c r="G182" s="9">
        <v>158642</v>
      </c>
      <c r="H182" s="9">
        <v>5330371.2</v>
      </c>
      <c r="I182" s="339">
        <f t="shared" si="11"/>
        <v>0</v>
      </c>
      <c r="J182" s="339">
        <f t="shared" si="12"/>
        <v>0</v>
      </c>
      <c r="K182" s="9">
        <f t="shared" si="13"/>
        <v>0</v>
      </c>
    </row>
    <row r="183" spans="1:11" s="9" customFormat="1" ht="35.1" customHeight="1" x14ac:dyDescent="0.25">
      <c r="A183" s="255" t="s">
        <v>230</v>
      </c>
      <c r="B183" s="254" t="s">
        <v>1142</v>
      </c>
      <c r="C183" s="240" t="s">
        <v>13</v>
      </c>
      <c r="D183" s="295">
        <v>15.84</v>
      </c>
      <c r="E183" s="243">
        <v>258643</v>
      </c>
      <c r="F183" s="243">
        <f>ROUND(+E183*D183,2)</f>
        <v>4096905.12</v>
      </c>
      <c r="G183" s="9">
        <v>258643</v>
      </c>
      <c r="H183" s="9">
        <v>4096905.12</v>
      </c>
      <c r="I183" s="339">
        <f t="shared" si="11"/>
        <v>0</v>
      </c>
      <c r="J183" s="339">
        <f t="shared" si="12"/>
        <v>0</v>
      </c>
      <c r="K183" s="9">
        <f t="shared" si="13"/>
        <v>0</v>
      </c>
    </row>
    <row r="184" spans="1:11" s="9" customFormat="1" ht="35.1" customHeight="1" x14ac:dyDescent="0.25">
      <c r="A184" s="244" t="s">
        <v>232</v>
      </c>
      <c r="B184" s="245" t="s">
        <v>233</v>
      </c>
      <c r="C184" s="260"/>
      <c r="D184" s="313"/>
      <c r="E184" s="303"/>
      <c r="F184" s="246"/>
      <c r="I184" s="339">
        <f t="shared" si="11"/>
        <v>0</v>
      </c>
      <c r="J184" s="339">
        <f t="shared" si="12"/>
        <v>0</v>
      </c>
      <c r="K184" s="9">
        <f t="shared" si="13"/>
        <v>0</v>
      </c>
    </row>
    <row r="185" spans="1:11" s="9" customFormat="1" ht="35.1" customHeight="1" x14ac:dyDescent="0.25">
      <c r="A185" s="255" t="s">
        <v>234</v>
      </c>
      <c r="B185" s="254" t="s">
        <v>225</v>
      </c>
      <c r="C185" s="240" t="s">
        <v>13</v>
      </c>
      <c r="D185" s="295">
        <v>4.4000000000000004</v>
      </c>
      <c r="E185" s="243">
        <v>1417231</v>
      </c>
      <c r="F185" s="243">
        <f t="shared" ref="F185:F191" si="17">ROUND(+E185*D185,2)</f>
        <v>6235816.4000000004</v>
      </c>
      <c r="G185" s="9">
        <v>1417231</v>
      </c>
      <c r="H185" s="9">
        <v>6235816.4000000004</v>
      </c>
      <c r="I185" s="339">
        <f t="shared" si="11"/>
        <v>0</v>
      </c>
      <c r="J185" s="339">
        <f t="shared" si="12"/>
        <v>0</v>
      </c>
      <c r="K185" s="9">
        <f t="shared" si="13"/>
        <v>0</v>
      </c>
    </row>
    <row r="186" spans="1:11" s="9" customFormat="1" ht="35.1" customHeight="1" x14ac:dyDescent="0.25">
      <c r="A186" s="255" t="s">
        <v>235</v>
      </c>
      <c r="B186" s="254" t="s">
        <v>227</v>
      </c>
      <c r="C186" s="240" t="s">
        <v>13</v>
      </c>
      <c r="D186" s="295">
        <v>12.96</v>
      </c>
      <c r="E186" s="243">
        <v>134902</v>
      </c>
      <c r="F186" s="243">
        <f t="shared" si="17"/>
        <v>1748329.92</v>
      </c>
      <c r="G186" s="9">
        <v>134902</v>
      </c>
      <c r="H186" s="9">
        <v>1748329.92</v>
      </c>
      <c r="I186" s="339">
        <f t="shared" si="11"/>
        <v>0</v>
      </c>
      <c r="J186" s="339">
        <f t="shared" si="12"/>
        <v>0</v>
      </c>
      <c r="K186" s="9">
        <f t="shared" si="13"/>
        <v>0</v>
      </c>
    </row>
    <row r="187" spans="1:11" s="9" customFormat="1" ht="35.1" customHeight="1" x14ac:dyDescent="0.25">
      <c r="A187" s="255" t="s">
        <v>236</v>
      </c>
      <c r="B187" s="254" t="s">
        <v>237</v>
      </c>
      <c r="C187" s="240" t="s">
        <v>13</v>
      </c>
      <c r="D187" s="295">
        <v>2.4</v>
      </c>
      <c r="E187" s="243">
        <v>750208</v>
      </c>
      <c r="F187" s="243">
        <f t="shared" si="17"/>
        <v>1800499.2</v>
      </c>
      <c r="G187" s="9">
        <v>750208</v>
      </c>
      <c r="H187" s="9">
        <v>1800499.2</v>
      </c>
      <c r="I187" s="339">
        <f t="shared" si="11"/>
        <v>0</v>
      </c>
      <c r="J187" s="339">
        <f t="shared" si="12"/>
        <v>0</v>
      </c>
      <c r="K187" s="9">
        <f t="shared" si="13"/>
        <v>0</v>
      </c>
    </row>
    <row r="188" spans="1:11" s="9" customFormat="1" ht="35.1" customHeight="1" x14ac:dyDescent="0.25">
      <c r="A188" s="255" t="s">
        <v>238</v>
      </c>
      <c r="B188" s="254" t="s">
        <v>239</v>
      </c>
      <c r="C188" s="240" t="s">
        <v>13</v>
      </c>
      <c r="D188" s="295">
        <v>12.96</v>
      </c>
      <c r="E188" s="243">
        <v>750208</v>
      </c>
      <c r="F188" s="243">
        <f t="shared" si="17"/>
        <v>9722695.6799999997</v>
      </c>
      <c r="G188" s="9">
        <v>750208</v>
      </c>
      <c r="H188" s="9">
        <v>9722695.6799999997</v>
      </c>
      <c r="I188" s="339">
        <f t="shared" si="11"/>
        <v>0</v>
      </c>
      <c r="J188" s="339">
        <f t="shared" si="12"/>
        <v>0</v>
      </c>
      <c r="K188" s="9">
        <f t="shared" si="13"/>
        <v>0</v>
      </c>
    </row>
    <row r="189" spans="1:11" s="9" customFormat="1" ht="35.1" customHeight="1" x14ac:dyDescent="0.25">
      <c r="A189" s="255" t="s">
        <v>240</v>
      </c>
      <c r="B189" s="254" t="s">
        <v>241</v>
      </c>
      <c r="C189" s="240" t="s">
        <v>13</v>
      </c>
      <c r="D189" s="295">
        <v>5.76</v>
      </c>
      <c r="E189" s="243">
        <v>750208</v>
      </c>
      <c r="F189" s="243">
        <f t="shared" si="17"/>
        <v>4321198.0800000001</v>
      </c>
      <c r="G189" s="9">
        <v>750208</v>
      </c>
      <c r="H189" s="9">
        <v>4321198.0800000001</v>
      </c>
      <c r="I189" s="339">
        <f t="shared" si="11"/>
        <v>0</v>
      </c>
      <c r="J189" s="339">
        <f t="shared" si="12"/>
        <v>0</v>
      </c>
      <c r="K189" s="9">
        <f t="shared" si="13"/>
        <v>0</v>
      </c>
    </row>
    <row r="190" spans="1:11" s="9" customFormat="1" ht="35.1" customHeight="1" x14ac:dyDescent="0.25">
      <c r="A190" s="255" t="s">
        <v>242</v>
      </c>
      <c r="B190" s="254" t="s">
        <v>229</v>
      </c>
      <c r="C190" s="240" t="s">
        <v>13</v>
      </c>
      <c r="D190" s="295">
        <v>4.8</v>
      </c>
      <c r="E190" s="243">
        <v>158642</v>
      </c>
      <c r="F190" s="243">
        <f t="shared" si="17"/>
        <v>761481.6</v>
      </c>
      <c r="G190" s="9">
        <v>158642</v>
      </c>
      <c r="H190" s="9">
        <v>761481.6</v>
      </c>
      <c r="I190" s="339">
        <f t="shared" si="11"/>
        <v>0</v>
      </c>
      <c r="J190" s="339">
        <f t="shared" si="12"/>
        <v>0</v>
      </c>
      <c r="K190" s="9">
        <f t="shared" si="13"/>
        <v>0</v>
      </c>
    </row>
    <row r="191" spans="1:11" s="9" customFormat="1" ht="35.1" customHeight="1" x14ac:dyDescent="0.25">
      <c r="A191" s="255" t="s">
        <v>243</v>
      </c>
      <c r="B191" s="254" t="s">
        <v>244</v>
      </c>
      <c r="C191" s="240" t="s">
        <v>13</v>
      </c>
      <c r="D191" s="295">
        <v>24.8</v>
      </c>
      <c r="E191" s="243">
        <v>594607</v>
      </c>
      <c r="F191" s="243">
        <f t="shared" si="17"/>
        <v>14746253.6</v>
      </c>
      <c r="G191" s="9">
        <v>594607</v>
      </c>
      <c r="H191" s="9">
        <v>14746253.6</v>
      </c>
      <c r="I191" s="339">
        <f t="shared" si="11"/>
        <v>0</v>
      </c>
      <c r="J191" s="339">
        <f t="shared" si="12"/>
        <v>0</v>
      </c>
      <c r="K191" s="9">
        <f t="shared" si="13"/>
        <v>0</v>
      </c>
    </row>
    <row r="192" spans="1:11" s="9" customFormat="1" ht="35.1" customHeight="1" x14ac:dyDescent="0.25">
      <c r="A192" s="244" t="s">
        <v>245</v>
      </c>
      <c r="B192" s="245" t="s">
        <v>246</v>
      </c>
      <c r="C192" s="244"/>
      <c r="D192" s="313"/>
      <c r="E192" s="303"/>
      <c r="F192" s="246"/>
      <c r="I192" s="339">
        <f t="shared" si="11"/>
        <v>0</v>
      </c>
      <c r="J192" s="339">
        <f t="shared" si="12"/>
        <v>0</v>
      </c>
      <c r="K192" s="9">
        <f t="shared" si="13"/>
        <v>0</v>
      </c>
    </row>
    <row r="193" spans="1:11" s="9" customFormat="1" ht="35.1" customHeight="1" x14ac:dyDescent="0.25">
      <c r="A193" s="255" t="s">
        <v>247</v>
      </c>
      <c r="B193" s="254" t="s">
        <v>225</v>
      </c>
      <c r="C193" s="240" t="s">
        <v>13</v>
      </c>
      <c r="D193" s="295">
        <v>4.4000000000000004</v>
      </c>
      <c r="E193" s="243">
        <v>1417231</v>
      </c>
      <c r="F193" s="243">
        <f t="shared" ref="F193:F198" si="18">ROUND(+E193*D193,2)</f>
        <v>6235816.4000000004</v>
      </c>
      <c r="G193" s="9">
        <v>1417231</v>
      </c>
      <c r="H193" s="9">
        <v>6235816.4000000004</v>
      </c>
      <c r="I193" s="339">
        <f t="shared" si="11"/>
        <v>0</v>
      </c>
      <c r="J193" s="339">
        <f t="shared" si="12"/>
        <v>0</v>
      </c>
      <c r="K193" s="9">
        <f t="shared" si="13"/>
        <v>0</v>
      </c>
    </row>
    <row r="194" spans="1:11" s="9" customFormat="1" ht="35.1" customHeight="1" x14ac:dyDescent="0.25">
      <c r="A194" s="255" t="s">
        <v>248</v>
      </c>
      <c r="B194" s="254" t="s">
        <v>227</v>
      </c>
      <c r="C194" s="240" t="s">
        <v>13</v>
      </c>
      <c r="D194" s="295">
        <v>4.32</v>
      </c>
      <c r="E194" s="243">
        <v>134902</v>
      </c>
      <c r="F194" s="243">
        <f t="shared" si="18"/>
        <v>582776.64</v>
      </c>
      <c r="G194" s="9">
        <v>134902</v>
      </c>
      <c r="H194" s="9">
        <v>582776.64</v>
      </c>
      <c r="I194" s="339">
        <f t="shared" si="11"/>
        <v>0</v>
      </c>
      <c r="J194" s="339">
        <f t="shared" si="12"/>
        <v>0</v>
      </c>
      <c r="K194" s="9">
        <f t="shared" si="13"/>
        <v>0</v>
      </c>
    </row>
    <row r="195" spans="1:11" s="9" customFormat="1" ht="35.1" customHeight="1" x14ac:dyDescent="0.25">
      <c r="A195" s="255" t="s">
        <v>249</v>
      </c>
      <c r="B195" s="254" t="s">
        <v>237</v>
      </c>
      <c r="C195" s="240" t="s">
        <v>13</v>
      </c>
      <c r="D195" s="295">
        <v>9.6</v>
      </c>
      <c r="E195" s="243">
        <v>750208</v>
      </c>
      <c r="F195" s="243">
        <f t="shared" si="18"/>
        <v>7201996.7999999998</v>
      </c>
      <c r="G195" s="9">
        <v>750208</v>
      </c>
      <c r="H195" s="9">
        <v>7201996.7999999998</v>
      </c>
      <c r="I195" s="339">
        <f t="shared" si="11"/>
        <v>0</v>
      </c>
      <c r="J195" s="339">
        <f t="shared" si="12"/>
        <v>0</v>
      </c>
      <c r="K195" s="9">
        <f t="shared" si="13"/>
        <v>0</v>
      </c>
    </row>
    <row r="196" spans="1:11" s="9" customFormat="1" ht="35.1" customHeight="1" x14ac:dyDescent="0.25">
      <c r="A196" s="255" t="s">
        <v>250</v>
      </c>
      <c r="B196" s="254" t="s">
        <v>239</v>
      </c>
      <c r="C196" s="240" t="s">
        <v>13</v>
      </c>
      <c r="D196" s="295">
        <v>4.32</v>
      </c>
      <c r="E196" s="243">
        <v>750208</v>
      </c>
      <c r="F196" s="243">
        <f t="shared" si="18"/>
        <v>3240898.5600000001</v>
      </c>
      <c r="G196" s="9">
        <v>750208</v>
      </c>
      <c r="H196" s="9">
        <v>3240898.5600000001</v>
      </c>
      <c r="I196" s="339">
        <f t="shared" si="11"/>
        <v>0</v>
      </c>
      <c r="J196" s="339">
        <f t="shared" si="12"/>
        <v>0</v>
      </c>
      <c r="K196" s="9">
        <f t="shared" si="13"/>
        <v>0</v>
      </c>
    </row>
    <row r="197" spans="1:11" s="9" customFormat="1" ht="35.1" customHeight="1" x14ac:dyDescent="0.25">
      <c r="A197" s="255" t="s">
        <v>251</v>
      </c>
      <c r="B197" s="254" t="s">
        <v>241</v>
      </c>
      <c r="C197" s="240" t="s">
        <v>13</v>
      </c>
      <c r="D197" s="295">
        <v>5.76</v>
      </c>
      <c r="E197" s="243">
        <v>750208</v>
      </c>
      <c r="F197" s="243">
        <f t="shared" si="18"/>
        <v>4321198.0800000001</v>
      </c>
      <c r="G197" s="9">
        <v>750208</v>
      </c>
      <c r="H197" s="9">
        <v>4321198.0800000001</v>
      </c>
      <c r="I197" s="339">
        <f t="shared" ref="I197:I260" si="19">+E197-G197</f>
        <v>0</v>
      </c>
      <c r="J197" s="339">
        <f t="shared" ref="J197:J260" si="20">+H197-F197</f>
        <v>0</v>
      </c>
      <c r="K197" s="9">
        <f t="shared" ref="K197:K260" si="21">IF(J197&gt;0,1,0)</f>
        <v>0</v>
      </c>
    </row>
    <row r="198" spans="1:11" s="9" customFormat="1" ht="35.1" customHeight="1" x14ac:dyDescent="0.25">
      <c r="A198" s="255" t="s">
        <v>252</v>
      </c>
      <c r="B198" s="254" t="s">
        <v>244</v>
      </c>
      <c r="C198" s="240" t="s">
        <v>13</v>
      </c>
      <c r="D198" s="295">
        <v>28.51</v>
      </c>
      <c r="E198" s="243">
        <v>594607</v>
      </c>
      <c r="F198" s="243">
        <f t="shared" si="18"/>
        <v>16952245.57</v>
      </c>
      <c r="G198" s="9">
        <v>594607</v>
      </c>
      <c r="H198" s="9">
        <v>16952245.57</v>
      </c>
      <c r="I198" s="339">
        <f t="shared" si="19"/>
        <v>0</v>
      </c>
      <c r="J198" s="339">
        <f t="shared" si="20"/>
        <v>0</v>
      </c>
      <c r="K198" s="9">
        <f t="shared" si="21"/>
        <v>0</v>
      </c>
    </row>
    <row r="199" spans="1:11" s="9" customFormat="1" ht="35.1" customHeight="1" x14ac:dyDescent="0.25">
      <c r="A199" s="244" t="s">
        <v>1143</v>
      </c>
      <c r="B199" s="245" t="s">
        <v>1144</v>
      </c>
      <c r="C199" s="244"/>
      <c r="D199" s="313"/>
      <c r="E199" s="303"/>
      <c r="F199" s="246"/>
      <c r="I199" s="339">
        <f t="shared" si="19"/>
        <v>0</v>
      </c>
      <c r="J199" s="339">
        <f t="shared" si="20"/>
        <v>0</v>
      </c>
      <c r="K199" s="9">
        <f t="shared" si="21"/>
        <v>0</v>
      </c>
    </row>
    <row r="200" spans="1:11" s="9" customFormat="1" ht="35.1" customHeight="1" x14ac:dyDescent="0.25">
      <c r="A200" s="255" t="s">
        <v>1145</v>
      </c>
      <c r="B200" s="254" t="s">
        <v>225</v>
      </c>
      <c r="C200" s="240" t="s">
        <v>13</v>
      </c>
      <c r="D200" s="295">
        <v>4.4000000000000004</v>
      </c>
      <c r="E200" s="243">
        <v>1417231</v>
      </c>
      <c r="F200" s="243">
        <f t="shared" ref="F200:F205" si="22">ROUND(+E200*D200,2)</f>
        <v>6235816.4000000004</v>
      </c>
      <c r="G200" s="9">
        <v>1417231</v>
      </c>
      <c r="H200" s="9">
        <v>6235816.4000000004</v>
      </c>
      <c r="I200" s="339">
        <f t="shared" si="19"/>
        <v>0</v>
      </c>
      <c r="J200" s="339">
        <f t="shared" si="20"/>
        <v>0</v>
      </c>
      <c r="K200" s="9">
        <f t="shared" si="21"/>
        <v>0</v>
      </c>
    </row>
    <row r="201" spans="1:11" s="9" customFormat="1" ht="35.1" customHeight="1" x14ac:dyDescent="0.25">
      <c r="A201" s="255" t="s">
        <v>1146</v>
      </c>
      <c r="B201" s="254" t="s">
        <v>227</v>
      </c>
      <c r="C201" s="240" t="s">
        <v>13</v>
      </c>
      <c r="D201" s="295">
        <v>4.32</v>
      </c>
      <c r="E201" s="243">
        <v>134902</v>
      </c>
      <c r="F201" s="243">
        <f t="shared" si="22"/>
        <v>582776.64</v>
      </c>
      <c r="G201" s="9">
        <v>134902</v>
      </c>
      <c r="H201" s="9">
        <v>582776.64</v>
      </c>
      <c r="I201" s="339">
        <f t="shared" si="19"/>
        <v>0</v>
      </c>
      <c r="J201" s="339">
        <f t="shared" si="20"/>
        <v>0</v>
      </c>
      <c r="K201" s="9">
        <f t="shared" si="21"/>
        <v>0</v>
      </c>
    </row>
    <row r="202" spans="1:11" s="9" customFormat="1" ht="35.1" customHeight="1" x14ac:dyDescent="0.25">
      <c r="A202" s="255" t="s">
        <v>1147</v>
      </c>
      <c r="B202" s="254" t="s">
        <v>237</v>
      </c>
      <c r="C202" s="240" t="s">
        <v>13</v>
      </c>
      <c r="D202" s="295">
        <v>7.2</v>
      </c>
      <c r="E202" s="243">
        <v>750208</v>
      </c>
      <c r="F202" s="243">
        <f t="shared" si="22"/>
        <v>5401497.5999999996</v>
      </c>
      <c r="G202" s="9">
        <v>750208</v>
      </c>
      <c r="H202" s="9">
        <v>5401497.5999999996</v>
      </c>
      <c r="I202" s="339">
        <f t="shared" si="19"/>
        <v>0</v>
      </c>
      <c r="J202" s="339">
        <f t="shared" si="20"/>
        <v>0</v>
      </c>
      <c r="K202" s="9">
        <f t="shared" si="21"/>
        <v>0</v>
      </c>
    </row>
    <row r="203" spans="1:11" s="9" customFormat="1" ht="35.1" customHeight="1" x14ac:dyDescent="0.25">
      <c r="A203" s="255" t="s">
        <v>1148</v>
      </c>
      <c r="B203" s="254" t="s">
        <v>239</v>
      </c>
      <c r="C203" s="240" t="s">
        <v>13</v>
      </c>
      <c r="D203" s="295">
        <v>2.16</v>
      </c>
      <c r="E203" s="243">
        <v>750208</v>
      </c>
      <c r="F203" s="243">
        <f t="shared" si="22"/>
        <v>1620449.28</v>
      </c>
      <c r="G203" s="9">
        <v>750208</v>
      </c>
      <c r="H203" s="9">
        <v>1620449.28</v>
      </c>
      <c r="I203" s="339">
        <f t="shared" si="19"/>
        <v>0</v>
      </c>
      <c r="J203" s="339">
        <f t="shared" si="20"/>
        <v>0</v>
      </c>
      <c r="K203" s="9">
        <f t="shared" si="21"/>
        <v>0</v>
      </c>
    </row>
    <row r="204" spans="1:11" s="9" customFormat="1" ht="35.1" customHeight="1" x14ac:dyDescent="0.25">
      <c r="A204" s="255" t="s">
        <v>1149</v>
      </c>
      <c r="B204" s="254" t="s">
        <v>241</v>
      </c>
      <c r="C204" s="240" t="s">
        <v>13</v>
      </c>
      <c r="D204" s="295">
        <v>5.76</v>
      </c>
      <c r="E204" s="243">
        <v>750208</v>
      </c>
      <c r="F204" s="243">
        <f t="shared" si="22"/>
        <v>4321198.0800000001</v>
      </c>
      <c r="G204" s="9">
        <v>750208</v>
      </c>
      <c r="H204" s="9">
        <v>4321198.0800000001</v>
      </c>
      <c r="I204" s="339">
        <f t="shared" si="19"/>
        <v>0</v>
      </c>
      <c r="J204" s="339">
        <f t="shared" si="20"/>
        <v>0</v>
      </c>
      <c r="K204" s="9">
        <f t="shared" si="21"/>
        <v>0</v>
      </c>
    </row>
    <row r="205" spans="1:11" s="9" customFormat="1" ht="35.1" customHeight="1" x14ac:dyDescent="0.25">
      <c r="A205" s="255" t="s">
        <v>1150</v>
      </c>
      <c r="B205" s="254" t="s">
        <v>244</v>
      </c>
      <c r="C205" s="240" t="s">
        <v>13</v>
      </c>
      <c r="D205" s="295">
        <v>24.12</v>
      </c>
      <c r="E205" s="243">
        <v>594607</v>
      </c>
      <c r="F205" s="243">
        <f t="shared" si="22"/>
        <v>14341920.84</v>
      </c>
      <c r="G205" s="9">
        <v>594607</v>
      </c>
      <c r="H205" s="9">
        <v>14341920.84</v>
      </c>
      <c r="I205" s="339">
        <f t="shared" si="19"/>
        <v>0</v>
      </c>
      <c r="J205" s="339">
        <f t="shared" si="20"/>
        <v>0</v>
      </c>
      <c r="K205" s="9">
        <f t="shared" si="21"/>
        <v>0</v>
      </c>
    </row>
    <row r="206" spans="1:11" s="9" customFormat="1" ht="35.1" customHeight="1" x14ac:dyDescent="0.25">
      <c r="A206" s="244" t="s">
        <v>1151</v>
      </c>
      <c r="B206" s="245" t="s">
        <v>1152</v>
      </c>
      <c r="C206" s="244"/>
      <c r="D206" s="313"/>
      <c r="E206" s="303"/>
      <c r="F206" s="246"/>
      <c r="I206" s="339">
        <f t="shared" si="19"/>
        <v>0</v>
      </c>
      <c r="J206" s="339">
        <f t="shared" si="20"/>
        <v>0</v>
      </c>
      <c r="K206" s="9">
        <f t="shared" si="21"/>
        <v>0</v>
      </c>
    </row>
    <row r="207" spans="1:11" s="9" customFormat="1" ht="35.1" customHeight="1" x14ac:dyDescent="0.25">
      <c r="A207" s="255" t="s">
        <v>1153</v>
      </c>
      <c r="B207" s="254" t="s">
        <v>225</v>
      </c>
      <c r="C207" s="240" t="s">
        <v>13</v>
      </c>
      <c r="D207" s="295">
        <v>4.4000000000000004</v>
      </c>
      <c r="E207" s="243">
        <v>1417231</v>
      </c>
      <c r="F207" s="243">
        <f t="shared" ref="F207:F214" si="23">ROUND(+E207*D207,2)</f>
        <v>6235816.4000000004</v>
      </c>
      <c r="G207" s="9">
        <v>1417231</v>
      </c>
      <c r="H207" s="9">
        <v>6235816.4000000004</v>
      </c>
      <c r="I207" s="339">
        <f t="shared" si="19"/>
        <v>0</v>
      </c>
      <c r="J207" s="339">
        <f t="shared" si="20"/>
        <v>0</v>
      </c>
      <c r="K207" s="9">
        <f t="shared" si="21"/>
        <v>0</v>
      </c>
    </row>
    <row r="208" spans="1:11" s="9" customFormat="1" ht="35.1" customHeight="1" x14ac:dyDescent="0.25">
      <c r="A208" s="255" t="s">
        <v>1154</v>
      </c>
      <c r="B208" s="254" t="s">
        <v>227</v>
      </c>
      <c r="C208" s="240" t="s">
        <v>13</v>
      </c>
      <c r="D208" s="295">
        <v>4.32</v>
      </c>
      <c r="E208" s="243">
        <v>134902</v>
      </c>
      <c r="F208" s="243">
        <f t="shared" si="23"/>
        <v>582776.64</v>
      </c>
      <c r="G208" s="9">
        <v>134902</v>
      </c>
      <c r="H208" s="9">
        <v>582776.64</v>
      </c>
      <c r="I208" s="339">
        <f t="shared" si="19"/>
        <v>0</v>
      </c>
      <c r="J208" s="339">
        <f t="shared" si="20"/>
        <v>0</v>
      </c>
      <c r="K208" s="9">
        <f t="shared" si="21"/>
        <v>0</v>
      </c>
    </row>
    <row r="209" spans="1:11" s="9" customFormat="1" ht="35.1" customHeight="1" x14ac:dyDescent="0.25">
      <c r="A209" s="255" t="s">
        <v>1155</v>
      </c>
      <c r="B209" s="254" t="s">
        <v>237</v>
      </c>
      <c r="C209" s="240" t="s">
        <v>13</v>
      </c>
      <c r="D209" s="295">
        <v>4.8</v>
      </c>
      <c r="E209" s="243">
        <v>750208</v>
      </c>
      <c r="F209" s="243">
        <f t="shared" si="23"/>
        <v>3600998.3999999999</v>
      </c>
      <c r="G209" s="9">
        <v>750208</v>
      </c>
      <c r="H209" s="9">
        <v>3600998.3999999999</v>
      </c>
      <c r="I209" s="339">
        <f t="shared" si="19"/>
        <v>0</v>
      </c>
      <c r="J209" s="339">
        <f t="shared" si="20"/>
        <v>0</v>
      </c>
      <c r="K209" s="9">
        <f t="shared" si="21"/>
        <v>0</v>
      </c>
    </row>
    <row r="210" spans="1:11" s="9" customFormat="1" ht="35.1" customHeight="1" x14ac:dyDescent="0.25">
      <c r="A210" s="255" t="s">
        <v>1156</v>
      </c>
      <c r="B210" s="254" t="s">
        <v>239</v>
      </c>
      <c r="C210" s="240" t="s">
        <v>13</v>
      </c>
      <c r="D210" s="295">
        <v>2.16</v>
      </c>
      <c r="E210" s="243">
        <v>750208</v>
      </c>
      <c r="F210" s="243">
        <f t="shared" si="23"/>
        <v>1620449.28</v>
      </c>
      <c r="G210" s="9">
        <v>750208</v>
      </c>
      <c r="H210" s="9">
        <v>1620449.28</v>
      </c>
      <c r="I210" s="339">
        <f t="shared" si="19"/>
        <v>0</v>
      </c>
      <c r="J210" s="339">
        <f t="shared" si="20"/>
        <v>0</v>
      </c>
      <c r="K210" s="9">
        <f t="shared" si="21"/>
        <v>0</v>
      </c>
    </row>
    <row r="211" spans="1:11" s="9" customFormat="1" ht="35.1" customHeight="1" x14ac:dyDescent="0.25">
      <c r="A211" s="255" t="s">
        <v>1157</v>
      </c>
      <c r="B211" s="254" t="s">
        <v>241</v>
      </c>
      <c r="C211" s="240" t="s">
        <v>13</v>
      </c>
      <c r="D211" s="295">
        <v>3.84</v>
      </c>
      <c r="E211" s="243">
        <v>750208</v>
      </c>
      <c r="F211" s="243">
        <f t="shared" si="23"/>
        <v>2880798.7200000002</v>
      </c>
      <c r="G211" s="9">
        <v>750208</v>
      </c>
      <c r="H211" s="9">
        <v>2880798.7200000002</v>
      </c>
      <c r="I211" s="339">
        <f t="shared" si="19"/>
        <v>0</v>
      </c>
      <c r="J211" s="339">
        <f t="shared" si="20"/>
        <v>0</v>
      </c>
      <c r="K211" s="9">
        <f t="shared" si="21"/>
        <v>0</v>
      </c>
    </row>
    <row r="212" spans="1:11" s="9" customFormat="1" ht="35.1" customHeight="1" x14ac:dyDescent="0.25">
      <c r="A212" s="255" t="s">
        <v>1158</v>
      </c>
      <c r="B212" s="254" t="s">
        <v>1159</v>
      </c>
      <c r="C212" s="240" t="s">
        <v>13</v>
      </c>
      <c r="D212" s="295">
        <v>3.36</v>
      </c>
      <c r="E212" s="243">
        <v>750208</v>
      </c>
      <c r="F212" s="243">
        <f t="shared" si="23"/>
        <v>2520698.8799999999</v>
      </c>
      <c r="G212" s="9">
        <v>750208</v>
      </c>
      <c r="H212" s="9">
        <v>2520698.8799999999</v>
      </c>
      <c r="I212" s="339">
        <f t="shared" si="19"/>
        <v>0</v>
      </c>
      <c r="J212" s="339">
        <f t="shared" si="20"/>
        <v>0</v>
      </c>
      <c r="K212" s="9">
        <f t="shared" si="21"/>
        <v>0</v>
      </c>
    </row>
    <row r="213" spans="1:11" s="9" customFormat="1" ht="35.1" customHeight="1" x14ac:dyDescent="0.25">
      <c r="A213" s="255" t="s">
        <v>1160</v>
      </c>
      <c r="B213" s="254" t="s">
        <v>229</v>
      </c>
      <c r="C213" s="240" t="s">
        <v>13</v>
      </c>
      <c r="D213" s="295">
        <v>4.8</v>
      </c>
      <c r="E213" s="243">
        <v>750208</v>
      </c>
      <c r="F213" s="243">
        <f t="shared" si="23"/>
        <v>3600998.3999999999</v>
      </c>
      <c r="G213" s="9">
        <v>750208</v>
      </c>
      <c r="H213" s="9">
        <v>3600998.3999999999</v>
      </c>
      <c r="I213" s="339">
        <f t="shared" si="19"/>
        <v>0</v>
      </c>
      <c r="J213" s="339">
        <f t="shared" si="20"/>
        <v>0</v>
      </c>
      <c r="K213" s="9">
        <f t="shared" si="21"/>
        <v>0</v>
      </c>
    </row>
    <row r="214" spans="1:11" s="9" customFormat="1" ht="35.1" customHeight="1" x14ac:dyDescent="0.25">
      <c r="A214" s="255" t="s">
        <v>1161</v>
      </c>
      <c r="B214" s="254" t="s">
        <v>244</v>
      </c>
      <c r="C214" s="240" t="s">
        <v>13</v>
      </c>
      <c r="D214" s="295">
        <v>24.89</v>
      </c>
      <c r="E214" s="243">
        <v>594607</v>
      </c>
      <c r="F214" s="243">
        <f t="shared" si="23"/>
        <v>14799768.23</v>
      </c>
      <c r="G214" s="9">
        <v>594607</v>
      </c>
      <c r="H214" s="9">
        <v>14799768.23</v>
      </c>
      <c r="I214" s="339">
        <f t="shared" si="19"/>
        <v>0</v>
      </c>
      <c r="J214" s="339">
        <f t="shared" si="20"/>
        <v>0</v>
      </c>
      <c r="K214" s="9">
        <f t="shared" si="21"/>
        <v>0</v>
      </c>
    </row>
    <row r="215" spans="1:11" s="9" customFormat="1" ht="35.1" customHeight="1" x14ac:dyDescent="0.25">
      <c r="A215" s="244" t="s">
        <v>1162</v>
      </c>
      <c r="B215" s="245" t="s">
        <v>1163</v>
      </c>
      <c r="C215" s="244"/>
      <c r="D215" s="313"/>
      <c r="E215" s="303"/>
      <c r="F215" s="246"/>
      <c r="I215" s="339">
        <f t="shared" si="19"/>
        <v>0</v>
      </c>
      <c r="J215" s="339">
        <f t="shared" si="20"/>
        <v>0</v>
      </c>
      <c r="K215" s="9">
        <f t="shared" si="21"/>
        <v>0</v>
      </c>
    </row>
    <row r="216" spans="1:11" s="9" customFormat="1" ht="35.1" customHeight="1" x14ac:dyDescent="0.25">
      <c r="A216" s="255" t="s">
        <v>1164</v>
      </c>
      <c r="B216" s="254" t="s">
        <v>225</v>
      </c>
      <c r="C216" s="240" t="s">
        <v>13</v>
      </c>
      <c r="D216" s="295">
        <v>2.2000000000000002</v>
      </c>
      <c r="E216" s="243">
        <v>1417231</v>
      </c>
      <c r="F216" s="243">
        <f>ROUND(+E216*D216,2)</f>
        <v>3117908.2</v>
      </c>
      <c r="G216" s="9">
        <v>1417231</v>
      </c>
      <c r="H216" s="9">
        <v>3117908.2</v>
      </c>
      <c r="I216" s="339">
        <f t="shared" si="19"/>
        <v>0</v>
      </c>
      <c r="J216" s="339">
        <f t="shared" si="20"/>
        <v>0</v>
      </c>
      <c r="K216" s="9">
        <f t="shared" si="21"/>
        <v>0</v>
      </c>
    </row>
    <row r="217" spans="1:11" s="9" customFormat="1" ht="35.1" customHeight="1" x14ac:dyDescent="0.25">
      <c r="A217" s="266">
        <v>10</v>
      </c>
      <c r="B217" s="267" t="s">
        <v>253</v>
      </c>
      <c r="C217" s="267"/>
      <c r="D217" s="316"/>
      <c r="E217" s="306"/>
      <c r="F217" s="268"/>
      <c r="I217" s="339">
        <f t="shared" si="19"/>
        <v>0</v>
      </c>
      <c r="J217" s="339">
        <f t="shared" si="20"/>
        <v>0</v>
      </c>
      <c r="K217" s="9">
        <f t="shared" si="21"/>
        <v>0</v>
      </c>
    </row>
    <row r="218" spans="1:11" s="9" customFormat="1" ht="35.1" customHeight="1" x14ac:dyDescent="0.25">
      <c r="A218" s="275" t="s">
        <v>1165</v>
      </c>
      <c r="B218" s="245" t="s">
        <v>1166</v>
      </c>
      <c r="C218" s="244"/>
      <c r="D218" s="313"/>
      <c r="E218" s="303"/>
      <c r="F218" s="246"/>
      <c r="I218" s="339">
        <f t="shared" si="19"/>
        <v>0</v>
      </c>
      <c r="J218" s="339">
        <f t="shared" si="20"/>
        <v>0</v>
      </c>
      <c r="K218" s="9">
        <f t="shared" si="21"/>
        <v>0</v>
      </c>
    </row>
    <row r="219" spans="1:11" s="9" customFormat="1" ht="35.1" customHeight="1" x14ac:dyDescent="0.25">
      <c r="A219" s="255" t="s">
        <v>1167</v>
      </c>
      <c r="B219" s="254" t="s">
        <v>1168</v>
      </c>
      <c r="C219" s="255" t="s">
        <v>16</v>
      </c>
      <c r="D219" s="295">
        <v>2</v>
      </c>
      <c r="E219" s="243">
        <v>137187139</v>
      </c>
      <c r="F219" s="243">
        <f>ROUND(+E219*D219,2)</f>
        <v>274374278</v>
      </c>
      <c r="G219" s="9">
        <v>137187139</v>
      </c>
      <c r="H219" s="9">
        <v>274374278</v>
      </c>
      <c r="I219" s="339">
        <f t="shared" si="19"/>
        <v>0</v>
      </c>
      <c r="J219" s="339">
        <f t="shared" si="20"/>
        <v>0</v>
      </c>
      <c r="K219" s="9">
        <f t="shared" si="21"/>
        <v>0</v>
      </c>
    </row>
    <row r="220" spans="1:11" s="9" customFormat="1" ht="35.1" customHeight="1" x14ac:dyDescent="0.25">
      <c r="A220" s="276" t="s">
        <v>254</v>
      </c>
      <c r="B220" s="245" t="s">
        <v>255</v>
      </c>
      <c r="C220" s="244"/>
      <c r="D220" s="313"/>
      <c r="E220" s="303"/>
      <c r="F220" s="246"/>
      <c r="I220" s="339">
        <f t="shared" si="19"/>
        <v>0</v>
      </c>
      <c r="J220" s="339">
        <f t="shared" si="20"/>
        <v>0</v>
      </c>
      <c r="K220" s="9">
        <f t="shared" si="21"/>
        <v>0</v>
      </c>
    </row>
    <row r="221" spans="1:11" s="9" customFormat="1" ht="35.1" customHeight="1" x14ac:dyDescent="0.25">
      <c r="A221" s="240" t="s">
        <v>256</v>
      </c>
      <c r="B221" s="254" t="s">
        <v>257</v>
      </c>
      <c r="C221" s="255" t="s">
        <v>94</v>
      </c>
      <c r="D221" s="295">
        <v>394.4</v>
      </c>
      <c r="E221" s="243">
        <v>648864</v>
      </c>
      <c r="F221" s="243">
        <f>ROUND(+E221*D221,2)</f>
        <v>255911961.59999999</v>
      </c>
      <c r="G221" s="9">
        <v>648864</v>
      </c>
      <c r="H221" s="9">
        <v>255911961.59999999</v>
      </c>
      <c r="I221" s="339">
        <f t="shared" si="19"/>
        <v>0</v>
      </c>
      <c r="J221" s="339">
        <f t="shared" si="20"/>
        <v>0</v>
      </c>
      <c r="K221" s="9">
        <f t="shared" si="21"/>
        <v>0</v>
      </c>
    </row>
    <row r="222" spans="1:11" s="9" customFormat="1" ht="35.1" customHeight="1" x14ac:dyDescent="0.25">
      <c r="A222" s="240" t="s">
        <v>258</v>
      </c>
      <c r="B222" s="254" t="s">
        <v>259</v>
      </c>
      <c r="C222" s="255" t="s">
        <v>94</v>
      </c>
      <c r="D222" s="295">
        <v>60.13</v>
      </c>
      <c r="E222" s="243">
        <v>260332</v>
      </c>
      <c r="F222" s="243">
        <f>ROUND(+E222*D222,2)</f>
        <v>15653763.16</v>
      </c>
      <c r="G222" s="9">
        <v>260332</v>
      </c>
      <c r="H222" s="9">
        <v>15653763.16</v>
      </c>
      <c r="I222" s="339">
        <f t="shared" si="19"/>
        <v>0</v>
      </c>
      <c r="J222" s="339">
        <f t="shared" si="20"/>
        <v>0</v>
      </c>
      <c r="K222" s="9">
        <f t="shared" si="21"/>
        <v>0</v>
      </c>
    </row>
    <row r="223" spans="1:11" s="9" customFormat="1" ht="35.1" customHeight="1" x14ac:dyDescent="0.25">
      <c r="A223" s="276" t="s">
        <v>260</v>
      </c>
      <c r="B223" s="256" t="s">
        <v>261</v>
      </c>
      <c r="C223" s="256"/>
      <c r="D223" s="313"/>
      <c r="E223" s="303"/>
      <c r="F223" s="246"/>
      <c r="I223" s="339">
        <f t="shared" si="19"/>
        <v>0</v>
      </c>
      <c r="J223" s="339">
        <f t="shared" si="20"/>
        <v>0</v>
      </c>
      <c r="K223" s="9">
        <f t="shared" si="21"/>
        <v>0</v>
      </c>
    </row>
    <row r="224" spans="1:11" s="9" customFormat="1" ht="35.1" customHeight="1" x14ac:dyDescent="0.25">
      <c r="A224" s="240" t="s">
        <v>262</v>
      </c>
      <c r="B224" s="254" t="s">
        <v>263</v>
      </c>
      <c r="C224" s="255" t="s">
        <v>13</v>
      </c>
      <c r="D224" s="295">
        <v>167</v>
      </c>
      <c r="E224" s="243">
        <v>624440</v>
      </c>
      <c r="F224" s="243">
        <f>ROUND(+E224*D224,2)</f>
        <v>104281480</v>
      </c>
      <c r="G224" s="9">
        <v>624440</v>
      </c>
      <c r="H224" s="9">
        <v>104281480</v>
      </c>
      <c r="I224" s="339">
        <f t="shared" si="19"/>
        <v>0</v>
      </c>
      <c r="J224" s="339">
        <f t="shared" si="20"/>
        <v>0</v>
      </c>
      <c r="K224" s="9">
        <f t="shared" si="21"/>
        <v>0</v>
      </c>
    </row>
    <row r="225" spans="1:11" s="9" customFormat="1" ht="35.1" customHeight="1" x14ac:dyDescent="0.25">
      <c r="A225" s="266">
        <v>11</v>
      </c>
      <c r="B225" s="267" t="s">
        <v>1169</v>
      </c>
      <c r="C225" s="268"/>
      <c r="D225" s="316"/>
      <c r="E225" s="306"/>
      <c r="F225" s="268"/>
      <c r="I225" s="339">
        <f t="shared" si="19"/>
        <v>0</v>
      </c>
      <c r="J225" s="339">
        <f t="shared" si="20"/>
        <v>0</v>
      </c>
      <c r="K225" s="9">
        <f t="shared" si="21"/>
        <v>0</v>
      </c>
    </row>
    <row r="226" spans="1:11" s="9" customFormat="1" ht="35.1" customHeight="1" x14ac:dyDescent="0.25">
      <c r="A226" s="244" t="s">
        <v>1170</v>
      </c>
      <c r="B226" s="245" t="s">
        <v>10</v>
      </c>
      <c r="C226" s="244"/>
      <c r="D226" s="313"/>
      <c r="E226" s="303"/>
      <c r="F226" s="246"/>
      <c r="I226" s="339">
        <f t="shared" si="19"/>
        <v>0</v>
      </c>
      <c r="J226" s="339">
        <f t="shared" si="20"/>
        <v>0</v>
      </c>
      <c r="K226" s="9">
        <f t="shared" si="21"/>
        <v>0</v>
      </c>
    </row>
    <row r="227" spans="1:11" s="9" customFormat="1" ht="35.1" customHeight="1" x14ac:dyDescent="0.25">
      <c r="A227" s="255" t="s">
        <v>1171</v>
      </c>
      <c r="B227" s="254" t="s">
        <v>1050</v>
      </c>
      <c r="C227" s="255" t="s">
        <v>13</v>
      </c>
      <c r="D227" s="295">
        <v>745.71560000000011</v>
      </c>
      <c r="E227" s="243">
        <v>3555</v>
      </c>
      <c r="F227" s="243">
        <f>ROUND(+E227*D227,2)</f>
        <v>2651018.96</v>
      </c>
      <c r="G227" s="9">
        <v>3555</v>
      </c>
      <c r="H227" s="9">
        <v>2651034.6</v>
      </c>
      <c r="I227" s="339">
        <f t="shared" si="19"/>
        <v>0</v>
      </c>
      <c r="J227" s="339">
        <f t="shared" si="20"/>
        <v>15.640000000130385</v>
      </c>
      <c r="K227" s="9">
        <f t="shared" si="21"/>
        <v>1</v>
      </c>
    </row>
    <row r="228" spans="1:11" s="9" customFormat="1" ht="35.1" customHeight="1" x14ac:dyDescent="0.25">
      <c r="A228" s="255" t="s">
        <v>1172</v>
      </c>
      <c r="B228" s="254" t="s">
        <v>12</v>
      </c>
      <c r="C228" s="255" t="s">
        <v>13</v>
      </c>
      <c r="D228" s="295">
        <v>745.71560000000011</v>
      </c>
      <c r="E228" s="243">
        <v>27093</v>
      </c>
      <c r="F228" s="243">
        <f>ROUND(+E228*D228,2)</f>
        <v>20203672.75</v>
      </c>
      <c r="G228" s="9">
        <v>27093</v>
      </c>
      <c r="H228" s="9">
        <v>20203791.960000001</v>
      </c>
      <c r="I228" s="339">
        <f t="shared" si="19"/>
        <v>0</v>
      </c>
      <c r="J228" s="339">
        <f t="shared" si="20"/>
        <v>119.21000000089407</v>
      </c>
      <c r="K228" s="9">
        <f t="shared" si="21"/>
        <v>1</v>
      </c>
    </row>
    <row r="229" spans="1:11" s="9" customFormat="1" ht="35.1" customHeight="1" x14ac:dyDescent="0.25">
      <c r="A229" s="255" t="s">
        <v>1173</v>
      </c>
      <c r="B229" s="254" t="s">
        <v>1052</v>
      </c>
      <c r="C229" s="255" t="s">
        <v>94</v>
      </c>
      <c r="D229" s="295">
        <v>110.98</v>
      </c>
      <c r="E229" s="243">
        <v>34420</v>
      </c>
      <c r="F229" s="243">
        <f>ROUND(+E229*D229,2)</f>
        <v>3819931.6</v>
      </c>
      <c r="G229" s="9">
        <v>34420</v>
      </c>
      <c r="H229" s="9">
        <v>3819931.6</v>
      </c>
      <c r="I229" s="339">
        <f t="shared" si="19"/>
        <v>0</v>
      </c>
      <c r="J229" s="339">
        <f t="shared" si="20"/>
        <v>0</v>
      </c>
      <c r="K229" s="9">
        <f t="shared" si="21"/>
        <v>0</v>
      </c>
    </row>
    <row r="230" spans="1:11" s="9" customFormat="1" ht="35.1" customHeight="1" x14ac:dyDescent="0.25">
      <c r="A230" s="244" t="s">
        <v>1174</v>
      </c>
      <c r="B230" s="245" t="s">
        <v>18</v>
      </c>
      <c r="C230" s="244"/>
      <c r="D230" s="313"/>
      <c r="E230" s="303"/>
      <c r="F230" s="246"/>
      <c r="I230" s="339">
        <f t="shared" si="19"/>
        <v>0</v>
      </c>
      <c r="J230" s="339">
        <f t="shared" si="20"/>
        <v>0</v>
      </c>
      <c r="K230" s="9">
        <f t="shared" si="21"/>
        <v>0</v>
      </c>
    </row>
    <row r="231" spans="1:11" s="9" customFormat="1" ht="35.1" customHeight="1" x14ac:dyDescent="0.25">
      <c r="A231" s="255" t="s">
        <v>1175</v>
      </c>
      <c r="B231" s="254" t="s">
        <v>1176</v>
      </c>
      <c r="C231" s="255" t="s">
        <v>16</v>
      </c>
      <c r="D231" s="295">
        <v>1</v>
      </c>
      <c r="E231" s="243">
        <v>563857</v>
      </c>
      <c r="F231" s="243">
        <f>ROUND(+E231*D231,2)</f>
        <v>563857</v>
      </c>
      <c r="G231" s="9">
        <v>563857</v>
      </c>
      <c r="H231" s="9">
        <v>563857</v>
      </c>
      <c r="I231" s="339">
        <f t="shared" si="19"/>
        <v>0</v>
      </c>
      <c r="J231" s="339">
        <f t="shared" si="20"/>
        <v>0</v>
      </c>
      <c r="K231" s="9">
        <f t="shared" si="21"/>
        <v>0</v>
      </c>
    </row>
    <row r="232" spans="1:11" s="9" customFormat="1" ht="35.1" customHeight="1" x14ac:dyDescent="0.25">
      <c r="A232" s="255" t="s">
        <v>1177</v>
      </c>
      <c r="B232" s="254" t="s">
        <v>1178</v>
      </c>
      <c r="C232" s="255" t="s">
        <v>16</v>
      </c>
      <c r="D232" s="295">
        <v>1</v>
      </c>
      <c r="E232" s="243">
        <v>4041000</v>
      </c>
      <c r="F232" s="243">
        <f>ROUND(+E232*D232,2)</f>
        <v>4041000</v>
      </c>
      <c r="G232" s="9">
        <v>4041000</v>
      </c>
      <c r="H232" s="9">
        <v>4041000</v>
      </c>
      <c r="I232" s="339">
        <f t="shared" si="19"/>
        <v>0</v>
      </c>
      <c r="J232" s="339">
        <f t="shared" si="20"/>
        <v>0</v>
      </c>
      <c r="K232" s="9">
        <f t="shared" si="21"/>
        <v>0</v>
      </c>
    </row>
    <row r="233" spans="1:11" s="9" customFormat="1" ht="35.1" customHeight="1" x14ac:dyDescent="0.25">
      <c r="A233" s="244" t="s">
        <v>1179</v>
      </c>
      <c r="B233" s="245" t="s">
        <v>20</v>
      </c>
      <c r="C233" s="246"/>
      <c r="D233" s="313"/>
      <c r="E233" s="303"/>
      <c r="F233" s="246"/>
      <c r="I233" s="339">
        <f t="shared" si="19"/>
        <v>0</v>
      </c>
      <c r="J233" s="339">
        <f t="shared" si="20"/>
        <v>0</v>
      </c>
      <c r="K233" s="9">
        <f t="shared" si="21"/>
        <v>0</v>
      </c>
    </row>
    <row r="234" spans="1:11" s="9" customFormat="1" ht="35.1" customHeight="1" x14ac:dyDescent="0.25">
      <c r="A234" s="255" t="s">
        <v>1180</v>
      </c>
      <c r="B234" s="241" t="s">
        <v>1421</v>
      </c>
      <c r="C234" s="255" t="s">
        <v>1182</v>
      </c>
      <c r="D234" s="295">
        <v>1</v>
      </c>
      <c r="E234" s="243">
        <v>1976190</v>
      </c>
      <c r="F234" s="243">
        <f>ROUND(+E234*D234,2)</f>
        <v>1976190</v>
      </c>
      <c r="G234" s="9">
        <v>1976190</v>
      </c>
      <c r="H234" s="9">
        <v>1976190</v>
      </c>
      <c r="I234" s="339">
        <f t="shared" si="19"/>
        <v>0</v>
      </c>
      <c r="J234" s="339">
        <f t="shared" si="20"/>
        <v>0</v>
      </c>
      <c r="K234" s="9">
        <f t="shared" si="21"/>
        <v>0</v>
      </c>
    </row>
    <row r="235" spans="1:11" s="9" customFormat="1" ht="35.1" customHeight="1" x14ac:dyDescent="0.25">
      <c r="A235" s="244" t="s">
        <v>1183</v>
      </c>
      <c r="B235" s="245" t="s">
        <v>1184</v>
      </c>
      <c r="C235" s="246"/>
      <c r="D235" s="313"/>
      <c r="E235" s="303"/>
      <c r="F235" s="246"/>
      <c r="I235" s="339">
        <f t="shared" si="19"/>
        <v>0</v>
      </c>
      <c r="J235" s="339">
        <f t="shared" si="20"/>
        <v>0</v>
      </c>
      <c r="K235" s="9">
        <f t="shared" si="21"/>
        <v>0</v>
      </c>
    </row>
    <row r="236" spans="1:11" s="9" customFormat="1" ht="35.1" customHeight="1" x14ac:dyDescent="0.25">
      <c r="A236" s="240" t="s">
        <v>1185</v>
      </c>
      <c r="B236" s="241" t="s">
        <v>1186</v>
      </c>
      <c r="C236" s="240" t="s">
        <v>30</v>
      </c>
      <c r="D236" s="295">
        <v>79.201499999999996</v>
      </c>
      <c r="E236" s="243">
        <v>32449</v>
      </c>
      <c r="F236" s="243">
        <f>ROUND(+E236*D236,2)</f>
        <v>2570009.4700000002</v>
      </c>
      <c r="G236" s="9">
        <v>32449</v>
      </c>
      <c r="H236" s="9">
        <v>2569960.7999999998</v>
      </c>
      <c r="I236" s="339">
        <f t="shared" si="19"/>
        <v>0</v>
      </c>
      <c r="J236" s="339">
        <f t="shared" si="20"/>
        <v>-48.670000000391155</v>
      </c>
      <c r="K236" s="9">
        <f t="shared" si="21"/>
        <v>0</v>
      </c>
    </row>
    <row r="237" spans="1:11" s="9" customFormat="1" ht="35.1" customHeight="1" x14ac:dyDescent="0.25">
      <c r="A237" s="240" t="s">
        <v>1187</v>
      </c>
      <c r="B237" s="251" t="s">
        <v>1188</v>
      </c>
      <c r="C237" s="240" t="s">
        <v>30</v>
      </c>
      <c r="D237" s="295">
        <v>110</v>
      </c>
      <c r="E237" s="243">
        <v>147410</v>
      </c>
      <c r="F237" s="243">
        <f>ROUND(+E237*D237,2)</f>
        <v>16215100</v>
      </c>
      <c r="G237" s="9">
        <v>147410</v>
      </c>
      <c r="H237" s="9">
        <v>16215100</v>
      </c>
      <c r="I237" s="339">
        <f t="shared" si="19"/>
        <v>0</v>
      </c>
      <c r="J237" s="339">
        <f t="shared" si="20"/>
        <v>0</v>
      </c>
      <c r="K237" s="9">
        <f t="shared" si="21"/>
        <v>0</v>
      </c>
    </row>
    <row r="238" spans="1:11" s="9" customFormat="1" ht="35.1" customHeight="1" x14ac:dyDescent="0.25">
      <c r="A238" s="240" t="s">
        <v>1189</v>
      </c>
      <c r="B238" s="254" t="s">
        <v>422</v>
      </c>
      <c r="C238" s="240" t="s">
        <v>30</v>
      </c>
      <c r="D238" s="295">
        <v>64.790000000000006</v>
      </c>
      <c r="E238" s="243">
        <v>77514</v>
      </c>
      <c r="F238" s="243">
        <f>ROUND(+E238*D238,2)</f>
        <v>5022132.0599999996</v>
      </c>
      <c r="G238" s="9">
        <v>77514</v>
      </c>
      <c r="H238" s="9">
        <v>5022132.0599999996</v>
      </c>
      <c r="I238" s="339">
        <f t="shared" si="19"/>
        <v>0</v>
      </c>
      <c r="J238" s="339">
        <f t="shared" si="20"/>
        <v>0</v>
      </c>
      <c r="K238" s="9">
        <f t="shared" si="21"/>
        <v>0</v>
      </c>
    </row>
    <row r="239" spans="1:11" s="9" customFormat="1" ht="35.1" customHeight="1" x14ac:dyDescent="0.25">
      <c r="A239" s="240" t="s">
        <v>1190</v>
      </c>
      <c r="B239" s="241" t="s">
        <v>1191</v>
      </c>
      <c r="C239" s="240" t="s">
        <v>30</v>
      </c>
      <c r="D239" s="295">
        <v>2</v>
      </c>
      <c r="E239" s="243">
        <v>532168</v>
      </c>
      <c r="F239" s="243">
        <f>ROUND(+E239*D239,2)</f>
        <v>1064336</v>
      </c>
      <c r="G239" s="9">
        <v>532168</v>
      </c>
      <c r="H239" s="9">
        <v>1064336</v>
      </c>
      <c r="I239" s="339">
        <f t="shared" si="19"/>
        <v>0</v>
      </c>
      <c r="J239" s="339">
        <f t="shared" si="20"/>
        <v>0</v>
      </c>
      <c r="K239" s="9">
        <f t="shared" si="21"/>
        <v>0</v>
      </c>
    </row>
    <row r="240" spans="1:11" s="9" customFormat="1" ht="35.1" customHeight="1" x14ac:dyDescent="0.25">
      <c r="A240" s="240" t="s">
        <v>1192</v>
      </c>
      <c r="B240" s="241" t="s">
        <v>1193</v>
      </c>
      <c r="C240" s="240" t="s">
        <v>30</v>
      </c>
      <c r="D240" s="295">
        <v>139.05000000000001</v>
      </c>
      <c r="E240" s="243">
        <v>35210</v>
      </c>
      <c r="F240" s="243">
        <f>ROUND(+E240*D240,2)</f>
        <v>4895950.5</v>
      </c>
      <c r="G240" s="9">
        <v>35210</v>
      </c>
      <c r="H240" s="9">
        <v>4895950.5</v>
      </c>
      <c r="I240" s="339">
        <f t="shared" si="19"/>
        <v>0</v>
      </c>
      <c r="J240" s="339">
        <f t="shared" si="20"/>
        <v>0</v>
      </c>
      <c r="K240" s="9">
        <f t="shared" si="21"/>
        <v>0</v>
      </c>
    </row>
    <row r="241" spans="1:11" s="9" customFormat="1" ht="35.1" customHeight="1" x14ac:dyDescent="0.25">
      <c r="A241" s="265" t="s">
        <v>1194</v>
      </c>
      <c r="B241" s="245" t="s">
        <v>1195</v>
      </c>
      <c r="C241" s="256"/>
      <c r="D241" s="313"/>
      <c r="E241" s="303"/>
      <c r="F241" s="246"/>
      <c r="I241" s="339">
        <f t="shared" si="19"/>
        <v>0</v>
      </c>
      <c r="J241" s="339">
        <f t="shared" si="20"/>
        <v>0</v>
      </c>
      <c r="K241" s="9">
        <f t="shared" si="21"/>
        <v>0</v>
      </c>
    </row>
    <row r="242" spans="1:11" s="9" customFormat="1" ht="35.1" customHeight="1" x14ac:dyDescent="0.25">
      <c r="A242" s="240" t="s">
        <v>1196</v>
      </c>
      <c r="B242" s="251" t="s">
        <v>1197</v>
      </c>
      <c r="C242" s="240" t="s">
        <v>13</v>
      </c>
      <c r="D242" s="295">
        <v>185.11</v>
      </c>
      <c r="E242" s="243">
        <v>79722</v>
      </c>
      <c r="F242" s="243">
        <f>ROUND(+E242*D242,2)</f>
        <v>14757339.42</v>
      </c>
      <c r="G242" s="9">
        <v>79722</v>
      </c>
      <c r="H242" s="9">
        <v>14757339.42</v>
      </c>
      <c r="I242" s="339">
        <f t="shared" si="19"/>
        <v>0</v>
      </c>
      <c r="J242" s="339">
        <f t="shared" si="20"/>
        <v>0</v>
      </c>
      <c r="K242" s="9">
        <f t="shared" si="21"/>
        <v>0</v>
      </c>
    </row>
    <row r="243" spans="1:11" s="9" customFormat="1" ht="35.1" customHeight="1" x14ac:dyDescent="0.25">
      <c r="A243" s="240" t="s">
        <v>1198</v>
      </c>
      <c r="B243" s="241" t="s">
        <v>1199</v>
      </c>
      <c r="C243" s="240" t="s">
        <v>94</v>
      </c>
      <c r="D243" s="295">
        <v>72.05</v>
      </c>
      <c r="E243" s="243">
        <v>47413</v>
      </c>
      <c r="F243" s="243">
        <f>ROUND(+E243*D243,2)</f>
        <v>3416106.65</v>
      </c>
      <c r="G243" s="9">
        <v>47413</v>
      </c>
      <c r="H243" s="9">
        <v>3416106.65</v>
      </c>
      <c r="I243" s="339">
        <f t="shared" si="19"/>
        <v>0</v>
      </c>
      <c r="J243" s="339">
        <f t="shared" si="20"/>
        <v>0</v>
      </c>
      <c r="K243" s="9">
        <f t="shared" si="21"/>
        <v>0</v>
      </c>
    </row>
    <row r="244" spans="1:11" s="9" customFormat="1" ht="35.1" customHeight="1" x14ac:dyDescent="0.25">
      <c r="A244" s="240" t="s">
        <v>1200</v>
      </c>
      <c r="B244" s="241" t="s">
        <v>1201</v>
      </c>
      <c r="C244" s="240" t="s">
        <v>94</v>
      </c>
      <c r="D244" s="295">
        <v>303.41000000000003</v>
      </c>
      <c r="E244" s="243">
        <v>72468</v>
      </c>
      <c r="F244" s="243">
        <f>ROUND(+E244*D244,2)</f>
        <v>21987515.879999999</v>
      </c>
      <c r="G244" s="9">
        <v>72468</v>
      </c>
      <c r="H244" s="9">
        <v>21987515.879999999</v>
      </c>
      <c r="I244" s="339">
        <f t="shared" si="19"/>
        <v>0</v>
      </c>
      <c r="J244" s="339">
        <f t="shared" si="20"/>
        <v>0</v>
      </c>
      <c r="K244" s="9">
        <f t="shared" si="21"/>
        <v>0</v>
      </c>
    </row>
    <row r="245" spans="1:11" s="9" customFormat="1" ht="35.1" customHeight="1" x14ac:dyDescent="0.25">
      <c r="A245" s="240" t="s">
        <v>1202</v>
      </c>
      <c r="B245" s="241" t="s">
        <v>1203</v>
      </c>
      <c r="C245" s="240" t="s">
        <v>13</v>
      </c>
      <c r="D245" s="295">
        <v>433</v>
      </c>
      <c r="E245" s="243">
        <v>16029</v>
      </c>
      <c r="F245" s="243">
        <f>ROUND(+E245*D245,2)</f>
        <v>6940557</v>
      </c>
      <c r="G245" s="9">
        <v>16029</v>
      </c>
      <c r="H245" s="9">
        <v>6940557</v>
      </c>
      <c r="I245" s="339">
        <f t="shared" si="19"/>
        <v>0</v>
      </c>
      <c r="J245" s="339">
        <f t="shared" si="20"/>
        <v>0</v>
      </c>
      <c r="K245" s="9">
        <f t="shared" si="21"/>
        <v>0</v>
      </c>
    </row>
    <row r="246" spans="1:11" s="9" customFormat="1" ht="35.1" customHeight="1" x14ac:dyDescent="0.25">
      <c r="A246" s="244" t="s">
        <v>1204</v>
      </c>
      <c r="B246" s="245" t="s">
        <v>1205</v>
      </c>
      <c r="C246" s="244"/>
      <c r="D246" s="313"/>
      <c r="E246" s="303"/>
      <c r="F246" s="246"/>
      <c r="I246" s="339">
        <f t="shared" si="19"/>
        <v>0</v>
      </c>
      <c r="J246" s="339">
        <f t="shared" si="20"/>
        <v>0</v>
      </c>
      <c r="K246" s="9">
        <f t="shared" si="21"/>
        <v>0</v>
      </c>
    </row>
    <row r="247" spans="1:11" s="9" customFormat="1" ht="35.1" customHeight="1" x14ac:dyDescent="0.25">
      <c r="A247" s="255" t="s">
        <v>1206</v>
      </c>
      <c r="B247" s="241" t="s">
        <v>1207</v>
      </c>
      <c r="C247" s="240" t="s">
        <v>16</v>
      </c>
      <c r="D247" s="295">
        <v>4</v>
      </c>
      <c r="E247" s="243">
        <v>790611</v>
      </c>
      <c r="F247" s="243">
        <f t="shared" ref="F247:F252" si="24">ROUND(+E247*D247,2)</f>
        <v>3162444</v>
      </c>
      <c r="G247" s="9">
        <v>790611</v>
      </c>
      <c r="H247" s="9">
        <v>3162444</v>
      </c>
      <c r="I247" s="339">
        <f t="shared" si="19"/>
        <v>0</v>
      </c>
      <c r="J247" s="339">
        <f t="shared" si="20"/>
        <v>0</v>
      </c>
      <c r="K247" s="9">
        <f t="shared" si="21"/>
        <v>0</v>
      </c>
    </row>
    <row r="248" spans="1:11" s="9" customFormat="1" ht="35.1" customHeight="1" x14ac:dyDescent="0.25">
      <c r="A248" s="255" t="s">
        <v>1208</v>
      </c>
      <c r="B248" s="241" t="s">
        <v>1209</v>
      </c>
      <c r="C248" s="240" t="s">
        <v>16</v>
      </c>
      <c r="D248" s="295">
        <v>6</v>
      </c>
      <c r="E248" s="243">
        <v>395332</v>
      </c>
      <c r="F248" s="243">
        <f t="shared" si="24"/>
        <v>2371992</v>
      </c>
      <c r="G248" s="9">
        <v>395332</v>
      </c>
      <c r="H248" s="9">
        <v>2371992</v>
      </c>
      <c r="I248" s="339">
        <f t="shared" si="19"/>
        <v>0</v>
      </c>
      <c r="J248" s="339">
        <f t="shared" si="20"/>
        <v>0</v>
      </c>
      <c r="K248" s="9">
        <f t="shared" si="21"/>
        <v>0</v>
      </c>
    </row>
    <row r="249" spans="1:11" s="9" customFormat="1" ht="35.1" customHeight="1" x14ac:dyDescent="0.25">
      <c r="A249" s="255" t="s">
        <v>1210</v>
      </c>
      <c r="B249" s="241" t="s">
        <v>1211</v>
      </c>
      <c r="C249" s="240" t="s">
        <v>16</v>
      </c>
      <c r="D249" s="295">
        <v>1</v>
      </c>
      <c r="E249" s="243">
        <v>9881750</v>
      </c>
      <c r="F249" s="243">
        <f t="shared" si="24"/>
        <v>9881750</v>
      </c>
      <c r="G249" s="9">
        <v>9881750</v>
      </c>
      <c r="H249" s="9">
        <v>9881750</v>
      </c>
      <c r="I249" s="339">
        <f t="shared" si="19"/>
        <v>0</v>
      </c>
      <c r="J249" s="339">
        <f t="shared" si="20"/>
        <v>0</v>
      </c>
      <c r="K249" s="9">
        <f t="shared" si="21"/>
        <v>0</v>
      </c>
    </row>
    <row r="250" spans="1:11" s="9" customFormat="1" ht="35.1" customHeight="1" x14ac:dyDescent="0.25">
      <c r="A250" s="255" t="s">
        <v>1212</v>
      </c>
      <c r="B250" s="254" t="s">
        <v>1213</v>
      </c>
      <c r="C250" s="240" t="s">
        <v>16</v>
      </c>
      <c r="D250" s="295">
        <v>3</v>
      </c>
      <c r="E250" s="243">
        <v>237578</v>
      </c>
      <c r="F250" s="243">
        <f t="shared" si="24"/>
        <v>712734</v>
      </c>
      <c r="G250" s="9">
        <v>237578</v>
      </c>
      <c r="H250" s="9">
        <v>712734</v>
      </c>
      <c r="I250" s="339">
        <f t="shared" si="19"/>
        <v>0</v>
      </c>
      <c r="J250" s="339">
        <f t="shared" si="20"/>
        <v>0</v>
      </c>
      <c r="K250" s="9">
        <f t="shared" si="21"/>
        <v>0</v>
      </c>
    </row>
    <row r="251" spans="1:11" s="9" customFormat="1" ht="35.1" customHeight="1" x14ac:dyDescent="0.25">
      <c r="A251" s="255" t="s">
        <v>1214</v>
      </c>
      <c r="B251" s="254" t="s">
        <v>1215</v>
      </c>
      <c r="C251" s="240" t="s">
        <v>16</v>
      </c>
      <c r="D251" s="295">
        <v>3</v>
      </c>
      <c r="E251" s="243">
        <v>329530</v>
      </c>
      <c r="F251" s="243">
        <f t="shared" si="24"/>
        <v>988590</v>
      </c>
      <c r="G251" s="9">
        <v>329530</v>
      </c>
      <c r="H251" s="9">
        <v>988590</v>
      </c>
      <c r="I251" s="339">
        <f t="shared" si="19"/>
        <v>0</v>
      </c>
      <c r="J251" s="339">
        <f t="shared" si="20"/>
        <v>0</v>
      </c>
      <c r="K251" s="9">
        <f t="shared" si="21"/>
        <v>0</v>
      </c>
    </row>
    <row r="252" spans="1:11" s="9" customFormat="1" ht="35.1" customHeight="1" x14ac:dyDescent="0.25">
      <c r="A252" s="255" t="s">
        <v>1216</v>
      </c>
      <c r="B252" s="254" t="s">
        <v>1217</v>
      </c>
      <c r="C252" s="240" t="s">
        <v>16</v>
      </c>
      <c r="D252" s="295">
        <v>1</v>
      </c>
      <c r="E252" s="243">
        <v>395403</v>
      </c>
      <c r="F252" s="243">
        <f t="shared" si="24"/>
        <v>395403</v>
      </c>
      <c r="G252" s="9">
        <v>395403</v>
      </c>
      <c r="H252" s="9">
        <v>395403</v>
      </c>
      <c r="I252" s="339">
        <f t="shared" si="19"/>
        <v>0</v>
      </c>
      <c r="J252" s="339">
        <f t="shared" si="20"/>
        <v>0</v>
      </c>
      <c r="K252" s="9">
        <f t="shared" si="21"/>
        <v>0</v>
      </c>
    </row>
    <row r="253" spans="1:11" s="9" customFormat="1" ht="35.1" customHeight="1" x14ac:dyDescent="0.25">
      <c r="A253" s="244" t="s">
        <v>1218</v>
      </c>
      <c r="B253" s="245" t="s">
        <v>1219</v>
      </c>
      <c r="C253" s="244"/>
      <c r="D253" s="313"/>
      <c r="E253" s="303"/>
      <c r="F253" s="246"/>
      <c r="I253" s="339">
        <f t="shared" si="19"/>
        <v>0</v>
      </c>
      <c r="J253" s="339">
        <f t="shared" si="20"/>
        <v>0</v>
      </c>
      <c r="K253" s="9">
        <f t="shared" si="21"/>
        <v>0</v>
      </c>
    </row>
    <row r="254" spans="1:11" s="9" customFormat="1" ht="35.1" customHeight="1" x14ac:dyDescent="0.25">
      <c r="A254" s="240" t="s">
        <v>1220</v>
      </c>
      <c r="B254" s="241" t="s">
        <v>1221</v>
      </c>
      <c r="C254" s="240" t="s">
        <v>16</v>
      </c>
      <c r="D254" s="295">
        <v>8</v>
      </c>
      <c r="E254" s="243">
        <v>3300179</v>
      </c>
      <c r="F254" s="243">
        <f>ROUND(+E254*D254,2)</f>
        <v>26401432</v>
      </c>
      <c r="G254" s="9">
        <v>3300179</v>
      </c>
      <c r="H254" s="9">
        <v>26401432</v>
      </c>
      <c r="I254" s="339">
        <f t="shared" si="19"/>
        <v>0</v>
      </c>
      <c r="J254" s="339">
        <f t="shared" si="20"/>
        <v>0</v>
      </c>
      <c r="K254" s="9">
        <f t="shared" si="21"/>
        <v>0</v>
      </c>
    </row>
    <row r="255" spans="1:11" s="9" customFormat="1" ht="35.1" customHeight="1" x14ac:dyDescent="0.25">
      <c r="A255" s="266">
        <v>12</v>
      </c>
      <c r="B255" s="267" t="s">
        <v>264</v>
      </c>
      <c r="C255" s="267"/>
      <c r="D255" s="316"/>
      <c r="E255" s="306"/>
      <c r="F255" s="268"/>
      <c r="I255" s="339">
        <f t="shared" si="19"/>
        <v>0</v>
      </c>
      <c r="J255" s="339">
        <f t="shared" si="20"/>
        <v>0</v>
      </c>
      <c r="K255" s="9">
        <f t="shared" si="21"/>
        <v>0</v>
      </c>
    </row>
    <row r="256" spans="1:11" s="9" customFormat="1" ht="35.1" customHeight="1" x14ac:dyDescent="0.25">
      <c r="A256" s="277" t="s">
        <v>265</v>
      </c>
      <c r="B256" s="278" t="s">
        <v>266</v>
      </c>
      <c r="C256" s="256"/>
      <c r="D256" s="313"/>
      <c r="E256" s="303"/>
      <c r="F256" s="246"/>
      <c r="I256" s="339">
        <f t="shared" si="19"/>
        <v>0</v>
      </c>
      <c r="J256" s="339">
        <f t="shared" si="20"/>
        <v>0</v>
      </c>
      <c r="K256" s="9">
        <f t="shared" si="21"/>
        <v>0</v>
      </c>
    </row>
    <row r="257" spans="1:11" s="9" customFormat="1" ht="35.1" customHeight="1" x14ac:dyDescent="0.25">
      <c r="A257" s="279" t="s">
        <v>267</v>
      </c>
      <c r="B257" s="254" t="s">
        <v>268</v>
      </c>
      <c r="C257" s="255" t="s">
        <v>269</v>
      </c>
      <c r="D257" s="295">
        <v>166</v>
      </c>
      <c r="E257" s="243">
        <v>12999</v>
      </c>
      <c r="F257" s="243">
        <f t="shared" ref="F257:F285" si="25">ROUND(+E257*D257,2)</f>
        <v>2157834</v>
      </c>
      <c r="G257" s="9">
        <v>12999</v>
      </c>
      <c r="H257" s="9">
        <v>2157834</v>
      </c>
      <c r="I257" s="339">
        <f t="shared" si="19"/>
        <v>0</v>
      </c>
      <c r="J257" s="339">
        <f t="shared" si="20"/>
        <v>0</v>
      </c>
      <c r="K257" s="9">
        <f t="shared" si="21"/>
        <v>0</v>
      </c>
    </row>
    <row r="258" spans="1:11" s="9" customFormat="1" ht="35.1" customHeight="1" x14ac:dyDescent="0.25">
      <c r="A258" s="279" t="s">
        <v>270</v>
      </c>
      <c r="B258" s="254" t="s">
        <v>271</v>
      </c>
      <c r="C258" s="255" t="s">
        <v>269</v>
      </c>
      <c r="D258" s="295">
        <v>67</v>
      </c>
      <c r="E258" s="243">
        <v>19342</v>
      </c>
      <c r="F258" s="243">
        <f t="shared" si="25"/>
        <v>1295914</v>
      </c>
      <c r="G258" s="9">
        <v>19342</v>
      </c>
      <c r="H258" s="9">
        <v>1295914</v>
      </c>
      <c r="I258" s="339">
        <f t="shared" si="19"/>
        <v>0</v>
      </c>
      <c r="J258" s="339">
        <f t="shared" si="20"/>
        <v>0</v>
      </c>
      <c r="K258" s="9">
        <f t="shared" si="21"/>
        <v>0</v>
      </c>
    </row>
    <row r="259" spans="1:11" s="9" customFormat="1" ht="35.1" customHeight="1" x14ac:dyDescent="0.25">
      <c r="A259" s="279" t="s">
        <v>272</v>
      </c>
      <c r="B259" s="254" t="s">
        <v>273</v>
      </c>
      <c r="C259" s="255" t="s">
        <v>269</v>
      </c>
      <c r="D259" s="295">
        <v>55</v>
      </c>
      <c r="E259" s="243">
        <v>20509</v>
      </c>
      <c r="F259" s="243">
        <f t="shared" si="25"/>
        <v>1127995</v>
      </c>
      <c r="G259" s="9">
        <v>20509</v>
      </c>
      <c r="H259" s="9">
        <v>1127995</v>
      </c>
      <c r="I259" s="339">
        <f t="shared" si="19"/>
        <v>0</v>
      </c>
      <c r="J259" s="339">
        <f t="shared" si="20"/>
        <v>0</v>
      </c>
      <c r="K259" s="9">
        <f t="shared" si="21"/>
        <v>0</v>
      </c>
    </row>
    <row r="260" spans="1:11" s="9" customFormat="1" ht="35.1" customHeight="1" x14ac:dyDescent="0.25">
      <c r="A260" s="279" t="s">
        <v>274</v>
      </c>
      <c r="B260" s="254" t="s">
        <v>275</v>
      </c>
      <c r="C260" s="255" t="s">
        <v>269</v>
      </c>
      <c r="D260" s="295">
        <v>87</v>
      </c>
      <c r="E260" s="243">
        <v>21787</v>
      </c>
      <c r="F260" s="243">
        <f t="shared" si="25"/>
        <v>1895469</v>
      </c>
      <c r="G260" s="9">
        <v>21787</v>
      </c>
      <c r="H260" s="9">
        <v>1895469</v>
      </c>
      <c r="I260" s="339">
        <f t="shared" si="19"/>
        <v>0</v>
      </c>
      <c r="J260" s="339">
        <f t="shared" si="20"/>
        <v>0</v>
      </c>
      <c r="K260" s="9">
        <f t="shared" si="21"/>
        <v>0</v>
      </c>
    </row>
    <row r="261" spans="1:11" s="9" customFormat="1" ht="35.1" customHeight="1" x14ac:dyDescent="0.25">
      <c r="A261" s="279" t="s">
        <v>276</v>
      </c>
      <c r="B261" s="254" t="s">
        <v>277</v>
      </c>
      <c r="C261" s="255" t="s">
        <v>269</v>
      </c>
      <c r="D261" s="295">
        <v>78</v>
      </c>
      <c r="E261" s="243">
        <v>28005</v>
      </c>
      <c r="F261" s="243">
        <f t="shared" si="25"/>
        <v>2184390</v>
      </c>
      <c r="G261" s="9">
        <v>28005</v>
      </c>
      <c r="H261" s="9">
        <v>2184390</v>
      </c>
      <c r="I261" s="339">
        <f t="shared" ref="I261:I324" si="26">+E261-G261</f>
        <v>0</v>
      </c>
      <c r="J261" s="339">
        <f t="shared" ref="J261:J324" si="27">+H261-F261</f>
        <v>0</v>
      </c>
      <c r="K261" s="9">
        <f t="shared" ref="K261:K324" si="28">IF(J261&gt;0,1,0)</f>
        <v>0</v>
      </c>
    </row>
    <row r="262" spans="1:11" s="9" customFormat="1" ht="35.1" customHeight="1" x14ac:dyDescent="0.25">
      <c r="A262" s="279" t="s">
        <v>278</v>
      </c>
      <c r="B262" s="254" t="s">
        <v>279</v>
      </c>
      <c r="C262" s="255" t="s">
        <v>269</v>
      </c>
      <c r="D262" s="295">
        <v>123</v>
      </c>
      <c r="E262" s="243">
        <v>40094</v>
      </c>
      <c r="F262" s="243">
        <f t="shared" si="25"/>
        <v>4931562</v>
      </c>
      <c r="G262" s="9">
        <v>40094</v>
      </c>
      <c r="H262" s="9">
        <v>4931562</v>
      </c>
      <c r="I262" s="339">
        <f t="shared" si="26"/>
        <v>0</v>
      </c>
      <c r="J262" s="339">
        <f t="shared" si="27"/>
        <v>0</v>
      </c>
      <c r="K262" s="9">
        <f t="shared" si="28"/>
        <v>0</v>
      </c>
    </row>
    <row r="263" spans="1:11" s="9" customFormat="1" ht="35.1" customHeight="1" x14ac:dyDescent="0.25">
      <c r="A263" s="279" t="s">
        <v>280</v>
      </c>
      <c r="B263" s="254" t="s">
        <v>281</v>
      </c>
      <c r="C263" s="255" t="s">
        <v>269</v>
      </c>
      <c r="D263" s="295">
        <v>25</v>
      </c>
      <c r="E263" s="243">
        <v>54119</v>
      </c>
      <c r="F263" s="243">
        <f t="shared" si="25"/>
        <v>1352975</v>
      </c>
      <c r="G263" s="9">
        <v>54119</v>
      </c>
      <c r="H263" s="9">
        <v>1352975</v>
      </c>
      <c r="I263" s="339">
        <f t="shared" si="26"/>
        <v>0</v>
      </c>
      <c r="J263" s="339">
        <f t="shared" si="27"/>
        <v>0</v>
      </c>
      <c r="K263" s="9">
        <f t="shared" si="28"/>
        <v>0</v>
      </c>
    </row>
    <row r="264" spans="1:11" s="9" customFormat="1" ht="35.1" customHeight="1" x14ac:dyDescent="0.25">
      <c r="A264" s="279" t="s">
        <v>282</v>
      </c>
      <c r="B264" s="254" t="s">
        <v>283</v>
      </c>
      <c r="C264" s="255" t="s">
        <v>1422</v>
      </c>
      <c r="D264" s="295">
        <v>144</v>
      </c>
      <c r="E264" s="243">
        <v>3365</v>
      </c>
      <c r="F264" s="243">
        <f t="shared" si="25"/>
        <v>484560</v>
      </c>
      <c r="G264" s="9">
        <v>3365</v>
      </c>
      <c r="H264" s="9">
        <v>484560</v>
      </c>
      <c r="I264" s="339">
        <f t="shared" si="26"/>
        <v>0</v>
      </c>
      <c r="J264" s="339">
        <f t="shared" si="27"/>
        <v>0</v>
      </c>
      <c r="K264" s="9">
        <f t="shared" si="28"/>
        <v>0</v>
      </c>
    </row>
    <row r="265" spans="1:11" s="9" customFormat="1" ht="35.1" customHeight="1" x14ac:dyDescent="0.25">
      <c r="A265" s="279" t="s">
        <v>285</v>
      </c>
      <c r="B265" s="254" t="s">
        <v>286</v>
      </c>
      <c r="C265" s="255" t="s">
        <v>1422</v>
      </c>
      <c r="D265" s="295">
        <v>52</v>
      </c>
      <c r="E265" s="243">
        <v>3995</v>
      </c>
      <c r="F265" s="243">
        <f t="shared" si="25"/>
        <v>207740</v>
      </c>
      <c r="G265" s="9">
        <v>3995</v>
      </c>
      <c r="H265" s="9">
        <v>207740</v>
      </c>
      <c r="I265" s="339">
        <f t="shared" si="26"/>
        <v>0</v>
      </c>
      <c r="J265" s="339">
        <f t="shared" si="27"/>
        <v>0</v>
      </c>
      <c r="K265" s="9">
        <f t="shared" si="28"/>
        <v>0</v>
      </c>
    </row>
    <row r="266" spans="1:11" s="9" customFormat="1" ht="35.1" customHeight="1" x14ac:dyDescent="0.25">
      <c r="A266" s="279" t="s">
        <v>287</v>
      </c>
      <c r="B266" s="254" t="s">
        <v>288</v>
      </c>
      <c r="C266" s="255" t="s">
        <v>1422</v>
      </c>
      <c r="D266" s="295">
        <v>41</v>
      </c>
      <c r="E266" s="243">
        <v>4719</v>
      </c>
      <c r="F266" s="243">
        <f t="shared" si="25"/>
        <v>193479</v>
      </c>
      <c r="G266" s="9">
        <v>4719</v>
      </c>
      <c r="H266" s="9">
        <v>193479</v>
      </c>
      <c r="I266" s="339">
        <f t="shared" si="26"/>
        <v>0</v>
      </c>
      <c r="J266" s="339">
        <f t="shared" si="27"/>
        <v>0</v>
      </c>
      <c r="K266" s="9">
        <f t="shared" si="28"/>
        <v>0</v>
      </c>
    </row>
    <row r="267" spans="1:11" s="9" customFormat="1" ht="35.1" customHeight="1" x14ac:dyDescent="0.25">
      <c r="A267" s="279" t="s">
        <v>289</v>
      </c>
      <c r="B267" s="254" t="s">
        <v>290</v>
      </c>
      <c r="C267" s="255" t="s">
        <v>1422</v>
      </c>
      <c r="D267" s="295">
        <v>131</v>
      </c>
      <c r="E267" s="243">
        <v>7451</v>
      </c>
      <c r="F267" s="243">
        <f t="shared" si="25"/>
        <v>976081</v>
      </c>
      <c r="G267" s="9">
        <v>7451</v>
      </c>
      <c r="H267" s="9">
        <v>976081</v>
      </c>
      <c r="I267" s="339">
        <f t="shared" si="26"/>
        <v>0</v>
      </c>
      <c r="J267" s="339">
        <f t="shared" si="27"/>
        <v>0</v>
      </c>
      <c r="K267" s="9">
        <f t="shared" si="28"/>
        <v>0</v>
      </c>
    </row>
    <row r="268" spans="1:11" s="9" customFormat="1" ht="35.1" customHeight="1" x14ac:dyDescent="0.25">
      <c r="A268" s="279" t="s">
        <v>291</v>
      </c>
      <c r="B268" s="254" t="s">
        <v>292</v>
      </c>
      <c r="C268" s="255" t="s">
        <v>1422</v>
      </c>
      <c r="D268" s="295">
        <v>112</v>
      </c>
      <c r="E268" s="243">
        <v>9186</v>
      </c>
      <c r="F268" s="243">
        <f t="shared" si="25"/>
        <v>1028832</v>
      </c>
      <c r="G268" s="9">
        <v>9186</v>
      </c>
      <c r="H268" s="9">
        <v>1028832</v>
      </c>
      <c r="I268" s="339">
        <f t="shared" si="26"/>
        <v>0</v>
      </c>
      <c r="J268" s="339">
        <f t="shared" si="27"/>
        <v>0</v>
      </c>
      <c r="K268" s="9">
        <f t="shared" si="28"/>
        <v>0</v>
      </c>
    </row>
    <row r="269" spans="1:11" s="9" customFormat="1" ht="35.1" customHeight="1" x14ac:dyDescent="0.25">
      <c r="A269" s="279" t="s">
        <v>293</v>
      </c>
      <c r="B269" s="254" t="s">
        <v>294</v>
      </c>
      <c r="C269" s="255" t="s">
        <v>1422</v>
      </c>
      <c r="D269" s="295">
        <v>76</v>
      </c>
      <c r="E269" s="243">
        <v>12520</v>
      </c>
      <c r="F269" s="243">
        <f t="shared" si="25"/>
        <v>951520</v>
      </c>
      <c r="G269" s="9">
        <v>12520</v>
      </c>
      <c r="H269" s="9">
        <v>951520</v>
      </c>
      <c r="I269" s="339">
        <f t="shared" si="26"/>
        <v>0</v>
      </c>
      <c r="J269" s="339">
        <f t="shared" si="27"/>
        <v>0</v>
      </c>
      <c r="K269" s="9">
        <f t="shared" si="28"/>
        <v>0</v>
      </c>
    </row>
    <row r="270" spans="1:11" s="9" customFormat="1" ht="35.1" customHeight="1" x14ac:dyDescent="0.25">
      <c r="A270" s="279" t="s">
        <v>295</v>
      </c>
      <c r="B270" s="254" t="s">
        <v>296</v>
      </c>
      <c r="C270" s="255" t="s">
        <v>1422</v>
      </c>
      <c r="D270" s="295">
        <v>16</v>
      </c>
      <c r="E270" s="243">
        <v>30468</v>
      </c>
      <c r="F270" s="243">
        <f t="shared" si="25"/>
        <v>487488</v>
      </c>
      <c r="G270" s="9">
        <v>30468</v>
      </c>
      <c r="H270" s="9">
        <v>487488</v>
      </c>
      <c r="I270" s="339">
        <f t="shared" si="26"/>
        <v>0</v>
      </c>
      <c r="J270" s="339">
        <f t="shared" si="27"/>
        <v>0</v>
      </c>
      <c r="K270" s="9">
        <f t="shared" si="28"/>
        <v>0</v>
      </c>
    </row>
    <row r="271" spans="1:11" s="9" customFormat="1" ht="35.1" customHeight="1" x14ac:dyDescent="0.25">
      <c r="A271" s="279" t="s">
        <v>297</v>
      </c>
      <c r="B271" s="254" t="s">
        <v>298</v>
      </c>
      <c r="C271" s="255" t="s">
        <v>1422</v>
      </c>
      <c r="D271" s="295">
        <v>67</v>
      </c>
      <c r="E271" s="243">
        <v>1748</v>
      </c>
      <c r="F271" s="243">
        <f t="shared" si="25"/>
        <v>117116</v>
      </c>
      <c r="G271" s="9">
        <v>1748</v>
      </c>
      <c r="H271" s="9">
        <v>117116</v>
      </c>
      <c r="I271" s="339">
        <f t="shared" si="26"/>
        <v>0</v>
      </c>
      <c r="J271" s="339">
        <f t="shared" si="27"/>
        <v>0</v>
      </c>
      <c r="K271" s="9">
        <f t="shared" si="28"/>
        <v>0</v>
      </c>
    </row>
    <row r="272" spans="1:11" s="9" customFormat="1" ht="35.1" customHeight="1" x14ac:dyDescent="0.25">
      <c r="A272" s="279" t="s">
        <v>299</v>
      </c>
      <c r="B272" s="254" t="s">
        <v>300</v>
      </c>
      <c r="C272" s="255" t="s">
        <v>1422</v>
      </c>
      <c r="D272" s="295">
        <v>24</v>
      </c>
      <c r="E272" s="243">
        <v>2347</v>
      </c>
      <c r="F272" s="243">
        <f t="shared" si="25"/>
        <v>56328</v>
      </c>
      <c r="G272" s="9">
        <v>2347</v>
      </c>
      <c r="H272" s="9">
        <v>56328</v>
      </c>
      <c r="I272" s="339">
        <f t="shared" si="26"/>
        <v>0</v>
      </c>
      <c r="J272" s="339">
        <f t="shared" si="27"/>
        <v>0</v>
      </c>
      <c r="K272" s="9">
        <f t="shared" si="28"/>
        <v>0</v>
      </c>
    </row>
    <row r="273" spans="1:11" s="9" customFormat="1" ht="35.1" customHeight="1" x14ac:dyDescent="0.25">
      <c r="A273" s="279" t="s">
        <v>301</v>
      </c>
      <c r="B273" s="254" t="s">
        <v>302</v>
      </c>
      <c r="C273" s="255" t="s">
        <v>1422</v>
      </c>
      <c r="D273" s="295">
        <v>24</v>
      </c>
      <c r="E273" s="243">
        <v>2831</v>
      </c>
      <c r="F273" s="243">
        <f t="shared" si="25"/>
        <v>67944</v>
      </c>
      <c r="G273" s="9">
        <v>2831</v>
      </c>
      <c r="H273" s="9">
        <v>67944</v>
      </c>
      <c r="I273" s="339">
        <f t="shared" si="26"/>
        <v>0</v>
      </c>
      <c r="J273" s="339">
        <f t="shared" si="27"/>
        <v>0</v>
      </c>
      <c r="K273" s="9">
        <f t="shared" si="28"/>
        <v>0</v>
      </c>
    </row>
    <row r="274" spans="1:11" s="9" customFormat="1" ht="35.1" customHeight="1" x14ac:dyDescent="0.25">
      <c r="A274" s="279" t="s">
        <v>303</v>
      </c>
      <c r="B274" s="254" t="s">
        <v>304</v>
      </c>
      <c r="C274" s="255" t="s">
        <v>1422</v>
      </c>
      <c r="D274" s="295">
        <v>36</v>
      </c>
      <c r="E274" s="243">
        <v>3211</v>
      </c>
      <c r="F274" s="243">
        <f t="shared" si="25"/>
        <v>115596</v>
      </c>
      <c r="G274" s="9">
        <v>3211</v>
      </c>
      <c r="H274" s="9">
        <v>115596</v>
      </c>
      <c r="I274" s="339">
        <f t="shared" si="26"/>
        <v>0</v>
      </c>
      <c r="J274" s="339">
        <f t="shared" si="27"/>
        <v>0</v>
      </c>
      <c r="K274" s="9">
        <f t="shared" si="28"/>
        <v>0</v>
      </c>
    </row>
    <row r="275" spans="1:11" s="9" customFormat="1" ht="35.1" customHeight="1" x14ac:dyDescent="0.25">
      <c r="A275" s="279" t="s">
        <v>305</v>
      </c>
      <c r="B275" s="280" t="s">
        <v>306</v>
      </c>
      <c r="C275" s="255" t="s">
        <v>1422</v>
      </c>
      <c r="D275" s="295">
        <v>33</v>
      </c>
      <c r="E275" s="243">
        <v>3888</v>
      </c>
      <c r="F275" s="243">
        <f t="shared" si="25"/>
        <v>128304</v>
      </c>
      <c r="G275" s="9">
        <v>3888</v>
      </c>
      <c r="H275" s="9">
        <v>128304</v>
      </c>
      <c r="I275" s="339">
        <f t="shared" si="26"/>
        <v>0</v>
      </c>
      <c r="J275" s="339">
        <f t="shared" si="27"/>
        <v>0</v>
      </c>
      <c r="K275" s="9">
        <f t="shared" si="28"/>
        <v>0</v>
      </c>
    </row>
    <row r="276" spans="1:11" s="9" customFormat="1" ht="35.1" customHeight="1" x14ac:dyDescent="0.25">
      <c r="A276" s="279" t="s">
        <v>307</v>
      </c>
      <c r="B276" s="254" t="s">
        <v>308</v>
      </c>
      <c r="C276" s="255" t="s">
        <v>1422</v>
      </c>
      <c r="D276" s="295">
        <v>42</v>
      </c>
      <c r="E276" s="243">
        <v>5009</v>
      </c>
      <c r="F276" s="243">
        <f t="shared" si="25"/>
        <v>210378</v>
      </c>
      <c r="G276" s="9">
        <v>5009</v>
      </c>
      <c r="H276" s="9">
        <v>210378</v>
      </c>
      <c r="I276" s="339">
        <f t="shared" si="26"/>
        <v>0</v>
      </c>
      <c r="J276" s="339">
        <f t="shared" si="27"/>
        <v>0</v>
      </c>
      <c r="K276" s="9">
        <f t="shared" si="28"/>
        <v>0</v>
      </c>
    </row>
    <row r="277" spans="1:11" s="9" customFormat="1" ht="35.1" customHeight="1" x14ac:dyDescent="0.25">
      <c r="A277" s="279" t="s">
        <v>309</v>
      </c>
      <c r="B277" s="254" t="s">
        <v>310</v>
      </c>
      <c r="C277" s="255" t="s">
        <v>1422</v>
      </c>
      <c r="D277" s="295">
        <v>10</v>
      </c>
      <c r="E277" s="243">
        <v>5788</v>
      </c>
      <c r="F277" s="243">
        <f t="shared" si="25"/>
        <v>57880</v>
      </c>
      <c r="G277" s="9">
        <v>5788</v>
      </c>
      <c r="H277" s="9">
        <v>57880</v>
      </c>
      <c r="I277" s="339">
        <f t="shared" si="26"/>
        <v>0</v>
      </c>
      <c r="J277" s="339">
        <f t="shared" si="27"/>
        <v>0</v>
      </c>
      <c r="K277" s="9">
        <f t="shared" si="28"/>
        <v>0</v>
      </c>
    </row>
    <row r="278" spans="1:11" s="9" customFormat="1" ht="35.1" customHeight="1" x14ac:dyDescent="0.25">
      <c r="A278" s="279" t="s">
        <v>311</v>
      </c>
      <c r="B278" s="254" t="s">
        <v>312</v>
      </c>
      <c r="C278" s="255" t="s">
        <v>1422</v>
      </c>
      <c r="D278" s="295">
        <v>56</v>
      </c>
      <c r="E278" s="243">
        <v>65865</v>
      </c>
      <c r="F278" s="243">
        <f t="shared" si="25"/>
        <v>3688440</v>
      </c>
      <c r="G278" s="9">
        <v>65865</v>
      </c>
      <c r="H278" s="9">
        <v>3688440</v>
      </c>
      <c r="I278" s="339">
        <f t="shared" si="26"/>
        <v>0</v>
      </c>
      <c r="J278" s="339">
        <f t="shared" si="27"/>
        <v>0</v>
      </c>
      <c r="K278" s="9">
        <f t="shared" si="28"/>
        <v>0</v>
      </c>
    </row>
    <row r="279" spans="1:11" s="9" customFormat="1" ht="35.1" customHeight="1" x14ac:dyDescent="0.25">
      <c r="A279" s="279" t="s">
        <v>313</v>
      </c>
      <c r="B279" s="254" t="s">
        <v>314</v>
      </c>
      <c r="C279" s="255" t="s">
        <v>1422</v>
      </c>
      <c r="D279" s="295">
        <v>19</v>
      </c>
      <c r="E279" s="243">
        <v>70178</v>
      </c>
      <c r="F279" s="243">
        <f t="shared" si="25"/>
        <v>1333382</v>
      </c>
      <c r="G279" s="9">
        <v>70178</v>
      </c>
      <c r="H279" s="9">
        <v>1333382</v>
      </c>
      <c r="I279" s="339">
        <f t="shared" si="26"/>
        <v>0</v>
      </c>
      <c r="J279" s="339">
        <f t="shared" si="27"/>
        <v>0</v>
      </c>
      <c r="K279" s="9">
        <f t="shared" si="28"/>
        <v>0</v>
      </c>
    </row>
    <row r="280" spans="1:11" s="9" customFormat="1" ht="35.1" customHeight="1" x14ac:dyDescent="0.25">
      <c r="A280" s="279" t="s">
        <v>315</v>
      </c>
      <c r="B280" s="254" t="s">
        <v>316</v>
      </c>
      <c r="C280" s="255" t="s">
        <v>1422</v>
      </c>
      <c r="D280" s="295">
        <v>54</v>
      </c>
      <c r="E280" s="243">
        <v>99924</v>
      </c>
      <c r="F280" s="243">
        <f t="shared" si="25"/>
        <v>5395896</v>
      </c>
      <c r="G280" s="9">
        <v>99924</v>
      </c>
      <c r="H280" s="9">
        <v>5395896</v>
      </c>
      <c r="I280" s="339">
        <f t="shared" si="26"/>
        <v>0</v>
      </c>
      <c r="J280" s="339">
        <f t="shared" si="27"/>
        <v>0</v>
      </c>
      <c r="K280" s="9">
        <f t="shared" si="28"/>
        <v>0</v>
      </c>
    </row>
    <row r="281" spans="1:11" s="9" customFormat="1" ht="35.1" customHeight="1" x14ac:dyDescent="0.25">
      <c r="A281" s="279" t="s">
        <v>317</v>
      </c>
      <c r="B281" s="254" t="s">
        <v>318</v>
      </c>
      <c r="C281" s="255" t="s">
        <v>1422</v>
      </c>
      <c r="D281" s="295">
        <v>17</v>
      </c>
      <c r="E281" s="243">
        <v>64927</v>
      </c>
      <c r="F281" s="243">
        <f t="shared" si="25"/>
        <v>1103759</v>
      </c>
      <c r="G281" s="9">
        <v>64927</v>
      </c>
      <c r="H281" s="9">
        <v>1103759</v>
      </c>
      <c r="I281" s="339">
        <f t="shared" si="26"/>
        <v>0</v>
      </c>
      <c r="J281" s="339">
        <f t="shared" si="27"/>
        <v>0</v>
      </c>
      <c r="K281" s="9">
        <f t="shared" si="28"/>
        <v>0</v>
      </c>
    </row>
    <row r="282" spans="1:11" s="9" customFormat="1" ht="35.1" customHeight="1" x14ac:dyDescent="0.25">
      <c r="A282" s="279" t="s">
        <v>319</v>
      </c>
      <c r="B282" s="254" t="s">
        <v>320</v>
      </c>
      <c r="C282" s="255" t="s">
        <v>1422</v>
      </c>
      <c r="D282" s="295">
        <v>8</v>
      </c>
      <c r="E282" s="243">
        <v>168268</v>
      </c>
      <c r="F282" s="243">
        <f t="shared" si="25"/>
        <v>1346144</v>
      </c>
      <c r="G282" s="9">
        <v>168268</v>
      </c>
      <c r="H282" s="9">
        <v>1346144</v>
      </c>
      <c r="I282" s="339">
        <f t="shared" si="26"/>
        <v>0</v>
      </c>
      <c r="J282" s="339">
        <f t="shared" si="27"/>
        <v>0</v>
      </c>
      <c r="K282" s="9">
        <f t="shared" si="28"/>
        <v>0</v>
      </c>
    </row>
    <row r="283" spans="1:11" s="9" customFormat="1" ht="35.1" customHeight="1" x14ac:dyDescent="0.25">
      <c r="A283" s="279" t="s">
        <v>321</v>
      </c>
      <c r="B283" s="254" t="s">
        <v>322</v>
      </c>
      <c r="C283" s="255" t="s">
        <v>1422</v>
      </c>
      <c r="D283" s="295">
        <v>8</v>
      </c>
      <c r="E283" s="243">
        <v>228433</v>
      </c>
      <c r="F283" s="243">
        <f t="shared" si="25"/>
        <v>1827464</v>
      </c>
      <c r="G283" s="9">
        <v>228433</v>
      </c>
      <c r="H283" s="9">
        <v>1827464</v>
      </c>
      <c r="I283" s="339">
        <f t="shared" si="26"/>
        <v>0</v>
      </c>
      <c r="J283" s="339">
        <f t="shared" si="27"/>
        <v>0</v>
      </c>
      <c r="K283" s="9">
        <f t="shared" si="28"/>
        <v>0</v>
      </c>
    </row>
    <row r="284" spans="1:11" s="9" customFormat="1" ht="35.1" customHeight="1" x14ac:dyDescent="0.25">
      <c r="A284" s="279" t="s">
        <v>323</v>
      </c>
      <c r="B284" s="254" t="s">
        <v>324</v>
      </c>
      <c r="C284" s="255" t="s">
        <v>1422</v>
      </c>
      <c r="D284" s="295">
        <v>2</v>
      </c>
      <c r="E284" s="243">
        <v>111201</v>
      </c>
      <c r="F284" s="243">
        <f t="shared" si="25"/>
        <v>222402</v>
      </c>
      <c r="G284" s="9">
        <v>111201</v>
      </c>
      <c r="H284" s="9">
        <v>222402</v>
      </c>
      <c r="I284" s="339">
        <f t="shared" si="26"/>
        <v>0</v>
      </c>
      <c r="J284" s="339">
        <f t="shared" si="27"/>
        <v>0</v>
      </c>
      <c r="K284" s="9">
        <f t="shared" si="28"/>
        <v>0</v>
      </c>
    </row>
    <row r="285" spans="1:11" s="9" customFormat="1" ht="35.1" customHeight="1" x14ac:dyDescent="0.25">
      <c r="A285" s="279" t="s">
        <v>325</v>
      </c>
      <c r="B285" s="254" t="s">
        <v>326</v>
      </c>
      <c r="C285" s="255" t="s">
        <v>1422</v>
      </c>
      <c r="D285" s="295">
        <v>1</v>
      </c>
      <c r="E285" s="243">
        <v>173889</v>
      </c>
      <c r="F285" s="243">
        <f t="shared" si="25"/>
        <v>173889</v>
      </c>
      <c r="G285" s="9">
        <v>173889</v>
      </c>
      <c r="H285" s="9">
        <v>173889</v>
      </c>
      <c r="I285" s="339">
        <f t="shared" si="26"/>
        <v>0</v>
      </c>
      <c r="J285" s="339">
        <f t="shared" si="27"/>
        <v>0</v>
      </c>
      <c r="K285" s="9">
        <f t="shared" si="28"/>
        <v>0</v>
      </c>
    </row>
    <row r="286" spans="1:11" s="9" customFormat="1" ht="35.1" customHeight="1" x14ac:dyDescent="0.25">
      <c r="A286" s="283" t="s">
        <v>327</v>
      </c>
      <c r="B286" s="256" t="s">
        <v>328</v>
      </c>
      <c r="C286" s="256"/>
      <c r="D286" s="313"/>
      <c r="E286" s="303"/>
      <c r="F286" s="246"/>
      <c r="I286" s="339">
        <f t="shared" si="26"/>
        <v>0</v>
      </c>
      <c r="J286" s="339">
        <f t="shared" si="27"/>
        <v>0</v>
      </c>
      <c r="K286" s="9">
        <f t="shared" si="28"/>
        <v>0</v>
      </c>
    </row>
    <row r="287" spans="1:11" s="9" customFormat="1" ht="35.1" customHeight="1" x14ac:dyDescent="0.25">
      <c r="A287" s="240" t="s">
        <v>329</v>
      </c>
      <c r="B287" s="284" t="s">
        <v>330</v>
      </c>
      <c r="C287" s="255" t="s">
        <v>269</v>
      </c>
      <c r="D287" s="295">
        <v>46</v>
      </c>
      <c r="E287" s="243">
        <v>25180</v>
      </c>
      <c r="F287" s="243">
        <f t="shared" ref="F287:F305" si="29">ROUND(+E287*D287,2)</f>
        <v>1158280</v>
      </c>
      <c r="G287" s="9">
        <v>25180</v>
      </c>
      <c r="H287" s="9">
        <v>1158280</v>
      </c>
      <c r="I287" s="339">
        <f t="shared" si="26"/>
        <v>0</v>
      </c>
      <c r="J287" s="339">
        <f t="shared" si="27"/>
        <v>0</v>
      </c>
      <c r="K287" s="9">
        <f t="shared" si="28"/>
        <v>0</v>
      </c>
    </row>
    <row r="288" spans="1:11" s="9" customFormat="1" ht="35.1" customHeight="1" x14ac:dyDescent="0.25">
      <c r="A288" s="240" t="s">
        <v>331</v>
      </c>
      <c r="B288" s="254" t="s">
        <v>332</v>
      </c>
      <c r="C288" s="255" t="s">
        <v>269</v>
      </c>
      <c r="D288" s="295">
        <v>215</v>
      </c>
      <c r="E288" s="243">
        <v>37056</v>
      </c>
      <c r="F288" s="243">
        <f t="shared" si="29"/>
        <v>7967040</v>
      </c>
      <c r="G288" s="9">
        <v>37056</v>
      </c>
      <c r="H288" s="9">
        <v>7967040</v>
      </c>
      <c r="I288" s="339">
        <f t="shared" si="26"/>
        <v>0</v>
      </c>
      <c r="J288" s="339">
        <f t="shared" si="27"/>
        <v>0</v>
      </c>
      <c r="K288" s="9">
        <f t="shared" si="28"/>
        <v>0</v>
      </c>
    </row>
    <row r="289" spans="1:11" s="9" customFormat="1" ht="35.1" customHeight="1" x14ac:dyDescent="0.25">
      <c r="A289" s="240" t="s">
        <v>333</v>
      </c>
      <c r="B289" s="254" t="s">
        <v>334</v>
      </c>
      <c r="C289" s="255" t="s">
        <v>269</v>
      </c>
      <c r="D289" s="295">
        <v>373</v>
      </c>
      <c r="E289" s="243">
        <v>52865</v>
      </c>
      <c r="F289" s="243">
        <f t="shared" si="29"/>
        <v>19718645</v>
      </c>
      <c r="G289" s="9">
        <v>52865</v>
      </c>
      <c r="H289" s="9">
        <v>19718645</v>
      </c>
      <c r="I289" s="339">
        <f t="shared" si="26"/>
        <v>0</v>
      </c>
      <c r="J289" s="339">
        <f t="shared" si="27"/>
        <v>0</v>
      </c>
      <c r="K289" s="9">
        <f t="shared" si="28"/>
        <v>0</v>
      </c>
    </row>
    <row r="290" spans="1:11" s="9" customFormat="1" ht="35.1" customHeight="1" x14ac:dyDescent="0.25">
      <c r="A290" s="240" t="s">
        <v>335</v>
      </c>
      <c r="B290" s="254" t="s">
        <v>336</v>
      </c>
      <c r="C290" s="255" t="s">
        <v>269</v>
      </c>
      <c r="D290" s="295">
        <v>98</v>
      </c>
      <c r="E290" s="243">
        <v>21912</v>
      </c>
      <c r="F290" s="243">
        <f t="shared" si="29"/>
        <v>2147376</v>
      </c>
      <c r="G290" s="9">
        <v>21912</v>
      </c>
      <c r="H290" s="9">
        <v>2147376</v>
      </c>
      <c r="I290" s="339">
        <f t="shared" si="26"/>
        <v>0</v>
      </c>
      <c r="J290" s="339">
        <f t="shared" si="27"/>
        <v>0</v>
      </c>
      <c r="K290" s="9">
        <f t="shared" si="28"/>
        <v>0</v>
      </c>
    </row>
    <row r="291" spans="1:11" s="9" customFormat="1" ht="35.1" customHeight="1" x14ac:dyDescent="0.25">
      <c r="A291" s="240" t="s">
        <v>337</v>
      </c>
      <c r="B291" s="254" t="s">
        <v>338</v>
      </c>
      <c r="C291" s="255" t="s">
        <v>269</v>
      </c>
      <c r="D291" s="295">
        <v>133</v>
      </c>
      <c r="E291" s="243">
        <v>32577</v>
      </c>
      <c r="F291" s="243">
        <f t="shared" si="29"/>
        <v>4332741</v>
      </c>
      <c r="G291" s="9">
        <v>32577</v>
      </c>
      <c r="H291" s="9">
        <v>4332741</v>
      </c>
      <c r="I291" s="339">
        <f t="shared" si="26"/>
        <v>0</v>
      </c>
      <c r="J291" s="339">
        <f t="shared" si="27"/>
        <v>0</v>
      </c>
      <c r="K291" s="9">
        <f t="shared" si="28"/>
        <v>0</v>
      </c>
    </row>
    <row r="292" spans="1:11" s="9" customFormat="1" ht="35.1" customHeight="1" x14ac:dyDescent="0.25">
      <c r="A292" s="240" t="s">
        <v>339</v>
      </c>
      <c r="B292" s="254" t="s">
        <v>340</v>
      </c>
      <c r="C292" s="255" t="s">
        <v>1422</v>
      </c>
      <c r="D292" s="295">
        <v>167</v>
      </c>
      <c r="E292" s="243">
        <v>7704</v>
      </c>
      <c r="F292" s="243">
        <f t="shared" si="29"/>
        <v>1286568</v>
      </c>
      <c r="G292" s="9">
        <v>7704</v>
      </c>
      <c r="H292" s="9">
        <v>1286568</v>
      </c>
      <c r="I292" s="339">
        <f t="shared" si="26"/>
        <v>0</v>
      </c>
      <c r="J292" s="339">
        <f t="shared" si="27"/>
        <v>0</v>
      </c>
      <c r="K292" s="9">
        <f t="shared" si="28"/>
        <v>0</v>
      </c>
    </row>
    <row r="293" spans="1:11" s="9" customFormat="1" ht="35.1" customHeight="1" x14ac:dyDescent="0.25">
      <c r="A293" s="240" t="s">
        <v>341</v>
      </c>
      <c r="B293" s="254" t="s">
        <v>342</v>
      </c>
      <c r="C293" s="255" t="s">
        <v>1422</v>
      </c>
      <c r="D293" s="295">
        <v>221</v>
      </c>
      <c r="E293" s="243">
        <v>10973</v>
      </c>
      <c r="F293" s="243">
        <f t="shared" si="29"/>
        <v>2425033</v>
      </c>
      <c r="G293" s="9">
        <v>10973</v>
      </c>
      <c r="H293" s="9">
        <v>2425033</v>
      </c>
      <c r="I293" s="339">
        <f t="shared" si="26"/>
        <v>0</v>
      </c>
      <c r="J293" s="339">
        <f t="shared" si="27"/>
        <v>0</v>
      </c>
      <c r="K293" s="9">
        <f t="shared" si="28"/>
        <v>0</v>
      </c>
    </row>
    <row r="294" spans="1:11" s="9" customFormat="1" ht="35.1" customHeight="1" x14ac:dyDescent="0.25">
      <c r="A294" s="240" t="s">
        <v>343</v>
      </c>
      <c r="B294" s="254" t="s">
        <v>344</v>
      </c>
      <c r="C294" s="255" t="s">
        <v>1422</v>
      </c>
      <c r="D294" s="295">
        <v>394</v>
      </c>
      <c r="E294" s="243">
        <v>16126</v>
      </c>
      <c r="F294" s="243">
        <f t="shared" si="29"/>
        <v>6353644</v>
      </c>
      <c r="G294" s="9">
        <v>16126</v>
      </c>
      <c r="H294" s="9">
        <v>6353644</v>
      </c>
      <c r="I294" s="339">
        <f t="shared" si="26"/>
        <v>0</v>
      </c>
      <c r="J294" s="339">
        <f t="shared" si="27"/>
        <v>0</v>
      </c>
      <c r="K294" s="9">
        <f t="shared" si="28"/>
        <v>0</v>
      </c>
    </row>
    <row r="295" spans="1:11" s="9" customFormat="1" ht="35.1" customHeight="1" x14ac:dyDescent="0.25">
      <c r="A295" s="240" t="s">
        <v>345</v>
      </c>
      <c r="B295" s="254" t="s">
        <v>346</v>
      </c>
      <c r="C295" s="255" t="s">
        <v>1422</v>
      </c>
      <c r="D295" s="295">
        <v>19</v>
      </c>
      <c r="E295" s="243">
        <v>5009</v>
      </c>
      <c r="F295" s="243">
        <f t="shared" si="29"/>
        <v>95171</v>
      </c>
      <c r="G295" s="9">
        <v>5009</v>
      </c>
      <c r="H295" s="9">
        <v>95171</v>
      </c>
      <c r="I295" s="339">
        <f t="shared" si="26"/>
        <v>0</v>
      </c>
      <c r="J295" s="339">
        <f t="shared" si="27"/>
        <v>0</v>
      </c>
      <c r="K295" s="9">
        <f t="shared" si="28"/>
        <v>0</v>
      </c>
    </row>
    <row r="296" spans="1:11" s="9" customFormat="1" ht="35.1" customHeight="1" x14ac:dyDescent="0.25">
      <c r="A296" s="240" t="s">
        <v>347</v>
      </c>
      <c r="B296" s="254" t="s">
        <v>348</v>
      </c>
      <c r="C296" s="255" t="s">
        <v>1422</v>
      </c>
      <c r="D296" s="295">
        <v>87</v>
      </c>
      <c r="E296" s="243">
        <v>6370</v>
      </c>
      <c r="F296" s="243">
        <f t="shared" si="29"/>
        <v>554190</v>
      </c>
      <c r="G296" s="9">
        <v>6370</v>
      </c>
      <c r="H296" s="9">
        <v>554190</v>
      </c>
      <c r="I296" s="339">
        <f t="shared" si="26"/>
        <v>0</v>
      </c>
      <c r="J296" s="339">
        <f t="shared" si="27"/>
        <v>0</v>
      </c>
      <c r="K296" s="9">
        <f t="shared" si="28"/>
        <v>0</v>
      </c>
    </row>
    <row r="297" spans="1:11" s="9" customFormat="1" ht="35.1" customHeight="1" x14ac:dyDescent="0.25">
      <c r="A297" s="240" t="s">
        <v>349</v>
      </c>
      <c r="B297" s="254" t="s">
        <v>350</v>
      </c>
      <c r="C297" s="255" t="s">
        <v>1422</v>
      </c>
      <c r="D297" s="295">
        <v>139</v>
      </c>
      <c r="E297" s="243">
        <v>12643</v>
      </c>
      <c r="F297" s="243">
        <f t="shared" si="29"/>
        <v>1757377</v>
      </c>
      <c r="G297" s="9">
        <v>12643</v>
      </c>
      <c r="H297" s="9">
        <v>1757377</v>
      </c>
      <c r="I297" s="339">
        <f t="shared" si="26"/>
        <v>0</v>
      </c>
      <c r="J297" s="339">
        <f t="shared" si="27"/>
        <v>0</v>
      </c>
      <c r="K297" s="9">
        <f t="shared" si="28"/>
        <v>0</v>
      </c>
    </row>
    <row r="298" spans="1:11" s="9" customFormat="1" ht="35.1" customHeight="1" x14ac:dyDescent="0.25">
      <c r="A298" s="240" t="s">
        <v>351</v>
      </c>
      <c r="B298" s="254" t="s">
        <v>352</v>
      </c>
      <c r="C298" s="255" t="s">
        <v>1422</v>
      </c>
      <c r="D298" s="295">
        <v>50</v>
      </c>
      <c r="E298" s="243">
        <v>42439</v>
      </c>
      <c r="F298" s="243">
        <f t="shared" si="29"/>
        <v>2121950</v>
      </c>
      <c r="G298" s="9">
        <v>42439</v>
      </c>
      <c r="H298" s="9">
        <v>2121950</v>
      </c>
      <c r="I298" s="339">
        <f t="shared" si="26"/>
        <v>0</v>
      </c>
      <c r="J298" s="339">
        <f t="shared" si="27"/>
        <v>0</v>
      </c>
      <c r="K298" s="9">
        <f t="shared" si="28"/>
        <v>0</v>
      </c>
    </row>
    <row r="299" spans="1:11" s="9" customFormat="1" ht="35.1" customHeight="1" x14ac:dyDescent="0.25">
      <c r="A299" s="240" t="s">
        <v>353</v>
      </c>
      <c r="B299" s="254" t="s">
        <v>354</v>
      </c>
      <c r="C299" s="255" t="s">
        <v>1422</v>
      </c>
      <c r="D299" s="295">
        <v>32</v>
      </c>
      <c r="E299" s="243">
        <v>51297</v>
      </c>
      <c r="F299" s="243">
        <f t="shared" si="29"/>
        <v>1641504</v>
      </c>
      <c r="G299" s="9">
        <v>51297</v>
      </c>
      <c r="H299" s="9">
        <v>1641504</v>
      </c>
      <c r="I299" s="339">
        <f t="shared" si="26"/>
        <v>0</v>
      </c>
      <c r="J299" s="339">
        <f t="shared" si="27"/>
        <v>0</v>
      </c>
      <c r="K299" s="9">
        <f t="shared" si="28"/>
        <v>0</v>
      </c>
    </row>
    <row r="300" spans="1:11" s="9" customFormat="1" ht="35.1" customHeight="1" x14ac:dyDescent="0.25">
      <c r="A300" s="240" t="s">
        <v>355</v>
      </c>
      <c r="B300" s="254" t="s">
        <v>356</v>
      </c>
      <c r="C300" s="255" t="s">
        <v>1422</v>
      </c>
      <c r="D300" s="295">
        <v>58</v>
      </c>
      <c r="E300" s="243">
        <v>63040</v>
      </c>
      <c r="F300" s="243">
        <f t="shared" si="29"/>
        <v>3656320</v>
      </c>
      <c r="G300" s="9">
        <v>63040</v>
      </c>
      <c r="H300" s="9">
        <v>3656320</v>
      </c>
      <c r="I300" s="339">
        <f t="shared" si="26"/>
        <v>0</v>
      </c>
      <c r="J300" s="339">
        <f t="shared" si="27"/>
        <v>0</v>
      </c>
      <c r="K300" s="9">
        <f t="shared" si="28"/>
        <v>0</v>
      </c>
    </row>
    <row r="301" spans="1:11" s="9" customFormat="1" ht="35.1" customHeight="1" x14ac:dyDescent="0.25">
      <c r="A301" s="240" t="s">
        <v>357</v>
      </c>
      <c r="B301" s="254" t="s">
        <v>358</v>
      </c>
      <c r="C301" s="255" t="s">
        <v>1422</v>
      </c>
      <c r="D301" s="295">
        <v>2</v>
      </c>
      <c r="E301" s="243">
        <v>556137</v>
      </c>
      <c r="F301" s="243">
        <f t="shared" si="29"/>
        <v>1112274</v>
      </c>
      <c r="G301" s="9">
        <v>556137</v>
      </c>
      <c r="H301" s="9">
        <v>1112274</v>
      </c>
      <c r="I301" s="339">
        <f t="shared" si="26"/>
        <v>0</v>
      </c>
      <c r="J301" s="339">
        <f t="shared" si="27"/>
        <v>0</v>
      </c>
      <c r="K301" s="9">
        <f t="shared" si="28"/>
        <v>0</v>
      </c>
    </row>
    <row r="302" spans="1:11" s="9" customFormat="1" ht="35.1" customHeight="1" x14ac:dyDescent="0.25">
      <c r="A302" s="240" t="s">
        <v>359</v>
      </c>
      <c r="B302" s="254" t="s">
        <v>360</v>
      </c>
      <c r="C302" s="255" t="s">
        <v>269</v>
      </c>
      <c r="D302" s="295">
        <v>40</v>
      </c>
      <c r="E302" s="243">
        <v>46966</v>
      </c>
      <c r="F302" s="243">
        <f t="shared" si="29"/>
        <v>1878640</v>
      </c>
      <c r="G302" s="9">
        <v>46966</v>
      </c>
      <c r="H302" s="9">
        <v>1878640</v>
      </c>
      <c r="I302" s="339">
        <f t="shared" si="26"/>
        <v>0</v>
      </c>
      <c r="J302" s="339">
        <f t="shared" si="27"/>
        <v>0</v>
      </c>
      <c r="K302" s="9">
        <f t="shared" si="28"/>
        <v>0</v>
      </c>
    </row>
    <row r="303" spans="1:11" s="9" customFormat="1" ht="35.1" customHeight="1" x14ac:dyDescent="0.25">
      <c r="A303" s="240" t="s">
        <v>361</v>
      </c>
      <c r="B303" s="254" t="s">
        <v>362</v>
      </c>
      <c r="C303" s="255" t="s">
        <v>269</v>
      </c>
      <c r="D303" s="295">
        <v>10</v>
      </c>
      <c r="E303" s="243">
        <v>65586</v>
      </c>
      <c r="F303" s="243">
        <f t="shared" si="29"/>
        <v>655860</v>
      </c>
      <c r="G303" s="9">
        <v>65586</v>
      </c>
      <c r="H303" s="9">
        <v>655860</v>
      </c>
      <c r="I303" s="339">
        <f t="shared" si="26"/>
        <v>0</v>
      </c>
      <c r="J303" s="339">
        <f t="shared" si="27"/>
        <v>0</v>
      </c>
      <c r="K303" s="9">
        <f t="shared" si="28"/>
        <v>0</v>
      </c>
    </row>
    <row r="304" spans="1:11" s="9" customFormat="1" ht="35.1" customHeight="1" x14ac:dyDescent="0.25">
      <c r="A304" s="240" t="s">
        <v>363</v>
      </c>
      <c r="B304" s="254" t="s">
        <v>364</v>
      </c>
      <c r="C304" s="255" t="s">
        <v>269</v>
      </c>
      <c r="D304" s="295">
        <v>40</v>
      </c>
      <c r="E304" s="243">
        <v>99646</v>
      </c>
      <c r="F304" s="243">
        <f t="shared" si="29"/>
        <v>3985840</v>
      </c>
      <c r="G304" s="9">
        <v>99646</v>
      </c>
      <c r="H304" s="9">
        <v>3985840</v>
      </c>
      <c r="I304" s="339">
        <f t="shared" si="26"/>
        <v>0</v>
      </c>
      <c r="J304" s="339">
        <f t="shared" si="27"/>
        <v>0</v>
      </c>
      <c r="K304" s="9">
        <f t="shared" si="28"/>
        <v>0</v>
      </c>
    </row>
    <row r="305" spans="1:11" s="9" customFormat="1" ht="35.1" customHeight="1" x14ac:dyDescent="0.25">
      <c r="A305" s="240" t="s">
        <v>365</v>
      </c>
      <c r="B305" s="254" t="s">
        <v>366</v>
      </c>
      <c r="C305" s="255" t="s">
        <v>1422</v>
      </c>
      <c r="D305" s="295">
        <v>20</v>
      </c>
      <c r="E305" s="243">
        <v>80246</v>
      </c>
      <c r="F305" s="243">
        <f t="shared" si="29"/>
        <v>1604920</v>
      </c>
      <c r="G305" s="9">
        <v>80246</v>
      </c>
      <c r="H305" s="9">
        <v>1604920</v>
      </c>
      <c r="I305" s="339">
        <f t="shared" si="26"/>
        <v>0</v>
      </c>
      <c r="J305" s="339">
        <f t="shared" si="27"/>
        <v>0</v>
      </c>
      <c r="K305" s="9">
        <f t="shared" si="28"/>
        <v>0</v>
      </c>
    </row>
    <row r="306" spans="1:11" s="9" customFormat="1" ht="35.1" customHeight="1" x14ac:dyDescent="0.25">
      <c r="A306" s="283" t="s">
        <v>367</v>
      </c>
      <c r="B306" s="256" t="s">
        <v>368</v>
      </c>
      <c r="C306" s="256" t="s">
        <v>369</v>
      </c>
      <c r="D306" s="313"/>
      <c r="E306" s="303"/>
      <c r="F306" s="246"/>
      <c r="I306" s="339">
        <f t="shared" si="26"/>
        <v>0</v>
      </c>
      <c r="J306" s="339">
        <f t="shared" si="27"/>
        <v>0</v>
      </c>
      <c r="K306" s="9">
        <f t="shared" si="28"/>
        <v>0</v>
      </c>
    </row>
    <row r="307" spans="1:11" s="9" customFormat="1" ht="35.1" customHeight="1" x14ac:dyDescent="0.25">
      <c r="A307" s="255" t="s">
        <v>370</v>
      </c>
      <c r="B307" s="87" t="s">
        <v>371</v>
      </c>
      <c r="C307" s="255" t="s">
        <v>1422</v>
      </c>
      <c r="D307" s="295">
        <v>52</v>
      </c>
      <c r="E307" s="243">
        <v>1134023</v>
      </c>
      <c r="F307" s="243">
        <f t="shared" ref="F307:F314" si="30">ROUND(+E307*D307,2)</f>
        <v>58969196</v>
      </c>
      <c r="G307" s="9">
        <v>1134023</v>
      </c>
      <c r="H307" s="9">
        <v>58969196</v>
      </c>
      <c r="I307" s="339">
        <f t="shared" si="26"/>
        <v>0</v>
      </c>
      <c r="J307" s="339">
        <f t="shared" si="27"/>
        <v>0</v>
      </c>
      <c r="K307" s="9">
        <f t="shared" si="28"/>
        <v>0</v>
      </c>
    </row>
    <row r="308" spans="1:11" s="9" customFormat="1" ht="35.1" customHeight="1" x14ac:dyDescent="0.25">
      <c r="A308" s="255" t="s">
        <v>372</v>
      </c>
      <c r="B308" s="87" t="s">
        <v>373</v>
      </c>
      <c r="C308" s="255" t="s">
        <v>1422</v>
      </c>
      <c r="D308" s="295">
        <v>8</v>
      </c>
      <c r="E308" s="243">
        <v>687128</v>
      </c>
      <c r="F308" s="243">
        <f t="shared" si="30"/>
        <v>5497024</v>
      </c>
      <c r="G308" s="9">
        <v>687128</v>
      </c>
      <c r="H308" s="9">
        <v>5497024</v>
      </c>
      <c r="I308" s="339">
        <f t="shared" si="26"/>
        <v>0</v>
      </c>
      <c r="J308" s="339">
        <f t="shared" si="27"/>
        <v>0</v>
      </c>
      <c r="K308" s="9">
        <f t="shared" si="28"/>
        <v>0</v>
      </c>
    </row>
    <row r="309" spans="1:11" s="9" customFormat="1" ht="35.1" customHeight="1" x14ac:dyDescent="0.25">
      <c r="A309" s="255" t="s">
        <v>375</v>
      </c>
      <c r="B309" s="87" t="s">
        <v>376</v>
      </c>
      <c r="C309" s="255" t="s">
        <v>1422</v>
      </c>
      <c r="D309" s="295">
        <v>21</v>
      </c>
      <c r="E309" s="243">
        <v>777032</v>
      </c>
      <c r="F309" s="243">
        <f t="shared" si="30"/>
        <v>16317672</v>
      </c>
      <c r="G309" s="9">
        <v>777032</v>
      </c>
      <c r="H309" s="9">
        <v>16317672</v>
      </c>
      <c r="I309" s="339">
        <f t="shared" si="26"/>
        <v>0</v>
      </c>
      <c r="J309" s="339">
        <f t="shared" si="27"/>
        <v>0</v>
      </c>
      <c r="K309" s="9">
        <f t="shared" si="28"/>
        <v>0</v>
      </c>
    </row>
    <row r="310" spans="1:11" s="9" customFormat="1" ht="35.1" customHeight="1" x14ac:dyDescent="0.25">
      <c r="A310" s="255" t="s">
        <v>377</v>
      </c>
      <c r="B310" s="241" t="s">
        <v>378</v>
      </c>
      <c r="C310" s="255" t="s">
        <v>94</v>
      </c>
      <c r="D310" s="295">
        <v>27</v>
      </c>
      <c r="E310" s="243">
        <v>223678</v>
      </c>
      <c r="F310" s="243">
        <f t="shared" si="30"/>
        <v>6039306</v>
      </c>
      <c r="G310" s="9">
        <v>223678</v>
      </c>
      <c r="H310" s="9">
        <v>6039306</v>
      </c>
      <c r="I310" s="339">
        <f t="shared" si="26"/>
        <v>0</v>
      </c>
      <c r="J310" s="339">
        <f t="shared" si="27"/>
        <v>0</v>
      </c>
      <c r="K310" s="9">
        <f t="shared" si="28"/>
        <v>0</v>
      </c>
    </row>
    <row r="311" spans="1:11" s="9" customFormat="1" ht="35.1" customHeight="1" x14ac:dyDescent="0.25">
      <c r="A311" s="255" t="s">
        <v>379</v>
      </c>
      <c r="B311" s="87" t="s">
        <v>380</v>
      </c>
      <c r="C311" s="255" t="s">
        <v>1422</v>
      </c>
      <c r="D311" s="295">
        <v>38</v>
      </c>
      <c r="E311" s="243">
        <v>603870</v>
      </c>
      <c r="F311" s="243">
        <f t="shared" si="30"/>
        <v>22947060</v>
      </c>
      <c r="G311" s="9">
        <v>603870</v>
      </c>
      <c r="H311" s="9">
        <v>22947060</v>
      </c>
      <c r="I311" s="339">
        <f t="shared" si="26"/>
        <v>0</v>
      </c>
      <c r="J311" s="339">
        <f t="shared" si="27"/>
        <v>0</v>
      </c>
      <c r="K311" s="9">
        <f t="shared" si="28"/>
        <v>0</v>
      </c>
    </row>
    <row r="312" spans="1:11" s="9" customFormat="1" ht="35.1" customHeight="1" x14ac:dyDescent="0.25">
      <c r="A312" s="255" t="s">
        <v>381</v>
      </c>
      <c r="B312" s="87" t="s">
        <v>382</v>
      </c>
      <c r="C312" s="255" t="s">
        <v>1422</v>
      </c>
      <c r="D312" s="295">
        <v>6</v>
      </c>
      <c r="E312" s="243">
        <v>571131</v>
      </c>
      <c r="F312" s="243">
        <f t="shared" si="30"/>
        <v>3426786</v>
      </c>
      <c r="G312" s="9">
        <v>571131</v>
      </c>
      <c r="H312" s="9">
        <v>3426786</v>
      </c>
      <c r="I312" s="339">
        <f t="shared" si="26"/>
        <v>0</v>
      </c>
      <c r="J312" s="339">
        <f t="shared" si="27"/>
        <v>0</v>
      </c>
      <c r="K312" s="9">
        <f t="shared" si="28"/>
        <v>0</v>
      </c>
    </row>
    <row r="313" spans="1:11" s="9" customFormat="1" ht="35.1" customHeight="1" x14ac:dyDescent="0.25">
      <c r="A313" s="255" t="s">
        <v>383</v>
      </c>
      <c r="B313" s="241" t="s">
        <v>384</v>
      </c>
      <c r="C313" s="255" t="s">
        <v>13</v>
      </c>
      <c r="D313" s="295">
        <v>23</v>
      </c>
      <c r="E313" s="243">
        <v>93168</v>
      </c>
      <c r="F313" s="243">
        <f t="shared" si="30"/>
        <v>2142864</v>
      </c>
      <c r="G313" s="9">
        <v>93168</v>
      </c>
      <c r="H313" s="9">
        <v>2142864</v>
      </c>
      <c r="I313" s="339">
        <f t="shared" si="26"/>
        <v>0</v>
      </c>
      <c r="J313" s="339">
        <f t="shared" si="27"/>
        <v>0</v>
      </c>
      <c r="K313" s="9">
        <f t="shared" si="28"/>
        <v>0</v>
      </c>
    </row>
    <row r="314" spans="1:11" s="9" customFormat="1" ht="35.1" customHeight="1" x14ac:dyDescent="0.25">
      <c r="A314" s="255" t="s">
        <v>385</v>
      </c>
      <c r="B314" s="241" t="s">
        <v>386</v>
      </c>
      <c r="C314" s="255" t="s">
        <v>1422</v>
      </c>
      <c r="D314" s="295">
        <v>3</v>
      </c>
      <c r="E314" s="243">
        <v>45253</v>
      </c>
      <c r="F314" s="243">
        <f t="shared" si="30"/>
        <v>135759</v>
      </c>
      <c r="G314" s="9">
        <v>45253</v>
      </c>
      <c r="H314" s="9">
        <v>135759</v>
      </c>
      <c r="I314" s="339">
        <f t="shared" si="26"/>
        <v>0</v>
      </c>
      <c r="J314" s="339">
        <f t="shared" si="27"/>
        <v>0</v>
      </c>
      <c r="K314" s="9">
        <f t="shared" si="28"/>
        <v>0</v>
      </c>
    </row>
    <row r="315" spans="1:11" s="9" customFormat="1" ht="35.1" customHeight="1" x14ac:dyDescent="0.25">
      <c r="A315" s="283" t="s">
        <v>387</v>
      </c>
      <c r="B315" s="256" t="s">
        <v>388</v>
      </c>
      <c r="C315" s="256"/>
      <c r="D315" s="313"/>
      <c r="E315" s="303"/>
      <c r="F315" s="246"/>
      <c r="I315" s="339">
        <f t="shared" si="26"/>
        <v>0</v>
      </c>
      <c r="J315" s="339">
        <f t="shared" si="27"/>
        <v>0</v>
      </c>
      <c r="K315" s="9">
        <f t="shared" si="28"/>
        <v>0</v>
      </c>
    </row>
    <row r="316" spans="1:11" s="9" customFormat="1" ht="35.1" customHeight="1" x14ac:dyDescent="0.25">
      <c r="A316" s="255" t="s">
        <v>389</v>
      </c>
      <c r="B316" s="254" t="s">
        <v>390</v>
      </c>
      <c r="C316" s="255" t="s">
        <v>269</v>
      </c>
      <c r="D316" s="295">
        <v>340</v>
      </c>
      <c r="E316" s="243">
        <v>37056</v>
      </c>
      <c r="F316" s="243">
        <f t="shared" ref="F316:F329" si="31">ROUND(+E316*D316,2)</f>
        <v>12599040</v>
      </c>
      <c r="G316" s="9">
        <v>37056</v>
      </c>
      <c r="H316" s="9">
        <v>12599040</v>
      </c>
      <c r="I316" s="339">
        <f t="shared" si="26"/>
        <v>0</v>
      </c>
      <c r="J316" s="339">
        <f t="shared" si="27"/>
        <v>0</v>
      </c>
      <c r="K316" s="9">
        <f t="shared" si="28"/>
        <v>0</v>
      </c>
    </row>
    <row r="317" spans="1:11" s="9" customFormat="1" ht="35.1" customHeight="1" x14ac:dyDescent="0.25">
      <c r="A317" s="255" t="s">
        <v>391</v>
      </c>
      <c r="B317" s="241" t="s">
        <v>392</v>
      </c>
      <c r="C317" s="240" t="s">
        <v>269</v>
      </c>
      <c r="D317" s="295">
        <v>167</v>
      </c>
      <c r="E317" s="243">
        <v>52865</v>
      </c>
      <c r="F317" s="243">
        <f t="shared" si="31"/>
        <v>8828455</v>
      </c>
      <c r="G317" s="9">
        <v>52865</v>
      </c>
      <c r="H317" s="9">
        <v>8828455</v>
      </c>
      <c r="I317" s="339">
        <f t="shared" si="26"/>
        <v>0</v>
      </c>
      <c r="J317" s="339">
        <f t="shared" si="27"/>
        <v>0</v>
      </c>
      <c r="K317" s="9">
        <f t="shared" si="28"/>
        <v>0</v>
      </c>
    </row>
    <row r="318" spans="1:11" s="9" customFormat="1" ht="35.1" customHeight="1" x14ac:dyDescent="0.25">
      <c r="A318" s="255" t="s">
        <v>393</v>
      </c>
      <c r="B318" s="241" t="s">
        <v>394</v>
      </c>
      <c r="C318" s="240" t="s">
        <v>269</v>
      </c>
      <c r="D318" s="295">
        <v>221</v>
      </c>
      <c r="E318" s="243">
        <v>95536</v>
      </c>
      <c r="F318" s="243">
        <f t="shared" si="31"/>
        <v>21113456</v>
      </c>
      <c r="G318" s="9">
        <v>95536</v>
      </c>
      <c r="H318" s="9">
        <v>21113456</v>
      </c>
      <c r="I318" s="339">
        <f t="shared" si="26"/>
        <v>0</v>
      </c>
      <c r="J318" s="339">
        <f t="shared" si="27"/>
        <v>0</v>
      </c>
      <c r="K318" s="9">
        <f t="shared" si="28"/>
        <v>0</v>
      </c>
    </row>
    <row r="319" spans="1:11" s="9" customFormat="1" ht="35.1" customHeight="1" x14ac:dyDescent="0.25">
      <c r="A319" s="255" t="s">
        <v>395</v>
      </c>
      <c r="B319" s="241" t="s">
        <v>396</v>
      </c>
      <c r="C319" s="255" t="s">
        <v>16</v>
      </c>
      <c r="D319" s="295">
        <v>139</v>
      </c>
      <c r="E319" s="243">
        <v>10973</v>
      </c>
      <c r="F319" s="243">
        <f t="shared" si="31"/>
        <v>1525247</v>
      </c>
      <c r="G319" s="9">
        <v>10973</v>
      </c>
      <c r="H319" s="9">
        <v>1525247</v>
      </c>
      <c r="I319" s="339">
        <f t="shared" si="26"/>
        <v>0</v>
      </c>
      <c r="J319" s="339">
        <f t="shared" si="27"/>
        <v>0</v>
      </c>
      <c r="K319" s="9">
        <f t="shared" si="28"/>
        <v>0</v>
      </c>
    </row>
    <row r="320" spans="1:11" s="9" customFormat="1" ht="35.1" customHeight="1" x14ac:dyDescent="0.25">
      <c r="A320" s="255" t="s">
        <v>397</v>
      </c>
      <c r="B320" s="285" t="s">
        <v>398</v>
      </c>
      <c r="C320" s="255" t="s">
        <v>16</v>
      </c>
      <c r="D320" s="295">
        <v>79</v>
      </c>
      <c r="E320" s="243">
        <v>16126</v>
      </c>
      <c r="F320" s="243">
        <f t="shared" si="31"/>
        <v>1273954</v>
      </c>
      <c r="G320" s="9">
        <v>16126</v>
      </c>
      <c r="H320" s="9">
        <v>1273954</v>
      </c>
      <c r="I320" s="339">
        <f t="shared" si="26"/>
        <v>0</v>
      </c>
      <c r="J320" s="339">
        <f t="shared" si="27"/>
        <v>0</v>
      </c>
      <c r="K320" s="9">
        <f t="shared" si="28"/>
        <v>0</v>
      </c>
    </row>
    <row r="321" spans="1:11" s="9" customFormat="1" ht="35.1" customHeight="1" x14ac:dyDescent="0.25">
      <c r="A321" s="255" t="s">
        <v>399</v>
      </c>
      <c r="B321" s="241" t="s">
        <v>400</v>
      </c>
      <c r="C321" s="255" t="s">
        <v>16</v>
      </c>
      <c r="D321" s="295">
        <v>93</v>
      </c>
      <c r="E321" s="243">
        <v>76849</v>
      </c>
      <c r="F321" s="243">
        <f t="shared" si="31"/>
        <v>7146957</v>
      </c>
      <c r="G321" s="9">
        <v>76849</v>
      </c>
      <c r="H321" s="9">
        <v>7146957</v>
      </c>
      <c r="I321" s="339">
        <f t="shared" si="26"/>
        <v>0</v>
      </c>
      <c r="J321" s="339">
        <f t="shared" si="27"/>
        <v>0</v>
      </c>
      <c r="K321" s="9">
        <f t="shared" si="28"/>
        <v>0</v>
      </c>
    </row>
    <row r="322" spans="1:11" s="9" customFormat="1" ht="35.1" customHeight="1" x14ac:dyDescent="0.25">
      <c r="A322" s="255" t="s">
        <v>401</v>
      </c>
      <c r="B322" s="241" t="s">
        <v>402</v>
      </c>
      <c r="C322" s="240" t="s">
        <v>269</v>
      </c>
      <c r="D322" s="295">
        <v>43</v>
      </c>
      <c r="E322" s="243">
        <v>51297</v>
      </c>
      <c r="F322" s="243">
        <f t="shared" si="31"/>
        <v>2205771</v>
      </c>
      <c r="G322" s="9">
        <v>51297</v>
      </c>
      <c r="H322" s="9">
        <v>2205771</v>
      </c>
      <c r="I322" s="339">
        <f t="shared" si="26"/>
        <v>0</v>
      </c>
      <c r="J322" s="339">
        <f t="shared" si="27"/>
        <v>0</v>
      </c>
      <c r="K322" s="9">
        <f t="shared" si="28"/>
        <v>0</v>
      </c>
    </row>
    <row r="323" spans="1:11" s="9" customFormat="1" ht="35.1" customHeight="1" x14ac:dyDescent="0.25">
      <c r="A323" s="255" t="s">
        <v>403</v>
      </c>
      <c r="B323" s="241" t="s">
        <v>404</v>
      </c>
      <c r="C323" s="240" t="s">
        <v>269</v>
      </c>
      <c r="D323" s="295">
        <v>31</v>
      </c>
      <c r="E323" s="243">
        <v>63040</v>
      </c>
      <c r="F323" s="243">
        <f t="shared" si="31"/>
        <v>1954240</v>
      </c>
      <c r="G323" s="9">
        <v>63040</v>
      </c>
      <c r="H323" s="9">
        <v>1954240</v>
      </c>
      <c r="I323" s="339">
        <f t="shared" si="26"/>
        <v>0</v>
      </c>
      <c r="J323" s="339">
        <f t="shared" si="27"/>
        <v>0</v>
      </c>
      <c r="K323" s="9">
        <f t="shared" si="28"/>
        <v>0</v>
      </c>
    </row>
    <row r="324" spans="1:11" s="9" customFormat="1" ht="35.1" customHeight="1" x14ac:dyDescent="0.25">
      <c r="A324" s="255" t="s">
        <v>405</v>
      </c>
      <c r="B324" s="241" t="s">
        <v>406</v>
      </c>
      <c r="C324" s="240" t="s">
        <v>269</v>
      </c>
      <c r="D324" s="295">
        <v>50</v>
      </c>
      <c r="E324" s="243">
        <v>54906</v>
      </c>
      <c r="F324" s="243">
        <f t="shared" si="31"/>
        <v>2745300</v>
      </c>
      <c r="G324" s="9">
        <v>54906</v>
      </c>
      <c r="H324" s="9">
        <v>2745300</v>
      </c>
      <c r="I324" s="339">
        <f t="shared" si="26"/>
        <v>0</v>
      </c>
      <c r="J324" s="339">
        <f t="shared" si="27"/>
        <v>0</v>
      </c>
      <c r="K324" s="9">
        <f t="shared" si="28"/>
        <v>0</v>
      </c>
    </row>
    <row r="325" spans="1:11" s="9" customFormat="1" ht="35.1" customHeight="1" x14ac:dyDescent="0.25">
      <c r="A325" s="255" t="s">
        <v>407</v>
      </c>
      <c r="B325" s="241" t="s">
        <v>408</v>
      </c>
      <c r="C325" s="240" t="s">
        <v>269</v>
      </c>
      <c r="D325" s="295">
        <v>30</v>
      </c>
      <c r="E325" s="243">
        <v>28625</v>
      </c>
      <c r="F325" s="243">
        <f t="shared" si="31"/>
        <v>858750</v>
      </c>
      <c r="G325" s="9">
        <v>28625</v>
      </c>
      <c r="H325" s="9">
        <v>858750</v>
      </c>
      <c r="I325" s="339">
        <f t="shared" ref="I325:I388" si="32">+E325-G325</f>
        <v>0</v>
      </c>
      <c r="J325" s="339">
        <f t="shared" ref="J325:J388" si="33">+H325-F325</f>
        <v>0</v>
      </c>
      <c r="K325" s="9">
        <f t="shared" ref="K325:K388" si="34">IF(J325&gt;0,1,0)</f>
        <v>0</v>
      </c>
    </row>
    <row r="326" spans="1:11" s="9" customFormat="1" ht="35.1" customHeight="1" x14ac:dyDescent="0.25">
      <c r="A326" s="255" t="s">
        <v>409</v>
      </c>
      <c r="B326" s="241" t="s">
        <v>410</v>
      </c>
      <c r="C326" s="240" t="s">
        <v>269</v>
      </c>
      <c r="D326" s="295">
        <v>15</v>
      </c>
      <c r="E326" s="243">
        <v>35178</v>
      </c>
      <c r="F326" s="243">
        <f t="shared" si="31"/>
        <v>527670</v>
      </c>
      <c r="G326" s="9">
        <v>35178</v>
      </c>
      <c r="H326" s="9">
        <v>527670</v>
      </c>
      <c r="I326" s="339">
        <f t="shared" si="32"/>
        <v>0</v>
      </c>
      <c r="J326" s="339">
        <f t="shared" si="33"/>
        <v>0</v>
      </c>
      <c r="K326" s="9">
        <f t="shared" si="34"/>
        <v>0</v>
      </c>
    </row>
    <row r="327" spans="1:11" s="9" customFormat="1" ht="35.1" customHeight="1" x14ac:dyDescent="0.25">
      <c r="A327" s="255" t="s">
        <v>411</v>
      </c>
      <c r="B327" s="241" t="s">
        <v>412</v>
      </c>
      <c r="C327" s="240" t="s">
        <v>269</v>
      </c>
      <c r="D327" s="295">
        <v>70</v>
      </c>
      <c r="E327" s="243">
        <v>46966</v>
      </c>
      <c r="F327" s="243">
        <f t="shared" si="31"/>
        <v>3287620</v>
      </c>
      <c r="G327" s="9">
        <v>46966</v>
      </c>
      <c r="H327" s="9">
        <v>3287620</v>
      </c>
      <c r="I327" s="339">
        <f t="shared" si="32"/>
        <v>0</v>
      </c>
      <c r="J327" s="339">
        <f t="shared" si="33"/>
        <v>0</v>
      </c>
      <c r="K327" s="9">
        <f t="shared" si="34"/>
        <v>0</v>
      </c>
    </row>
    <row r="328" spans="1:11" s="9" customFormat="1" ht="35.1" customHeight="1" x14ac:dyDescent="0.25">
      <c r="A328" s="255" t="s">
        <v>413</v>
      </c>
      <c r="B328" s="241" t="s">
        <v>414</v>
      </c>
      <c r="C328" s="240" t="s">
        <v>269</v>
      </c>
      <c r="D328" s="295">
        <v>20</v>
      </c>
      <c r="E328" s="243">
        <v>81938</v>
      </c>
      <c r="F328" s="243">
        <f t="shared" si="31"/>
        <v>1638760</v>
      </c>
      <c r="G328" s="9">
        <v>81938</v>
      </c>
      <c r="H328" s="9">
        <v>1638760</v>
      </c>
      <c r="I328" s="339">
        <f t="shared" si="32"/>
        <v>0</v>
      </c>
      <c r="J328" s="339">
        <f t="shared" si="33"/>
        <v>0</v>
      </c>
      <c r="K328" s="9">
        <f t="shared" si="34"/>
        <v>0</v>
      </c>
    </row>
    <row r="329" spans="1:11" s="9" customFormat="1" ht="35.1" customHeight="1" x14ac:dyDescent="0.25">
      <c r="A329" s="255" t="s">
        <v>415</v>
      </c>
      <c r="B329" s="241" t="s">
        <v>358</v>
      </c>
      <c r="C329" s="240" t="s">
        <v>1422</v>
      </c>
      <c r="D329" s="295">
        <v>4</v>
      </c>
      <c r="E329" s="243">
        <v>556137</v>
      </c>
      <c r="F329" s="243">
        <f t="shared" si="31"/>
        <v>2224548</v>
      </c>
      <c r="G329" s="9">
        <v>556137</v>
      </c>
      <c r="H329" s="9">
        <v>2224548</v>
      </c>
      <c r="I329" s="339">
        <f t="shared" si="32"/>
        <v>0</v>
      </c>
      <c r="J329" s="339">
        <f t="shared" si="33"/>
        <v>0</v>
      </c>
      <c r="K329" s="9">
        <f t="shared" si="34"/>
        <v>0</v>
      </c>
    </row>
    <row r="330" spans="1:11" s="9" customFormat="1" ht="35.1" customHeight="1" x14ac:dyDescent="0.25">
      <c r="A330" s="283" t="s">
        <v>416</v>
      </c>
      <c r="B330" s="256" t="s">
        <v>417</v>
      </c>
      <c r="C330" s="256" t="s">
        <v>369</v>
      </c>
      <c r="D330" s="313"/>
      <c r="E330" s="303"/>
      <c r="F330" s="246"/>
      <c r="I330" s="339">
        <f t="shared" si="32"/>
        <v>0</v>
      </c>
      <c r="J330" s="339">
        <f t="shared" si="33"/>
        <v>0</v>
      </c>
      <c r="K330" s="9">
        <f t="shared" si="34"/>
        <v>0</v>
      </c>
    </row>
    <row r="331" spans="1:11" s="9" customFormat="1" ht="35.1" customHeight="1" x14ac:dyDescent="0.25">
      <c r="A331" s="240" t="s">
        <v>418</v>
      </c>
      <c r="B331" s="241" t="s">
        <v>1222</v>
      </c>
      <c r="C331" s="240" t="s">
        <v>420</v>
      </c>
      <c r="D331" s="295">
        <v>94</v>
      </c>
      <c r="E331" s="243">
        <v>40990</v>
      </c>
      <c r="F331" s="243">
        <f>ROUND(+E331*D331,2)</f>
        <v>3853060</v>
      </c>
      <c r="G331" s="9">
        <v>40990</v>
      </c>
      <c r="H331" s="9">
        <v>3853060</v>
      </c>
      <c r="I331" s="339">
        <f t="shared" si="32"/>
        <v>0</v>
      </c>
      <c r="J331" s="339">
        <f t="shared" si="33"/>
        <v>0</v>
      </c>
      <c r="K331" s="9">
        <f t="shared" si="34"/>
        <v>0</v>
      </c>
    </row>
    <row r="332" spans="1:11" s="9" customFormat="1" ht="35.1" customHeight="1" x14ac:dyDescent="0.25">
      <c r="A332" s="240" t="s">
        <v>421</v>
      </c>
      <c r="B332" s="241" t="s">
        <v>422</v>
      </c>
      <c r="C332" s="240" t="s">
        <v>420</v>
      </c>
      <c r="D332" s="295">
        <v>28</v>
      </c>
      <c r="E332" s="243">
        <v>77514</v>
      </c>
      <c r="F332" s="243">
        <f>ROUND(+E332*D332,2)</f>
        <v>2170392</v>
      </c>
      <c r="G332" s="9">
        <v>77514</v>
      </c>
      <c r="H332" s="9">
        <v>2170392</v>
      </c>
      <c r="I332" s="339">
        <f t="shared" si="32"/>
        <v>0</v>
      </c>
      <c r="J332" s="339">
        <f t="shared" si="33"/>
        <v>0</v>
      </c>
      <c r="K332" s="9">
        <f t="shared" si="34"/>
        <v>0</v>
      </c>
    </row>
    <row r="333" spans="1:11" s="9" customFormat="1" ht="35.1" customHeight="1" x14ac:dyDescent="0.25">
      <c r="A333" s="240" t="s">
        <v>423</v>
      </c>
      <c r="B333" s="241" t="s">
        <v>36</v>
      </c>
      <c r="C333" s="240" t="s">
        <v>420</v>
      </c>
      <c r="D333" s="295">
        <v>28</v>
      </c>
      <c r="E333" s="243">
        <v>64537</v>
      </c>
      <c r="F333" s="243">
        <f>ROUND(+E333*D333,2)</f>
        <v>1807036</v>
      </c>
      <c r="G333" s="9">
        <v>64537</v>
      </c>
      <c r="H333" s="9">
        <v>1807036</v>
      </c>
      <c r="I333" s="339">
        <f t="shared" si="32"/>
        <v>0</v>
      </c>
      <c r="J333" s="339">
        <f t="shared" si="33"/>
        <v>0</v>
      </c>
      <c r="K333" s="9">
        <f t="shared" si="34"/>
        <v>0</v>
      </c>
    </row>
    <row r="334" spans="1:11" s="9" customFormat="1" ht="35.1" customHeight="1" x14ac:dyDescent="0.25">
      <c r="A334" s="240" t="s">
        <v>424</v>
      </c>
      <c r="B334" s="241" t="s">
        <v>425</v>
      </c>
      <c r="C334" s="240" t="s">
        <v>420</v>
      </c>
      <c r="D334" s="295">
        <v>37</v>
      </c>
      <c r="E334" s="243">
        <v>12819</v>
      </c>
      <c r="F334" s="243">
        <f>ROUND(+E334*D334,2)</f>
        <v>474303</v>
      </c>
      <c r="G334" s="9">
        <v>12819</v>
      </c>
      <c r="H334" s="9">
        <v>474303</v>
      </c>
      <c r="I334" s="339">
        <f t="shared" si="32"/>
        <v>0</v>
      </c>
      <c r="J334" s="339">
        <f t="shared" si="33"/>
        <v>0</v>
      </c>
      <c r="K334" s="9">
        <f t="shared" si="34"/>
        <v>0</v>
      </c>
    </row>
    <row r="335" spans="1:11" s="9" customFormat="1" ht="35.1" customHeight="1" x14ac:dyDescent="0.25">
      <c r="A335" s="283" t="s">
        <v>426</v>
      </c>
      <c r="B335" s="256" t="s">
        <v>427</v>
      </c>
      <c r="C335" s="256" t="s">
        <v>369</v>
      </c>
      <c r="D335" s="313"/>
      <c r="E335" s="303"/>
      <c r="F335" s="246"/>
      <c r="I335" s="339">
        <f t="shared" si="32"/>
        <v>0</v>
      </c>
      <c r="J335" s="339">
        <f t="shared" si="33"/>
        <v>0</v>
      </c>
      <c r="K335" s="9">
        <f t="shared" si="34"/>
        <v>0</v>
      </c>
    </row>
    <row r="336" spans="1:11" s="9" customFormat="1" ht="35.1" customHeight="1" x14ac:dyDescent="0.25">
      <c r="A336" s="240" t="s">
        <v>428</v>
      </c>
      <c r="B336" s="241" t="s">
        <v>1223</v>
      </c>
      <c r="C336" s="255" t="s">
        <v>16</v>
      </c>
      <c r="D336" s="295">
        <v>1</v>
      </c>
      <c r="E336" s="243">
        <v>35859926</v>
      </c>
      <c r="F336" s="243">
        <f>ROUND(+E336*D336,2)</f>
        <v>35859926</v>
      </c>
      <c r="G336" s="9">
        <v>35859926</v>
      </c>
      <c r="H336" s="9">
        <v>35859926</v>
      </c>
      <c r="I336" s="339">
        <f t="shared" si="32"/>
        <v>0</v>
      </c>
      <c r="J336" s="339">
        <f t="shared" si="33"/>
        <v>0</v>
      </c>
      <c r="K336" s="9">
        <f t="shared" si="34"/>
        <v>0</v>
      </c>
    </row>
    <row r="337" spans="1:11" s="9" customFormat="1" ht="35.1" customHeight="1" x14ac:dyDescent="0.25">
      <c r="A337" s="240" t="s">
        <v>430</v>
      </c>
      <c r="B337" s="241" t="s">
        <v>1224</v>
      </c>
      <c r="C337" s="255" t="s">
        <v>16</v>
      </c>
      <c r="D337" s="295">
        <v>1</v>
      </c>
      <c r="E337" s="243">
        <v>98214761</v>
      </c>
      <c r="F337" s="243">
        <f>ROUND(+E337*D337,2)</f>
        <v>98214761</v>
      </c>
      <c r="G337" s="9">
        <v>98214761</v>
      </c>
      <c r="H337" s="9">
        <v>98214761</v>
      </c>
      <c r="I337" s="339">
        <f t="shared" si="32"/>
        <v>0</v>
      </c>
      <c r="J337" s="339">
        <f t="shared" si="33"/>
        <v>0</v>
      </c>
      <c r="K337" s="9">
        <f t="shared" si="34"/>
        <v>0</v>
      </c>
    </row>
    <row r="338" spans="1:11" s="9" customFormat="1" ht="35.1" customHeight="1" x14ac:dyDescent="0.25">
      <c r="A338" s="255" t="s">
        <v>432</v>
      </c>
      <c r="B338" s="241" t="s">
        <v>433</v>
      </c>
      <c r="C338" s="255" t="s">
        <v>16</v>
      </c>
      <c r="D338" s="295">
        <v>1</v>
      </c>
      <c r="E338" s="243">
        <v>14455163</v>
      </c>
      <c r="F338" s="243">
        <f>ROUND(+E338*D338,2)</f>
        <v>14455163</v>
      </c>
      <c r="G338" s="9">
        <v>14455163</v>
      </c>
      <c r="H338" s="9">
        <v>14455163</v>
      </c>
      <c r="I338" s="339">
        <f t="shared" si="32"/>
        <v>0</v>
      </c>
      <c r="J338" s="339">
        <f t="shared" si="33"/>
        <v>0</v>
      </c>
      <c r="K338" s="9">
        <f t="shared" si="34"/>
        <v>0</v>
      </c>
    </row>
    <row r="339" spans="1:11" s="9" customFormat="1" ht="35.1" customHeight="1" x14ac:dyDescent="0.25">
      <c r="A339" s="247">
        <v>13</v>
      </c>
      <c r="B339" s="248" t="s">
        <v>434</v>
      </c>
      <c r="C339" s="248"/>
      <c r="D339" s="314"/>
      <c r="E339" s="305"/>
      <c r="F339" s="249"/>
      <c r="I339" s="339">
        <f t="shared" si="32"/>
        <v>0</v>
      </c>
      <c r="J339" s="339">
        <f t="shared" si="33"/>
        <v>0</v>
      </c>
      <c r="K339" s="9">
        <f t="shared" si="34"/>
        <v>0</v>
      </c>
    </row>
    <row r="340" spans="1:11" s="9" customFormat="1" ht="35.1" customHeight="1" x14ac:dyDescent="0.25">
      <c r="A340" s="286" t="s">
        <v>435</v>
      </c>
      <c r="B340" s="287" t="s">
        <v>436</v>
      </c>
      <c r="C340" s="287"/>
      <c r="D340" s="318"/>
      <c r="E340" s="309"/>
      <c r="F340" s="288"/>
      <c r="I340" s="339">
        <f t="shared" si="32"/>
        <v>0</v>
      </c>
      <c r="J340" s="339">
        <f t="shared" si="33"/>
        <v>0</v>
      </c>
      <c r="K340" s="9">
        <f t="shared" si="34"/>
        <v>0</v>
      </c>
    </row>
    <row r="341" spans="1:11" s="9" customFormat="1" ht="35.1" customHeight="1" x14ac:dyDescent="0.25">
      <c r="A341" s="255" t="s">
        <v>437</v>
      </c>
      <c r="B341" s="254" t="s">
        <v>438</v>
      </c>
      <c r="C341" s="255" t="s">
        <v>269</v>
      </c>
      <c r="D341" s="295">
        <v>951</v>
      </c>
      <c r="E341" s="243">
        <v>24951</v>
      </c>
      <c r="F341" s="243">
        <f t="shared" ref="F341:F353" si="35">ROUND(+E341*D341,2)</f>
        <v>23728401</v>
      </c>
      <c r="G341" s="9">
        <v>24951</v>
      </c>
      <c r="H341" s="9">
        <v>23728401</v>
      </c>
      <c r="I341" s="339">
        <f t="shared" si="32"/>
        <v>0</v>
      </c>
      <c r="J341" s="339">
        <f t="shared" si="33"/>
        <v>0</v>
      </c>
      <c r="K341" s="9">
        <f t="shared" si="34"/>
        <v>0</v>
      </c>
    </row>
    <row r="342" spans="1:11" s="9" customFormat="1" ht="35.1" customHeight="1" x14ac:dyDescent="0.25">
      <c r="A342" s="255" t="s">
        <v>439</v>
      </c>
      <c r="B342" s="254" t="s">
        <v>440</v>
      </c>
      <c r="C342" s="255" t="s">
        <v>269</v>
      </c>
      <c r="D342" s="295">
        <v>479</v>
      </c>
      <c r="E342" s="243">
        <v>53442</v>
      </c>
      <c r="F342" s="243">
        <f t="shared" si="35"/>
        <v>25598718</v>
      </c>
      <c r="G342" s="9">
        <v>53442</v>
      </c>
      <c r="H342" s="9">
        <v>25598718</v>
      </c>
      <c r="I342" s="339">
        <f t="shared" si="32"/>
        <v>0</v>
      </c>
      <c r="J342" s="339">
        <f t="shared" si="33"/>
        <v>0</v>
      </c>
      <c r="K342" s="9">
        <f t="shared" si="34"/>
        <v>0</v>
      </c>
    </row>
    <row r="343" spans="1:11" s="9" customFormat="1" ht="35.1" customHeight="1" x14ac:dyDescent="0.25">
      <c r="A343" s="255" t="s">
        <v>441</v>
      </c>
      <c r="B343" s="254" t="s">
        <v>442</v>
      </c>
      <c r="C343" s="255" t="s">
        <v>269</v>
      </c>
      <c r="D343" s="295">
        <v>413</v>
      </c>
      <c r="E343" s="243">
        <v>99572</v>
      </c>
      <c r="F343" s="243">
        <f t="shared" si="35"/>
        <v>41123236</v>
      </c>
      <c r="G343" s="9">
        <v>99572</v>
      </c>
      <c r="H343" s="9">
        <v>41123236</v>
      </c>
      <c r="I343" s="339">
        <f t="shared" si="32"/>
        <v>0</v>
      </c>
      <c r="J343" s="339">
        <f t="shared" si="33"/>
        <v>0</v>
      </c>
      <c r="K343" s="9">
        <f t="shared" si="34"/>
        <v>0</v>
      </c>
    </row>
    <row r="344" spans="1:11" s="9" customFormat="1" ht="35.1" customHeight="1" x14ac:dyDescent="0.25">
      <c r="A344" s="255" t="s">
        <v>443</v>
      </c>
      <c r="B344" s="254" t="s">
        <v>444</v>
      </c>
      <c r="C344" s="255" t="s">
        <v>269</v>
      </c>
      <c r="D344" s="295">
        <v>60</v>
      </c>
      <c r="E344" s="243">
        <v>140507</v>
      </c>
      <c r="F344" s="243">
        <f t="shared" si="35"/>
        <v>8430420</v>
      </c>
      <c r="G344" s="9">
        <v>140507</v>
      </c>
      <c r="H344" s="9">
        <v>8430420</v>
      </c>
      <c r="I344" s="339">
        <f t="shared" si="32"/>
        <v>0</v>
      </c>
      <c r="J344" s="339">
        <f t="shared" si="33"/>
        <v>0</v>
      </c>
      <c r="K344" s="9">
        <f t="shared" si="34"/>
        <v>0</v>
      </c>
    </row>
    <row r="345" spans="1:11" s="9" customFormat="1" ht="35.1" customHeight="1" x14ac:dyDescent="0.25">
      <c r="A345" s="255" t="s">
        <v>445</v>
      </c>
      <c r="B345" s="254" t="s">
        <v>446</v>
      </c>
      <c r="C345" s="255" t="s">
        <v>1422</v>
      </c>
      <c r="D345" s="295">
        <v>351</v>
      </c>
      <c r="E345" s="243">
        <v>8405</v>
      </c>
      <c r="F345" s="243">
        <f t="shared" si="35"/>
        <v>2950155</v>
      </c>
      <c r="G345" s="9">
        <v>8405</v>
      </c>
      <c r="H345" s="9">
        <v>2950155</v>
      </c>
      <c r="I345" s="339">
        <f t="shared" si="32"/>
        <v>0</v>
      </c>
      <c r="J345" s="339">
        <f t="shared" si="33"/>
        <v>0</v>
      </c>
      <c r="K345" s="9">
        <f t="shared" si="34"/>
        <v>0</v>
      </c>
    </row>
    <row r="346" spans="1:11" s="9" customFormat="1" ht="35.1" customHeight="1" x14ac:dyDescent="0.25">
      <c r="A346" s="255" t="s">
        <v>447</v>
      </c>
      <c r="B346" s="254" t="s">
        <v>448</v>
      </c>
      <c r="C346" s="255" t="s">
        <v>1422</v>
      </c>
      <c r="D346" s="295">
        <v>130</v>
      </c>
      <c r="E346" s="243">
        <v>18288</v>
      </c>
      <c r="F346" s="243">
        <f t="shared" si="35"/>
        <v>2377440</v>
      </c>
      <c r="G346" s="9">
        <v>18288</v>
      </c>
      <c r="H346" s="9">
        <v>2377440</v>
      </c>
      <c r="I346" s="339">
        <f t="shared" si="32"/>
        <v>0</v>
      </c>
      <c r="J346" s="339">
        <f t="shared" si="33"/>
        <v>0</v>
      </c>
      <c r="K346" s="9">
        <f t="shared" si="34"/>
        <v>0</v>
      </c>
    </row>
    <row r="347" spans="1:11" s="9" customFormat="1" ht="35.1" customHeight="1" x14ac:dyDescent="0.25">
      <c r="A347" s="255" t="s">
        <v>449</v>
      </c>
      <c r="B347" s="254" t="s">
        <v>450</v>
      </c>
      <c r="C347" s="255" t="s">
        <v>1422</v>
      </c>
      <c r="D347" s="295">
        <v>176</v>
      </c>
      <c r="E347" s="243">
        <v>28316</v>
      </c>
      <c r="F347" s="243">
        <f t="shared" si="35"/>
        <v>4983616</v>
      </c>
      <c r="G347" s="9">
        <v>28316</v>
      </c>
      <c r="H347" s="9">
        <v>4983616</v>
      </c>
      <c r="I347" s="339">
        <f t="shared" si="32"/>
        <v>0</v>
      </c>
      <c r="J347" s="339">
        <f t="shared" si="33"/>
        <v>0</v>
      </c>
      <c r="K347" s="9">
        <f t="shared" si="34"/>
        <v>0</v>
      </c>
    </row>
    <row r="348" spans="1:11" s="9" customFormat="1" ht="35.1" customHeight="1" x14ac:dyDescent="0.25">
      <c r="A348" s="255" t="s">
        <v>451</v>
      </c>
      <c r="B348" s="254" t="s">
        <v>452</v>
      </c>
      <c r="C348" s="255" t="s">
        <v>1422</v>
      </c>
      <c r="D348" s="295">
        <v>26</v>
      </c>
      <c r="E348" s="243">
        <v>44248</v>
      </c>
      <c r="F348" s="243">
        <f t="shared" si="35"/>
        <v>1150448</v>
      </c>
      <c r="G348" s="9">
        <v>44248</v>
      </c>
      <c r="H348" s="9">
        <v>1150448</v>
      </c>
      <c r="I348" s="339">
        <f t="shared" si="32"/>
        <v>0</v>
      </c>
      <c r="J348" s="339">
        <f t="shared" si="33"/>
        <v>0</v>
      </c>
      <c r="K348" s="9">
        <f t="shared" si="34"/>
        <v>0</v>
      </c>
    </row>
    <row r="349" spans="1:11" s="9" customFormat="1" ht="35.1" customHeight="1" x14ac:dyDescent="0.25">
      <c r="A349" s="255" t="s">
        <v>453</v>
      </c>
      <c r="B349" s="254" t="s">
        <v>454</v>
      </c>
      <c r="C349" s="255" t="s">
        <v>1422</v>
      </c>
      <c r="D349" s="295">
        <v>76</v>
      </c>
      <c r="E349" s="243">
        <v>8532</v>
      </c>
      <c r="F349" s="243">
        <f t="shared" si="35"/>
        <v>648432</v>
      </c>
      <c r="G349" s="9">
        <v>8532</v>
      </c>
      <c r="H349" s="9">
        <v>648432</v>
      </c>
      <c r="I349" s="339">
        <f t="shared" si="32"/>
        <v>0</v>
      </c>
      <c r="J349" s="339">
        <f t="shared" si="33"/>
        <v>0</v>
      </c>
      <c r="K349" s="9">
        <f t="shared" si="34"/>
        <v>0</v>
      </c>
    </row>
    <row r="350" spans="1:11" s="9" customFormat="1" ht="35.1" customHeight="1" x14ac:dyDescent="0.25">
      <c r="A350" s="255" t="s">
        <v>455</v>
      </c>
      <c r="B350" s="254" t="s">
        <v>456</v>
      </c>
      <c r="C350" s="255" t="s">
        <v>1422</v>
      </c>
      <c r="D350" s="295">
        <v>80</v>
      </c>
      <c r="E350" s="243">
        <v>11325</v>
      </c>
      <c r="F350" s="243">
        <f t="shared" si="35"/>
        <v>906000</v>
      </c>
      <c r="G350" s="9">
        <v>11325</v>
      </c>
      <c r="H350" s="9">
        <v>906000</v>
      </c>
      <c r="I350" s="339">
        <f t="shared" si="32"/>
        <v>0</v>
      </c>
      <c r="J350" s="339">
        <f t="shared" si="33"/>
        <v>0</v>
      </c>
      <c r="K350" s="9">
        <f t="shared" si="34"/>
        <v>0</v>
      </c>
    </row>
    <row r="351" spans="1:11" s="9" customFormat="1" ht="35.1" customHeight="1" x14ac:dyDescent="0.25">
      <c r="A351" s="255" t="s">
        <v>457</v>
      </c>
      <c r="B351" s="254" t="s">
        <v>458</v>
      </c>
      <c r="C351" s="255" t="s">
        <v>1422</v>
      </c>
      <c r="D351" s="295">
        <v>12</v>
      </c>
      <c r="E351" s="243">
        <v>14011</v>
      </c>
      <c r="F351" s="243">
        <f t="shared" si="35"/>
        <v>168132</v>
      </c>
      <c r="G351" s="9">
        <v>14011</v>
      </c>
      <c r="H351" s="9">
        <v>168132</v>
      </c>
      <c r="I351" s="339">
        <f t="shared" si="32"/>
        <v>0</v>
      </c>
      <c r="J351" s="339">
        <f t="shared" si="33"/>
        <v>0</v>
      </c>
      <c r="K351" s="9">
        <f t="shared" si="34"/>
        <v>0</v>
      </c>
    </row>
    <row r="352" spans="1:11" s="9" customFormat="1" ht="35.1" customHeight="1" x14ac:dyDescent="0.25">
      <c r="A352" s="255" t="s">
        <v>459</v>
      </c>
      <c r="B352" s="254" t="s">
        <v>460</v>
      </c>
      <c r="C352" s="255" t="s">
        <v>269</v>
      </c>
      <c r="D352" s="295">
        <v>824</v>
      </c>
      <c r="E352" s="243">
        <v>6038</v>
      </c>
      <c r="F352" s="243">
        <f t="shared" si="35"/>
        <v>4975312</v>
      </c>
      <c r="G352" s="9">
        <v>6038</v>
      </c>
      <c r="H352" s="9">
        <v>4975312</v>
      </c>
      <c r="I352" s="339">
        <f t="shared" si="32"/>
        <v>0</v>
      </c>
      <c r="J352" s="339">
        <f t="shared" si="33"/>
        <v>0</v>
      </c>
      <c r="K352" s="9">
        <f t="shared" si="34"/>
        <v>0</v>
      </c>
    </row>
    <row r="353" spans="1:11" s="9" customFormat="1" ht="35.1" customHeight="1" x14ac:dyDescent="0.25">
      <c r="A353" s="255" t="s">
        <v>461</v>
      </c>
      <c r="B353" s="254" t="s">
        <v>462</v>
      </c>
      <c r="C353" s="255" t="s">
        <v>269</v>
      </c>
      <c r="D353" s="295">
        <v>147</v>
      </c>
      <c r="E353" s="243">
        <v>10269</v>
      </c>
      <c r="F353" s="243">
        <f t="shared" si="35"/>
        <v>1509543</v>
      </c>
      <c r="G353" s="9">
        <v>10269</v>
      </c>
      <c r="H353" s="9">
        <v>1509543</v>
      </c>
      <c r="I353" s="339">
        <f t="shared" si="32"/>
        <v>0</v>
      </c>
      <c r="J353" s="339">
        <f t="shared" si="33"/>
        <v>0</v>
      </c>
      <c r="K353" s="9">
        <f t="shared" si="34"/>
        <v>0</v>
      </c>
    </row>
    <row r="354" spans="1:11" s="9" customFormat="1" ht="35.1" customHeight="1" x14ac:dyDescent="0.25">
      <c r="A354" s="286" t="s">
        <v>463</v>
      </c>
      <c r="B354" s="287" t="s">
        <v>464</v>
      </c>
      <c r="C354" s="287"/>
      <c r="D354" s="318"/>
      <c r="E354" s="309"/>
      <c r="F354" s="288"/>
      <c r="I354" s="339">
        <f t="shared" si="32"/>
        <v>0</v>
      </c>
      <c r="J354" s="339">
        <f t="shared" si="33"/>
        <v>0</v>
      </c>
      <c r="K354" s="9">
        <f t="shared" si="34"/>
        <v>0</v>
      </c>
    </row>
    <row r="355" spans="1:11" s="9" customFormat="1" ht="35.1" customHeight="1" x14ac:dyDescent="0.25">
      <c r="A355" s="255" t="s">
        <v>465</v>
      </c>
      <c r="B355" s="254" t="s">
        <v>466</v>
      </c>
      <c r="C355" s="255" t="s">
        <v>1422</v>
      </c>
      <c r="D355" s="295">
        <v>378</v>
      </c>
      <c r="E355" s="243">
        <v>60880</v>
      </c>
      <c r="F355" s="243">
        <f t="shared" ref="F355:F369" si="36">ROUND(+E355*D355,2)</f>
        <v>23012640</v>
      </c>
      <c r="G355" s="9">
        <v>60880</v>
      </c>
      <c r="H355" s="9">
        <v>23012640</v>
      </c>
      <c r="I355" s="339">
        <f t="shared" si="32"/>
        <v>0</v>
      </c>
      <c r="J355" s="339">
        <f t="shared" si="33"/>
        <v>0</v>
      </c>
      <c r="K355" s="9">
        <f t="shared" si="34"/>
        <v>0</v>
      </c>
    </row>
    <row r="356" spans="1:11" s="9" customFormat="1" ht="35.1" customHeight="1" x14ac:dyDescent="0.25">
      <c r="A356" s="255" t="s">
        <v>467</v>
      </c>
      <c r="B356" s="254" t="s">
        <v>468</v>
      </c>
      <c r="C356" s="255" t="s">
        <v>1422</v>
      </c>
      <c r="D356" s="295">
        <v>52</v>
      </c>
      <c r="E356" s="243">
        <v>39891</v>
      </c>
      <c r="F356" s="243">
        <f t="shared" si="36"/>
        <v>2074332</v>
      </c>
      <c r="G356" s="9">
        <v>39891</v>
      </c>
      <c r="H356" s="9">
        <v>2074332</v>
      </c>
      <c r="I356" s="339">
        <f t="shared" si="32"/>
        <v>0</v>
      </c>
      <c r="J356" s="339">
        <f t="shared" si="33"/>
        <v>0</v>
      </c>
      <c r="K356" s="9">
        <f t="shared" si="34"/>
        <v>0</v>
      </c>
    </row>
    <row r="357" spans="1:11" s="9" customFormat="1" ht="35.1" customHeight="1" x14ac:dyDescent="0.25">
      <c r="A357" s="255" t="s">
        <v>469</v>
      </c>
      <c r="B357" s="254" t="s">
        <v>470</v>
      </c>
      <c r="C357" s="255" t="s">
        <v>1422</v>
      </c>
      <c r="D357" s="295">
        <v>37</v>
      </c>
      <c r="E357" s="243">
        <v>131639</v>
      </c>
      <c r="F357" s="243">
        <f t="shared" si="36"/>
        <v>4870643</v>
      </c>
      <c r="G357" s="9">
        <v>131639</v>
      </c>
      <c r="H357" s="9">
        <v>4870643</v>
      </c>
      <c r="I357" s="339">
        <f t="shared" si="32"/>
        <v>0</v>
      </c>
      <c r="J357" s="339">
        <f t="shared" si="33"/>
        <v>0</v>
      </c>
      <c r="K357" s="9">
        <f t="shared" si="34"/>
        <v>0</v>
      </c>
    </row>
    <row r="358" spans="1:11" s="9" customFormat="1" ht="35.1" customHeight="1" x14ac:dyDescent="0.25">
      <c r="A358" s="255" t="s">
        <v>471</v>
      </c>
      <c r="B358" s="254" t="s">
        <v>472</v>
      </c>
      <c r="C358" s="255" t="s">
        <v>1422</v>
      </c>
      <c r="D358" s="295">
        <v>467</v>
      </c>
      <c r="E358" s="243">
        <v>48051</v>
      </c>
      <c r="F358" s="243">
        <f t="shared" si="36"/>
        <v>22439817</v>
      </c>
      <c r="G358" s="9">
        <v>48051</v>
      </c>
      <c r="H358" s="9">
        <v>22439817</v>
      </c>
      <c r="I358" s="339">
        <f t="shared" si="32"/>
        <v>0</v>
      </c>
      <c r="J358" s="339">
        <f t="shared" si="33"/>
        <v>0</v>
      </c>
      <c r="K358" s="9">
        <f t="shared" si="34"/>
        <v>0</v>
      </c>
    </row>
    <row r="359" spans="1:11" s="9" customFormat="1" ht="35.1" customHeight="1" x14ac:dyDescent="0.25">
      <c r="A359" s="255" t="s">
        <v>473</v>
      </c>
      <c r="B359" s="254" t="s">
        <v>474</v>
      </c>
      <c r="C359" s="255" t="s">
        <v>1422</v>
      </c>
      <c r="D359" s="295">
        <v>5</v>
      </c>
      <c r="E359" s="243">
        <v>4291257</v>
      </c>
      <c r="F359" s="243">
        <f t="shared" si="36"/>
        <v>21456285</v>
      </c>
      <c r="G359" s="9">
        <v>4291257</v>
      </c>
      <c r="H359" s="9">
        <v>21456285</v>
      </c>
      <c r="I359" s="339">
        <f t="shared" si="32"/>
        <v>0</v>
      </c>
      <c r="J359" s="339">
        <f t="shared" si="33"/>
        <v>0</v>
      </c>
      <c r="K359" s="9">
        <f t="shared" si="34"/>
        <v>0</v>
      </c>
    </row>
    <row r="360" spans="1:11" s="9" customFormat="1" ht="35.1" customHeight="1" x14ac:dyDescent="0.25">
      <c r="A360" s="255" t="s">
        <v>475</v>
      </c>
      <c r="B360" s="254" t="s">
        <v>476</v>
      </c>
      <c r="C360" s="255" t="s">
        <v>1422</v>
      </c>
      <c r="D360" s="295">
        <v>10</v>
      </c>
      <c r="E360" s="243">
        <v>82150</v>
      </c>
      <c r="F360" s="243">
        <f t="shared" si="36"/>
        <v>821500</v>
      </c>
      <c r="G360" s="9">
        <v>82150</v>
      </c>
      <c r="H360" s="9">
        <v>821500</v>
      </c>
      <c r="I360" s="339">
        <f t="shared" si="32"/>
        <v>0</v>
      </c>
      <c r="J360" s="339">
        <f t="shared" si="33"/>
        <v>0</v>
      </c>
      <c r="K360" s="9">
        <f t="shared" si="34"/>
        <v>0</v>
      </c>
    </row>
    <row r="361" spans="1:11" s="9" customFormat="1" ht="35.1" customHeight="1" x14ac:dyDescent="0.25">
      <c r="A361" s="255" t="s">
        <v>477</v>
      </c>
      <c r="B361" s="254" t="s">
        <v>478</v>
      </c>
      <c r="C361" s="255" t="s">
        <v>1422</v>
      </c>
      <c r="D361" s="295">
        <v>2</v>
      </c>
      <c r="E361" s="243">
        <v>1524289</v>
      </c>
      <c r="F361" s="243">
        <f t="shared" si="36"/>
        <v>3048578</v>
      </c>
      <c r="G361" s="9">
        <v>1524289</v>
      </c>
      <c r="H361" s="9">
        <v>3048578</v>
      </c>
      <c r="I361" s="339">
        <f t="shared" si="32"/>
        <v>0</v>
      </c>
      <c r="J361" s="339">
        <f t="shared" si="33"/>
        <v>0</v>
      </c>
      <c r="K361" s="9">
        <f t="shared" si="34"/>
        <v>0</v>
      </c>
    </row>
    <row r="362" spans="1:11" s="9" customFormat="1" ht="35.1" customHeight="1" x14ac:dyDescent="0.25">
      <c r="A362" s="255" t="s">
        <v>479</v>
      </c>
      <c r="B362" s="254" t="s">
        <v>480</v>
      </c>
      <c r="C362" s="255" t="s">
        <v>1422</v>
      </c>
      <c r="D362" s="295">
        <v>1</v>
      </c>
      <c r="E362" s="243">
        <v>5512716</v>
      </c>
      <c r="F362" s="243">
        <f t="shared" si="36"/>
        <v>5512716</v>
      </c>
      <c r="G362" s="9">
        <v>5512716</v>
      </c>
      <c r="H362" s="9">
        <v>5512716</v>
      </c>
      <c r="I362" s="339">
        <f t="shared" si="32"/>
        <v>0</v>
      </c>
      <c r="J362" s="339">
        <f t="shared" si="33"/>
        <v>0</v>
      </c>
      <c r="K362" s="9">
        <f t="shared" si="34"/>
        <v>0</v>
      </c>
    </row>
    <row r="363" spans="1:11" s="9" customFormat="1" ht="35.1" customHeight="1" x14ac:dyDescent="0.25">
      <c r="A363" s="255" t="s">
        <v>481</v>
      </c>
      <c r="B363" s="254" t="s">
        <v>482</v>
      </c>
      <c r="C363" s="255" t="s">
        <v>1422</v>
      </c>
      <c r="D363" s="295">
        <v>1</v>
      </c>
      <c r="E363" s="243">
        <v>440410</v>
      </c>
      <c r="F363" s="243">
        <f t="shared" si="36"/>
        <v>440410</v>
      </c>
      <c r="G363" s="9">
        <v>440410</v>
      </c>
      <c r="H363" s="9">
        <v>440410</v>
      </c>
      <c r="I363" s="339">
        <f t="shared" si="32"/>
        <v>0</v>
      </c>
      <c r="J363" s="339">
        <f t="shared" si="33"/>
        <v>0</v>
      </c>
      <c r="K363" s="9">
        <f t="shared" si="34"/>
        <v>0</v>
      </c>
    </row>
    <row r="364" spans="1:11" s="9" customFormat="1" ht="35.1" customHeight="1" x14ac:dyDescent="0.25">
      <c r="A364" s="255" t="s">
        <v>483</v>
      </c>
      <c r="B364" s="254" t="s">
        <v>484</v>
      </c>
      <c r="C364" s="255" t="s">
        <v>1422</v>
      </c>
      <c r="D364" s="295">
        <v>1</v>
      </c>
      <c r="E364" s="243">
        <v>1584366</v>
      </c>
      <c r="F364" s="243">
        <f t="shared" si="36"/>
        <v>1584366</v>
      </c>
      <c r="G364" s="9">
        <v>1584366</v>
      </c>
      <c r="H364" s="9">
        <v>1584366</v>
      </c>
      <c r="I364" s="339">
        <f t="shared" si="32"/>
        <v>0</v>
      </c>
      <c r="J364" s="339">
        <f t="shared" si="33"/>
        <v>0</v>
      </c>
      <c r="K364" s="9">
        <f t="shared" si="34"/>
        <v>0</v>
      </c>
    </row>
    <row r="365" spans="1:11" s="9" customFormat="1" ht="35.1" customHeight="1" x14ac:dyDescent="0.25">
      <c r="A365" s="255" t="s">
        <v>485</v>
      </c>
      <c r="B365" s="254" t="s">
        <v>486</v>
      </c>
      <c r="C365" s="255" t="s">
        <v>1422</v>
      </c>
      <c r="D365" s="295">
        <v>20</v>
      </c>
      <c r="E365" s="243">
        <v>143318</v>
      </c>
      <c r="F365" s="243">
        <f t="shared" si="36"/>
        <v>2866360</v>
      </c>
      <c r="G365" s="9">
        <v>143318</v>
      </c>
      <c r="H365" s="9">
        <v>2866360</v>
      </c>
      <c r="I365" s="339">
        <f t="shared" si="32"/>
        <v>0</v>
      </c>
      <c r="J365" s="339">
        <f t="shared" si="33"/>
        <v>0</v>
      </c>
      <c r="K365" s="9">
        <f t="shared" si="34"/>
        <v>0</v>
      </c>
    </row>
    <row r="366" spans="1:11" s="9" customFormat="1" ht="35.1" customHeight="1" x14ac:dyDescent="0.25">
      <c r="A366" s="255" t="s">
        <v>487</v>
      </c>
      <c r="B366" s="254" t="s">
        <v>488</v>
      </c>
      <c r="C366" s="255" t="s">
        <v>1422</v>
      </c>
      <c r="D366" s="295">
        <v>3</v>
      </c>
      <c r="E366" s="243">
        <v>288238</v>
      </c>
      <c r="F366" s="243">
        <f t="shared" si="36"/>
        <v>864714</v>
      </c>
      <c r="G366" s="9">
        <v>288238</v>
      </c>
      <c r="H366" s="9">
        <v>864714</v>
      </c>
      <c r="I366" s="339">
        <f t="shared" si="32"/>
        <v>0</v>
      </c>
      <c r="J366" s="339">
        <f t="shared" si="33"/>
        <v>0</v>
      </c>
      <c r="K366" s="9">
        <f t="shared" si="34"/>
        <v>0</v>
      </c>
    </row>
    <row r="367" spans="1:11" s="9" customFormat="1" ht="35.1" customHeight="1" x14ac:dyDescent="0.25">
      <c r="A367" s="255" t="s">
        <v>489</v>
      </c>
      <c r="B367" s="254" t="s">
        <v>490</v>
      </c>
      <c r="C367" s="255" t="s">
        <v>1422</v>
      </c>
      <c r="D367" s="295">
        <v>44</v>
      </c>
      <c r="E367" s="243">
        <v>123260</v>
      </c>
      <c r="F367" s="243">
        <f t="shared" si="36"/>
        <v>5423440</v>
      </c>
      <c r="G367" s="9">
        <v>123260</v>
      </c>
      <c r="H367" s="9">
        <v>5423440</v>
      </c>
      <c r="I367" s="339">
        <f t="shared" si="32"/>
        <v>0</v>
      </c>
      <c r="J367" s="339">
        <f t="shared" si="33"/>
        <v>0</v>
      </c>
      <c r="K367" s="9">
        <f t="shared" si="34"/>
        <v>0</v>
      </c>
    </row>
    <row r="368" spans="1:11" s="9" customFormat="1" ht="35.1" customHeight="1" x14ac:dyDescent="0.25">
      <c r="A368" s="255" t="s">
        <v>491</v>
      </c>
      <c r="B368" s="254" t="s">
        <v>492</v>
      </c>
      <c r="C368" s="255" t="s">
        <v>1422</v>
      </c>
      <c r="D368" s="295">
        <v>37</v>
      </c>
      <c r="E368" s="243">
        <v>129848</v>
      </c>
      <c r="F368" s="243">
        <f t="shared" si="36"/>
        <v>4804376</v>
      </c>
      <c r="G368" s="9">
        <v>129848</v>
      </c>
      <c r="H368" s="9">
        <v>4804376</v>
      </c>
      <c r="I368" s="339">
        <f t="shared" si="32"/>
        <v>0</v>
      </c>
      <c r="J368" s="339">
        <f t="shared" si="33"/>
        <v>0</v>
      </c>
      <c r="K368" s="9">
        <f t="shared" si="34"/>
        <v>0</v>
      </c>
    </row>
    <row r="369" spans="1:11" s="9" customFormat="1" ht="35.1" customHeight="1" x14ac:dyDescent="0.25">
      <c r="A369" s="255" t="s">
        <v>493</v>
      </c>
      <c r="B369" s="254" t="s">
        <v>494</v>
      </c>
      <c r="C369" s="255" t="s">
        <v>1422</v>
      </c>
      <c r="D369" s="295">
        <v>8</v>
      </c>
      <c r="E369" s="243">
        <v>1646911</v>
      </c>
      <c r="F369" s="243">
        <f t="shared" si="36"/>
        <v>13175288</v>
      </c>
      <c r="G369" s="9">
        <v>1646911</v>
      </c>
      <c r="H369" s="9">
        <v>13175288</v>
      </c>
      <c r="I369" s="339">
        <f t="shared" si="32"/>
        <v>0</v>
      </c>
      <c r="J369" s="339">
        <f t="shared" si="33"/>
        <v>0</v>
      </c>
      <c r="K369" s="9">
        <f t="shared" si="34"/>
        <v>0</v>
      </c>
    </row>
    <row r="370" spans="1:11" s="9" customFormat="1" ht="35.1" customHeight="1" x14ac:dyDescent="0.25">
      <c r="A370" s="266">
        <v>14</v>
      </c>
      <c r="B370" s="267" t="s">
        <v>495</v>
      </c>
      <c r="C370" s="267"/>
      <c r="D370" s="316"/>
      <c r="E370" s="306"/>
      <c r="F370" s="268"/>
      <c r="I370" s="339">
        <f t="shared" si="32"/>
        <v>0</v>
      </c>
      <c r="J370" s="339">
        <f t="shared" si="33"/>
        <v>0</v>
      </c>
      <c r="K370" s="9">
        <f t="shared" si="34"/>
        <v>0</v>
      </c>
    </row>
    <row r="371" spans="1:11" s="9" customFormat="1" ht="35.1" customHeight="1" x14ac:dyDescent="0.25">
      <c r="A371" s="283" t="s">
        <v>496</v>
      </c>
      <c r="B371" s="278" t="s">
        <v>497</v>
      </c>
      <c r="C371" s="256"/>
      <c r="D371" s="313"/>
      <c r="E371" s="303"/>
      <c r="F371" s="246"/>
      <c r="I371" s="339">
        <f t="shared" si="32"/>
        <v>0</v>
      </c>
      <c r="J371" s="339">
        <f t="shared" si="33"/>
        <v>0</v>
      </c>
      <c r="K371" s="9">
        <f t="shared" si="34"/>
        <v>0</v>
      </c>
    </row>
    <row r="372" spans="1:11" s="9" customFormat="1" ht="35.1" customHeight="1" x14ac:dyDescent="0.25">
      <c r="A372" s="255" t="s">
        <v>498</v>
      </c>
      <c r="B372" s="87" t="s">
        <v>499</v>
      </c>
      <c r="C372" s="255" t="s">
        <v>16</v>
      </c>
      <c r="D372" s="295">
        <v>210</v>
      </c>
      <c r="E372" s="243">
        <v>85196</v>
      </c>
      <c r="F372" s="243">
        <f t="shared" ref="F372:F387" si="37">ROUND(+E372*D372,2)</f>
        <v>17891160</v>
      </c>
      <c r="G372" s="9">
        <v>85196</v>
      </c>
      <c r="H372" s="9">
        <v>17891160</v>
      </c>
      <c r="I372" s="339">
        <f t="shared" si="32"/>
        <v>0</v>
      </c>
      <c r="J372" s="339">
        <f t="shared" si="33"/>
        <v>0</v>
      </c>
      <c r="K372" s="9">
        <f t="shared" si="34"/>
        <v>0</v>
      </c>
    </row>
    <row r="373" spans="1:11" s="9" customFormat="1" ht="35.1" customHeight="1" x14ac:dyDescent="0.25">
      <c r="A373" s="255" t="s">
        <v>500</v>
      </c>
      <c r="B373" s="87" t="s">
        <v>501</v>
      </c>
      <c r="C373" s="255" t="s">
        <v>16</v>
      </c>
      <c r="D373" s="295">
        <v>112</v>
      </c>
      <c r="E373" s="243">
        <v>77072</v>
      </c>
      <c r="F373" s="243">
        <f t="shared" si="37"/>
        <v>8632064</v>
      </c>
      <c r="G373" s="9">
        <v>77072</v>
      </c>
      <c r="H373" s="9">
        <v>8632064</v>
      </c>
      <c r="I373" s="339">
        <f t="shared" si="32"/>
        <v>0</v>
      </c>
      <c r="J373" s="339">
        <f t="shared" si="33"/>
        <v>0</v>
      </c>
      <c r="K373" s="9">
        <f t="shared" si="34"/>
        <v>0</v>
      </c>
    </row>
    <row r="374" spans="1:11" s="9" customFormat="1" ht="35.1" customHeight="1" x14ac:dyDescent="0.25">
      <c r="A374" s="255" t="s">
        <v>502</v>
      </c>
      <c r="B374" s="254" t="s">
        <v>503</v>
      </c>
      <c r="C374" s="255" t="s">
        <v>16</v>
      </c>
      <c r="D374" s="295">
        <v>166</v>
      </c>
      <c r="E374" s="243">
        <v>72264</v>
      </c>
      <c r="F374" s="243">
        <f t="shared" si="37"/>
        <v>11995824</v>
      </c>
      <c r="G374" s="9">
        <v>72264</v>
      </c>
      <c r="H374" s="9">
        <v>11995824</v>
      </c>
      <c r="I374" s="339">
        <f t="shared" si="32"/>
        <v>0</v>
      </c>
      <c r="J374" s="339">
        <f t="shared" si="33"/>
        <v>0</v>
      </c>
      <c r="K374" s="9">
        <f t="shared" si="34"/>
        <v>0</v>
      </c>
    </row>
    <row r="375" spans="1:11" s="9" customFormat="1" ht="35.1" customHeight="1" x14ac:dyDescent="0.25">
      <c r="A375" s="255" t="s">
        <v>504</v>
      </c>
      <c r="B375" s="254" t="s">
        <v>505</v>
      </c>
      <c r="C375" s="255" t="s">
        <v>16</v>
      </c>
      <c r="D375" s="295">
        <v>69</v>
      </c>
      <c r="E375" s="243">
        <v>72264</v>
      </c>
      <c r="F375" s="243">
        <f t="shared" si="37"/>
        <v>4986216</v>
      </c>
      <c r="G375" s="9">
        <v>72264</v>
      </c>
      <c r="H375" s="9">
        <v>4986216</v>
      </c>
      <c r="I375" s="339">
        <f t="shared" si="32"/>
        <v>0</v>
      </c>
      <c r="J375" s="339">
        <f t="shared" si="33"/>
        <v>0</v>
      </c>
      <c r="K375" s="9">
        <f t="shared" si="34"/>
        <v>0</v>
      </c>
    </row>
    <row r="376" spans="1:11" s="9" customFormat="1" ht="35.1" customHeight="1" x14ac:dyDescent="0.25">
      <c r="A376" s="255" t="s">
        <v>506</v>
      </c>
      <c r="B376" s="254" t="s">
        <v>507</v>
      </c>
      <c r="C376" s="255" t="s">
        <v>16</v>
      </c>
      <c r="D376" s="295">
        <v>252</v>
      </c>
      <c r="E376" s="243">
        <v>72264</v>
      </c>
      <c r="F376" s="243">
        <f t="shared" si="37"/>
        <v>18210528</v>
      </c>
      <c r="G376" s="9">
        <v>72264</v>
      </c>
      <c r="H376" s="9">
        <v>18210528</v>
      </c>
      <c r="I376" s="339">
        <f t="shared" si="32"/>
        <v>0</v>
      </c>
      <c r="J376" s="339">
        <f t="shared" si="33"/>
        <v>0</v>
      </c>
      <c r="K376" s="9">
        <f t="shared" si="34"/>
        <v>0</v>
      </c>
    </row>
    <row r="377" spans="1:11" s="9" customFormat="1" ht="35.1" customHeight="1" x14ac:dyDescent="0.25">
      <c r="A377" s="255" t="s">
        <v>508</v>
      </c>
      <c r="B377" s="254" t="s">
        <v>509</v>
      </c>
      <c r="C377" s="255" t="s">
        <v>16</v>
      </c>
      <c r="D377" s="295">
        <v>8</v>
      </c>
      <c r="E377" s="243">
        <v>69983</v>
      </c>
      <c r="F377" s="243">
        <f t="shared" si="37"/>
        <v>559864</v>
      </c>
      <c r="G377" s="9">
        <v>69983</v>
      </c>
      <c r="H377" s="9">
        <v>559864</v>
      </c>
      <c r="I377" s="339">
        <f t="shared" si="32"/>
        <v>0</v>
      </c>
      <c r="J377" s="339">
        <f t="shared" si="33"/>
        <v>0</v>
      </c>
      <c r="K377" s="9">
        <f t="shared" si="34"/>
        <v>0</v>
      </c>
    </row>
    <row r="378" spans="1:11" s="9" customFormat="1" ht="35.1" customHeight="1" x14ac:dyDescent="0.25">
      <c r="A378" s="255" t="s">
        <v>510</v>
      </c>
      <c r="B378" s="254" t="s">
        <v>511</v>
      </c>
      <c r="C378" s="255" t="s">
        <v>16</v>
      </c>
      <c r="D378" s="295">
        <v>8</v>
      </c>
      <c r="E378" s="243">
        <v>76723</v>
      </c>
      <c r="F378" s="243">
        <f t="shared" si="37"/>
        <v>613784</v>
      </c>
      <c r="G378" s="9">
        <v>76723</v>
      </c>
      <c r="H378" s="9">
        <v>613784</v>
      </c>
      <c r="I378" s="339">
        <f t="shared" si="32"/>
        <v>0</v>
      </c>
      <c r="J378" s="339">
        <f t="shared" si="33"/>
        <v>0</v>
      </c>
      <c r="K378" s="9">
        <f t="shared" si="34"/>
        <v>0</v>
      </c>
    </row>
    <row r="379" spans="1:11" s="9" customFormat="1" ht="35.1" customHeight="1" x14ac:dyDescent="0.25">
      <c r="A379" s="255" t="s">
        <v>512</v>
      </c>
      <c r="B379" s="254" t="s">
        <v>513</v>
      </c>
      <c r="C379" s="255" t="s">
        <v>16</v>
      </c>
      <c r="D379" s="295">
        <v>92</v>
      </c>
      <c r="E379" s="243">
        <v>76723</v>
      </c>
      <c r="F379" s="243">
        <f t="shared" si="37"/>
        <v>7058516</v>
      </c>
      <c r="G379" s="9">
        <v>76723</v>
      </c>
      <c r="H379" s="9">
        <v>7058516</v>
      </c>
      <c r="I379" s="339">
        <f t="shared" si="32"/>
        <v>0</v>
      </c>
      <c r="J379" s="339">
        <f t="shared" si="33"/>
        <v>0</v>
      </c>
      <c r="K379" s="9">
        <f t="shared" si="34"/>
        <v>0</v>
      </c>
    </row>
    <row r="380" spans="1:11" s="9" customFormat="1" ht="35.1" customHeight="1" x14ac:dyDescent="0.25">
      <c r="A380" s="255" t="s">
        <v>514</v>
      </c>
      <c r="B380" s="254" t="s">
        <v>515</v>
      </c>
      <c r="C380" s="255" t="s">
        <v>16</v>
      </c>
      <c r="D380" s="295">
        <v>14</v>
      </c>
      <c r="E380" s="243">
        <v>76723</v>
      </c>
      <c r="F380" s="243">
        <f t="shared" si="37"/>
        <v>1074122</v>
      </c>
      <c r="G380" s="9">
        <v>76723</v>
      </c>
      <c r="H380" s="9">
        <v>1074122</v>
      </c>
      <c r="I380" s="339">
        <f t="shared" si="32"/>
        <v>0</v>
      </c>
      <c r="J380" s="339">
        <f t="shared" si="33"/>
        <v>0</v>
      </c>
      <c r="K380" s="9">
        <f t="shared" si="34"/>
        <v>0</v>
      </c>
    </row>
    <row r="381" spans="1:11" s="9" customFormat="1" ht="35.1" customHeight="1" x14ac:dyDescent="0.25">
      <c r="A381" s="255" t="s">
        <v>516</v>
      </c>
      <c r="B381" s="87" t="s">
        <v>517</v>
      </c>
      <c r="C381" s="255" t="s">
        <v>16</v>
      </c>
      <c r="D381" s="295">
        <v>58</v>
      </c>
      <c r="E381" s="243">
        <v>82051</v>
      </c>
      <c r="F381" s="243">
        <f t="shared" si="37"/>
        <v>4758958</v>
      </c>
      <c r="G381" s="9">
        <v>82051</v>
      </c>
      <c r="H381" s="9">
        <v>4758958</v>
      </c>
      <c r="I381" s="339">
        <f t="shared" si="32"/>
        <v>0</v>
      </c>
      <c r="J381" s="339">
        <f t="shared" si="33"/>
        <v>0</v>
      </c>
      <c r="K381" s="9">
        <f t="shared" si="34"/>
        <v>0</v>
      </c>
    </row>
    <row r="382" spans="1:11" s="9" customFormat="1" ht="35.1" customHeight="1" x14ac:dyDescent="0.25">
      <c r="A382" s="255" t="s">
        <v>518</v>
      </c>
      <c r="B382" s="87" t="s">
        <v>519</v>
      </c>
      <c r="C382" s="255" t="s">
        <v>16</v>
      </c>
      <c r="D382" s="295">
        <v>24</v>
      </c>
      <c r="E382" s="243">
        <v>88968</v>
      </c>
      <c r="F382" s="243">
        <f t="shared" si="37"/>
        <v>2135232</v>
      </c>
      <c r="G382" s="9">
        <v>88968</v>
      </c>
      <c r="H382" s="9">
        <v>2135232</v>
      </c>
      <c r="I382" s="339">
        <f t="shared" si="32"/>
        <v>0</v>
      </c>
      <c r="J382" s="339">
        <f t="shared" si="33"/>
        <v>0</v>
      </c>
      <c r="K382" s="9">
        <f t="shared" si="34"/>
        <v>0</v>
      </c>
    </row>
    <row r="383" spans="1:11" s="9" customFormat="1" ht="35.1" customHeight="1" x14ac:dyDescent="0.25">
      <c r="A383" s="255" t="s">
        <v>520</v>
      </c>
      <c r="B383" s="87" t="s">
        <v>521</v>
      </c>
      <c r="C383" s="255" t="s">
        <v>16</v>
      </c>
      <c r="D383" s="295">
        <v>8</v>
      </c>
      <c r="E383" s="243">
        <v>90830</v>
      </c>
      <c r="F383" s="243">
        <f t="shared" si="37"/>
        <v>726640</v>
      </c>
      <c r="G383" s="9">
        <v>90830</v>
      </c>
      <c r="H383" s="9">
        <v>726640</v>
      </c>
      <c r="I383" s="339">
        <f t="shared" si="32"/>
        <v>0</v>
      </c>
      <c r="J383" s="339">
        <f t="shared" si="33"/>
        <v>0</v>
      </c>
      <c r="K383" s="9">
        <f t="shared" si="34"/>
        <v>0</v>
      </c>
    </row>
    <row r="384" spans="1:11" s="9" customFormat="1" ht="35.1" customHeight="1" x14ac:dyDescent="0.25">
      <c r="A384" s="255" t="s">
        <v>522</v>
      </c>
      <c r="B384" s="87" t="s">
        <v>523</v>
      </c>
      <c r="C384" s="255" t="s">
        <v>16</v>
      </c>
      <c r="D384" s="295">
        <v>6</v>
      </c>
      <c r="E384" s="243">
        <v>99247</v>
      </c>
      <c r="F384" s="243">
        <f t="shared" si="37"/>
        <v>595482</v>
      </c>
      <c r="G384" s="9">
        <v>99247</v>
      </c>
      <c r="H384" s="9">
        <v>595482</v>
      </c>
      <c r="I384" s="339">
        <f t="shared" si="32"/>
        <v>0</v>
      </c>
      <c r="J384" s="339">
        <f t="shared" si="33"/>
        <v>0</v>
      </c>
      <c r="K384" s="9">
        <f t="shared" si="34"/>
        <v>0</v>
      </c>
    </row>
    <row r="385" spans="1:11" s="9" customFormat="1" ht="35.1" customHeight="1" x14ac:dyDescent="0.25">
      <c r="A385" s="255" t="s">
        <v>524</v>
      </c>
      <c r="B385" s="254" t="s">
        <v>525</v>
      </c>
      <c r="C385" s="255" t="s">
        <v>16</v>
      </c>
      <c r="D385" s="295">
        <v>17</v>
      </c>
      <c r="E385" s="243">
        <v>93144</v>
      </c>
      <c r="F385" s="243">
        <f t="shared" si="37"/>
        <v>1583448</v>
      </c>
      <c r="G385" s="9">
        <v>93144</v>
      </c>
      <c r="H385" s="9">
        <v>1583448</v>
      </c>
      <c r="I385" s="339">
        <f t="shared" si="32"/>
        <v>0</v>
      </c>
      <c r="J385" s="339">
        <f t="shared" si="33"/>
        <v>0</v>
      </c>
      <c r="K385" s="9">
        <f t="shared" si="34"/>
        <v>0</v>
      </c>
    </row>
    <row r="386" spans="1:11" s="9" customFormat="1" ht="35.1" customHeight="1" x14ac:dyDescent="0.25">
      <c r="A386" s="255" t="s">
        <v>526</v>
      </c>
      <c r="B386" s="254" t="s">
        <v>527</v>
      </c>
      <c r="C386" s="255" t="s">
        <v>16</v>
      </c>
      <c r="D386" s="295">
        <v>5</v>
      </c>
      <c r="E386" s="243">
        <v>105026</v>
      </c>
      <c r="F386" s="243">
        <f t="shared" si="37"/>
        <v>525130</v>
      </c>
      <c r="G386" s="9">
        <v>105026</v>
      </c>
      <c r="H386" s="9">
        <v>525130</v>
      </c>
      <c r="I386" s="339">
        <f t="shared" si="32"/>
        <v>0</v>
      </c>
      <c r="J386" s="339">
        <f t="shared" si="33"/>
        <v>0</v>
      </c>
      <c r="K386" s="9">
        <f t="shared" si="34"/>
        <v>0</v>
      </c>
    </row>
    <row r="387" spans="1:11" s="9" customFormat="1" ht="35.1" customHeight="1" x14ac:dyDescent="0.25">
      <c r="A387" s="255" t="s">
        <v>528</v>
      </c>
      <c r="B387" s="254" t="s">
        <v>529</v>
      </c>
      <c r="C387" s="255" t="s">
        <v>269</v>
      </c>
      <c r="D387" s="295">
        <v>650</v>
      </c>
      <c r="E387" s="243">
        <v>1748</v>
      </c>
      <c r="F387" s="243">
        <f t="shared" si="37"/>
        <v>1136200</v>
      </c>
      <c r="G387" s="9">
        <v>1748</v>
      </c>
      <c r="H387" s="9">
        <v>1136200</v>
      </c>
      <c r="I387" s="339">
        <f t="shared" si="32"/>
        <v>0</v>
      </c>
      <c r="J387" s="339">
        <f t="shared" si="33"/>
        <v>0</v>
      </c>
      <c r="K387" s="9">
        <f t="shared" si="34"/>
        <v>0</v>
      </c>
    </row>
    <row r="388" spans="1:11" s="9" customFormat="1" ht="35.1" customHeight="1" x14ac:dyDescent="0.25">
      <c r="A388" s="283" t="s">
        <v>530</v>
      </c>
      <c r="B388" s="256" t="s">
        <v>531</v>
      </c>
      <c r="C388" s="256"/>
      <c r="D388" s="313"/>
      <c r="E388" s="303"/>
      <c r="F388" s="246"/>
      <c r="I388" s="339">
        <f t="shared" si="32"/>
        <v>0</v>
      </c>
      <c r="J388" s="339">
        <f t="shared" si="33"/>
        <v>0</v>
      </c>
      <c r="K388" s="9">
        <f t="shared" si="34"/>
        <v>0</v>
      </c>
    </row>
    <row r="389" spans="1:11" s="9" customFormat="1" ht="35.1" customHeight="1" x14ac:dyDescent="0.25">
      <c r="A389" s="255" t="s">
        <v>532</v>
      </c>
      <c r="B389" s="254" t="s">
        <v>533</v>
      </c>
      <c r="C389" s="255" t="s">
        <v>1422</v>
      </c>
      <c r="D389" s="295">
        <v>361</v>
      </c>
      <c r="E389" s="243">
        <v>84631</v>
      </c>
      <c r="F389" s="243">
        <f>ROUND(+E389*D389,2)</f>
        <v>30551791</v>
      </c>
      <c r="G389" s="9">
        <v>84631</v>
      </c>
      <c r="H389" s="9">
        <v>30551791</v>
      </c>
      <c r="I389" s="339">
        <f t="shared" ref="I389:I452" si="38">+E389-G389</f>
        <v>0</v>
      </c>
      <c r="J389" s="339">
        <f t="shared" ref="J389:J452" si="39">+H389-F389</f>
        <v>0</v>
      </c>
      <c r="K389" s="9">
        <f t="shared" ref="K389:K452" si="40">IF(J389&gt;0,1,0)</f>
        <v>0</v>
      </c>
    </row>
    <row r="390" spans="1:11" s="9" customFormat="1" ht="35.1" customHeight="1" x14ac:dyDescent="0.25">
      <c r="A390" s="255" t="s">
        <v>534</v>
      </c>
      <c r="B390" s="254" t="s">
        <v>535</v>
      </c>
      <c r="C390" s="255" t="s">
        <v>1422</v>
      </c>
      <c r="D390" s="295">
        <v>7</v>
      </c>
      <c r="E390" s="243">
        <v>114408</v>
      </c>
      <c r="F390" s="243">
        <f>ROUND(+E390*D390,2)</f>
        <v>800856</v>
      </c>
      <c r="G390" s="9">
        <v>114408</v>
      </c>
      <c r="H390" s="9">
        <v>800856</v>
      </c>
      <c r="I390" s="339">
        <f t="shared" si="38"/>
        <v>0</v>
      </c>
      <c r="J390" s="339">
        <f t="shared" si="39"/>
        <v>0</v>
      </c>
      <c r="K390" s="9">
        <f t="shared" si="40"/>
        <v>0</v>
      </c>
    </row>
    <row r="391" spans="1:11" s="9" customFormat="1" ht="35.1" customHeight="1" x14ac:dyDescent="0.25">
      <c r="A391" s="255" t="s">
        <v>536</v>
      </c>
      <c r="B391" s="254" t="s">
        <v>537</v>
      </c>
      <c r="C391" s="255" t="s">
        <v>1422</v>
      </c>
      <c r="D391" s="295">
        <v>25</v>
      </c>
      <c r="E391" s="243">
        <v>85646</v>
      </c>
      <c r="F391" s="243">
        <f>ROUND(+E391*D391,2)</f>
        <v>2141150</v>
      </c>
      <c r="G391" s="9">
        <v>85646</v>
      </c>
      <c r="H391" s="9">
        <v>2141150</v>
      </c>
      <c r="I391" s="339">
        <f t="shared" si="38"/>
        <v>0</v>
      </c>
      <c r="J391" s="339">
        <f t="shared" si="39"/>
        <v>0</v>
      </c>
      <c r="K391" s="9">
        <f t="shared" si="40"/>
        <v>0</v>
      </c>
    </row>
    <row r="392" spans="1:11" s="9" customFormat="1" ht="35.1" customHeight="1" x14ac:dyDescent="0.25">
      <c r="A392" s="255" t="s">
        <v>538</v>
      </c>
      <c r="B392" s="87" t="s">
        <v>539</v>
      </c>
      <c r="C392" s="255" t="s">
        <v>1422</v>
      </c>
      <c r="D392" s="295">
        <v>4</v>
      </c>
      <c r="E392" s="243">
        <v>103776</v>
      </c>
      <c r="F392" s="243">
        <f>ROUND(+E392*D392,2)</f>
        <v>415104</v>
      </c>
      <c r="G392" s="9">
        <v>103776</v>
      </c>
      <c r="H392" s="9">
        <v>415104</v>
      </c>
      <c r="I392" s="339">
        <f t="shared" si="38"/>
        <v>0</v>
      </c>
      <c r="J392" s="339">
        <f t="shared" si="39"/>
        <v>0</v>
      </c>
      <c r="K392" s="9">
        <f t="shared" si="40"/>
        <v>0</v>
      </c>
    </row>
    <row r="393" spans="1:11" s="9" customFormat="1" ht="35.1" customHeight="1" x14ac:dyDescent="0.25">
      <c r="A393" s="255" t="s">
        <v>540</v>
      </c>
      <c r="B393" s="254" t="s">
        <v>541</v>
      </c>
      <c r="C393" s="255" t="s">
        <v>269</v>
      </c>
      <c r="D393" s="295">
        <v>1350</v>
      </c>
      <c r="E393" s="243">
        <v>1748</v>
      </c>
      <c r="F393" s="243">
        <f>ROUND(+E393*D393,2)</f>
        <v>2359800</v>
      </c>
      <c r="G393" s="9">
        <v>1748</v>
      </c>
      <c r="H393" s="9">
        <v>2359800</v>
      </c>
      <c r="I393" s="339">
        <f t="shared" si="38"/>
        <v>0</v>
      </c>
      <c r="J393" s="339">
        <f t="shared" si="39"/>
        <v>0</v>
      </c>
      <c r="K393" s="9">
        <f t="shared" si="40"/>
        <v>0</v>
      </c>
    </row>
    <row r="394" spans="1:11" s="9" customFormat="1" ht="35.1" customHeight="1" x14ac:dyDescent="0.25">
      <c r="A394" s="283" t="s">
        <v>542</v>
      </c>
      <c r="B394" s="256" t="s">
        <v>543</v>
      </c>
      <c r="C394" s="256"/>
      <c r="D394" s="313"/>
      <c r="E394" s="303"/>
      <c r="F394" s="246"/>
      <c r="I394" s="339">
        <f t="shared" si="38"/>
        <v>0</v>
      </c>
      <c r="J394" s="339">
        <f t="shared" si="39"/>
        <v>0</v>
      </c>
      <c r="K394" s="9">
        <f t="shared" si="40"/>
        <v>0</v>
      </c>
    </row>
    <row r="395" spans="1:11" s="9" customFormat="1" ht="35.1" customHeight="1" x14ac:dyDescent="0.25">
      <c r="A395" s="255" t="s">
        <v>544</v>
      </c>
      <c r="B395" s="87" t="s">
        <v>545</v>
      </c>
      <c r="C395" s="255" t="s">
        <v>16</v>
      </c>
      <c r="D395" s="295">
        <v>54</v>
      </c>
      <c r="E395" s="243">
        <v>125189</v>
      </c>
      <c r="F395" s="243">
        <f>ROUND(+E395*D395,2)</f>
        <v>6760206</v>
      </c>
      <c r="G395" s="9">
        <v>125189</v>
      </c>
      <c r="H395" s="9">
        <v>6760206</v>
      </c>
      <c r="I395" s="339">
        <f t="shared" si="38"/>
        <v>0</v>
      </c>
      <c r="J395" s="339">
        <f t="shared" si="39"/>
        <v>0</v>
      </c>
      <c r="K395" s="9">
        <f t="shared" si="40"/>
        <v>0</v>
      </c>
    </row>
    <row r="396" spans="1:11" s="9" customFormat="1" ht="35.1" customHeight="1" x14ac:dyDescent="0.25">
      <c r="A396" s="255" t="s">
        <v>546</v>
      </c>
      <c r="B396" s="87" t="s">
        <v>547</v>
      </c>
      <c r="C396" s="255" t="s">
        <v>16</v>
      </c>
      <c r="D396" s="295">
        <v>109</v>
      </c>
      <c r="E396" s="243">
        <v>115393</v>
      </c>
      <c r="F396" s="243">
        <f>ROUND(+E396*D396,2)</f>
        <v>12577837</v>
      </c>
      <c r="G396" s="9">
        <v>115393</v>
      </c>
      <c r="H396" s="9">
        <v>12577837</v>
      </c>
      <c r="I396" s="339">
        <f t="shared" si="38"/>
        <v>0</v>
      </c>
      <c r="J396" s="339">
        <f t="shared" si="39"/>
        <v>0</v>
      </c>
      <c r="K396" s="9">
        <f t="shared" si="40"/>
        <v>0</v>
      </c>
    </row>
    <row r="397" spans="1:11" s="9" customFormat="1" ht="35.1" customHeight="1" x14ac:dyDescent="0.25">
      <c r="A397" s="255" t="s">
        <v>548</v>
      </c>
      <c r="B397" s="87" t="s">
        <v>549</v>
      </c>
      <c r="C397" s="255" t="s">
        <v>269</v>
      </c>
      <c r="D397" s="295">
        <v>50</v>
      </c>
      <c r="E397" s="243">
        <v>11721</v>
      </c>
      <c r="F397" s="243">
        <f>ROUND(+E397*D397,2)</f>
        <v>586050</v>
      </c>
      <c r="G397" s="9">
        <v>11721</v>
      </c>
      <c r="H397" s="9">
        <v>586050</v>
      </c>
      <c r="I397" s="339">
        <f t="shared" si="38"/>
        <v>0</v>
      </c>
      <c r="J397" s="339">
        <f t="shared" si="39"/>
        <v>0</v>
      </c>
      <c r="K397" s="9">
        <f t="shared" si="40"/>
        <v>0</v>
      </c>
    </row>
    <row r="398" spans="1:11" s="9" customFormat="1" ht="35.1" customHeight="1" x14ac:dyDescent="0.25">
      <c r="A398" s="255" t="s">
        <v>550</v>
      </c>
      <c r="B398" s="87" t="s">
        <v>551</v>
      </c>
      <c r="C398" s="255" t="s">
        <v>269</v>
      </c>
      <c r="D398" s="295">
        <v>2050</v>
      </c>
      <c r="E398" s="243">
        <v>1748</v>
      </c>
      <c r="F398" s="243">
        <f>ROUND(+E398*D398,2)</f>
        <v>3583400</v>
      </c>
      <c r="G398" s="9">
        <v>1748</v>
      </c>
      <c r="H398" s="9">
        <v>3583400</v>
      </c>
      <c r="I398" s="339">
        <f t="shared" si="38"/>
        <v>0</v>
      </c>
      <c r="J398" s="339">
        <f t="shared" si="39"/>
        <v>0</v>
      </c>
      <c r="K398" s="9">
        <f t="shared" si="40"/>
        <v>0</v>
      </c>
    </row>
    <row r="399" spans="1:11" s="9" customFormat="1" ht="35.1" customHeight="1" x14ac:dyDescent="0.25">
      <c r="A399" s="266">
        <v>15</v>
      </c>
      <c r="B399" s="267" t="s">
        <v>552</v>
      </c>
      <c r="C399" s="267"/>
      <c r="D399" s="316"/>
      <c r="E399" s="306"/>
      <c r="F399" s="268"/>
      <c r="I399" s="339">
        <f t="shared" si="38"/>
        <v>0</v>
      </c>
      <c r="J399" s="339">
        <f t="shared" si="39"/>
        <v>0</v>
      </c>
      <c r="K399" s="9">
        <f t="shared" si="40"/>
        <v>0</v>
      </c>
    </row>
    <row r="400" spans="1:11" s="9" customFormat="1" ht="35.1" customHeight="1" x14ac:dyDescent="0.25">
      <c r="A400" s="289" t="s">
        <v>553</v>
      </c>
      <c r="B400" s="256" t="s">
        <v>554</v>
      </c>
      <c r="C400" s="256"/>
      <c r="D400" s="313"/>
      <c r="E400" s="303"/>
      <c r="F400" s="246"/>
      <c r="I400" s="339">
        <f t="shared" si="38"/>
        <v>0</v>
      </c>
      <c r="J400" s="339">
        <f t="shared" si="39"/>
        <v>0</v>
      </c>
      <c r="K400" s="9">
        <f t="shared" si="40"/>
        <v>0</v>
      </c>
    </row>
    <row r="401" spans="1:11" s="9" customFormat="1" ht="35.1" customHeight="1" x14ac:dyDescent="0.25">
      <c r="A401" s="255" t="s">
        <v>555</v>
      </c>
      <c r="B401" s="87" t="s">
        <v>556</v>
      </c>
      <c r="C401" s="255" t="s">
        <v>269</v>
      </c>
      <c r="D401" s="295">
        <v>266</v>
      </c>
      <c r="E401" s="243">
        <v>107979</v>
      </c>
      <c r="F401" s="243">
        <f t="shared" ref="F401:F406" si="41">ROUND(+E401*D401,2)</f>
        <v>28722414</v>
      </c>
      <c r="G401" s="9">
        <v>107979</v>
      </c>
      <c r="H401" s="9">
        <v>28722414</v>
      </c>
      <c r="I401" s="339">
        <f t="shared" si="38"/>
        <v>0</v>
      </c>
      <c r="J401" s="339">
        <f t="shared" si="39"/>
        <v>0</v>
      </c>
      <c r="K401" s="9">
        <f t="shared" si="40"/>
        <v>0</v>
      </c>
    </row>
    <row r="402" spans="1:11" s="9" customFormat="1" ht="35.1" customHeight="1" x14ac:dyDescent="0.25">
      <c r="A402" s="255" t="s">
        <v>557</v>
      </c>
      <c r="B402" s="254" t="s">
        <v>558</v>
      </c>
      <c r="C402" s="255" t="s">
        <v>1422</v>
      </c>
      <c r="D402" s="295">
        <v>11</v>
      </c>
      <c r="E402" s="243">
        <v>138654</v>
      </c>
      <c r="F402" s="243">
        <f t="shared" si="41"/>
        <v>1525194</v>
      </c>
      <c r="G402" s="9">
        <v>138654</v>
      </c>
      <c r="H402" s="9">
        <v>1525194</v>
      </c>
      <c r="I402" s="339">
        <f t="shared" si="38"/>
        <v>0</v>
      </c>
      <c r="J402" s="339">
        <f t="shared" si="39"/>
        <v>0</v>
      </c>
      <c r="K402" s="9">
        <f t="shared" si="40"/>
        <v>0</v>
      </c>
    </row>
    <row r="403" spans="1:11" s="9" customFormat="1" ht="35.1" customHeight="1" x14ac:dyDescent="0.25">
      <c r="A403" s="255" t="s">
        <v>559</v>
      </c>
      <c r="B403" s="254" t="s">
        <v>560</v>
      </c>
      <c r="C403" s="255" t="s">
        <v>1422</v>
      </c>
      <c r="D403" s="295">
        <v>125</v>
      </c>
      <c r="E403" s="243">
        <v>30752</v>
      </c>
      <c r="F403" s="243">
        <f t="shared" si="41"/>
        <v>3844000</v>
      </c>
      <c r="G403" s="9">
        <v>30752</v>
      </c>
      <c r="H403" s="9">
        <v>3844000</v>
      </c>
      <c r="I403" s="339">
        <f t="shared" si="38"/>
        <v>0</v>
      </c>
      <c r="J403" s="339">
        <f t="shared" si="39"/>
        <v>0</v>
      </c>
      <c r="K403" s="9">
        <f t="shared" si="40"/>
        <v>0</v>
      </c>
    </row>
    <row r="404" spans="1:11" s="9" customFormat="1" ht="35.1" customHeight="1" x14ac:dyDescent="0.25">
      <c r="A404" s="255" t="s">
        <v>561</v>
      </c>
      <c r="B404" s="87" t="s">
        <v>562</v>
      </c>
      <c r="C404" s="255" t="s">
        <v>269</v>
      </c>
      <c r="D404" s="295">
        <v>92</v>
      </c>
      <c r="E404" s="243">
        <v>201005</v>
      </c>
      <c r="F404" s="243">
        <f t="shared" si="41"/>
        <v>18492460</v>
      </c>
      <c r="G404" s="9">
        <v>201005</v>
      </c>
      <c r="H404" s="9">
        <v>18492460</v>
      </c>
      <c r="I404" s="339">
        <f t="shared" si="38"/>
        <v>0</v>
      </c>
      <c r="J404" s="339">
        <f t="shared" si="39"/>
        <v>0</v>
      </c>
      <c r="K404" s="9">
        <f t="shared" si="40"/>
        <v>0</v>
      </c>
    </row>
    <row r="405" spans="1:11" s="9" customFormat="1" ht="35.1" customHeight="1" x14ac:dyDescent="0.25">
      <c r="A405" s="255" t="s">
        <v>563</v>
      </c>
      <c r="B405" s="254" t="s">
        <v>564</v>
      </c>
      <c r="C405" s="255" t="s">
        <v>1422</v>
      </c>
      <c r="D405" s="295">
        <v>3</v>
      </c>
      <c r="E405" s="243">
        <v>166382</v>
      </c>
      <c r="F405" s="243">
        <f t="shared" si="41"/>
        <v>499146</v>
      </c>
      <c r="G405" s="9">
        <v>166382</v>
      </c>
      <c r="H405" s="9">
        <v>499146</v>
      </c>
      <c r="I405" s="339">
        <f t="shared" si="38"/>
        <v>0</v>
      </c>
      <c r="J405" s="339">
        <f t="shared" si="39"/>
        <v>0</v>
      </c>
      <c r="K405" s="9">
        <f t="shared" si="40"/>
        <v>0</v>
      </c>
    </row>
    <row r="406" spans="1:11" s="9" customFormat="1" ht="35.1" customHeight="1" x14ac:dyDescent="0.25">
      <c r="A406" s="255" t="s">
        <v>565</v>
      </c>
      <c r="B406" s="254" t="s">
        <v>566</v>
      </c>
      <c r="C406" s="255" t="s">
        <v>1422</v>
      </c>
      <c r="D406" s="295">
        <v>46</v>
      </c>
      <c r="E406" s="243">
        <v>30752</v>
      </c>
      <c r="F406" s="243">
        <f t="shared" si="41"/>
        <v>1414592</v>
      </c>
      <c r="G406" s="9">
        <v>30752</v>
      </c>
      <c r="H406" s="9">
        <v>1414592</v>
      </c>
      <c r="I406" s="339">
        <f t="shared" si="38"/>
        <v>0</v>
      </c>
      <c r="J406" s="339">
        <f t="shared" si="39"/>
        <v>0</v>
      </c>
      <c r="K406" s="9">
        <f t="shared" si="40"/>
        <v>0</v>
      </c>
    </row>
    <row r="407" spans="1:11" s="9" customFormat="1" ht="35.1" customHeight="1" x14ac:dyDescent="0.25">
      <c r="A407" s="289" t="s">
        <v>567</v>
      </c>
      <c r="B407" s="256" t="s">
        <v>568</v>
      </c>
      <c r="C407" s="256"/>
      <c r="D407" s="313"/>
      <c r="E407" s="303"/>
      <c r="F407" s="246"/>
      <c r="I407" s="339">
        <f t="shared" si="38"/>
        <v>0</v>
      </c>
      <c r="J407" s="339">
        <f t="shared" si="39"/>
        <v>0</v>
      </c>
      <c r="K407" s="9">
        <f t="shared" si="40"/>
        <v>0</v>
      </c>
    </row>
    <row r="408" spans="1:11" s="9" customFormat="1" ht="35.1" customHeight="1" x14ac:dyDescent="0.25">
      <c r="A408" s="255" t="s">
        <v>569</v>
      </c>
      <c r="B408" s="254" t="s">
        <v>570</v>
      </c>
      <c r="C408" s="255" t="s">
        <v>269</v>
      </c>
      <c r="D408" s="295">
        <v>250</v>
      </c>
      <c r="E408" s="243">
        <v>30603</v>
      </c>
      <c r="F408" s="243">
        <f>ROUND(+E408*D408,2)</f>
        <v>7650750</v>
      </c>
      <c r="G408" s="9">
        <v>30603</v>
      </c>
      <c r="H408" s="9">
        <v>7650750</v>
      </c>
      <c r="I408" s="339">
        <f t="shared" si="38"/>
        <v>0</v>
      </c>
      <c r="J408" s="339">
        <f t="shared" si="39"/>
        <v>0</v>
      </c>
      <c r="K408" s="9">
        <f t="shared" si="40"/>
        <v>0</v>
      </c>
    </row>
    <row r="409" spans="1:11" s="9" customFormat="1" ht="35.1" customHeight="1" x14ac:dyDescent="0.25">
      <c r="A409" s="255" t="s">
        <v>571</v>
      </c>
      <c r="B409" s="254" t="s">
        <v>572</v>
      </c>
      <c r="C409" s="255" t="s">
        <v>16</v>
      </c>
      <c r="D409" s="295">
        <v>109</v>
      </c>
      <c r="E409" s="243">
        <v>23878</v>
      </c>
      <c r="F409" s="243">
        <f>ROUND(+E409*D409,2)</f>
        <v>2602702</v>
      </c>
      <c r="G409" s="9">
        <v>23878</v>
      </c>
      <c r="H409" s="9">
        <v>2602702</v>
      </c>
      <c r="I409" s="339">
        <f t="shared" si="38"/>
        <v>0</v>
      </c>
      <c r="J409" s="339">
        <f t="shared" si="39"/>
        <v>0</v>
      </c>
      <c r="K409" s="9">
        <f t="shared" si="40"/>
        <v>0</v>
      </c>
    </row>
    <row r="410" spans="1:11" s="9" customFormat="1" ht="35.1" customHeight="1" x14ac:dyDescent="0.25">
      <c r="A410" s="289" t="s">
        <v>573</v>
      </c>
      <c r="B410" s="256" t="s">
        <v>574</v>
      </c>
      <c r="C410" s="256"/>
      <c r="D410" s="313"/>
      <c r="E410" s="303"/>
      <c r="F410" s="246"/>
      <c r="I410" s="339">
        <f t="shared" si="38"/>
        <v>0</v>
      </c>
      <c r="J410" s="339">
        <f t="shared" si="39"/>
        <v>0</v>
      </c>
      <c r="K410" s="9">
        <f t="shared" si="40"/>
        <v>0</v>
      </c>
    </row>
    <row r="411" spans="1:11" s="9" customFormat="1" ht="35.1" customHeight="1" x14ac:dyDescent="0.25">
      <c r="A411" s="255" t="s">
        <v>575</v>
      </c>
      <c r="B411" s="254" t="s">
        <v>576</v>
      </c>
      <c r="C411" s="255" t="s">
        <v>16</v>
      </c>
      <c r="D411" s="295">
        <v>1</v>
      </c>
      <c r="E411" s="243">
        <v>73526124</v>
      </c>
      <c r="F411" s="243">
        <f t="shared" ref="F411:F420" si="42">ROUND(+E411*D411,2)</f>
        <v>73526124</v>
      </c>
      <c r="G411" s="9">
        <v>73526124</v>
      </c>
      <c r="H411" s="9">
        <v>73526124</v>
      </c>
      <c r="I411" s="339">
        <f t="shared" si="38"/>
        <v>0</v>
      </c>
      <c r="J411" s="339">
        <f t="shared" si="39"/>
        <v>0</v>
      </c>
      <c r="K411" s="9">
        <f t="shared" si="40"/>
        <v>0</v>
      </c>
    </row>
    <row r="412" spans="1:11" s="9" customFormat="1" ht="35.1" customHeight="1" x14ac:dyDescent="0.25">
      <c r="A412" s="255" t="s">
        <v>577</v>
      </c>
      <c r="B412" s="254" t="s">
        <v>578</v>
      </c>
      <c r="C412" s="255" t="s">
        <v>16</v>
      </c>
      <c r="D412" s="295">
        <v>1</v>
      </c>
      <c r="E412" s="243">
        <v>5443884</v>
      </c>
      <c r="F412" s="243">
        <f t="shared" si="42"/>
        <v>5443884</v>
      </c>
      <c r="G412" s="9">
        <v>5443884</v>
      </c>
      <c r="H412" s="9">
        <v>5443884</v>
      </c>
      <c r="I412" s="339">
        <f t="shared" si="38"/>
        <v>0</v>
      </c>
      <c r="J412" s="339">
        <f t="shared" si="39"/>
        <v>0</v>
      </c>
      <c r="K412" s="9">
        <f t="shared" si="40"/>
        <v>0</v>
      </c>
    </row>
    <row r="413" spans="1:11" s="9" customFormat="1" ht="35.1" customHeight="1" x14ac:dyDescent="0.25">
      <c r="A413" s="255" t="s">
        <v>579</v>
      </c>
      <c r="B413" s="254" t="s">
        <v>580</v>
      </c>
      <c r="C413" s="255" t="s">
        <v>16</v>
      </c>
      <c r="D413" s="295">
        <v>1</v>
      </c>
      <c r="E413" s="243">
        <v>202604</v>
      </c>
      <c r="F413" s="243">
        <f t="shared" si="42"/>
        <v>202604</v>
      </c>
      <c r="G413" s="9">
        <v>202604</v>
      </c>
      <c r="H413" s="9">
        <v>202604</v>
      </c>
      <c r="I413" s="339">
        <f t="shared" si="38"/>
        <v>0</v>
      </c>
      <c r="J413" s="339">
        <f t="shared" si="39"/>
        <v>0</v>
      </c>
      <c r="K413" s="9">
        <f t="shared" si="40"/>
        <v>0</v>
      </c>
    </row>
    <row r="414" spans="1:11" s="9" customFormat="1" ht="35.1" customHeight="1" x14ac:dyDescent="0.25">
      <c r="A414" s="255" t="s">
        <v>581</v>
      </c>
      <c r="B414" s="254" t="s">
        <v>1225</v>
      </c>
      <c r="C414" s="255" t="s">
        <v>16</v>
      </c>
      <c r="D414" s="295">
        <v>1</v>
      </c>
      <c r="E414" s="243">
        <v>165116</v>
      </c>
      <c r="F414" s="243">
        <f t="shared" si="42"/>
        <v>165116</v>
      </c>
      <c r="G414" s="9">
        <v>165116</v>
      </c>
      <c r="H414" s="9">
        <v>165116</v>
      </c>
      <c r="I414" s="339">
        <f t="shared" si="38"/>
        <v>0</v>
      </c>
      <c r="J414" s="339">
        <f t="shared" si="39"/>
        <v>0</v>
      </c>
      <c r="K414" s="9">
        <f t="shared" si="40"/>
        <v>0</v>
      </c>
    </row>
    <row r="415" spans="1:11" s="9" customFormat="1" ht="35.1" customHeight="1" x14ac:dyDescent="0.25">
      <c r="A415" s="255" t="s">
        <v>583</v>
      </c>
      <c r="B415" s="254" t="s">
        <v>584</v>
      </c>
      <c r="C415" s="255" t="s">
        <v>16</v>
      </c>
      <c r="D415" s="295">
        <v>1</v>
      </c>
      <c r="E415" s="243">
        <v>332818</v>
      </c>
      <c r="F415" s="243">
        <f t="shared" si="42"/>
        <v>332818</v>
      </c>
      <c r="G415" s="9">
        <v>332818</v>
      </c>
      <c r="H415" s="9">
        <v>332818</v>
      </c>
      <c r="I415" s="339">
        <f t="shared" si="38"/>
        <v>0</v>
      </c>
      <c r="J415" s="339">
        <f t="shared" si="39"/>
        <v>0</v>
      </c>
      <c r="K415" s="9">
        <f t="shared" si="40"/>
        <v>0</v>
      </c>
    </row>
    <row r="416" spans="1:11" s="9" customFormat="1" ht="35.1" customHeight="1" x14ac:dyDescent="0.25">
      <c r="A416" s="255" t="s">
        <v>585</v>
      </c>
      <c r="B416" s="254" t="s">
        <v>586</v>
      </c>
      <c r="C416" s="255" t="s">
        <v>16</v>
      </c>
      <c r="D416" s="295">
        <v>1</v>
      </c>
      <c r="E416" s="243">
        <v>405750</v>
      </c>
      <c r="F416" s="243">
        <f t="shared" si="42"/>
        <v>405750</v>
      </c>
      <c r="G416" s="9">
        <v>405750</v>
      </c>
      <c r="H416" s="9">
        <v>405750</v>
      </c>
      <c r="I416" s="339">
        <f t="shared" si="38"/>
        <v>0</v>
      </c>
      <c r="J416" s="339">
        <f t="shared" si="39"/>
        <v>0</v>
      </c>
      <c r="K416" s="9">
        <f t="shared" si="40"/>
        <v>0</v>
      </c>
    </row>
    <row r="417" spans="1:11" s="9" customFormat="1" ht="35.1" customHeight="1" x14ac:dyDescent="0.25">
      <c r="A417" s="255" t="s">
        <v>587</v>
      </c>
      <c r="B417" s="254" t="s">
        <v>1226</v>
      </c>
      <c r="C417" s="255" t="s">
        <v>16</v>
      </c>
      <c r="D417" s="295">
        <v>1</v>
      </c>
      <c r="E417" s="243">
        <v>297041</v>
      </c>
      <c r="F417" s="243">
        <f t="shared" si="42"/>
        <v>297041</v>
      </c>
      <c r="G417" s="9">
        <v>297041</v>
      </c>
      <c r="H417" s="9">
        <v>297041</v>
      </c>
      <c r="I417" s="339">
        <f t="shared" si="38"/>
        <v>0</v>
      </c>
      <c r="J417" s="339">
        <f t="shared" si="39"/>
        <v>0</v>
      </c>
      <c r="K417" s="9">
        <f t="shared" si="40"/>
        <v>0</v>
      </c>
    </row>
    <row r="418" spans="1:11" s="9" customFormat="1" ht="35.1" customHeight="1" x14ac:dyDescent="0.25">
      <c r="A418" s="255" t="s">
        <v>589</v>
      </c>
      <c r="B418" s="254" t="s">
        <v>590</v>
      </c>
      <c r="C418" s="255" t="s">
        <v>16</v>
      </c>
      <c r="D418" s="295">
        <v>2</v>
      </c>
      <c r="E418" s="243">
        <v>599021</v>
      </c>
      <c r="F418" s="243">
        <f t="shared" si="42"/>
        <v>1198042</v>
      </c>
      <c r="G418" s="9">
        <v>599021</v>
      </c>
      <c r="H418" s="9">
        <v>1198042</v>
      </c>
      <c r="I418" s="339">
        <f t="shared" si="38"/>
        <v>0</v>
      </c>
      <c r="J418" s="339">
        <f t="shared" si="39"/>
        <v>0</v>
      </c>
      <c r="K418" s="9">
        <f t="shared" si="40"/>
        <v>0</v>
      </c>
    </row>
    <row r="419" spans="1:11" s="9" customFormat="1" ht="35.1" customHeight="1" x14ac:dyDescent="0.25">
      <c r="A419" s="255" t="s">
        <v>591</v>
      </c>
      <c r="B419" s="254" t="s">
        <v>1227</v>
      </c>
      <c r="C419" s="255" t="s">
        <v>16</v>
      </c>
      <c r="D419" s="295">
        <v>1</v>
      </c>
      <c r="E419" s="243">
        <v>19225447</v>
      </c>
      <c r="F419" s="243">
        <f t="shared" si="42"/>
        <v>19225447</v>
      </c>
      <c r="G419" s="9">
        <v>19225447</v>
      </c>
      <c r="H419" s="9">
        <v>19225447</v>
      </c>
      <c r="I419" s="339">
        <f t="shared" si="38"/>
        <v>0</v>
      </c>
      <c r="J419" s="339">
        <f t="shared" si="39"/>
        <v>0</v>
      </c>
      <c r="K419" s="9">
        <f t="shared" si="40"/>
        <v>0</v>
      </c>
    </row>
    <row r="420" spans="1:11" s="9" customFormat="1" ht="35.1" customHeight="1" x14ac:dyDescent="0.25">
      <c r="A420" s="255" t="s">
        <v>593</v>
      </c>
      <c r="B420" s="254" t="s">
        <v>594</v>
      </c>
      <c r="C420" s="255" t="s">
        <v>16</v>
      </c>
      <c r="D420" s="295">
        <v>3</v>
      </c>
      <c r="E420" s="243">
        <v>1528030</v>
      </c>
      <c r="F420" s="243">
        <f t="shared" si="42"/>
        <v>4584090</v>
      </c>
      <c r="G420" s="9">
        <v>1528030</v>
      </c>
      <c r="H420" s="9">
        <v>4584090</v>
      </c>
      <c r="I420" s="339">
        <f t="shared" si="38"/>
        <v>0</v>
      </c>
      <c r="J420" s="339">
        <f t="shared" si="39"/>
        <v>0</v>
      </c>
      <c r="K420" s="9">
        <f t="shared" si="40"/>
        <v>0</v>
      </c>
    </row>
    <row r="421" spans="1:11" s="9" customFormat="1" ht="35.1" customHeight="1" x14ac:dyDescent="0.25">
      <c r="A421" s="289" t="s">
        <v>595</v>
      </c>
      <c r="B421" s="256" t="s">
        <v>596</v>
      </c>
      <c r="C421" s="256"/>
      <c r="D421" s="313"/>
      <c r="E421" s="303"/>
      <c r="F421" s="246"/>
      <c r="I421" s="339">
        <f t="shared" si="38"/>
        <v>0</v>
      </c>
      <c r="J421" s="339">
        <f t="shared" si="39"/>
        <v>0</v>
      </c>
      <c r="K421" s="9">
        <f t="shared" si="40"/>
        <v>0</v>
      </c>
    </row>
    <row r="422" spans="1:11" s="9" customFormat="1" ht="35.1" customHeight="1" x14ac:dyDescent="0.25">
      <c r="A422" s="255" t="s">
        <v>597</v>
      </c>
      <c r="B422" s="254" t="s">
        <v>598</v>
      </c>
      <c r="C422" s="255" t="s">
        <v>269</v>
      </c>
      <c r="D422" s="295">
        <v>20</v>
      </c>
      <c r="E422" s="243">
        <v>322883</v>
      </c>
      <c r="F422" s="243">
        <f>ROUND(+E422*D422,2)</f>
        <v>6457660</v>
      </c>
      <c r="G422" s="9">
        <v>322883</v>
      </c>
      <c r="H422" s="9">
        <v>6457660</v>
      </c>
      <c r="I422" s="339">
        <f t="shared" si="38"/>
        <v>0</v>
      </c>
      <c r="J422" s="339">
        <f t="shared" si="39"/>
        <v>0</v>
      </c>
      <c r="K422" s="9">
        <f t="shared" si="40"/>
        <v>0</v>
      </c>
    </row>
    <row r="423" spans="1:11" s="9" customFormat="1" ht="35.1" customHeight="1" x14ac:dyDescent="0.25">
      <c r="A423" s="255" t="s">
        <v>599</v>
      </c>
      <c r="B423" s="254" t="s">
        <v>1228</v>
      </c>
      <c r="C423" s="255" t="s">
        <v>269</v>
      </c>
      <c r="D423" s="295">
        <v>6</v>
      </c>
      <c r="E423" s="243">
        <v>1191705</v>
      </c>
      <c r="F423" s="243">
        <f>ROUND(+E423*D423,2)</f>
        <v>7150230</v>
      </c>
      <c r="G423" s="9">
        <v>1191705</v>
      </c>
      <c r="H423" s="9">
        <v>7150230</v>
      </c>
      <c r="I423" s="339">
        <f t="shared" si="38"/>
        <v>0</v>
      </c>
      <c r="J423" s="339">
        <f t="shared" si="39"/>
        <v>0</v>
      </c>
      <c r="K423" s="9">
        <f t="shared" si="40"/>
        <v>0</v>
      </c>
    </row>
    <row r="424" spans="1:11" s="9" customFormat="1" ht="35.1" customHeight="1" x14ac:dyDescent="0.25">
      <c r="A424" s="255" t="s">
        <v>601</v>
      </c>
      <c r="B424" s="254" t="s">
        <v>1229</v>
      </c>
      <c r="C424" s="255" t="s">
        <v>269</v>
      </c>
      <c r="D424" s="295">
        <v>5</v>
      </c>
      <c r="E424" s="243">
        <v>1253733</v>
      </c>
      <c r="F424" s="243">
        <f>ROUND(+E424*D424,2)</f>
        <v>6268665</v>
      </c>
      <c r="G424" s="9">
        <v>1253733</v>
      </c>
      <c r="H424" s="9">
        <v>6268665</v>
      </c>
      <c r="I424" s="339">
        <f t="shared" si="38"/>
        <v>0</v>
      </c>
      <c r="J424" s="339">
        <f t="shared" si="39"/>
        <v>0</v>
      </c>
      <c r="K424" s="9">
        <f t="shared" si="40"/>
        <v>0</v>
      </c>
    </row>
    <row r="425" spans="1:11" s="9" customFormat="1" ht="35.1" customHeight="1" x14ac:dyDescent="0.25">
      <c r="A425" s="289" t="s">
        <v>603</v>
      </c>
      <c r="B425" s="256" t="s">
        <v>596</v>
      </c>
      <c r="C425" s="256"/>
      <c r="D425" s="313"/>
      <c r="E425" s="303"/>
      <c r="F425" s="246"/>
      <c r="I425" s="339">
        <f t="shared" si="38"/>
        <v>0</v>
      </c>
      <c r="J425" s="339">
        <f t="shared" si="39"/>
        <v>0</v>
      </c>
      <c r="K425" s="9">
        <f t="shared" si="40"/>
        <v>0</v>
      </c>
    </row>
    <row r="426" spans="1:11" s="9" customFormat="1" ht="35.1" customHeight="1" x14ac:dyDescent="0.25">
      <c r="A426" s="255" t="s">
        <v>604</v>
      </c>
      <c r="B426" s="254" t="s">
        <v>605</v>
      </c>
      <c r="C426" s="255" t="s">
        <v>269</v>
      </c>
      <c r="D426" s="295">
        <v>8</v>
      </c>
      <c r="E426" s="243">
        <v>195760</v>
      </c>
      <c r="F426" s="243">
        <f t="shared" ref="F426:F441" si="43">ROUND(+E426*D426,2)</f>
        <v>1566080</v>
      </c>
      <c r="G426" s="9">
        <v>195760</v>
      </c>
      <c r="H426" s="9">
        <v>1566080</v>
      </c>
      <c r="I426" s="339">
        <f t="shared" si="38"/>
        <v>0</v>
      </c>
      <c r="J426" s="339">
        <f t="shared" si="39"/>
        <v>0</v>
      </c>
      <c r="K426" s="9">
        <f t="shared" si="40"/>
        <v>0</v>
      </c>
    </row>
    <row r="427" spans="1:11" s="9" customFormat="1" ht="35.1" customHeight="1" x14ac:dyDescent="0.25">
      <c r="A427" s="255" t="s">
        <v>606</v>
      </c>
      <c r="B427" s="254" t="s">
        <v>607</v>
      </c>
      <c r="C427" s="255" t="s">
        <v>269</v>
      </c>
      <c r="D427" s="295">
        <v>52</v>
      </c>
      <c r="E427" s="243">
        <v>62878</v>
      </c>
      <c r="F427" s="243">
        <f t="shared" si="43"/>
        <v>3269656</v>
      </c>
      <c r="G427" s="9">
        <v>62878</v>
      </c>
      <c r="H427" s="9">
        <v>3269656</v>
      </c>
      <c r="I427" s="339">
        <f t="shared" si="38"/>
        <v>0</v>
      </c>
      <c r="J427" s="339">
        <f t="shared" si="39"/>
        <v>0</v>
      </c>
      <c r="K427" s="9">
        <f t="shared" si="40"/>
        <v>0</v>
      </c>
    </row>
    <row r="428" spans="1:11" s="9" customFormat="1" ht="35.1" customHeight="1" x14ac:dyDescent="0.25">
      <c r="A428" s="255" t="s">
        <v>608</v>
      </c>
      <c r="B428" s="254" t="s">
        <v>609</v>
      </c>
      <c r="C428" s="255" t="s">
        <v>269</v>
      </c>
      <c r="D428" s="295">
        <v>106</v>
      </c>
      <c r="E428" s="243">
        <v>62878</v>
      </c>
      <c r="F428" s="243">
        <f t="shared" si="43"/>
        <v>6665068</v>
      </c>
      <c r="G428" s="9">
        <v>62878</v>
      </c>
      <c r="H428" s="9">
        <v>6665068</v>
      </c>
      <c r="I428" s="339">
        <f t="shared" si="38"/>
        <v>0</v>
      </c>
      <c r="J428" s="339">
        <f t="shared" si="39"/>
        <v>0</v>
      </c>
      <c r="K428" s="9">
        <f t="shared" si="40"/>
        <v>0</v>
      </c>
    </row>
    <row r="429" spans="1:11" s="9" customFormat="1" ht="35.1" customHeight="1" x14ac:dyDescent="0.25">
      <c r="A429" s="255" t="s">
        <v>610</v>
      </c>
      <c r="B429" s="254" t="s">
        <v>611</v>
      </c>
      <c r="C429" s="255" t="s">
        <v>269</v>
      </c>
      <c r="D429" s="295">
        <v>5</v>
      </c>
      <c r="E429" s="243">
        <v>367601</v>
      </c>
      <c r="F429" s="243">
        <f t="shared" si="43"/>
        <v>1838005</v>
      </c>
      <c r="G429" s="9">
        <v>367601</v>
      </c>
      <c r="H429" s="9">
        <v>1838005</v>
      </c>
      <c r="I429" s="339">
        <f t="shared" si="38"/>
        <v>0</v>
      </c>
      <c r="J429" s="339">
        <f t="shared" si="39"/>
        <v>0</v>
      </c>
      <c r="K429" s="9">
        <f t="shared" si="40"/>
        <v>0</v>
      </c>
    </row>
    <row r="430" spans="1:11" s="9" customFormat="1" ht="35.1" customHeight="1" x14ac:dyDescent="0.25">
      <c r="A430" s="255" t="s">
        <v>612</v>
      </c>
      <c r="B430" s="254" t="s">
        <v>613</v>
      </c>
      <c r="C430" s="255" t="s">
        <v>269</v>
      </c>
      <c r="D430" s="295">
        <v>6</v>
      </c>
      <c r="E430" s="243">
        <v>62878</v>
      </c>
      <c r="F430" s="243">
        <f t="shared" si="43"/>
        <v>377268</v>
      </c>
      <c r="G430" s="9">
        <v>62878</v>
      </c>
      <c r="H430" s="9">
        <v>377268</v>
      </c>
      <c r="I430" s="339">
        <f t="shared" si="38"/>
        <v>0</v>
      </c>
      <c r="J430" s="339">
        <f t="shared" si="39"/>
        <v>0</v>
      </c>
      <c r="K430" s="9">
        <f t="shared" si="40"/>
        <v>0</v>
      </c>
    </row>
    <row r="431" spans="1:11" s="9" customFormat="1" ht="35.1" customHeight="1" x14ac:dyDescent="0.25">
      <c r="A431" s="255" t="s">
        <v>614</v>
      </c>
      <c r="B431" s="254" t="s">
        <v>615</v>
      </c>
      <c r="C431" s="255" t="s">
        <v>269</v>
      </c>
      <c r="D431" s="295">
        <v>60</v>
      </c>
      <c r="E431" s="243">
        <v>132053</v>
      </c>
      <c r="F431" s="243">
        <f t="shared" si="43"/>
        <v>7923180</v>
      </c>
      <c r="G431" s="9">
        <v>132053</v>
      </c>
      <c r="H431" s="9">
        <v>7923180</v>
      </c>
      <c r="I431" s="339">
        <f t="shared" si="38"/>
        <v>0</v>
      </c>
      <c r="J431" s="339">
        <f t="shared" si="39"/>
        <v>0</v>
      </c>
      <c r="K431" s="9">
        <f t="shared" si="40"/>
        <v>0</v>
      </c>
    </row>
    <row r="432" spans="1:11" s="9" customFormat="1" ht="35.1" customHeight="1" x14ac:dyDescent="0.25">
      <c r="A432" s="255" t="s">
        <v>616</v>
      </c>
      <c r="B432" s="254" t="s">
        <v>617</v>
      </c>
      <c r="C432" s="255" t="s">
        <v>269</v>
      </c>
      <c r="D432" s="295">
        <v>64</v>
      </c>
      <c r="E432" s="243">
        <v>195436</v>
      </c>
      <c r="F432" s="243">
        <f t="shared" si="43"/>
        <v>12507904</v>
      </c>
      <c r="G432" s="9">
        <v>195436</v>
      </c>
      <c r="H432" s="9">
        <v>12507904</v>
      </c>
      <c r="I432" s="339">
        <f t="shared" si="38"/>
        <v>0</v>
      </c>
      <c r="J432" s="339">
        <f t="shared" si="39"/>
        <v>0</v>
      </c>
      <c r="K432" s="9">
        <f t="shared" si="40"/>
        <v>0</v>
      </c>
    </row>
    <row r="433" spans="1:11" s="9" customFormat="1" ht="35.1" customHeight="1" x14ac:dyDescent="0.25">
      <c r="A433" s="255" t="s">
        <v>618</v>
      </c>
      <c r="B433" s="254" t="s">
        <v>619</v>
      </c>
      <c r="C433" s="255" t="s">
        <v>269</v>
      </c>
      <c r="D433" s="295">
        <v>68</v>
      </c>
      <c r="E433" s="243">
        <v>195436</v>
      </c>
      <c r="F433" s="243">
        <f t="shared" si="43"/>
        <v>13289648</v>
      </c>
      <c r="G433" s="9">
        <v>195436</v>
      </c>
      <c r="H433" s="9">
        <v>13289648</v>
      </c>
      <c r="I433" s="339">
        <f t="shared" si="38"/>
        <v>0</v>
      </c>
      <c r="J433" s="339">
        <f t="shared" si="39"/>
        <v>0</v>
      </c>
      <c r="K433" s="9">
        <f t="shared" si="40"/>
        <v>0</v>
      </c>
    </row>
    <row r="434" spans="1:11" s="9" customFormat="1" ht="35.1" customHeight="1" x14ac:dyDescent="0.25">
      <c r="A434" s="255" t="s">
        <v>620</v>
      </c>
      <c r="B434" s="254" t="s">
        <v>621</v>
      </c>
      <c r="C434" s="255" t="s">
        <v>269</v>
      </c>
      <c r="D434" s="295">
        <v>72</v>
      </c>
      <c r="E434" s="243">
        <v>195436</v>
      </c>
      <c r="F434" s="243">
        <f t="shared" si="43"/>
        <v>14071392</v>
      </c>
      <c r="G434" s="9">
        <v>195436</v>
      </c>
      <c r="H434" s="9">
        <v>14071392</v>
      </c>
      <c r="I434" s="339">
        <f t="shared" si="38"/>
        <v>0</v>
      </c>
      <c r="J434" s="339">
        <f t="shared" si="39"/>
        <v>0</v>
      </c>
      <c r="K434" s="9">
        <f t="shared" si="40"/>
        <v>0</v>
      </c>
    </row>
    <row r="435" spans="1:11" s="9" customFormat="1" ht="35.1" customHeight="1" x14ac:dyDescent="0.25">
      <c r="A435" s="255" t="s">
        <v>622</v>
      </c>
      <c r="B435" s="254" t="s">
        <v>623</v>
      </c>
      <c r="C435" s="255" t="s">
        <v>269</v>
      </c>
      <c r="D435" s="295">
        <v>60</v>
      </c>
      <c r="E435" s="243">
        <v>175265</v>
      </c>
      <c r="F435" s="243">
        <f t="shared" si="43"/>
        <v>10515900</v>
      </c>
      <c r="G435" s="9">
        <v>175265</v>
      </c>
      <c r="H435" s="9">
        <v>10515900</v>
      </c>
      <c r="I435" s="339">
        <f t="shared" si="38"/>
        <v>0</v>
      </c>
      <c r="J435" s="339">
        <f t="shared" si="39"/>
        <v>0</v>
      </c>
      <c r="K435" s="9">
        <f t="shared" si="40"/>
        <v>0</v>
      </c>
    </row>
    <row r="436" spans="1:11" s="9" customFormat="1" ht="35.1" customHeight="1" x14ac:dyDescent="0.25">
      <c r="A436" s="255" t="s">
        <v>624</v>
      </c>
      <c r="B436" s="254" t="s">
        <v>625</v>
      </c>
      <c r="C436" s="255" t="s">
        <v>269</v>
      </c>
      <c r="D436" s="295">
        <v>7</v>
      </c>
      <c r="E436" s="243">
        <v>102265</v>
      </c>
      <c r="F436" s="243">
        <f t="shared" si="43"/>
        <v>715855</v>
      </c>
      <c r="G436" s="9">
        <v>102265</v>
      </c>
      <c r="H436" s="9">
        <v>715855</v>
      </c>
      <c r="I436" s="339">
        <f t="shared" si="38"/>
        <v>0</v>
      </c>
      <c r="J436" s="339">
        <f t="shared" si="39"/>
        <v>0</v>
      </c>
      <c r="K436" s="9">
        <f t="shared" si="40"/>
        <v>0</v>
      </c>
    </row>
    <row r="437" spans="1:11" s="9" customFormat="1" ht="35.1" customHeight="1" x14ac:dyDescent="0.25">
      <c r="A437" s="255" t="s">
        <v>1230</v>
      </c>
      <c r="B437" s="254" t="s">
        <v>1231</v>
      </c>
      <c r="C437" s="255" t="s">
        <v>269</v>
      </c>
      <c r="D437" s="295">
        <v>72</v>
      </c>
      <c r="E437" s="243">
        <v>175338</v>
      </c>
      <c r="F437" s="243">
        <f t="shared" si="43"/>
        <v>12624336</v>
      </c>
      <c r="G437" s="9">
        <v>175338</v>
      </c>
      <c r="H437" s="9">
        <v>12624336</v>
      </c>
      <c r="I437" s="339">
        <f t="shared" si="38"/>
        <v>0</v>
      </c>
      <c r="J437" s="339">
        <f t="shared" si="39"/>
        <v>0</v>
      </c>
      <c r="K437" s="9">
        <f t="shared" si="40"/>
        <v>0</v>
      </c>
    </row>
    <row r="438" spans="1:11" s="9" customFormat="1" ht="35.1" customHeight="1" x14ac:dyDescent="0.25">
      <c r="A438" s="255" t="s">
        <v>1232</v>
      </c>
      <c r="B438" s="254" t="s">
        <v>1233</v>
      </c>
      <c r="C438" s="255" t="s">
        <v>269</v>
      </c>
      <c r="D438" s="295">
        <v>7</v>
      </c>
      <c r="E438" s="243">
        <v>102265</v>
      </c>
      <c r="F438" s="243">
        <f t="shared" si="43"/>
        <v>715855</v>
      </c>
      <c r="G438" s="9">
        <v>102265</v>
      </c>
      <c r="H438" s="9">
        <v>715855</v>
      </c>
      <c r="I438" s="339">
        <f t="shared" si="38"/>
        <v>0</v>
      </c>
      <c r="J438" s="339">
        <f t="shared" si="39"/>
        <v>0</v>
      </c>
      <c r="K438" s="9">
        <f t="shared" si="40"/>
        <v>0</v>
      </c>
    </row>
    <row r="439" spans="1:11" s="9" customFormat="1" ht="35.1" customHeight="1" x14ac:dyDescent="0.25">
      <c r="A439" s="255" t="s">
        <v>1234</v>
      </c>
      <c r="B439" s="254" t="s">
        <v>1235</v>
      </c>
      <c r="C439" s="255" t="s">
        <v>269</v>
      </c>
      <c r="D439" s="295">
        <v>76</v>
      </c>
      <c r="E439" s="243">
        <v>486251</v>
      </c>
      <c r="F439" s="243">
        <f t="shared" si="43"/>
        <v>36955076</v>
      </c>
      <c r="G439" s="9">
        <v>486251</v>
      </c>
      <c r="H439" s="9">
        <v>36955076</v>
      </c>
      <c r="I439" s="339">
        <f t="shared" si="38"/>
        <v>0</v>
      </c>
      <c r="J439" s="339">
        <f t="shared" si="39"/>
        <v>0</v>
      </c>
      <c r="K439" s="9">
        <f t="shared" si="40"/>
        <v>0</v>
      </c>
    </row>
    <row r="440" spans="1:11" s="9" customFormat="1" ht="35.1" customHeight="1" x14ac:dyDescent="0.25">
      <c r="A440" s="255" t="s">
        <v>1236</v>
      </c>
      <c r="B440" s="254" t="s">
        <v>1237</v>
      </c>
      <c r="C440" s="255" t="s">
        <v>269</v>
      </c>
      <c r="D440" s="295">
        <v>76</v>
      </c>
      <c r="E440" s="243">
        <v>486251</v>
      </c>
      <c r="F440" s="243">
        <f t="shared" si="43"/>
        <v>36955076</v>
      </c>
      <c r="G440" s="9">
        <v>486251</v>
      </c>
      <c r="H440" s="9">
        <v>36955076</v>
      </c>
      <c r="I440" s="339">
        <f t="shared" si="38"/>
        <v>0</v>
      </c>
      <c r="J440" s="339">
        <f t="shared" si="39"/>
        <v>0</v>
      </c>
      <c r="K440" s="9">
        <f t="shared" si="40"/>
        <v>0</v>
      </c>
    </row>
    <row r="441" spans="1:11" s="9" customFormat="1" ht="35.1" customHeight="1" x14ac:dyDescent="0.25">
      <c r="A441" s="255" t="s">
        <v>626</v>
      </c>
      <c r="B441" s="254" t="s">
        <v>1238</v>
      </c>
      <c r="C441" s="255" t="s">
        <v>269</v>
      </c>
      <c r="D441" s="295">
        <v>102</v>
      </c>
      <c r="E441" s="243">
        <v>166577</v>
      </c>
      <c r="F441" s="243">
        <f t="shared" si="43"/>
        <v>16990854</v>
      </c>
      <c r="G441" s="9">
        <v>166577</v>
      </c>
      <c r="H441" s="9">
        <v>16990854</v>
      </c>
      <c r="I441" s="339">
        <f t="shared" si="38"/>
        <v>0</v>
      </c>
      <c r="J441" s="339">
        <f t="shared" si="39"/>
        <v>0</v>
      </c>
      <c r="K441" s="9">
        <f t="shared" si="40"/>
        <v>0</v>
      </c>
    </row>
    <row r="442" spans="1:11" s="9" customFormat="1" ht="35.1" customHeight="1" x14ac:dyDescent="0.25">
      <c r="A442" s="289" t="s">
        <v>628</v>
      </c>
      <c r="B442" s="256" t="s">
        <v>629</v>
      </c>
      <c r="C442" s="256"/>
      <c r="D442" s="313"/>
      <c r="E442" s="303"/>
      <c r="F442" s="246"/>
      <c r="I442" s="339">
        <f t="shared" si="38"/>
        <v>0</v>
      </c>
      <c r="J442" s="339">
        <f t="shared" si="39"/>
        <v>0</v>
      </c>
      <c r="K442" s="9">
        <f t="shared" si="40"/>
        <v>0</v>
      </c>
    </row>
    <row r="443" spans="1:11" s="9" customFormat="1" ht="35.1" customHeight="1" x14ac:dyDescent="0.25">
      <c r="A443" s="255" t="s">
        <v>630</v>
      </c>
      <c r="B443" s="254" t="s">
        <v>631</v>
      </c>
      <c r="C443" s="255" t="s">
        <v>269</v>
      </c>
      <c r="D443" s="295">
        <v>50</v>
      </c>
      <c r="E443" s="243">
        <v>37279</v>
      </c>
      <c r="F443" s="243">
        <f>ROUND(+E443*D443,2)</f>
        <v>1863950</v>
      </c>
      <c r="G443" s="9">
        <v>37279</v>
      </c>
      <c r="H443" s="9">
        <v>1863950</v>
      </c>
      <c r="I443" s="339">
        <f t="shared" si="38"/>
        <v>0</v>
      </c>
      <c r="J443" s="339">
        <f t="shared" si="39"/>
        <v>0</v>
      </c>
      <c r="K443" s="9">
        <f t="shared" si="40"/>
        <v>0</v>
      </c>
    </row>
    <row r="444" spans="1:11" s="9" customFormat="1" ht="35.1" customHeight="1" x14ac:dyDescent="0.25">
      <c r="A444" s="255" t="s">
        <v>632</v>
      </c>
      <c r="B444" s="254" t="s">
        <v>1239</v>
      </c>
      <c r="C444" s="255" t="s">
        <v>269</v>
      </c>
      <c r="D444" s="295">
        <v>100</v>
      </c>
      <c r="E444" s="243">
        <v>67515</v>
      </c>
      <c r="F444" s="243">
        <f>ROUND(+E444*D444,2)</f>
        <v>6751500</v>
      </c>
      <c r="G444" s="9">
        <v>67515</v>
      </c>
      <c r="H444" s="9">
        <v>6751500</v>
      </c>
      <c r="I444" s="339">
        <f t="shared" si="38"/>
        <v>0</v>
      </c>
      <c r="J444" s="339">
        <f t="shared" si="39"/>
        <v>0</v>
      </c>
      <c r="K444" s="9">
        <f t="shared" si="40"/>
        <v>0</v>
      </c>
    </row>
    <row r="445" spans="1:11" s="9" customFormat="1" ht="39.950000000000003" customHeight="1" x14ac:dyDescent="0.25">
      <c r="A445" s="289" t="s">
        <v>634</v>
      </c>
      <c r="B445" s="256" t="s">
        <v>635</v>
      </c>
      <c r="C445" s="256"/>
      <c r="D445" s="313"/>
      <c r="E445" s="303"/>
      <c r="F445" s="246"/>
      <c r="I445" s="339">
        <f t="shared" si="38"/>
        <v>0</v>
      </c>
      <c r="J445" s="339">
        <f t="shared" si="39"/>
        <v>0</v>
      </c>
      <c r="K445" s="9">
        <f t="shared" si="40"/>
        <v>0</v>
      </c>
    </row>
    <row r="446" spans="1:11" s="9" customFormat="1" ht="39.950000000000003" customHeight="1" x14ac:dyDescent="0.25">
      <c r="A446" s="255" t="s">
        <v>636</v>
      </c>
      <c r="B446" s="254" t="s">
        <v>637</v>
      </c>
      <c r="C446" s="255" t="s">
        <v>16</v>
      </c>
      <c r="D446" s="295">
        <v>1</v>
      </c>
      <c r="E446" s="243">
        <v>871878</v>
      </c>
      <c r="F446" s="243">
        <f t="shared" ref="F446:F452" si="44">ROUND(+E446*D446,2)</f>
        <v>871878</v>
      </c>
      <c r="G446" s="9">
        <v>871878</v>
      </c>
      <c r="H446" s="9">
        <v>871878</v>
      </c>
      <c r="I446" s="339">
        <f t="shared" si="38"/>
        <v>0</v>
      </c>
      <c r="J446" s="339">
        <f t="shared" si="39"/>
        <v>0</v>
      </c>
      <c r="K446" s="9">
        <f t="shared" si="40"/>
        <v>0</v>
      </c>
    </row>
    <row r="447" spans="1:11" s="9" customFormat="1" ht="39.950000000000003" customHeight="1" x14ac:dyDescent="0.25">
      <c r="A447" s="255" t="s">
        <v>638</v>
      </c>
      <c r="B447" s="254" t="s">
        <v>639</v>
      </c>
      <c r="C447" s="255" t="s">
        <v>16</v>
      </c>
      <c r="D447" s="295">
        <v>1</v>
      </c>
      <c r="E447" s="243">
        <v>700334</v>
      </c>
      <c r="F447" s="243">
        <f t="shared" si="44"/>
        <v>700334</v>
      </c>
      <c r="G447" s="9">
        <v>700334</v>
      </c>
      <c r="H447" s="9">
        <v>700334</v>
      </c>
      <c r="I447" s="339">
        <f t="shared" si="38"/>
        <v>0</v>
      </c>
      <c r="J447" s="339">
        <f t="shared" si="39"/>
        <v>0</v>
      </c>
      <c r="K447" s="9">
        <f t="shared" si="40"/>
        <v>0</v>
      </c>
    </row>
    <row r="448" spans="1:11" s="9" customFormat="1" ht="39.950000000000003" customHeight="1" x14ac:dyDescent="0.25">
      <c r="A448" s="255" t="s">
        <v>640</v>
      </c>
      <c r="B448" s="254" t="s">
        <v>641</v>
      </c>
      <c r="C448" s="255" t="s">
        <v>16</v>
      </c>
      <c r="D448" s="295">
        <v>3</v>
      </c>
      <c r="E448" s="243">
        <v>703736</v>
      </c>
      <c r="F448" s="243">
        <f t="shared" si="44"/>
        <v>2111208</v>
      </c>
      <c r="G448" s="9">
        <v>703736</v>
      </c>
      <c r="H448" s="9">
        <v>2111208</v>
      </c>
      <c r="I448" s="339">
        <f t="shared" si="38"/>
        <v>0</v>
      </c>
      <c r="J448" s="339">
        <f t="shared" si="39"/>
        <v>0</v>
      </c>
      <c r="K448" s="9">
        <f t="shared" si="40"/>
        <v>0</v>
      </c>
    </row>
    <row r="449" spans="1:11" s="9" customFormat="1" ht="39.950000000000003" customHeight="1" x14ac:dyDescent="0.25">
      <c r="A449" s="255" t="s">
        <v>642</v>
      </c>
      <c r="B449" s="254" t="s">
        <v>643</v>
      </c>
      <c r="C449" s="255" t="s">
        <v>16</v>
      </c>
      <c r="D449" s="295">
        <v>3</v>
      </c>
      <c r="E449" s="243">
        <v>987858</v>
      </c>
      <c r="F449" s="243">
        <f t="shared" si="44"/>
        <v>2963574</v>
      </c>
      <c r="G449" s="9">
        <v>987858</v>
      </c>
      <c r="H449" s="9">
        <v>2963574</v>
      </c>
      <c r="I449" s="339">
        <f t="shared" si="38"/>
        <v>0</v>
      </c>
      <c r="J449" s="339">
        <f t="shared" si="39"/>
        <v>0</v>
      </c>
      <c r="K449" s="9">
        <f t="shared" si="40"/>
        <v>0</v>
      </c>
    </row>
    <row r="450" spans="1:11" s="9" customFormat="1" ht="39.950000000000003" customHeight="1" x14ac:dyDescent="0.25">
      <c r="A450" s="255" t="s">
        <v>644</v>
      </c>
      <c r="B450" s="87" t="s">
        <v>645</v>
      </c>
      <c r="C450" s="255" t="s">
        <v>16</v>
      </c>
      <c r="D450" s="295">
        <v>70</v>
      </c>
      <c r="E450" s="243">
        <v>21079</v>
      </c>
      <c r="F450" s="243">
        <f t="shared" si="44"/>
        <v>1475530</v>
      </c>
      <c r="G450" s="9">
        <v>21079</v>
      </c>
      <c r="H450" s="9">
        <v>1475530</v>
      </c>
      <c r="I450" s="339">
        <f t="shared" si="38"/>
        <v>0</v>
      </c>
      <c r="J450" s="339">
        <f t="shared" si="39"/>
        <v>0</v>
      </c>
      <c r="K450" s="9">
        <f t="shared" si="40"/>
        <v>0</v>
      </c>
    </row>
    <row r="451" spans="1:11" s="9" customFormat="1" ht="39.950000000000003" customHeight="1" x14ac:dyDescent="0.25">
      <c r="A451" s="255" t="s">
        <v>646</v>
      </c>
      <c r="B451" s="87" t="s">
        <v>647</v>
      </c>
      <c r="C451" s="255" t="s">
        <v>16</v>
      </c>
      <c r="D451" s="295">
        <v>50</v>
      </c>
      <c r="E451" s="243">
        <v>21079</v>
      </c>
      <c r="F451" s="243">
        <f t="shared" si="44"/>
        <v>1053950</v>
      </c>
      <c r="G451" s="9">
        <v>21079</v>
      </c>
      <c r="H451" s="9">
        <v>1053950</v>
      </c>
      <c r="I451" s="339">
        <f t="shared" si="38"/>
        <v>0</v>
      </c>
      <c r="J451" s="339">
        <f t="shared" si="39"/>
        <v>0</v>
      </c>
      <c r="K451" s="9">
        <f t="shared" si="40"/>
        <v>0</v>
      </c>
    </row>
    <row r="452" spans="1:11" s="9" customFormat="1" ht="39.950000000000003" customHeight="1" x14ac:dyDescent="0.25">
      <c r="A452" s="255" t="s">
        <v>648</v>
      </c>
      <c r="B452" s="87" t="s">
        <v>649</v>
      </c>
      <c r="C452" s="255" t="s">
        <v>16</v>
      </c>
      <c r="D452" s="295">
        <v>6</v>
      </c>
      <c r="E452" s="243">
        <v>59521</v>
      </c>
      <c r="F452" s="243">
        <f t="shared" si="44"/>
        <v>357126</v>
      </c>
      <c r="G452" s="9">
        <v>59521</v>
      </c>
      <c r="H452" s="9">
        <v>357126</v>
      </c>
      <c r="I452" s="339">
        <f t="shared" si="38"/>
        <v>0</v>
      </c>
      <c r="J452" s="339">
        <f t="shared" si="39"/>
        <v>0</v>
      </c>
      <c r="K452" s="9">
        <f t="shared" si="40"/>
        <v>0</v>
      </c>
    </row>
    <row r="453" spans="1:11" s="9" customFormat="1" ht="39.950000000000003" customHeight="1" x14ac:dyDescent="0.25">
      <c r="A453" s="289" t="s">
        <v>650</v>
      </c>
      <c r="B453" s="256" t="s">
        <v>1240</v>
      </c>
      <c r="C453" s="256"/>
      <c r="D453" s="256"/>
      <c r="E453" s="310"/>
      <c r="F453" s="256"/>
      <c r="I453" s="339">
        <f t="shared" ref="I453:I516" si="45">+E453-G453</f>
        <v>0</v>
      </c>
      <c r="J453" s="339">
        <f t="shared" ref="J453:J516" si="46">+H453-F453</f>
        <v>0</v>
      </c>
      <c r="K453" s="9">
        <f t="shared" ref="K453:K516" si="47">IF(J453&gt;0,1,0)</f>
        <v>0</v>
      </c>
    </row>
    <row r="454" spans="1:11" s="9" customFormat="1" ht="39.950000000000003" customHeight="1" x14ac:dyDescent="0.25">
      <c r="A454" s="255" t="s">
        <v>652</v>
      </c>
      <c r="B454" s="254" t="s">
        <v>1241</v>
      </c>
      <c r="C454" s="255" t="s">
        <v>16</v>
      </c>
      <c r="D454" s="295">
        <v>1</v>
      </c>
      <c r="E454" s="243">
        <v>597053</v>
      </c>
      <c r="F454" s="243">
        <f>ROUND(+E454*D454,2)</f>
        <v>597053</v>
      </c>
      <c r="G454" s="9">
        <v>597053</v>
      </c>
      <c r="H454" s="9">
        <v>597053</v>
      </c>
      <c r="I454" s="339">
        <f t="shared" si="45"/>
        <v>0</v>
      </c>
      <c r="J454" s="339">
        <f t="shared" si="46"/>
        <v>0</v>
      </c>
      <c r="K454" s="9">
        <f t="shared" si="47"/>
        <v>0</v>
      </c>
    </row>
    <row r="455" spans="1:11" s="9" customFormat="1" ht="39.950000000000003" customHeight="1" x14ac:dyDescent="0.25">
      <c r="A455" s="289" t="s">
        <v>654</v>
      </c>
      <c r="B455" s="256" t="s">
        <v>655</v>
      </c>
      <c r="C455" s="256"/>
      <c r="D455" s="256"/>
      <c r="E455" s="310"/>
      <c r="F455" s="256"/>
      <c r="I455" s="339">
        <f t="shared" si="45"/>
        <v>0</v>
      </c>
      <c r="J455" s="339">
        <f t="shared" si="46"/>
        <v>0</v>
      </c>
      <c r="K455" s="9">
        <f t="shared" si="47"/>
        <v>0</v>
      </c>
    </row>
    <row r="456" spans="1:11" s="9" customFormat="1" ht="39.950000000000003" customHeight="1" x14ac:dyDescent="0.25">
      <c r="A456" s="255" t="s">
        <v>656</v>
      </c>
      <c r="B456" s="254" t="s">
        <v>1242</v>
      </c>
      <c r="C456" s="255" t="s">
        <v>16</v>
      </c>
      <c r="D456" s="295">
        <v>1</v>
      </c>
      <c r="E456" s="243">
        <v>16180184</v>
      </c>
      <c r="F456" s="243">
        <f>ROUND(+E456*D456,2)</f>
        <v>16180184</v>
      </c>
      <c r="G456" s="9">
        <v>16180184</v>
      </c>
      <c r="H456" s="9">
        <v>16180184</v>
      </c>
      <c r="I456" s="339">
        <f t="shared" si="45"/>
        <v>0</v>
      </c>
      <c r="J456" s="339">
        <f t="shared" si="46"/>
        <v>0</v>
      </c>
      <c r="K456" s="9">
        <f t="shared" si="47"/>
        <v>0</v>
      </c>
    </row>
    <row r="457" spans="1:11" s="9" customFormat="1" ht="39.950000000000003" customHeight="1" x14ac:dyDescent="0.25">
      <c r="A457" s="255" t="s">
        <v>658</v>
      </c>
      <c r="B457" s="87" t="s">
        <v>659</v>
      </c>
      <c r="C457" s="255" t="s">
        <v>16</v>
      </c>
      <c r="D457" s="295">
        <v>2</v>
      </c>
      <c r="E457" s="243">
        <v>12227805</v>
      </c>
      <c r="F457" s="243">
        <f>ROUND(+E457*D457,2)</f>
        <v>24455610</v>
      </c>
      <c r="G457" s="9">
        <v>12227805</v>
      </c>
      <c r="H457" s="9">
        <v>24455610</v>
      </c>
      <c r="I457" s="339">
        <f t="shared" si="45"/>
        <v>0</v>
      </c>
      <c r="J457" s="339">
        <f t="shared" si="46"/>
        <v>0</v>
      </c>
      <c r="K457" s="9">
        <f t="shared" si="47"/>
        <v>0</v>
      </c>
    </row>
    <row r="458" spans="1:11" s="9" customFormat="1" ht="39.950000000000003" customHeight="1" x14ac:dyDescent="0.25">
      <c r="A458" s="255" t="s">
        <v>660</v>
      </c>
      <c r="B458" s="254" t="s">
        <v>1243</v>
      </c>
      <c r="C458" s="255" t="s">
        <v>16</v>
      </c>
      <c r="D458" s="295">
        <v>1</v>
      </c>
      <c r="E458" s="243">
        <v>14203994</v>
      </c>
      <c r="F458" s="243">
        <f>ROUND(+E458*D458,2)</f>
        <v>14203994</v>
      </c>
      <c r="G458" s="9">
        <v>14203994</v>
      </c>
      <c r="H458" s="9">
        <v>14203994</v>
      </c>
      <c r="I458" s="339">
        <f t="shared" si="45"/>
        <v>0</v>
      </c>
      <c r="J458" s="339">
        <f t="shared" si="46"/>
        <v>0</v>
      </c>
      <c r="K458" s="9">
        <f t="shared" si="47"/>
        <v>0</v>
      </c>
    </row>
    <row r="459" spans="1:11" s="9" customFormat="1" ht="39.950000000000003" customHeight="1" x14ac:dyDescent="0.25">
      <c r="A459" s="290" t="s">
        <v>662</v>
      </c>
      <c r="B459" s="256" t="s">
        <v>663</v>
      </c>
      <c r="C459" s="256"/>
      <c r="D459" s="313"/>
      <c r="E459" s="303"/>
      <c r="F459" s="246"/>
      <c r="I459" s="339">
        <f t="shared" si="45"/>
        <v>0</v>
      </c>
      <c r="J459" s="339">
        <f t="shared" si="46"/>
        <v>0</v>
      </c>
      <c r="K459" s="9">
        <f t="shared" si="47"/>
        <v>0</v>
      </c>
    </row>
    <row r="460" spans="1:11" s="9" customFormat="1" ht="35.1" customHeight="1" x14ac:dyDescent="0.25">
      <c r="A460" s="255" t="s">
        <v>664</v>
      </c>
      <c r="B460" s="254" t="s">
        <v>665</v>
      </c>
      <c r="C460" s="255" t="s">
        <v>269</v>
      </c>
      <c r="D460" s="295">
        <v>35</v>
      </c>
      <c r="E460" s="243">
        <v>25031</v>
      </c>
      <c r="F460" s="243">
        <f>ROUND(+E460*D460,2)</f>
        <v>876085</v>
      </c>
      <c r="G460" s="9">
        <v>25031</v>
      </c>
      <c r="H460" s="9">
        <v>876085</v>
      </c>
      <c r="I460" s="339">
        <f t="shared" si="45"/>
        <v>0</v>
      </c>
      <c r="J460" s="339">
        <f t="shared" si="46"/>
        <v>0</v>
      </c>
      <c r="K460" s="9">
        <f t="shared" si="47"/>
        <v>0</v>
      </c>
    </row>
    <row r="461" spans="1:11" s="9" customFormat="1" ht="35.1" customHeight="1" x14ac:dyDescent="0.25">
      <c r="A461" s="255" t="s">
        <v>666</v>
      </c>
      <c r="B461" s="254" t="s">
        <v>1244</v>
      </c>
      <c r="C461" s="292" t="s">
        <v>16</v>
      </c>
      <c r="D461" s="295">
        <v>6</v>
      </c>
      <c r="E461" s="243">
        <v>130889</v>
      </c>
      <c r="F461" s="243">
        <f>ROUND(+E461*D461,2)</f>
        <v>785334</v>
      </c>
      <c r="G461" s="9">
        <v>130889</v>
      </c>
      <c r="H461" s="9">
        <v>785334</v>
      </c>
      <c r="I461" s="339">
        <f t="shared" si="45"/>
        <v>0</v>
      </c>
      <c r="J461" s="339">
        <f t="shared" si="46"/>
        <v>0</v>
      </c>
      <c r="K461" s="9">
        <f t="shared" si="47"/>
        <v>0</v>
      </c>
    </row>
    <row r="462" spans="1:11" s="9" customFormat="1" ht="35.1" customHeight="1" x14ac:dyDescent="0.25">
      <c r="A462" s="255" t="s">
        <v>668</v>
      </c>
      <c r="B462" s="254" t="s">
        <v>1245</v>
      </c>
      <c r="C462" s="292" t="s">
        <v>16</v>
      </c>
      <c r="D462" s="295">
        <v>6</v>
      </c>
      <c r="E462" s="243">
        <v>135495</v>
      </c>
      <c r="F462" s="243">
        <f>ROUND(+E462*D462,2)</f>
        <v>812970</v>
      </c>
      <c r="G462" s="9">
        <v>135495</v>
      </c>
      <c r="H462" s="9">
        <v>812970</v>
      </c>
      <c r="I462" s="339">
        <f t="shared" si="45"/>
        <v>0</v>
      </c>
      <c r="J462" s="339">
        <f t="shared" si="46"/>
        <v>0</v>
      </c>
      <c r="K462" s="9">
        <f t="shared" si="47"/>
        <v>0</v>
      </c>
    </row>
    <row r="463" spans="1:11" s="9" customFormat="1" ht="35.1" customHeight="1" x14ac:dyDescent="0.25">
      <c r="A463" s="255" t="s">
        <v>670</v>
      </c>
      <c r="B463" s="254" t="s">
        <v>1246</v>
      </c>
      <c r="C463" s="292" t="s">
        <v>16</v>
      </c>
      <c r="D463" s="295">
        <v>2</v>
      </c>
      <c r="E463" s="243">
        <v>135495</v>
      </c>
      <c r="F463" s="243">
        <f>ROUND(+E463*D463,2)</f>
        <v>270990</v>
      </c>
      <c r="G463" s="9">
        <v>135495</v>
      </c>
      <c r="H463" s="9">
        <v>270990</v>
      </c>
      <c r="I463" s="339">
        <f t="shared" si="45"/>
        <v>0</v>
      </c>
      <c r="J463" s="339">
        <f t="shared" si="46"/>
        <v>0</v>
      </c>
      <c r="K463" s="9">
        <f t="shared" si="47"/>
        <v>0</v>
      </c>
    </row>
    <row r="464" spans="1:11" s="9" customFormat="1" ht="35.1" customHeight="1" x14ac:dyDescent="0.25">
      <c r="A464" s="255" t="s">
        <v>672</v>
      </c>
      <c r="B464" s="291" t="s">
        <v>1247</v>
      </c>
      <c r="C464" s="292" t="s">
        <v>16</v>
      </c>
      <c r="D464" s="295">
        <v>6</v>
      </c>
      <c r="E464" s="243">
        <v>171131</v>
      </c>
      <c r="F464" s="243">
        <f>ROUND(+E464*D464,2)</f>
        <v>1026786</v>
      </c>
      <c r="G464" s="9">
        <v>171131</v>
      </c>
      <c r="H464" s="9">
        <v>1026786</v>
      </c>
      <c r="I464" s="339">
        <f t="shared" si="45"/>
        <v>0</v>
      </c>
      <c r="J464" s="339">
        <f t="shared" si="46"/>
        <v>0</v>
      </c>
      <c r="K464" s="9">
        <f t="shared" si="47"/>
        <v>0</v>
      </c>
    </row>
    <row r="465" spans="1:11" s="9" customFormat="1" ht="35.1" customHeight="1" x14ac:dyDescent="0.25">
      <c r="A465" s="290" t="s">
        <v>674</v>
      </c>
      <c r="B465" s="256" t="s">
        <v>675</v>
      </c>
      <c r="C465" s="256"/>
      <c r="D465" s="313"/>
      <c r="E465" s="303"/>
      <c r="F465" s="246"/>
      <c r="I465" s="339">
        <f t="shared" si="45"/>
        <v>0</v>
      </c>
      <c r="J465" s="339">
        <f t="shared" si="46"/>
        <v>0</v>
      </c>
      <c r="K465" s="9">
        <f t="shared" si="47"/>
        <v>0</v>
      </c>
    </row>
    <row r="466" spans="1:11" s="9" customFormat="1" ht="35.1" customHeight="1" x14ac:dyDescent="0.25">
      <c r="A466" s="255" t="s">
        <v>676</v>
      </c>
      <c r="B466" s="254" t="s">
        <v>677</v>
      </c>
      <c r="C466" s="255" t="s">
        <v>269</v>
      </c>
      <c r="D466" s="295">
        <v>10</v>
      </c>
      <c r="E466" s="243">
        <v>7377</v>
      </c>
      <c r="F466" s="243">
        <f>ROUND(+E466*D466,2)</f>
        <v>73770</v>
      </c>
      <c r="G466" s="9">
        <v>7377</v>
      </c>
      <c r="H466" s="9">
        <v>73770</v>
      </c>
      <c r="I466" s="339">
        <f t="shared" si="45"/>
        <v>0</v>
      </c>
      <c r="J466" s="339">
        <f t="shared" si="46"/>
        <v>0</v>
      </c>
      <c r="K466" s="9">
        <f t="shared" si="47"/>
        <v>0</v>
      </c>
    </row>
    <row r="467" spans="1:11" s="9" customFormat="1" ht="35.1" customHeight="1" x14ac:dyDescent="0.25">
      <c r="A467" s="255" t="s">
        <v>678</v>
      </c>
      <c r="B467" s="254" t="s">
        <v>679</v>
      </c>
      <c r="C467" s="292" t="s">
        <v>16</v>
      </c>
      <c r="D467" s="295">
        <v>1</v>
      </c>
      <c r="E467" s="243">
        <v>130889</v>
      </c>
      <c r="F467" s="243">
        <f>ROUND(+E467*D467,2)</f>
        <v>130889</v>
      </c>
      <c r="G467" s="9">
        <v>130889</v>
      </c>
      <c r="H467" s="9">
        <v>130889</v>
      </c>
      <c r="I467" s="339">
        <f t="shared" si="45"/>
        <v>0</v>
      </c>
      <c r="J467" s="339">
        <f t="shared" si="46"/>
        <v>0</v>
      </c>
      <c r="K467" s="9">
        <f t="shared" si="47"/>
        <v>0</v>
      </c>
    </row>
    <row r="468" spans="1:11" s="9" customFormat="1" ht="35.1" customHeight="1" x14ac:dyDescent="0.25">
      <c r="A468" s="255" t="s">
        <v>680</v>
      </c>
      <c r="B468" s="254" t="s">
        <v>681</v>
      </c>
      <c r="C468" s="292" t="s">
        <v>16</v>
      </c>
      <c r="D468" s="295">
        <v>1</v>
      </c>
      <c r="E468" s="243">
        <v>135495</v>
      </c>
      <c r="F468" s="243">
        <f>ROUND(+E468*D468,2)</f>
        <v>135495</v>
      </c>
      <c r="G468" s="9">
        <v>135495</v>
      </c>
      <c r="H468" s="9">
        <v>135495</v>
      </c>
      <c r="I468" s="339">
        <f t="shared" si="45"/>
        <v>0</v>
      </c>
      <c r="J468" s="339">
        <f t="shared" si="46"/>
        <v>0</v>
      </c>
      <c r="K468" s="9">
        <f t="shared" si="47"/>
        <v>0</v>
      </c>
    </row>
    <row r="469" spans="1:11" s="9" customFormat="1" ht="35.1" customHeight="1" x14ac:dyDescent="0.25">
      <c r="A469" s="255" t="s">
        <v>682</v>
      </c>
      <c r="B469" s="254" t="s">
        <v>1248</v>
      </c>
      <c r="C469" s="292" t="s">
        <v>16</v>
      </c>
      <c r="D469" s="295">
        <v>2</v>
      </c>
      <c r="E469" s="243">
        <v>135495</v>
      </c>
      <c r="F469" s="243">
        <f>ROUND(+E469*D469,2)</f>
        <v>270990</v>
      </c>
      <c r="G469" s="9">
        <v>135495</v>
      </c>
      <c r="H469" s="9">
        <v>270990</v>
      </c>
      <c r="I469" s="339">
        <f t="shared" si="45"/>
        <v>0</v>
      </c>
      <c r="J469" s="339">
        <f t="shared" si="46"/>
        <v>0</v>
      </c>
      <c r="K469" s="9">
        <f t="shared" si="47"/>
        <v>0</v>
      </c>
    </row>
    <row r="470" spans="1:11" s="9" customFormat="1" ht="39.950000000000003" customHeight="1" x14ac:dyDescent="0.25">
      <c r="A470" s="255" t="s">
        <v>684</v>
      </c>
      <c r="B470" s="254" t="s">
        <v>1247</v>
      </c>
      <c r="C470" s="292" t="s">
        <v>16</v>
      </c>
      <c r="D470" s="295">
        <v>1</v>
      </c>
      <c r="E470" s="243">
        <v>171131</v>
      </c>
      <c r="F470" s="243">
        <f>ROUND(+E470*D470,2)</f>
        <v>171131</v>
      </c>
      <c r="G470" s="9">
        <v>171131</v>
      </c>
      <c r="H470" s="9">
        <v>171131</v>
      </c>
      <c r="I470" s="339">
        <f t="shared" si="45"/>
        <v>0</v>
      </c>
      <c r="J470" s="339">
        <f t="shared" si="46"/>
        <v>0</v>
      </c>
      <c r="K470" s="9">
        <f t="shared" si="47"/>
        <v>0</v>
      </c>
    </row>
    <row r="471" spans="1:11" s="9" customFormat="1" ht="35.1" customHeight="1" x14ac:dyDescent="0.25">
      <c r="A471" s="290" t="s">
        <v>685</v>
      </c>
      <c r="B471" s="256" t="s">
        <v>686</v>
      </c>
      <c r="C471" s="256"/>
      <c r="D471" s="256"/>
      <c r="E471" s="310"/>
      <c r="F471" s="256"/>
      <c r="I471" s="339">
        <f t="shared" si="45"/>
        <v>0</v>
      </c>
      <c r="J471" s="339">
        <f t="shared" si="46"/>
        <v>0</v>
      </c>
      <c r="K471" s="9">
        <f t="shared" si="47"/>
        <v>0</v>
      </c>
    </row>
    <row r="472" spans="1:11" s="9" customFormat="1" ht="35.1" customHeight="1" x14ac:dyDescent="0.25">
      <c r="A472" s="255" t="s">
        <v>687</v>
      </c>
      <c r="B472" s="254" t="s">
        <v>665</v>
      </c>
      <c r="C472" s="255" t="s">
        <v>269</v>
      </c>
      <c r="D472" s="295">
        <v>8</v>
      </c>
      <c r="E472" s="243">
        <v>25031</v>
      </c>
      <c r="F472" s="243">
        <f>ROUND(+E472*D472,2)</f>
        <v>200248</v>
      </c>
      <c r="G472" s="9">
        <v>25031</v>
      </c>
      <c r="H472" s="9">
        <v>200248</v>
      </c>
      <c r="I472" s="339">
        <f t="shared" si="45"/>
        <v>0</v>
      </c>
      <c r="J472" s="339">
        <f t="shared" si="46"/>
        <v>0</v>
      </c>
      <c r="K472" s="9">
        <f t="shared" si="47"/>
        <v>0</v>
      </c>
    </row>
    <row r="473" spans="1:11" s="9" customFormat="1" ht="57" customHeight="1" x14ac:dyDescent="0.25">
      <c r="A473" s="255" t="s">
        <v>688</v>
      </c>
      <c r="B473" s="254" t="s">
        <v>1249</v>
      </c>
      <c r="C473" s="255" t="s">
        <v>16</v>
      </c>
      <c r="D473" s="295">
        <v>1</v>
      </c>
      <c r="E473" s="243">
        <v>725857</v>
      </c>
      <c r="F473" s="243">
        <f>ROUND(+E473*D473,2)</f>
        <v>725857</v>
      </c>
      <c r="G473" s="9">
        <v>725857</v>
      </c>
      <c r="H473" s="9">
        <v>725857</v>
      </c>
      <c r="I473" s="339">
        <f t="shared" si="45"/>
        <v>0</v>
      </c>
      <c r="J473" s="339">
        <f t="shared" si="46"/>
        <v>0</v>
      </c>
      <c r="K473" s="9">
        <f t="shared" si="47"/>
        <v>0</v>
      </c>
    </row>
    <row r="474" spans="1:11" s="9" customFormat="1" ht="35.1" customHeight="1" x14ac:dyDescent="0.25">
      <c r="A474" s="244" t="s">
        <v>690</v>
      </c>
      <c r="B474" s="256" t="s">
        <v>691</v>
      </c>
      <c r="C474" s="256"/>
      <c r="D474" s="256"/>
      <c r="E474" s="310"/>
      <c r="F474" s="256"/>
      <c r="I474" s="339">
        <f t="shared" si="45"/>
        <v>0</v>
      </c>
      <c r="J474" s="339">
        <f t="shared" si="46"/>
        <v>0</v>
      </c>
      <c r="K474" s="9">
        <f t="shared" si="47"/>
        <v>0</v>
      </c>
    </row>
    <row r="475" spans="1:11" s="9" customFormat="1" ht="35.1" customHeight="1" x14ac:dyDescent="0.25">
      <c r="A475" s="255" t="s">
        <v>692</v>
      </c>
      <c r="B475" s="254" t="s">
        <v>693</v>
      </c>
      <c r="C475" s="255" t="s">
        <v>269</v>
      </c>
      <c r="D475" s="295">
        <v>65</v>
      </c>
      <c r="E475" s="243">
        <v>4876</v>
      </c>
      <c r="F475" s="243">
        <f t="shared" ref="F475:F484" si="48">ROUND(+E475*D475,2)</f>
        <v>316940</v>
      </c>
      <c r="G475" s="9">
        <v>4876</v>
      </c>
      <c r="H475" s="9">
        <v>316940</v>
      </c>
      <c r="I475" s="339">
        <f t="shared" si="45"/>
        <v>0</v>
      </c>
      <c r="J475" s="339">
        <f t="shared" si="46"/>
        <v>0</v>
      </c>
      <c r="K475" s="9">
        <f t="shared" si="47"/>
        <v>0</v>
      </c>
    </row>
    <row r="476" spans="1:11" s="9" customFormat="1" ht="35.1" customHeight="1" x14ac:dyDescent="0.25">
      <c r="A476" s="255" t="s">
        <v>694</v>
      </c>
      <c r="B476" s="254" t="s">
        <v>695</v>
      </c>
      <c r="C476" s="255" t="s">
        <v>269</v>
      </c>
      <c r="D476" s="295">
        <v>69</v>
      </c>
      <c r="E476" s="243">
        <v>15151</v>
      </c>
      <c r="F476" s="243">
        <f t="shared" si="48"/>
        <v>1045419</v>
      </c>
      <c r="G476" s="9">
        <v>15151</v>
      </c>
      <c r="H476" s="9">
        <v>1045419</v>
      </c>
      <c r="I476" s="339">
        <f t="shared" si="45"/>
        <v>0</v>
      </c>
      <c r="J476" s="339">
        <f t="shared" si="46"/>
        <v>0</v>
      </c>
      <c r="K476" s="9">
        <f t="shared" si="47"/>
        <v>0</v>
      </c>
    </row>
    <row r="477" spans="1:11" s="9" customFormat="1" ht="35.1" customHeight="1" x14ac:dyDescent="0.25">
      <c r="A477" s="255" t="s">
        <v>696</v>
      </c>
      <c r="B477" s="254" t="s">
        <v>697</v>
      </c>
      <c r="C477" s="255" t="s">
        <v>269</v>
      </c>
      <c r="D477" s="295">
        <v>244</v>
      </c>
      <c r="E477" s="243">
        <v>5534</v>
      </c>
      <c r="F477" s="243">
        <f t="shared" si="48"/>
        <v>1350296</v>
      </c>
      <c r="G477" s="9">
        <v>5534</v>
      </c>
      <c r="H477" s="9">
        <v>1350296</v>
      </c>
      <c r="I477" s="339">
        <f t="shared" si="45"/>
        <v>0</v>
      </c>
      <c r="J477" s="339">
        <f t="shared" si="46"/>
        <v>0</v>
      </c>
      <c r="K477" s="9">
        <f t="shared" si="47"/>
        <v>0</v>
      </c>
    </row>
    <row r="478" spans="1:11" s="9" customFormat="1" ht="35.1" customHeight="1" x14ac:dyDescent="0.25">
      <c r="A478" s="255" t="s">
        <v>698</v>
      </c>
      <c r="B478" s="254" t="s">
        <v>1250</v>
      </c>
      <c r="C478" s="255" t="s">
        <v>269</v>
      </c>
      <c r="D478" s="295">
        <v>190</v>
      </c>
      <c r="E478" s="243">
        <v>15151</v>
      </c>
      <c r="F478" s="243">
        <f t="shared" si="48"/>
        <v>2878690</v>
      </c>
      <c r="G478" s="9">
        <v>15151</v>
      </c>
      <c r="H478" s="9">
        <v>2878690</v>
      </c>
      <c r="I478" s="339">
        <f t="shared" si="45"/>
        <v>0</v>
      </c>
      <c r="J478" s="339">
        <f t="shared" si="46"/>
        <v>0</v>
      </c>
      <c r="K478" s="9">
        <f t="shared" si="47"/>
        <v>0</v>
      </c>
    </row>
    <row r="479" spans="1:11" s="9" customFormat="1" ht="54" customHeight="1" x14ac:dyDescent="0.25">
      <c r="A479" s="255" t="s">
        <v>700</v>
      </c>
      <c r="B479" s="254" t="s">
        <v>1251</v>
      </c>
      <c r="C479" s="255" t="s">
        <v>16</v>
      </c>
      <c r="D479" s="295">
        <v>14</v>
      </c>
      <c r="E479" s="243">
        <v>219354</v>
      </c>
      <c r="F479" s="243">
        <f t="shared" si="48"/>
        <v>3070956</v>
      </c>
      <c r="G479" s="9">
        <v>219354</v>
      </c>
      <c r="H479" s="9">
        <v>3070956</v>
      </c>
      <c r="I479" s="339">
        <f t="shared" si="45"/>
        <v>0</v>
      </c>
      <c r="J479" s="339">
        <f t="shared" si="46"/>
        <v>0</v>
      </c>
      <c r="K479" s="9">
        <f t="shared" si="47"/>
        <v>0</v>
      </c>
    </row>
    <row r="480" spans="1:11" s="9" customFormat="1" ht="35.1" customHeight="1" x14ac:dyDescent="0.25">
      <c r="A480" s="255" t="s">
        <v>702</v>
      </c>
      <c r="B480" s="254" t="s">
        <v>703</v>
      </c>
      <c r="C480" s="255" t="s">
        <v>16</v>
      </c>
      <c r="D480" s="295">
        <v>86</v>
      </c>
      <c r="E480" s="243">
        <v>21649</v>
      </c>
      <c r="F480" s="243">
        <f t="shared" si="48"/>
        <v>1861814</v>
      </c>
      <c r="G480" s="9">
        <v>21649</v>
      </c>
      <c r="H480" s="9">
        <v>1861814</v>
      </c>
      <c r="I480" s="339">
        <f t="shared" si="45"/>
        <v>0</v>
      </c>
      <c r="J480" s="339">
        <f t="shared" si="46"/>
        <v>0</v>
      </c>
      <c r="K480" s="9">
        <f t="shared" si="47"/>
        <v>0</v>
      </c>
    </row>
    <row r="481" spans="1:11" s="9" customFormat="1" ht="35.1" customHeight="1" x14ac:dyDescent="0.25">
      <c r="A481" s="255" t="s">
        <v>704</v>
      </c>
      <c r="B481" s="254" t="s">
        <v>705</v>
      </c>
      <c r="C481" s="255" t="s">
        <v>16</v>
      </c>
      <c r="D481" s="295">
        <v>4</v>
      </c>
      <c r="E481" s="243">
        <v>26864</v>
      </c>
      <c r="F481" s="243">
        <f t="shared" si="48"/>
        <v>107456</v>
      </c>
      <c r="G481" s="9">
        <v>26864</v>
      </c>
      <c r="H481" s="9">
        <v>107456</v>
      </c>
      <c r="I481" s="339">
        <f t="shared" si="45"/>
        <v>0</v>
      </c>
      <c r="J481" s="339">
        <f t="shared" si="46"/>
        <v>0</v>
      </c>
      <c r="K481" s="9">
        <f t="shared" si="47"/>
        <v>0</v>
      </c>
    </row>
    <row r="482" spans="1:11" s="9" customFormat="1" ht="35.1" customHeight="1" x14ac:dyDescent="0.25">
      <c r="A482" s="255" t="s">
        <v>706</v>
      </c>
      <c r="B482" s="254" t="s">
        <v>707</v>
      </c>
      <c r="C482" s="255" t="s">
        <v>16</v>
      </c>
      <c r="D482" s="295">
        <v>4</v>
      </c>
      <c r="E482" s="243">
        <v>220459</v>
      </c>
      <c r="F482" s="243">
        <f t="shared" si="48"/>
        <v>881836</v>
      </c>
      <c r="G482" s="9">
        <v>220459</v>
      </c>
      <c r="H482" s="9">
        <v>881836</v>
      </c>
      <c r="I482" s="339">
        <f t="shared" si="45"/>
        <v>0</v>
      </c>
      <c r="J482" s="339">
        <f t="shared" si="46"/>
        <v>0</v>
      </c>
      <c r="K482" s="9">
        <f t="shared" si="47"/>
        <v>0</v>
      </c>
    </row>
    <row r="483" spans="1:11" s="9" customFormat="1" ht="35.1" customHeight="1" x14ac:dyDescent="0.25">
      <c r="A483" s="255" t="s">
        <v>708</v>
      </c>
      <c r="B483" s="254" t="s">
        <v>709</v>
      </c>
      <c r="C483" s="255" t="s">
        <v>16</v>
      </c>
      <c r="D483" s="295">
        <v>4</v>
      </c>
      <c r="E483" s="243">
        <v>135495</v>
      </c>
      <c r="F483" s="243">
        <f t="shared" si="48"/>
        <v>541980</v>
      </c>
      <c r="G483" s="9">
        <v>135495</v>
      </c>
      <c r="H483" s="9">
        <v>541980</v>
      </c>
      <c r="I483" s="339">
        <f t="shared" si="45"/>
        <v>0</v>
      </c>
      <c r="J483" s="339">
        <f t="shared" si="46"/>
        <v>0</v>
      </c>
      <c r="K483" s="9">
        <f t="shared" si="47"/>
        <v>0</v>
      </c>
    </row>
    <row r="484" spans="1:11" s="9" customFormat="1" ht="35.1" customHeight="1" x14ac:dyDescent="0.25">
      <c r="A484" s="255" t="s">
        <v>710</v>
      </c>
      <c r="B484" s="254" t="s">
        <v>1252</v>
      </c>
      <c r="C484" s="255" t="s">
        <v>16</v>
      </c>
      <c r="D484" s="295">
        <v>4</v>
      </c>
      <c r="E484" s="243">
        <v>269435</v>
      </c>
      <c r="F484" s="243">
        <f t="shared" si="48"/>
        <v>1077740</v>
      </c>
      <c r="G484" s="9">
        <v>269435</v>
      </c>
      <c r="H484" s="9">
        <v>1077740</v>
      </c>
      <c r="I484" s="339">
        <f t="shared" si="45"/>
        <v>0</v>
      </c>
      <c r="J484" s="339">
        <f t="shared" si="46"/>
        <v>0</v>
      </c>
      <c r="K484" s="9">
        <f t="shared" si="47"/>
        <v>0</v>
      </c>
    </row>
    <row r="485" spans="1:11" s="9" customFormat="1" ht="35.1" customHeight="1" x14ac:dyDescent="0.25">
      <c r="A485" s="244" t="s">
        <v>1253</v>
      </c>
      <c r="B485" s="256" t="s">
        <v>1254</v>
      </c>
      <c r="C485" s="256"/>
      <c r="D485" s="313"/>
      <c r="E485" s="303"/>
      <c r="F485" s="246"/>
      <c r="I485" s="339">
        <f t="shared" si="45"/>
        <v>0</v>
      </c>
      <c r="J485" s="339">
        <f t="shared" si="46"/>
        <v>0</v>
      </c>
      <c r="K485" s="9">
        <f t="shared" si="47"/>
        <v>0</v>
      </c>
    </row>
    <row r="486" spans="1:11" s="9" customFormat="1" ht="108.75" customHeight="1" x14ac:dyDescent="0.25">
      <c r="A486" s="255" t="s">
        <v>1255</v>
      </c>
      <c r="B486" s="254" t="s">
        <v>1256</v>
      </c>
      <c r="C486" s="255" t="s">
        <v>16</v>
      </c>
      <c r="D486" s="295">
        <v>1</v>
      </c>
      <c r="E486" s="243">
        <v>211450356</v>
      </c>
      <c r="F486" s="243">
        <f t="shared" ref="F486:F497" si="49">ROUND(+E486*D486,2)</f>
        <v>211450356</v>
      </c>
      <c r="G486" s="9">
        <v>211450356</v>
      </c>
      <c r="H486" s="9">
        <v>211450356</v>
      </c>
      <c r="I486" s="339">
        <f t="shared" si="45"/>
        <v>0</v>
      </c>
      <c r="J486" s="339">
        <f t="shared" si="46"/>
        <v>0</v>
      </c>
      <c r="K486" s="9">
        <f t="shared" si="47"/>
        <v>0</v>
      </c>
    </row>
    <row r="487" spans="1:11" s="9" customFormat="1" ht="35.1" customHeight="1" x14ac:dyDescent="0.25">
      <c r="A487" s="255" t="s">
        <v>1257</v>
      </c>
      <c r="B487" s="254" t="s">
        <v>1258</v>
      </c>
      <c r="C487" s="255" t="s">
        <v>16</v>
      </c>
      <c r="D487" s="295">
        <v>1</v>
      </c>
      <c r="E487" s="243">
        <v>1028290</v>
      </c>
      <c r="F487" s="243">
        <f t="shared" si="49"/>
        <v>1028290</v>
      </c>
      <c r="G487" s="9">
        <v>1028290</v>
      </c>
      <c r="H487" s="9">
        <v>1028290</v>
      </c>
      <c r="I487" s="339">
        <f t="shared" si="45"/>
        <v>0</v>
      </c>
      <c r="J487" s="339">
        <f t="shared" si="46"/>
        <v>0</v>
      </c>
      <c r="K487" s="9">
        <f t="shared" si="47"/>
        <v>0</v>
      </c>
    </row>
    <row r="488" spans="1:11" s="9" customFormat="1" ht="35.1" customHeight="1" x14ac:dyDescent="0.25">
      <c r="A488" s="255" t="s">
        <v>1259</v>
      </c>
      <c r="B488" s="254" t="s">
        <v>1260</v>
      </c>
      <c r="C488" s="255" t="s">
        <v>16</v>
      </c>
      <c r="D488" s="295">
        <v>4</v>
      </c>
      <c r="E488" s="243">
        <v>192597</v>
      </c>
      <c r="F488" s="243">
        <f t="shared" si="49"/>
        <v>770388</v>
      </c>
      <c r="G488" s="9">
        <v>192597</v>
      </c>
      <c r="H488" s="9">
        <v>770388</v>
      </c>
      <c r="I488" s="339">
        <f t="shared" si="45"/>
        <v>0</v>
      </c>
      <c r="J488" s="339">
        <f t="shared" si="46"/>
        <v>0</v>
      </c>
      <c r="K488" s="9">
        <f t="shared" si="47"/>
        <v>0</v>
      </c>
    </row>
    <row r="489" spans="1:11" s="9" customFormat="1" ht="50.25" customHeight="1" x14ac:dyDescent="0.25">
      <c r="A489" s="255" t="s">
        <v>1261</v>
      </c>
      <c r="B489" s="254" t="s">
        <v>1262</v>
      </c>
      <c r="C489" s="255" t="s">
        <v>16</v>
      </c>
      <c r="D489" s="295">
        <v>1</v>
      </c>
      <c r="E489" s="243">
        <v>1585520</v>
      </c>
      <c r="F489" s="243">
        <f t="shared" si="49"/>
        <v>1585520</v>
      </c>
      <c r="G489" s="9">
        <v>1585520</v>
      </c>
      <c r="H489" s="9">
        <v>1585520</v>
      </c>
      <c r="I489" s="339">
        <f t="shared" si="45"/>
        <v>0</v>
      </c>
      <c r="J489" s="339">
        <f t="shared" si="46"/>
        <v>0</v>
      </c>
      <c r="K489" s="9">
        <f t="shared" si="47"/>
        <v>0</v>
      </c>
    </row>
    <row r="490" spans="1:11" s="9" customFormat="1" ht="35.1" customHeight="1" x14ac:dyDescent="0.25">
      <c r="A490" s="255" t="s">
        <v>1263</v>
      </c>
      <c r="B490" s="254" t="s">
        <v>1264</v>
      </c>
      <c r="C490" s="255" t="s">
        <v>16</v>
      </c>
      <c r="D490" s="295">
        <v>1</v>
      </c>
      <c r="E490" s="243">
        <v>798978</v>
      </c>
      <c r="F490" s="243">
        <f t="shared" si="49"/>
        <v>798978</v>
      </c>
      <c r="G490" s="9">
        <v>798978</v>
      </c>
      <c r="H490" s="9">
        <v>798978</v>
      </c>
      <c r="I490" s="339">
        <f t="shared" si="45"/>
        <v>0</v>
      </c>
      <c r="J490" s="339">
        <f t="shared" si="46"/>
        <v>0</v>
      </c>
      <c r="K490" s="9">
        <f t="shared" si="47"/>
        <v>0</v>
      </c>
    </row>
    <row r="491" spans="1:11" s="9" customFormat="1" ht="35.1" customHeight="1" x14ac:dyDescent="0.25">
      <c r="A491" s="255" t="s">
        <v>1265</v>
      </c>
      <c r="B491" s="254" t="s">
        <v>1266</v>
      </c>
      <c r="C491" s="255" t="s">
        <v>16</v>
      </c>
      <c r="D491" s="295">
        <v>1</v>
      </c>
      <c r="E491" s="243">
        <v>1512010</v>
      </c>
      <c r="F491" s="243">
        <f t="shared" si="49"/>
        <v>1512010</v>
      </c>
      <c r="G491" s="9">
        <v>1512010</v>
      </c>
      <c r="H491" s="9">
        <v>1512010</v>
      </c>
      <c r="I491" s="339">
        <f t="shared" si="45"/>
        <v>0</v>
      </c>
      <c r="J491" s="339">
        <f t="shared" si="46"/>
        <v>0</v>
      </c>
      <c r="K491" s="9">
        <f t="shared" si="47"/>
        <v>0</v>
      </c>
    </row>
    <row r="492" spans="1:11" s="9" customFormat="1" ht="42.75" customHeight="1" x14ac:dyDescent="0.25">
      <c r="A492" s="255" t="s">
        <v>1267</v>
      </c>
      <c r="B492" s="254" t="s">
        <v>1268</v>
      </c>
      <c r="C492" s="255" t="s">
        <v>269</v>
      </c>
      <c r="D492" s="295">
        <v>8</v>
      </c>
      <c r="E492" s="243">
        <v>224164</v>
      </c>
      <c r="F492" s="243">
        <f t="shared" si="49"/>
        <v>1793312</v>
      </c>
      <c r="G492" s="9">
        <v>224164</v>
      </c>
      <c r="H492" s="9">
        <v>1793312</v>
      </c>
      <c r="I492" s="339">
        <f t="shared" si="45"/>
        <v>0</v>
      </c>
      <c r="J492" s="339">
        <f t="shared" si="46"/>
        <v>0</v>
      </c>
      <c r="K492" s="9">
        <f t="shared" si="47"/>
        <v>0</v>
      </c>
    </row>
    <row r="493" spans="1:11" s="9" customFormat="1" ht="35.1" customHeight="1" x14ac:dyDescent="0.25">
      <c r="A493" s="255" t="s">
        <v>1269</v>
      </c>
      <c r="B493" s="254" t="s">
        <v>1270</v>
      </c>
      <c r="C493" s="255" t="s">
        <v>16</v>
      </c>
      <c r="D493" s="295">
        <v>2</v>
      </c>
      <c r="E493" s="243">
        <v>224164</v>
      </c>
      <c r="F493" s="243">
        <f t="shared" si="49"/>
        <v>448328</v>
      </c>
      <c r="G493" s="9">
        <v>224164</v>
      </c>
      <c r="H493" s="9">
        <v>448328</v>
      </c>
      <c r="I493" s="339">
        <f t="shared" si="45"/>
        <v>0</v>
      </c>
      <c r="J493" s="339">
        <f t="shared" si="46"/>
        <v>0</v>
      </c>
      <c r="K493" s="9">
        <f t="shared" si="47"/>
        <v>0</v>
      </c>
    </row>
    <row r="494" spans="1:11" s="9" customFormat="1" ht="35.1" customHeight="1" x14ac:dyDescent="0.25">
      <c r="A494" s="255" t="s">
        <v>1271</v>
      </c>
      <c r="B494" s="254" t="s">
        <v>1272</v>
      </c>
      <c r="C494" s="255" t="s">
        <v>16</v>
      </c>
      <c r="D494" s="295">
        <v>1</v>
      </c>
      <c r="E494" s="243">
        <v>504920</v>
      </c>
      <c r="F494" s="243">
        <f t="shared" si="49"/>
        <v>504920</v>
      </c>
      <c r="G494" s="9">
        <v>504920</v>
      </c>
      <c r="H494" s="9">
        <v>504920</v>
      </c>
      <c r="I494" s="339">
        <f t="shared" si="45"/>
        <v>0</v>
      </c>
      <c r="J494" s="339">
        <f t="shared" si="46"/>
        <v>0</v>
      </c>
      <c r="K494" s="9">
        <f t="shared" si="47"/>
        <v>0</v>
      </c>
    </row>
    <row r="495" spans="1:11" s="9" customFormat="1" ht="37.5" customHeight="1" x14ac:dyDescent="0.25">
      <c r="A495" s="255" t="s">
        <v>1273</v>
      </c>
      <c r="B495" s="254" t="s">
        <v>1274</v>
      </c>
      <c r="C495" s="255" t="s">
        <v>16</v>
      </c>
      <c r="D495" s="295">
        <v>1</v>
      </c>
      <c r="E495" s="243">
        <v>460203</v>
      </c>
      <c r="F495" s="243">
        <f t="shared" si="49"/>
        <v>460203</v>
      </c>
      <c r="G495" s="9">
        <v>460203</v>
      </c>
      <c r="H495" s="9">
        <v>460203</v>
      </c>
      <c r="I495" s="339">
        <f t="shared" si="45"/>
        <v>0</v>
      </c>
      <c r="J495" s="339">
        <f t="shared" si="46"/>
        <v>0</v>
      </c>
      <c r="K495" s="9">
        <f t="shared" si="47"/>
        <v>0</v>
      </c>
    </row>
    <row r="496" spans="1:11" s="9" customFormat="1" ht="35.1" customHeight="1" x14ac:dyDescent="0.25">
      <c r="A496" s="255" t="s">
        <v>1275</v>
      </c>
      <c r="B496" s="254" t="s">
        <v>1276</v>
      </c>
      <c r="C496" s="255" t="s">
        <v>269</v>
      </c>
      <c r="D496" s="295">
        <v>8</v>
      </c>
      <c r="E496" s="243">
        <v>112871</v>
      </c>
      <c r="F496" s="243">
        <f t="shared" si="49"/>
        <v>902968</v>
      </c>
      <c r="G496" s="9">
        <v>112871</v>
      </c>
      <c r="H496" s="9">
        <v>902968</v>
      </c>
      <c r="I496" s="339">
        <f t="shared" si="45"/>
        <v>0</v>
      </c>
      <c r="J496" s="339">
        <f t="shared" si="46"/>
        <v>0</v>
      </c>
      <c r="K496" s="9">
        <f t="shared" si="47"/>
        <v>0</v>
      </c>
    </row>
    <row r="497" spans="1:11" s="9" customFormat="1" ht="35.1" customHeight="1" x14ac:dyDescent="0.25">
      <c r="A497" s="255" t="s">
        <v>1277</v>
      </c>
      <c r="B497" s="254" t="s">
        <v>1278</v>
      </c>
      <c r="C497" s="255" t="s">
        <v>269</v>
      </c>
      <c r="D497" s="295">
        <v>2</v>
      </c>
      <c r="E497" s="243">
        <v>112871</v>
      </c>
      <c r="F497" s="243">
        <f t="shared" si="49"/>
        <v>225742</v>
      </c>
      <c r="G497" s="9">
        <v>112871</v>
      </c>
      <c r="H497" s="9">
        <v>225742</v>
      </c>
      <c r="I497" s="339">
        <f t="shared" si="45"/>
        <v>0</v>
      </c>
      <c r="J497" s="339">
        <f t="shared" si="46"/>
        <v>0</v>
      </c>
      <c r="K497" s="9">
        <f t="shared" si="47"/>
        <v>0</v>
      </c>
    </row>
    <row r="498" spans="1:11" s="9" customFormat="1" ht="35.1" customHeight="1" x14ac:dyDescent="0.25">
      <c r="A498" s="244" t="s">
        <v>1279</v>
      </c>
      <c r="B498" s="245" t="s">
        <v>1280</v>
      </c>
      <c r="C498" s="256"/>
      <c r="D498" s="313"/>
      <c r="E498" s="303"/>
      <c r="F498" s="246"/>
      <c r="I498" s="339">
        <f t="shared" si="45"/>
        <v>0</v>
      </c>
      <c r="J498" s="339">
        <f t="shared" si="46"/>
        <v>0</v>
      </c>
      <c r="K498" s="9">
        <f t="shared" si="47"/>
        <v>0</v>
      </c>
    </row>
    <row r="499" spans="1:11" s="9" customFormat="1" ht="35.1" customHeight="1" x14ac:dyDescent="0.25">
      <c r="A499" s="255" t="s">
        <v>1281</v>
      </c>
      <c r="B499" s="254" t="s">
        <v>1282</v>
      </c>
      <c r="C499" s="255" t="s">
        <v>16</v>
      </c>
      <c r="D499" s="295">
        <v>1</v>
      </c>
      <c r="E499" s="243">
        <v>23811571</v>
      </c>
      <c r="F499" s="243">
        <f>ROUND(+E499*D499,2)</f>
        <v>23811571</v>
      </c>
      <c r="G499" s="9">
        <v>23811571</v>
      </c>
      <c r="H499" s="9">
        <v>23811571</v>
      </c>
      <c r="I499" s="339">
        <f t="shared" si="45"/>
        <v>0</v>
      </c>
      <c r="J499" s="339">
        <f t="shared" si="46"/>
        <v>0</v>
      </c>
      <c r="K499" s="9">
        <f t="shared" si="47"/>
        <v>0</v>
      </c>
    </row>
    <row r="500" spans="1:11" s="9" customFormat="1" ht="39.950000000000003" customHeight="1" x14ac:dyDescent="0.25">
      <c r="A500" s="244" t="s">
        <v>1283</v>
      </c>
      <c r="B500" s="245" t="s">
        <v>1284</v>
      </c>
      <c r="C500" s="256"/>
      <c r="D500" s="313"/>
      <c r="E500" s="303"/>
      <c r="F500" s="246"/>
      <c r="I500" s="339">
        <f t="shared" si="45"/>
        <v>0</v>
      </c>
      <c r="J500" s="339">
        <f t="shared" si="46"/>
        <v>0</v>
      </c>
      <c r="K500" s="9">
        <f t="shared" si="47"/>
        <v>0</v>
      </c>
    </row>
    <row r="501" spans="1:11" s="9" customFormat="1" ht="39.950000000000003" customHeight="1" x14ac:dyDescent="0.25">
      <c r="A501" s="255" t="s">
        <v>1285</v>
      </c>
      <c r="B501" s="254" t="s">
        <v>1286</v>
      </c>
      <c r="C501" s="255" t="s">
        <v>16</v>
      </c>
      <c r="D501" s="295">
        <v>1</v>
      </c>
      <c r="E501" s="243">
        <v>2327032</v>
      </c>
      <c r="F501" s="243">
        <f>ROUND(+E501*D501,2)</f>
        <v>2327032</v>
      </c>
      <c r="G501" s="9">
        <v>2327032</v>
      </c>
      <c r="H501" s="9">
        <v>2327032</v>
      </c>
      <c r="I501" s="339">
        <f t="shared" si="45"/>
        <v>0</v>
      </c>
      <c r="J501" s="339">
        <f t="shared" si="46"/>
        <v>0</v>
      </c>
      <c r="K501" s="9">
        <f t="shared" si="47"/>
        <v>0</v>
      </c>
    </row>
    <row r="502" spans="1:11" s="9" customFormat="1" ht="39.950000000000003" customHeight="1" x14ac:dyDescent="0.25">
      <c r="A502" s="255" t="s">
        <v>1287</v>
      </c>
      <c r="B502" s="254" t="s">
        <v>1288</v>
      </c>
      <c r="C502" s="255" t="s">
        <v>269</v>
      </c>
      <c r="D502" s="295">
        <v>10</v>
      </c>
      <c r="E502" s="243">
        <v>103302</v>
      </c>
      <c r="F502" s="243">
        <f>ROUND(+E502*D502,2)</f>
        <v>1033020</v>
      </c>
      <c r="G502" s="9">
        <v>103302</v>
      </c>
      <c r="H502" s="9">
        <v>1033020</v>
      </c>
      <c r="I502" s="339">
        <f t="shared" si="45"/>
        <v>0</v>
      </c>
      <c r="J502" s="339">
        <f t="shared" si="46"/>
        <v>0</v>
      </c>
      <c r="K502" s="9">
        <f t="shared" si="47"/>
        <v>0</v>
      </c>
    </row>
    <row r="503" spans="1:11" s="9" customFormat="1" ht="39.950000000000003" customHeight="1" x14ac:dyDescent="0.25">
      <c r="A503" s="255" t="s">
        <v>1289</v>
      </c>
      <c r="B503" s="254" t="s">
        <v>1290</v>
      </c>
      <c r="C503" s="255" t="s">
        <v>269</v>
      </c>
      <c r="D503" s="295">
        <v>5</v>
      </c>
      <c r="E503" s="243">
        <v>188987</v>
      </c>
      <c r="F503" s="243">
        <f>ROUND(+E503*D503,2)</f>
        <v>944935</v>
      </c>
      <c r="G503" s="9">
        <v>188987</v>
      </c>
      <c r="H503" s="9">
        <v>944935</v>
      </c>
      <c r="I503" s="339">
        <f t="shared" si="45"/>
        <v>0</v>
      </c>
      <c r="J503" s="339">
        <f t="shared" si="46"/>
        <v>0</v>
      </c>
      <c r="K503" s="9">
        <f t="shared" si="47"/>
        <v>0</v>
      </c>
    </row>
    <row r="504" spans="1:11" s="9" customFormat="1" ht="39.950000000000003" customHeight="1" x14ac:dyDescent="0.25">
      <c r="A504" s="255" t="s">
        <v>1291</v>
      </c>
      <c r="B504" s="254" t="s">
        <v>1292</v>
      </c>
      <c r="C504" s="255" t="s">
        <v>269</v>
      </c>
      <c r="D504" s="295">
        <v>5</v>
      </c>
      <c r="E504" s="243">
        <v>188987</v>
      </c>
      <c r="F504" s="243">
        <f>ROUND(+E504*D504,2)</f>
        <v>944935</v>
      </c>
      <c r="G504" s="9">
        <v>188987</v>
      </c>
      <c r="H504" s="9">
        <v>944935</v>
      </c>
      <c r="I504" s="339">
        <f t="shared" si="45"/>
        <v>0</v>
      </c>
      <c r="J504" s="339">
        <f t="shared" si="46"/>
        <v>0</v>
      </c>
      <c r="K504" s="9">
        <f t="shared" si="47"/>
        <v>0</v>
      </c>
    </row>
    <row r="505" spans="1:11" s="9" customFormat="1" ht="35.1" customHeight="1" x14ac:dyDescent="0.25">
      <c r="A505" s="255" t="s">
        <v>1293</v>
      </c>
      <c r="B505" s="254" t="s">
        <v>1294</v>
      </c>
      <c r="C505" s="255" t="s">
        <v>1423</v>
      </c>
      <c r="D505" s="295">
        <v>200</v>
      </c>
      <c r="E505" s="243">
        <v>9990</v>
      </c>
      <c r="F505" s="243">
        <f>ROUND(+E505*D505,2)</f>
        <v>1998000</v>
      </c>
      <c r="G505" s="9">
        <v>9990</v>
      </c>
      <c r="H505" s="9">
        <v>1998000</v>
      </c>
      <c r="I505" s="339">
        <f t="shared" si="45"/>
        <v>0</v>
      </c>
      <c r="J505" s="339">
        <f t="shared" si="46"/>
        <v>0</v>
      </c>
      <c r="K505" s="9">
        <f t="shared" si="47"/>
        <v>0</v>
      </c>
    </row>
    <row r="506" spans="1:11" s="9" customFormat="1" ht="35.1" customHeight="1" x14ac:dyDescent="0.25">
      <c r="A506" s="293">
        <v>16</v>
      </c>
      <c r="B506" s="294" t="s">
        <v>712</v>
      </c>
      <c r="C506" s="267"/>
      <c r="D506" s="316"/>
      <c r="E506" s="306"/>
      <c r="F506" s="268"/>
      <c r="I506" s="339">
        <f t="shared" si="45"/>
        <v>0</v>
      </c>
      <c r="J506" s="339">
        <f t="shared" si="46"/>
        <v>0</v>
      </c>
      <c r="K506" s="9">
        <f t="shared" si="47"/>
        <v>0</v>
      </c>
    </row>
    <row r="507" spans="1:11" s="9" customFormat="1" ht="35.1" customHeight="1" x14ac:dyDescent="0.25">
      <c r="A507" s="244" t="s">
        <v>713</v>
      </c>
      <c r="B507" s="256" t="s">
        <v>714</v>
      </c>
      <c r="C507" s="256"/>
      <c r="D507" s="313"/>
      <c r="E507" s="303"/>
      <c r="F507" s="246"/>
      <c r="I507" s="339">
        <f t="shared" si="45"/>
        <v>0</v>
      </c>
      <c r="J507" s="339">
        <f t="shared" si="46"/>
        <v>0</v>
      </c>
      <c r="K507" s="9">
        <f t="shared" si="47"/>
        <v>0</v>
      </c>
    </row>
    <row r="508" spans="1:11" s="9" customFormat="1" ht="35.1" customHeight="1" x14ac:dyDescent="0.25">
      <c r="A508" s="255" t="s">
        <v>715</v>
      </c>
      <c r="B508" s="87" t="s">
        <v>716</v>
      </c>
      <c r="C508" s="255" t="s">
        <v>16</v>
      </c>
      <c r="D508" s="295">
        <v>210</v>
      </c>
      <c r="E508" s="243">
        <v>132419</v>
      </c>
      <c r="F508" s="243">
        <f t="shared" ref="F508:F516" si="50">ROUND(+E508*D508,2)</f>
        <v>27807990</v>
      </c>
      <c r="G508" s="9">
        <v>132419</v>
      </c>
      <c r="H508" s="9">
        <v>27807990</v>
      </c>
      <c r="I508" s="339">
        <f t="shared" si="45"/>
        <v>0</v>
      </c>
      <c r="J508" s="339">
        <f t="shared" si="46"/>
        <v>0</v>
      </c>
      <c r="K508" s="9">
        <f t="shared" si="47"/>
        <v>0</v>
      </c>
    </row>
    <row r="509" spans="1:11" s="9" customFormat="1" ht="35.1" customHeight="1" x14ac:dyDescent="0.25">
      <c r="A509" s="255" t="s">
        <v>717</v>
      </c>
      <c r="B509" s="87" t="s">
        <v>718</v>
      </c>
      <c r="C509" s="255" t="s">
        <v>16</v>
      </c>
      <c r="D509" s="295">
        <v>112</v>
      </c>
      <c r="E509" s="243">
        <v>214137</v>
      </c>
      <c r="F509" s="243">
        <f t="shared" si="50"/>
        <v>23983344</v>
      </c>
      <c r="G509" s="9">
        <v>214137</v>
      </c>
      <c r="H509" s="9">
        <v>23983344</v>
      </c>
      <c r="I509" s="339">
        <f t="shared" si="45"/>
        <v>0</v>
      </c>
      <c r="J509" s="339">
        <f t="shared" si="46"/>
        <v>0</v>
      </c>
      <c r="K509" s="9">
        <f t="shared" si="47"/>
        <v>0</v>
      </c>
    </row>
    <row r="510" spans="1:11" s="9" customFormat="1" ht="35.1" customHeight="1" x14ac:dyDescent="0.25">
      <c r="A510" s="255" t="s">
        <v>719</v>
      </c>
      <c r="B510" s="254" t="s">
        <v>720</v>
      </c>
      <c r="C510" s="255" t="s">
        <v>16</v>
      </c>
      <c r="D510" s="295">
        <v>166</v>
      </c>
      <c r="E510" s="243">
        <v>195814</v>
      </c>
      <c r="F510" s="243">
        <f t="shared" si="50"/>
        <v>32505124</v>
      </c>
      <c r="G510" s="9">
        <v>195814</v>
      </c>
      <c r="H510" s="9">
        <v>32505124</v>
      </c>
      <c r="I510" s="339">
        <f t="shared" si="45"/>
        <v>0</v>
      </c>
      <c r="J510" s="339">
        <f t="shared" si="46"/>
        <v>0</v>
      </c>
      <c r="K510" s="9">
        <f t="shared" si="47"/>
        <v>0</v>
      </c>
    </row>
    <row r="511" spans="1:11" s="9" customFormat="1" ht="35.1" customHeight="1" x14ac:dyDescent="0.25">
      <c r="A511" s="255" t="s">
        <v>721</v>
      </c>
      <c r="B511" s="254" t="s">
        <v>722</v>
      </c>
      <c r="C511" s="255" t="s">
        <v>16</v>
      </c>
      <c r="D511" s="295">
        <v>69</v>
      </c>
      <c r="E511" s="243">
        <v>144433</v>
      </c>
      <c r="F511" s="243">
        <f t="shared" si="50"/>
        <v>9965877</v>
      </c>
      <c r="G511" s="9">
        <v>144433</v>
      </c>
      <c r="H511" s="9">
        <v>9965877</v>
      </c>
      <c r="I511" s="339">
        <f t="shared" si="45"/>
        <v>0</v>
      </c>
      <c r="J511" s="339">
        <f t="shared" si="46"/>
        <v>0</v>
      </c>
      <c r="K511" s="9">
        <f t="shared" si="47"/>
        <v>0</v>
      </c>
    </row>
    <row r="512" spans="1:11" s="9" customFormat="1" ht="35.1" customHeight="1" x14ac:dyDescent="0.25">
      <c r="A512" s="255" t="s">
        <v>723</v>
      </c>
      <c r="B512" s="254" t="s">
        <v>724</v>
      </c>
      <c r="C512" s="255" t="s">
        <v>16</v>
      </c>
      <c r="D512" s="295">
        <v>252</v>
      </c>
      <c r="E512" s="243">
        <v>232703</v>
      </c>
      <c r="F512" s="243">
        <f t="shared" si="50"/>
        <v>58641156</v>
      </c>
      <c r="G512" s="9">
        <v>232703</v>
      </c>
      <c r="H512" s="9">
        <v>58641156</v>
      </c>
      <c r="I512" s="339">
        <f t="shared" si="45"/>
        <v>0</v>
      </c>
      <c r="J512" s="339">
        <f t="shared" si="46"/>
        <v>0</v>
      </c>
      <c r="K512" s="9">
        <f t="shared" si="47"/>
        <v>0</v>
      </c>
    </row>
    <row r="513" spans="1:11" s="9" customFormat="1" ht="35.1" customHeight="1" x14ac:dyDescent="0.25">
      <c r="A513" s="255" t="s">
        <v>725</v>
      </c>
      <c r="B513" s="254" t="s">
        <v>726</v>
      </c>
      <c r="C513" s="255" t="s">
        <v>16</v>
      </c>
      <c r="D513" s="295">
        <v>8</v>
      </c>
      <c r="E513" s="243">
        <v>277466</v>
      </c>
      <c r="F513" s="243">
        <f t="shared" si="50"/>
        <v>2219728</v>
      </c>
      <c r="G513" s="9">
        <v>277466</v>
      </c>
      <c r="H513" s="9">
        <v>2219728</v>
      </c>
      <c r="I513" s="339">
        <f t="shared" si="45"/>
        <v>0</v>
      </c>
      <c r="J513" s="339">
        <f t="shared" si="46"/>
        <v>0</v>
      </c>
      <c r="K513" s="9">
        <f t="shared" si="47"/>
        <v>0</v>
      </c>
    </row>
    <row r="514" spans="1:11" s="9" customFormat="1" ht="35.1" customHeight="1" x14ac:dyDescent="0.25">
      <c r="A514" s="255" t="s">
        <v>727</v>
      </c>
      <c r="B514" s="254" t="s">
        <v>728</v>
      </c>
      <c r="C514" s="255" t="s">
        <v>16</v>
      </c>
      <c r="D514" s="295">
        <v>8</v>
      </c>
      <c r="E514" s="243">
        <v>205006</v>
      </c>
      <c r="F514" s="243">
        <f t="shared" si="50"/>
        <v>1640048</v>
      </c>
      <c r="G514" s="9">
        <v>205006</v>
      </c>
      <c r="H514" s="9">
        <v>1640048</v>
      </c>
      <c r="I514" s="339">
        <f t="shared" si="45"/>
        <v>0</v>
      </c>
      <c r="J514" s="339">
        <f t="shared" si="46"/>
        <v>0</v>
      </c>
      <c r="K514" s="9">
        <f t="shared" si="47"/>
        <v>0</v>
      </c>
    </row>
    <row r="515" spans="1:11" s="9" customFormat="1" ht="35.1" customHeight="1" x14ac:dyDescent="0.25">
      <c r="A515" s="255" t="s">
        <v>729</v>
      </c>
      <c r="B515" s="291" t="s">
        <v>730</v>
      </c>
      <c r="C515" s="255" t="s">
        <v>16</v>
      </c>
      <c r="D515" s="295">
        <v>92</v>
      </c>
      <c r="E515" s="243">
        <v>99609</v>
      </c>
      <c r="F515" s="243">
        <f t="shared" si="50"/>
        <v>9164028</v>
      </c>
      <c r="G515" s="9">
        <v>99609</v>
      </c>
      <c r="H515" s="9">
        <v>9164028</v>
      </c>
      <c r="I515" s="339">
        <f t="shared" si="45"/>
        <v>0</v>
      </c>
      <c r="J515" s="339">
        <f t="shared" si="46"/>
        <v>0</v>
      </c>
      <c r="K515" s="9">
        <f t="shared" si="47"/>
        <v>0</v>
      </c>
    </row>
    <row r="516" spans="1:11" s="9" customFormat="1" ht="35.1" customHeight="1" x14ac:dyDescent="0.25">
      <c r="A516" s="255" t="s">
        <v>731</v>
      </c>
      <c r="B516" s="254" t="s">
        <v>732</v>
      </c>
      <c r="C516" s="255" t="s">
        <v>16</v>
      </c>
      <c r="D516" s="295">
        <v>14</v>
      </c>
      <c r="E516" s="243">
        <v>79847</v>
      </c>
      <c r="F516" s="243">
        <f t="shared" si="50"/>
        <v>1117858</v>
      </c>
      <c r="G516" s="9">
        <v>79847</v>
      </c>
      <c r="H516" s="9">
        <v>1117858</v>
      </c>
      <c r="I516" s="339">
        <f t="shared" si="45"/>
        <v>0</v>
      </c>
      <c r="J516" s="339">
        <f t="shared" si="46"/>
        <v>0</v>
      </c>
      <c r="K516" s="9">
        <f t="shared" si="47"/>
        <v>0</v>
      </c>
    </row>
    <row r="517" spans="1:11" s="9" customFormat="1" ht="35.1" customHeight="1" x14ac:dyDescent="0.25">
      <c r="A517" s="266">
        <v>17</v>
      </c>
      <c r="B517" s="267" t="s">
        <v>733</v>
      </c>
      <c r="C517" s="267"/>
      <c r="D517" s="316"/>
      <c r="E517" s="306"/>
      <c r="F517" s="268"/>
      <c r="I517" s="339">
        <f t="shared" ref="I517:I580" si="51">+E517-G517</f>
        <v>0</v>
      </c>
      <c r="J517" s="339">
        <f t="shared" ref="J517:J580" si="52">+H517-F517</f>
        <v>0</v>
      </c>
      <c r="K517" s="9">
        <f t="shared" ref="K517:K580" si="53">IF(J517&gt;0,1,0)</f>
        <v>0</v>
      </c>
    </row>
    <row r="518" spans="1:11" s="9" customFormat="1" ht="35.1" customHeight="1" x14ac:dyDescent="0.25">
      <c r="A518" s="244" t="s">
        <v>1295</v>
      </c>
      <c r="B518" s="256" t="s">
        <v>1296</v>
      </c>
      <c r="C518" s="256"/>
      <c r="D518" s="313"/>
      <c r="E518" s="303"/>
      <c r="F518" s="246"/>
      <c r="I518" s="339">
        <f t="shared" si="51"/>
        <v>0</v>
      </c>
      <c r="J518" s="339">
        <f t="shared" si="52"/>
        <v>0</v>
      </c>
      <c r="K518" s="9">
        <f t="shared" si="53"/>
        <v>0</v>
      </c>
    </row>
    <row r="519" spans="1:11" s="9" customFormat="1" ht="35.1" customHeight="1" x14ac:dyDescent="0.25">
      <c r="A519" s="255" t="s">
        <v>1297</v>
      </c>
      <c r="B519" s="254" t="s">
        <v>1298</v>
      </c>
      <c r="C519" s="240" t="s">
        <v>16</v>
      </c>
      <c r="D519" s="295">
        <v>1</v>
      </c>
      <c r="E519" s="243">
        <v>246291164</v>
      </c>
      <c r="F519" s="243">
        <f t="shared" ref="F519:F533" si="54">ROUND(+E519*D519,2)</f>
        <v>246291164</v>
      </c>
      <c r="G519" s="9">
        <v>246291164</v>
      </c>
      <c r="H519" s="9">
        <v>246291164</v>
      </c>
      <c r="I519" s="339">
        <f t="shared" si="51"/>
        <v>0</v>
      </c>
      <c r="J519" s="339">
        <f t="shared" si="52"/>
        <v>0</v>
      </c>
      <c r="K519" s="9">
        <f t="shared" si="53"/>
        <v>0</v>
      </c>
    </row>
    <row r="520" spans="1:11" s="9" customFormat="1" ht="35.1" customHeight="1" x14ac:dyDescent="0.25">
      <c r="A520" s="255" t="s">
        <v>1299</v>
      </c>
      <c r="B520" s="254" t="s">
        <v>1300</v>
      </c>
      <c r="C520" s="240" t="s">
        <v>16</v>
      </c>
      <c r="D520" s="295">
        <v>1</v>
      </c>
      <c r="E520" s="243">
        <v>197545150</v>
      </c>
      <c r="F520" s="243">
        <f t="shared" si="54"/>
        <v>197545150</v>
      </c>
      <c r="G520" s="9">
        <v>197545150</v>
      </c>
      <c r="H520" s="9">
        <v>197545150</v>
      </c>
      <c r="I520" s="339">
        <f t="shared" si="51"/>
        <v>0</v>
      </c>
      <c r="J520" s="339">
        <f t="shared" si="52"/>
        <v>0</v>
      </c>
      <c r="K520" s="9">
        <f t="shared" si="53"/>
        <v>0</v>
      </c>
    </row>
    <row r="521" spans="1:11" s="9" customFormat="1" ht="35.1" customHeight="1" x14ac:dyDescent="0.25">
      <c r="A521" s="255" t="s">
        <v>1301</v>
      </c>
      <c r="B521" s="241" t="s">
        <v>1424</v>
      </c>
      <c r="C521" s="240" t="s">
        <v>16</v>
      </c>
      <c r="D521" s="295">
        <v>2</v>
      </c>
      <c r="E521" s="243">
        <v>856442</v>
      </c>
      <c r="F521" s="243">
        <f t="shared" si="54"/>
        <v>1712884</v>
      </c>
      <c r="G521" s="9">
        <v>856442</v>
      </c>
      <c r="H521" s="9">
        <v>1712884</v>
      </c>
      <c r="I521" s="339">
        <f t="shared" si="51"/>
        <v>0</v>
      </c>
      <c r="J521" s="339">
        <f t="shared" si="52"/>
        <v>0</v>
      </c>
      <c r="K521" s="9">
        <f t="shared" si="53"/>
        <v>0</v>
      </c>
    </row>
    <row r="522" spans="1:11" s="9" customFormat="1" ht="35.1" customHeight="1" x14ac:dyDescent="0.25">
      <c r="A522" s="255" t="s">
        <v>1303</v>
      </c>
      <c r="B522" s="254" t="s">
        <v>1304</v>
      </c>
      <c r="C522" s="240" t="s">
        <v>16</v>
      </c>
      <c r="D522" s="295">
        <v>9</v>
      </c>
      <c r="E522" s="243">
        <v>3292279</v>
      </c>
      <c r="F522" s="243">
        <f t="shared" si="54"/>
        <v>29630511</v>
      </c>
      <c r="G522" s="9">
        <v>3292279</v>
      </c>
      <c r="H522" s="9">
        <v>29630511</v>
      </c>
      <c r="I522" s="339">
        <f t="shared" si="51"/>
        <v>0</v>
      </c>
      <c r="J522" s="339">
        <f t="shared" si="52"/>
        <v>0</v>
      </c>
      <c r="K522" s="9">
        <f t="shared" si="53"/>
        <v>0</v>
      </c>
    </row>
    <row r="523" spans="1:11" s="9" customFormat="1" ht="35.1" customHeight="1" x14ac:dyDescent="0.25">
      <c r="A523" s="255" t="s">
        <v>1305</v>
      </c>
      <c r="B523" s="254" t="s">
        <v>1306</v>
      </c>
      <c r="C523" s="240" t="s">
        <v>16</v>
      </c>
      <c r="D523" s="295">
        <v>16</v>
      </c>
      <c r="E523" s="243">
        <v>2238311</v>
      </c>
      <c r="F523" s="243">
        <f t="shared" si="54"/>
        <v>35812976</v>
      </c>
      <c r="G523" s="9">
        <v>2238311</v>
      </c>
      <c r="H523" s="9">
        <v>35812976</v>
      </c>
      <c r="I523" s="339">
        <f t="shared" si="51"/>
        <v>0</v>
      </c>
      <c r="J523" s="339">
        <f t="shared" si="52"/>
        <v>0</v>
      </c>
      <c r="K523" s="9">
        <f t="shared" si="53"/>
        <v>0</v>
      </c>
    </row>
    <row r="524" spans="1:11" s="9" customFormat="1" ht="35.1" customHeight="1" x14ac:dyDescent="0.25">
      <c r="A524" s="255" t="s">
        <v>1307</v>
      </c>
      <c r="B524" s="254" t="s">
        <v>1308</v>
      </c>
      <c r="C524" s="240" t="s">
        <v>16</v>
      </c>
      <c r="D524" s="295">
        <v>1</v>
      </c>
      <c r="E524" s="243">
        <v>2106565</v>
      </c>
      <c r="F524" s="243">
        <f t="shared" si="54"/>
        <v>2106565</v>
      </c>
      <c r="G524" s="9">
        <v>2106565</v>
      </c>
      <c r="H524" s="9">
        <v>2106565</v>
      </c>
      <c r="I524" s="339">
        <f t="shared" si="51"/>
        <v>0</v>
      </c>
      <c r="J524" s="339">
        <f t="shared" si="52"/>
        <v>0</v>
      </c>
      <c r="K524" s="9">
        <f t="shared" si="53"/>
        <v>0</v>
      </c>
    </row>
    <row r="525" spans="1:11" s="9" customFormat="1" ht="35.1" customHeight="1" x14ac:dyDescent="0.25">
      <c r="A525" s="255" t="s">
        <v>1309</v>
      </c>
      <c r="B525" s="254" t="s">
        <v>1310</v>
      </c>
      <c r="C525" s="240" t="s">
        <v>16</v>
      </c>
      <c r="D525" s="295">
        <v>1</v>
      </c>
      <c r="E525" s="243">
        <v>1974819</v>
      </c>
      <c r="F525" s="243">
        <f t="shared" si="54"/>
        <v>1974819</v>
      </c>
      <c r="G525" s="9">
        <v>1974819</v>
      </c>
      <c r="H525" s="9">
        <v>1974819</v>
      </c>
      <c r="I525" s="339">
        <f t="shared" si="51"/>
        <v>0</v>
      </c>
      <c r="J525" s="339">
        <f t="shared" si="52"/>
        <v>0</v>
      </c>
      <c r="K525" s="9">
        <f t="shared" si="53"/>
        <v>0</v>
      </c>
    </row>
    <row r="526" spans="1:11" s="9" customFormat="1" ht="35.1" customHeight="1" x14ac:dyDescent="0.25">
      <c r="A526" s="255" t="s">
        <v>1311</v>
      </c>
      <c r="B526" s="254" t="s">
        <v>1312</v>
      </c>
      <c r="C526" s="240" t="s">
        <v>16</v>
      </c>
      <c r="D526" s="295">
        <v>3</v>
      </c>
      <c r="E526" s="243">
        <v>1184343</v>
      </c>
      <c r="F526" s="243">
        <f t="shared" si="54"/>
        <v>3553029</v>
      </c>
      <c r="G526" s="9">
        <v>1184343</v>
      </c>
      <c r="H526" s="9">
        <v>3553029</v>
      </c>
      <c r="I526" s="339">
        <f t="shared" si="51"/>
        <v>0</v>
      </c>
      <c r="J526" s="339">
        <f t="shared" si="52"/>
        <v>0</v>
      </c>
      <c r="K526" s="9">
        <f t="shared" si="53"/>
        <v>0</v>
      </c>
    </row>
    <row r="527" spans="1:11" s="9" customFormat="1" ht="35.1" customHeight="1" x14ac:dyDescent="0.25">
      <c r="A527" s="255" t="s">
        <v>1313</v>
      </c>
      <c r="B527" s="254" t="s">
        <v>1314</v>
      </c>
      <c r="C527" s="240" t="s">
        <v>16</v>
      </c>
      <c r="D527" s="295">
        <v>3</v>
      </c>
      <c r="E527" s="243">
        <v>1566406</v>
      </c>
      <c r="F527" s="243">
        <f t="shared" si="54"/>
        <v>4699218</v>
      </c>
      <c r="G527" s="9">
        <v>1566406</v>
      </c>
      <c r="H527" s="9">
        <v>4699218</v>
      </c>
      <c r="I527" s="339">
        <f t="shared" si="51"/>
        <v>0</v>
      </c>
      <c r="J527" s="339">
        <f t="shared" si="52"/>
        <v>0</v>
      </c>
      <c r="K527" s="9">
        <f t="shared" si="53"/>
        <v>0</v>
      </c>
    </row>
    <row r="528" spans="1:11" s="9" customFormat="1" ht="35.1" customHeight="1" x14ac:dyDescent="0.25">
      <c r="A528" s="255" t="s">
        <v>1315</v>
      </c>
      <c r="B528" s="254" t="s">
        <v>1316</v>
      </c>
      <c r="C528" s="240" t="s">
        <v>16</v>
      </c>
      <c r="D528" s="295">
        <v>1</v>
      </c>
      <c r="E528" s="243">
        <v>1691564</v>
      </c>
      <c r="F528" s="243">
        <f t="shared" si="54"/>
        <v>1691564</v>
      </c>
      <c r="G528" s="9">
        <v>1691564</v>
      </c>
      <c r="H528" s="9">
        <v>1691564</v>
      </c>
      <c r="I528" s="339">
        <f t="shared" si="51"/>
        <v>0</v>
      </c>
      <c r="J528" s="339">
        <f t="shared" si="52"/>
        <v>0</v>
      </c>
      <c r="K528" s="9">
        <f t="shared" si="53"/>
        <v>0</v>
      </c>
    </row>
    <row r="529" spans="1:11" s="9" customFormat="1" ht="35.1" customHeight="1" x14ac:dyDescent="0.25">
      <c r="A529" s="255" t="s">
        <v>1317</v>
      </c>
      <c r="B529" s="254" t="s">
        <v>1318</v>
      </c>
      <c r="C529" s="240" t="s">
        <v>16</v>
      </c>
      <c r="D529" s="295">
        <v>1</v>
      </c>
      <c r="E529" s="243">
        <v>1843073</v>
      </c>
      <c r="F529" s="243">
        <f t="shared" si="54"/>
        <v>1843073</v>
      </c>
      <c r="G529" s="9">
        <v>1843073</v>
      </c>
      <c r="H529" s="9">
        <v>1843073</v>
      </c>
      <c r="I529" s="339">
        <f t="shared" si="51"/>
        <v>0</v>
      </c>
      <c r="J529" s="339">
        <f t="shared" si="52"/>
        <v>0</v>
      </c>
      <c r="K529" s="9">
        <f t="shared" si="53"/>
        <v>0</v>
      </c>
    </row>
    <row r="530" spans="1:11" s="9" customFormat="1" ht="35.1" customHeight="1" x14ac:dyDescent="0.25">
      <c r="A530" s="255" t="s">
        <v>1319</v>
      </c>
      <c r="B530" s="254" t="s">
        <v>1320</v>
      </c>
      <c r="C530" s="240" t="s">
        <v>16</v>
      </c>
      <c r="D530" s="295">
        <v>2</v>
      </c>
      <c r="E530" s="243">
        <v>10144815</v>
      </c>
      <c r="F530" s="243">
        <f t="shared" si="54"/>
        <v>20289630</v>
      </c>
      <c r="G530" s="9">
        <v>10144815</v>
      </c>
      <c r="H530" s="9">
        <v>20289630</v>
      </c>
      <c r="I530" s="339">
        <f t="shared" si="51"/>
        <v>0</v>
      </c>
      <c r="J530" s="339">
        <f t="shared" si="52"/>
        <v>0</v>
      </c>
      <c r="K530" s="9">
        <f t="shared" si="53"/>
        <v>0</v>
      </c>
    </row>
    <row r="531" spans="1:11" s="9" customFormat="1" ht="35.1" customHeight="1" x14ac:dyDescent="0.25">
      <c r="A531" s="255" t="s">
        <v>1321</v>
      </c>
      <c r="B531" s="254" t="s">
        <v>1322</v>
      </c>
      <c r="C531" s="240" t="s">
        <v>16</v>
      </c>
      <c r="D531" s="295">
        <v>1</v>
      </c>
      <c r="E531" s="243">
        <v>16336970</v>
      </c>
      <c r="F531" s="243">
        <f t="shared" si="54"/>
        <v>16336970</v>
      </c>
      <c r="G531" s="9">
        <v>16336970</v>
      </c>
      <c r="H531" s="9">
        <v>16336970</v>
      </c>
      <c r="I531" s="339">
        <f t="shared" si="51"/>
        <v>0</v>
      </c>
      <c r="J531" s="339">
        <f t="shared" si="52"/>
        <v>0</v>
      </c>
      <c r="K531" s="9">
        <f t="shared" si="53"/>
        <v>0</v>
      </c>
    </row>
    <row r="532" spans="1:11" s="9" customFormat="1" ht="35.1" customHeight="1" x14ac:dyDescent="0.25">
      <c r="A532" s="255" t="s">
        <v>1323</v>
      </c>
      <c r="B532" s="254" t="s">
        <v>1324</v>
      </c>
      <c r="C532" s="240" t="s">
        <v>16</v>
      </c>
      <c r="D532" s="295">
        <v>4</v>
      </c>
      <c r="E532" s="243">
        <v>6806986</v>
      </c>
      <c r="F532" s="243">
        <f t="shared" si="54"/>
        <v>27227944</v>
      </c>
      <c r="G532" s="9">
        <v>6806986</v>
      </c>
      <c r="H532" s="9">
        <v>27227944</v>
      </c>
      <c r="I532" s="339">
        <f t="shared" si="51"/>
        <v>0</v>
      </c>
      <c r="J532" s="339">
        <f t="shared" si="52"/>
        <v>0</v>
      </c>
      <c r="K532" s="9">
        <f t="shared" si="53"/>
        <v>0</v>
      </c>
    </row>
    <row r="533" spans="1:11" s="9" customFormat="1" ht="35.1" customHeight="1" x14ac:dyDescent="0.25">
      <c r="A533" s="255" t="s">
        <v>1325</v>
      </c>
      <c r="B533" s="254" t="s">
        <v>1326</v>
      </c>
      <c r="C533" s="240" t="s">
        <v>16</v>
      </c>
      <c r="D533" s="295">
        <v>2</v>
      </c>
      <c r="E533" s="243">
        <v>23820382</v>
      </c>
      <c r="F533" s="243">
        <f t="shared" si="54"/>
        <v>47640764</v>
      </c>
      <c r="G533" s="9">
        <v>23820382</v>
      </c>
      <c r="H533" s="9">
        <v>47640764</v>
      </c>
      <c r="I533" s="339">
        <f t="shared" si="51"/>
        <v>0</v>
      </c>
      <c r="J533" s="339">
        <f t="shared" si="52"/>
        <v>0</v>
      </c>
      <c r="K533" s="9">
        <f t="shared" si="53"/>
        <v>0</v>
      </c>
    </row>
    <row r="534" spans="1:11" s="9" customFormat="1" ht="35.1" customHeight="1" x14ac:dyDescent="0.25">
      <c r="A534" s="244" t="s">
        <v>734</v>
      </c>
      <c r="B534" s="256" t="s">
        <v>735</v>
      </c>
      <c r="C534" s="256"/>
      <c r="D534" s="313"/>
      <c r="E534" s="303"/>
      <c r="F534" s="246"/>
      <c r="I534" s="339">
        <f t="shared" si="51"/>
        <v>0</v>
      </c>
      <c r="J534" s="339">
        <f t="shared" si="52"/>
        <v>0</v>
      </c>
      <c r="K534" s="9">
        <f t="shared" si="53"/>
        <v>0</v>
      </c>
    </row>
    <row r="535" spans="1:11" s="9" customFormat="1" ht="35.1" customHeight="1" x14ac:dyDescent="0.25">
      <c r="A535" s="255" t="s">
        <v>736</v>
      </c>
      <c r="B535" s="254" t="s">
        <v>737</v>
      </c>
      <c r="C535" s="240" t="s">
        <v>94</v>
      </c>
      <c r="D535" s="295">
        <v>62</v>
      </c>
      <c r="E535" s="243">
        <v>73508</v>
      </c>
      <c r="F535" s="243">
        <f t="shared" ref="F535:F542" si="55">ROUND(+E535*D535,2)</f>
        <v>4557496</v>
      </c>
      <c r="G535" s="9">
        <v>73508</v>
      </c>
      <c r="H535" s="9">
        <v>4557496</v>
      </c>
      <c r="I535" s="339">
        <f t="shared" si="51"/>
        <v>0</v>
      </c>
      <c r="J535" s="339">
        <f t="shared" si="52"/>
        <v>0</v>
      </c>
      <c r="K535" s="9">
        <f t="shared" si="53"/>
        <v>0</v>
      </c>
    </row>
    <row r="536" spans="1:11" s="9" customFormat="1" ht="35.1" customHeight="1" x14ac:dyDescent="0.25">
      <c r="A536" s="255" t="s">
        <v>738</v>
      </c>
      <c r="B536" s="254" t="s">
        <v>739</v>
      </c>
      <c r="C536" s="240" t="s">
        <v>94</v>
      </c>
      <c r="D536" s="295">
        <v>33</v>
      </c>
      <c r="E536" s="243">
        <v>47798</v>
      </c>
      <c r="F536" s="243">
        <f t="shared" si="55"/>
        <v>1577334</v>
      </c>
      <c r="G536" s="9">
        <v>47798</v>
      </c>
      <c r="H536" s="9">
        <v>1577334</v>
      </c>
      <c r="I536" s="339">
        <f t="shared" si="51"/>
        <v>0</v>
      </c>
      <c r="J536" s="339">
        <f t="shared" si="52"/>
        <v>0</v>
      </c>
      <c r="K536" s="9">
        <f t="shared" si="53"/>
        <v>0</v>
      </c>
    </row>
    <row r="537" spans="1:11" s="9" customFormat="1" ht="35.1" customHeight="1" x14ac:dyDescent="0.25">
      <c r="A537" s="255" t="s">
        <v>740</v>
      </c>
      <c r="B537" s="254" t="s">
        <v>741</v>
      </c>
      <c r="C537" s="240" t="s">
        <v>94</v>
      </c>
      <c r="D537" s="295">
        <v>88</v>
      </c>
      <c r="E537" s="243">
        <v>35622</v>
      </c>
      <c r="F537" s="243">
        <f t="shared" si="55"/>
        <v>3134736</v>
      </c>
      <c r="G537" s="9">
        <v>35622</v>
      </c>
      <c r="H537" s="9">
        <v>3134736</v>
      </c>
      <c r="I537" s="339">
        <f t="shared" si="51"/>
        <v>0</v>
      </c>
      <c r="J537" s="339">
        <f t="shared" si="52"/>
        <v>0</v>
      </c>
      <c r="K537" s="9">
        <f t="shared" si="53"/>
        <v>0</v>
      </c>
    </row>
    <row r="538" spans="1:11" s="9" customFormat="1" ht="35.1" customHeight="1" x14ac:dyDescent="0.25">
      <c r="A538" s="255" t="s">
        <v>742</v>
      </c>
      <c r="B538" s="254" t="s">
        <v>743</v>
      </c>
      <c r="C538" s="240" t="s">
        <v>94</v>
      </c>
      <c r="D538" s="295">
        <v>253.4</v>
      </c>
      <c r="E538" s="243">
        <v>24250</v>
      </c>
      <c r="F538" s="243">
        <f t="shared" si="55"/>
        <v>6144950</v>
      </c>
      <c r="G538" s="9">
        <v>24250</v>
      </c>
      <c r="H538" s="9">
        <v>6144950</v>
      </c>
      <c r="I538" s="339">
        <f t="shared" si="51"/>
        <v>0</v>
      </c>
      <c r="J538" s="339">
        <f t="shared" si="52"/>
        <v>0</v>
      </c>
      <c r="K538" s="9">
        <f t="shared" si="53"/>
        <v>0</v>
      </c>
    </row>
    <row r="539" spans="1:11" s="9" customFormat="1" ht="35.1" customHeight="1" x14ac:dyDescent="0.25">
      <c r="A539" s="255" t="s">
        <v>744</v>
      </c>
      <c r="B539" s="254" t="s">
        <v>745</v>
      </c>
      <c r="C539" s="240" t="s">
        <v>94</v>
      </c>
      <c r="D539" s="295">
        <v>146.80000000000001</v>
      </c>
      <c r="E539" s="243">
        <v>17669</v>
      </c>
      <c r="F539" s="243">
        <f t="shared" si="55"/>
        <v>2593809.2000000002</v>
      </c>
      <c r="G539" s="9">
        <v>17669</v>
      </c>
      <c r="H539" s="9">
        <v>2593809.2000000002</v>
      </c>
      <c r="I539" s="339">
        <f t="shared" si="51"/>
        <v>0</v>
      </c>
      <c r="J539" s="339">
        <f t="shared" si="52"/>
        <v>0</v>
      </c>
      <c r="K539" s="9">
        <f t="shared" si="53"/>
        <v>0</v>
      </c>
    </row>
    <row r="540" spans="1:11" s="9" customFormat="1" ht="35.1" customHeight="1" x14ac:dyDescent="0.25">
      <c r="A540" s="255" t="s">
        <v>746</v>
      </c>
      <c r="B540" s="254" t="s">
        <v>747</v>
      </c>
      <c r="C540" s="240" t="s">
        <v>94</v>
      </c>
      <c r="D540" s="295">
        <v>226.6</v>
      </c>
      <c r="E540" s="243">
        <v>15032</v>
      </c>
      <c r="F540" s="243">
        <f t="shared" si="55"/>
        <v>3406251.2</v>
      </c>
      <c r="G540" s="9">
        <v>15032</v>
      </c>
      <c r="H540" s="9">
        <v>3406251.2</v>
      </c>
      <c r="I540" s="339">
        <f t="shared" si="51"/>
        <v>0</v>
      </c>
      <c r="J540" s="339">
        <f t="shared" si="52"/>
        <v>0</v>
      </c>
      <c r="K540" s="9">
        <f t="shared" si="53"/>
        <v>0</v>
      </c>
    </row>
    <row r="541" spans="1:11" s="9" customFormat="1" ht="35.1" customHeight="1" x14ac:dyDescent="0.25">
      <c r="A541" s="255" t="s">
        <v>748</v>
      </c>
      <c r="B541" s="254" t="s">
        <v>749</v>
      </c>
      <c r="C541" s="240" t="s">
        <v>94</v>
      </c>
      <c r="D541" s="295">
        <v>38.799999999999997</v>
      </c>
      <c r="E541" s="243">
        <v>10998</v>
      </c>
      <c r="F541" s="243">
        <f t="shared" si="55"/>
        <v>426722.4</v>
      </c>
      <c r="G541" s="9">
        <v>10998</v>
      </c>
      <c r="H541" s="9">
        <v>426722.4</v>
      </c>
      <c r="I541" s="339">
        <f t="shared" si="51"/>
        <v>0</v>
      </c>
      <c r="J541" s="339">
        <f t="shared" si="52"/>
        <v>0</v>
      </c>
      <c r="K541" s="9">
        <f t="shared" si="53"/>
        <v>0</v>
      </c>
    </row>
    <row r="542" spans="1:11" s="9" customFormat="1" ht="35.1" customHeight="1" x14ac:dyDescent="0.25">
      <c r="A542" s="255" t="s">
        <v>750</v>
      </c>
      <c r="B542" s="254" t="s">
        <v>751</v>
      </c>
      <c r="C542" s="240" t="s">
        <v>94</v>
      </c>
      <c r="D542" s="295">
        <v>44</v>
      </c>
      <c r="E542" s="243">
        <v>9661</v>
      </c>
      <c r="F542" s="243">
        <f t="shared" si="55"/>
        <v>425084</v>
      </c>
      <c r="G542" s="9">
        <v>9661</v>
      </c>
      <c r="H542" s="9">
        <v>425084</v>
      </c>
      <c r="I542" s="339">
        <f t="shared" si="51"/>
        <v>0</v>
      </c>
      <c r="J542" s="339">
        <f t="shared" si="52"/>
        <v>0</v>
      </c>
      <c r="K542" s="9">
        <f t="shared" si="53"/>
        <v>0</v>
      </c>
    </row>
    <row r="543" spans="1:11" s="9" customFormat="1" ht="35.1" customHeight="1" x14ac:dyDescent="0.25">
      <c r="A543" s="244" t="s">
        <v>752</v>
      </c>
      <c r="B543" s="256" t="s">
        <v>1327</v>
      </c>
      <c r="C543" s="256"/>
      <c r="D543" s="313"/>
      <c r="E543" s="303"/>
      <c r="F543" s="246"/>
      <c r="I543" s="339">
        <f t="shared" si="51"/>
        <v>0</v>
      </c>
      <c r="J543" s="339">
        <f t="shared" si="52"/>
        <v>0</v>
      </c>
      <c r="K543" s="9">
        <f t="shared" si="53"/>
        <v>0</v>
      </c>
    </row>
    <row r="544" spans="1:11" s="9" customFormat="1" ht="35.1" customHeight="1" x14ac:dyDescent="0.25">
      <c r="A544" s="240" t="s">
        <v>754</v>
      </c>
      <c r="B544" s="254" t="s">
        <v>755</v>
      </c>
      <c r="C544" s="240" t="s">
        <v>94</v>
      </c>
      <c r="D544" s="295">
        <v>62</v>
      </c>
      <c r="E544" s="243">
        <v>42439</v>
      </c>
      <c r="F544" s="243">
        <f t="shared" ref="F544:F551" si="56">ROUND(+E544*D544,2)</f>
        <v>2631218</v>
      </c>
      <c r="G544" s="9">
        <v>42439</v>
      </c>
      <c r="H544" s="9">
        <v>2631218</v>
      </c>
      <c r="I544" s="339">
        <f t="shared" si="51"/>
        <v>0</v>
      </c>
      <c r="J544" s="339">
        <f t="shared" si="52"/>
        <v>0</v>
      </c>
      <c r="K544" s="9">
        <f t="shared" si="53"/>
        <v>0</v>
      </c>
    </row>
    <row r="545" spans="1:11" s="9" customFormat="1" ht="35.1" customHeight="1" x14ac:dyDescent="0.25">
      <c r="A545" s="240" t="s">
        <v>756</v>
      </c>
      <c r="B545" s="87" t="s">
        <v>757</v>
      </c>
      <c r="C545" s="240" t="s">
        <v>94</v>
      </c>
      <c r="D545" s="295">
        <v>33</v>
      </c>
      <c r="E545" s="243">
        <v>38123</v>
      </c>
      <c r="F545" s="243">
        <f t="shared" si="56"/>
        <v>1258059</v>
      </c>
      <c r="G545" s="9">
        <v>38123</v>
      </c>
      <c r="H545" s="9">
        <v>1258059</v>
      </c>
      <c r="I545" s="339">
        <f t="shared" si="51"/>
        <v>0</v>
      </c>
      <c r="J545" s="339">
        <f t="shared" si="52"/>
        <v>0</v>
      </c>
      <c r="K545" s="9">
        <f t="shared" si="53"/>
        <v>0</v>
      </c>
    </row>
    <row r="546" spans="1:11" s="9" customFormat="1" ht="35.1" customHeight="1" x14ac:dyDescent="0.25">
      <c r="A546" s="255" t="s">
        <v>758</v>
      </c>
      <c r="B546" s="254" t="s">
        <v>759</v>
      </c>
      <c r="C546" s="240" t="s">
        <v>94</v>
      </c>
      <c r="D546" s="295">
        <v>88</v>
      </c>
      <c r="E546" s="243">
        <v>29232</v>
      </c>
      <c r="F546" s="243">
        <f t="shared" si="56"/>
        <v>2572416</v>
      </c>
      <c r="G546" s="9">
        <v>29232</v>
      </c>
      <c r="H546" s="9">
        <v>2572416</v>
      </c>
      <c r="I546" s="339">
        <f t="shared" si="51"/>
        <v>0</v>
      </c>
      <c r="J546" s="339">
        <f t="shared" si="52"/>
        <v>0</v>
      </c>
      <c r="K546" s="9">
        <f t="shared" si="53"/>
        <v>0</v>
      </c>
    </row>
    <row r="547" spans="1:11" s="9" customFormat="1" ht="35.1" customHeight="1" x14ac:dyDescent="0.25">
      <c r="A547" s="255" t="s">
        <v>760</v>
      </c>
      <c r="B547" s="254" t="s">
        <v>761</v>
      </c>
      <c r="C547" s="240" t="s">
        <v>94</v>
      </c>
      <c r="D547" s="295">
        <v>253.4</v>
      </c>
      <c r="E547" s="243">
        <v>23058</v>
      </c>
      <c r="F547" s="243">
        <f t="shared" si="56"/>
        <v>5842897.2000000002</v>
      </c>
      <c r="G547" s="9">
        <v>23058</v>
      </c>
      <c r="H547" s="9">
        <v>5842897.2000000002</v>
      </c>
      <c r="I547" s="339">
        <f t="shared" si="51"/>
        <v>0</v>
      </c>
      <c r="J547" s="339">
        <f t="shared" si="52"/>
        <v>0</v>
      </c>
      <c r="K547" s="9">
        <f t="shared" si="53"/>
        <v>0</v>
      </c>
    </row>
    <row r="548" spans="1:11" s="9" customFormat="1" ht="35.1" customHeight="1" x14ac:dyDescent="0.25">
      <c r="A548" s="255" t="s">
        <v>762</v>
      </c>
      <c r="B548" s="87" t="s">
        <v>763</v>
      </c>
      <c r="C548" s="240" t="s">
        <v>94</v>
      </c>
      <c r="D548" s="295">
        <v>146.80000000000001</v>
      </c>
      <c r="E548" s="243">
        <v>17390</v>
      </c>
      <c r="F548" s="243">
        <f t="shared" si="56"/>
        <v>2552852</v>
      </c>
      <c r="G548" s="9">
        <v>17390</v>
      </c>
      <c r="H548" s="9">
        <v>2552852</v>
      </c>
      <c r="I548" s="339">
        <f t="shared" si="51"/>
        <v>0</v>
      </c>
      <c r="J548" s="339">
        <f t="shared" si="52"/>
        <v>0</v>
      </c>
      <c r="K548" s="9">
        <f t="shared" si="53"/>
        <v>0</v>
      </c>
    </row>
    <row r="549" spans="1:11" s="9" customFormat="1" ht="35.1" customHeight="1" x14ac:dyDescent="0.25">
      <c r="A549" s="255" t="s">
        <v>764</v>
      </c>
      <c r="B549" s="87" t="s">
        <v>765</v>
      </c>
      <c r="C549" s="240" t="s">
        <v>94</v>
      </c>
      <c r="D549" s="295">
        <v>226.6</v>
      </c>
      <c r="E549" s="243">
        <v>14914</v>
      </c>
      <c r="F549" s="243">
        <f t="shared" si="56"/>
        <v>3379512.4</v>
      </c>
      <c r="G549" s="9">
        <v>14914</v>
      </c>
      <c r="H549" s="9">
        <v>3379512.4</v>
      </c>
      <c r="I549" s="339">
        <f t="shared" si="51"/>
        <v>0</v>
      </c>
      <c r="J549" s="339">
        <f t="shared" si="52"/>
        <v>0</v>
      </c>
      <c r="K549" s="9">
        <f t="shared" si="53"/>
        <v>0</v>
      </c>
    </row>
    <row r="550" spans="1:11" s="9" customFormat="1" ht="35.1" customHeight="1" x14ac:dyDescent="0.25">
      <c r="A550" s="255" t="s">
        <v>766</v>
      </c>
      <c r="B550" s="254" t="s">
        <v>767</v>
      </c>
      <c r="C550" s="240" t="s">
        <v>94</v>
      </c>
      <c r="D550" s="295">
        <v>38.799999999999997</v>
      </c>
      <c r="E550" s="243">
        <v>10869</v>
      </c>
      <c r="F550" s="243">
        <f t="shared" si="56"/>
        <v>421717.2</v>
      </c>
      <c r="G550" s="9">
        <v>10869</v>
      </c>
      <c r="H550" s="9">
        <v>421717.2</v>
      </c>
      <c r="I550" s="339">
        <f t="shared" si="51"/>
        <v>0</v>
      </c>
      <c r="J550" s="339">
        <f t="shared" si="52"/>
        <v>0</v>
      </c>
      <c r="K550" s="9">
        <f t="shared" si="53"/>
        <v>0</v>
      </c>
    </row>
    <row r="551" spans="1:11" s="9" customFormat="1" ht="35.1" customHeight="1" x14ac:dyDescent="0.25">
      <c r="A551" s="255" t="s">
        <v>768</v>
      </c>
      <c r="B551" s="254" t="s">
        <v>769</v>
      </c>
      <c r="C551" s="240" t="s">
        <v>94</v>
      </c>
      <c r="D551" s="295">
        <v>44</v>
      </c>
      <c r="E551" s="243">
        <v>9486</v>
      </c>
      <c r="F551" s="243">
        <f t="shared" si="56"/>
        <v>417384</v>
      </c>
      <c r="G551" s="9">
        <v>9486</v>
      </c>
      <c r="H551" s="9">
        <v>417384</v>
      </c>
      <c r="I551" s="339">
        <f t="shared" si="51"/>
        <v>0</v>
      </c>
      <c r="J551" s="339">
        <f t="shared" si="52"/>
        <v>0</v>
      </c>
      <c r="K551" s="9">
        <f t="shared" si="53"/>
        <v>0</v>
      </c>
    </row>
    <row r="552" spans="1:11" s="9" customFormat="1" ht="35.1" customHeight="1" x14ac:dyDescent="0.25">
      <c r="A552" s="244" t="s">
        <v>770</v>
      </c>
      <c r="B552" s="256" t="s">
        <v>1328</v>
      </c>
      <c r="C552" s="256"/>
      <c r="D552" s="313"/>
      <c r="E552" s="303"/>
      <c r="F552" s="246"/>
      <c r="I552" s="339">
        <f t="shared" si="51"/>
        <v>0</v>
      </c>
      <c r="J552" s="339">
        <f t="shared" si="52"/>
        <v>0</v>
      </c>
      <c r="K552" s="9">
        <f t="shared" si="53"/>
        <v>0</v>
      </c>
    </row>
    <row r="553" spans="1:11" s="9" customFormat="1" ht="35.1" customHeight="1" x14ac:dyDescent="0.25">
      <c r="A553" s="255" t="s">
        <v>772</v>
      </c>
      <c r="B553" s="254" t="s">
        <v>773</v>
      </c>
      <c r="C553" s="240" t="s">
        <v>16</v>
      </c>
      <c r="D553" s="295">
        <v>4</v>
      </c>
      <c r="E553" s="243">
        <v>295890</v>
      </c>
      <c r="F553" s="243">
        <f t="shared" ref="F553:F589" si="57">ROUND(+E553*D553,2)</f>
        <v>1183560</v>
      </c>
      <c r="G553" s="9">
        <v>295890</v>
      </c>
      <c r="H553" s="9">
        <v>1183560</v>
      </c>
      <c r="I553" s="339">
        <f t="shared" si="51"/>
        <v>0</v>
      </c>
      <c r="J553" s="339">
        <f t="shared" si="52"/>
        <v>0</v>
      </c>
      <c r="K553" s="9">
        <f t="shared" si="53"/>
        <v>0</v>
      </c>
    </row>
    <row r="554" spans="1:11" s="9" customFormat="1" ht="35.1" customHeight="1" x14ac:dyDescent="0.25">
      <c r="A554" s="255" t="s">
        <v>774</v>
      </c>
      <c r="B554" s="254" t="s">
        <v>775</v>
      </c>
      <c r="C554" s="240" t="s">
        <v>16</v>
      </c>
      <c r="D554" s="295">
        <v>4</v>
      </c>
      <c r="E554" s="243">
        <v>569349</v>
      </c>
      <c r="F554" s="243">
        <f t="shared" si="57"/>
        <v>2277396</v>
      </c>
      <c r="G554" s="9">
        <v>569349</v>
      </c>
      <c r="H554" s="9">
        <v>2277396</v>
      </c>
      <c r="I554" s="339">
        <f t="shared" si="51"/>
        <v>0</v>
      </c>
      <c r="J554" s="339">
        <f t="shared" si="52"/>
        <v>0</v>
      </c>
      <c r="K554" s="9">
        <f t="shared" si="53"/>
        <v>0</v>
      </c>
    </row>
    <row r="555" spans="1:11" s="9" customFormat="1" ht="35.1" customHeight="1" x14ac:dyDescent="0.25">
      <c r="A555" s="255" t="s">
        <v>776</v>
      </c>
      <c r="B555" s="254" t="s">
        <v>777</v>
      </c>
      <c r="C555" s="240" t="s">
        <v>16</v>
      </c>
      <c r="D555" s="295">
        <v>4</v>
      </c>
      <c r="E555" s="243">
        <v>200461</v>
      </c>
      <c r="F555" s="243">
        <f t="shared" si="57"/>
        <v>801844</v>
      </c>
      <c r="G555" s="9">
        <v>200461</v>
      </c>
      <c r="H555" s="9">
        <v>801844</v>
      </c>
      <c r="I555" s="339">
        <f t="shared" si="51"/>
        <v>0</v>
      </c>
      <c r="J555" s="339">
        <f t="shared" si="52"/>
        <v>0</v>
      </c>
      <c r="K555" s="9">
        <f t="shared" si="53"/>
        <v>0</v>
      </c>
    </row>
    <row r="556" spans="1:11" s="9" customFormat="1" ht="35.1" customHeight="1" x14ac:dyDescent="0.25">
      <c r="A556" s="255" t="s">
        <v>778</v>
      </c>
      <c r="B556" s="254" t="s">
        <v>779</v>
      </c>
      <c r="C556" s="240" t="s">
        <v>16</v>
      </c>
      <c r="D556" s="295">
        <v>2</v>
      </c>
      <c r="E556" s="243">
        <v>463953</v>
      </c>
      <c r="F556" s="243">
        <f t="shared" si="57"/>
        <v>927906</v>
      </c>
      <c r="G556" s="9">
        <v>463953</v>
      </c>
      <c r="H556" s="9">
        <v>927906</v>
      </c>
      <c r="I556" s="339">
        <f t="shared" si="51"/>
        <v>0</v>
      </c>
      <c r="J556" s="339">
        <f t="shared" si="52"/>
        <v>0</v>
      </c>
      <c r="K556" s="9">
        <f t="shared" si="53"/>
        <v>0</v>
      </c>
    </row>
    <row r="557" spans="1:11" s="9" customFormat="1" ht="35.1" customHeight="1" x14ac:dyDescent="0.25">
      <c r="A557" s="255" t="s">
        <v>780</v>
      </c>
      <c r="B557" s="254" t="s">
        <v>781</v>
      </c>
      <c r="C557" s="240" t="s">
        <v>16</v>
      </c>
      <c r="D557" s="295">
        <v>4</v>
      </c>
      <c r="E557" s="243">
        <v>2393894</v>
      </c>
      <c r="F557" s="243">
        <f t="shared" si="57"/>
        <v>9575576</v>
      </c>
      <c r="G557" s="9">
        <v>2393894</v>
      </c>
      <c r="H557" s="9">
        <v>9575576</v>
      </c>
      <c r="I557" s="339">
        <f t="shared" si="51"/>
        <v>0</v>
      </c>
      <c r="J557" s="339">
        <f t="shared" si="52"/>
        <v>0</v>
      </c>
      <c r="K557" s="9">
        <f t="shared" si="53"/>
        <v>0</v>
      </c>
    </row>
    <row r="558" spans="1:11" s="9" customFormat="1" ht="35.1" customHeight="1" x14ac:dyDescent="0.25">
      <c r="A558" s="255" t="s">
        <v>782</v>
      </c>
      <c r="B558" s="254" t="s">
        <v>783</v>
      </c>
      <c r="C558" s="240" t="s">
        <v>16</v>
      </c>
      <c r="D558" s="295">
        <v>4</v>
      </c>
      <c r="E558" s="243">
        <v>2393894</v>
      </c>
      <c r="F558" s="243">
        <f t="shared" si="57"/>
        <v>9575576</v>
      </c>
      <c r="G558" s="9">
        <v>2393894</v>
      </c>
      <c r="H558" s="9">
        <v>9575576</v>
      </c>
      <c r="I558" s="339">
        <f t="shared" si="51"/>
        <v>0</v>
      </c>
      <c r="J558" s="339">
        <f t="shared" si="52"/>
        <v>0</v>
      </c>
      <c r="K558" s="9">
        <f t="shared" si="53"/>
        <v>0</v>
      </c>
    </row>
    <row r="559" spans="1:11" s="9" customFormat="1" ht="35.1" customHeight="1" x14ac:dyDescent="0.25">
      <c r="A559" s="255" t="s">
        <v>784</v>
      </c>
      <c r="B559" s="254" t="s">
        <v>785</v>
      </c>
      <c r="C559" s="240" t="s">
        <v>16</v>
      </c>
      <c r="D559" s="295">
        <v>2</v>
      </c>
      <c r="E559" s="243">
        <v>1264836</v>
      </c>
      <c r="F559" s="243">
        <f t="shared" si="57"/>
        <v>2529672</v>
      </c>
      <c r="G559" s="9">
        <v>1264836</v>
      </c>
      <c r="H559" s="9">
        <v>2529672</v>
      </c>
      <c r="I559" s="339">
        <f t="shared" si="51"/>
        <v>0</v>
      </c>
      <c r="J559" s="339">
        <f t="shared" si="52"/>
        <v>0</v>
      </c>
      <c r="K559" s="9">
        <f t="shared" si="53"/>
        <v>0</v>
      </c>
    </row>
    <row r="560" spans="1:11" s="9" customFormat="1" ht="35.1" customHeight="1" x14ac:dyDescent="0.25">
      <c r="A560" s="255" t="s">
        <v>786</v>
      </c>
      <c r="B560" s="254" t="s">
        <v>787</v>
      </c>
      <c r="C560" s="240" t="s">
        <v>16</v>
      </c>
      <c r="D560" s="295">
        <v>1</v>
      </c>
      <c r="E560" s="243">
        <v>372432</v>
      </c>
      <c r="F560" s="243">
        <f t="shared" si="57"/>
        <v>372432</v>
      </c>
      <c r="G560" s="9">
        <v>372432</v>
      </c>
      <c r="H560" s="9">
        <v>372432</v>
      </c>
      <c r="I560" s="339">
        <f t="shared" si="51"/>
        <v>0</v>
      </c>
      <c r="J560" s="339">
        <f t="shared" si="52"/>
        <v>0</v>
      </c>
      <c r="K560" s="9">
        <f t="shared" si="53"/>
        <v>0</v>
      </c>
    </row>
    <row r="561" spans="1:11" s="9" customFormat="1" ht="35.1" customHeight="1" x14ac:dyDescent="0.25">
      <c r="A561" s="255" t="s">
        <v>788</v>
      </c>
      <c r="B561" s="254" t="s">
        <v>789</v>
      </c>
      <c r="C561" s="240" t="s">
        <v>16</v>
      </c>
      <c r="D561" s="295">
        <v>1</v>
      </c>
      <c r="E561" s="243">
        <v>520645</v>
      </c>
      <c r="F561" s="243">
        <f t="shared" si="57"/>
        <v>520645</v>
      </c>
      <c r="G561" s="9">
        <v>520645</v>
      </c>
      <c r="H561" s="9">
        <v>520645</v>
      </c>
      <c r="I561" s="339">
        <f t="shared" si="51"/>
        <v>0</v>
      </c>
      <c r="J561" s="339">
        <f t="shared" si="52"/>
        <v>0</v>
      </c>
      <c r="K561" s="9">
        <f t="shared" si="53"/>
        <v>0</v>
      </c>
    </row>
    <row r="562" spans="1:11" s="9" customFormat="1" ht="35.1" customHeight="1" x14ac:dyDescent="0.25">
      <c r="A562" s="255" t="s">
        <v>790</v>
      </c>
      <c r="B562" s="254" t="s">
        <v>791</v>
      </c>
      <c r="C562" s="240" t="s">
        <v>16</v>
      </c>
      <c r="D562" s="295">
        <v>7</v>
      </c>
      <c r="E562" s="243">
        <v>330932</v>
      </c>
      <c r="F562" s="243">
        <f t="shared" si="57"/>
        <v>2316524</v>
      </c>
      <c r="G562" s="9">
        <v>330932</v>
      </c>
      <c r="H562" s="9">
        <v>2316524</v>
      </c>
      <c r="I562" s="339">
        <f t="shared" si="51"/>
        <v>0</v>
      </c>
      <c r="J562" s="339">
        <f t="shared" si="52"/>
        <v>0</v>
      </c>
      <c r="K562" s="9">
        <f t="shared" si="53"/>
        <v>0</v>
      </c>
    </row>
    <row r="563" spans="1:11" s="9" customFormat="1" ht="35.1" customHeight="1" x14ac:dyDescent="0.25">
      <c r="A563" s="255" t="s">
        <v>792</v>
      </c>
      <c r="B563" s="254" t="s">
        <v>793</v>
      </c>
      <c r="C563" s="240" t="s">
        <v>16</v>
      </c>
      <c r="D563" s="295">
        <v>7</v>
      </c>
      <c r="E563" s="243">
        <v>466894</v>
      </c>
      <c r="F563" s="243">
        <f t="shared" si="57"/>
        <v>3268258</v>
      </c>
      <c r="G563" s="9">
        <v>466894</v>
      </c>
      <c r="H563" s="9">
        <v>3268258</v>
      </c>
      <c r="I563" s="339">
        <f t="shared" si="51"/>
        <v>0</v>
      </c>
      <c r="J563" s="339">
        <f t="shared" si="52"/>
        <v>0</v>
      </c>
      <c r="K563" s="9">
        <f t="shared" si="53"/>
        <v>0</v>
      </c>
    </row>
    <row r="564" spans="1:11" s="9" customFormat="1" ht="35.1" customHeight="1" x14ac:dyDescent="0.25">
      <c r="A564" s="255" t="s">
        <v>794</v>
      </c>
      <c r="B564" s="254" t="s">
        <v>795</v>
      </c>
      <c r="C564" s="240" t="s">
        <v>16</v>
      </c>
      <c r="D564" s="295">
        <v>2</v>
      </c>
      <c r="E564" s="243">
        <v>244769</v>
      </c>
      <c r="F564" s="243">
        <f t="shared" si="57"/>
        <v>489538</v>
      </c>
      <c r="G564" s="9">
        <v>244769</v>
      </c>
      <c r="H564" s="9">
        <v>489538</v>
      </c>
      <c r="I564" s="339">
        <f t="shared" si="51"/>
        <v>0</v>
      </c>
      <c r="J564" s="339">
        <f t="shared" si="52"/>
        <v>0</v>
      </c>
      <c r="K564" s="9">
        <f t="shared" si="53"/>
        <v>0</v>
      </c>
    </row>
    <row r="565" spans="1:11" s="9" customFormat="1" ht="35.1" customHeight="1" x14ac:dyDescent="0.25">
      <c r="A565" s="255" t="s">
        <v>796</v>
      </c>
      <c r="B565" s="254" t="s">
        <v>797</v>
      </c>
      <c r="C565" s="240" t="s">
        <v>16</v>
      </c>
      <c r="D565" s="295">
        <v>2</v>
      </c>
      <c r="E565" s="243">
        <v>266786</v>
      </c>
      <c r="F565" s="243">
        <f t="shared" si="57"/>
        <v>533572</v>
      </c>
      <c r="G565" s="9">
        <v>266786</v>
      </c>
      <c r="H565" s="9">
        <v>533572</v>
      </c>
      <c r="I565" s="339">
        <f t="shared" si="51"/>
        <v>0</v>
      </c>
      <c r="J565" s="339">
        <f t="shared" si="52"/>
        <v>0</v>
      </c>
      <c r="K565" s="9">
        <f t="shared" si="53"/>
        <v>0</v>
      </c>
    </row>
    <row r="566" spans="1:11" s="9" customFormat="1" ht="35.1" customHeight="1" x14ac:dyDescent="0.25">
      <c r="A566" s="255" t="s">
        <v>1329</v>
      </c>
      <c r="B566" s="254" t="s">
        <v>1330</v>
      </c>
      <c r="C566" s="240" t="s">
        <v>16</v>
      </c>
      <c r="D566" s="295">
        <v>2</v>
      </c>
      <c r="E566" s="243">
        <v>128701</v>
      </c>
      <c r="F566" s="243">
        <f t="shared" si="57"/>
        <v>257402</v>
      </c>
      <c r="G566" s="9">
        <v>128701</v>
      </c>
      <c r="H566" s="9">
        <v>257402</v>
      </c>
      <c r="I566" s="339">
        <f t="shared" si="51"/>
        <v>0</v>
      </c>
      <c r="J566" s="339">
        <f t="shared" si="52"/>
        <v>0</v>
      </c>
      <c r="K566" s="9">
        <f t="shared" si="53"/>
        <v>0</v>
      </c>
    </row>
    <row r="567" spans="1:11" s="9" customFormat="1" ht="35.1" customHeight="1" x14ac:dyDescent="0.25">
      <c r="A567" s="255" t="s">
        <v>1331</v>
      </c>
      <c r="B567" s="254" t="s">
        <v>1332</v>
      </c>
      <c r="C567" s="240" t="s">
        <v>16</v>
      </c>
      <c r="D567" s="295">
        <v>2</v>
      </c>
      <c r="E567" s="243">
        <v>164931</v>
      </c>
      <c r="F567" s="243">
        <f t="shared" si="57"/>
        <v>329862</v>
      </c>
      <c r="G567" s="9">
        <v>164931</v>
      </c>
      <c r="H567" s="9">
        <v>329862</v>
      </c>
      <c r="I567" s="339">
        <f t="shared" si="51"/>
        <v>0</v>
      </c>
      <c r="J567" s="339">
        <f t="shared" si="52"/>
        <v>0</v>
      </c>
      <c r="K567" s="9">
        <f t="shared" si="53"/>
        <v>0</v>
      </c>
    </row>
    <row r="568" spans="1:11" s="9" customFormat="1" ht="35.1" customHeight="1" x14ac:dyDescent="0.25">
      <c r="A568" s="255" t="s">
        <v>798</v>
      </c>
      <c r="B568" s="254" t="s">
        <v>799</v>
      </c>
      <c r="C568" s="240" t="s">
        <v>16</v>
      </c>
      <c r="D568" s="295">
        <v>2</v>
      </c>
      <c r="E568" s="243">
        <v>599693</v>
      </c>
      <c r="F568" s="243">
        <f t="shared" si="57"/>
        <v>1199386</v>
      </c>
      <c r="G568" s="9">
        <v>599693</v>
      </c>
      <c r="H568" s="9">
        <v>1199386</v>
      </c>
      <c r="I568" s="339">
        <f t="shared" si="51"/>
        <v>0</v>
      </c>
      <c r="J568" s="339">
        <f t="shared" si="52"/>
        <v>0</v>
      </c>
      <c r="K568" s="9">
        <f t="shared" si="53"/>
        <v>0</v>
      </c>
    </row>
    <row r="569" spans="1:11" s="9" customFormat="1" ht="35.1" customHeight="1" x14ac:dyDescent="0.25">
      <c r="A569" s="255" t="s">
        <v>800</v>
      </c>
      <c r="B569" s="254" t="s">
        <v>801</v>
      </c>
      <c r="C569" s="240" t="s">
        <v>16</v>
      </c>
      <c r="D569" s="295">
        <v>2</v>
      </c>
      <c r="E569" s="243">
        <v>3295154</v>
      </c>
      <c r="F569" s="243">
        <f t="shared" si="57"/>
        <v>6590308</v>
      </c>
      <c r="G569" s="9">
        <v>3295154</v>
      </c>
      <c r="H569" s="9">
        <v>6590308</v>
      </c>
      <c r="I569" s="339">
        <f t="shared" si="51"/>
        <v>0</v>
      </c>
      <c r="J569" s="339">
        <f t="shared" si="52"/>
        <v>0</v>
      </c>
      <c r="K569" s="9">
        <f t="shared" si="53"/>
        <v>0</v>
      </c>
    </row>
    <row r="570" spans="1:11" s="9" customFormat="1" ht="35.1" customHeight="1" x14ac:dyDescent="0.25">
      <c r="A570" s="255" t="s">
        <v>802</v>
      </c>
      <c r="B570" s="254" t="s">
        <v>803</v>
      </c>
      <c r="C570" s="240" t="s">
        <v>16</v>
      </c>
      <c r="D570" s="295">
        <v>4</v>
      </c>
      <c r="E570" s="243">
        <v>1031722</v>
      </c>
      <c r="F570" s="243">
        <f t="shared" si="57"/>
        <v>4126888</v>
      </c>
      <c r="G570" s="9">
        <v>1031722</v>
      </c>
      <c r="H570" s="9">
        <v>4126888</v>
      </c>
      <c r="I570" s="339">
        <f t="shared" si="51"/>
        <v>0</v>
      </c>
      <c r="J570" s="339">
        <f t="shared" si="52"/>
        <v>0</v>
      </c>
      <c r="K570" s="9">
        <f t="shared" si="53"/>
        <v>0</v>
      </c>
    </row>
    <row r="571" spans="1:11" s="9" customFormat="1" ht="35.1" customHeight="1" x14ac:dyDescent="0.25">
      <c r="A571" s="255" t="s">
        <v>804</v>
      </c>
      <c r="B571" s="254" t="s">
        <v>805</v>
      </c>
      <c r="C571" s="240" t="s">
        <v>16</v>
      </c>
      <c r="D571" s="295">
        <v>4</v>
      </c>
      <c r="E571" s="243">
        <v>985438</v>
      </c>
      <c r="F571" s="243">
        <f t="shared" si="57"/>
        <v>3941752</v>
      </c>
      <c r="G571" s="9">
        <v>985438</v>
      </c>
      <c r="H571" s="9">
        <v>3941752</v>
      </c>
      <c r="I571" s="339">
        <f t="shared" si="51"/>
        <v>0</v>
      </c>
      <c r="J571" s="339">
        <f t="shared" si="52"/>
        <v>0</v>
      </c>
      <c r="K571" s="9">
        <f t="shared" si="53"/>
        <v>0</v>
      </c>
    </row>
    <row r="572" spans="1:11" s="9" customFormat="1" ht="35.1" customHeight="1" x14ac:dyDescent="0.25">
      <c r="A572" s="255" t="s">
        <v>806</v>
      </c>
      <c r="B572" s="254" t="s">
        <v>807</v>
      </c>
      <c r="C572" s="240" t="s">
        <v>16</v>
      </c>
      <c r="D572" s="295">
        <v>1</v>
      </c>
      <c r="E572" s="243">
        <v>260594</v>
      </c>
      <c r="F572" s="243">
        <f t="shared" si="57"/>
        <v>260594</v>
      </c>
      <c r="G572" s="9">
        <v>255594</v>
      </c>
      <c r="H572" s="9">
        <v>255594</v>
      </c>
      <c r="I572" s="339">
        <f t="shared" si="51"/>
        <v>5000</v>
      </c>
      <c r="J572" s="339">
        <f t="shared" si="52"/>
        <v>-5000</v>
      </c>
      <c r="K572" s="9">
        <f t="shared" si="53"/>
        <v>0</v>
      </c>
    </row>
    <row r="573" spans="1:11" s="9" customFormat="1" ht="35.1" customHeight="1" x14ac:dyDescent="0.25">
      <c r="A573" s="255" t="s">
        <v>808</v>
      </c>
      <c r="B573" s="254" t="s">
        <v>809</v>
      </c>
      <c r="C573" s="240" t="s">
        <v>16</v>
      </c>
      <c r="D573" s="295">
        <v>1</v>
      </c>
      <c r="E573" s="243">
        <v>290039</v>
      </c>
      <c r="F573" s="243">
        <f t="shared" si="57"/>
        <v>290039</v>
      </c>
      <c r="G573" s="9">
        <v>285474.44</v>
      </c>
      <c r="H573" s="9">
        <v>285474.44</v>
      </c>
      <c r="I573" s="339">
        <f t="shared" si="51"/>
        <v>4564.5599999999977</v>
      </c>
      <c r="J573" s="339">
        <f t="shared" si="52"/>
        <v>-4564.5599999999977</v>
      </c>
      <c r="K573" s="9">
        <f t="shared" si="53"/>
        <v>0</v>
      </c>
    </row>
    <row r="574" spans="1:11" s="9" customFormat="1" ht="35.1" customHeight="1" x14ac:dyDescent="0.25">
      <c r="A574" s="255" t="s">
        <v>810</v>
      </c>
      <c r="B574" s="87" t="s">
        <v>811</v>
      </c>
      <c r="C574" s="240" t="s">
        <v>16</v>
      </c>
      <c r="D574" s="295">
        <v>23</v>
      </c>
      <c r="E574" s="243">
        <v>220223</v>
      </c>
      <c r="F574" s="243">
        <f t="shared" si="57"/>
        <v>5065129</v>
      </c>
      <c r="G574" s="9">
        <v>220223</v>
      </c>
      <c r="H574" s="9">
        <v>5065129</v>
      </c>
      <c r="I574" s="339">
        <f t="shared" si="51"/>
        <v>0</v>
      </c>
      <c r="J574" s="339">
        <f t="shared" si="52"/>
        <v>0</v>
      </c>
      <c r="K574" s="9">
        <f t="shared" si="53"/>
        <v>0</v>
      </c>
    </row>
    <row r="575" spans="1:11" s="9" customFormat="1" ht="35.1" customHeight="1" x14ac:dyDescent="0.25">
      <c r="A575" s="255" t="s">
        <v>812</v>
      </c>
      <c r="B575" s="87" t="s">
        <v>813</v>
      </c>
      <c r="C575" s="240" t="s">
        <v>16</v>
      </c>
      <c r="D575" s="295">
        <v>23</v>
      </c>
      <c r="E575" s="243">
        <v>332470</v>
      </c>
      <c r="F575" s="243">
        <f t="shared" si="57"/>
        <v>7646810</v>
      </c>
      <c r="G575" s="9">
        <v>332470</v>
      </c>
      <c r="H575" s="9">
        <v>7646810</v>
      </c>
      <c r="I575" s="339">
        <f t="shared" si="51"/>
        <v>0</v>
      </c>
      <c r="J575" s="339">
        <f t="shared" si="52"/>
        <v>0</v>
      </c>
      <c r="K575" s="9">
        <f t="shared" si="53"/>
        <v>0</v>
      </c>
    </row>
    <row r="576" spans="1:11" s="9" customFormat="1" ht="35.1" customHeight="1" x14ac:dyDescent="0.25">
      <c r="A576" s="255" t="s">
        <v>814</v>
      </c>
      <c r="B576" s="87" t="s">
        <v>815</v>
      </c>
      <c r="C576" s="240" t="s">
        <v>16</v>
      </c>
      <c r="D576" s="295">
        <v>2</v>
      </c>
      <c r="E576" s="243">
        <v>239984</v>
      </c>
      <c r="F576" s="243">
        <f t="shared" si="57"/>
        <v>479968</v>
      </c>
      <c r="G576" s="9">
        <v>239984</v>
      </c>
      <c r="H576" s="9">
        <v>479968</v>
      </c>
      <c r="I576" s="339">
        <f t="shared" si="51"/>
        <v>0</v>
      </c>
      <c r="J576" s="339">
        <f t="shared" si="52"/>
        <v>0</v>
      </c>
      <c r="K576" s="9">
        <f t="shared" si="53"/>
        <v>0</v>
      </c>
    </row>
    <row r="577" spans="1:11" s="9" customFormat="1" ht="35.1" customHeight="1" x14ac:dyDescent="0.25">
      <c r="A577" s="255" t="s">
        <v>816</v>
      </c>
      <c r="B577" s="87" t="s">
        <v>817</v>
      </c>
      <c r="C577" s="240" t="s">
        <v>16</v>
      </c>
      <c r="D577" s="295">
        <v>2</v>
      </c>
      <c r="E577" s="243">
        <v>345381</v>
      </c>
      <c r="F577" s="243">
        <f t="shared" si="57"/>
        <v>690762</v>
      </c>
      <c r="G577" s="9">
        <v>345381</v>
      </c>
      <c r="H577" s="9">
        <v>690762</v>
      </c>
      <c r="I577" s="339">
        <f t="shared" si="51"/>
        <v>0</v>
      </c>
      <c r="J577" s="339">
        <f t="shared" si="52"/>
        <v>0</v>
      </c>
      <c r="K577" s="9">
        <f t="shared" si="53"/>
        <v>0</v>
      </c>
    </row>
    <row r="578" spans="1:11" s="9" customFormat="1" ht="35.1" customHeight="1" x14ac:dyDescent="0.25">
      <c r="A578" s="255" t="s">
        <v>818</v>
      </c>
      <c r="B578" s="87" t="s">
        <v>819</v>
      </c>
      <c r="C578" s="240" t="s">
        <v>16</v>
      </c>
      <c r="D578" s="295">
        <v>4</v>
      </c>
      <c r="E578" s="243">
        <v>160937</v>
      </c>
      <c r="F578" s="243">
        <f t="shared" si="57"/>
        <v>643748</v>
      </c>
      <c r="G578" s="9">
        <v>160937</v>
      </c>
      <c r="H578" s="9">
        <v>643748</v>
      </c>
      <c r="I578" s="339">
        <f t="shared" si="51"/>
        <v>0</v>
      </c>
      <c r="J578" s="339">
        <f t="shared" si="52"/>
        <v>0</v>
      </c>
      <c r="K578" s="9">
        <f t="shared" si="53"/>
        <v>0</v>
      </c>
    </row>
    <row r="579" spans="1:11" s="9" customFormat="1" ht="35.1" customHeight="1" x14ac:dyDescent="0.25">
      <c r="A579" s="255" t="s">
        <v>820</v>
      </c>
      <c r="B579" s="254" t="s">
        <v>821</v>
      </c>
      <c r="C579" s="240" t="s">
        <v>16</v>
      </c>
      <c r="D579" s="295">
        <v>4</v>
      </c>
      <c r="E579" s="243">
        <v>200461</v>
      </c>
      <c r="F579" s="243">
        <f t="shared" si="57"/>
        <v>801844</v>
      </c>
      <c r="G579" s="9">
        <v>200461</v>
      </c>
      <c r="H579" s="9">
        <v>801844</v>
      </c>
      <c r="I579" s="339">
        <f t="shared" si="51"/>
        <v>0</v>
      </c>
      <c r="J579" s="339">
        <f t="shared" si="52"/>
        <v>0</v>
      </c>
      <c r="K579" s="9">
        <f t="shared" si="53"/>
        <v>0</v>
      </c>
    </row>
    <row r="580" spans="1:11" s="9" customFormat="1" ht="35.1" customHeight="1" x14ac:dyDescent="0.25">
      <c r="A580" s="255" t="s">
        <v>822</v>
      </c>
      <c r="B580" s="87" t="s">
        <v>823</v>
      </c>
      <c r="C580" s="240" t="s">
        <v>16</v>
      </c>
      <c r="D580" s="295">
        <v>8</v>
      </c>
      <c r="E580" s="243">
        <v>128701</v>
      </c>
      <c r="F580" s="243">
        <f t="shared" si="57"/>
        <v>1029608</v>
      </c>
      <c r="G580" s="9">
        <v>128701</v>
      </c>
      <c r="H580" s="9">
        <v>1029608</v>
      </c>
      <c r="I580" s="339">
        <f t="shared" si="51"/>
        <v>0</v>
      </c>
      <c r="J580" s="339">
        <f t="shared" si="52"/>
        <v>0</v>
      </c>
      <c r="K580" s="9">
        <f t="shared" si="53"/>
        <v>0</v>
      </c>
    </row>
    <row r="581" spans="1:11" s="9" customFormat="1" ht="35.1" customHeight="1" x14ac:dyDescent="0.25">
      <c r="A581" s="255" t="s">
        <v>824</v>
      </c>
      <c r="B581" s="254" t="s">
        <v>825</v>
      </c>
      <c r="C581" s="240" t="s">
        <v>16</v>
      </c>
      <c r="D581" s="295">
        <v>8</v>
      </c>
      <c r="E581" s="243">
        <v>164931</v>
      </c>
      <c r="F581" s="243">
        <f t="shared" si="57"/>
        <v>1319448</v>
      </c>
      <c r="G581" s="9">
        <v>164931</v>
      </c>
      <c r="H581" s="9">
        <v>1319448</v>
      </c>
      <c r="I581" s="339">
        <f t="shared" ref="I581:I644" si="58">+E581-G581</f>
        <v>0</v>
      </c>
      <c r="J581" s="339">
        <f t="shared" ref="J581:J644" si="59">+H581-F581</f>
        <v>0</v>
      </c>
      <c r="K581" s="9">
        <f t="shared" ref="K581:K644" si="60">IF(J581&gt;0,1,0)</f>
        <v>0</v>
      </c>
    </row>
    <row r="582" spans="1:11" s="9" customFormat="1" ht="35.1" customHeight="1" x14ac:dyDescent="0.25">
      <c r="A582" s="255" t="s">
        <v>826</v>
      </c>
      <c r="B582" s="254" t="s">
        <v>827</v>
      </c>
      <c r="C582" s="240" t="s">
        <v>16</v>
      </c>
      <c r="D582" s="295">
        <v>8</v>
      </c>
      <c r="E582" s="243">
        <v>200461</v>
      </c>
      <c r="F582" s="243">
        <f t="shared" si="57"/>
        <v>1603688</v>
      </c>
      <c r="G582" s="9">
        <v>200461</v>
      </c>
      <c r="H582" s="9">
        <v>1603688</v>
      </c>
      <c r="I582" s="339">
        <f t="shared" si="58"/>
        <v>0</v>
      </c>
      <c r="J582" s="339">
        <f t="shared" si="59"/>
        <v>0</v>
      </c>
      <c r="K582" s="9">
        <f t="shared" si="60"/>
        <v>0</v>
      </c>
    </row>
    <row r="583" spans="1:11" s="9" customFormat="1" ht="35.1" customHeight="1" x14ac:dyDescent="0.25">
      <c r="A583" s="255" t="s">
        <v>828</v>
      </c>
      <c r="B583" s="254" t="s">
        <v>829</v>
      </c>
      <c r="C583" s="240" t="s">
        <v>16</v>
      </c>
      <c r="D583" s="295">
        <v>30</v>
      </c>
      <c r="E583" s="243">
        <v>332207</v>
      </c>
      <c r="F583" s="243">
        <f t="shared" si="57"/>
        <v>9966210</v>
      </c>
      <c r="G583" s="9">
        <v>332207</v>
      </c>
      <c r="H583" s="9">
        <v>9966210</v>
      </c>
      <c r="I583" s="339">
        <f t="shared" si="58"/>
        <v>0</v>
      </c>
      <c r="J583" s="339">
        <f t="shared" si="59"/>
        <v>0</v>
      </c>
      <c r="K583" s="9">
        <f t="shared" si="60"/>
        <v>0</v>
      </c>
    </row>
    <row r="584" spans="1:11" s="9" customFormat="1" ht="35.1" customHeight="1" x14ac:dyDescent="0.25">
      <c r="A584" s="255" t="s">
        <v>830</v>
      </c>
      <c r="B584" s="254" t="s">
        <v>831</v>
      </c>
      <c r="C584" s="240" t="s">
        <v>16</v>
      </c>
      <c r="D584" s="295">
        <v>8</v>
      </c>
      <c r="E584" s="243">
        <v>253159</v>
      </c>
      <c r="F584" s="243">
        <f t="shared" si="57"/>
        <v>2025272</v>
      </c>
      <c r="G584" s="9">
        <v>253159</v>
      </c>
      <c r="H584" s="9">
        <v>2025272</v>
      </c>
      <c r="I584" s="339">
        <f t="shared" si="58"/>
        <v>0</v>
      </c>
      <c r="J584" s="339">
        <f t="shared" si="59"/>
        <v>0</v>
      </c>
      <c r="K584" s="9">
        <f t="shared" si="60"/>
        <v>0</v>
      </c>
    </row>
    <row r="585" spans="1:11" s="9" customFormat="1" ht="35.1" customHeight="1" x14ac:dyDescent="0.25">
      <c r="A585" s="255" t="s">
        <v>832</v>
      </c>
      <c r="B585" s="254" t="s">
        <v>833</v>
      </c>
      <c r="C585" s="240" t="s">
        <v>16</v>
      </c>
      <c r="D585" s="295">
        <v>1</v>
      </c>
      <c r="E585" s="243">
        <v>839429</v>
      </c>
      <c r="F585" s="243">
        <f t="shared" si="57"/>
        <v>839429</v>
      </c>
      <c r="G585" s="9">
        <v>839429</v>
      </c>
      <c r="H585" s="9">
        <v>839429</v>
      </c>
      <c r="I585" s="339">
        <f t="shared" si="58"/>
        <v>0</v>
      </c>
      <c r="J585" s="339">
        <f t="shared" si="59"/>
        <v>0</v>
      </c>
      <c r="K585" s="9">
        <f t="shared" si="60"/>
        <v>0</v>
      </c>
    </row>
    <row r="586" spans="1:11" s="9" customFormat="1" ht="35.1" customHeight="1" x14ac:dyDescent="0.25">
      <c r="A586" s="255" t="s">
        <v>834</v>
      </c>
      <c r="B586" s="87" t="s">
        <v>835</v>
      </c>
      <c r="C586" s="240" t="s">
        <v>16</v>
      </c>
      <c r="D586" s="295">
        <v>3</v>
      </c>
      <c r="E586" s="243">
        <v>839429</v>
      </c>
      <c r="F586" s="243">
        <f t="shared" si="57"/>
        <v>2518287</v>
      </c>
      <c r="G586" s="9">
        <v>839429</v>
      </c>
      <c r="H586" s="9">
        <v>2518287</v>
      </c>
      <c r="I586" s="339">
        <f t="shared" si="58"/>
        <v>0</v>
      </c>
      <c r="J586" s="339">
        <f t="shared" si="59"/>
        <v>0</v>
      </c>
      <c r="K586" s="9">
        <f t="shared" si="60"/>
        <v>0</v>
      </c>
    </row>
    <row r="587" spans="1:11" s="9" customFormat="1" ht="35.1" customHeight="1" x14ac:dyDescent="0.25">
      <c r="A587" s="255" t="s">
        <v>836</v>
      </c>
      <c r="B587" s="87" t="s">
        <v>837</v>
      </c>
      <c r="C587" s="240" t="s">
        <v>16</v>
      </c>
      <c r="D587" s="295">
        <v>1</v>
      </c>
      <c r="E587" s="243">
        <v>839429</v>
      </c>
      <c r="F587" s="243">
        <f t="shared" si="57"/>
        <v>839429</v>
      </c>
      <c r="G587" s="9">
        <v>839429</v>
      </c>
      <c r="H587" s="9">
        <v>839429</v>
      </c>
      <c r="I587" s="339">
        <f t="shared" si="58"/>
        <v>0</v>
      </c>
      <c r="J587" s="339">
        <f t="shared" si="59"/>
        <v>0</v>
      </c>
      <c r="K587" s="9">
        <f t="shared" si="60"/>
        <v>0</v>
      </c>
    </row>
    <row r="588" spans="1:11" s="9" customFormat="1" ht="35.1" customHeight="1" x14ac:dyDescent="0.25">
      <c r="A588" s="255" t="s">
        <v>838</v>
      </c>
      <c r="B588" s="87" t="s">
        <v>839</v>
      </c>
      <c r="C588" s="240" t="s">
        <v>16</v>
      </c>
      <c r="D588" s="295">
        <v>20</v>
      </c>
      <c r="E588" s="243">
        <v>740619</v>
      </c>
      <c r="F588" s="243">
        <f t="shared" si="57"/>
        <v>14812380</v>
      </c>
      <c r="G588" s="9">
        <v>740619</v>
      </c>
      <c r="H588" s="9">
        <v>14812380</v>
      </c>
      <c r="I588" s="339">
        <f t="shared" si="58"/>
        <v>0</v>
      </c>
      <c r="J588" s="339">
        <f t="shared" si="59"/>
        <v>0</v>
      </c>
      <c r="K588" s="9">
        <f t="shared" si="60"/>
        <v>0</v>
      </c>
    </row>
    <row r="589" spans="1:11" s="9" customFormat="1" ht="35.1" customHeight="1" x14ac:dyDescent="0.25">
      <c r="A589" s="255" t="s">
        <v>840</v>
      </c>
      <c r="B589" s="254" t="s">
        <v>841</v>
      </c>
      <c r="C589" s="240" t="s">
        <v>16</v>
      </c>
      <c r="D589" s="295">
        <v>1</v>
      </c>
      <c r="E589" s="243">
        <v>597280</v>
      </c>
      <c r="F589" s="243">
        <f t="shared" si="57"/>
        <v>597280</v>
      </c>
      <c r="G589" s="9">
        <v>597280</v>
      </c>
      <c r="H589" s="9">
        <v>597280</v>
      </c>
      <c r="I589" s="339">
        <f t="shared" si="58"/>
        <v>0</v>
      </c>
      <c r="J589" s="339">
        <f t="shared" si="59"/>
        <v>0</v>
      </c>
      <c r="K589" s="9">
        <f t="shared" si="60"/>
        <v>0</v>
      </c>
    </row>
    <row r="590" spans="1:11" s="9" customFormat="1" ht="35.1" customHeight="1" x14ac:dyDescent="0.25">
      <c r="A590" s="244" t="s">
        <v>842</v>
      </c>
      <c r="B590" s="256" t="s">
        <v>843</v>
      </c>
      <c r="C590" s="256"/>
      <c r="D590" s="313"/>
      <c r="E590" s="303"/>
      <c r="F590" s="246"/>
      <c r="I590" s="339">
        <f t="shared" si="58"/>
        <v>0</v>
      </c>
      <c r="J590" s="339">
        <f t="shared" si="59"/>
        <v>0</v>
      </c>
      <c r="K590" s="9">
        <f t="shared" si="60"/>
        <v>0</v>
      </c>
    </row>
    <row r="591" spans="1:11" s="9" customFormat="1" ht="35.1" customHeight="1" x14ac:dyDescent="0.25">
      <c r="A591" s="255" t="s">
        <v>844</v>
      </c>
      <c r="B591" s="254" t="s">
        <v>845</v>
      </c>
      <c r="C591" s="295" t="s">
        <v>13</v>
      </c>
      <c r="D591" s="295">
        <v>105</v>
      </c>
      <c r="E591" s="243">
        <v>65432</v>
      </c>
      <c r="F591" s="243">
        <f t="shared" ref="F591:F596" si="61">ROUND(+E591*D591,2)</f>
        <v>6870360</v>
      </c>
      <c r="G591" s="9">
        <v>65432</v>
      </c>
      <c r="H591" s="9">
        <v>6870360</v>
      </c>
      <c r="I591" s="339">
        <f t="shared" si="58"/>
        <v>0</v>
      </c>
      <c r="J591" s="339">
        <f t="shared" si="59"/>
        <v>0</v>
      </c>
      <c r="K591" s="9">
        <f t="shared" si="60"/>
        <v>0</v>
      </c>
    </row>
    <row r="592" spans="1:11" s="9" customFormat="1" ht="35.1" customHeight="1" x14ac:dyDescent="0.25">
      <c r="A592" s="255" t="s">
        <v>846</v>
      </c>
      <c r="B592" s="254" t="s">
        <v>847</v>
      </c>
      <c r="C592" s="295" t="s">
        <v>13</v>
      </c>
      <c r="D592" s="295">
        <v>740</v>
      </c>
      <c r="E592" s="243">
        <v>71969</v>
      </c>
      <c r="F592" s="243">
        <f t="shared" si="61"/>
        <v>53257060</v>
      </c>
      <c r="G592" s="9">
        <v>71969</v>
      </c>
      <c r="H592" s="9">
        <v>53257060</v>
      </c>
      <c r="I592" s="339">
        <f t="shared" si="58"/>
        <v>0</v>
      </c>
      <c r="J592" s="339">
        <f t="shared" si="59"/>
        <v>0</v>
      </c>
      <c r="K592" s="9">
        <f t="shared" si="60"/>
        <v>0</v>
      </c>
    </row>
    <row r="593" spans="1:11" s="9" customFormat="1" ht="35.1" customHeight="1" x14ac:dyDescent="0.25">
      <c r="A593" s="255" t="s">
        <v>848</v>
      </c>
      <c r="B593" s="254" t="s">
        <v>849</v>
      </c>
      <c r="C593" s="295" t="s">
        <v>13</v>
      </c>
      <c r="D593" s="295">
        <v>845</v>
      </c>
      <c r="E593" s="243">
        <v>19953</v>
      </c>
      <c r="F593" s="243">
        <f t="shared" si="61"/>
        <v>16860285</v>
      </c>
      <c r="G593" s="9">
        <v>19953</v>
      </c>
      <c r="H593" s="9">
        <v>16860285</v>
      </c>
      <c r="I593" s="339">
        <f t="shared" si="58"/>
        <v>0</v>
      </c>
      <c r="J593" s="339">
        <f t="shared" si="59"/>
        <v>0</v>
      </c>
      <c r="K593" s="9">
        <f t="shared" si="60"/>
        <v>0</v>
      </c>
    </row>
    <row r="594" spans="1:11" s="9" customFormat="1" ht="35.1" customHeight="1" x14ac:dyDescent="0.25">
      <c r="A594" s="255" t="s">
        <v>850</v>
      </c>
      <c r="B594" s="254" t="s">
        <v>851</v>
      </c>
      <c r="C594" s="295" t="s">
        <v>13</v>
      </c>
      <c r="D594" s="295">
        <v>205</v>
      </c>
      <c r="E594" s="243">
        <v>78556</v>
      </c>
      <c r="F594" s="243">
        <f t="shared" si="61"/>
        <v>16103980</v>
      </c>
      <c r="G594" s="9">
        <v>78556</v>
      </c>
      <c r="H594" s="9">
        <v>16103980</v>
      </c>
      <c r="I594" s="339">
        <f t="shared" si="58"/>
        <v>0</v>
      </c>
      <c r="J594" s="339">
        <f t="shared" si="59"/>
        <v>0</v>
      </c>
      <c r="K594" s="9">
        <f t="shared" si="60"/>
        <v>0</v>
      </c>
    </row>
    <row r="595" spans="1:11" s="9" customFormat="1" ht="35.1" customHeight="1" x14ac:dyDescent="0.25">
      <c r="A595" s="255" t="s">
        <v>852</v>
      </c>
      <c r="B595" s="254" t="s">
        <v>853</v>
      </c>
      <c r="C595" s="295" t="s">
        <v>13</v>
      </c>
      <c r="D595" s="295">
        <v>205</v>
      </c>
      <c r="E595" s="243">
        <v>19953</v>
      </c>
      <c r="F595" s="243">
        <f t="shared" si="61"/>
        <v>4090365</v>
      </c>
      <c r="G595" s="9">
        <v>19953</v>
      </c>
      <c r="H595" s="9">
        <v>4090365</v>
      </c>
      <c r="I595" s="339">
        <f t="shared" si="58"/>
        <v>0</v>
      </c>
      <c r="J595" s="339">
        <f t="shared" si="59"/>
        <v>0</v>
      </c>
      <c r="K595" s="9">
        <f t="shared" si="60"/>
        <v>0</v>
      </c>
    </row>
    <row r="596" spans="1:11" s="9" customFormat="1" ht="35.1" customHeight="1" x14ac:dyDescent="0.25">
      <c r="A596" s="255" t="s">
        <v>854</v>
      </c>
      <c r="B596" s="254" t="s">
        <v>855</v>
      </c>
      <c r="C596" s="240" t="s">
        <v>16</v>
      </c>
      <c r="D596" s="295">
        <v>33</v>
      </c>
      <c r="E596" s="243">
        <v>34246</v>
      </c>
      <c r="F596" s="243">
        <f t="shared" si="61"/>
        <v>1130118</v>
      </c>
      <c r="G596" s="9">
        <v>34246</v>
      </c>
      <c r="H596" s="9">
        <v>1130118</v>
      </c>
      <c r="I596" s="339">
        <f t="shared" si="58"/>
        <v>0</v>
      </c>
      <c r="J596" s="339">
        <f t="shared" si="59"/>
        <v>0</v>
      </c>
      <c r="K596" s="9">
        <f t="shared" si="60"/>
        <v>0</v>
      </c>
    </row>
    <row r="597" spans="1:11" s="9" customFormat="1" ht="35.1" customHeight="1" x14ac:dyDescent="0.25">
      <c r="A597" s="244" t="s">
        <v>856</v>
      </c>
      <c r="B597" s="245" t="s">
        <v>857</v>
      </c>
      <c r="C597" s="260"/>
      <c r="D597" s="313"/>
      <c r="E597" s="303"/>
      <c r="F597" s="246"/>
      <c r="I597" s="339">
        <f t="shared" si="58"/>
        <v>0</v>
      </c>
      <c r="J597" s="339">
        <f t="shared" si="59"/>
        <v>0</v>
      </c>
      <c r="K597" s="9">
        <f t="shared" si="60"/>
        <v>0</v>
      </c>
    </row>
    <row r="598" spans="1:11" s="9" customFormat="1" ht="35.1" customHeight="1" x14ac:dyDescent="0.25">
      <c r="A598" s="240" t="s">
        <v>858</v>
      </c>
      <c r="B598" s="254" t="s">
        <v>859</v>
      </c>
      <c r="C598" s="240" t="s">
        <v>16</v>
      </c>
      <c r="D598" s="295">
        <v>112</v>
      </c>
      <c r="E598" s="243">
        <v>161298</v>
      </c>
      <c r="F598" s="243">
        <f t="shared" ref="F598:F611" si="62">ROUND(+E598*D598,2)</f>
        <v>18065376</v>
      </c>
      <c r="G598" s="9">
        <v>161298</v>
      </c>
      <c r="H598" s="9">
        <v>18065376</v>
      </c>
      <c r="I598" s="339">
        <f t="shared" si="58"/>
        <v>0</v>
      </c>
      <c r="J598" s="339">
        <f t="shared" si="59"/>
        <v>0</v>
      </c>
      <c r="K598" s="9">
        <f t="shared" si="60"/>
        <v>0</v>
      </c>
    </row>
    <row r="599" spans="1:11" s="9" customFormat="1" ht="35.1" customHeight="1" x14ac:dyDescent="0.25">
      <c r="A599" s="240" t="s">
        <v>860</v>
      </c>
      <c r="B599" s="254" t="s">
        <v>861</v>
      </c>
      <c r="C599" s="240" t="s">
        <v>16</v>
      </c>
      <c r="D599" s="295">
        <v>6</v>
      </c>
      <c r="E599" s="243">
        <v>112552</v>
      </c>
      <c r="F599" s="243">
        <f t="shared" si="62"/>
        <v>675312</v>
      </c>
      <c r="G599" s="9">
        <v>112552</v>
      </c>
      <c r="H599" s="9">
        <v>675312</v>
      </c>
      <c r="I599" s="339">
        <f t="shared" si="58"/>
        <v>0</v>
      </c>
      <c r="J599" s="339">
        <f t="shared" si="59"/>
        <v>0</v>
      </c>
      <c r="K599" s="9">
        <f t="shared" si="60"/>
        <v>0</v>
      </c>
    </row>
    <row r="600" spans="1:11" s="9" customFormat="1" ht="35.1" customHeight="1" x14ac:dyDescent="0.25">
      <c r="A600" s="240" t="s">
        <v>862</v>
      </c>
      <c r="B600" s="254" t="s">
        <v>863</v>
      </c>
      <c r="C600" s="240" t="s">
        <v>16</v>
      </c>
      <c r="D600" s="295">
        <v>5</v>
      </c>
      <c r="E600" s="243">
        <v>237711</v>
      </c>
      <c r="F600" s="243">
        <f t="shared" si="62"/>
        <v>1188555</v>
      </c>
      <c r="G600" s="9">
        <v>237711</v>
      </c>
      <c r="H600" s="9">
        <v>1188555</v>
      </c>
      <c r="I600" s="339">
        <f t="shared" si="58"/>
        <v>0</v>
      </c>
      <c r="J600" s="339">
        <f t="shared" si="59"/>
        <v>0</v>
      </c>
      <c r="K600" s="9">
        <f t="shared" si="60"/>
        <v>0</v>
      </c>
    </row>
    <row r="601" spans="1:11" s="9" customFormat="1" ht="35.1" customHeight="1" x14ac:dyDescent="0.25">
      <c r="A601" s="240" t="s">
        <v>864</v>
      </c>
      <c r="B601" s="87" t="s">
        <v>865</v>
      </c>
      <c r="C601" s="240" t="s">
        <v>16</v>
      </c>
      <c r="D601" s="295">
        <v>3</v>
      </c>
      <c r="E601" s="243">
        <v>59853</v>
      </c>
      <c r="F601" s="243">
        <f t="shared" si="62"/>
        <v>179559</v>
      </c>
      <c r="G601" s="9">
        <v>59853</v>
      </c>
      <c r="H601" s="9">
        <v>179559</v>
      </c>
      <c r="I601" s="339">
        <f t="shared" si="58"/>
        <v>0</v>
      </c>
      <c r="J601" s="339">
        <f t="shared" si="59"/>
        <v>0</v>
      </c>
      <c r="K601" s="9">
        <f t="shared" si="60"/>
        <v>0</v>
      </c>
    </row>
    <row r="602" spans="1:11" s="9" customFormat="1" ht="35.1" customHeight="1" x14ac:dyDescent="0.25">
      <c r="A602" s="240" t="s">
        <v>866</v>
      </c>
      <c r="B602" s="254" t="s">
        <v>867</v>
      </c>
      <c r="C602" s="240" t="s">
        <v>16</v>
      </c>
      <c r="D602" s="295">
        <v>16</v>
      </c>
      <c r="E602" s="243">
        <v>224536</v>
      </c>
      <c r="F602" s="243">
        <f t="shared" si="62"/>
        <v>3592576</v>
      </c>
      <c r="G602" s="9">
        <v>224536</v>
      </c>
      <c r="H602" s="9">
        <v>3592576</v>
      </c>
      <c r="I602" s="339">
        <f t="shared" si="58"/>
        <v>0</v>
      </c>
      <c r="J602" s="339">
        <f t="shared" si="59"/>
        <v>0</v>
      </c>
      <c r="K602" s="9">
        <f t="shared" si="60"/>
        <v>0</v>
      </c>
    </row>
    <row r="603" spans="1:11" s="9" customFormat="1" ht="35.1" customHeight="1" x14ac:dyDescent="0.25">
      <c r="A603" s="240" t="s">
        <v>868</v>
      </c>
      <c r="B603" s="254" t="s">
        <v>869</v>
      </c>
      <c r="C603" s="240" t="s">
        <v>16</v>
      </c>
      <c r="D603" s="295">
        <v>11</v>
      </c>
      <c r="E603" s="243">
        <v>237711</v>
      </c>
      <c r="F603" s="243">
        <f t="shared" si="62"/>
        <v>2614821</v>
      </c>
      <c r="G603" s="9">
        <v>237711</v>
      </c>
      <c r="H603" s="9">
        <v>2614821</v>
      </c>
      <c r="I603" s="339">
        <f t="shared" si="58"/>
        <v>0</v>
      </c>
      <c r="J603" s="339">
        <f t="shared" si="59"/>
        <v>0</v>
      </c>
      <c r="K603" s="9">
        <f t="shared" si="60"/>
        <v>0</v>
      </c>
    </row>
    <row r="604" spans="1:11" s="9" customFormat="1" ht="35.1" customHeight="1" x14ac:dyDescent="0.25">
      <c r="A604" s="240" t="s">
        <v>870</v>
      </c>
      <c r="B604" s="87" t="s">
        <v>871</v>
      </c>
      <c r="C604" s="240" t="s">
        <v>16</v>
      </c>
      <c r="D604" s="295">
        <v>2</v>
      </c>
      <c r="E604" s="243">
        <v>511742</v>
      </c>
      <c r="F604" s="243">
        <f t="shared" si="62"/>
        <v>1023484</v>
      </c>
      <c r="G604" s="9">
        <v>511742</v>
      </c>
      <c r="H604" s="9">
        <v>1023484</v>
      </c>
      <c r="I604" s="339">
        <f t="shared" si="58"/>
        <v>0</v>
      </c>
      <c r="J604" s="339">
        <f t="shared" si="59"/>
        <v>0</v>
      </c>
      <c r="K604" s="9">
        <f t="shared" si="60"/>
        <v>0</v>
      </c>
    </row>
    <row r="605" spans="1:11" s="9" customFormat="1" ht="35.1" customHeight="1" x14ac:dyDescent="0.25">
      <c r="A605" s="240" t="s">
        <v>872</v>
      </c>
      <c r="B605" s="87" t="s">
        <v>873</v>
      </c>
      <c r="C605" s="240" t="s">
        <v>16</v>
      </c>
      <c r="D605" s="295">
        <v>4</v>
      </c>
      <c r="E605" s="243">
        <v>455091</v>
      </c>
      <c r="F605" s="243">
        <f t="shared" si="62"/>
        <v>1820364</v>
      </c>
      <c r="G605" s="9">
        <v>455091</v>
      </c>
      <c r="H605" s="9">
        <v>1820364</v>
      </c>
      <c r="I605" s="339">
        <f t="shared" si="58"/>
        <v>0</v>
      </c>
      <c r="J605" s="339">
        <f t="shared" si="59"/>
        <v>0</v>
      </c>
      <c r="K605" s="9">
        <f t="shared" si="60"/>
        <v>0</v>
      </c>
    </row>
    <row r="606" spans="1:11" s="9" customFormat="1" ht="35.1" customHeight="1" x14ac:dyDescent="0.25">
      <c r="A606" s="240" t="s">
        <v>874</v>
      </c>
      <c r="B606" s="254" t="s">
        <v>875</v>
      </c>
      <c r="C606" s="240" t="s">
        <v>16</v>
      </c>
      <c r="D606" s="295">
        <v>1</v>
      </c>
      <c r="E606" s="243">
        <v>24282</v>
      </c>
      <c r="F606" s="243">
        <f t="shared" si="62"/>
        <v>24282</v>
      </c>
      <c r="G606" s="9">
        <v>24282</v>
      </c>
      <c r="H606" s="9">
        <v>24282</v>
      </c>
      <c r="I606" s="339">
        <f t="shared" si="58"/>
        <v>0</v>
      </c>
      <c r="J606" s="339">
        <f t="shared" si="59"/>
        <v>0</v>
      </c>
      <c r="K606" s="9">
        <f t="shared" si="60"/>
        <v>0</v>
      </c>
    </row>
    <row r="607" spans="1:11" s="9" customFormat="1" ht="35.1" customHeight="1" x14ac:dyDescent="0.25">
      <c r="A607" s="240" t="s">
        <v>876</v>
      </c>
      <c r="B607" s="254" t="s">
        <v>877</v>
      </c>
      <c r="C607" s="240" t="s">
        <v>16</v>
      </c>
      <c r="D607" s="295">
        <v>1</v>
      </c>
      <c r="E607" s="243">
        <v>33504</v>
      </c>
      <c r="F607" s="243">
        <f t="shared" si="62"/>
        <v>33504</v>
      </c>
      <c r="G607" s="9">
        <v>33504</v>
      </c>
      <c r="H607" s="9">
        <v>33504</v>
      </c>
      <c r="I607" s="339">
        <f t="shared" si="58"/>
        <v>0</v>
      </c>
      <c r="J607" s="339">
        <f t="shared" si="59"/>
        <v>0</v>
      </c>
      <c r="K607" s="9">
        <f t="shared" si="60"/>
        <v>0</v>
      </c>
    </row>
    <row r="608" spans="1:11" s="9" customFormat="1" ht="35.1" customHeight="1" x14ac:dyDescent="0.25">
      <c r="A608" s="240" t="s">
        <v>878</v>
      </c>
      <c r="B608" s="254" t="s">
        <v>879</v>
      </c>
      <c r="C608" s="240" t="s">
        <v>16</v>
      </c>
      <c r="D608" s="295">
        <v>22</v>
      </c>
      <c r="E608" s="243">
        <v>46679</v>
      </c>
      <c r="F608" s="243">
        <f t="shared" si="62"/>
        <v>1026938</v>
      </c>
      <c r="G608" s="9">
        <v>46679</v>
      </c>
      <c r="H608" s="9">
        <v>1026938</v>
      </c>
      <c r="I608" s="339">
        <f t="shared" si="58"/>
        <v>0</v>
      </c>
      <c r="J608" s="339">
        <f t="shared" si="59"/>
        <v>0</v>
      </c>
      <c r="K608" s="9">
        <f t="shared" si="60"/>
        <v>0</v>
      </c>
    </row>
    <row r="609" spans="1:11" s="9" customFormat="1" ht="35.1" customHeight="1" x14ac:dyDescent="0.25">
      <c r="A609" s="240" t="s">
        <v>880</v>
      </c>
      <c r="B609" s="254" t="s">
        <v>881</v>
      </c>
      <c r="C609" s="240" t="s">
        <v>16</v>
      </c>
      <c r="D609" s="295">
        <v>3</v>
      </c>
      <c r="E609" s="243">
        <v>59853</v>
      </c>
      <c r="F609" s="243">
        <f t="shared" si="62"/>
        <v>179559</v>
      </c>
      <c r="G609" s="9">
        <v>59853</v>
      </c>
      <c r="H609" s="9">
        <v>179559</v>
      </c>
      <c r="I609" s="339">
        <f t="shared" si="58"/>
        <v>0</v>
      </c>
      <c r="J609" s="339">
        <f t="shared" si="59"/>
        <v>0</v>
      </c>
      <c r="K609" s="9">
        <f t="shared" si="60"/>
        <v>0</v>
      </c>
    </row>
    <row r="610" spans="1:11" s="9" customFormat="1" ht="35.1" customHeight="1" x14ac:dyDescent="0.25">
      <c r="A610" s="240" t="s">
        <v>882</v>
      </c>
      <c r="B610" s="254" t="s">
        <v>1333</v>
      </c>
      <c r="C610" s="240" t="s">
        <v>16</v>
      </c>
      <c r="D610" s="295">
        <v>1</v>
      </c>
      <c r="E610" s="243">
        <v>593425</v>
      </c>
      <c r="F610" s="243">
        <f t="shared" si="62"/>
        <v>593425</v>
      </c>
      <c r="G610" s="9">
        <v>593425</v>
      </c>
      <c r="H610" s="9">
        <v>593425</v>
      </c>
      <c r="I610" s="339">
        <f t="shared" si="58"/>
        <v>0</v>
      </c>
      <c r="J610" s="339">
        <f t="shared" si="59"/>
        <v>0</v>
      </c>
      <c r="K610" s="9">
        <f t="shared" si="60"/>
        <v>0</v>
      </c>
    </row>
    <row r="611" spans="1:11" s="9" customFormat="1" ht="35.1" customHeight="1" x14ac:dyDescent="0.25">
      <c r="A611" s="240" t="s">
        <v>884</v>
      </c>
      <c r="B611" s="254" t="s">
        <v>1334</v>
      </c>
      <c r="C611" s="240" t="s">
        <v>16</v>
      </c>
      <c r="D611" s="295">
        <v>1</v>
      </c>
      <c r="E611" s="243">
        <v>685079</v>
      </c>
      <c r="F611" s="243">
        <f t="shared" si="62"/>
        <v>685079</v>
      </c>
      <c r="G611" s="9">
        <v>685079</v>
      </c>
      <c r="H611" s="9">
        <v>685079</v>
      </c>
      <c r="I611" s="339">
        <f t="shared" si="58"/>
        <v>0</v>
      </c>
      <c r="J611" s="339">
        <f t="shared" si="59"/>
        <v>0</v>
      </c>
      <c r="K611" s="9">
        <f t="shared" si="60"/>
        <v>0</v>
      </c>
    </row>
    <row r="612" spans="1:11" s="9" customFormat="1" ht="35.1" customHeight="1" x14ac:dyDescent="0.25">
      <c r="A612" s="244" t="s">
        <v>886</v>
      </c>
      <c r="B612" s="256" t="s">
        <v>887</v>
      </c>
      <c r="C612" s="256"/>
      <c r="D612" s="313"/>
      <c r="E612" s="303"/>
      <c r="F612" s="246"/>
      <c r="I612" s="339">
        <f t="shared" si="58"/>
        <v>0</v>
      </c>
      <c r="J612" s="339">
        <f t="shared" si="59"/>
        <v>0</v>
      </c>
      <c r="K612" s="9">
        <f t="shared" si="60"/>
        <v>0</v>
      </c>
    </row>
    <row r="613" spans="1:11" s="9" customFormat="1" ht="35.1" customHeight="1" x14ac:dyDescent="0.25">
      <c r="A613" s="255" t="s">
        <v>1335</v>
      </c>
      <c r="B613" s="254" t="s">
        <v>1336</v>
      </c>
      <c r="C613" s="240" t="s">
        <v>16</v>
      </c>
      <c r="D613" s="295">
        <v>1</v>
      </c>
      <c r="E613" s="243">
        <v>11528426</v>
      </c>
      <c r="F613" s="243">
        <f>ROUND(+E613*D613,2)</f>
        <v>11528426</v>
      </c>
      <c r="G613" s="9">
        <v>11528426</v>
      </c>
      <c r="H613" s="9">
        <v>11528426</v>
      </c>
      <c r="I613" s="339">
        <f t="shared" si="58"/>
        <v>0</v>
      </c>
      <c r="J613" s="339">
        <f t="shared" si="59"/>
        <v>0</v>
      </c>
      <c r="K613" s="9">
        <f t="shared" si="60"/>
        <v>0</v>
      </c>
    </row>
    <row r="614" spans="1:11" s="9" customFormat="1" ht="35.1" customHeight="1" x14ac:dyDescent="0.25">
      <c r="A614" s="255" t="s">
        <v>1337</v>
      </c>
      <c r="B614" s="254" t="s">
        <v>1338</v>
      </c>
      <c r="C614" s="240" t="s">
        <v>16</v>
      </c>
      <c r="D614" s="295">
        <v>1</v>
      </c>
      <c r="E614" s="243">
        <v>9947474</v>
      </c>
      <c r="F614" s="243">
        <f>ROUND(+E614*D614,2)</f>
        <v>9947474</v>
      </c>
      <c r="G614" s="9">
        <v>9947474</v>
      </c>
      <c r="H614" s="9">
        <v>9947474</v>
      </c>
      <c r="I614" s="339">
        <f t="shared" si="58"/>
        <v>0</v>
      </c>
      <c r="J614" s="339">
        <f t="shared" si="59"/>
        <v>0</v>
      </c>
      <c r="K614" s="9">
        <f t="shared" si="60"/>
        <v>0</v>
      </c>
    </row>
    <row r="615" spans="1:11" s="9" customFormat="1" ht="35.1" customHeight="1" x14ac:dyDescent="0.25">
      <c r="A615" s="255" t="s">
        <v>888</v>
      </c>
      <c r="B615" s="254" t="s">
        <v>851</v>
      </c>
      <c r="C615" s="295" t="s">
        <v>13</v>
      </c>
      <c r="D615" s="295">
        <v>120</v>
      </c>
      <c r="E615" s="243">
        <v>92310</v>
      </c>
      <c r="F615" s="243">
        <f>ROUND(+E615*D615,2)</f>
        <v>11077200</v>
      </c>
      <c r="G615" s="9">
        <v>92310</v>
      </c>
      <c r="H615" s="9">
        <v>11077200</v>
      </c>
      <c r="I615" s="339">
        <f t="shared" si="58"/>
        <v>0</v>
      </c>
      <c r="J615" s="339">
        <f t="shared" si="59"/>
        <v>0</v>
      </c>
      <c r="K615" s="9">
        <f t="shared" si="60"/>
        <v>0</v>
      </c>
    </row>
    <row r="616" spans="1:11" s="9" customFormat="1" ht="35.1" customHeight="1" x14ac:dyDescent="0.25">
      <c r="A616" s="255" t="s">
        <v>889</v>
      </c>
      <c r="B616" s="254" t="s">
        <v>890</v>
      </c>
      <c r="C616" s="295" t="s">
        <v>13</v>
      </c>
      <c r="D616" s="295">
        <v>262</v>
      </c>
      <c r="E616" s="243">
        <v>85724</v>
      </c>
      <c r="F616" s="243">
        <f>ROUND(+E616*D616,2)</f>
        <v>22459688</v>
      </c>
      <c r="G616" s="9">
        <v>85724</v>
      </c>
      <c r="H616" s="9">
        <v>22459688</v>
      </c>
      <c r="I616" s="339">
        <f t="shared" si="58"/>
        <v>0</v>
      </c>
      <c r="J616" s="339">
        <f t="shared" si="59"/>
        <v>0</v>
      </c>
      <c r="K616" s="9">
        <f t="shared" si="60"/>
        <v>0</v>
      </c>
    </row>
    <row r="617" spans="1:11" s="9" customFormat="1" ht="35.1" customHeight="1" x14ac:dyDescent="0.25">
      <c r="A617" s="255" t="s">
        <v>891</v>
      </c>
      <c r="B617" s="254" t="s">
        <v>892</v>
      </c>
      <c r="C617" s="240" t="s">
        <v>16</v>
      </c>
      <c r="D617" s="295">
        <v>3</v>
      </c>
      <c r="E617" s="243">
        <v>511153</v>
      </c>
      <c r="F617" s="243">
        <f>ROUND(+E617*D617,2)</f>
        <v>1533459</v>
      </c>
      <c r="G617" s="9">
        <v>511153</v>
      </c>
      <c r="H617" s="9">
        <v>1533459</v>
      </c>
      <c r="I617" s="339">
        <f t="shared" si="58"/>
        <v>0</v>
      </c>
      <c r="J617" s="339">
        <f t="shared" si="59"/>
        <v>0</v>
      </c>
      <c r="K617" s="9">
        <f t="shared" si="60"/>
        <v>0</v>
      </c>
    </row>
    <row r="618" spans="1:11" s="9" customFormat="1" ht="35.1" customHeight="1" x14ac:dyDescent="0.25">
      <c r="A618" s="244" t="s">
        <v>893</v>
      </c>
      <c r="B618" s="256" t="s">
        <v>894</v>
      </c>
      <c r="C618" s="256"/>
      <c r="D618" s="313"/>
      <c r="E618" s="303"/>
      <c r="F618" s="246"/>
      <c r="I618" s="339">
        <f t="shared" si="58"/>
        <v>0</v>
      </c>
      <c r="J618" s="339">
        <f t="shared" si="59"/>
        <v>0</v>
      </c>
      <c r="K618" s="9">
        <f t="shared" si="60"/>
        <v>0</v>
      </c>
    </row>
    <row r="619" spans="1:11" s="9" customFormat="1" ht="35.1" customHeight="1" x14ac:dyDescent="0.25">
      <c r="A619" s="240" t="s">
        <v>1339</v>
      </c>
      <c r="B619" s="254" t="s">
        <v>1340</v>
      </c>
      <c r="C619" s="240" t="s">
        <v>16</v>
      </c>
      <c r="D619" s="295">
        <v>2</v>
      </c>
      <c r="E619" s="243">
        <v>11900822</v>
      </c>
      <c r="F619" s="243">
        <f t="shared" ref="F619:F629" si="63">ROUND(+E619*D619,2)</f>
        <v>23801644</v>
      </c>
      <c r="G619" s="9">
        <v>11900822</v>
      </c>
      <c r="H619" s="9">
        <v>23801644</v>
      </c>
      <c r="I619" s="339">
        <f t="shared" si="58"/>
        <v>0</v>
      </c>
      <c r="J619" s="339">
        <f t="shared" si="59"/>
        <v>0</v>
      </c>
      <c r="K619" s="9">
        <f t="shared" si="60"/>
        <v>0</v>
      </c>
    </row>
    <row r="620" spans="1:11" s="9" customFormat="1" ht="35.1" customHeight="1" x14ac:dyDescent="0.25">
      <c r="A620" s="240" t="s">
        <v>895</v>
      </c>
      <c r="B620" s="254" t="s">
        <v>896</v>
      </c>
      <c r="C620" s="240" t="s">
        <v>16</v>
      </c>
      <c r="D620" s="295">
        <v>2</v>
      </c>
      <c r="E620" s="243">
        <v>2028785</v>
      </c>
      <c r="F620" s="243">
        <f t="shared" si="63"/>
        <v>4057570</v>
      </c>
      <c r="G620" s="9">
        <v>2028785</v>
      </c>
      <c r="H620" s="9">
        <v>4057570</v>
      </c>
      <c r="I620" s="339">
        <f t="shared" si="58"/>
        <v>0</v>
      </c>
      <c r="J620" s="339">
        <f t="shared" si="59"/>
        <v>0</v>
      </c>
      <c r="K620" s="9">
        <f t="shared" si="60"/>
        <v>0</v>
      </c>
    </row>
    <row r="621" spans="1:11" s="9" customFormat="1" ht="35.1" customHeight="1" x14ac:dyDescent="0.25">
      <c r="A621" s="240" t="s">
        <v>897</v>
      </c>
      <c r="B621" s="254" t="s">
        <v>898</v>
      </c>
      <c r="C621" s="240" t="s">
        <v>16</v>
      </c>
      <c r="D621" s="295">
        <v>4</v>
      </c>
      <c r="E621" s="243">
        <v>1238360</v>
      </c>
      <c r="F621" s="243">
        <f t="shared" si="63"/>
        <v>4953440</v>
      </c>
      <c r="G621" s="9">
        <v>1238360</v>
      </c>
      <c r="H621" s="9">
        <v>4953440</v>
      </c>
      <c r="I621" s="339">
        <f t="shared" si="58"/>
        <v>0</v>
      </c>
      <c r="J621" s="339">
        <f t="shared" si="59"/>
        <v>0</v>
      </c>
      <c r="K621" s="9">
        <f t="shared" si="60"/>
        <v>0</v>
      </c>
    </row>
    <row r="622" spans="1:11" s="9" customFormat="1" ht="35.1" customHeight="1" x14ac:dyDescent="0.25">
      <c r="A622" s="240" t="s">
        <v>899</v>
      </c>
      <c r="B622" s="254" t="s">
        <v>900</v>
      </c>
      <c r="C622" s="240" t="s">
        <v>16</v>
      </c>
      <c r="D622" s="295">
        <v>2</v>
      </c>
      <c r="E622" s="243">
        <v>889891</v>
      </c>
      <c r="F622" s="243">
        <f t="shared" si="63"/>
        <v>1779782</v>
      </c>
      <c r="G622" s="9">
        <v>889891</v>
      </c>
      <c r="H622" s="9">
        <v>1779782</v>
      </c>
      <c r="I622" s="339">
        <f t="shared" si="58"/>
        <v>0</v>
      </c>
      <c r="J622" s="339">
        <f t="shared" si="59"/>
        <v>0</v>
      </c>
      <c r="K622" s="9">
        <f t="shared" si="60"/>
        <v>0</v>
      </c>
    </row>
    <row r="623" spans="1:11" s="9" customFormat="1" ht="35.1" customHeight="1" x14ac:dyDescent="0.25">
      <c r="A623" s="240" t="s">
        <v>901</v>
      </c>
      <c r="B623" s="254" t="s">
        <v>902</v>
      </c>
      <c r="C623" s="240" t="s">
        <v>16</v>
      </c>
      <c r="D623" s="295">
        <v>3</v>
      </c>
      <c r="E623" s="243">
        <v>889891</v>
      </c>
      <c r="F623" s="243">
        <f t="shared" si="63"/>
        <v>2669673</v>
      </c>
      <c r="G623" s="9">
        <v>889891</v>
      </c>
      <c r="H623" s="9">
        <v>2669673</v>
      </c>
      <c r="I623" s="339">
        <f t="shared" si="58"/>
        <v>0</v>
      </c>
      <c r="J623" s="339">
        <f t="shared" si="59"/>
        <v>0</v>
      </c>
      <c r="K623" s="9">
        <f t="shared" si="60"/>
        <v>0</v>
      </c>
    </row>
    <row r="624" spans="1:11" s="9" customFormat="1" ht="35.1" customHeight="1" x14ac:dyDescent="0.25">
      <c r="A624" s="240" t="s">
        <v>1341</v>
      </c>
      <c r="B624" s="254" t="s">
        <v>1342</v>
      </c>
      <c r="C624" s="240" t="s">
        <v>16</v>
      </c>
      <c r="D624" s="295">
        <v>2</v>
      </c>
      <c r="E624" s="243">
        <v>3385820</v>
      </c>
      <c r="F624" s="243">
        <f t="shared" si="63"/>
        <v>6771640</v>
      </c>
      <c r="G624" s="9">
        <v>3385820</v>
      </c>
      <c r="H624" s="9">
        <v>6771640</v>
      </c>
      <c r="I624" s="339">
        <f t="shared" si="58"/>
        <v>0</v>
      </c>
      <c r="J624" s="339">
        <f t="shared" si="59"/>
        <v>0</v>
      </c>
      <c r="K624" s="9">
        <f t="shared" si="60"/>
        <v>0</v>
      </c>
    </row>
    <row r="625" spans="1:11" s="9" customFormat="1" ht="35.1" customHeight="1" x14ac:dyDescent="0.25">
      <c r="A625" s="240" t="s">
        <v>1343</v>
      </c>
      <c r="B625" s="254" t="s">
        <v>1344</v>
      </c>
      <c r="C625" s="240" t="s">
        <v>16</v>
      </c>
      <c r="D625" s="295">
        <v>2</v>
      </c>
      <c r="E625" s="243">
        <v>5954779</v>
      </c>
      <c r="F625" s="243">
        <f t="shared" si="63"/>
        <v>11909558</v>
      </c>
      <c r="G625" s="9">
        <v>5954779</v>
      </c>
      <c r="H625" s="9">
        <v>11909558</v>
      </c>
      <c r="I625" s="339">
        <f t="shared" si="58"/>
        <v>0</v>
      </c>
      <c r="J625" s="339">
        <f t="shared" si="59"/>
        <v>0</v>
      </c>
      <c r="K625" s="9">
        <f t="shared" si="60"/>
        <v>0</v>
      </c>
    </row>
    <row r="626" spans="1:11" s="9" customFormat="1" ht="35.1" customHeight="1" x14ac:dyDescent="0.25">
      <c r="A626" s="240" t="s">
        <v>1345</v>
      </c>
      <c r="B626" s="254" t="s">
        <v>1346</v>
      </c>
      <c r="C626" s="240" t="s">
        <v>16</v>
      </c>
      <c r="D626" s="295">
        <v>2</v>
      </c>
      <c r="E626" s="243">
        <v>2028785</v>
      </c>
      <c r="F626" s="243">
        <f t="shared" si="63"/>
        <v>4057570</v>
      </c>
      <c r="G626" s="9">
        <v>2028785</v>
      </c>
      <c r="H626" s="9">
        <v>4057570</v>
      </c>
      <c r="I626" s="339">
        <f t="shared" si="58"/>
        <v>0</v>
      </c>
      <c r="J626" s="339">
        <f t="shared" si="59"/>
        <v>0</v>
      </c>
      <c r="K626" s="9">
        <f t="shared" si="60"/>
        <v>0</v>
      </c>
    </row>
    <row r="627" spans="1:11" s="9" customFormat="1" ht="35.1" customHeight="1" x14ac:dyDescent="0.25">
      <c r="A627" s="240" t="s">
        <v>903</v>
      </c>
      <c r="B627" s="254" t="s">
        <v>904</v>
      </c>
      <c r="C627" s="240" t="s">
        <v>16</v>
      </c>
      <c r="D627" s="295">
        <v>5</v>
      </c>
      <c r="E627" s="243">
        <v>1132946</v>
      </c>
      <c r="F627" s="243">
        <f t="shared" si="63"/>
        <v>5664730</v>
      </c>
      <c r="G627" s="9">
        <v>1132946</v>
      </c>
      <c r="H627" s="9">
        <v>5664730</v>
      </c>
      <c r="I627" s="339">
        <f t="shared" si="58"/>
        <v>0</v>
      </c>
      <c r="J627" s="339">
        <f t="shared" si="59"/>
        <v>0</v>
      </c>
      <c r="K627" s="9">
        <f t="shared" si="60"/>
        <v>0</v>
      </c>
    </row>
    <row r="628" spans="1:11" s="9" customFormat="1" ht="35.1" customHeight="1" x14ac:dyDescent="0.25">
      <c r="A628" s="240" t="s">
        <v>905</v>
      </c>
      <c r="B628" s="254" t="s">
        <v>906</v>
      </c>
      <c r="C628" s="240" t="s">
        <v>16</v>
      </c>
      <c r="D628" s="295">
        <v>4</v>
      </c>
      <c r="E628" s="243">
        <v>339884</v>
      </c>
      <c r="F628" s="243">
        <f t="shared" si="63"/>
        <v>1359536</v>
      </c>
      <c r="G628" s="9">
        <v>339884</v>
      </c>
      <c r="H628" s="9">
        <v>1359536</v>
      </c>
      <c r="I628" s="339">
        <f t="shared" si="58"/>
        <v>0</v>
      </c>
      <c r="J628" s="339">
        <f t="shared" si="59"/>
        <v>0</v>
      </c>
      <c r="K628" s="9">
        <f t="shared" si="60"/>
        <v>0</v>
      </c>
    </row>
    <row r="629" spans="1:11" s="9" customFormat="1" ht="35.1" customHeight="1" x14ac:dyDescent="0.25">
      <c r="A629" s="240" t="s">
        <v>1347</v>
      </c>
      <c r="B629" s="254" t="s">
        <v>1348</v>
      </c>
      <c r="C629" s="240" t="s">
        <v>16</v>
      </c>
      <c r="D629" s="295">
        <v>2</v>
      </c>
      <c r="E629" s="243">
        <v>2028785</v>
      </c>
      <c r="F629" s="243">
        <f t="shared" si="63"/>
        <v>4057570</v>
      </c>
      <c r="G629" s="9">
        <v>2028785</v>
      </c>
      <c r="H629" s="9">
        <v>4057570</v>
      </c>
      <c r="I629" s="339">
        <f t="shared" si="58"/>
        <v>0</v>
      </c>
      <c r="J629" s="339">
        <f t="shared" si="59"/>
        <v>0</v>
      </c>
      <c r="K629" s="9">
        <f t="shared" si="60"/>
        <v>0</v>
      </c>
    </row>
    <row r="630" spans="1:11" s="9" customFormat="1" ht="35.1" customHeight="1" x14ac:dyDescent="0.25">
      <c r="A630" s="266">
        <v>18</v>
      </c>
      <c r="B630" s="267" t="s">
        <v>907</v>
      </c>
      <c r="C630" s="267"/>
      <c r="D630" s="316"/>
      <c r="E630" s="306"/>
      <c r="F630" s="268"/>
      <c r="I630" s="339">
        <f t="shared" si="58"/>
        <v>0</v>
      </c>
      <c r="J630" s="339">
        <f t="shared" si="59"/>
        <v>0</v>
      </c>
      <c r="K630" s="9">
        <f t="shared" si="60"/>
        <v>0</v>
      </c>
    </row>
    <row r="631" spans="1:11" s="9" customFormat="1" ht="35.1" customHeight="1" x14ac:dyDescent="0.25">
      <c r="A631" s="244" t="s">
        <v>908</v>
      </c>
      <c r="B631" s="256" t="s">
        <v>909</v>
      </c>
      <c r="C631" s="256"/>
      <c r="D631" s="313"/>
      <c r="E631" s="303"/>
      <c r="F631" s="246"/>
      <c r="I631" s="339">
        <f t="shared" si="58"/>
        <v>0</v>
      </c>
      <c r="J631" s="339">
        <f t="shared" si="59"/>
        <v>0</v>
      </c>
      <c r="K631" s="9">
        <f t="shared" si="60"/>
        <v>0</v>
      </c>
    </row>
    <row r="632" spans="1:11" s="9" customFormat="1" ht="35.1" customHeight="1" x14ac:dyDescent="0.25">
      <c r="A632" s="255" t="s">
        <v>910</v>
      </c>
      <c r="B632" s="284" t="s">
        <v>911</v>
      </c>
      <c r="C632" s="240" t="s">
        <v>16</v>
      </c>
      <c r="D632" s="295">
        <v>236</v>
      </c>
      <c r="E632" s="243">
        <v>38552</v>
      </c>
      <c r="F632" s="243">
        <f>ROUND(+E632*D632,2)</f>
        <v>9098272</v>
      </c>
      <c r="G632" s="9">
        <v>38552</v>
      </c>
      <c r="H632" s="9">
        <v>9098272</v>
      </c>
      <c r="I632" s="339">
        <f t="shared" si="58"/>
        <v>0</v>
      </c>
      <c r="J632" s="339">
        <f t="shared" si="59"/>
        <v>0</v>
      </c>
      <c r="K632" s="9">
        <f t="shared" si="60"/>
        <v>0</v>
      </c>
    </row>
    <row r="633" spans="1:11" s="9" customFormat="1" ht="35.1" customHeight="1" x14ac:dyDescent="0.25">
      <c r="A633" s="255" t="s">
        <v>912</v>
      </c>
      <c r="B633" s="254" t="s">
        <v>913</v>
      </c>
      <c r="C633" s="240" t="s">
        <v>16</v>
      </c>
      <c r="D633" s="295">
        <v>52</v>
      </c>
      <c r="E633" s="243">
        <v>38552</v>
      </c>
      <c r="F633" s="243">
        <f>ROUND(+E633*D633,2)</f>
        <v>2004704</v>
      </c>
      <c r="G633" s="9">
        <v>38552</v>
      </c>
      <c r="H633" s="9">
        <v>2004704</v>
      </c>
      <c r="I633" s="339">
        <f t="shared" si="58"/>
        <v>0</v>
      </c>
      <c r="J633" s="339">
        <f t="shared" si="59"/>
        <v>0</v>
      </c>
      <c r="K633" s="9">
        <f t="shared" si="60"/>
        <v>0</v>
      </c>
    </row>
    <row r="634" spans="1:11" s="9" customFormat="1" ht="35.1" customHeight="1" x14ac:dyDescent="0.25">
      <c r="A634" s="255" t="s">
        <v>914</v>
      </c>
      <c r="B634" s="254" t="s">
        <v>915</v>
      </c>
      <c r="C634" s="240" t="s">
        <v>16</v>
      </c>
      <c r="D634" s="295">
        <v>236</v>
      </c>
      <c r="E634" s="243">
        <v>10176</v>
      </c>
      <c r="F634" s="243">
        <f>ROUND(+E634*D634,2)</f>
        <v>2401536</v>
      </c>
      <c r="G634" s="9">
        <v>10176</v>
      </c>
      <c r="H634" s="9">
        <v>2401536</v>
      </c>
      <c r="I634" s="339">
        <f t="shared" si="58"/>
        <v>0</v>
      </c>
      <c r="J634" s="339">
        <f t="shared" si="59"/>
        <v>0</v>
      </c>
      <c r="K634" s="9">
        <f t="shared" si="60"/>
        <v>0</v>
      </c>
    </row>
    <row r="635" spans="1:11" s="9" customFormat="1" ht="35.1" customHeight="1" x14ac:dyDescent="0.25">
      <c r="A635" s="255" t="s">
        <v>916</v>
      </c>
      <c r="B635" s="254" t="s">
        <v>917</v>
      </c>
      <c r="C635" s="240" t="s">
        <v>16</v>
      </c>
      <c r="D635" s="295">
        <v>236</v>
      </c>
      <c r="E635" s="243">
        <v>46374</v>
      </c>
      <c r="F635" s="243">
        <f>ROUND(+E635*D635,2)</f>
        <v>10944264</v>
      </c>
      <c r="G635" s="9">
        <v>46374</v>
      </c>
      <c r="H635" s="9">
        <v>10944264</v>
      </c>
      <c r="I635" s="339">
        <f t="shared" si="58"/>
        <v>0</v>
      </c>
      <c r="J635" s="339">
        <f t="shared" si="59"/>
        <v>0</v>
      </c>
      <c r="K635" s="9">
        <f t="shared" si="60"/>
        <v>0</v>
      </c>
    </row>
    <row r="636" spans="1:11" s="9" customFormat="1" ht="35.1" customHeight="1" x14ac:dyDescent="0.25">
      <c r="A636" s="244" t="s">
        <v>918</v>
      </c>
      <c r="B636" s="256" t="s">
        <v>919</v>
      </c>
      <c r="C636" s="256"/>
      <c r="D636" s="313"/>
      <c r="E636" s="303"/>
      <c r="F636" s="246"/>
      <c r="I636" s="339">
        <f t="shared" si="58"/>
        <v>0</v>
      </c>
      <c r="J636" s="339">
        <f t="shared" si="59"/>
        <v>0</v>
      </c>
      <c r="K636" s="9">
        <f t="shared" si="60"/>
        <v>0</v>
      </c>
    </row>
    <row r="637" spans="1:11" s="9" customFormat="1" ht="35.1" customHeight="1" x14ac:dyDescent="0.25">
      <c r="A637" s="255" t="s">
        <v>920</v>
      </c>
      <c r="B637" s="254" t="s">
        <v>921</v>
      </c>
      <c r="C637" s="240" t="s">
        <v>94</v>
      </c>
      <c r="D637" s="295">
        <v>13012</v>
      </c>
      <c r="E637" s="243">
        <v>4618</v>
      </c>
      <c r="F637" s="243">
        <f>ROUND(+E637*D637,2)</f>
        <v>60089416</v>
      </c>
      <c r="G637" s="9">
        <v>4618</v>
      </c>
      <c r="H637" s="9">
        <v>60089416</v>
      </c>
      <c r="I637" s="339">
        <f t="shared" si="58"/>
        <v>0</v>
      </c>
      <c r="J637" s="339">
        <f t="shared" si="59"/>
        <v>0</v>
      </c>
      <c r="K637" s="9">
        <f t="shared" si="60"/>
        <v>0</v>
      </c>
    </row>
    <row r="638" spans="1:11" s="9" customFormat="1" ht="35.1" customHeight="1" x14ac:dyDescent="0.25">
      <c r="A638" s="244" t="s">
        <v>922</v>
      </c>
      <c r="B638" s="256" t="s">
        <v>923</v>
      </c>
      <c r="C638" s="256"/>
      <c r="D638" s="313"/>
      <c r="E638" s="303"/>
      <c r="F638" s="246"/>
      <c r="I638" s="339">
        <f t="shared" si="58"/>
        <v>0</v>
      </c>
      <c r="J638" s="339">
        <f t="shared" si="59"/>
        <v>0</v>
      </c>
      <c r="K638" s="9">
        <f t="shared" si="60"/>
        <v>0</v>
      </c>
    </row>
    <row r="639" spans="1:11" s="9" customFormat="1" ht="35.1" customHeight="1" x14ac:dyDescent="0.25">
      <c r="A639" s="255" t="s">
        <v>924</v>
      </c>
      <c r="B639" s="254" t="s">
        <v>925</v>
      </c>
      <c r="C639" s="240" t="s">
        <v>16</v>
      </c>
      <c r="D639" s="295">
        <v>13</v>
      </c>
      <c r="E639" s="243">
        <v>275478</v>
      </c>
      <c r="F639" s="243">
        <f t="shared" ref="F639:F644" si="64">ROUND(+E639*D639,2)</f>
        <v>3581214</v>
      </c>
      <c r="G639" s="9">
        <v>275478</v>
      </c>
      <c r="H639" s="9">
        <v>3581214</v>
      </c>
      <c r="I639" s="339">
        <f t="shared" si="58"/>
        <v>0</v>
      </c>
      <c r="J639" s="339">
        <f t="shared" si="59"/>
        <v>0</v>
      </c>
      <c r="K639" s="9">
        <f t="shared" si="60"/>
        <v>0</v>
      </c>
    </row>
    <row r="640" spans="1:11" s="9" customFormat="1" ht="35.1" customHeight="1" x14ac:dyDescent="0.25">
      <c r="A640" s="255" t="s">
        <v>926</v>
      </c>
      <c r="B640" s="254" t="s">
        <v>927</v>
      </c>
      <c r="C640" s="240" t="s">
        <v>16</v>
      </c>
      <c r="D640" s="295">
        <v>236</v>
      </c>
      <c r="E640" s="243">
        <v>38554</v>
      </c>
      <c r="F640" s="243">
        <f t="shared" si="64"/>
        <v>9098744</v>
      </c>
      <c r="G640" s="9">
        <v>38554</v>
      </c>
      <c r="H640" s="9">
        <v>9098744</v>
      </c>
      <c r="I640" s="339">
        <f t="shared" si="58"/>
        <v>0</v>
      </c>
      <c r="J640" s="339">
        <f t="shared" si="59"/>
        <v>0</v>
      </c>
      <c r="K640" s="9">
        <f t="shared" si="60"/>
        <v>0</v>
      </c>
    </row>
    <row r="641" spans="1:11" s="9" customFormat="1" ht="35.1" customHeight="1" x14ac:dyDescent="0.25">
      <c r="A641" s="255" t="s">
        <v>928</v>
      </c>
      <c r="B641" s="254" t="s">
        <v>929</v>
      </c>
      <c r="C641" s="240" t="s">
        <v>16</v>
      </c>
      <c r="D641" s="295">
        <v>52</v>
      </c>
      <c r="E641" s="243">
        <v>38554</v>
      </c>
      <c r="F641" s="243">
        <f t="shared" si="64"/>
        <v>2004808</v>
      </c>
      <c r="G641" s="9">
        <v>38554</v>
      </c>
      <c r="H641" s="9">
        <v>2004808</v>
      </c>
      <c r="I641" s="339">
        <f t="shared" si="58"/>
        <v>0</v>
      </c>
      <c r="J641" s="339">
        <f t="shared" si="59"/>
        <v>0</v>
      </c>
      <c r="K641" s="9">
        <f t="shared" si="60"/>
        <v>0</v>
      </c>
    </row>
    <row r="642" spans="1:11" s="9" customFormat="1" ht="35.1" customHeight="1" x14ac:dyDescent="0.25">
      <c r="A642" s="255" t="s">
        <v>930</v>
      </c>
      <c r="B642" s="254" t="s">
        <v>931</v>
      </c>
      <c r="C642" s="240" t="s">
        <v>16</v>
      </c>
      <c r="D642" s="295">
        <v>236</v>
      </c>
      <c r="E642" s="243">
        <v>49451</v>
      </c>
      <c r="F642" s="243">
        <f t="shared" si="64"/>
        <v>11670436</v>
      </c>
      <c r="G642" s="9">
        <v>49451</v>
      </c>
      <c r="H642" s="9">
        <v>11670436</v>
      </c>
      <c r="I642" s="339">
        <f t="shared" si="58"/>
        <v>0</v>
      </c>
      <c r="J642" s="339">
        <f t="shared" si="59"/>
        <v>0</v>
      </c>
      <c r="K642" s="9">
        <f t="shared" si="60"/>
        <v>0</v>
      </c>
    </row>
    <row r="643" spans="1:11" s="9" customFormat="1" ht="35.1" customHeight="1" x14ac:dyDescent="0.25">
      <c r="A643" s="255" t="s">
        <v>932</v>
      </c>
      <c r="B643" s="254" t="s">
        <v>933</v>
      </c>
      <c r="C643" s="240" t="s">
        <v>16</v>
      </c>
      <c r="D643" s="295">
        <v>52</v>
      </c>
      <c r="E643" s="243">
        <v>49451</v>
      </c>
      <c r="F643" s="243">
        <f t="shared" si="64"/>
        <v>2571452</v>
      </c>
      <c r="G643" s="9">
        <v>49451</v>
      </c>
      <c r="H643" s="9">
        <v>2571452</v>
      </c>
      <c r="I643" s="339">
        <f t="shared" si="58"/>
        <v>0</v>
      </c>
      <c r="J643" s="339">
        <f t="shared" si="59"/>
        <v>0</v>
      </c>
      <c r="K643" s="9">
        <f t="shared" si="60"/>
        <v>0</v>
      </c>
    </row>
    <row r="644" spans="1:11" s="9" customFormat="1" ht="35.1" customHeight="1" x14ac:dyDescent="0.25">
      <c r="A644" s="255" t="s">
        <v>934</v>
      </c>
      <c r="B644" s="254" t="s">
        <v>935</v>
      </c>
      <c r="C644" s="240" t="s">
        <v>16</v>
      </c>
      <c r="D644" s="295">
        <v>13</v>
      </c>
      <c r="E644" s="243">
        <v>257112</v>
      </c>
      <c r="F644" s="243">
        <f t="shared" si="64"/>
        <v>3342456</v>
      </c>
      <c r="G644" s="9">
        <v>257112</v>
      </c>
      <c r="H644" s="9">
        <v>3342456</v>
      </c>
      <c r="I644" s="339">
        <f t="shared" si="58"/>
        <v>0</v>
      </c>
      <c r="J644" s="339">
        <f t="shared" si="59"/>
        <v>0</v>
      </c>
      <c r="K644" s="9">
        <f t="shared" si="60"/>
        <v>0</v>
      </c>
    </row>
    <row r="645" spans="1:11" s="9" customFormat="1" ht="35.1" customHeight="1" x14ac:dyDescent="0.25">
      <c r="A645" s="244" t="s">
        <v>936</v>
      </c>
      <c r="B645" s="245" t="s">
        <v>937</v>
      </c>
      <c r="C645" s="244"/>
      <c r="D645" s="313"/>
      <c r="E645" s="303"/>
      <c r="F645" s="246"/>
      <c r="I645" s="339">
        <f t="shared" ref="I645:I708" si="65">+E645-G645</f>
        <v>0</v>
      </c>
      <c r="J645" s="339">
        <f t="shared" ref="J645:J708" si="66">+H645-F645</f>
        <v>0</v>
      </c>
      <c r="K645" s="9">
        <f t="shared" ref="K645:K708" si="67">IF(J645&gt;0,1,0)</f>
        <v>0</v>
      </c>
    </row>
    <row r="646" spans="1:11" s="9" customFormat="1" ht="35.1" customHeight="1" x14ac:dyDescent="0.25">
      <c r="A646" s="255" t="s">
        <v>938</v>
      </c>
      <c r="B646" s="254" t="s">
        <v>939</v>
      </c>
      <c r="C646" s="240" t="s">
        <v>16</v>
      </c>
      <c r="D646" s="295">
        <v>2</v>
      </c>
      <c r="E646" s="243">
        <v>596595</v>
      </c>
      <c r="F646" s="243">
        <f>ROUND(+E646*D646,2)</f>
        <v>1193190</v>
      </c>
      <c r="G646" s="9">
        <v>596595</v>
      </c>
      <c r="H646" s="9">
        <v>1193190</v>
      </c>
      <c r="I646" s="339">
        <f t="shared" si="65"/>
        <v>0</v>
      </c>
      <c r="J646" s="339">
        <f t="shared" si="66"/>
        <v>0</v>
      </c>
      <c r="K646" s="9">
        <f t="shared" si="67"/>
        <v>0</v>
      </c>
    </row>
    <row r="647" spans="1:11" s="9" customFormat="1" ht="35.1" customHeight="1" x14ac:dyDescent="0.25">
      <c r="A647" s="255" t="s">
        <v>940</v>
      </c>
      <c r="B647" s="254" t="s">
        <v>941</v>
      </c>
      <c r="C647" s="240" t="s">
        <v>16</v>
      </c>
      <c r="D647" s="295">
        <v>52</v>
      </c>
      <c r="E647" s="243">
        <v>36237</v>
      </c>
      <c r="F647" s="243">
        <f>ROUND(+E647*D647,2)</f>
        <v>1884324</v>
      </c>
      <c r="G647" s="9">
        <v>36237</v>
      </c>
      <c r="H647" s="9">
        <v>1884324</v>
      </c>
      <c r="I647" s="339">
        <f t="shared" si="65"/>
        <v>0</v>
      </c>
      <c r="J647" s="339">
        <f t="shared" si="66"/>
        <v>0</v>
      </c>
      <c r="K647" s="9">
        <f t="shared" si="67"/>
        <v>0</v>
      </c>
    </row>
    <row r="648" spans="1:11" s="9" customFormat="1" ht="35.1" customHeight="1" x14ac:dyDescent="0.25">
      <c r="A648" s="255" t="s">
        <v>942</v>
      </c>
      <c r="B648" s="254" t="s">
        <v>935</v>
      </c>
      <c r="C648" s="240" t="s">
        <v>16</v>
      </c>
      <c r="D648" s="295">
        <v>2</v>
      </c>
      <c r="E648" s="243">
        <v>257112</v>
      </c>
      <c r="F648" s="243">
        <f>ROUND(+E648*D648,2)</f>
        <v>514224</v>
      </c>
      <c r="G648" s="9">
        <v>257112</v>
      </c>
      <c r="H648" s="9">
        <v>514224</v>
      </c>
      <c r="I648" s="339">
        <f t="shared" si="65"/>
        <v>0</v>
      </c>
      <c r="J648" s="339">
        <f t="shared" si="66"/>
        <v>0</v>
      </c>
      <c r="K648" s="9">
        <f t="shared" si="67"/>
        <v>0</v>
      </c>
    </row>
    <row r="649" spans="1:11" s="9" customFormat="1" ht="35.1" customHeight="1" x14ac:dyDescent="0.25">
      <c r="A649" s="244" t="s">
        <v>943</v>
      </c>
      <c r="B649" s="245" t="s">
        <v>944</v>
      </c>
      <c r="C649" s="260"/>
      <c r="D649" s="313"/>
      <c r="E649" s="303"/>
      <c r="F649" s="246"/>
      <c r="I649" s="339">
        <f t="shared" si="65"/>
        <v>0</v>
      </c>
      <c r="J649" s="339">
        <f t="shared" si="66"/>
        <v>0</v>
      </c>
      <c r="K649" s="9">
        <f t="shared" si="67"/>
        <v>0</v>
      </c>
    </row>
    <row r="650" spans="1:11" s="9" customFormat="1" ht="35.1" customHeight="1" x14ac:dyDescent="0.25">
      <c r="A650" s="255" t="s">
        <v>945</v>
      </c>
      <c r="B650" s="254" t="s">
        <v>946</v>
      </c>
      <c r="C650" s="240" t="s">
        <v>94</v>
      </c>
      <c r="D650" s="295">
        <v>44</v>
      </c>
      <c r="E650" s="243">
        <v>20102</v>
      </c>
      <c r="F650" s="243">
        <f>ROUND(+E650*D650,2)</f>
        <v>884488</v>
      </c>
      <c r="G650" s="9">
        <v>20102</v>
      </c>
      <c r="H650" s="9">
        <v>884488</v>
      </c>
      <c r="I650" s="339">
        <f t="shared" si="65"/>
        <v>0</v>
      </c>
      <c r="J650" s="339">
        <f t="shared" si="66"/>
        <v>0</v>
      </c>
      <c r="K650" s="9">
        <f t="shared" si="67"/>
        <v>0</v>
      </c>
    </row>
    <row r="651" spans="1:11" s="9" customFormat="1" ht="35.1" customHeight="1" x14ac:dyDescent="0.25">
      <c r="A651" s="255" t="s">
        <v>947</v>
      </c>
      <c r="B651" s="254" t="s">
        <v>948</v>
      </c>
      <c r="C651" s="240" t="s">
        <v>16</v>
      </c>
      <c r="D651" s="295">
        <v>4</v>
      </c>
      <c r="E651" s="243">
        <v>724697</v>
      </c>
      <c r="F651" s="243">
        <f>ROUND(+E651*D651,2)</f>
        <v>2898788</v>
      </c>
      <c r="G651" s="9">
        <v>724697</v>
      </c>
      <c r="H651" s="9">
        <v>2898788</v>
      </c>
      <c r="I651" s="339">
        <f t="shared" si="65"/>
        <v>0</v>
      </c>
      <c r="J651" s="339">
        <f t="shared" si="66"/>
        <v>0</v>
      </c>
      <c r="K651" s="9">
        <f t="shared" si="67"/>
        <v>0</v>
      </c>
    </row>
    <row r="652" spans="1:11" s="9" customFormat="1" ht="35.1" customHeight="1" x14ac:dyDescent="0.25">
      <c r="A652" s="255" t="s">
        <v>949</v>
      </c>
      <c r="B652" s="254" t="s">
        <v>950</v>
      </c>
      <c r="C652" s="240" t="s">
        <v>16</v>
      </c>
      <c r="D652" s="295">
        <v>4</v>
      </c>
      <c r="E652" s="243">
        <v>257112</v>
      </c>
      <c r="F652" s="243">
        <f>ROUND(+E652*D652,2)</f>
        <v>1028448</v>
      </c>
      <c r="G652" s="9">
        <v>257112</v>
      </c>
      <c r="H652" s="9">
        <v>1028448</v>
      </c>
      <c r="I652" s="339">
        <f t="shared" si="65"/>
        <v>0</v>
      </c>
      <c r="J652" s="339">
        <f t="shared" si="66"/>
        <v>0</v>
      </c>
      <c r="K652" s="9">
        <f t="shared" si="67"/>
        <v>0</v>
      </c>
    </row>
    <row r="653" spans="1:11" s="9" customFormat="1" ht="35.1" customHeight="1" x14ac:dyDescent="0.25">
      <c r="A653" s="244" t="s">
        <v>951</v>
      </c>
      <c r="B653" s="245" t="s">
        <v>952</v>
      </c>
      <c r="C653" s="260"/>
      <c r="D653" s="313"/>
      <c r="E653" s="303"/>
      <c r="F653" s="246"/>
      <c r="I653" s="339">
        <f t="shared" si="65"/>
        <v>0</v>
      </c>
      <c r="J653" s="339">
        <f t="shared" si="66"/>
        <v>0</v>
      </c>
      <c r="K653" s="9">
        <f t="shared" si="67"/>
        <v>0</v>
      </c>
    </row>
    <row r="654" spans="1:11" s="9" customFormat="1" ht="35.1" customHeight="1" x14ac:dyDescent="0.25">
      <c r="A654" s="255" t="s">
        <v>953</v>
      </c>
      <c r="B654" s="254" t="s">
        <v>954</v>
      </c>
      <c r="C654" s="240" t="s">
        <v>16</v>
      </c>
      <c r="D654" s="295">
        <v>4</v>
      </c>
      <c r="E654" s="243">
        <v>4619597</v>
      </c>
      <c r="F654" s="243">
        <f t="shared" ref="F654:F665" si="68">ROUND(+E654*D654,2)</f>
        <v>18478388</v>
      </c>
      <c r="G654" s="9">
        <v>4619597</v>
      </c>
      <c r="H654" s="9">
        <v>18478388</v>
      </c>
      <c r="I654" s="339">
        <f t="shared" si="65"/>
        <v>0</v>
      </c>
      <c r="J654" s="339">
        <f t="shared" si="66"/>
        <v>0</v>
      </c>
      <c r="K654" s="9">
        <f t="shared" si="67"/>
        <v>0</v>
      </c>
    </row>
    <row r="655" spans="1:11" s="9" customFormat="1" ht="35.1" customHeight="1" x14ac:dyDescent="0.25">
      <c r="A655" s="255" t="s">
        <v>955</v>
      </c>
      <c r="B655" s="254" t="s">
        <v>956</v>
      </c>
      <c r="C655" s="240" t="s">
        <v>16</v>
      </c>
      <c r="D655" s="295">
        <v>8</v>
      </c>
      <c r="E655" s="243">
        <v>593668</v>
      </c>
      <c r="F655" s="243">
        <f t="shared" si="68"/>
        <v>4749344</v>
      </c>
      <c r="G655" s="9">
        <v>593668</v>
      </c>
      <c r="H655" s="9">
        <v>4749344</v>
      </c>
      <c r="I655" s="339">
        <f t="shared" si="65"/>
        <v>0</v>
      </c>
      <c r="J655" s="339">
        <f t="shared" si="66"/>
        <v>0</v>
      </c>
      <c r="K655" s="9">
        <f t="shared" si="67"/>
        <v>0</v>
      </c>
    </row>
    <row r="656" spans="1:11" s="9" customFormat="1" ht="35.1" customHeight="1" x14ac:dyDescent="0.25">
      <c r="A656" s="255" t="s">
        <v>957</v>
      </c>
      <c r="B656" s="254" t="s">
        <v>958</v>
      </c>
      <c r="C656" s="240" t="s">
        <v>16</v>
      </c>
      <c r="D656" s="295">
        <v>4</v>
      </c>
      <c r="E656" s="243">
        <v>514115</v>
      </c>
      <c r="F656" s="243">
        <f t="shared" si="68"/>
        <v>2056460</v>
      </c>
      <c r="G656" s="9">
        <v>514115</v>
      </c>
      <c r="H656" s="9">
        <v>2056460</v>
      </c>
      <c r="I656" s="339">
        <f t="shared" si="65"/>
        <v>0</v>
      </c>
      <c r="J656" s="339">
        <f t="shared" si="66"/>
        <v>0</v>
      </c>
      <c r="K656" s="9">
        <f t="shared" si="67"/>
        <v>0</v>
      </c>
    </row>
    <row r="657" spans="1:11" s="9" customFormat="1" ht="35.1" customHeight="1" x14ac:dyDescent="0.25">
      <c r="A657" s="255" t="s">
        <v>959</v>
      </c>
      <c r="B657" s="254" t="s">
        <v>960</v>
      </c>
      <c r="C657" s="240" t="s">
        <v>94</v>
      </c>
      <c r="D657" s="295">
        <v>40</v>
      </c>
      <c r="E657" s="243">
        <v>4749</v>
      </c>
      <c r="F657" s="243">
        <f t="shared" si="68"/>
        <v>189960</v>
      </c>
      <c r="G657" s="9">
        <v>4749</v>
      </c>
      <c r="H657" s="9">
        <v>189960</v>
      </c>
      <c r="I657" s="339">
        <f t="shared" si="65"/>
        <v>0</v>
      </c>
      <c r="J657" s="339">
        <f t="shared" si="66"/>
        <v>0</v>
      </c>
      <c r="K657" s="9">
        <f t="shared" si="67"/>
        <v>0</v>
      </c>
    </row>
    <row r="658" spans="1:11" s="9" customFormat="1" ht="35.1" customHeight="1" x14ac:dyDescent="0.25">
      <c r="A658" s="255" t="s">
        <v>961</v>
      </c>
      <c r="B658" s="254" t="s">
        <v>962</v>
      </c>
      <c r="C658" s="255" t="s">
        <v>94</v>
      </c>
      <c r="D658" s="295">
        <v>546</v>
      </c>
      <c r="E658" s="243">
        <v>158168</v>
      </c>
      <c r="F658" s="243">
        <f t="shared" si="68"/>
        <v>86359728</v>
      </c>
      <c r="G658" s="9">
        <v>158168</v>
      </c>
      <c r="H658" s="9">
        <v>86359728</v>
      </c>
      <c r="I658" s="339">
        <f t="shared" si="65"/>
        <v>0</v>
      </c>
      <c r="J658" s="339">
        <f t="shared" si="66"/>
        <v>0</v>
      </c>
      <c r="K658" s="9">
        <f t="shared" si="67"/>
        <v>0</v>
      </c>
    </row>
    <row r="659" spans="1:11" s="9" customFormat="1" ht="35.1" customHeight="1" x14ac:dyDescent="0.25">
      <c r="A659" s="255" t="s">
        <v>963</v>
      </c>
      <c r="B659" s="254" t="s">
        <v>964</v>
      </c>
      <c r="C659" s="240" t="s">
        <v>94</v>
      </c>
      <c r="D659" s="295">
        <v>336</v>
      </c>
      <c r="E659" s="243">
        <v>37475</v>
      </c>
      <c r="F659" s="243">
        <f t="shared" si="68"/>
        <v>12591600</v>
      </c>
      <c r="G659" s="9">
        <v>37475</v>
      </c>
      <c r="H659" s="9">
        <v>12591600</v>
      </c>
      <c r="I659" s="339">
        <f t="shared" si="65"/>
        <v>0</v>
      </c>
      <c r="J659" s="339">
        <f t="shared" si="66"/>
        <v>0</v>
      </c>
      <c r="K659" s="9">
        <f t="shared" si="67"/>
        <v>0</v>
      </c>
    </row>
    <row r="660" spans="1:11" s="9" customFormat="1" ht="35.1" customHeight="1" x14ac:dyDescent="0.25">
      <c r="A660" s="255" t="s">
        <v>965</v>
      </c>
      <c r="B660" s="254" t="s">
        <v>966</v>
      </c>
      <c r="C660" s="240" t="s">
        <v>94</v>
      </c>
      <c r="D660" s="295">
        <v>87</v>
      </c>
      <c r="E660" s="243">
        <v>20696</v>
      </c>
      <c r="F660" s="243">
        <f t="shared" si="68"/>
        <v>1800552</v>
      </c>
      <c r="G660" s="9">
        <v>20696</v>
      </c>
      <c r="H660" s="9">
        <v>1800552</v>
      </c>
      <c r="I660" s="339">
        <f t="shared" si="65"/>
        <v>0</v>
      </c>
      <c r="J660" s="339">
        <f t="shared" si="66"/>
        <v>0</v>
      </c>
      <c r="K660" s="9">
        <f t="shared" si="67"/>
        <v>0</v>
      </c>
    </row>
    <row r="661" spans="1:11" s="9" customFormat="1" ht="35.1" customHeight="1" x14ac:dyDescent="0.25">
      <c r="A661" s="255" t="s">
        <v>967</v>
      </c>
      <c r="B661" s="254" t="s">
        <v>968</v>
      </c>
      <c r="C661" s="240" t="s">
        <v>94</v>
      </c>
      <c r="D661" s="295">
        <v>227</v>
      </c>
      <c r="E661" s="243">
        <v>16448</v>
      </c>
      <c r="F661" s="243">
        <f t="shared" si="68"/>
        <v>3733696</v>
      </c>
      <c r="G661" s="9">
        <v>16448</v>
      </c>
      <c r="H661" s="9">
        <v>3733696</v>
      </c>
      <c r="I661" s="339">
        <f t="shared" si="65"/>
        <v>0</v>
      </c>
      <c r="J661" s="339">
        <f t="shared" si="66"/>
        <v>0</v>
      </c>
      <c r="K661" s="9">
        <f t="shared" si="67"/>
        <v>0</v>
      </c>
    </row>
    <row r="662" spans="1:11" s="9" customFormat="1" ht="35.1" customHeight="1" x14ac:dyDescent="0.25">
      <c r="A662" s="255" t="s">
        <v>969</v>
      </c>
      <c r="B662" s="254" t="s">
        <v>970</v>
      </c>
      <c r="C662" s="240" t="s">
        <v>94</v>
      </c>
      <c r="D662" s="295">
        <v>30</v>
      </c>
      <c r="E662" s="243">
        <v>6061</v>
      </c>
      <c r="F662" s="243">
        <f t="shared" si="68"/>
        <v>181830</v>
      </c>
      <c r="G662" s="9">
        <v>6061</v>
      </c>
      <c r="H662" s="9">
        <v>181830</v>
      </c>
      <c r="I662" s="339">
        <f t="shared" si="65"/>
        <v>0</v>
      </c>
      <c r="J662" s="339">
        <f t="shared" si="66"/>
        <v>0</v>
      </c>
      <c r="K662" s="9">
        <f t="shared" si="67"/>
        <v>0</v>
      </c>
    </row>
    <row r="663" spans="1:11" s="9" customFormat="1" ht="35.1" customHeight="1" x14ac:dyDescent="0.25">
      <c r="A663" s="255" t="s">
        <v>971</v>
      </c>
      <c r="B663" s="254" t="s">
        <v>972</v>
      </c>
      <c r="C663" s="240" t="s">
        <v>94</v>
      </c>
      <c r="D663" s="295">
        <v>115</v>
      </c>
      <c r="E663" s="243">
        <v>4876</v>
      </c>
      <c r="F663" s="243">
        <f t="shared" si="68"/>
        <v>560740</v>
      </c>
      <c r="G663" s="9">
        <v>4876</v>
      </c>
      <c r="H663" s="9">
        <v>560740</v>
      </c>
      <c r="I663" s="339">
        <f t="shared" si="65"/>
        <v>0</v>
      </c>
      <c r="J663" s="339">
        <f t="shared" si="66"/>
        <v>0</v>
      </c>
      <c r="K663" s="9">
        <f t="shared" si="67"/>
        <v>0</v>
      </c>
    </row>
    <row r="664" spans="1:11" s="9" customFormat="1" ht="35.1" customHeight="1" x14ac:dyDescent="0.25">
      <c r="A664" s="255" t="s">
        <v>973</v>
      </c>
      <c r="B664" s="254" t="s">
        <v>974</v>
      </c>
      <c r="C664" s="240" t="s">
        <v>16</v>
      </c>
      <c r="D664" s="295">
        <v>6</v>
      </c>
      <c r="E664" s="243">
        <v>790806</v>
      </c>
      <c r="F664" s="243">
        <f t="shared" si="68"/>
        <v>4744836</v>
      </c>
      <c r="G664" s="9">
        <v>790806</v>
      </c>
      <c r="H664" s="9">
        <v>4744836</v>
      </c>
      <c r="I664" s="339">
        <f t="shared" si="65"/>
        <v>0</v>
      </c>
      <c r="J664" s="339">
        <f t="shared" si="66"/>
        <v>0</v>
      </c>
      <c r="K664" s="9">
        <f t="shared" si="67"/>
        <v>0</v>
      </c>
    </row>
    <row r="665" spans="1:11" s="9" customFormat="1" ht="35.1" customHeight="1" x14ac:dyDescent="0.25">
      <c r="A665" s="255" t="s">
        <v>975</v>
      </c>
      <c r="B665" s="254" t="s">
        <v>976</v>
      </c>
      <c r="C665" s="240" t="s">
        <v>16</v>
      </c>
      <c r="D665" s="295">
        <v>8</v>
      </c>
      <c r="E665" s="243">
        <v>13258</v>
      </c>
      <c r="F665" s="243">
        <f t="shared" si="68"/>
        <v>106064</v>
      </c>
      <c r="G665" s="9">
        <v>13258</v>
      </c>
      <c r="H665" s="9">
        <v>106064</v>
      </c>
      <c r="I665" s="339">
        <f t="shared" si="65"/>
        <v>0</v>
      </c>
      <c r="J665" s="339">
        <f t="shared" si="66"/>
        <v>0</v>
      </c>
      <c r="K665" s="9">
        <f t="shared" si="67"/>
        <v>0</v>
      </c>
    </row>
    <row r="666" spans="1:11" s="9" customFormat="1" ht="35.1" customHeight="1" x14ac:dyDescent="0.25">
      <c r="A666" s="244" t="s">
        <v>977</v>
      </c>
      <c r="B666" s="256" t="s">
        <v>978</v>
      </c>
      <c r="C666" s="256"/>
      <c r="D666" s="313"/>
      <c r="E666" s="303"/>
      <c r="F666" s="246"/>
      <c r="I666" s="339">
        <f t="shared" si="65"/>
        <v>0</v>
      </c>
      <c r="J666" s="339">
        <f t="shared" si="66"/>
        <v>0</v>
      </c>
      <c r="K666" s="9">
        <f t="shared" si="67"/>
        <v>0</v>
      </c>
    </row>
    <row r="667" spans="1:11" s="9" customFormat="1" ht="35.1" customHeight="1" x14ac:dyDescent="0.25">
      <c r="A667" s="255" t="s">
        <v>979</v>
      </c>
      <c r="B667" s="254" t="s">
        <v>980</v>
      </c>
      <c r="C667" s="240" t="s">
        <v>16</v>
      </c>
      <c r="D667" s="295">
        <v>4</v>
      </c>
      <c r="E667" s="243">
        <v>65873</v>
      </c>
      <c r="F667" s="243">
        <f>ROUND(+E667*D667,2)</f>
        <v>263492</v>
      </c>
      <c r="G667" s="9">
        <v>65873</v>
      </c>
      <c r="H667" s="9">
        <v>263492</v>
      </c>
      <c r="I667" s="339">
        <f t="shared" si="65"/>
        <v>0</v>
      </c>
      <c r="J667" s="339">
        <f t="shared" si="66"/>
        <v>0</v>
      </c>
      <c r="K667" s="9">
        <f t="shared" si="67"/>
        <v>0</v>
      </c>
    </row>
    <row r="668" spans="1:11" s="9" customFormat="1" ht="35.1" customHeight="1" x14ac:dyDescent="0.25">
      <c r="A668" s="255" t="s">
        <v>981</v>
      </c>
      <c r="B668" s="254" t="s">
        <v>982</v>
      </c>
      <c r="C668" s="240" t="s">
        <v>94</v>
      </c>
      <c r="D668" s="295">
        <v>4</v>
      </c>
      <c r="E668" s="243">
        <v>6635</v>
      </c>
      <c r="F668" s="243">
        <f>ROUND(+E668*D668,2)</f>
        <v>26540</v>
      </c>
      <c r="G668" s="9">
        <v>6635</v>
      </c>
      <c r="H668" s="9">
        <v>26540</v>
      </c>
      <c r="I668" s="339">
        <f t="shared" si="65"/>
        <v>0</v>
      </c>
      <c r="J668" s="339">
        <f t="shared" si="66"/>
        <v>0</v>
      </c>
      <c r="K668" s="9">
        <f t="shared" si="67"/>
        <v>0</v>
      </c>
    </row>
    <row r="669" spans="1:11" s="9" customFormat="1" ht="35.1" customHeight="1" x14ac:dyDescent="0.25">
      <c r="A669" s="255" t="s">
        <v>983</v>
      </c>
      <c r="B669" s="254" t="s">
        <v>984</v>
      </c>
      <c r="C669" s="240" t="s">
        <v>94</v>
      </c>
      <c r="D669" s="295">
        <v>4</v>
      </c>
      <c r="E669" s="243">
        <v>6635</v>
      </c>
      <c r="F669" s="243">
        <f>ROUND(+E669*D669,2)</f>
        <v>26540</v>
      </c>
      <c r="G669" s="9">
        <v>6635</v>
      </c>
      <c r="H669" s="9">
        <v>26540</v>
      </c>
      <c r="I669" s="339">
        <f t="shared" si="65"/>
        <v>0</v>
      </c>
      <c r="J669" s="339">
        <f t="shared" si="66"/>
        <v>0</v>
      </c>
      <c r="K669" s="9">
        <f t="shared" si="67"/>
        <v>0</v>
      </c>
    </row>
    <row r="670" spans="1:11" s="9" customFormat="1" ht="35.1" customHeight="1" x14ac:dyDescent="0.25">
      <c r="A670" s="255" t="s">
        <v>985</v>
      </c>
      <c r="B670" s="254" t="s">
        <v>986</v>
      </c>
      <c r="C670" s="240" t="s">
        <v>16</v>
      </c>
      <c r="D670" s="295">
        <v>4</v>
      </c>
      <c r="E670" s="243">
        <v>649052</v>
      </c>
      <c r="F670" s="243">
        <f>ROUND(+E670*D670,2)</f>
        <v>2596208</v>
      </c>
      <c r="G670" s="9">
        <v>649052</v>
      </c>
      <c r="H670" s="9">
        <v>2596208</v>
      </c>
      <c r="I670" s="339">
        <f t="shared" si="65"/>
        <v>0</v>
      </c>
      <c r="J670" s="339">
        <f t="shared" si="66"/>
        <v>0</v>
      </c>
      <c r="K670" s="9">
        <f t="shared" si="67"/>
        <v>0</v>
      </c>
    </row>
    <row r="671" spans="1:11" s="9" customFormat="1" ht="35.1" customHeight="1" x14ac:dyDescent="0.25">
      <c r="A671" s="244" t="s">
        <v>987</v>
      </c>
      <c r="B671" s="256" t="s">
        <v>988</v>
      </c>
      <c r="C671" s="256"/>
      <c r="D671" s="313"/>
      <c r="E671" s="303"/>
      <c r="F671" s="246"/>
      <c r="I671" s="339">
        <f t="shared" si="65"/>
        <v>0</v>
      </c>
      <c r="J671" s="339">
        <f t="shared" si="66"/>
        <v>0</v>
      </c>
      <c r="K671" s="9">
        <f t="shared" si="67"/>
        <v>0</v>
      </c>
    </row>
    <row r="672" spans="1:11" s="9" customFormat="1" ht="35.1" customHeight="1" x14ac:dyDescent="0.25">
      <c r="A672" s="240" t="s">
        <v>989</v>
      </c>
      <c r="B672" s="254" t="s">
        <v>990</v>
      </c>
      <c r="C672" s="240" t="s">
        <v>16</v>
      </c>
      <c r="D672" s="295">
        <v>14</v>
      </c>
      <c r="E672" s="243">
        <v>7531688</v>
      </c>
      <c r="F672" s="243">
        <f>ROUND(+E672*D672,2)</f>
        <v>105443632</v>
      </c>
      <c r="G672" s="9">
        <v>7531688</v>
      </c>
      <c r="H672" s="9">
        <v>105443632</v>
      </c>
      <c r="I672" s="339">
        <f t="shared" si="65"/>
        <v>0</v>
      </c>
      <c r="J672" s="339">
        <f t="shared" si="66"/>
        <v>0</v>
      </c>
      <c r="K672" s="9">
        <f t="shared" si="67"/>
        <v>0</v>
      </c>
    </row>
    <row r="673" spans="1:11" s="9" customFormat="1" ht="35.1" customHeight="1" x14ac:dyDescent="0.25">
      <c r="A673" s="240" t="s">
        <v>991</v>
      </c>
      <c r="B673" s="254" t="s">
        <v>992</v>
      </c>
      <c r="C673" s="240" t="s">
        <v>16</v>
      </c>
      <c r="D673" s="295">
        <v>1</v>
      </c>
      <c r="E673" s="243">
        <v>863097</v>
      </c>
      <c r="F673" s="243">
        <f>ROUND(+E673*D673,2)</f>
        <v>863097</v>
      </c>
      <c r="G673" s="9">
        <v>863097</v>
      </c>
      <c r="H673" s="9">
        <v>863097</v>
      </c>
      <c r="I673" s="339">
        <f t="shared" si="65"/>
        <v>0</v>
      </c>
      <c r="J673" s="339">
        <f t="shared" si="66"/>
        <v>0</v>
      </c>
      <c r="K673" s="9">
        <f t="shared" si="67"/>
        <v>0</v>
      </c>
    </row>
    <row r="674" spans="1:11" s="9" customFormat="1" ht="35.1" customHeight="1" x14ac:dyDescent="0.25">
      <c r="A674" s="266">
        <v>19</v>
      </c>
      <c r="B674" s="267" t="s">
        <v>993</v>
      </c>
      <c r="C674" s="267"/>
      <c r="D674" s="316"/>
      <c r="E674" s="306"/>
      <c r="F674" s="268"/>
      <c r="I674" s="339">
        <f t="shared" si="65"/>
        <v>0</v>
      </c>
      <c r="J674" s="339">
        <f t="shared" si="66"/>
        <v>0</v>
      </c>
      <c r="K674" s="9">
        <f t="shared" si="67"/>
        <v>0</v>
      </c>
    </row>
    <row r="675" spans="1:11" s="9" customFormat="1" ht="35.1" customHeight="1" x14ac:dyDescent="0.25">
      <c r="A675" s="296" t="s">
        <v>1349</v>
      </c>
      <c r="B675" s="297" t="s">
        <v>1350</v>
      </c>
      <c r="C675" s="298"/>
      <c r="D675" s="313"/>
      <c r="E675" s="303"/>
      <c r="F675" s="246"/>
      <c r="I675" s="339">
        <f t="shared" si="65"/>
        <v>0</v>
      </c>
      <c r="J675" s="339">
        <f t="shared" si="66"/>
        <v>0</v>
      </c>
      <c r="K675" s="9">
        <f t="shared" si="67"/>
        <v>0</v>
      </c>
    </row>
    <row r="676" spans="1:11" s="9" customFormat="1" ht="35.1" customHeight="1" x14ac:dyDescent="0.25">
      <c r="A676" s="255" t="s">
        <v>1351</v>
      </c>
      <c r="B676" s="254" t="s">
        <v>1352</v>
      </c>
      <c r="C676" s="240" t="s">
        <v>16</v>
      </c>
      <c r="D676" s="295">
        <v>10</v>
      </c>
      <c r="E676" s="243">
        <v>1292800</v>
      </c>
      <c r="F676" s="243">
        <f t="shared" ref="F676:F682" si="69">ROUND(+E676*D676,2)</f>
        <v>12928000</v>
      </c>
      <c r="G676" s="9">
        <v>1292800</v>
      </c>
      <c r="H676" s="9">
        <v>12928000</v>
      </c>
      <c r="I676" s="339">
        <f t="shared" si="65"/>
        <v>0</v>
      </c>
      <c r="J676" s="339">
        <f t="shared" si="66"/>
        <v>0</v>
      </c>
      <c r="K676" s="9">
        <f t="shared" si="67"/>
        <v>0</v>
      </c>
    </row>
    <row r="677" spans="1:11" s="9" customFormat="1" ht="35.1" customHeight="1" x14ac:dyDescent="0.25">
      <c r="A677" s="255" t="s">
        <v>1353</v>
      </c>
      <c r="B677" s="254" t="s">
        <v>1354</v>
      </c>
      <c r="C677" s="240" t="s">
        <v>16</v>
      </c>
      <c r="D677" s="295">
        <v>19</v>
      </c>
      <c r="E677" s="243">
        <v>1753911</v>
      </c>
      <c r="F677" s="243">
        <f t="shared" si="69"/>
        <v>33324309</v>
      </c>
      <c r="G677" s="9">
        <v>1753911</v>
      </c>
      <c r="H677" s="9">
        <v>33324309</v>
      </c>
      <c r="I677" s="339">
        <f t="shared" si="65"/>
        <v>0</v>
      </c>
      <c r="J677" s="339">
        <f t="shared" si="66"/>
        <v>0</v>
      </c>
      <c r="K677" s="9">
        <f t="shared" si="67"/>
        <v>0</v>
      </c>
    </row>
    <row r="678" spans="1:11" s="9" customFormat="1" ht="35.1" customHeight="1" x14ac:dyDescent="0.25">
      <c r="A678" s="255" t="s">
        <v>1355</v>
      </c>
      <c r="B678" s="254" t="s">
        <v>1356</v>
      </c>
      <c r="C678" s="240" t="s">
        <v>16</v>
      </c>
      <c r="D678" s="295">
        <v>2</v>
      </c>
      <c r="E678" s="243">
        <v>3775110</v>
      </c>
      <c r="F678" s="243">
        <f t="shared" si="69"/>
        <v>7550220</v>
      </c>
      <c r="G678" s="9">
        <v>3775110</v>
      </c>
      <c r="H678" s="9">
        <v>7550220</v>
      </c>
      <c r="I678" s="339">
        <f t="shared" si="65"/>
        <v>0</v>
      </c>
      <c r="J678" s="339">
        <f t="shared" si="66"/>
        <v>0</v>
      </c>
      <c r="K678" s="9">
        <f t="shared" si="67"/>
        <v>0</v>
      </c>
    </row>
    <row r="679" spans="1:11" s="9" customFormat="1" ht="35.1" customHeight="1" x14ac:dyDescent="0.25">
      <c r="A679" s="255" t="s">
        <v>1357</v>
      </c>
      <c r="B679" s="254" t="s">
        <v>1358</v>
      </c>
      <c r="C679" s="240" t="s">
        <v>16</v>
      </c>
      <c r="D679" s="295">
        <v>29</v>
      </c>
      <c r="E679" s="243">
        <v>369744</v>
      </c>
      <c r="F679" s="243">
        <f t="shared" si="69"/>
        <v>10722576</v>
      </c>
      <c r="G679" s="9">
        <v>369744</v>
      </c>
      <c r="H679" s="9">
        <v>10722576</v>
      </c>
      <c r="I679" s="339">
        <f t="shared" si="65"/>
        <v>0</v>
      </c>
      <c r="J679" s="339">
        <f t="shared" si="66"/>
        <v>0</v>
      </c>
      <c r="K679" s="9">
        <f t="shared" si="67"/>
        <v>0</v>
      </c>
    </row>
    <row r="680" spans="1:11" s="9" customFormat="1" ht="35.1" customHeight="1" x14ac:dyDescent="0.25">
      <c r="A680" s="255" t="s">
        <v>1359</v>
      </c>
      <c r="B680" s="254" t="s">
        <v>1360</v>
      </c>
      <c r="C680" s="240" t="s">
        <v>16</v>
      </c>
      <c r="D680" s="295">
        <v>2</v>
      </c>
      <c r="E680" s="243">
        <v>8601134</v>
      </c>
      <c r="F680" s="243">
        <f t="shared" si="69"/>
        <v>17202268</v>
      </c>
      <c r="G680" s="9">
        <v>8601134</v>
      </c>
      <c r="H680" s="9">
        <v>17202268</v>
      </c>
      <c r="I680" s="339">
        <f t="shared" si="65"/>
        <v>0</v>
      </c>
      <c r="J680" s="339">
        <f t="shared" si="66"/>
        <v>0</v>
      </c>
      <c r="K680" s="9">
        <f t="shared" si="67"/>
        <v>0</v>
      </c>
    </row>
    <row r="681" spans="1:11" s="9" customFormat="1" ht="35.1" customHeight="1" x14ac:dyDescent="0.25">
      <c r="A681" s="255" t="s">
        <v>1361</v>
      </c>
      <c r="B681" s="254" t="s">
        <v>1362</v>
      </c>
      <c r="C681" s="240" t="s">
        <v>16</v>
      </c>
      <c r="D681" s="295">
        <v>2</v>
      </c>
      <c r="E681" s="243">
        <v>9150233</v>
      </c>
      <c r="F681" s="243">
        <f t="shared" si="69"/>
        <v>18300466</v>
      </c>
      <c r="G681" s="9">
        <v>9150233</v>
      </c>
      <c r="H681" s="9">
        <v>18300466</v>
      </c>
      <c r="I681" s="339">
        <f t="shared" si="65"/>
        <v>0</v>
      </c>
      <c r="J681" s="339">
        <f t="shared" si="66"/>
        <v>0</v>
      </c>
      <c r="K681" s="9">
        <f t="shared" si="67"/>
        <v>0</v>
      </c>
    </row>
    <row r="682" spans="1:11" s="9" customFormat="1" ht="35.1" customHeight="1" x14ac:dyDescent="0.25">
      <c r="A682" s="255" t="s">
        <v>1363</v>
      </c>
      <c r="B682" s="241" t="s">
        <v>1425</v>
      </c>
      <c r="C682" s="240" t="s">
        <v>1182</v>
      </c>
      <c r="D682" s="295">
        <v>1</v>
      </c>
      <c r="E682" s="243">
        <v>2929767</v>
      </c>
      <c r="F682" s="243">
        <f t="shared" si="69"/>
        <v>2929767</v>
      </c>
      <c r="G682" s="9">
        <v>2929767</v>
      </c>
      <c r="H682" s="9">
        <v>2929767</v>
      </c>
      <c r="I682" s="339">
        <f t="shared" si="65"/>
        <v>0</v>
      </c>
      <c r="J682" s="339">
        <f t="shared" si="66"/>
        <v>0</v>
      </c>
      <c r="K682" s="9">
        <f t="shared" si="67"/>
        <v>0</v>
      </c>
    </row>
    <row r="683" spans="1:11" s="9" customFormat="1" ht="35.1" customHeight="1" x14ac:dyDescent="0.25">
      <c r="A683" s="244" t="s">
        <v>1365</v>
      </c>
      <c r="B683" s="245" t="s">
        <v>1366</v>
      </c>
      <c r="C683" s="260"/>
      <c r="D683" s="313"/>
      <c r="E683" s="303"/>
      <c r="F683" s="246"/>
      <c r="I683" s="339">
        <f t="shared" si="65"/>
        <v>0</v>
      </c>
      <c r="J683" s="339">
        <f t="shared" si="66"/>
        <v>0</v>
      </c>
      <c r="K683" s="9">
        <f t="shared" si="67"/>
        <v>0</v>
      </c>
    </row>
    <row r="684" spans="1:11" s="9" customFormat="1" ht="35.1" customHeight="1" x14ac:dyDescent="0.25">
      <c r="A684" s="255" t="s">
        <v>1367</v>
      </c>
      <c r="B684" s="254" t="s">
        <v>1368</v>
      </c>
      <c r="C684" s="240" t="s">
        <v>16</v>
      </c>
      <c r="D684" s="295">
        <v>19</v>
      </c>
      <c r="E684" s="243">
        <v>237553</v>
      </c>
      <c r="F684" s="243">
        <f t="shared" ref="F684:F693" si="70">ROUND(+E684*D684,2)</f>
        <v>4513507</v>
      </c>
      <c r="G684" s="9">
        <v>237553</v>
      </c>
      <c r="H684" s="9">
        <v>4513507</v>
      </c>
      <c r="I684" s="339">
        <f t="shared" si="65"/>
        <v>0</v>
      </c>
      <c r="J684" s="339">
        <f t="shared" si="66"/>
        <v>0</v>
      </c>
      <c r="K684" s="9">
        <f t="shared" si="67"/>
        <v>0</v>
      </c>
    </row>
    <row r="685" spans="1:11" s="9" customFormat="1" ht="35.1" customHeight="1" x14ac:dyDescent="0.25">
      <c r="A685" s="255" t="s">
        <v>1369</v>
      </c>
      <c r="B685" s="254" t="s">
        <v>1370</v>
      </c>
      <c r="C685" s="240" t="s">
        <v>16</v>
      </c>
      <c r="D685" s="295">
        <v>16</v>
      </c>
      <c r="E685" s="243">
        <v>1739096</v>
      </c>
      <c r="F685" s="243">
        <f t="shared" si="70"/>
        <v>27825536</v>
      </c>
      <c r="G685" s="9">
        <v>1739096</v>
      </c>
      <c r="H685" s="9">
        <v>27825536</v>
      </c>
      <c r="I685" s="339">
        <f t="shared" si="65"/>
        <v>0</v>
      </c>
      <c r="J685" s="339">
        <f t="shared" si="66"/>
        <v>0</v>
      </c>
      <c r="K685" s="9">
        <f t="shared" si="67"/>
        <v>0</v>
      </c>
    </row>
    <row r="686" spans="1:11" s="9" customFormat="1" ht="35.1" customHeight="1" x14ac:dyDescent="0.25">
      <c r="A686" s="255" t="s">
        <v>1371</v>
      </c>
      <c r="B686" s="254" t="s">
        <v>1372</v>
      </c>
      <c r="C686" s="240" t="s">
        <v>16</v>
      </c>
      <c r="D686" s="295">
        <v>18</v>
      </c>
      <c r="E686" s="243">
        <v>367714</v>
      </c>
      <c r="F686" s="243">
        <f t="shared" si="70"/>
        <v>6618852</v>
      </c>
      <c r="G686" s="9">
        <v>367714</v>
      </c>
      <c r="H686" s="9">
        <v>6618852</v>
      </c>
      <c r="I686" s="339">
        <f t="shared" si="65"/>
        <v>0</v>
      </c>
      <c r="J686" s="339">
        <f t="shared" si="66"/>
        <v>0</v>
      </c>
      <c r="K686" s="9">
        <f t="shared" si="67"/>
        <v>0</v>
      </c>
    </row>
    <row r="687" spans="1:11" s="9" customFormat="1" ht="35.1" customHeight="1" x14ac:dyDescent="0.25">
      <c r="A687" s="255" t="s">
        <v>1373</v>
      </c>
      <c r="B687" s="254" t="s">
        <v>1374</v>
      </c>
      <c r="C687" s="240" t="s">
        <v>16</v>
      </c>
      <c r="D687" s="295">
        <v>20</v>
      </c>
      <c r="E687" s="243">
        <v>460673</v>
      </c>
      <c r="F687" s="243">
        <f t="shared" si="70"/>
        <v>9213460</v>
      </c>
      <c r="G687" s="9">
        <v>460673</v>
      </c>
      <c r="H687" s="9">
        <v>9213460</v>
      </c>
      <c r="I687" s="339">
        <f t="shared" si="65"/>
        <v>0</v>
      </c>
      <c r="J687" s="339">
        <f t="shared" si="66"/>
        <v>0</v>
      </c>
      <c r="K687" s="9">
        <f t="shared" si="67"/>
        <v>0</v>
      </c>
    </row>
    <row r="688" spans="1:11" s="9" customFormat="1" ht="35.1" customHeight="1" x14ac:dyDescent="0.25">
      <c r="A688" s="255" t="s">
        <v>1375</v>
      </c>
      <c r="B688" s="254" t="s">
        <v>1376</v>
      </c>
      <c r="C688" s="240" t="s">
        <v>16</v>
      </c>
      <c r="D688" s="295">
        <v>14</v>
      </c>
      <c r="E688" s="243">
        <v>12558</v>
      </c>
      <c r="F688" s="243">
        <f t="shared" si="70"/>
        <v>175812</v>
      </c>
      <c r="G688" s="9">
        <v>12558</v>
      </c>
      <c r="H688" s="9">
        <v>175812</v>
      </c>
      <c r="I688" s="339">
        <f t="shared" si="65"/>
        <v>0</v>
      </c>
      <c r="J688" s="339">
        <f t="shared" si="66"/>
        <v>0</v>
      </c>
      <c r="K688" s="9">
        <f t="shared" si="67"/>
        <v>0</v>
      </c>
    </row>
    <row r="689" spans="1:11" s="9" customFormat="1" ht="35.1" customHeight="1" x14ac:dyDescent="0.25">
      <c r="A689" s="255" t="s">
        <v>1377</v>
      </c>
      <c r="B689" s="254" t="s">
        <v>976</v>
      </c>
      <c r="C689" s="240" t="s">
        <v>16</v>
      </c>
      <c r="D689" s="295">
        <v>18</v>
      </c>
      <c r="E689" s="243">
        <v>13258</v>
      </c>
      <c r="F689" s="243">
        <f t="shared" si="70"/>
        <v>238644</v>
      </c>
      <c r="G689" s="9">
        <v>13258</v>
      </c>
      <c r="H689" s="9">
        <v>238644</v>
      </c>
      <c r="I689" s="339">
        <f t="shared" si="65"/>
        <v>0</v>
      </c>
      <c r="J689" s="339">
        <f t="shared" si="66"/>
        <v>0</v>
      </c>
      <c r="K689" s="9">
        <f t="shared" si="67"/>
        <v>0</v>
      </c>
    </row>
    <row r="690" spans="1:11" s="9" customFormat="1" ht="35.1" customHeight="1" x14ac:dyDescent="0.25">
      <c r="A690" s="255" t="s">
        <v>1378</v>
      </c>
      <c r="B690" s="254" t="s">
        <v>1379</v>
      </c>
      <c r="C690" s="240" t="s">
        <v>16</v>
      </c>
      <c r="D690" s="295">
        <v>2</v>
      </c>
      <c r="E690" s="243">
        <v>5972984</v>
      </c>
      <c r="F690" s="243">
        <f t="shared" si="70"/>
        <v>11945968</v>
      </c>
      <c r="G690" s="9">
        <v>5972984</v>
      </c>
      <c r="H690" s="9">
        <v>11945968</v>
      </c>
      <c r="I690" s="339">
        <f t="shared" si="65"/>
        <v>0</v>
      </c>
      <c r="J690" s="339">
        <f t="shared" si="66"/>
        <v>0</v>
      </c>
      <c r="K690" s="9">
        <f t="shared" si="67"/>
        <v>0</v>
      </c>
    </row>
    <row r="691" spans="1:11" s="9" customFormat="1" ht="35.1" customHeight="1" x14ac:dyDescent="0.25">
      <c r="A691" s="255" t="s">
        <v>1380</v>
      </c>
      <c r="B691" s="254" t="s">
        <v>1381</v>
      </c>
      <c r="C691" s="240" t="s">
        <v>16</v>
      </c>
      <c r="D691" s="295">
        <v>2</v>
      </c>
      <c r="E691" s="243">
        <v>5706725</v>
      </c>
      <c r="F691" s="243">
        <f t="shared" si="70"/>
        <v>11413450</v>
      </c>
      <c r="G691" s="9">
        <v>5706725</v>
      </c>
      <c r="H691" s="9">
        <v>11413450</v>
      </c>
      <c r="I691" s="339">
        <f t="shared" si="65"/>
        <v>0</v>
      </c>
      <c r="J691" s="339">
        <f t="shared" si="66"/>
        <v>0</v>
      </c>
      <c r="K691" s="9">
        <f t="shared" si="67"/>
        <v>0</v>
      </c>
    </row>
    <row r="692" spans="1:11" s="9" customFormat="1" ht="35.1" customHeight="1" x14ac:dyDescent="0.25">
      <c r="A692" s="255" t="s">
        <v>1382</v>
      </c>
      <c r="B692" s="254" t="s">
        <v>1383</v>
      </c>
      <c r="C692" s="240" t="s">
        <v>16</v>
      </c>
      <c r="D692" s="295">
        <v>2</v>
      </c>
      <c r="E692" s="243">
        <v>3775110</v>
      </c>
      <c r="F692" s="243">
        <f t="shared" si="70"/>
        <v>7550220</v>
      </c>
      <c r="G692" s="9">
        <v>3775110</v>
      </c>
      <c r="H692" s="9">
        <v>7550220</v>
      </c>
      <c r="I692" s="339">
        <f t="shared" si="65"/>
        <v>0</v>
      </c>
      <c r="J692" s="339">
        <f t="shared" si="66"/>
        <v>0</v>
      </c>
      <c r="K692" s="9">
        <f t="shared" si="67"/>
        <v>0</v>
      </c>
    </row>
    <row r="693" spans="1:11" s="9" customFormat="1" ht="41.25" customHeight="1" x14ac:dyDescent="0.25">
      <c r="A693" s="255" t="s">
        <v>1384</v>
      </c>
      <c r="B693" s="241" t="s">
        <v>1426</v>
      </c>
      <c r="C693" s="240" t="s">
        <v>1182</v>
      </c>
      <c r="D693" s="295">
        <v>1</v>
      </c>
      <c r="E693" s="243">
        <v>2929767</v>
      </c>
      <c r="F693" s="243">
        <f t="shared" si="70"/>
        <v>2929767</v>
      </c>
      <c r="G693" s="9">
        <v>2929767</v>
      </c>
      <c r="H693" s="9">
        <v>2929767</v>
      </c>
      <c r="I693" s="339">
        <f t="shared" si="65"/>
        <v>0</v>
      </c>
      <c r="J693" s="339">
        <f t="shared" si="66"/>
        <v>0</v>
      </c>
      <c r="K693" s="9">
        <f t="shared" si="67"/>
        <v>0</v>
      </c>
    </row>
    <row r="694" spans="1:11" s="9" customFormat="1" ht="35.1" customHeight="1" x14ac:dyDescent="0.25">
      <c r="A694" s="244" t="s">
        <v>994</v>
      </c>
      <c r="B694" s="245" t="s">
        <v>995</v>
      </c>
      <c r="C694" s="260"/>
      <c r="D694" s="313"/>
      <c r="E694" s="303"/>
      <c r="F694" s="246"/>
      <c r="I694" s="339">
        <f t="shared" si="65"/>
        <v>0</v>
      </c>
      <c r="J694" s="339">
        <f t="shared" si="66"/>
        <v>0</v>
      </c>
      <c r="K694" s="9">
        <f t="shared" si="67"/>
        <v>0</v>
      </c>
    </row>
    <row r="695" spans="1:11" s="9" customFormat="1" ht="35.1" customHeight="1" x14ac:dyDescent="0.25">
      <c r="A695" s="255" t="s">
        <v>996</v>
      </c>
      <c r="B695" s="254" t="s">
        <v>997</v>
      </c>
      <c r="C695" s="240" t="s">
        <v>16</v>
      </c>
      <c r="D695" s="295">
        <v>11</v>
      </c>
      <c r="E695" s="243">
        <v>516030</v>
      </c>
      <c r="F695" s="243">
        <f t="shared" ref="F695:F704" si="71">ROUND(+E695*D695,2)</f>
        <v>5676330</v>
      </c>
      <c r="G695" s="9">
        <v>516030</v>
      </c>
      <c r="H695" s="9">
        <v>5676330</v>
      </c>
      <c r="I695" s="339">
        <f t="shared" si="65"/>
        <v>0</v>
      </c>
      <c r="J695" s="339">
        <f t="shared" si="66"/>
        <v>0</v>
      </c>
      <c r="K695" s="9">
        <f t="shared" si="67"/>
        <v>0</v>
      </c>
    </row>
    <row r="696" spans="1:11" s="9" customFormat="1" ht="35.1" customHeight="1" x14ac:dyDescent="0.25">
      <c r="A696" s="255" t="s">
        <v>998</v>
      </c>
      <c r="B696" s="87" t="s">
        <v>999</v>
      </c>
      <c r="C696" s="240" t="s">
        <v>16</v>
      </c>
      <c r="D696" s="295">
        <v>11</v>
      </c>
      <c r="E696" s="243">
        <v>369280</v>
      </c>
      <c r="F696" s="243">
        <f t="shared" si="71"/>
        <v>4062080</v>
      </c>
      <c r="G696" s="9">
        <v>369280</v>
      </c>
      <c r="H696" s="9">
        <v>4062080</v>
      </c>
      <c r="I696" s="339">
        <f t="shared" si="65"/>
        <v>0</v>
      </c>
      <c r="J696" s="339">
        <f t="shared" si="66"/>
        <v>0</v>
      </c>
      <c r="K696" s="9">
        <f t="shared" si="67"/>
        <v>0</v>
      </c>
    </row>
    <row r="697" spans="1:11" s="9" customFormat="1" ht="35.1" customHeight="1" x14ac:dyDescent="0.25">
      <c r="A697" s="255" t="s">
        <v>1000</v>
      </c>
      <c r="B697" s="254" t="s">
        <v>1001</v>
      </c>
      <c r="C697" s="240" t="s">
        <v>16</v>
      </c>
      <c r="D697" s="295">
        <v>142</v>
      </c>
      <c r="E697" s="243">
        <v>415391</v>
      </c>
      <c r="F697" s="243">
        <f t="shared" si="71"/>
        <v>58985522</v>
      </c>
      <c r="G697" s="9">
        <v>415391</v>
      </c>
      <c r="H697" s="9">
        <v>58985522</v>
      </c>
      <c r="I697" s="339">
        <f t="shared" si="65"/>
        <v>0</v>
      </c>
      <c r="J697" s="339">
        <f t="shared" si="66"/>
        <v>0</v>
      </c>
      <c r="K697" s="9">
        <f t="shared" si="67"/>
        <v>0</v>
      </c>
    </row>
    <row r="698" spans="1:11" s="9" customFormat="1" ht="35.1" customHeight="1" x14ac:dyDescent="0.25">
      <c r="A698" s="255" t="s">
        <v>1002</v>
      </c>
      <c r="B698" s="87" t="s">
        <v>1003</v>
      </c>
      <c r="C698" s="240" t="s">
        <v>16</v>
      </c>
      <c r="D698" s="295">
        <v>8</v>
      </c>
      <c r="E698" s="243">
        <v>389042</v>
      </c>
      <c r="F698" s="243">
        <f t="shared" si="71"/>
        <v>3112336</v>
      </c>
      <c r="G698" s="9">
        <v>389042</v>
      </c>
      <c r="H698" s="9">
        <v>3112336</v>
      </c>
      <c r="I698" s="339">
        <f t="shared" si="65"/>
        <v>0</v>
      </c>
      <c r="J698" s="339">
        <f t="shared" si="66"/>
        <v>0</v>
      </c>
      <c r="K698" s="9">
        <f t="shared" si="67"/>
        <v>0</v>
      </c>
    </row>
    <row r="699" spans="1:11" s="9" customFormat="1" ht="35.1" customHeight="1" x14ac:dyDescent="0.25">
      <c r="A699" s="255" t="s">
        <v>1004</v>
      </c>
      <c r="B699" s="254" t="s">
        <v>1005</v>
      </c>
      <c r="C699" s="240" t="s">
        <v>16</v>
      </c>
      <c r="D699" s="295">
        <v>7</v>
      </c>
      <c r="E699" s="243">
        <v>410689</v>
      </c>
      <c r="F699" s="243">
        <f t="shared" si="71"/>
        <v>2874823</v>
      </c>
      <c r="G699" s="9">
        <v>410689</v>
      </c>
      <c r="H699" s="9">
        <v>2874823</v>
      </c>
      <c r="I699" s="339">
        <f t="shared" si="65"/>
        <v>0</v>
      </c>
      <c r="J699" s="339">
        <f t="shared" si="66"/>
        <v>0</v>
      </c>
      <c r="K699" s="9">
        <f t="shared" si="67"/>
        <v>0</v>
      </c>
    </row>
    <row r="700" spans="1:11" s="9" customFormat="1" ht="35.1" customHeight="1" x14ac:dyDescent="0.25">
      <c r="A700" s="255" t="s">
        <v>1006</v>
      </c>
      <c r="B700" s="254" t="s">
        <v>1007</v>
      </c>
      <c r="C700" s="240" t="s">
        <v>16</v>
      </c>
      <c r="D700" s="295">
        <v>2</v>
      </c>
      <c r="E700" s="243">
        <v>8625691</v>
      </c>
      <c r="F700" s="243">
        <f t="shared" si="71"/>
        <v>17251382</v>
      </c>
      <c r="G700" s="9">
        <v>8625691</v>
      </c>
      <c r="H700" s="9">
        <v>17251382</v>
      </c>
      <c r="I700" s="339">
        <f t="shared" si="65"/>
        <v>0</v>
      </c>
      <c r="J700" s="339">
        <f t="shared" si="66"/>
        <v>0</v>
      </c>
      <c r="K700" s="9">
        <f t="shared" si="67"/>
        <v>0</v>
      </c>
    </row>
    <row r="701" spans="1:11" s="9" customFormat="1" ht="35.1" customHeight="1" x14ac:dyDescent="0.25">
      <c r="A701" s="255" t="s">
        <v>1008</v>
      </c>
      <c r="B701" s="254" t="s">
        <v>1009</v>
      </c>
      <c r="C701" s="240" t="s">
        <v>94</v>
      </c>
      <c r="D701" s="295">
        <v>1773</v>
      </c>
      <c r="E701" s="243">
        <v>5401</v>
      </c>
      <c r="F701" s="243">
        <f t="shared" si="71"/>
        <v>9575973</v>
      </c>
      <c r="G701" s="9">
        <v>5401</v>
      </c>
      <c r="H701" s="9">
        <v>9575973</v>
      </c>
      <c r="I701" s="339">
        <f t="shared" si="65"/>
        <v>0</v>
      </c>
      <c r="J701" s="339">
        <f t="shared" si="66"/>
        <v>0</v>
      </c>
      <c r="K701" s="9">
        <f t="shared" si="67"/>
        <v>0</v>
      </c>
    </row>
    <row r="702" spans="1:11" s="9" customFormat="1" ht="35.1" customHeight="1" x14ac:dyDescent="0.25">
      <c r="A702" s="255" t="s">
        <v>1010</v>
      </c>
      <c r="B702" s="254" t="s">
        <v>968</v>
      </c>
      <c r="C702" s="240" t="s">
        <v>94</v>
      </c>
      <c r="D702" s="295">
        <v>1310</v>
      </c>
      <c r="E702" s="243">
        <v>16448</v>
      </c>
      <c r="F702" s="243">
        <f t="shared" si="71"/>
        <v>21546880</v>
      </c>
      <c r="G702" s="9">
        <v>16448</v>
      </c>
      <c r="H702" s="9">
        <v>21546880</v>
      </c>
      <c r="I702" s="339">
        <f t="shared" si="65"/>
        <v>0</v>
      </c>
      <c r="J702" s="339">
        <f t="shared" si="66"/>
        <v>0</v>
      </c>
      <c r="K702" s="9">
        <f t="shared" si="67"/>
        <v>0</v>
      </c>
    </row>
    <row r="703" spans="1:11" s="9" customFormat="1" ht="35.1" customHeight="1" x14ac:dyDescent="0.25">
      <c r="A703" s="255" t="s">
        <v>1011</v>
      </c>
      <c r="B703" s="254" t="s">
        <v>972</v>
      </c>
      <c r="C703" s="240" t="s">
        <v>94</v>
      </c>
      <c r="D703" s="295">
        <v>22</v>
      </c>
      <c r="E703" s="243">
        <v>4876</v>
      </c>
      <c r="F703" s="243">
        <f t="shared" si="71"/>
        <v>107272</v>
      </c>
      <c r="G703" s="9">
        <v>4876</v>
      </c>
      <c r="H703" s="9">
        <v>107272</v>
      </c>
      <c r="I703" s="339">
        <f t="shared" si="65"/>
        <v>0</v>
      </c>
      <c r="J703" s="339">
        <f t="shared" si="66"/>
        <v>0</v>
      </c>
      <c r="K703" s="9">
        <f t="shared" si="67"/>
        <v>0</v>
      </c>
    </row>
    <row r="704" spans="1:11" s="9" customFormat="1" ht="35.1" customHeight="1" x14ac:dyDescent="0.25">
      <c r="A704" s="255" t="s">
        <v>1012</v>
      </c>
      <c r="B704" s="254" t="s">
        <v>976</v>
      </c>
      <c r="C704" s="240" t="s">
        <v>16</v>
      </c>
      <c r="D704" s="295">
        <v>32</v>
      </c>
      <c r="E704" s="243">
        <v>13258</v>
      </c>
      <c r="F704" s="243">
        <f t="shared" si="71"/>
        <v>424256</v>
      </c>
      <c r="G704" s="9">
        <v>13258</v>
      </c>
      <c r="H704" s="9">
        <v>424256</v>
      </c>
      <c r="I704" s="339">
        <f t="shared" si="65"/>
        <v>0</v>
      </c>
      <c r="J704" s="339">
        <f t="shared" si="66"/>
        <v>0</v>
      </c>
      <c r="K704" s="9">
        <f t="shared" si="67"/>
        <v>0</v>
      </c>
    </row>
    <row r="705" spans="1:11" s="9" customFormat="1" ht="35.1" customHeight="1" x14ac:dyDescent="0.25">
      <c r="A705" s="244" t="s">
        <v>1387</v>
      </c>
      <c r="B705" s="245" t="s">
        <v>1388</v>
      </c>
      <c r="C705" s="260"/>
      <c r="D705" s="313"/>
      <c r="E705" s="303"/>
      <c r="F705" s="246"/>
      <c r="I705" s="339">
        <f t="shared" si="65"/>
        <v>0</v>
      </c>
      <c r="J705" s="339">
        <f t="shared" si="66"/>
        <v>0</v>
      </c>
      <c r="K705" s="9">
        <f t="shared" si="67"/>
        <v>0</v>
      </c>
    </row>
    <row r="706" spans="1:11" s="9" customFormat="1" ht="35.1" customHeight="1" x14ac:dyDescent="0.25">
      <c r="A706" s="255" t="s">
        <v>1389</v>
      </c>
      <c r="B706" s="254" t="s">
        <v>1390</v>
      </c>
      <c r="C706" s="240" t="s">
        <v>16</v>
      </c>
      <c r="D706" s="295">
        <v>64</v>
      </c>
      <c r="E706" s="243">
        <v>395390</v>
      </c>
      <c r="F706" s="243">
        <f t="shared" ref="F706:F713" si="72">ROUND(+E706*D706,2)</f>
        <v>25304960</v>
      </c>
      <c r="G706" s="9">
        <v>395390</v>
      </c>
      <c r="H706" s="9">
        <v>25304960</v>
      </c>
      <c r="I706" s="339">
        <f t="shared" si="65"/>
        <v>0</v>
      </c>
      <c r="J706" s="339">
        <f t="shared" si="66"/>
        <v>0</v>
      </c>
      <c r="K706" s="9">
        <f t="shared" si="67"/>
        <v>0</v>
      </c>
    </row>
    <row r="707" spans="1:11" s="9" customFormat="1" ht="35.1" customHeight="1" x14ac:dyDescent="0.25">
      <c r="A707" s="255" t="s">
        <v>1391</v>
      </c>
      <c r="B707" s="254" t="s">
        <v>1392</v>
      </c>
      <c r="C707" s="240" t="s">
        <v>16</v>
      </c>
      <c r="D707" s="295">
        <v>2</v>
      </c>
      <c r="E707" s="243">
        <v>9159410</v>
      </c>
      <c r="F707" s="243">
        <f t="shared" si="72"/>
        <v>18318820</v>
      </c>
      <c r="G707" s="9">
        <v>9159410</v>
      </c>
      <c r="H707" s="9">
        <v>18318820</v>
      </c>
      <c r="I707" s="339">
        <f t="shared" si="65"/>
        <v>0</v>
      </c>
      <c r="J707" s="339">
        <f t="shared" si="66"/>
        <v>0</v>
      </c>
      <c r="K707" s="9">
        <f t="shared" si="67"/>
        <v>0</v>
      </c>
    </row>
    <row r="708" spans="1:11" s="9" customFormat="1" ht="35.1" customHeight="1" x14ac:dyDescent="0.25">
      <c r="A708" s="255" t="s">
        <v>1393</v>
      </c>
      <c r="B708" s="254" t="s">
        <v>1394</v>
      </c>
      <c r="C708" s="240" t="s">
        <v>16</v>
      </c>
      <c r="D708" s="295">
        <v>2</v>
      </c>
      <c r="E708" s="243">
        <v>16963534</v>
      </c>
      <c r="F708" s="243">
        <f t="shared" si="72"/>
        <v>33927068</v>
      </c>
      <c r="G708" s="9">
        <v>16963534</v>
      </c>
      <c r="H708" s="9">
        <v>33927068</v>
      </c>
      <c r="I708" s="339">
        <f t="shared" si="65"/>
        <v>0</v>
      </c>
      <c r="J708" s="339">
        <f t="shared" si="66"/>
        <v>0</v>
      </c>
      <c r="K708" s="9">
        <f t="shared" si="67"/>
        <v>0</v>
      </c>
    </row>
    <row r="709" spans="1:11" s="9" customFormat="1" ht="35.1" customHeight="1" x14ac:dyDescent="0.25">
      <c r="A709" s="255" t="s">
        <v>1395</v>
      </c>
      <c r="B709" s="254" t="s">
        <v>1396</v>
      </c>
      <c r="C709" s="240" t="s">
        <v>16</v>
      </c>
      <c r="D709" s="295">
        <v>2</v>
      </c>
      <c r="E709" s="243">
        <v>1683524</v>
      </c>
      <c r="F709" s="243">
        <f t="shared" si="72"/>
        <v>3367048</v>
      </c>
      <c r="G709" s="9">
        <v>1683524</v>
      </c>
      <c r="H709" s="9">
        <v>3367048</v>
      </c>
      <c r="I709" s="339">
        <f t="shared" ref="I709:I723" si="73">+E709-G709</f>
        <v>0</v>
      </c>
      <c r="J709" s="339">
        <f t="shared" ref="J709:J723" si="74">+H709-F709</f>
        <v>0</v>
      </c>
      <c r="K709" s="9">
        <f t="shared" ref="K709:K723" si="75">IF(J709&gt;0,1,0)</f>
        <v>0</v>
      </c>
    </row>
    <row r="710" spans="1:11" s="9" customFormat="1" ht="35.1" customHeight="1" x14ac:dyDescent="0.25">
      <c r="A710" s="255" t="s">
        <v>1397</v>
      </c>
      <c r="B710" s="254" t="s">
        <v>968</v>
      </c>
      <c r="C710" s="240" t="s">
        <v>94</v>
      </c>
      <c r="D710" s="295">
        <v>159</v>
      </c>
      <c r="E710" s="243">
        <v>16448</v>
      </c>
      <c r="F710" s="243">
        <f t="shared" si="72"/>
        <v>2615232</v>
      </c>
      <c r="G710" s="9">
        <v>16448</v>
      </c>
      <c r="H710" s="9">
        <v>2615232</v>
      </c>
      <c r="I710" s="339">
        <f t="shared" si="73"/>
        <v>0</v>
      </c>
      <c r="J710" s="339">
        <f t="shared" si="74"/>
        <v>0</v>
      </c>
      <c r="K710" s="9">
        <f t="shared" si="75"/>
        <v>0</v>
      </c>
    </row>
    <row r="711" spans="1:11" s="9" customFormat="1" ht="35.1" customHeight="1" x14ac:dyDescent="0.25">
      <c r="A711" s="255" t="s">
        <v>1398</v>
      </c>
      <c r="B711" s="254" t="s">
        <v>976</v>
      </c>
      <c r="C711" s="240" t="s">
        <v>16</v>
      </c>
      <c r="D711" s="295">
        <v>4</v>
      </c>
      <c r="E711" s="243">
        <v>13258</v>
      </c>
      <c r="F711" s="243">
        <f t="shared" si="72"/>
        <v>53032</v>
      </c>
      <c r="G711" s="9">
        <v>13258</v>
      </c>
      <c r="H711" s="9">
        <v>53032</v>
      </c>
      <c r="I711" s="339">
        <f t="shared" si="73"/>
        <v>0</v>
      </c>
      <c r="J711" s="339">
        <f t="shared" si="74"/>
        <v>0</v>
      </c>
      <c r="K711" s="9">
        <f t="shared" si="75"/>
        <v>0</v>
      </c>
    </row>
    <row r="712" spans="1:11" s="9" customFormat="1" ht="35.1" customHeight="1" x14ac:dyDescent="0.25">
      <c r="A712" s="255" t="s">
        <v>1399</v>
      </c>
      <c r="B712" s="254" t="s">
        <v>1400</v>
      </c>
      <c r="C712" s="255" t="s">
        <v>94</v>
      </c>
      <c r="D712" s="295">
        <v>2380</v>
      </c>
      <c r="E712" s="243">
        <v>8630</v>
      </c>
      <c r="F712" s="243">
        <f t="shared" si="72"/>
        <v>20539400</v>
      </c>
      <c r="G712" s="9">
        <v>8630</v>
      </c>
      <c r="H712" s="9">
        <v>20539400</v>
      </c>
      <c r="I712" s="339">
        <f t="shared" si="73"/>
        <v>0</v>
      </c>
      <c r="J712" s="339">
        <f t="shared" si="74"/>
        <v>0</v>
      </c>
      <c r="K712" s="9">
        <f t="shared" si="75"/>
        <v>0</v>
      </c>
    </row>
    <row r="713" spans="1:11" s="9" customFormat="1" ht="35.1" customHeight="1" x14ac:dyDescent="0.25">
      <c r="A713" s="255" t="s">
        <v>1401</v>
      </c>
      <c r="B713" s="241" t="s">
        <v>1427</v>
      </c>
      <c r="C713" s="240" t="s">
        <v>1182</v>
      </c>
      <c r="D713" s="295">
        <v>1</v>
      </c>
      <c r="E713" s="243">
        <v>2929767</v>
      </c>
      <c r="F713" s="243">
        <f t="shared" si="72"/>
        <v>2929767</v>
      </c>
      <c r="G713" s="9">
        <v>2929767</v>
      </c>
      <c r="H713" s="9">
        <v>2929767</v>
      </c>
      <c r="I713" s="339">
        <f t="shared" si="73"/>
        <v>0</v>
      </c>
      <c r="J713" s="339">
        <f t="shared" si="74"/>
        <v>0</v>
      </c>
      <c r="K713" s="9">
        <f t="shared" si="75"/>
        <v>0</v>
      </c>
    </row>
    <row r="714" spans="1:11" s="9" customFormat="1" ht="35.1" customHeight="1" x14ac:dyDescent="0.25">
      <c r="A714" s="266">
        <v>20</v>
      </c>
      <c r="B714" s="267" t="s">
        <v>1013</v>
      </c>
      <c r="C714" s="267"/>
      <c r="D714" s="316"/>
      <c r="E714" s="306"/>
      <c r="F714" s="268"/>
      <c r="I714" s="339">
        <f t="shared" si="73"/>
        <v>0</v>
      </c>
      <c r="J714" s="339">
        <f t="shared" si="74"/>
        <v>0</v>
      </c>
      <c r="K714" s="9">
        <f t="shared" si="75"/>
        <v>0</v>
      </c>
    </row>
    <row r="715" spans="1:11" s="9" customFormat="1" ht="35.1" customHeight="1" x14ac:dyDescent="0.25">
      <c r="A715" s="255">
        <v>20.100000000000001</v>
      </c>
      <c r="B715" s="254" t="s">
        <v>1015</v>
      </c>
      <c r="C715" s="240" t="s">
        <v>13</v>
      </c>
      <c r="D715" s="295">
        <v>600</v>
      </c>
      <c r="E715" s="243">
        <v>23602</v>
      </c>
      <c r="F715" s="243">
        <f t="shared" ref="F715:F723" si="76">ROUND(+E715*D715,2)</f>
        <v>14161200</v>
      </c>
      <c r="G715" s="9">
        <v>23602</v>
      </c>
      <c r="H715" s="9">
        <v>14161200</v>
      </c>
      <c r="I715" s="339">
        <f t="shared" si="73"/>
        <v>0</v>
      </c>
      <c r="J715" s="339">
        <f t="shared" si="74"/>
        <v>0</v>
      </c>
      <c r="K715" s="9">
        <f t="shared" si="75"/>
        <v>0</v>
      </c>
    </row>
    <row r="716" spans="1:11" s="9" customFormat="1" ht="35.1" customHeight="1" x14ac:dyDescent="0.25">
      <c r="A716" s="255">
        <v>20.2</v>
      </c>
      <c r="B716" s="254" t="s">
        <v>1017</v>
      </c>
      <c r="C716" s="240" t="s">
        <v>13</v>
      </c>
      <c r="D716" s="295">
        <v>600</v>
      </c>
      <c r="E716" s="243">
        <v>20123</v>
      </c>
      <c r="F716" s="243">
        <f t="shared" si="76"/>
        <v>12073800</v>
      </c>
      <c r="G716" s="9">
        <v>20123</v>
      </c>
      <c r="H716" s="9">
        <v>12073800</v>
      </c>
      <c r="I716" s="339">
        <f t="shared" si="73"/>
        <v>0</v>
      </c>
      <c r="J716" s="339">
        <f t="shared" si="74"/>
        <v>0</v>
      </c>
      <c r="K716" s="9">
        <f t="shared" si="75"/>
        <v>0</v>
      </c>
    </row>
    <row r="717" spans="1:11" s="9" customFormat="1" ht="35.1" customHeight="1" x14ac:dyDescent="0.25">
      <c r="A717" s="255">
        <v>20.3</v>
      </c>
      <c r="B717" s="254" t="s">
        <v>1019</v>
      </c>
      <c r="C717" s="240" t="s">
        <v>94</v>
      </c>
      <c r="D717" s="295">
        <v>1500</v>
      </c>
      <c r="E717" s="243">
        <v>7269</v>
      </c>
      <c r="F717" s="243">
        <f t="shared" si="76"/>
        <v>10903500</v>
      </c>
      <c r="G717" s="9">
        <v>7269</v>
      </c>
      <c r="H717" s="9">
        <v>10903500</v>
      </c>
      <c r="I717" s="339">
        <f t="shared" si="73"/>
        <v>0</v>
      </c>
      <c r="J717" s="339">
        <f t="shared" si="74"/>
        <v>0</v>
      </c>
      <c r="K717" s="9">
        <f t="shared" si="75"/>
        <v>0</v>
      </c>
    </row>
    <row r="718" spans="1:11" s="9" customFormat="1" ht="35.1" customHeight="1" x14ac:dyDescent="0.25">
      <c r="A718" s="255">
        <v>20.399999999999999</v>
      </c>
      <c r="B718" s="254" t="s">
        <v>1021</v>
      </c>
      <c r="C718" s="240" t="s">
        <v>13</v>
      </c>
      <c r="D718" s="295">
        <v>100</v>
      </c>
      <c r="E718" s="243">
        <v>153417</v>
      </c>
      <c r="F718" s="243">
        <f t="shared" si="76"/>
        <v>15341700</v>
      </c>
      <c r="G718" s="9">
        <v>153417</v>
      </c>
      <c r="H718" s="9">
        <v>15341700</v>
      </c>
      <c r="I718" s="339">
        <f t="shared" si="73"/>
        <v>0</v>
      </c>
      <c r="J718" s="339">
        <f t="shared" si="74"/>
        <v>0</v>
      </c>
      <c r="K718" s="9">
        <f t="shared" si="75"/>
        <v>0</v>
      </c>
    </row>
    <row r="719" spans="1:11" s="9" customFormat="1" ht="35.1" customHeight="1" x14ac:dyDescent="0.25">
      <c r="A719" s="255">
        <v>20.5</v>
      </c>
      <c r="B719" s="254" t="s">
        <v>1023</v>
      </c>
      <c r="C719" s="240" t="s">
        <v>55</v>
      </c>
      <c r="D719" s="295">
        <v>1072.0999999999999</v>
      </c>
      <c r="E719" s="243">
        <v>12766</v>
      </c>
      <c r="F719" s="243">
        <f t="shared" si="76"/>
        <v>13686428.6</v>
      </c>
      <c r="G719" s="9">
        <v>12766</v>
      </c>
      <c r="H719" s="9">
        <v>13686428.6</v>
      </c>
      <c r="I719" s="339">
        <f t="shared" si="73"/>
        <v>0</v>
      </c>
      <c r="J719" s="339">
        <f t="shared" si="74"/>
        <v>0</v>
      </c>
      <c r="K719" s="9">
        <f t="shared" si="75"/>
        <v>0</v>
      </c>
    </row>
    <row r="720" spans="1:11" s="9" customFormat="1" ht="43.15" customHeight="1" x14ac:dyDescent="0.25">
      <c r="A720" s="255">
        <v>20.6</v>
      </c>
      <c r="B720" s="254" t="s">
        <v>1025</v>
      </c>
      <c r="C720" s="240" t="s">
        <v>16</v>
      </c>
      <c r="D720" s="295">
        <v>793</v>
      </c>
      <c r="E720" s="243">
        <v>16726</v>
      </c>
      <c r="F720" s="243">
        <f t="shared" si="76"/>
        <v>13263718</v>
      </c>
      <c r="G720" s="9">
        <v>16726</v>
      </c>
      <c r="H720" s="9">
        <v>13263718</v>
      </c>
      <c r="I720" s="339">
        <f t="shared" si="73"/>
        <v>0</v>
      </c>
      <c r="J720" s="339">
        <f t="shared" si="74"/>
        <v>0</v>
      </c>
      <c r="K720" s="9">
        <f t="shared" si="75"/>
        <v>0</v>
      </c>
    </row>
    <row r="721" spans="1:11" s="9" customFormat="1" ht="42.6" customHeight="1" x14ac:dyDescent="0.25">
      <c r="A721" s="255">
        <v>20.7</v>
      </c>
      <c r="B721" s="254" t="s">
        <v>1027</v>
      </c>
      <c r="C721" s="240" t="s">
        <v>13</v>
      </c>
      <c r="D721" s="295">
        <v>40</v>
      </c>
      <c r="E721" s="243">
        <v>106605</v>
      </c>
      <c r="F721" s="243">
        <f t="shared" si="76"/>
        <v>4264200</v>
      </c>
      <c r="G721" s="9">
        <v>106605</v>
      </c>
      <c r="H721" s="9">
        <v>4264200</v>
      </c>
      <c r="I721" s="339">
        <f t="shared" si="73"/>
        <v>0</v>
      </c>
      <c r="J721" s="339">
        <f t="shared" si="74"/>
        <v>0</v>
      </c>
      <c r="K721" s="9">
        <f t="shared" si="75"/>
        <v>0</v>
      </c>
    </row>
    <row r="722" spans="1:11" s="9" customFormat="1" ht="35.1" customHeight="1" x14ac:dyDescent="0.25">
      <c r="A722" s="255">
        <v>20.8</v>
      </c>
      <c r="B722" s="254" t="s">
        <v>1029</v>
      </c>
      <c r="C722" s="240" t="s">
        <v>13</v>
      </c>
      <c r="D722" s="295">
        <v>1316</v>
      </c>
      <c r="E722" s="243">
        <v>162722</v>
      </c>
      <c r="F722" s="243">
        <f t="shared" si="76"/>
        <v>214142152</v>
      </c>
      <c r="G722" s="9">
        <v>162722</v>
      </c>
      <c r="H722" s="9">
        <v>214142152</v>
      </c>
      <c r="I722" s="339">
        <f t="shared" si="73"/>
        <v>0</v>
      </c>
      <c r="J722" s="339">
        <f t="shared" si="74"/>
        <v>0</v>
      </c>
      <c r="K722" s="9">
        <f t="shared" si="75"/>
        <v>0</v>
      </c>
    </row>
    <row r="723" spans="1:11" s="9" customFormat="1" ht="35.1" customHeight="1" x14ac:dyDescent="0.25">
      <c r="A723" s="255">
        <v>20.9</v>
      </c>
      <c r="B723" s="254" t="s">
        <v>1031</v>
      </c>
      <c r="C723" s="240" t="s">
        <v>13</v>
      </c>
      <c r="D723" s="295">
        <v>700</v>
      </c>
      <c r="E723" s="243">
        <v>36898</v>
      </c>
      <c r="F723" s="243">
        <f t="shared" si="76"/>
        <v>25828600</v>
      </c>
      <c r="G723" s="9">
        <v>36898</v>
      </c>
      <c r="H723" s="9">
        <v>25828600</v>
      </c>
      <c r="I723" s="339">
        <f t="shared" si="73"/>
        <v>0</v>
      </c>
      <c r="J723" s="339">
        <f t="shared" si="74"/>
        <v>0</v>
      </c>
      <c r="K723" s="9">
        <f t="shared" si="75"/>
        <v>0</v>
      </c>
    </row>
    <row r="724" spans="1:11" ht="15" x14ac:dyDescent="0.25">
      <c r="A724" s="428" t="s">
        <v>1032</v>
      </c>
      <c r="B724" s="429"/>
      <c r="C724" s="429"/>
      <c r="D724" s="429"/>
      <c r="E724" s="430"/>
      <c r="F724" s="65">
        <f>SUM(F4:F723)</f>
        <v>12875260770.510004</v>
      </c>
      <c r="G724" s="1"/>
    </row>
    <row r="725" spans="1:11" x14ac:dyDescent="0.25">
      <c r="A725" s="425" t="s">
        <v>1034</v>
      </c>
      <c r="B725" s="425"/>
      <c r="C725" s="425"/>
      <c r="D725" s="219"/>
      <c r="E725" s="137">
        <v>0.19020000000000001</v>
      </c>
      <c r="F725" s="66">
        <f>ROUND(E725*F724,2)</f>
        <v>2448874598.5500002</v>
      </c>
      <c r="K725" s="9">
        <f>SUM(K4:K724)</f>
        <v>10</v>
      </c>
    </row>
    <row r="726" spans="1:11" x14ac:dyDescent="0.25">
      <c r="A726" s="425" t="s">
        <v>1035</v>
      </c>
      <c r="B726" s="425"/>
      <c r="C726" s="425"/>
      <c r="D726" s="219"/>
      <c r="E726" s="137">
        <v>0.01</v>
      </c>
      <c r="F726" s="66">
        <f>ROUND(E726*F724,2)</f>
        <v>128752607.70999999</v>
      </c>
    </row>
    <row r="727" spans="1:11" x14ac:dyDescent="0.25">
      <c r="A727" s="425" t="s">
        <v>1036</v>
      </c>
      <c r="B727" s="425"/>
      <c r="C727" s="425"/>
      <c r="D727" s="219"/>
      <c r="E727" s="137">
        <v>0.05</v>
      </c>
      <c r="F727" s="66">
        <f>ROUND(E727*F724,2)</f>
        <v>643763038.52999997</v>
      </c>
    </row>
    <row r="728" spans="1:11" ht="15" x14ac:dyDescent="0.25">
      <c r="A728" s="431" t="s">
        <v>1033</v>
      </c>
      <c r="B728" s="432"/>
      <c r="C728" s="432"/>
      <c r="D728" s="432"/>
      <c r="E728" s="433"/>
      <c r="F728" s="67">
        <f>ROUND(F725+F726+F727,2)</f>
        <v>3221390244.79</v>
      </c>
    </row>
    <row r="729" spans="1:11" x14ac:dyDescent="0.25">
      <c r="A729" s="425" t="s">
        <v>1038</v>
      </c>
      <c r="B729" s="425"/>
      <c r="C729" s="425"/>
      <c r="D729" s="219"/>
      <c r="E729" s="137">
        <v>0.19</v>
      </c>
      <c r="F729" s="66">
        <f>ROUND(E729*F727,2)</f>
        <v>122314977.31999999</v>
      </c>
    </row>
    <row r="730" spans="1:11" x14ac:dyDescent="0.25">
      <c r="A730" s="426" t="s">
        <v>1039</v>
      </c>
      <c r="B730" s="426"/>
      <c r="C730" s="426"/>
      <c r="D730" s="220"/>
      <c r="E730" s="311"/>
      <c r="F730" s="65">
        <f>ROUND(F724+F728+F729,2)</f>
        <v>16218965992.620001</v>
      </c>
    </row>
    <row r="731" spans="1:11" ht="34.15" customHeight="1" x14ac:dyDescent="0.25">
      <c r="A731" s="425" t="s">
        <v>1418</v>
      </c>
      <c r="B731" s="425"/>
      <c r="C731" s="425"/>
      <c r="D731" s="434" t="s">
        <v>1419</v>
      </c>
      <c r="E731" s="435"/>
      <c r="F731" s="66">
        <v>32694791</v>
      </c>
    </row>
    <row r="732" spans="1:11" ht="20.45" customHeight="1" x14ac:dyDescent="0.25">
      <c r="A732" s="426" t="s">
        <v>1420</v>
      </c>
      <c r="B732" s="426"/>
      <c r="C732" s="426"/>
      <c r="D732" s="220"/>
      <c r="E732" s="311"/>
      <c r="F732" s="65">
        <f>+F731+F730</f>
        <v>16251660783.620001</v>
      </c>
    </row>
    <row r="733" spans="1:11" x14ac:dyDescent="0.25">
      <c r="D733" s="234"/>
    </row>
    <row r="734" spans="1:11" x14ac:dyDescent="0.25">
      <c r="D734" s="234"/>
    </row>
  </sheetData>
  <autoFilter ref="A2:F732" xr:uid="{00000000-0009-0000-0000-00000C000000}"/>
  <mergeCells count="11">
    <mergeCell ref="A728:E728"/>
    <mergeCell ref="A1:F1"/>
    <mergeCell ref="A724:E724"/>
    <mergeCell ref="A725:C725"/>
    <mergeCell ref="A726:C726"/>
    <mergeCell ref="A727:C727"/>
    <mergeCell ref="A729:C729"/>
    <mergeCell ref="A730:C730"/>
    <mergeCell ref="A731:C731"/>
    <mergeCell ref="D731:E731"/>
    <mergeCell ref="A732:C732"/>
  </mergeCells>
  <conditionalFormatting sqref="F729:F730 F4:F7 F12:F15 F17:F20 F133 F135:F136 F138:F142 F144:F147 F149 F152:F155 F157:F163 F165:F170 F172:F177 F180:F183 F185:F191 F193:F198 F200:F205 F207:F214 F216 F219 F221:F222 F224 F227:F229 F231:F232 F234 F236:F240 F242:F245 F247:F252 F254 F257:F285 F307:F314 F316:F329 F331:F334 F336:F338 F341:F353 F355:F369 F372:F387 F389:F393 F395:F398 F401:F406 F408:F409 F411:F420 F422:F424 F426:F441 F443:F444 F446:F452 F454 F456:F458 F460:F464 F466:F470 F472:F473 F475:F484 F486:F497 F499 F501:F505 F508:F516 F519:F533 F535:F542 F544:F551 F553:F589 F591:F596 F598:F611 F613:F617 F619:F629 F632:F635 F637 F639:F644 F646:F648 F650:F652 F654:F665 F667:F670 F672:F673 F676:F682 F684:F693 F695:F704 F706:F713 F724:F727 F22 F24:F25 F28:F29 F31:F33 F35:F39 F41:F42 F44:F46 F49:F50 F52:F53 F55:F56 F58:F61 F64:F70 F72:F73 F75:F80 F82:F87 F89:F94 F96:F101 F103:F105 F108:F110 F112:F113 F115:F119 F121:F123 F125:F127 F129:F130 F287:F305 F9 F2">
    <cfRule type="cellIs" dxfId="32" priority="5" operator="equal">
      <formula>0</formula>
    </cfRule>
  </conditionalFormatting>
  <conditionalFormatting sqref="F728">
    <cfRule type="cellIs" dxfId="31" priority="4" operator="equal">
      <formula>0</formula>
    </cfRule>
  </conditionalFormatting>
  <conditionalFormatting sqref="F715:F723">
    <cfRule type="cellIs" dxfId="30" priority="3" operator="equal">
      <formula>0</formula>
    </cfRule>
  </conditionalFormatting>
  <conditionalFormatting sqref="F732">
    <cfRule type="cellIs" dxfId="29" priority="2" operator="equal">
      <formula>0</formula>
    </cfRule>
  </conditionalFormatting>
  <conditionalFormatting sqref="F731">
    <cfRule type="cellIs" dxfId="28" priority="1" operator="equal">
      <formula>0</formula>
    </cfRule>
  </conditionalFormatting>
  <printOptions horizontalCentered="1"/>
  <pageMargins left="0.70866141732283472" right="0.70866141732283472" top="0.74803149606299213" bottom="0.74803149606299213" header="0.31496062992125984" footer="0.31496062992125984"/>
  <pageSetup scale="46" orientation="portrait" r:id="rId1"/>
  <rowBreaks count="1" manualBreakCount="1">
    <brk id="688"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G734"/>
  <sheetViews>
    <sheetView view="pageBreakPreview" topLeftCell="A717" zoomScale="90" zoomScaleNormal="91" zoomScaleSheetLayoutView="90" workbookViewId="0">
      <selection activeCell="G444" sqref="G444"/>
    </sheetView>
  </sheetViews>
  <sheetFormatPr baseColWidth="10" defaultColWidth="11.42578125" defaultRowHeight="16.5" x14ac:dyDescent="0.25"/>
  <cols>
    <col min="1" max="1" width="9" style="215" customWidth="1"/>
    <col min="2" max="2" width="62" style="215" customWidth="1"/>
    <col min="3" max="3" width="10.28515625" style="215" customWidth="1"/>
    <col min="4" max="4" width="15.42578125" style="319" customWidth="1"/>
    <col min="5" max="5" width="18.42578125" style="234" customWidth="1"/>
    <col min="6" max="6" width="22.5703125" style="234" customWidth="1"/>
    <col min="7" max="7" width="17" customWidth="1"/>
  </cols>
  <sheetData>
    <row r="1" spans="1:6" ht="23.45" customHeight="1" x14ac:dyDescent="0.25">
      <c r="A1" s="436" t="s">
        <v>1417</v>
      </c>
      <c r="B1" s="437"/>
      <c r="C1" s="437"/>
      <c r="D1" s="437"/>
      <c r="E1" s="437"/>
      <c r="F1" s="438"/>
    </row>
    <row r="2" spans="1:6" ht="27" customHeight="1" x14ac:dyDescent="0.25">
      <c r="A2" s="2" t="s">
        <v>1</v>
      </c>
      <c r="B2" s="2" t="s">
        <v>2</v>
      </c>
      <c r="C2" s="2" t="s">
        <v>3</v>
      </c>
      <c r="D2" s="3" t="s">
        <v>1047</v>
      </c>
      <c r="E2" s="301" t="s">
        <v>5</v>
      </c>
      <c r="F2" s="2" t="s">
        <v>6</v>
      </c>
    </row>
    <row r="3" spans="1:6" s="9" customFormat="1" ht="35.1" customHeight="1" x14ac:dyDescent="0.25">
      <c r="A3" s="235" t="s">
        <v>9</v>
      </c>
      <c r="B3" s="236" t="s">
        <v>10</v>
      </c>
      <c r="C3" s="237"/>
      <c r="D3" s="238"/>
      <c r="E3" s="302"/>
      <c r="F3" s="238"/>
    </row>
    <row r="4" spans="1:6" s="9" customFormat="1" ht="35.1" customHeight="1" x14ac:dyDescent="0.25">
      <c r="A4" s="240" t="s">
        <v>11</v>
      </c>
      <c r="B4" s="241" t="s">
        <v>12</v>
      </c>
      <c r="C4" s="240" t="s">
        <v>13</v>
      </c>
      <c r="D4" s="295">
        <v>545</v>
      </c>
      <c r="E4" s="243">
        <v>27093</v>
      </c>
      <c r="F4" s="243">
        <f>ROUND(+E4*D4,2)</f>
        <v>14765685</v>
      </c>
    </row>
    <row r="5" spans="1:6" s="9" customFormat="1" ht="35.1" customHeight="1" x14ac:dyDescent="0.25">
      <c r="A5" s="240" t="s">
        <v>1049</v>
      </c>
      <c r="B5" s="241" t="s">
        <v>1050</v>
      </c>
      <c r="C5" s="240" t="s">
        <v>13</v>
      </c>
      <c r="D5" s="295">
        <v>580</v>
      </c>
      <c r="E5" s="243">
        <v>3555</v>
      </c>
      <c r="F5" s="243">
        <f>ROUND(+E5*D5,2)</f>
        <v>2061900</v>
      </c>
    </row>
    <row r="6" spans="1:6" s="9" customFormat="1" ht="35.1" customHeight="1" x14ac:dyDescent="0.25">
      <c r="A6" s="240" t="s">
        <v>1051</v>
      </c>
      <c r="B6" s="241" t="s">
        <v>1052</v>
      </c>
      <c r="C6" s="240" t="s">
        <v>94</v>
      </c>
      <c r="D6" s="295">
        <v>40</v>
      </c>
      <c r="E6" s="243">
        <v>34420</v>
      </c>
      <c r="F6" s="243">
        <f>ROUND(+E6*D6,2)</f>
        <v>1376800</v>
      </c>
    </row>
    <row r="7" spans="1:6" s="9" customFormat="1" ht="35.1" customHeight="1" x14ac:dyDescent="0.25">
      <c r="A7" s="240" t="s">
        <v>14</v>
      </c>
      <c r="B7" s="241" t="s">
        <v>15</v>
      </c>
      <c r="C7" s="240" t="s">
        <v>16</v>
      </c>
      <c r="D7" s="295">
        <v>8</v>
      </c>
      <c r="E7" s="243">
        <v>35951</v>
      </c>
      <c r="F7" s="243">
        <f>ROUND(+E7*D7,2)</f>
        <v>287608</v>
      </c>
    </row>
    <row r="8" spans="1:6" s="9" customFormat="1" ht="35.1" customHeight="1" x14ac:dyDescent="0.25">
      <c r="A8" s="244" t="s">
        <v>19</v>
      </c>
      <c r="B8" s="245" t="s">
        <v>20</v>
      </c>
      <c r="C8" s="244"/>
      <c r="D8" s="313"/>
      <c r="E8" s="303"/>
      <c r="F8" s="246"/>
    </row>
    <row r="9" spans="1:6" s="9" customFormat="1" ht="35.1" customHeight="1" x14ac:dyDescent="0.25">
      <c r="A9" s="240" t="s">
        <v>23</v>
      </c>
      <c r="B9" s="241" t="s">
        <v>1058</v>
      </c>
      <c r="C9" s="240" t="s">
        <v>13</v>
      </c>
      <c r="D9" s="295">
        <v>151</v>
      </c>
      <c r="E9" s="243">
        <v>13438</v>
      </c>
      <c r="F9" s="243">
        <f>ROUND(+E9*D9,2)</f>
        <v>2029138</v>
      </c>
    </row>
    <row r="10" spans="1:6" s="9" customFormat="1" ht="35.1" customHeight="1" x14ac:dyDescent="0.25">
      <c r="A10" s="247">
        <v>2</v>
      </c>
      <c r="B10" s="248" t="s">
        <v>25</v>
      </c>
      <c r="C10" s="248"/>
      <c r="D10" s="314"/>
      <c r="E10" s="304"/>
      <c r="F10" s="249"/>
    </row>
    <row r="11" spans="1:6" s="9" customFormat="1" ht="35.1" customHeight="1" x14ac:dyDescent="0.25">
      <c r="A11" s="244" t="s">
        <v>26</v>
      </c>
      <c r="B11" s="245" t="s">
        <v>27</v>
      </c>
      <c r="C11" s="244"/>
      <c r="D11" s="313"/>
      <c r="E11" s="303"/>
      <c r="F11" s="246"/>
    </row>
    <row r="12" spans="1:6" s="9" customFormat="1" ht="35.1" customHeight="1" x14ac:dyDescent="0.25">
      <c r="A12" s="240" t="s">
        <v>28</v>
      </c>
      <c r="B12" s="241" t="s">
        <v>29</v>
      </c>
      <c r="C12" s="240" t="s">
        <v>30</v>
      </c>
      <c r="D12" s="295">
        <v>400</v>
      </c>
      <c r="E12" s="243">
        <v>32449</v>
      </c>
      <c r="F12" s="243">
        <f>ROUND(+E12*D12,2)</f>
        <v>12979600</v>
      </c>
    </row>
    <row r="13" spans="1:6" s="9" customFormat="1" ht="35.1" customHeight="1" x14ac:dyDescent="0.25">
      <c r="A13" s="240" t="s">
        <v>31</v>
      </c>
      <c r="B13" s="241" t="s">
        <v>32</v>
      </c>
      <c r="C13" s="240" t="s">
        <v>30</v>
      </c>
      <c r="D13" s="295">
        <v>357.39549999999997</v>
      </c>
      <c r="E13" s="243">
        <v>40990</v>
      </c>
      <c r="F13" s="243">
        <f>ROUND(+E13*D13,2)</f>
        <v>14649641.550000001</v>
      </c>
    </row>
    <row r="14" spans="1:6" s="9" customFormat="1" ht="35.1" customHeight="1" x14ac:dyDescent="0.25">
      <c r="A14" s="240" t="s">
        <v>33</v>
      </c>
      <c r="B14" s="251" t="s">
        <v>34</v>
      </c>
      <c r="C14" s="240" t="s">
        <v>30</v>
      </c>
      <c r="D14" s="295">
        <v>580.17768000000001</v>
      </c>
      <c r="E14" s="243">
        <v>12819</v>
      </c>
      <c r="F14" s="243">
        <f>ROUND(+E14*D14,2)</f>
        <v>7437297.6799999997</v>
      </c>
    </row>
    <row r="15" spans="1:6" s="9" customFormat="1" ht="35.1" customHeight="1" x14ac:dyDescent="0.25">
      <c r="A15" s="240" t="s">
        <v>35</v>
      </c>
      <c r="B15" s="241" t="s">
        <v>36</v>
      </c>
      <c r="C15" s="240" t="s">
        <v>30</v>
      </c>
      <c r="D15" s="295">
        <v>193.02500000000003</v>
      </c>
      <c r="E15" s="243">
        <v>64537</v>
      </c>
      <c r="F15" s="243">
        <f>ROUND(+E15*D15,2)</f>
        <v>12457254.43</v>
      </c>
    </row>
    <row r="16" spans="1:6" s="9" customFormat="1" ht="35.1" customHeight="1" x14ac:dyDescent="0.25">
      <c r="A16" s="244" t="s">
        <v>37</v>
      </c>
      <c r="B16" s="245" t="s">
        <v>38</v>
      </c>
      <c r="C16" s="244"/>
      <c r="D16" s="313"/>
      <c r="E16" s="252"/>
      <c r="F16" s="246"/>
    </row>
    <row r="17" spans="1:6" s="9" customFormat="1" ht="35.1" customHeight="1" x14ac:dyDescent="0.25">
      <c r="A17" s="253" t="s">
        <v>39</v>
      </c>
      <c r="B17" s="254" t="s">
        <v>40</v>
      </c>
      <c r="C17" s="255" t="s">
        <v>13</v>
      </c>
      <c r="D17" s="295">
        <v>1183.633</v>
      </c>
      <c r="E17" s="243">
        <v>26091</v>
      </c>
      <c r="F17" s="243">
        <f t="shared" ref="F17:F80" si="0">ROUND(+E17*D17,2)</f>
        <v>30882168.600000001</v>
      </c>
    </row>
    <row r="18" spans="1:6" s="9" customFormat="1" ht="35.1" customHeight="1" x14ac:dyDescent="0.25">
      <c r="A18" s="253" t="s">
        <v>41</v>
      </c>
      <c r="B18" s="241" t="s">
        <v>42</v>
      </c>
      <c r="C18" s="240" t="s">
        <v>30</v>
      </c>
      <c r="D18" s="295">
        <v>82.47999999999999</v>
      </c>
      <c r="E18" s="243">
        <v>705830</v>
      </c>
      <c r="F18" s="243">
        <f t="shared" si="0"/>
        <v>58216858.399999999</v>
      </c>
    </row>
    <row r="19" spans="1:6" s="9" customFormat="1" ht="35.1" customHeight="1" x14ac:dyDescent="0.25">
      <c r="A19" s="253" t="s">
        <v>43</v>
      </c>
      <c r="B19" s="241" t="s">
        <v>44</v>
      </c>
      <c r="C19" s="240" t="s">
        <v>30</v>
      </c>
      <c r="D19" s="295">
        <v>81.539999999999992</v>
      </c>
      <c r="E19" s="243">
        <v>705830</v>
      </c>
      <c r="F19" s="243">
        <f t="shared" si="0"/>
        <v>57553378.200000003</v>
      </c>
    </row>
    <row r="20" spans="1:6" s="9" customFormat="1" ht="35.1" customHeight="1" x14ac:dyDescent="0.25">
      <c r="A20" s="253" t="s">
        <v>45</v>
      </c>
      <c r="B20" s="241" t="s">
        <v>46</v>
      </c>
      <c r="C20" s="240" t="s">
        <v>30</v>
      </c>
      <c r="D20" s="295">
        <v>47.93</v>
      </c>
      <c r="E20" s="243">
        <v>815298</v>
      </c>
      <c r="F20" s="243">
        <f t="shared" si="0"/>
        <v>39077233.140000001</v>
      </c>
    </row>
    <row r="21" spans="1:6" s="9" customFormat="1" ht="35.1" customHeight="1" x14ac:dyDescent="0.25">
      <c r="A21" s="244" t="s">
        <v>47</v>
      </c>
      <c r="B21" s="245" t="s">
        <v>1059</v>
      </c>
      <c r="C21" s="244"/>
      <c r="D21" s="313"/>
      <c r="E21" s="303"/>
      <c r="F21" s="246"/>
    </row>
    <row r="22" spans="1:6" s="9" customFormat="1" ht="35.1" customHeight="1" x14ac:dyDescent="0.25">
      <c r="A22" s="255" t="s">
        <v>49</v>
      </c>
      <c r="B22" s="241" t="s">
        <v>50</v>
      </c>
      <c r="C22" s="240" t="s">
        <v>30</v>
      </c>
      <c r="D22" s="295">
        <v>64.319999999999993</v>
      </c>
      <c r="E22" s="243">
        <v>842176</v>
      </c>
      <c r="F22" s="243">
        <f t="shared" si="0"/>
        <v>54168760.32</v>
      </c>
    </row>
    <row r="23" spans="1:6" s="9" customFormat="1" ht="35.1" customHeight="1" x14ac:dyDescent="0.25">
      <c r="A23" s="244" t="s">
        <v>51</v>
      </c>
      <c r="B23" s="256" t="s">
        <v>52</v>
      </c>
      <c r="C23" s="256"/>
      <c r="D23" s="313"/>
      <c r="E23" s="303"/>
      <c r="F23" s="246"/>
    </row>
    <row r="24" spans="1:6" s="9" customFormat="1" ht="35.1" customHeight="1" x14ac:dyDescent="0.25">
      <c r="A24" s="240" t="s">
        <v>53</v>
      </c>
      <c r="B24" s="241" t="s">
        <v>54</v>
      </c>
      <c r="C24" s="240" t="s">
        <v>55</v>
      </c>
      <c r="D24" s="295">
        <v>24851.949999999997</v>
      </c>
      <c r="E24" s="243">
        <v>5221</v>
      </c>
      <c r="F24" s="243">
        <f t="shared" si="0"/>
        <v>129752030.95</v>
      </c>
    </row>
    <row r="25" spans="1:6" s="9" customFormat="1" ht="35.1" customHeight="1" x14ac:dyDescent="0.25">
      <c r="A25" s="253" t="s">
        <v>56</v>
      </c>
      <c r="B25" s="241" t="s">
        <v>57</v>
      </c>
      <c r="C25" s="240" t="s">
        <v>13</v>
      </c>
      <c r="D25" s="295">
        <v>2113.6</v>
      </c>
      <c r="E25" s="243">
        <v>7898</v>
      </c>
      <c r="F25" s="243">
        <f t="shared" si="0"/>
        <v>16693212.800000001</v>
      </c>
    </row>
    <row r="26" spans="1:6" s="9" customFormat="1" ht="35.1" customHeight="1" x14ac:dyDescent="0.25">
      <c r="A26" s="247">
        <v>3</v>
      </c>
      <c r="B26" s="248" t="s">
        <v>58</v>
      </c>
      <c r="C26" s="248"/>
      <c r="D26" s="314"/>
      <c r="E26" s="305"/>
      <c r="F26" s="249"/>
    </row>
    <row r="27" spans="1:6" s="9" customFormat="1" ht="35.1" customHeight="1" x14ac:dyDescent="0.25">
      <c r="A27" s="244" t="s">
        <v>59</v>
      </c>
      <c r="B27" s="245" t="s">
        <v>60</v>
      </c>
      <c r="C27" s="244"/>
      <c r="D27" s="313"/>
      <c r="E27" s="303"/>
      <c r="F27" s="246"/>
    </row>
    <row r="28" spans="1:6" s="9" customFormat="1" ht="35.1" customHeight="1" x14ac:dyDescent="0.25">
      <c r="A28" s="255" t="s">
        <v>61</v>
      </c>
      <c r="B28" s="241" t="s">
        <v>62</v>
      </c>
      <c r="C28" s="240" t="s">
        <v>30</v>
      </c>
      <c r="D28" s="295">
        <v>272.72000000000003</v>
      </c>
      <c r="E28" s="243">
        <v>831289</v>
      </c>
      <c r="F28" s="243">
        <f t="shared" si="0"/>
        <v>226709136.08000001</v>
      </c>
    </row>
    <row r="29" spans="1:6" s="9" customFormat="1" ht="35.1" customHeight="1" x14ac:dyDescent="0.25">
      <c r="A29" s="255" t="s">
        <v>63</v>
      </c>
      <c r="B29" s="241" t="s">
        <v>64</v>
      </c>
      <c r="C29" s="240" t="s">
        <v>30</v>
      </c>
      <c r="D29" s="295">
        <v>168.20999999999998</v>
      </c>
      <c r="E29" s="243">
        <v>831289</v>
      </c>
      <c r="F29" s="243">
        <f t="shared" si="0"/>
        <v>139831122.69</v>
      </c>
    </row>
    <row r="30" spans="1:6" s="9" customFormat="1" ht="35.1" customHeight="1" x14ac:dyDescent="0.25">
      <c r="A30" s="244" t="s">
        <v>65</v>
      </c>
      <c r="B30" s="245" t="s">
        <v>66</v>
      </c>
      <c r="C30" s="244"/>
      <c r="D30" s="313"/>
      <c r="E30" s="303"/>
      <c r="F30" s="246"/>
    </row>
    <row r="31" spans="1:6" s="9" customFormat="1" ht="35.1" customHeight="1" x14ac:dyDescent="0.25">
      <c r="A31" s="253" t="s">
        <v>67</v>
      </c>
      <c r="B31" s="241" t="s">
        <v>1060</v>
      </c>
      <c r="C31" s="255" t="s">
        <v>30</v>
      </c>
      <c r="D31" s="295">
        <v>2128.8200000000002</v>
      </c>
      <c r="E31" s="243">
        <v>928877</v>
      </c>
      <c r="F31" s="243">
        <f t="shared" si="0"/>
        <v>1977411935.1400001</v>
      </c>
    </row>
    <row r="32" spans="1:6" s="9" customFormat="1" ht="35.1" customHeight="1" x14ac:dyDescent="0.25">
      <c r="A32" s="253" t="s">
        <v>69</v>
      </c>
      <c r="B32" s="241" t="s">
        <v>70</v>
      </c>
      <c r="C32" s="255" t="s">
        <v>13</v>
      </c>
      <c r="D32" s="295">
        <v>1816.6</v>
      </c>
      <c r="E32" s="243">
        <v>100365</v>
      </c>
      <c r="F32" s="243">
        <f t="shared" si="0"/>
        <v>182323059</v>
      </c>
    </row>
    <row r="33" spans="1:6" s="9" customFormat="1" ht="35.1" customHeight="1" x14ac:dyDescent="0.25">
      <c r="A33" s="253" t="s">
        <v>71</v>
      </c>
      <c r="B33" s="241" t="s">
        <v>72</v>
      </c>
      <c r="C33" s="255" t="s">
        <v>30</v>
      </c>
      <c r="D33" s="295">
        <v>8.9</v>
      </c>
      <c r="E33" s="243">
        <v>809579</v>
      </c>
      <c r="F33" s="243">
        <f t="shared" si="0"/>
        <v>7205253.0999999996</v>
      </c>
    </row>
    <row r="34" spans="1:6" s="9" customFormat="1" ht="35.1" customHeight="1" x14ac:dyDescent="0.25">
      <c r="A34" s="244" t="s">
        <v>73</v>
      </c>
      <c r="B34" s="245" t="s">
        <v>74</v>
      </c>
      <c r="C34" s="244"/>
      <c r="D34" s="313"/>
      <c r="E34" s="303"/>
      <c r="F34" s="246"/>
    </row>
    <row r="35" spans="1:6" s="9" customFormat="1" ht="35.1" customHeight="1" x14ac:dyDescent="0.25">
      <c r="A35" s="253" t="s">
        <v>75</v>
      </c>
      <c r="B35" s="241" t="s">
        <v>76</v>
      </c>
      <c r="C35" s="255" t="s">
        <v>30</v>
      </c>
      <c r="D35" s="295">
        <v>84.3</v>
      </c>
      <c r="E35" s="243">
        <v>815298</v>
      </c>
      <c r="F35" s="243">
        <f t="shared" si="0"/>
        <v>68729621.400000006</v>
      </c>
    </row>
    <row r="36" spans="1:6" s="9" customFormat="1" ht="35.1" customHeight="1" x14ac:dyDescent="0.25">
      <c r="A36" s="253" t="s">
        <v>77</v>
      </c>
      <c r="B36" s="241" t="s">
        <v>78</v>
      </c>
      <c r="C36" s="255" t="s">
        <v>30</v>
      </c>
      <c r="D36" s="295">
        <v>124.9</v>
      </c>
      <c r="E36" s="243">
        <v>786314</v>
      </c>
      <c r="F36" s="243">
        <f t="shared" si="0"/>
        <v>98210618.599999994</v>
      </c>
    </row>
    <row r="37" spans="1:6" s="9" customFormat="1" ht="35.1" customHeight="1" x14ac:dyDescent="0.25">
      <c r="A37" s="253" t="s">
        <v>79</v>
      </c>
      <c r="B37" s="241" t="s">
        <v>80</v>
      </c>
      <c r="C37" s="240" t="s">
        <v>30</v>
      </c>
      <c r="D37" s="295">
        <v>34.700000000000003</v>
      </c>
      <c r="E37" s="243">
        <v>933848</v>
      </c>
      <c r="F37" s="243">
        <f t="shared" si="0"/>
        <v>32404525.600000001</v>
      </c>
    </row>
    <row r="38" spans="1:6" s="9" customFormat="1" ht="35.1" customHeight="1" x14ac:dyDescent="0.25">
      <c r="A38" s="253" t="s">
        <v>81</v>
      </c>
      <c r="B38" s="241" t="s">
        <v>82</v>
      </c>
      <c r="C38" s="240" t="s">
        <v>30</v>
      </c>
      <c r="D38" s="295">
        <v>19</v>
      </c>
      <c r="E38" s="243">
        <v>933848</v>
      </c>
      <c r="F38" s="243">
        <f t="shared" si="0"/>
        <v>17743112</v>
      </c>
    </row>
    <row r="39" spans="1:6" s="9" customFormat="1" ht="35.1" customHeight="1" x14ac:dyDescent="0.25">
      <c r="A39" s="253" t="s">
        <v>83</v>
      </c>
      <c r="B39" s="241" t="s">
        <v>84</v>
      </c>
      <c r="C39" s="255" t="s">
        <v>30</v>
      </c>
      <c r="D39" s="295">
        <v>72</v>
      </c>
      <c r="E39" s="243">
        <v>873849</v>
      </c>
      <c r="F39" s="243">
        <f t="shared" si="0"/>
        <v>62917128</v>
      </c>
    </row>
    <row r="40" spans="1:6" s="9" customFormat="1" ht="35.1" customHeight="1" x14ac:dyDescent="0.25">
      <c r="A40" s="244" t="s">
        <v>85</v>
      </c>
      <c r="B40" s="256" t="s">
        <v>86</v>
      </c>
      <c r="C40" s="256"/>
      <c r="D40" s="313"/>
      <c r="E40" s="303"/>
      <c r="F40" s="246"/>
    </row>
    <row r="41" spans="1:6" s="9" customFormat="1" ht="35.1" customHeight="1" x14ac:dyDescent="0.25">
      <c r="A41" s="240" t="s">
        <v>87</v>
      </c>
      <c r="B41" s="251" t="s">
        <v>54</v>
      </c>
      <c r="C41" s="240" t="s">
        <v>55</v>
      </c>
      <c r="D41" s="295">
        <v>218958.88000000003</v>
      </c>
      <c r="E41" s="243">
        <v>5221</v>
      </c>
      <c r="F41" s="243">
        <f t="shared" si="0"/>
        <v>1143184312.48</v>
      </c>
    </row>
    <row r="42" spans="1:6" s="9" customFormat="1" ht="35.1" customHeight="1" x14ac:dyDescent="0.25">
      <c r="A42" s="253" t="s">
        <v>88</v>
      </c>
      <c r="B42" s="254" t="s">
        <v>89</v>
      </c>
      <c r="C42" s="240" t="s">
        <v>13</v>
      </c>
      <c r="D42" s="295">
        <v>7158.21</v>
      </c>
      <c r="E42" s="243">
        <v>7898</v>
      </c>
      <c r="F42" s="243">
        <f t="shared" si="0"/>
        <v>56535542.579999998</v>
      </c>
    </row>
    <row r="43" spans="1:6" s="9" customFormat="1" ht="35.1" customHeight="1" x14ac:dyDescent="0.25">
      <c r="A43" s="244" t="s">
        <v>90</v>
      </c>
      <c r="B43" s="256" t="s">
        <v>91</v>
      </c>
      <c r="C43" s="256"/>
      <c r="D43" s="313"/>
      <c r="E43" s="303"/>
      <c r="F43" s="246"/>
    </row>
    <row r="44" spans="1:6" s="9" customFormat="1" ht="35.1" customHeight="1" x14ac:dyDescent="0.25">
      <c r="A44" s="240" t="s">
        <v>92</v>
      </c>
      <c r="B44" s="251" t="s">
        <v>93</v>
      </c>
      <c r="C44" s="240" t="s">
        <v>94</v>
      </c>
      <c r="D44" s="295">
        <v>208.1</v>
      </c>
      <c r="E44" s="243">
        <v>112181</v>
      </c>
      <c r="F44" s="243">
        <f t="shared" si="0"/>
        <v>23344866.100000001</v>
      </c>
    </row>
    <row r="45" spans="1:6" s="9" customFormat="1" ht="35.1" customHeight="1" x14ac:dyDescent="0.25">
      <c r="A45" s="240" t="s">
        <v>95</v>
      </c>
      <c r="B45" s="251" t="s">
        <v>96</v>
      </c>
      <c r="C45" s="240" t="s">
        <v>94</v>
      </c>
      <c r="D45" s="295">
        <v>1268.5999999999999</v>
      </c>
      <c r="E45" s="243">
        <v>80260</v>
      </c>
      <c r="F45" s="243">
        <f t="shared" si="0"/>
        <v>101817836</v>
      </c>
    </row>
    <row r="46" spans="1:6" s="9" customFormat="1" ht="35.1" customHeight="1" x14ac:dyDescent="0.25">
      <c r="A46" s="240" t="s">
        <v>97</v>
      </c>
      <c r="B46" s="254" t="s">
        <v>98</v>
      </c>
      <c r="C46" s="255" t="s">
        <v>13</v>
      </c>
      <c r="D46" s="295">
        <v>996.5</v>
      </c>
      <c r="E46" s="243">
        <v>106122</v>
      </c>
      <c r="F46" s="243">
        <f t="shared" si="0"/>
        <v>105750573</v>
      </c>
    </row>
    <row r="47" spans="1:6" s="9" customFormat="1" ht="35.1" customHeight="1" x14ac:dyDescent="0.25">
      <c r="A47" s="247">
        <v>4</v>
      </c>
      <c r="B47" s="248" t="s">
        <v>99</v>
      </c>
      <c r="C47" s="248"/>
      <c r="D47" s="314"/>
      <c r="E47" s="305"/>
      <c r="F47" s="249"/>
    </row>
    <row r="48" spans="1:6" s="9" customFormat="1" ht="35.1" customHeight="1" x14ac:dyDescent="0.25">
      <c r="A48" s="244" t="s">
        <v>100</v>
      </c>
      <c r="B48" s="245" t="s">
        <v>101</v>
      </c>
      <c r="C48" s="260"/>
      <c r="D48" s="313"/>
      <c r="E48" s="303"/>
      <c r="F48" s="246"/>
    </row>
    <row r="49" spans="1:6" s="9" customFormat="1" ht="35.1" customHeight="1" x14ac:dyDescent="0.25">
      <c r="A49" s="255" t="s">
        <v>102</v>
      </c>
      <c r="B49" s="254" t="s">
        <v>1062</v>
      </c>
      <c r="C49" s="255" t="s">
        <v>13</v>
      </c>
      <c r="D49" s="295">
        <v>59.86</v>
      </c>
      <c r="E49" s="243">
        <v>54016</v>
      </c>
      <c r="F49" s="243">
        <f t="shared" si="0"/>
        <v>3233397.76</v>
      </c>
    </row>
    <row r="50" spans="1:6" s="9" customFormat="1" ht="35.1" customHeight="1" x14ac:dyDescent="0.25">
      <c r="A50" s="255" t="s">
        <v>104</v>
      </c>
      <c r="B50" s="254" t="s">
        <v>105</v>
      </c>
      <c r="C50" s="255" t="s">
        <v>13</v>
      </c>
      <c r="D50" s="295">
        <v>388.43</v>
      </c>
      <c r="E50" s="243">
        <v>54016</v>
      </c>
      <c r="F50" s="243">
        <f t="shared" si="0"/>
        <v>20981434.879999999</v>
      </c>
    </row>
    <row r="51" spans="1:6" s="9" customFormat="1" ht="35.1" customHeight="1" x14ac:dyDescent="0.25">
      <c r="A51" s="261" t="s">
        <v>1063</v>
      </c>
      <c r="B51" s="262" t="s">
        <v>1064</v>
      </c>
      <c r="C51" s="263"/>
      <c r="D51" s="315"/>
      <c r="E51" s="303"/>
      <c r="F51" s="246"/>
    </row>
    <row r="52" spans="1:6" s="9" customFormat="1" ht="49.15" customHeight="1" x14ac:dyDescent="0.25">
      <c r="A52" s="255" t="s">
        <v>1065</v>
      </c>
      <c r="B52" s="254" t="s">
        <v>103</v>
      </c>
      <c r="C52" s="255" t="s">
        <v>13</v>
      </c>
      <c r="D52" s="295">
        <v>68.989999999999995</v>
      </c>
      <c r="E52" s="243">
        <v>54016</v>
      </c>
      <c r="F52" s="243">
        <f t="shared" si="0"/>
        <v>3726563.84</v>
      </c>
    </row>
    <row r="53" spans="1:6" s="9" customFormat="1" ht="35.1" customHeight="1" x14ac:dyDescent="0.25">
      <c r="A53" s="255" t="s">
        <v>1066</v>
      </c>
      <c r="B53" s="254" t="s">
        <v>105</v>
      </c>
      <c r="C53" s="255" t="s">
        <v>13</v>
      </c>
      <c r="D53" s="295">
        <v>701.75</v>
      </c>
      <c r="E53" s="243">
        <v>54016</v>
      </c>
      <c r="F53" s="243">
        <f t="shared" si="0"/>
        <v>37905728</v>
      </c>
    </row>
    <row r="54" spans="1:6" s="9" customFormat="1" ht="35.1" customHeight="1" x14ac:dyDescent="0.25">
      <c r="A54" s="244" t="s">
        <v>1067</v>
      </c>
      <c r="B54" s="245" t="s">
        <v>1068</v>
      </c>
      <c r="C54" s="260"/>
      <c r="D54" s="313"/>
      <c r="E54" s="303"/>
      <c r="F54" s="246"/>
    </row>
    <row r="55" spans="1:6" s="9" customFormat="1" ht="46.15" customHeight="1" x14ac:dyDescent="0.25">
      <c r="A55" s="255" t="s">
        <v>1069</v>
      </c>
      <c r="B55" s="254" t="s">
        <v>103</v>
      </c>
      <c r="C55" s="255" t="s">
        <v>13</v>
      </c>
      <c r="D55" s="295">
        <v>68.989999999999995</v>
      </c>
      <c r="E55" s="243">
        <v>74748</v>
      </c>
      <c r="F55" s="243">
        <f t="shared" si="0"/>
        <v>5156864.5199999996</v>
      </c>
    </row>
    <row r="56" spans="1:6" s="9" customFormat="1" ht="35.1" customHeight="1" x14ac:dyDescent="0.25">
      <c r="A56" s="255" t="s">
        <v>1070</v>
      </c>
      <c r="B56" s="254" t="s">
        <v>105</v>
      </c>
      <c r="C56" s="255" t="s">
        <v>13</v>
      </c>
      <c r="D56" s="295">
        <v>565.59</v>
      </c>
      <c r="E56" s="243">
        <v>70784</v>
      </c>
      <c r="F56" s="243">
        <f t="shared" si="0"/>
        <v>40034722.560000002</v>
      </c>
    </row>
    <row r="57" spans="1:6" s="9" customFormat="1" ht="35.1" customHeight="1" x14ac:dyDescent="0.25">
      <c r="A57" s="265" t="s">
        <v>1071</v>
      </c>
      <c r="B57" s="245" t="s">
        <v>1072</v>
      </c>
      <c r="C57" s="260"/>
      <c r="D57" s="313"/>
      <c r="E57" s="303"/>
      <c r="F57" s="246"/>
    </row>
    <row r="58" spans="1:6" s="9" customFormat="1" ht="50.45" customHeight="1" x14ac:dyDescent="0.25">
      <c r="A58" s="255" t="s">
        <v>1073</v>
      </c>
      <c r="B58" s="254" t="s">
        <v>103</v>
      </c>
      <c r="C58" s="255" t="s">
        <v>13</v>
      </c>
      <c r="D58" s="295">
        <v>51.89</v>
      </c>
      <c r="E58" s="243">
        <v>74748</v>
      </c>
      <c r="F58" s="243">
        <f t="shared" si="0"/>
        <v>3878673.72</v>
      </c>
    </row>
    <row r="59" spans="1:6" s="9" customFormat="1" ht="35.1" customHeight="1" x14ac:dyDescent="0.25">
      <c r="A59" s="255" t="s">
        <v>1074</v>
      </c>
      <c r="B59" s="254" t="s">
        <v>105</v>
      </c>
      <c r="C59" s="255" t="s">
        <v>13</v>
      </c>
      <c r="D59" s="295">
        <v>1250.28</v>
      </c>
      <c r="E59" s="243">
        <v>70784</v>
      </c>
      <c r="F59" s="243">
        <f t="shared" si="0"/>
        <v>88499819.519999996</v>
      </c>
    </row>
    <row r="60" spans="1:6" s="9" customFormat="1" ht="35.1" customHeight="1" x14ac:dyDescent="0.25">
      <c r="A60" s="255" t="s">
        <v>1075</v>
      </c>
      <c r="B60" s="254" t="s">
        <v>1076</v>
      </c>
      <c r="C60" s="255" t="s">
        <v>94</v>
      </c>
      <c r="D60" s="295">
        <v>250.05600000000001</v>
      </c>
      <c r="E60" s="243">
        <v>17969</v>
      </c>
      <c r="F60" s="243">
        <f t="shared" si="0"/>
        <v>4493256.26</v>
      </c>
    </row>
    <row r="61" spans="1:6" s="9" customFormat="1" ht="35.1" customHeight="1" x14ac:dyDescent="0.25">
      <c r="A61" s="255" t="s">
        <v>1077</v>
      </c>
      <c r="B61" s="254" t="s">
        <v>1078</v>
      </c>
      <c r="C61" s="255" t="s">
        <v>13</v>
      </c>
      <c r="D61" s="295">
        <v>149.82</v>
      </c>
      <c r="E61" s="243">
        <v>49329</v>
      </c>
      <c r="F61" s="243">
        <f t="shared" si="0"/>
        <v>7390470.7800000003</v>
      </c>
    </row>
    <row r="62" spans="1:6" s="9" customFormat="1" ht="35.1" customHeight="1" x14ac:dyDescent="0.25">
      <c r="A62" s="247">
        <v>5</v>
      </c>
      <c r="B62" s="248" t="s">
        <v>106</v>
      </c>
      <c r="C62" s="248"/>
      <c r="D62" s="314"/>
      <c r="E62" s="305"/>
      <c r="F62" s="249"/>
    </row>
    <row r="63" spans="1:6" s="9" customFormat="1" ht="35.1" customHeight="1" x14ac:dyDescent="0.25">
      <c r="A63" s="244" t="s">
        <v>107</v>
      </c>
      <c r="B63" s="256" t="s">
        <v>108</v>
      </c>
      <c r="C63" s="256"/>
      <c r="D63" s="313"/>
      <c r="E63" s="303"/>
      <c r="F63" s="246"/>
    </row>
    <row r="64" spans="1:6" s="9" customFormat="1" ht="35.1" customHeight="1" x14ac:dyDescent="0.25">
      <c r="A64" s="255" t="s">
        <v>109</v>
      </c>
      <c r="B64" s="241" t="s">
        <v>110</v>
      </c>
      <c r="C64" s="240" t="s">
        <v>30</v>
      </c>
      <c r="D64" s="295">
        <v>0.73</v>
      </c>
      <c r="E64" s="243">
        <v>842176</v>
      </c>
      <c r="F64" s="243">
        <f t="shared" si="0"/>
        <v>614788.48</v>
      </c>
    </row>
    <row r="65" spans="1:6" s="9" customFormat="1" ht="35.1" customHeight="1" x14ac:dyDescent="0.25">
      <c r="A65" s="255" t="s">
        <v>111</v>
      </c>
      <c r="B65" s="241" t="s">
        <v>112</v>
      </c>
      <c r="C65" s="240" t="s">
        <v>30</v>
      </c>
      <c r="D65" s="295">
        <v>22.66</v>
      </c>
      <c r="E65" s="243">
        <v>842176</v>
      </c>
      <c r="F65" s="243">
        <f t="shared" si="0"/>
        <v>19083708.16</v>
      </c>
    </row>
    <row r="66" spans="1:6" s="9" customFormat="1" ht="35.1" customHeight="1" x14ac:dyDescent="0.25">
      <c r="A66" s="255" t="s">
        <v>113</v>
      </c>
      <c r="B66" s="241" t="s">
        <v>114</v>
      </c>
      <c r="C66" s="240" t="s">
        <v>30</v>
      </c>
      <c r="D66" s="295">
        <v>191.19499999999999</v>
      </c>
      <c r="E66" s="243">
        <v>842176</v>
      </c>
      <c r="F66" s="243">
        <f t="shared" si="0"/>
        <v>161019840.31999999</v>
      </c>
    </row>
    <row r="67" spans="1:6" s="9" customFormat="1" ht="35.1" customHeight="1" x14ac:dyDescent="0.25">
      <c r="A67" s="255" t="s">
        <v>115</v>
      </c>
      <c r="B67" s="241" t="s">
        <v>116</v>
      </c>
      <c r="C67" s="240" t="s">
        <v>30</v>
      </c>
      <c r="D67" s="295">
        <v>40.24</v>
      </c>
      <c r="E67" s="243">
        <v>842176</v>
      </c>
      <c r="F67" s="243">
        <f t="shared" si="0"/>
        <v>33889162.240000002</v>
      </c>
    </row>
    <row r="68" spans="1:6" s="9" customFormat="1" ht="35.1" customHeight="1" x14ac:dyDescent="0.25">
      <c r="A68" s="255" t="s">
        <v>117</v>
      </c>
      <c r="B68" s="241" t="s">
        <v>118</v>
      </c>
      <c r="C68" s="240" t="s">
        <v>30</v>
      </c>
      <c r="D68" s="295">
        <v>160.97499999999999</v>
      </c>
      <c r="E68" s="243">
        <v>842176</v>
      </c>
      <c r="F68" s="243">
        <f t="shared" si="0"/>
        <v>135569281.59999999</v>
      </c>
    </row>
    <row r="69" spans="1:6" s="9" customFormat="1" ht="35.1" customHeight="1" x14ac:dyDescent="0.25">
      <c r="A69" s="255" t="s">
        <v>119</v>
      </c>
      <c r="B69" s="241" t="s">
        <v>120</v>
      </c>
      <c r="C69" s="240" t="s">
        <v>13</v>
      </c>
      <c r="D69" s="295">
        <v>159.38</v>
      </c>
      <c r="E69" s="243">
        <v>153751</v>
      </c>
      <c r="F69" s="243">
        <f t="shared" si="0"/>
        <v>24504834.379999999</v>
      </c>
    </row>
    <row r="70" spans="1:6" s="9" customFormat="1" ht="35.1" customHeight="1" x14ac:dyDescent="0.25">
      <c r="A70" s="255" t="s">
        <v>121</v>
      </c>
      <c r="B70" s="254" t="s">
        <v>122</v>
      </c>
      <c r="C70" s="255" t="s">
        <v>13</v>
      </c>
      <c r="D70" s="295">
        <v>42.64</v>
      </c>
      <c r="E70" s="243">
        <v>307503</v>
      </c>
      <c r="F70" s="243">
        <f t="shared" si="0"/>
        <v>13111927.92</v>
      </c>
    </row>
    <row r="71" spans="1:6" s="9" customFormat="1" ht="35.1" customHeight="1" x14ac:dyDescent="0.25">
      <c r="A71" s="244" t="s">
        <v>123</v>
      </c>
      <c r="B71" s="256" t="s">
        <v>124</v>
      </c>
      <c r="C71" s="256"/>
      <c r="D71" s="313"/>
      <c r="E71" s="303"/>
      <c r="F71" s="246"/>
    </row>
    <row r="72" spans="1:6" s="9" customFormat="1" ht="35.1" customHeight="1" x14ac:dyDescent="0.25">
      <c r="A72" s="255" t="s">
        <v>125</v>
      </c>
      <c r="B72" s="241" t="s">
        <v>1079</v>
      </c>
      <c r="C72" s="240" t="s">
        <v>30</v>
      </c>
      <c r="D72" s="295">
        <v>0.17</v>
      </c>
      <c r="E72" s="243">
        <v>842176</v>
      </c>
      <c r="F72" s="243">
        <f t="shared" si="0"/>
        <v>143169.92000000001</v>
      </c>
    </row>
    <row r="73" spans="1:6" s="9" customFormat="1" ht="35.1" customHeight="1" x14ac:dyDescent="0.25">
      <c r="A73" s="255" t="s">
        <v>126</v>
      </c>
      <c r="B73" s="241" t="s">
        <v>1080</v>
      </c>
      <c r="C73" s="240" t="s">
        <v>30</v>
      </c>
      <c r="D73" s="295">
        <v>56.08</v>
      </c>
      <c r="E73" s="243">
        <v>842176</v>
      </c>
      <c r="F73" s="243">
        <f t="shared" si="0"/>
        <v>47229230.079999998</v>
      </c>
    </row>
    <row r="74" spans="1:6" s="9" customFormat="1" ht="35.1" customHeight="1" x14ac:dyDescent="0.25">
      <c r="A74" s="244" t="s">
        <v>127</v>
      </c>
      <c r="B74" s="245" t="s">
        <v>128</v>
      </c>
      <c r="C74" s="244"/>
      <c r="D74" s="313"/>
      <c r="E74" s="303"/>
      <c r="F74" s="246"/>
    </row>
    <row r="75" spans="1:6" s="9" customFormat="1" ht="35.1" customHeight="1" x14ac:dyDescent="0.25">
      <c r="A75" s="255" t="s">
        <v>129</v>
      </c>
      <c r="B75" s="87" t="s">
        <v>130</v>
      </c>
      <c r="C75" s="240" t="s">
        <v>13</v>
      </c>
      <c r="D75" s="295">
        <v>183.83500000000001</v>
      </c>
      <c r="E75" s="243">
        <v>110927</v>
      </c>
      <c r="F75" s="243">
        <f t="shared" si="0"/>
        <v>20392265.050000001</v>
      </c>
    </row>
    <row r="76" spans="1:6" s="9" customFormat="1" ht="35.1" customHeight="1" x14ac:dyDescent="0.25">
      <c r="A76" s="255" t="s">
        <v>131</v>
      </c>
      <c r="B76" s="87" t="s">
        <v>112</v>
      </c>
      <c r="C76" s="240" t="s">
        <v>30</v>
      </c>
      <c r="D76" s="295">
        <v>59.33</v>
      </c>
      <c r="E76" s="243">
        <v>842176</v>
      </c>
      <c r="F76" s="243">
        <f t="shared" si="0"/>
        <v>49966302.079999998</v>
      </c>
    </row>
    <row r="77" spans="1:6" s="9" customFormat="1" ht="35.1" customHeight="1" x14ac:dyDescent="0.25">
      <c r="A77" s="255" t="s">
        <v>132</v>
      </c>
      <c r="B77" s="87" t="s">
        <v>114</v>
      </c>
      <c r="C77" s="240" t="s">
        <v>30</v>
      </c>
      <c r="D77" s="295">
        <v>17.52</v>
      </c>
      <c r="E77" s="243">
        <v>842176</v>
      </c>
      <c r="F77" s="243">
        <f t="shared" si="0"/>
        <v>14754923.52</v>
      </c>
    </row>
    <row r="78" spans="1:6" s="9" customFormat="1" ht="35.1" customHeight="1" x14ac:dyDescent="0.25">
      <c r="A78" s="255" t="s">
        <v>133</v>
      </c>
      <c r="B78" s="87" t="s">
        <v>118</v>
      </c>
      <c r="C78" s="240" t="s">
        <v>30</v>
      </c>
      <c r="D78" s="295">
        <v>108.79</v>
      </c>
      <c r="E78" s="243">
        <v>842176</v>
      </c>
      <c r="F78" s="243">
        <f t="shared" si="0"/>
        <v>91620327.040000007</v>
      </c>
    </row>
    <row r="79" spans="1:6" s="9" customFormat="1" ht="35.1" customHeight="1" x14ac:dyDescent="0.25">
      <c r="A79" s="255" t="s">
        <v>135</v>
      </c>
      <c r="B79" s="87" t="s">
        <v>120</v>
      </c>
      <c r="C79" s="240" t="s">
        <v>13</v>
      </c>
      <c r="D79" s="295">
        <v>409.13</v>
      </c>
      <c r="E79" s="243">
        <v>153751</v>
      </c>
      <c r="F79" s="243">
        <f t="shared" si="0"/>
        <v>62904146.630000003</v>
      </c>
    </row>
    <row r="80" spans="1:6" s="9" customFormat="1" ht="35.1" customHeight="1" x14ac:dyDescent="0.25">
      <c r="A80" s="255" t="s">
        <v>136</v>
      </c>
      <c r="B80" s="87" t="s">
        <v>122</v>
      </c>
      <c r="C80" s="255" t="s">
        <v>13</v>
      </c>
      <c r="D80" s="295">
        <v>152.75</v>
      </c>
      <c r="E80" s="243">
        <v>307503</v>
      </c>
      <c r="F80" s="243">
        <f t="shared" si="0"/>
        <v>46971083.25</v>
      </c>
    </row>
    <row r="81" spans="1:6" s="9" customFormat="1" ht="35.1" customHeight="1" x14ac:dyDescent="0.25">
      <c r="A81" s="244" t="s">
        <v>137</v>
      </c>
      <c r="B81" s="245" t="s">
        <v>138</v>
      </c>
      <c r="C81" s="244"/>
      <c r="D81" s="313"/>
      <c r="E81" s="303"/>
      <c r="F81" s="246"/>
    </row>
    <row r="82" spans="1:6" s="9" customFormat="1" ht="35.1" customHeight="1" x14ac:dyDescent="0.25">
      <c r="A82" s="255" t="s">
        <v>139</v>
      </c>
      <c r="B82" s="87" t="s">
        <v>130</v>
      </c>
      <c r="C82" s="240" t="s">
        <v>13</v>
      </c>
      <c r="D82" s="295">
        <v>179.215</v>
      </c>
      <c r="E82" s="243">
        <v>110927</v>
      </c>
      <c r="F82" s="243">
        <f t="shared" ref="F82:F130" si="1">ROUND(+E82*D82,2)</f>
        <v>19879782.309999999</v>
      </c>
    </row>
    <row r="83" spans="1:6" s="9" customFormat="1" ht="35.1" customHeight="1" x14ac:dyDescent="0.25">
      <c r="A83" s="255" t="s">
        <v>140</v>
      </c>
      <c r="B83" s="87" t="s">
        <v>112</v>
      </c>
      <c r="C83" s="240" t="s">
        <v>30</v>
      </c>
      <c r="D83" s="295">
        <v>2.25</v>
      </c>
      <c r="E83" s="243">
        <v>842176</v>
      </c>
      <c r="F83" s="243">
        <f t="shared" si="1"/>
        <v>1894896</v>
      </c>
    </row>
    <row r="84" spans="1:6" s="9" customFormat="1" ht="35.1" customHeight="1" x14ac:dyDescent="0.25">
      <c r="A84" s="255" t="s">
        <v>141</v>
      </c>
      <c r="B84" s="87" t="s">
        <v>114</v>
      </c>
      <c r="C84" s="240" t="s">
        <v>30</v>
      </c>
      <c r="D84" s="295">
        <v>63.42</v>
      </c>
      <c r="E84" s="243">
        <v>842176</v>
      </c>
      <c r="F84" s="243">
        <f t="shared" si="1"/>
        <v>53410801.920000002</v>
      </c>
    </row>
    <row r="85" spans="1:6" s="9" customFormat="1" ht="35.1" customHeight="1" x14ac:dyDescent="0.25">
      <c r="A85" s="255" t="s">
        <v>142</v>
      </c>
      <c r="B85" s="87" t="s">
        <v>118</v>
      </c>
      <c r="C85" s="240" t="s">
        <v>30</v>
      </c>
      <c r="D85" s="295">
        <v>159.56</v>
      </c>
      <c r="E85" s="243">
        <v>842176</v>
      </c>
      <c r="F85" s="243">
        <f t="shared" si="1"/>
        <v>134377602.56</v>
      </c>
    </row>
    <row r="86" spans="1:6" s="9" customFormat="1" ht="35.1" customHeight="1" x14ac:dyDescent="0.25">
      <c r="A86" s="255" t="s">
        <v>143</v>
      </c>
      <c r="B86" s="87" t="s">
        <v>120</v>
      </c>
      <c r="C86" s="240" t="s">
        <v>13</v>
      </c>
      <c r="D86" s="295">
        <v>279.36</v>
      </c>
      <c r="E86" s="243">
        <v>153751</v>
      </c>
      <c r="F86" s="243">
        <f t="shared" si="1"/>
        <v>42951879.359999999</v>
      </c>
    </row>
    <row r="87" spans="1:6" s="9" customFormat="1" ht="35.1" customHeight="1" x14ac:dyDescent="0.25">
      <c r="A87" s="255" t="s">
        <v>144</v>
      </c>
      <c r="B87" s="87" t="s">
        <v>122</v>
      </c>
      <c r="C87" s="240" t="s">
        <v>13</v>
      </c>
      <c r="D87" s="295">
        <v>248.94</v>
      </c>
      <c r="E87" s="243">
        <v>307503</v>
      </c>
      <c r="F87" s="243">
        <f t="shared" si="1"/>
        <v>76549796.819999993</v>
      </c>
    </row>
    <row r="88" spans="1:6" s="9" customFormat="1" ht="35.1" customHeight="1" x14ac:dyDescent="0.25">
      <c r="A88" s="244" t="s">
        <v>1081</v>
      </c>
      <c r="B88" s="245" t="s">
        <v>1082</v>
      </c>
      <c r="C88" s="244"/>
      <c r="D88" s="313"/>
      <c r="E88" s="303"/>
      <c r="F88" s="246"/>
    </row>
    <row r="89" spans="1:6" s="9" customFormat="1" ht="35.1" customHeight="1" x14ac:dyDescent="0.25">
      <c r="A89" s="255" t="s">
        <v>1083</v>
      </c>
      <c r="B89" s="87" t="s">
        <v>130</v>
      </c>
      <c r="C89" s="255" t="s">
        <v>13</v>
      </c>
      <c r="D89" s="295">
        <v>179.21</v>
      </c>
      <c r="E89" s="243">
        <v>110927</v>
      </c>
      <c r="F89" s="243">
        <f t="shared" si="1"/>
        <v>19879227.670000002</v>
      </c>
    </row>
    <row r="90" spans="1:6" s="9" customFormat="1" ht="35.1" customHeight="1" x14ac:dyDescent="0.25">
      <c r="A90" s="255" t="s">
        <v>1084</v>
      </c>
      <c r="B90" s="87" t="s">
        <v>112</v>
      </c>
      <c r="C90" s="255" t="s">
        <v>30</v>
      </c>
      <c r="D90" s="295">
        <v>1.45</v>
      </c>
      <c r="E90" s="243">
        <v>842176</v>
      </c>
      <c r="F90" s="243">
        <f t="shared" si="1"/>
        <v>1221155.2</v>
      </c>
    </row>
    <row r="91" spans="1:6" s="9" customFormat="1" ht="35.1" customHeight="1" x14ac:dyDescent="0.25">
      <c r="A91" s="255" t="s">
        <v>1085</v>
      </c>
      <c r="B91" s="87" t="s">
        <v>114</v>
      </c>
      <c r="C91" s="255" t="s">
        <v>30</v>
      </c>
      <c r="D91" s="295">
        <v>31.54</v>
      </c>
      <c r="E91" s="243">
        <v>842176</v>
      </c>
      <c r="F91" s="243">
        <f t="shared" si="1"/>
        <v>26562231.039999999</v>
      </c>
    </row>
    <row r="92" spans="1:6" s="9" customFormat="1" ht="35.1" customHeight="1" x14ac:dyDescent="0.25">
      <c r="A92" s="255" t="s">
        <v>1086</v>
      </c>
      <c r="B92" s="87" t="s">
        <v>118</v>
      </c>
      <c r="C92" s="255" t="s">
        <v>30</v>
      </c>
      <c r="D92" s="295">
        <v>69.08</v>
      </c>
      <c r="E92" s="243">
        <v>842176</v>
      </c>
      <c r="F92" s="243">
        <f t="shared" si="1"/>
        <v>58177518.079999998</v>
      </c>
    </row>
    <row r="93" spans="1:6" s="9" customFormat="1" ht="35.1" customHeight="1" x14ac:dyDescent="0.25">
      <c r="A93" s="255" t="s">
        <v>1087</v>
      </c>
      <c r="B93" s="87" t="s">
        <v>120</v>
      </c>
      <c r="C93" s="255" t="s">
        <v>13</v>
      </c>
      <c r="D93" s="295">
        <v>276.55</v>
      </c>
      <c r="E93" s="243">
        <v>161791</v>
      </c>
      <c r="F93" s="243">
        <f t="shared" si="1"/>
        <v>44743301.049999997</v>
      </c>
    </row>
    <row r="94" spans="1:6" s="9" customFormat="1" ht="35.1" customHeight="1" x14ac:dyDescent="0.25">
      <c r="A94" s="255" t="s">
        <v>1088</v>
      </c>
      <c r="B94" s="87" t="s">
        <v>122</v>
      </c>
      <c r="C94" s="255" t="s">
        <v>13</v>
      </c>
      <c r="D94" s="295">
        <v>132.12</v>
      </c>
      <c r="E94" s="243">
        <v>323580</v>
      </c>
      <c r="F94" s="243">
        <f t="shared" si="1"/>
        <v>42751389.600000001</v>
      </c>
    </row>
    <row r="95" spans="1:6" s="9" customFormat="1" ht="35.1" customHeight="1" x14ac:dyDescent="0.25">
      <c r="A95" s="244" t="s">
        <v>1089</v>
      </c>
      <c r="B95" s="245" t="s">
        <v>1090</v>
      </c>
      <c r="C95" s="244"/>
      <c r="D95" s="313"/>
      <c r="E95" s="303"/>
      <c r="F95" s="246"/>
    </row>
    <row r="96" spans="1:6" s="9" customFormat="1" ht="35.1" customHeight="1" x14ac:dyDescent="0.25">
      <c r="A96" s="240" t="s">
        <v>1091</v>
      </c>
      <c r="B96" s="87" t="s">
        <v>130</v>
      </c>
      <c r="C96" s="240" t="s">
        <v>13</v>
      </c>
      <c r="D96" s="295">
        <v>142.06</v>
      </c>
      <c r="E96" s="243">
        <v>110927</v>
      </c>
      <c r="F96" s="243">
        <f t="shared" si="1"/>
        <v>15758289.619999999</v>
      </c>
    </row>
    <row r="97" spans="1:6" s="9" customFormat="1" ht="35.1" customHeight="1" x14ac:dyDescent="0.25">
      <c r="A97" s="240" t="s">
        <v>1092</v>
      </c>
      <c r="B97" s="87" t="s">
        <v>112</v>
      </c>
      <c r="C97" s="240" t="s">
        <v>30</v>
      </c>
      <c r="D97" s="295">
        <v>1.25</v>
      </c>
      <c r="E97" s="243">
        <v>842176</v>
      </c>
      <c r="F97" s="243">
        <f t="shared" si="1"/>
        <v>1052720</v>
      </c>
    </row>
    <row r="98" spans="1:6" s="9" customFormat="1" ht="35.1" customHeight="1" x14ac:dyDescent="0.25">
      <c r="A98" s="240" t="s">
        <v>1093</v>
      </c>
      <c r="B98" s="87" t="s">
        <v>114</v>
      </c>
      <c r="C98" s="240" t="s">
        <v>30</v>
      </c>
      <c r="D98" s="295">
        <v>27.45</v>
      </c>
      <c r="E98" s="243">
        <v>842176</v>
      </c>
      <c r="F98" s="243">
        <f t="shared" si="1"/>
        <v>23117731.199999999</v>
      </c>
    </row>
    <row r="99" spans="1:6" s="9" customFormat="1" ht="35.1" customHeight="1" x14ac:dyDescent="0.25">
      <c r="A99" s="240" t="s">
        <v>1094</v>
      </c>
      <c r="B99" s="87" t="s">
        <v>118</v>
      </c>
      <c r="C99" s="240" t="s">
        <v>30</v>
      </c>
      <c r="D99" s="295">
        <v>14.01</v>
      </c>
      <c r="E99" s="243">
        <v>842176</v>
      </c>
      <c r="F99" s="243">
        <f t="shared" si="1"/>
        <v>11798885.76</v>
      </c>
    </row>
    <row r="100" spans="1:6" s="9" customFormat="1" ht="35.1" customHeight="1" x14ac:dyDescent="0.25">
      <c r="A100" s="240" t="s">
        <v>1095</v>
      </c>
      <c r="B100" s="87" t="s">
        <v>120</v>
      </c>
      <c r="C100" s="240" t="s">
        <v>13</v>
      </c>
      <c r="D100" s="295">
        <v>316.99</v>
      </c>
      <c r="E100" s="243">
        <v>161791</v>
      </c>
      <c r="F100" s="243">
        <f t="shared" si="1"/>
        <v>51286129.090000004</v>
      </c>
    </row>
    <row r="101" spans="1:6" s="9" customFormat="1" ht="35.1" customHeight="1" x14ac:dyDescent="0.25">
      <c r="A101" s="240" t="s">
        <v>1096</v>
      </c>
      <c r="B101" s="87" t="s">
        <v>122</v>
      </c>
      <c r="C101" s="240" t="s">
        <v>13</v>
      </c>
      <c r="D101" s="295">
        <v>112.85</v>
      </c>
      <c r="E101" s="243">
        <v>323580</v>
      </c>
      <c r="F101" s="243">
        <f t="shared" si="1"/>
        <v>36516003</v>
      </c>
    </row>
    <row r="102" spans="1:6" s="9" customFormat="1" ht="35.1" customHeight="1" x14ac:dyDescent="0.25">
      <c r="A102" s="244" t="s">
        <v>1097</v>
      </c>
      <c r="B102" s="245" t="s">
        <v>1098</v>
      </c>
      <c r="C102" s="244"/>
      <c r="D102" s="313"/>
      <c r="E102" s="303"/>
      <c r="F102" s="246"/>
    </row>
    <row r="103" spans="1:6" s="9" customFormat="1" ht="35.1" customHeight="1" x14ac:dyDescent="0.25">
      <c r="A103" s="240" t="s">
        <v>1099</v>
      </c>
      <c r="B103" s="241" t="s">
        <v>1100</v>
      </c>
      <c r="C103" s="240" t="s">
        <v>13</v>
      </c>
      <c r="D103" s="295">
        <v>94.59</v>
      </c>
      <c r="E103" s="243">
        <v>55531</v>
      </c>
      <c r="F103" s="243">
        <f t="shared" si="1"/>
        <v>5252677.29</v>
      </c>
    </row>
    <row r="104" spans="1:6" s="9" customFormat="1" ht="35.1" customHeight="1" x14ac:dyDescent="0.25">
      <c r="A104" s="240" t="s">
        <v>1101</v>
      </c>
      <c r="B104" s="87" t="s">
        <v>112</v>
      </c>
      <c r="C104" s="240" t="s">
        <v>30</v>
      </c>
      <c r="D104" s="295">
        <v>26.75</v>
      </c>
      <c r="E104" s="243">
        <v>842176</v>
      </c>
      <c r="F104" s="243">
        <f t="shared" si="1"/>
        <v>22528208</v>
      </c>
    </row>
    <row r="105" spans="1:6" s="9" customFormat="1" ht="35.1" customHeight="1" x14ac:dyDescent="0.25">
      <c r="A105" s="240" t="s">
        <v>1102</v>
      </c>
      <c r="B105" s="87" t="s">
        <v>114</v>
      </c>
      <c r="C105" s="240" t="s">
        <v>30</v>
      </c>
      <c r="D105" s="295">
        <v>33.22</v>
      </c>
      <c r="E105" s="243">
        <v>842176</v>
      </c>
      <c r="F105" s="243">
        <f t="shared" si="1"/>
        <v>27977086.719999999</v>
      </c>
    </row>
    <row r="106" spans="1:6" s="9" customFormat="1" ht="35.1" customHeight="1" x14ac:dyDescent="0.25">
      <c r="A106" s="266">
        <v>6</v>
      </c>
      <c r="B106" s="267" t="s">
        <v>145</v>
      </c>
      <c r="C106" s="267"/>
      <c r="D106" s="316"/>
      <c r="E106" s="306"/>
      <c r="F106" s="268"/>
    </row>
    <row r="107" spans="1:6" s="9" customFormat="1" ht="35.1" customHeight="1" x14ac:dyDescent="0.25">
      <c r="A107" s="244" t="s">
        <v>146</v>
      </c>
      <c r="B107" s="245" t="s">
        <v>147</v>
      </c>
      <c r="C107" s="244"/>
      <c r="D107" s="313"/>
      <c r="E107" s="303"/>
      <c r="F107" s="246"/>
    </row>
    <row r="108" spans="1:6" s="9" customFormat="1" ht="35.1" customHeight="1" x14ac:dyDescent="0.25">
      <c r="A108" s="255" t="s">
        <v>148</v>
      </c>
      <c r="B108" s="254" t="s">
        <v>149</v>
      </c>
      <c r="C108" s="255" t="s">
        <v>13</v>
      </c>
      <c r="D108" s="295">
        <v>457.19</v>
      </c>
      <c r="E108" s="243">
        <v>94327</v>
      </c>
      <c r="F108" s="243">
        <f t="shared" si="1"/>
        <v>43125361.130000003</v>
      </c>
    </row>
    <row r="109" spans="1:6" s="9" customFormat="1" ht="35.1" customHeight="1" x14ac:dyDescent="0.25">
      <c r="A109" s="255" t="s">
        <v>150</v>
      </c>
      <c r="B109" s="254" t="s">
        <v>151</v>
      </c>
      <c r="C109" s="255" t="s">
        <v>13</v>
      </c>
      <c r="D109" s="295">
        <v>1963.08</v>
      </c>
      <c r="E109" s="243">
        <v>8420</v>
      </c>
      <c r="F109" s="243">
        <f t="shared" si="1"/>
        <v>16529133.6</v>
      </c>
    </row>
    <row r="110" spans="1:6" s="9" customFormat="1" ht="35.1" customHeight="1" x14ac:dyDescent="0.25">
      <c r="A110" s="240" t="s">
        <v>152</v>
      </c>
      <c r="B110" s="241" t="s">
        <v>153</v>
      </c>
      <c r="C110" s="240" t="s">
        <v>13</v>
      </c>
      <c r="D110" s="295">
        <v>1.4</v>
      </c>
      <c r="E110" s="243">
        <v>110969</v>
      </c>
      <c r="F110" s="243">
        <f t="shared" si="1"/>
        <v>155356.6</v>
      </c>
    </row>
    <row r="111" spans="1:6" s="9" customFormat="1" ht="35.1" customHeight="1" x14ac:dyDescent="0.25">
      <c r="A111" s="244" t="s">
        <v>154</v>
      </c>
      <c r="B111" s="256" t="s">
        <v>155</v>
      </c>
      <c r="C111" s="256"/>
      <c r="D111" s="313"/>
      <c r="E111" s="303"/>
      <c r="F111" s="246"/>
    </row>
    <row r="112" spans="1:6" s="9" customFormat="1" ht="35.1" customHeight="1" x14ac:dyDescent="0.25">
      <c r="A112" s="255" t="s">
        <v>156</v>
      </c>
      <c r="B112" s="254" t="s">
        <v>157</v>
      </c>
      <c r="C112" s="255" t="s">
        <v>13</v>
      </c>
      <c r="D112" s="295">
        <v>1877.8720000000001</v>
      </c>
      <c r="E112" s="243">
        <v>94035</v>
      </c>
      <c r="F112" s="243">
        <f t="shared" si="1"/>
        <v>176585693.52000001</v>
      </c>
    </row>
    <row r="113" spans="1:6" s="9" customFormat="1" ht="35.1" customHeight="1" x14ac:dyDescent="0.25">
      <c r="A113" s="255" t="s">
        <v>158</v>
      </c>
      <c r="B113" s="254" t="s">
        <v>159</v>
      </c>
      <c r="C113" s="255" t="s">
        <v>13</v>
      </c>
      <c r="D113" s="295">
        <v>188.25400000000002</v>
      </c>
      <c r="E113" s="243">
        <v>98762</v>
      </c>
      <c r="F113" s="243">
        <f t="shared" si="1"/>
        <v>18592341.550000001</v>
      </c>
    </row>
    <row r="114" spans="1:6" s="9" customFormat="1" ht="35.1" customHeight="1" x14ac:dyDescent="0.25">
      <c r="A114" s="244" t="s">
        <v>160</v>
      </c>
      <c r="B114" s="256" t="s">
        <v>161</v>
      </c>
      <c r="C114" s="256"/>
      <c r="D114" s="313"/>
      <c r="E114" s="303"/>
      <c r="F114" s="246"/>
    </row>
    <row r="115" spans="1:6" s="9" customFormat="1" ht="35.1" customHeight="1" x14ac:dyDescent="0.25">
      <c r="A115" s="255" t="s">
        <v>162</v>
      </c>
      <c r="B115" s="254" t="s">
        <v>153</v>
      </c>
      <c r="C115" s="255" t="s">
        <v>13</v>
      </c>
      <c r="D115" s="295">
        <v>1232.8499999999999</v>
      </c>
      <c r="E115" s="243">
        <v>110969</v>
      </c>
      <c r="F115" s="243">
        <f t="shared" si="1"/>
        <v>136808131.65000001</v>
      </c>
    </row>
    <row r="116" spans="1:6" s="9" customFormat="1" ht="35.1" customHeight="1" x14ac:dyDescent="0.25">
      <c r="A116" s="255" t="s">
        <v>163</v>
      </c>
      <c r="B116" s="254" t="s">
        <v>164</v>
      </c>
      <c r="C116" s="255" t="s">
        <v>13</v>
      </c>
      <c r="D116" s="295">
        <v>807.1</v>
      </c>
      <c r="E116" s="243">
        <v>72415</v>
      </c>
      <c r="F116" s="243">
        <f t="shared" si="1"/>
        <v>58446146.5</v>
      </c>
    </row>
    <row r="117" spans="1:6" s="9" customFormat="1" ht="35.1" customHeight="1" x14ac:dyDescent="0.25">
      <c r="A117" s="255" t="s">
        <v>165</v>
      </c>
      <c r="B117" s="254" t="s">
        <v>166</v>
      </c>
      <c r="C117" s="255" t="s">
        <v>13</v>
      </c>
      <c r="D117" s="295">
        <v>44.18</v>
      </c>
      <c r="E117" s="243">
        <v>48266</v>
      </c>
      <c r="F117" s="243">
        <f t="shared" si="1"/>
        <v>2132391.88</v>
      </c>
    </row>
    <row r="118" spans="1:6" s="9" customFormat="1" ht="35.1" customHeight="1" x14ac:dyDescent="0.25">
      <c r="A118" s="255" t="s">
        <v>167</v>
      </c>
      <c r="B118" s="254" t="s">
        <v>168</v>
      </c>
      <c r="C118" s="255" t="s">
        <v>13</v>
      </c>
      <c r="D118" s="295">
        <v>309.35000000000002</v>
      </c>
      <c r="E118" s="243">
        <v>104672</v>
      </c>
      <c r="F118" s="243">
        <f t="shared" si="1"/>
        <v>32380283.199999999</v>
      </c>
    </row>
    <row r="119" spans="1:6" s="9" customFormat="1" ht="35.1" customHeight="1" x14ac:dyDescent="0.25">
      <c r="A119" s="255" t="s">
        <v>169</v>
      </c>
      <c r="B119" s="254" t="s">
        <v>159</v>
      </c>
      <c r="C119" s="255" t="s">
        <v>13</v>
      </c>
      <c r="D119" s="295">
        <v>252.37</v>
      </c>
      <c r="E119" s="243">
        <v>95187</v>
      </c>
      <c r="F119" s="243">
        <f t="shared" si="1"/>
        <v>24022343.190000001</v>
      </c>
    </row>
    <row r="120" spans="1:6" s="9" customFormat="1" ht="35.1" customHeight="1" x14ac:dyDescent="0.25">
      <c r="A120" s="270" t="s">
        <v>170</v>
      </c>
      <c r="B120" s="271" t="s">
        <v>171</v>
      </c>
      <c r="C120" s="272"/>
      <c r="D120" s="317"/>
      <c r="E120" s="307"/>
      <c r="F120" s="273"/>
    </row>
    <row r="121" spans="1:6" s="9" customFormat="1" ht="35.1" customHeight="1" x14ac:dyDescent="0.25">
      <c r="A121" s="255" t="s">
        <v>172</v>
      </c>
      <c r="B121" s="254" t="s">
        <v>153</v>
      </c>
      <c r="C121" s="255" t="s">
        <v>13</v>
      </c>
      <c r="D121" s="295">
        <v>1521.96</v>
      </c>
      <c r="E121" s="243">
        <v>110969</v>
      </c>
      <c r="F121" s="243">
        <f t="shared" si="1"/>
        <v>168890379.24000001</v>
      </c>
    </row>
    <row r="122" spans="1:6" s="9" customFormat="1" ht="35.1" customHeight="1" x14ac:dyDescent="0.25">
      <c r="A122" s="255" t="s">
        <v>173</v>
      </c>
      <c r="B122" s="254" t="s">
        <v>164</v>
      </c>
      <c r="C122" s="255" t="s">
        <v>13</v>
      </c>
      <c r="D122" s="295">
        <v>270.19</v>
      </c>
      <c r="E122" s="243">
        <v>72415</v>
      </c>
      <c r="F122" s="243">
        <f t="shared" si="1"/>
        <v>19565808.850000001</v>
      </c>
    </row>
    <row r="123" spans="1:6" s="9" customFormat="1" ht="35.1" customHeight="1" x14ac:dyDescent="0.25">
      <c r="A123" s="255" t="s">
        <v>174</v>
      </c>
      <c r="B123" s="254" t="s">
        <v>159</v>
      </c>
      <c r="C123" s="255" t="s">
        <v>13</v>
      </c>
      <c r="D123" s="295">
        <v>162.60999999999999</v>
      </c>
      <c r="E123" s="243">
        <v>95187</v>
      </c>
      <c r="F123" s="243">
        <f t="shared" si="1"/>
        <v>15478358.07</v>
      </c>
    </row>
    <row r="124" spans="1:6" s="9" customFormat="1" ht="35.1" customHeight="1" x14ac:dyDescent="0.25">
      <c r="A124" s="244" t="s">
        <v>1103</v>
      </c>
      <c r="B124" s="245" t="s">
        <v>1104</v>
      </c>
      <c r="C124" s="260"/>
      <c r="D124" s="313"/>
      <c r="E124" s="303"/>
      <c r="F124" s="246"/>
    </row>
    <row r="125" spans="1:6" s="9" customFormat="1" ht="35.1" customHeight="1" x14ac:dyDescent="0.25">
      <c r="A125" s="255" t="s">
        <v>1105</v>
      </c>
      <c r="B125" s="254" t="s">
        <v>153</v>
      </c>
      <c r="C125" s="255" t="s">
        <v>13</v>
      </c>
      <c r="D125" s="295">
        <v>1159.8800000000001</v>
      </c>
      <c r="E125" s="243">
        <v>124643</v>
      </c>
      <c r="F125" s="243">
        <f t="shared" si="1"/>
        <v>144570922.84</v>
      </c>
    </row>
    <row r="126" spans="1:6" s="9" customFormat="1" ht="35.1" customHeight="1" x14ac:dyDescent="0.25">
      <c r="A126" s="255" t="s">
        <v>1106</v>
      </c>
      <c r="B126" s="254" t="s">
        <v>164</v>
      </c>
      <c r="C126" s="255" t="s">
        <v>13</v>
      </c>
      <c r="D126" s="295">
        <v>53.48</v>
      </c>
      <c r="E126" s="243">
        <v>72415</v>
      </c>
      <c r="F126" s="243">
        <f t="shared" si="1"/>
        <v>3872754.2</v>
      </c>
    </row>
    <row r="127" spans="1:6" s="9" customFormat="1" ht="35.1" customHeight="1" x14ac:dyDescent="0.25">
      <c r="A127" s="255" t="s">
        <v>1107</v>
      </c>
      <c r="B127" s="254" t="s">
        <v>159</v>
      </c>
      <c r="C127" s="255" t="s">
        <v>13</v>
      </c>
      <c r="D127" s="295">
        <v>9</v>
      </c>
      <c r="E127" s="243">
        <v>98762</v>
      </c>
      <c r="F127" s="243">
        <f t="shared" si="1"/>
        <v>888858</v>
      </c>
    </row>
    <row r="128" spans="1:6" s="9" customFormat="1" ht="35.1" customHeight="1" x14ac:dyDescent="0.25">
      <c r="A128" s="244" t="s">
        <v>1108</v>
      </c>
      <c r="B128" s="245" t="s">
        <v>1109</v>
      </c>
      <c r="C128" s="260"/>
      <c r="D128" s="313"/>
      <c r="E128" s="303"/>
      <c r="F128" s="246"/>
    </row>
    <row r="129" spans="1:6" s="9" customFormat="1" ht="35.1" customHeight="1" x14ac:dyDescent="0.25">
      <c r="A129" s="255" t="s">
        <v>1110</v>
      </c>
      <c r="B129" s="254" t="s">
        <v>153</v>
      </c>
      <c r="C129" s="255" t="s">
        <v>13</v>
      </c>
      <c r="D129" s="295">
        <v>949.13</v>
      </c>
      <c r="E129" s="243">
        <v>124643</v>
      </c>
      <c r="F129" s="243">
        <f t="shared" si="1"/>
        <v>118302410.59</v>
      </c>
    </row>
    <row r="130" spans="1:6" s="9" customFormat="1" ht="35.1" customHeight="1" x14ac:dyDescent="0.25">
      <c r="A130" s="255" t="s">
        <v>1111</v>
      </c>
      <c r="B130" s="254" t="s">
        <v>159</v>
      </c>
      <c r="C130" s="255" t="s">
        <v>13</v>
      </c>
      <c r="D130" s="295">
        <v>56.54</v>
      </c>
      <c r="E130" s="243">
        <v>98762</v>
      </c>
      <c r="F130" s="243">
        <f t="shared" si="1"/>
        <v>5584003.4800000004</v>
      </c>
    </row>
    <row r="131" spans="1:6" s="9" customFormat="1" ht="35.1" customHeight="1" x14ac:dyDescent="0.25">
      <c r="A131" s="247">
        <v>7</v>
      </c>
      <c r="B131" s="248" t="s">
        <v>175</v>
      </c>
      <c r="C131" s="248"/>
      <c r="D131" s="314"/>
      <c r="E131" s="308"/>
      <c r="F131" s="274"/>
    </row>
    <row r="132" spans="1:6" s="9" customFormat="1" ht="35.1" customHeight="1" x14ac:dyDescent="0.25">
      <c r="A132" s="244" t="s">
        <v>176</v>
      </c>
      <c r="B132" s="256" t="s">
        <v>177</v>
      </c>
      <c r="C132" s="256"/>
      <c r="D132" s="313"/>
      <c r="E132" s="303"/>
      <c r="F132" s="246"/>
    </row>
    <row r="133" spans="1:6" s="9" customFormat="1" ht="35.1" customHeight="1" x14ac:dyDescent="0.25">
      <c r="A133" s="255" t="s">
        <v>178</v>
      </c>
      <c r="B133" s="254" t="s">
        <v>1112</v>
      </c>
      <c r="C133" s="240" t="s">
        <v>13</v>
      </c>
      <c r="D133" s="295">
        <v>4.8600000000000003</v>
      </c>
      <c r="E133" s="243">
        <v>274296</v>
      </c>
      <c r="F133" s="243">
        <f>ROUND(+E133*D133,2)</f>
        <v>1333078.56</v>
      </c>
    </row>
    <row r="134" spans="1:6" s="9" customFormat="1" ht="35.1" customHeight="1" x14ac:dyDescent="0.25">
      <c r="A134" s="244" t="s">
        <v>180</v>
      </c>
      <c r="B134" s="245" t="s">
        <v>181</v>
      </c>
      <c r="C134" s="244"/>
      <c r="D134" s="313"/>
      <c r="E134" s="303"/>
      <c r="F134" s="246"/>
    </row>
    <row r="135" spans="1:6" s="9" customFormat="1" ht="35.1" customHeight="1" x14ac:dyDescent="0.25">
      <c r="A135" s="255" t="s">
        <v>182</v>
      </c>
      <c r="B135" s="254" t="s">
        <v>183</v>
      </c>
      <c r="C135" s="240" t="s">
        <v>13</v>
      </c>
      <c r="D135" s="295">
        <v>0.55000000000000004</v>
      </c>
      <c r="E135" s="243">
        <v>274296</v>
      </c>
      <c r="F135" s="243">
        <f>ROUND(+E135*D135,2)</f>
        <v>150862.79999999999</v>
      </c>
    </row>
    <row r="136" spans="1:6" s="9" customFormat="1" ht="35.1" customHeight="1" x14ac:dyDescent="0.25">
      <c r="A136" s="255" t="s">
        <v>184</v>
      </c>
      <c r="B136" s="254" t="s">
        <v>1113</v>
      </c>
      <c r="C136" s="240" t="s">
        <v>13</v>
      </c>
      <c r="D136" s="295">
        <v>0.36</v>
      </c>
      <c r="E136" s="243">
        <v>274296</v>
      </c>
      <c r="F136" s="243">
        <f>ROUND(+E136*D136,2)</f>
        <v>98746.559999999998</v>
      </c>
    </row>
    <row r="137" spans="1:6" s="9" customFormat="1" ht="35.1" customHeight="1" x14ac:dyDescent="0.25">
      <c r="A137" s="244" t="s">
        <v>186</v>
      </c>
      <c r="B137" s="245" t="s">
        <v>187</v>
      </c>
      <c r="C137" s="244"/>
      <c r="D137" s="313"/>
      <c r="E137" s="303"/>
      <c r="F137" s="246"/>
    </row>
    <row r="138" spans="1:6" s="9" customFormat="1" ht="35.1" customHeight="1" x14ac:dyDescent="0.25">
      <c r="A138" s="255" t="s">
        <v>188</v>
      </c>
      <c r="B138" s="254" t="s">
        <v>189</v>
      </c>
      <c r="C138" s="240" t="s">
        <v>13</v>
      </c>
      <c r="D138" s="295">
        <v>0.05</v>
      </c>
      <c r="E138" s="243">
        <v>274296</v>
      </c>
      <c r="F138" s="243">
        <f>ROUND(+E138*D138,2)</f>
        <v>13714.8</v>
      </c>
    </row>
    <row r="139" spans="1:6" s="9" customFormat="1" ht="35.1" customHeight="1" x14ac:dyDescent="0.25">
      <c r="A139" s="255" t="s">
        <v>190</v>
      </c>
      <c r="B139" s="254" t="s">
        <v>191</v>
      </c>
      <c r="C139" s="240" t="s">
        <v>13</v>
      </c>
      <c r="D139" s="295">
        <v>0.32</v>
      </c>
      <c r="E139" s="243">
        <v>274296</v>
      </c>
      <c r="F139" s="243">
        <f>ROUND(+E139*D139,2)</f>
        <v>87774.720000000001</v>
      </c>
    </row>
    <row r="140" spans="1:6" s="9" customFormat="1" ht="35.1" customHeight="1" x14ac:dyDescent="0.25">
      <c r="A140" s="255" t="s">
        <v>192</v>
      </c>
      <c r="B140" s="254" t="s">
        <v>183</v>
      </c>
      <c r="C140" s="240" t="s">
        <v>13</v>
      </c>
      <c r="D140" s="295">
        <v>0.48</v>
      </c>
      <c r="E140" s="243">
        <v>274296</v>
      </c>
      <c r="F140" s="243">
        <f>ROUND(+E140*D140,2)</f>
        <v>131662.07999999999</v>
      </c>
    </row>
    <row r="141" spans="1:6" s="9" customFormat="1" ht="35.1" customHeight="1" x14ac:dyDescent="0.25">
      <c r="A141" s="255" t="s">
        <v>193</v>
      </c>
      <c r="B141" s="254" t="s">
        <v>1114</v>
      </c>
      <c r="C141" s="240" t="s">
        <v>13</v>
      </c>
      <c r="D141" s="295">
        <v>0.12</v>
      </c>
      <c r="E141" s="243">
        <v>274296</v>
      </c>
      <c r="F141" s="243">
        <f>ROUND(+E141*D141,2)</f>
        <v>32915.519999999997</v>
      </c>
    </row>
    <row r="142" spans="1:6" s="9" customFormat="1" ht="35.1" customHeight="1" x14ac:dyDescent="0.25">
      <c r="A142" s="255" t="s">
        <v>194</v>
      </c>
      <c r="B142" s="254" t="s">
        <v>195</v>
      </c>
      <c r="C142" s="240" t="s">
        <v>13</v>
      </c>
      <c r="D142" s="295">
        <v>0.36</v>
      </c>
      <c r="E142" s="243">
        <v>274296</v>
      </c>
      <c r="F142" s="243">
        <f>ROUND(+E142*D142,2)</f>
        <v>98746.559999999998</v>
      </c>
    </row>
    <row r="143" spans="1:6" s="9" customFormat="1" ht="35.1" customHeight="1" x14ac:dyDescent="0.25">
      <c r="A143" s="244" t="s">
        <v>1115</v>
      </c>
      <c r="B143" s="245" t="s">
        <v>1116</v>
      </c>
      <c r="C143" s="244"/>
      <c r="D143" s="313"/>
      <c r="E143" s="303"/>
      <c r="F143" s="246"/>
    </row>
    <row r="144" spans="1:6" s="9" customFormat="1" ht="35.1" customHeight="1" x14ac:dyDescent="0.25">
      <c r="A144" s="255" t="s">
        <v>1117</v>
      </c>
      <c r="B144" s="254" t="s">
        <v>189</v>
      </c>
      <c r="C144" s="240" t="s">
        <v>13</v>
      </c>
      <c r="D144" s="295">
        <v>0.54</v>
      </c>
      <c r="E144" s="243">
        <v>274997</v>
      </c>
      <c r="F144" s="243">
        <f>ROUND(+E144*D144,2)</f>
        <v>148498.38</v>
      </c>
    </row>
    <row r="145" spans="1:6" s="9" customFormat="1" ht="35.1" customHeight="1" x14ac:dyDescent="0.25">
      <c r="A145" s="255" t="s">
        <v>1118</v>
      </c>
      <c r="B145" s="254" t="s">
        <v>191</v>
      </c>
      <c r="C145" s="240" t="s">
        <v>13</v>
      </c>
      <c r="D145" s="295">
        <v>2.38</v>
      </c>
      <c r="E145" s="243">
        <v>274997</v>
      </c>
      <c r="F145" s="243">
        <f>ROUND(+E145*D145,2)</f>
        <v>654492.86</v>
      </c>
    </row>
    <row r="146" spans="1:6" s="9" customFormat="1" ht="35.1" customHeight="1" x14ac:dyDescent="0.25">
      <c r="A146" s="255" t="s">
        <v>1119</v>
      </c>
      <c r="B146" s="254" t="s">
        <v>183</v>
      </c>
      <c r="C146" s="240" t="s">
        <v>13</v>
      </c>
      <c r="D146" s="295">
        <v>3.45</v>
      </c>
      <c r="E146" s="243">
        <v>274997</v>
      </c>
      <c r="F146" s="243">
        <f>ROUND(+E146*D146,2)</f>
        <v>948739.65</v>
      </c>
    </row>
    <row r="147" spans="1:6" s="9" customFormat="1" ht="35.1" customHeight="1" x14ac:dyDescent="0.25">
      <c r="A147" s="255" t="s">
        <v>1120</v>
      </c>
      <c r="B147" s="254" t="s">
        <v>195</v>
      </c>
      <c r="C147" s="240" t="s">
        <v>13</v>
      </c>
      <c r="D147" s="295">
        <v>1.8</v>
      </c>
      <c r="E147" s="243">
        <v>274997</v>
      </c>
      <c r="F147" s="243">
        <f>ROUND(+E147*D147,2)</f>
        <v>494994.6</v>
      </c>
    </row>
    <row r="148" spans="1:6" s="9" customFormat="1" ht="35.1" customHeight="1" x14ac:dyDescent="0.25">
      <c r="A148" s="244" t="s">
        <v>1121</v>
      </c>
      <c r="B148" s="245" t="s">
        <v>1122</v>
      </c>
      <c r="C148" s="244"/>
      <c r="D148" s="313"/>
      <c r="E148" s="303"/>
      <c r="F148" s="246"/>
    </row>
    <row r="149" spans="1:6" s="9" customFormat="1" ht="35.1" customHeight="1" x14ac:dyDescent="0.25">
      <c r="A149" s="255" t="s">
        <v>1123</v>
      </c>
      <c r="B149" s="254" t="s">
        <v>183</v>
      </c>
      <c r="C149" s="240" t="s">
        <v>13</v>
      </c>
      <c r="D149" s="295">
        <v>3.45</v>
      </c>
      <c r="E149" s="243">
        <v>274997</v>
      </c>
      <c r="F149" s="243">
        <f>ROUND(+E149*D149,2)</f>
        <v>948739.65</v>
      </c>
    </row>
    <row r="150" spans="1:6" s="9" customFormat="1" ht="35.1" customHeight="1" x14ac:dyDescent="0.25">
      <c r="A150" s="247">
        <v>8</v>
      </c>
      <c r="B150" s="248" t="s">
        <v>196</v>
      </c>
      <c r="C150" s="248"/>
      <c r="D150" s="314"/>
      <c r="E150" s="305"/>
      <c r="F150" s="249"/>
    </row>
    <row r="151" spans="1:6" s="9" customFormat="1" ht="35.1" customHeight="1" x14ac:dyDescent="0.25">
      <c r="A151" s="244" t="s">
        <v>197</v>
      </c>
      <c r="B151" s="245" t="s">
        <v>198</v>
      </c>
      <c r="C151" s="244"/>
      <c r="D151" s="313"/>
      <c r="E151" s="303"/>
      <c r="F151" s="246"/>
    </row>
    <row r="152" spans="1:6" s="9" customFormat="1" ht="35.1" customHeight="1" x14ac:dyDescent="0.25">
      <c r="A152" s="255" t="s">
        <v>199</v>
      </c>
      <c r="B152" s="254" t="s">
        <v>200</v>
      </c>
      <c r="C152" s="240" t="s">
        <v>13</v>
      </c>
      <c r="D152" s="295">
        <v>61.199999999999996</v>
      </c>
      <c r="E152" s="243">
        <v>319840</v>
      </c>
      <c r="F152" s="243">
        <f>ROUND(+E152*D152,2)</f>
        <v>19574208</v>
      </c>
    </row>
    <row r="153" spans="1:6" s="9" customFormat="1" ht="35.1" customHeight="1" x14ac:dyDescent="0.25">
      <c r="A153" s="255" t="s">
        <v>201</v>
      </c>
      <c r="B153" s="254" t="s">
        <v>202</v>
      </c>
      <c r="C153" s="240" t="s">
        <v>13</v>
      </c>
      <c r="D153" s="295">
        <v>222.85</v>
      </c>
      <c r="E153" s="243">
        <v>362451</v>
      </c>
      <c r="F153" s="243">
        <f>ROUND(+E153*D153,2)</f>
        <v>80772205.349999994</v>
      </c>
    </row>
    <row r="154" spans="1:6" s="9" customFormat="1" ht="35.1" customHeight="1" x14ac:dyDescent="0.25">
      <c r="A154" s="255" t="s">
        <v>203</v>
      </c>
      <c r="B154" s="254" t="s">
        <v>204</v>
      </c>
      <c r="C154" s="240" t="s">
        <v>13</v>
      </c>
      <c r="D154" s="295">
        <v>34.020000000000003</v>
      </c>
      <c r="E154" s="243">
        <v>379207</v>
      </c>
      <c r="F154" s="243">
        <f>ROUND(+E154*D154,2)</f>
        <v>12900622.140000001</v>
      </c>
    </row>
    <row r="155" spans="1:6" s="9" customFormat="1" ht="35.1" customHeight="1" x14ac:dyDescent="0.25">
      <c r="A155" s="255" t="s">
        <v>205</v>
      </c>
      <c r="B155" s="254" t="s">
        <v>206</v>
      </c>
      <c r="C155" s="240" t="s">
        <v>13</v>
      </c>
      <c r="D155" s="295">
        <v>26.13</v>
      </c>
      <c r="E155" s="243">
        <v>379207</v>
      </c>
      <c r="F155" s="243">
        <f>ROUND(+E155*D155,2)</f>
        <v>9908678.9100000001</v>
      </c>
    </row>
    <row r="156" spans="1:6" s="9" customFormat="1" ht="35.1" customHeight="1" x14ac:dyDescent="0.25">
      <c r="A156" s="244" t="s">
        <v>207</v>
      </c>
      <c r="B156" s="245" t="s">
        <v>208</v>
      </c>
      <c r="C156" s="244"/>
      <c r="D156" s="313"/>
      <c r="E156" s="303"/>
      <c r="F156" s="246"/>
    </row>
    <row r="157" spans="1:6" s="9" customFormat="1" ht="35.1" customHeight="1" x14ac:dyDescent="0.25">
      <c r="A157" s="255" t="s">
        <v>209</v>
      </c>
      <c r="B157" s="254" t="s">
        <v>210</v>
      </c>
      <c r="C157" s="240" t="s">
        <v>13</v>
      </c>
      <c r="D157" s="295">
        <v>243.77999999999997</v>
      </c>
      <c r="E157" s="243">
        <v>253611</v>
      </c>
      <c r="F157" s="243">
        <f t="shared" ref="F157:F163" si="2">ROUND(+E157*D157,2)</f>
        <v>61825289.579999998</v>
      </c>
    </row>
    <row r="158" spans="1:6" s="9" customFormat="1" ht="35.1" customHeight="1" x14ac:dyDescent="0.25">
      <c r="A158" s="255" t="s">
        <v>211</v>
      </c>
      <c r="B158" s="254" t="s">
        <v>200</v>
      </c>
      <c r="C158" s="240" t="s">
        <v>13</v>
      </c>
      <c r="D158" s="295">
        <v>26.96</v>
      </c>
      <c r="E158" s="243">
        <v>319840</v>
      </c>
      <c r="F158" s="243">
        <f t="shared" si="2"/>
        <v>8622886.4000000004</v>
      </c>
    </row>
    <row r="159" spans="1:6" s="9" customFormat="1" ht="35.1" customHeight="1" x14ac:dyDescent="0.25">
      <c r="A159" s="255" t="s">
        <v>212</v>
      </c>
      <c r="B159" s="254" t="s">
        <v>202</v>
      </c>
      <c r="C159" s="240" t="s">
        <v>13</v>
      </c>
      <c r="D159" s="295">
        <v>60.01</v>
      </c>
      <c r="E159" s="243">
        <v>362451</v>
      </c>
      <c r="F159" s="243">
        <f t="shared" si="2"/>
        <v>21750684.510000002</v>
      </c>
    </row>
    <row r="160" spans="1:6" s="9" customFormat="1" ht="35.1" customHeight="1" x14ac:dyDescent="0.25">
      <c r="A160" s="255" t="s">
        <v>213</v>
      </c>
      <c r="B160" s="254" t="s">
        <v>214</v>
      </c>
      <c r="C160" s="240" t="s">
        <v>13</v>
      </c>
      <c r="D160" s="295">
        <v>142.59</v>
      </c>
      <c r="E160" s="243">
        <v>362451</v>
      </c>
      <c r="F160" s="243">
        <f t="shared" si="2"/>
        <v>51681888.090000004</v>
      </c>
    </row>
    <row r="161" spans="1:6" s="9" customFormat="1" ht="35.1" customHeight="1" x14ac:dyDescent="0.25">
      <c r="A161" s="255" t="s">
        <v>215</v>
      </c>
      <c r="B161" s="254" t="s">
        <v>216</v>
      </c>
      <c r="C161" s="240" t="s">
        <v>13</v>
      </c>
      <c r="D161" s="295">
        <v>86.97999999999999</v>
      </c>
      <c r="E161" s="243">
        <v>376284</v>
      </c>
      <c r="F161" s="243">
        <f t="shared" si="2"/>
        <v>32729182.32</v>
      </c>
    </row>
    <row r="162" spans="1:6" s="9" customFormat="1" ht="35.1" customHeight="1" x14ac:dyDescent="0.25">
      <c r="A162" s="255" t="s">
        <v>217</v>
      </c>
      <c r="B162" s="254" t="s">
        <v>218</v>
      </c>
      <c r="C162" s="240" t="s">
        <v>13</v>
      </c>
      <c r="D162" s="295">
        <v>23.52</v>
      </c>
      <c r="E162" s="243">
        <v>379207</v>
      </c>
      <c r="F162" s="243">
        <f t="shared" si="2"/>
        <v>8918948.6400000006</v>
      </c>
    </row>
    <row r="163" spans="1:6" s="9" customFormat="1" ht="35.1" customHeight="1" x14ac:dyDescent="0.25">
      <c r="A163" s="255" t="s">
        <v>219</v>
      </c>
      <c r="B163" s="241" t="s">
        <v>220</v>
      </c>
      <c r="C163" s="240" t="s">
        <v>13</v>
      </c>
      <c r="D163" s="295">
        <v>26.38</v>
      </c>
      <c r="E163" s="243">
        <v>422487</v>
      </c>
      <c r="F163" s="243">
        <f t="shared" si="2"/>
        <v>11145207.060000001</v>
      </c>
    </row>
    <row r="164" spans="1:6" s="9" customFormat="1" ht="35.1" customHeight="1" x14ac:dyDescent="0.25">
      <c r="A164" s="244" t="s">
        <v>1124</v>
      </c>
      <c r="B164" s="245" t="s">
        <v>1125</v>
      </c>
      <c r="C164" s="244"/>
      <c r="D164" s="313"/>
      <c r="E164" s="303"/>
      <c r="F164" s="246"/>
    </row>
    <row r="165" spans="1:6" s="9" customFormat="1" ht="35.1" customHeight="1" x14ac:dyDescent="0.25">
      <c r="A165" s="255" t="s">
        <v>1126</v>
      </c>
      <c r="B165" s="254" t="s">
        <v>210</v>
      </c>
      <c r="C165" s="240" t="s">
        <v>13</v>
      </c>
      <c r="D165" s="295">
        <v>181.07</v>
      </c>
      <c r="E165" s="243">
        <v>255936</v>
      </c>
      <c r="F165" s="243">
        <f t="shared" ref="F165:F170" si="3">ROUND(+E165*D165,2)</f>
        <v>46342331.520000003</v>
      </c>
    </row>
    <row r="166" spans="1:6" s="9" customFormat="1" ht="35.1" customHeight="1" x14ac:dyDescent="0.25">
      <c r="A166" s="255" t="s">
        <v>1127</v>
      </c>
      <c r="B166" s="254" t="s">
        <v>1128</v>
      </c>
      <c r="C166" s="240" t="s">
        <v>13</v>
      </c>
      <c r="D166" s="295">
        <v>34.630000000000003</v>
      </c>
      <c r="E166" s="243">
        <v>319840</v>
      </c>
      <c r="F166" s="243">
        <f t="shared" si="3"/>
        <v>11076059.199999999</v>
      </c>
    </row>
    <row r="167" spans="1:6" s="9" customFormat="1" ht="35.1" customHeight="1" x14ac:dyDescent="0.25">
      <c r="A167" s="255" t="s">
        <v>1129</v>
      </c>
      <c r="B167" s="254" t="s">
        <v>202</v>
      </c>
      <c r="C167" s="240" t="s">
        <v>13</v>
      </c>
      <c r="D167" s="295">
        <v>87.57</v>
      </c>
      <c r="E167" s="243">
        <v>362451</v>
      </c>
      <c r="F167" s="243">
        <f t="shared" si="3"/>
        <v>31739834.07</v>
      </c>
    </row>
    <row r="168" spans="1:6" s="9" customFormat="1" ht="35.1" customHeight="1" x14ac:dyDescent="0.25">
      <c r="A168" s="255" t="s">
        <v>1130</v>
      </c>
      <c r="B168" s="254" t="s">
        <v>214</v>
      </c>
      <c r="C168" s="240" t="s">
        <v>13</v>
      </c>
      <c r="D168" s="295">
        <v>157.53</v>
      </c>
      <c r="E168" s="243">
        <v>362451</v>
      </c>
      <c r="F168" s="243">
        <f t="shared" si="3"/>
        <v>57096906.030000001</v>
      </c>
    </row>
    <row r="169" spans="1:6" s="9" customFormat="1" ht="35.1" customHeight="1" x14ac:dyDescent="0.25">
      <c r="A169" s="255" t="s">
        <v>1131</v>
      </c>
      <c r="B169" s="254" t="s">
        <v>204</v>
      </c>
      <c r="C169" s="240" t="s">
        <v>13</v>
      </c>
      <c r="D169" s="295">
        <v>148.13999999999999</v>
      </c>
      <c r="E169" s="243">
        <v>379207</v>
      </c>
      <c r="F169" s="243">
        <f t="shared" si="3"/>
        <v>56175724.979999997</v>
      </c>
    </row>
    <row r="170" spans="1:6" s="9" customFormat="1" ht="35.1" customHeight="1" x14ac:dyDescent="0.25">
      <c r="A170" s="255" t="s">
        <v>1132</v>
      </c>
      <c r="B170" s="241" t="s">
        <v>1133</v>
      </c>
      <c r="C170" s="240" t="s">
        <v>13</v>
      </c>
      <c r="D170" s="295">
        <v>31.33</v>
      </c>
      <c r="E170" s="243">
        <v>422487</v>
      </c>
      <c r="F170" s="243">
        <f t="shared" si="3"/>
        <v>13236517.710000001</v>
      </c>
    </row>
    <row r="171" spans="1:6" s="9" customFormat="1" ht="35.1" customHeight="1" x14ac:dyDescent="0.25">
      <c r="A171" s="244" t="s">
        <v>1134</v>
      </c>
      <c r="B171" s="245" t="s">
        <v>1135</v>
      </c>
      <c r="C171" s="244"/>
      <c r="D171" s="313"/>
      <c r="E171" s="303"/>
      <c r="F171" s="246"/>
    </row>
    <row r="172" spans="1:6" s="9" customFormat="1" ht="35.1" customHeight="1" x14ac:dyDescent="0.25">
      <c r="A172" s="255" t="s">
        <v>1136</v>
      </c>
      <c r="B172" s="254" t="s">
        <v>210</v>
      </c>
      <c r="C172" s="240" t="s">
        <v>13</v>
      </c>
      <c r="D172" s="295">
        <v>41.36</v>
      </c>
      <c r="E172" s="243">
        <v>255936</v>
      </c>
      <c r="F172" s="243">
        <f t="shared" ref="F172:F177" si="4">ROUND(+E172*D172,2)</f>
        <v>10585512.960000001</v>
      </c>
    </row>
    <row r="173" spans="1:6" s="9" customFormat="1" ht="35.1" customHeight="1" x14ac:dyDescent="0.25">
      <c r="A173" s="255" t="s">
        <v>1137</v>
      </c>
      <c r="B173" s="254" t="s">
        <v>1128</v>
      </c>
      <c r="C173" s="240" t="s">
        <v>13</v>
      </c>
      <c r="D173" s="295">
        <v>124.89</v>
      </c>
      <c r="E173" s="243">
        <v>319840</v>
      </c>
      <c r="F173" s="243">
        <f t="shared" si="4"/>
        <v>39944817.600000001</v>
      </c>
    </row>
    <row r="174" spans="1:6" s="9" customFormat="1" ht="35.1" customHeight="1" x14ac:dyDescent="0.25">
      <c r="A174" s="255" t="s">
        <v>1138</v>
      </c>
      <c r="B174" s="254" t="s">
        <v>202</v>
      </c>
      <c r="C174" s="240" t="s">
        <v>13</v>
      </c>
      <c r="D174" s="295">
        <v>82.95</v>
      </c>
      <c r="E174" s="243">
        <v>362451</v>
      </c>
      <c r="F174" s="243">
        <f t="shared" si="4"/>
        <v>30065310.449999999</v>
      </c>
    </row>
    <row r="175" spans="1:6" s="9" customFormat="1" ht="35.1" customHeight="1" x14ac:dyDescent="0.25">
      <c r="A175" s="240" t="s">
        <v>1139</v>
      </c>
      <c r="B175" s="241" t="s">
        <v>214</v>
      </c>
      <c r="C175" s="240" t="s">
        <v>13</v>
      </c>
      <c r="D175" s="295">
        <v>157.53</v>
      </c>
      <c r="E175" s="243">
        <v>362451</v>
      </c>
      <c r="F175" s="243">
        <f t="shared" si="4"/>
        <v>57096906.030000001</v>
      </c>
    </row>
    <row r="176" spans="1:6" s="9" customFormat="1" ht="35.1" customHeight="1" x14ac:dyDescent="0.25">
      <c r="A176" s="240" t="s">
        <v>1140</v>
      </c>
      <c r="B176" s="241" t="s">
        <v>216</v>
      </c>
      <c r="C176" s="240" t="s">
        <v>13</v>
      </c>
      <c r="D176" s="295">
        <v>84.61</v>
      </c>
      <c r="E176" s="243">
        <v>376284</v>
      </c>
      <c r="F176" s="243">
        <f t="shared" si="4"/>
        <v>31837389.239999998</v>
      </c>
    </row>
    <row r="177" spans="1:6" s="9" customFormat="1" ht="35.1" customHeight="1" x14ac:dyDescent="0.25">
      <c r="A177" s="240" t="s">
        <v>1141</v>
      </c>
      <c r="B177" s="241" t="s">
        <v>220</v>
      </c>
      <c r="C177" s="240" t="s">
        <v>13</v>
      </c>
      <c r="D177" s="295">
        <v>31.96</v>
      </c>
      <c r="E177" s="243">
        <v>422487</v>
      </c>
      <c r="F177" s="243">
        <f t="shared" si="4"/>
        <v>13502684.52</v>
      </c>
    </row>
    <row r="178" spans="1:6" s="9" customFormat="1" ht="35.1" customHeight="1" x14ac:dyDescent="0.25">
      <c r="A178" s="247">
        <v>9</v>
      </c>
      <c r="B178" s="248" t="s">
        <v>221</v>
      </c>
      <c r="C178" s="248"/>
      <c r="D178" s="314"/>
      <c r="E178" s="305"/>
      <c r="F178" s="249"/>
    </row>
    <row r="179" spans="1:6" s="9" customFormat="1" ht="35.1" customHeight="1" x14ac:dyDescent="0.25">
      <c r="A179" s="244" t="s">
        <v>222</v>
      </c>
      <c r="B179" s="245" t="s">
        <v>223</v>
      </c>
      <c r="C179" s="244"/>
      <c r="D179" s="313"/>
      <c r="E179" s="303"/>
      <c r="F179" s="246"/>
    </row>
    <row r="180" spans="1:6" s="9" customFormat="1" ht="35.1" customHeight="1" x14ac:dyDescent="0.25">
      <c r="A180" s="255" t="s">
        <v>224</v>
      </c>
      <c r="B180" s="254" t="s">
        <v>225</v>
      </c>
      <c r="C180" s="240" t="s">
        <v>13</v>
      </c>
      <c r="D180" s="295">
        <v>4.4000000000000004</v>
      </c>
      <c r="E180" s="243">
        <v>1417231</v>
      </c>
      <c r="F180" s="243">
        <f>ROUND(+E180*D180,2)</f>
        <v>6235816.4000000004</v>
      </c>
    </row>
    <row r="181" spans="1:6" s="9" customFormat="1" ht="35.1" customHeight="1" x14ac:dyDescent="0.25">
      <c r="A181" s="255" t="s">
        <v>226</v>
      </c>
      <c r="B181" s="254" t="s">
        <v>227</v>
      </c>
      <c r="C181" s="240" t="s">
        <v>13</v>
      </c>
      <c r="D181" s="295">
        <v>15.12</v>
      </c>
      <c r="E181" s="243">
        <v>134902</v>
      </c>
      <c r="F181" s="243">
        <f>ROUND(+E181*D181,2)</f>
        <v>2039718.24</v>
      </c>
    </row>
    <row r="182" spans="1:6" s="9" customFormat="1" ht="35.1" customHeight="1" x14ac:dyDescent="0.25">
      <c r="A182" s="255" t="s">
        <v>228</v>
      </c>
      <c r="B182" s="254" t="s">
        <v>229</v>
      </c>
      <c r="C182" s="240" t="s">
        <v>13</v>
      </c>
      <c r="D182" s="295">
        <v>33.6</v>
      </c>
      <c r="E182" s="243">
        <v>158642</v>
      </c>
      <c r="F182" s="243">
        <f>ROUND(+E182*D182,2)</f>
        <v>5330371.2</v>
      </c>
    </row>
    <row r="183" spans="1:6" s="9" customFormat="1" ht="35.1" customHeight="1" x14ac:dyDescent="0.25">
      <c r="A183" s="255" t="s">
        <v>230</v>
      </c>
      <c r="B183" s="254" t="s">
        <v>1142</v>
      </c>
      <c r="C183" s="240" t="s">
        <v>13</v>
      </c>
      <c r="D183" s="295">
        <v>15.84</v>
      </c>
      <c r="E183" s="243">
        <v>258643</v>
      </c>
      <c r="F183" s="243">
        <f>ROUND(+E183*D183,2)</f>
        <v>4096905.12</v>
      </c>
    </row>
    <row r="184" spans="1:6" s="9" customFormat="1" ht="35.1" customHeight="1" x14ac:dyDescent="0.25">
      <c r="A184" s="244" t="s">
        <v>232</v>
      </c>
      <c r="B184" s="245" t="s">
        <v>233</v>
      </c>
      <c r="C184" s="260"/>
      <c r="D184" s="313"/>
      <c r="E184" s="303"/>
      <c r="F184" s="246"/>
    </row>
    <row r="185" spans="1:6" s="9" customFormat="1" ht="35.1" customHeight="1" x14ac:dyDescent="0.25">
      <c r="A185" s="255" t="s">
        <v>234</v>
      </c>
      <c r="B185" s="254" t="s">
        <v>225</v>
      </c>
      <c r="C185" s="240" t="s">
        <v>13</v>
      </c>
      <c r="D185" s="295">
        <v>4.4000000000000004</v>
      </c>
      <c r="E185" s="243">
        <v>1417231</v>
      </c>
      <c r="F185" s="243">
        <f t="shared" ref="F185:F191" si="5">ROUND(+E185*D185,2)</f>
        <v>6235816.4000000004</v>
      </c>
    </row>
    <row r="186" spans="1:6" s="9" customFormat="1" ht="35.1" customHeight="1" x14ac:dyDescent="0.25">
      <c r="A186" s="255" t="s">
        <v>235</v>
      </c>
      <c r="B186" s="254" t="s">
        <v>227</v>
      </c>
      <c r="C186" s="240" t="s">
        <v>13</v>
      </c>
      <c r="D186" s="295">
        <v>12.96</v>
      </c>
      <c r="E186" s="243">
        <v>134902</v>
      </c>
      <c r="F186" s="243">
        <f t="shared" si="5"/>
        <v>1748329.92</v>
      </c>
    </row>
    <row r="187" spans="1:6" s="9" customFormat="1" ht="35.1" customHeight="1" x14ac:dyDescent="0.25">
      <c r="A187" s="255" t="s">
        <v>236</v>
      </c>
      <c r="B187" s="254" t="s">
        <v>237</v>
      </c>
      <c r="C187" s="240" t="s">
        <v>13</v>
      </c>
      <c r="D187" s="295">
        <v>2.4</v>
      </c>
      <c r="E187" s="243">
        <v>750208</v>
      </c>
      <c r="F187" s="243">
        <f t="shared" si="5"/>
        <v>1800499.2</v>
      </c>
    </row>
    <row r="188" spans="1:6" s="9" customFormat="1" ht="35.1" customHeight="1" x14ac:dyDescent="0.25">
      <c r="A188" s="255" t="s">
        <v>238</v>
      </c>
      <c r="B188" s="254" t="s">
        <v>239</v>
      </c>
      <c r="C188" s="240" t="s">
        <v>13</v>
      </c>
      <c r="D188" s="295">
        <v>12.96</v>
      </c>
      <c r="E188" s="243">
        <v>750208</v>
      </c>
      <c r="F188" s="243">
        <f t="shared" si="5"/>
        <v>9722695.6799999997</v>
      </c>
    </row>
    <row r="189" spans="1:6" s="9" customFormat="1" ht="35.1" customHeight="1" x14ac:dyDescent="0.25">
      <c r="A189" s="255" t="s">
        <v>240</v>
      </c>
      <c r="B189" s="254" t="s">
        <v>241</v>
      </c>
      <c r="C189" s="240" t="s">
        <v>13</v>
      </c>
      <c r="D189" s="295">
        <v>5.76</v>
      </c>
      <c r="E189" s="243">
        <v>750208</v>
      </c>
      <c r="F189" s="243">
        <f t="shared" si="5"/>
        <v>4321198.0800000001</v>
      </c>
    </row>
    <row r="190" spans="1:6" s="9" customFormat="1" ht="35.1" customHeight="1" x14ac:dyDescent="0.25">
      <c r="A190" s="255" t="s">
        <v>242</v>
      </c>
      <c r="B190" s="254" t="s">
        <v>229</v>
      </c>
      <c r="C190" s="240" t="s">
        <v>13</v>
      </c>
      <c r="D190" s="295">
        <v>4.8</v>
      </c>
      <c r="E190" s="243">
        <v>158642</v>
      </c>
      <c r="F190" s="243">
        <f t="shared" si="5"/>
        <v>761481.6</v>
      </c>
    </row>
    <row r="191" spans="1:6" s="9" customFormat="1" ht="35.1" customHeight="1" x14ac:dyDescent="0.25">
      <c r="A191" s="255" t="s">
        <v>243</v>
      </c>
      <c r="B191" s="254" t="s">
        <v>244</v>
      </c>
      <c r="C191" s="240" t="s">
        <v>13</v>
      </c>
      <c r="D191" s="295">
        <v>24.8</v>
      </c>
      <c r="E191" s="243">
        <v>594607</v>
      </c>
      <c r="F191" s="243">
        <f t="shared" si="5"/>
        <v>14746253.6</v>
      </c>
    </row>
    <row r="192" spans="1:6" s="9" customFormat="1" ht="35.1" customHeight="1" x14ac:dyDescent="0.25">
      <c r="A192" s="244" t="s">
        <v>245</v>
      </c>
      <c r="B192" s="245" t="s">
        <v>246</v>
      </c>
      <c r="C192" s="244"/>
      <c r="D192" s="313"/>
      <c r="E192" s="303"/>
      <c r="F192" s="246"/>
    </row>
    <row r="193" spans="1:6" s="9" customFormat="1" ht="35.1" customHeight="1" x14ac:dyDescent="0.25">
      <c r="A193" s="255" t="s">
        <v>247</v>
      </c>
      <c r="B193" s="254" t="s">
        <v>225</v>
      </c>
      <c r="C193" s="240" t="s">
        <v>13</v>
      </c>
      <c r="D193" s="295">
        <v>4.4000000000000004</v>
      </c>
      <c r="E193" s="243">
        <v>1417231</v>
      </c>
      <c r="F193" s="243">
        <f t="shared" ref="F193:F198" si="6">ROUND(+E193*D193,2)</f>
        <v>6235816.4000000004</v>
      </c>
    </row>
    <row r="194" spans="1:6" s="9" customFormat="1" ht="35.1" customHeight="1" x14ac:dyDescent="0.25">
      <c r="A194" s="255" t="s">
        <v>248</v>
      </c>
      <c r="B194" s="254" t="s">
        <v>227</v>
      </c>
      <c r="C194" s="240" t="s">
        <v>13</v>
      </c>
      <c r="D194" s="295">
        <v>4.32</v>
      </c>
      <c r="E194" s="243">
        <v>134902</v>
      </c>
      <c r="F194" s="243">
        <f t="shared" si="6"/>
        <v>582776.64</v>
      </c>
    </row>
    <row r="195" spans="1:6" s="9" customFormat="1" ht="35.1" customHeight="1" x14ac:dyDescent="0.25">
      <c r="A195" s="255" t="s">
        <v>249</v>
      </c>
      <c r="B195" s="254" t="s">
        <v>237</v>
      </c>
      <c r="C195" s="240" t="s">
        <v>13</v>
      </c>
      <c r="D195" s="295">
        <v>9.6</v>
      </c>
      <c r="E195" s="243">
        <v>750208</v>
      </c>
      <c r="F195" s="243">
        <f t="shared" si="6"/>
        <v>7201996.7999999998</v>
      </c>
    </row>
    <row r="196" spans="1:6" s="9" customFormat="1" ht="35.1" customHeight="1" x14ac:dyDescent="0.25">
      <c r="A196" s="255" t="s">
        <v>250</v>
      </c>
      <c r="B196" s="254" t="s">
        <v>239</v>
      </c>
      <c r="C196" s="240" t="s">
        <v>13</v>
      </c>
      <c r="D196" s="295">
        <v>4.32</v>
      </c>
      <c r="E196" s="243">
        <v>750208</v>
      </c>
      <c r="F196" s="243">
        <f t="shared" si="6"/>
        <v>3240898.5600000001</v>
      </c>
    </row>
    <row r="197" spans="1:6" s="9" customFormat="1" ht="35.1" customHeight="1" x14ac:dyDescent="0.25">
      <c r="A197" s="255" t="s">
        <v>251</v>
      </c>
      <c r="B197" s="254" t="s">
        <v>241</v>
      </c>
      <c r="C197" s="240" t="s">
        <v>13</v>
      </c>
      <c r="D197" s="295">
        <v>5.76</v>
      </c>
      <c r="E197" s="243">
        <v>750208</v>
      </c>
      <c r="F197" s="243">
        <f t="shared" si="6"/>
        <v>4321198.0800000001</v>
      </c>
    </row>
    <row r="198" spans="1:6" s="9" customFormat="1" ht="35.1" customHeight="1" x14ac:dyDescent="0.25">
      <c r="A198" s="255" t="s">
        <v>252</v>
      </c>
      <c r="B198" s="254" t="s">
        <v>244</v>
      </c>
      <c r="C198" s="240" t="s">
        <v>13</v>
      </c>
      <c r="D198" s="295">
        <v>28.51</v>
      </c>
      <c r="E198" s="243">
        <v>594607</v>
      </c>
      <c r="F198" s="243">
        <f t="shared" si="6"/>
        <v>16952245.57</v>
      </c>
    </row>
    <row r="199" spans="1:6" s="9" customFormat="1" ht="35.1" customHeight="1" x14ac:dyDescent="0.25">
      <c r="A199" s="244" t="s">
        <v>1143</v>
      </c>
      <c r="B199" s="245" t="s">
        <v>1144</v>
      </c>
      <c r="C199" s="244"/>
      <c r="D199" s="313"/>
      <c r="E199" s="303"/>
      <c r="F199" s="246"/>
    </row>
    <row r="200" spans="1:6" s="9" customFormat="1" ht="35.1" customHeight="1" x14ac:dyDescent="0.25">
      <c r="A200" s="255" t="s">
        <v>1145</v>
      </c>
      <c r="B200" s="254" t="s">
        <v>225</v>
      </c>
      <c r="C200" s="240" t="s">
        <v>13</v>
      </c>
      <c r="D200" s="295">
        <v>4.4000000000000004</v>
      </c>
      <c r="E200" s="243">
        <v>1417231</v>
      </c>
      <c r="F200" s="243">
        <f t="shared" ref="F200:F205" si="7">ROUND(+E200*D200,2)</f>
        <v>6235816.4000000004</v>
      </c>
    </row>
    <row r="201" spans="1:6" s="9" customFormat="1" ht="35.1" customHeight="1" x14ac:dyDescent="0.25">
      <c r="A201" s="255" t="s">
        <v>1146</v>
      </c>
      <c r="B201" s="254" t="s">
        <v>227</v>
      </c>
      <c r="C201" s="240" t="s">
        <v>13</v>
      </c>
      <c r="D201" s="295">
        <v>4.32</v>
      </c>
      <c r="E201" s="243">
        <v>134902</v>
      </c>
      <c r="F201" s="243">
        <f t="shared" si="7"/>
        <v>582776.64</v>
      </c>
    </row>
    <row r="202" spans="1:6" s="9" customFormat="1" ht="35.1" customHeight="1" x14ac:dyDescent="0.25">
      <c r="A202" s="255" t="s">
        <v>1147</v>
      </c>
      <c r="B202" s="254" t="s">
        <v>237</v>
      </c>
      <c r="C202" s="240" t="s">
        <v>13</v>
      </c>
      <c r="D202" s="295">
        <v>7.2</v>
      </c>
      <c r="E202" s="243">
        <v>750208</v>
      </c>
      <c r="F202" s="243">
        <f t="shared" si="7"/>
        <v>5401497.5999999996</v>
      </c>
    </row>
    <row r="203" spans="1:6" s="9" customFormat="1" ht="35.1" customHeight="1" x14ac:dyDescent="0.25">
      <c r="A203" s="255" t="s">
        <v>1148</v>
      </c>
      <c r="B203" s="254" t="s">
        <v>239</v>
      </c>
      <c r="C203" s="240" t="s">
        <v>13</v>
      </c>
      <c r="D203" s="295">
        <v>2.16</v>
      </c>
      <c r="E203" s="243">
        <v>750208</v>
      </c>
      <c r="F203" s="243">
        <f t="shared" si="7"/>
        <v>1620449.28</v>
      </c>
    </row>
    <row r="204" spans="1:6" s="9" customFormat="1" ht="35.1" customHeight="1" x14ac:dyDescent="0.25">
      <c r="A204" s="255" t="s">
        <v>1149</v>
      </c>
      <c r="B204" s="254" t="s">
        <v>241</v>
      </c>
      <c r="C204" s="240" t="s">
        <v>13</v>
      </c>
      <c r="D204" s="295">
        <v>5.76</v>
      </c>
      <c r="E204" s="243">
        <v>750208</v>
      </c>
      <c r="F204" s="243">
        <f t="shared" si="7"/>
        <v>4321198.0800000001</v>
      </c>
    </row>
    <row r="205" spans="1:6" s="9" customFormat="1" ht="35.1" customHeight="1" x14ac:dyDescent="0.25">
      <c r="A205" s="255" t="s">
        <v>1150</v>
      </c>
      <c r="B205" s="254" t="s">
        <v>244</v>
      </c>
      <c r="C205" s="240" t="s">
        <v>13</v>
      </c>
      <c r="D205" s="295">
        <v>24.12</v>
      </c>
      <c r="E205" s="243">
        <v>594607</v>
      </c>
      <c r="F205" s="243">
        <f t="shared" si="7"/>
        <v>14341920.84</v>
      </c>
    </row>
    <row r="206" spans="1:6" s="9" customFormat="1" ht="35.1" customHeight="1" x14ac:dyDescent="0.25">
      <c r="A206" s="244" t="s">
        <v>1151</v>
      </c>
      <c r="B206" s="245" t="s">
        <v>1152</v>
      </c>
      <c r="C206" s="244"/>
      <c r="D206" s="313"/>
      <c r="E206" s="303"/>
      <c r="F206" s="246"/>
    </row>
    <row r="207" spans="1:6" s="9" customFormat="1" ht="35.1" customHeight="1" x14ac:dyDescent="0.25">
      <c r="A207" s="255" t="s">
        <v>1153</v>
      </c>
      <c r="B207" s="254" t="s">
        <v>225</v>
      </c>
      <c r="C207" s="240" t="s">
        <v>13</v>
      </c>
      <c r="D207" s="295">
        <v>4.4000000000000004</v>
      </c>
      <c r="E207" s="243">
        <v>1417231</v>
      </c>
      <c r="F207" s="243">
        <f t="shared" ref="F207:F214" si="8">ROUND(+E207*D207,2)</f>
        <v>6235816.4000000004</v>
      </c>
    </row>
    <row r="208" spans="1:6" s="9" customFormat="1" ht="35.1" customHeight="1" x14ac:dyDescent="0.25">
      <c r="A208" s="255" t="s">
        <v>1154</v>
      </c>
      <c r="B208" s="254" t="s">
        <v>227</v>
      </c>
      <c r="C208" s="240" t="s">
        <v>13</v>
      </c>
      <c r="D208" s="295">
        <v>4.32</v>
      </c>
      <c r="E208" s="243">
        <v>134902</v>
      </c>
      <c r="F208" s="243">
        <f t="shared" si="8"/>
        <v>582776.64</v>
      </c>
    </row>
    <row r="209" spans="1:6" s="9" customFormat="1" ht="35.1" customHeight="1" x14ac:dyDescent="0.25">
      <c r="A209" s="255" t="s">
        <v>1155</v>
      </c>
      <c r="B209" s="254" t="s">
        <v>237</v>
      </c>
      <c r="C209" s="240" t="s">
        <v>13</v>
      </c>
      <c r="D209" s="295">
        <v>4.8</v>
      </c>
      <c r="E209" s="243">
        <v>750208</v>
      </c>
      <c r="F209" s="243">
        <f t="shared" si="8"/>
        <v>3600998.3999999999</v>
      </c>
    </row>
    <row r="210" spans="1:6" s="9" customFormat="1" ht="35.1" customHeight="1" x14ac:dyDescent="0.25">
      <c r="A210" s="255" t="s">
        <v>1156</v>
      </c>
      <c r="B210" s="254" t="s">
        <v>239</v>
      </c>
      <c r="C210" s="240" t="s">
        <v>13</v>
      </c>
      <c r="D210" s="295">
        <v>2.16</v>
      </c>
      <c r="E210" s="243">
        <v>750208</v>
      </c>
      <c r="F210" s="243">
        <f t="shared" si="8"/>
        <v>1620449.28</v>
      </c>
    </row>
    <row r="211" spans="1:6" s="9" customFormat="1" ht="35.1" customHeight="1" x14ac:dyDescent="0.25">
      <c r="A211" s="255" t="s">
        <v>1157</v>
      </c>
      <c r="B211" s="254" t="s">
        <v>241</v>
      </c>
      <c r="C211" s="240" t="s">
        <v>13</v>
      </c>
      <c r="D211" s="295">
        <v>3.84</v>
      </c>
      <c r="E211" s="243">
        <v>750208</v>
      </c>
      <c r="F211" s="243">
        <f t="shared" si="8"/>
        <v>2880798.7200000002</v>
      </c>
    </row>
    <row r="212" spans="1:6" s="9" customFormat="1" ht="35.1" customHeight="1" x14ac:dyDescent="0.25">
      <c r="A212" s="255" t="s">
        <v>1158</v>
      </c>
      <c r="B212" s="254" t="s">
        <v>1159</v>
      </c>
      <c r="C212" s="240" t="s">
        <v>13</v>
      </c>
      <c r="D212" s="295">
        <v>3.36</v>
      </c>
      <c r="E212" s="243">
        <v>750208</v>
      </c>
      <c r="F212" s="243">
        <f t="shared" si="8"/>
        <v>2520698.8799999999</v>
      </c>
    </row>
    <row r="213" spans="1:6" s="9" customFormat="1" ht="35.1" customHeight="1" x14ac:dyDescent="0.25">
      <c r="A213" s="255" t="s">
        <v>1160</v>
      </c>
      <c r="B213" s="254" t="s">
        <v>229</v>
      </c>
      <c r="C213" s="240" t="s">
        <v>13</v>
      </c>
      <c r="D213" s="295">
        <v>4.8</v>
      </c>
      <c r="E213" s="243">
        <v>750208</v>
      </c>
      <c r="F213" s="243">
        <f t="shared" si="8"/>
        <v>3600998.3999999999</v>
      </c>
    </row>
    <row r="214" spans="1:6" s="9" customFormat="1" ht="35.1" customHeight="1" x14ac:dyDescent="0.25">
      <c r="A214" s="255" t="s">
        <v>1161</v>
      </c>
      <c r="B214" s="254" t="s">
        <v>244</v>
      </c>
      <c r="C214" s="240" t="s">
        <v>13</v>
      </c>
      <c r="D214" s="295">
        <v>24.89</v>
      </c>
      <c r="E214" s="243">
        <v>594607</v>
      </c>
      <c r="F214" s="243">
        <f t="shared" si="8"/>
        <v>14799768.23</v>
      </c>
    </row>
    <row r="215" spans="1:6" s="9" customFormat="1" ht="35.1" customHeight="1" x14ac:dyDescent="0.25">
      <c r="A215" s="244" t="s">
        <v>1162</v>
      </c>
      <c r="B215" s="245" t="s">
        <v>1163</v>
      </c>
      <c r="C215" s="244"/>
      <c r="D215" s="313"/>
      <c r="E215" s="303"/>
      <c r="F215" s="246"/>
    </row>
    <row r="216" spans="1:6" s="9" customFormat="1" ht="35.1" customHeight="1" x14ac:dyDescent="0.25">
      <c r="A216" s="255" t="s">
        <v>1164</v>
      </c>
      <c r="B216" s="254" t="s">
        <v>225</v>
      </c>
      <c r="C216" s="240" t="s">
        <v>13</v>
      </c>
      <c r="D216" s="295">
        <v>2.2000000000000002</v>
      </c>
      <c r="E216" s="243">
        <v>1417231</v>
      </c>
      <c r="F216" s="243">
        <f>ROUND(+E216*D216,2)</f>
        <v>3117908.2</v>
      </c>
    </row>
    <row r="217" spans="1:6" s="9" customFormat="1" ht="35.1" customHeight="1" x14ac:dyDescent="0.25">
      <c r="A217" s="266">
        <v>10</v>
      </c>
      <c r="B217" s="267" t="s">
        <v>253</v>
      </c>
      <c r="C217" s="267"/>
      <c r="D217" s="316"/>
      <c r="E217" s="306"/>
      <c r="F217" s="268"/>
    </row>
    <row r="218" spans="1:6" s="9" customFormat="1" ht="35.1" customHeight="1" x14ac:dyDescent="0.25">
      <c r="A218" s="275" t="s">
        <v>1165</v>
      </c>
      <c r="B218" s="245" t="s">
        <v>1166</v>
      </c>
      <c r="C218" s="244"/>
      <c r="D218" s="313"/>
      <c r="E218" s="303"/>
      <c r="F218" s="246"/>
    </row>
    <row r="219" spans="1:6" s="9" customFormat="1" ht="35.1" customHeight="1" x14ac:dyDescent="0.25">
      <c r="A219" s="255" t="s">
        <v>1167</v>
      </c>
      <c r="B219" s="254" t="s">
        <v>1168</v>
      </c>
      <c r="C219" s="255" t="s">
        <v>16</v>
      </c>
      <c r="D219" s="295">
        <v>2</v>
      </c>
      <c r="E219" s="243">
        <v>137187139</v>
      </c>
      <c r="F219" s="243">
        <f>ROUND(+E219*D219,2)</f>
        <v>274374278</v>
      </c>
    </row>
    <row r="220" spans="1:6" s="9" customFormat="1" ht="35.1" customHeight="1" x14ac:dyDescent="0.25">
      <c r="A220" s="276" t="s">
        <v>254</v>
      </c>
      <c r="B220" s="245" t="s">
        <v>255</v>
      </c>
      <c r="C220" s="244"/>
      <c r="D220" s="313"/>
      <c r="E220" s="303"/>
      <c r="F220" s="246"/>
    </row>
    <row r="221" spans="1:6" s="9" customFormat="1" ht="35.1" customHeight="1" x14ac:dyDescent="0.25">
      <c r="A221" s="240" t="s">
        <v>256</v>
      </c>
      <c r="B221" s="254" t="s">
        <v>257</v>
      </c>
      <c r="C221" s="255" t="s">
        <v>94</v>
      </c>
      <c r="D221" s="295">
        <v>394.4</v>
      </c>
      <c r="E221" s="243">
        <v>648864</v>
      </c>
      <c r="F221" s="243">
        <f>ROUND(+E221*D221,2)</f>
        <v>255911961.59999999</v>
      </c>
    </row>
    <row r="222" spans="1:6" s="9" customFormat="1" ht="35.1" customHeight="1" x14ac:dyDescent="0.25">
      <c r="A222" s="240" t="s">
        <v>258</v>
      </c>
      <c r="B222" s="254" t="s">
        <v>259</v>
      </c>
      <c r="C222" s="255" t="s">
        <v>94</v>
      </c>
      <c r="D222" s="295">
        <v>60.13</v>
      </c>
      <c r="E222" s="243">
        <v>260332</v>
      </c>
      <c r="F222" s="243">
        <f>ROUND(+E222*D222,2)</f>
        <v>15653763.16</v>
      </c>
    </row>
    <row r="223" spans="1:6" s="9" customFormat="1" ht="35.1" customHeight="1" x14ac:dyDescent="0.25">
      <c r="A223" s="276" t="s">
        <v>260</v>
      </c>
      <c r="B223" s="256" t="s">
        <v>261</v>
      </c>
      <c r="C223" s="256"/>
      <c r="D223" s="313"/>
      <c r="E223" s="303"/>
      <c r="F223" s="246"/>
    </row>
    <row r="224" spans="1:6" s="9" customFormat="1" ht="35.1" customHeight="1" x14ac:dyDescent="0.25">
      <c r="A224" s="240" t="s">
        <v>262</v>
      </c>
      <c r="B224" s="254" t="s">
        <v>263</v>
      </c>
      <c r="C224" s="255" t="s">
        <v>13</v>
      </c>
      <c r="D224" s="295">
        <v>167</v>
      </c>
      <c r="E224" s="243">
        <v>624440</v>
      </c>
      <c r="F224" s="243">
        <f>ROUND(+E224*D224,2)</f>
        <v>104281480</v>
      </c>
    </row>
    <row r="225" spans="1:6" s="9" customFormat="1" ht="35.1" customHeight="1" x14ac:dyDescent="0.25">
      <c r="A225" s="266">
        <v>11</v>
      </c>
      <c r="B225" s="267" t="s">
        <v>1169</v>
      </c>
      <c r="C225" s="268"/>
      <c r="D225" s="316"/>
      <c r="E225" s="306"/>
      <c r="F225" s="268"/>
    </row>
    <row r="226" spans="1:6" s="9" customFormat="1" ht="35.1" customHeight="1" x14ac:dyDescent="0.25">
      <c r="A226" s="244" t="s">
        <v>1170</v>
      </c>
      <c r="B226" s="245" t="s">
        <v>10</v>
      </c>
      <c r="C226" s="244"/>
      <c r="D226" s="313"/>
      <c r="E226" s="303"/>
      <c r="F226" s="246"/>
    </row>
    <row r="227" spans="1:6" s="9" customFormat="1" ht="35.1" customHeight="1" x14ac:dyDescent="0.25">
      <c r="A227" s="255" t="s">
        <v>1171</v>
      </c>
      <c r="B227" s="254" t="s">
        <v>1050</v>
      </c>
      <c r="C227" s="255" t="s">
        <v>13</v>
      </c>
      <c r="D227" s="295">
        <v>745.71560000000011</v>
      </c>
      <c r="E227" s="243">
        <v>3555</v>
      </c>
      <c r="F227" s="243">
        <f>ROUND(+E227*D227,2)</f>
        <v>2651018.96</v>
      </c>
    </row>
    <row r="228" spans="1:6" s="9" customFormat="1" ht="35.1" customHeight="1" x14ac:dyDescent="0.25">
      <c r="A228" s="255" t="s">
        <v>1172</v>
      </c>
      <c r="B228" s="254" t="s">
        <v>12</v>
      </c>
      <c r="C228" s="255" t="s">
        <v>13</v>
      </c>
      <c r="D228" s="295">
        <v>745.71560000000011</v>
      </c>
      <c r="E228" s="243">
        <v>27093</v>
      </c>
      <c r="F228" s="243">
        <f>ROUND(+E228*D228,2)</f>
        <v>20203672.75</v>
      </c>
    </row>
    <row r="229" spans="1:6" s="9" customFormat="1" ht="35.1" customHeight="1" x14ac:dyDescent="0.25">
      <c r="A229" s="255" t="s">
        <v>1173</v>
      </c>
      <c r="B229" s="254" t="s">
        <v>1052</v>
      </c>
      <c r="C229" s="255" t="s">
        <v>94</v>
      </c>
      <c r="D229" s="295">
        <v>110.98</v>
      </c>
      <c r="E229" s="243">
        <v>34420</v>
      </c>
      <c r="F229" s="243">
        <f>ROUND(+E229*D229,2)</f>
        <v>3819931.6</v>
      </c>
    </row>
    <row r="230" spans="1:6" s="9" customFormat="1" ht="35.1" customHeight="1" x14ac:dyDescent="0.25">
      <c r="A230" s="244" t="s">
        <v>1174</v>
      </c>
      <c r="B230" s="245" t="s">
        <v>18</v>
      </c>
      <c r="C230" s="244"/>
      <c r="D230" s="313"/>
      <c r="E230" s="303"/>
      <c r="F230" s="246"/>
    </row>
    <row r="231" spans="1:6" s="9" customFormat="1" ht="35.1" customHeight="1" x14ac:dyDescent="0.25">
      <c r="A231" s="255" t="s">
        <v>1175</v>
      </c>
      <c r="B231" s="254" t="s">
        <v>1176</v>
      </c>
      <c r="C231" s="255" t="s">
        <v>16</v>
      </c>
      <c r="D231" s="295">
        <v>1</v>
      </c>
      <c r="E231" s="243">
        <v>563857</v>
      </c>
      <c r="F231" s="243">
        <f>ROUND(+E231*D231,2)</f>
        <v>563857</v>
      </c>
    </row>
    <row r="232" spans="1:6" s="9" customFormat="1" ht="35.1" customHeight="1" x14ac:dyDescent="0.25">
      <c r="A232" s="255" t="s">
        <v>1177</v>
      </c>
      <c r="B232" s="254" t="s">
        <v>1178</v>
      </c>
      <c r="C232" s="255" t="s">
        <v>16</v>
      </c>
      <c r="D232" s="295">
        <v>1</v>
      </c>
      <c r="E232" s="243">
        <v>4041000</v>
      </c>
      <c r="F232" s="243">
        <f>ROUND(+E232*D232,2)</f>
        <v>4041000</v>
      </c>
    </row>
    <row r="233" spans="1:6" s="9" customFormat="1" ht="35.1" customHeight="1" x14ac:dyDescent="0.25">
      <c r="A233" s="244" t="s">
        <v>1179</v>
      </c>
      <c r="B233" s="245" t="s">
        <v>20</v>
      </c>
      <c r="C233" s="246"/>
      <c r="D233" s="313"/>
      <c r="E233" s="303"/>
      <c r="F233" s="246"/>
    </row>
    <row r="234" spans="1:6" s="9" customFormat="1" ht="35.1" customHeight="1" x14ac:dyDescent="0.25">
      <c r="A234" s="255" t="s">
        <v>1180</v>
      </c>
      <c r="B234" s="241" t="s">
        <v>1421</v>
      </c>
      <c r="C234" s="255" t="s">
        <v>1182</v>
      </c>
      <c r="D234" s="295">
        <v>1</v>
      </c>
      <c r="E234" s="243">
        <v>1976190</v>
      </c>
      <c r="F234" s="243">
        <f>ROUND(+E234*D234,2)</f>
        <v>1976190</v>
      </c>
    </row>
    <row r="235" spans="1:6" s="9" customFormat="1" ht="35.1" customHeight="1" x14ac:dyDescent="0.25">
      <c r="A235" s="244" t="s">
        <v>1183</v>
      </c>
      <c r="B235" s="245" t="s">
        <v>1184</v>
      </c>
      <c r="C235" s="246"/>
      <c r="D235" s="313"/>
      <c r="E235" s="303"/>
      <c r="F235" s="246"/>
    </row>
    <row r="236" spans="1:6" s="9" customFormat="1" ht="35.1" customHeight="1" x14ac:dyDescent="0.25">
      <c r="A236" s="240" t="s">
        <v>1185</v>
      </c>
      <c r="B236" s="241" t="s">
        <v>1186</v>
      </c>
      <c r="C236" s="240" t="s">
        <v>30</v>
      </c>
      <c r="D236" s="295">
        <v>79.201499999999996</v>
      </c>
      <c r="E236" s="243">
        <v>32449</v>
      </c>
      <c r="F236" s="243">
        <f>ROUND(+E236*D236,2)</f>
        <v>2570009.4700000002</v>
      </c>
    </row>
    <row r="237" spans="1:6" s="9" customFormat="1" ht="35.1" customHeight="1" x14ac:dyDescent="0.25">
      <c r="A237" s="240" t="s">
        <v>1187</v>
      </c>
      <c r="B237" s="251" t="s">
        <v>1188</v>
      </c>
      <c r="C237" s="240" t="s">
        <v>30</v>
      </c>
      <c r="D237" s="295">
        <v>110</v>
      </c>
      <c r="E237" s="243">
        <v>147410</v>
      </c>
      <c r="F237" s="243">
        <f>ROUND(+E237*D237,2)</f>
        <v>16215100</v>
      </c>
    </row>
    <row r="238" spans="1:6" s="9" customFormat="1" ht="35.1" customHeight="1" x14ac:dyDescent="0.25">
      <c r="A238" s="240" t="s">
        <v>1189</v>
      </c>
      <c r="B238" s="254" t="s">
        <v>422</v>
      </c>
      <c r="C238" s="240" t="s">
        <v>30</v>
      </c>
      <c r="D238" s="295">
        <v>64.790000000000006</v>
      </c>
      <c r="E238" s="243">
        <v>77514</v>
      </c>
      <c r="F238" s="243">
        <f>ROUND(+E238*D238,2)</f>
        <v>5022132.0599999996</v>
      </c>
    </row>
    <row r="239" spans="1:6" s="9" customFormat="1" ht="35.1" customHeight="1" x14ac:dyDescent="0.25">
      <c r="A239" s="240" t="s">
        <v>1190</v>
      </c>
      <c r="B239" s="241" t="s">
        <v>1191</v>
      </c>
      <c r="C239" s="240" t="s">
        <v>30</v>
      </c>
      <c r="D239" s="295">
        <v>2</v>
      </c>
      <c r="E239" s="243">
        <v>532168</v>
      </c>
      <c r="F239" s="243">
        <f>ROUND(+E239*D239,2)</f>
        <v>1064336</v>
      </c>
    </row>
    <row r="240" spans="1:6" s="9" customFormat="1" ht="35.1" customHeight="1" x14ac:dyDescent="0.25">
      <c r="A240" s="240" t="s">
        <v>1192</v>
      </c>
      <c r="B240" s="241" t="s">
        <v>1193</v>
      </c>
      <c r="C240" s="240" t="s">
        <v>30</v>
      </c>
      <c r="D240" s="295">
        <v>139.05000000000001</v>
      </c>
      <c r="E240" s="243">
        <v>35210</v>
      </c>
      <c r="F240" s="243">
        <f>ROUND(+E240*D240,2)</f>
        <v>4895950.5</v>
      </c>
    </row>
    <row r="241" spans="1:6" s="9" customFormat="1" ht="35.1" customHeight="1" x14ac:dyDescent="0.25">
      <c r="A241" s="265" t="s">
        <v>1194</v>
      </c>
      <c r="B241" s="245" t="s">
        <v>1195</v>
      </c>
      <c r="C241" s="256"/>
      <c r="D241" s="313"/>
      <c r="E241" s="303"/>
      <c r="F241" s="246"/>
    </row>
    <row r="242" spans="1:6" s="9" customFormat="1" ht="35.1" customHeight="1" x14ac:dyDescent="0.25">
      <c r="A242" s="240" t="s">
        <v>1196</v>
      </c>
      <c r="B242" s="251" t="s">
        <v>1197</v>
      </c>
      <c r="C242" s="240" t="s">
        <v>13</v>
      </c>
      <c r="D242" s="295">
        <v>185.11</v>
      </c>
      <c r="E242" s="243">
        <v>79722</v>
      </c>
      <c r="F242" s="243">
        <f>ROUND(+E242*D242,2)</f>
        <v>14757339.42</v>
      </c>
    </row>
    <row r="243" spans="1:6" s="9" customFormat="1" ht="35.1" customHeight="1" x14ac:dyDescent="0.25">
      <c r="A243" s="240" t="s">
        <v>1198</v>
      </c>
      <c r="B243" s="241" t="s">
        <v>1199</v>
      </c>
      <c r="C243" s="240" t="s">
        <v>94</v>
      </c>
      <c r="D243" s="295">
        <v>72.05</v>
      </c>
      <c r="E243" s="243">
        <v>47413</v>
      </c>
      <c r="F243" s="243">
        <f>ROUND(+E243*D243,2)</f>
        <v>3416106.65</v>
      </c>
    </row>
    <row r="244" spans="1:6" s="9" customFormat="1" ht="35.1" customHeight="1" x14ac:dyDescent="0.25">
      <c r="A244" s="240" t="s">
        <v>1200</v>
      </c>
      <c r="B244" s="241" t="s">
        <v>1201</v>
      </c>
      <c r="C244" s="240" t="s">
        <v>94</v>
      </c>
      <c r="D244" s="295">
        <v>303.41000000000003</v>
      </c>
      <c r="E244" s="243">
        <v>72468</v>
      </c>
      <c r="F244" s="243">
        <f>ROUND(+E244*D244,2)</f>
        <v>21987515.879999999</v>
      </c>
    </row>
    <row r="245" spans="1:6" s="9" customFormat="1" ht="35.1" customHeight="1" x14ac:dyDescent="0.25">
      <c r="A245" s="240" t="s">
        <v>1202</v>
      </c>
      <c r="B245" s="241" t="s">
        <v>1203</v>
      </c>
      <c r="C245" s="240" t="s">
        <v>13</v>
      </c>
      <c r="D245" s="295">
        <v>433</v>
      </c>
      <c r="E245" s="243">
        <v>16029</v>
      </c>
      <c r="F245" s="243">
        <f>ROUND(+E245*D245,2)</f>
        <v>6940557</v>
      </c>
    </row>
    <row r="246" spans="1:6" s="9" customFormat="1" ht="35.1" customHeight="1" x14ac:dyDescent="0.25">
      <c r="A246" s="244" t="s">
        <v>1204</v>
      </c>
      <c r="B246" s="245" t="s">
        <v>1205</v>
      </c>
      <c r="C246" s="244"/>
      <c r="D246" s="313"/>
      <c r="E246" s="303"/>
      <c r="F246" s="246"/>
    </row>
    <row r="247" spans="1:6" s="9" customFormat="1" ht="35.1" customHeight="1" x14ac:dyDescent="0.25">
      <c r="A247" s="255" t="s">
        <v>1206</v>
      </c>
      <c r="B247" s="241" t="s">
        <v>1207</v>
      </c>
      <c r="C247" s="240" t="s">
        <v>16</v>
      </c>
      <c r="D247" s="295">
        <v>4</v>
      </c>
      <c r="E247" s="243">
        <v>790611</v>
      </c>
      <c r="F247" s="243">
        <f t="shared" ref="F247:F252" si="9">ROUND(+E247*D247,2)</f>
        <v>3162444</v>
      </c>
    </row>
    <row r="248" spans="1:6" s="9" customFormat="1" ht="35.1" customHeight="1" x14ac:dyDescent="0.25">
      <c r="A248" s="255" t="s">
        <v>1208</v>
      </c>
      <c r="B248" s="241" t="s">
        <v>1209</v>
      </c>
      <c r="C248" s="240" t="s">
        <v>16</v>
      </c>
      <c r="D248" s="295">
        <v>6</v>
      </c>
      <c r="E248" s="243">
        <v>395332</v>
      </c>
      <c r="F248" s="243">
        <f t="shared" si="9"/>
        <v>2371992</v>
      </c>
    </row>
    <row r="249" spans="1:6" s="9" customFormat="1" ht="35.1" customHeight="1" x14ac:dyDescent="0.25">
      <c r="A249" s="255" t="s">
        <v>1210</v>
      </c>
      <c r="B249" s="241" t="s">
        <v>1211</v>
      </c>
      <c r="C249" s="240" t="s">
        <v>16</v>
      </c>
      <c r="D249" s="295">
        <v>1</v>
      </c>
      <c r="E249" s="243">
        <v>9881750</v>
      </c>
      <c r="F249" s="243">
        <f t="shared" si="9"/>
        <v>9881750</v>
      </c>
    </row>
    <row r="250" spans="1:6" s="9" customFormat="1" ht="35.1" customHeight="1" x14ac:dyDescent="0.25">
      <c r="A250" s="255" t="s">
        <v>1212</v>
      </c>
      <c r="B250" s="254" t="s">
        <v>1213</v>
      </c>
      <c r="C250" s="240" t="s">
        <v>16</v>
      </c>
      <c r="D250" s="295">
        <v>3</v>
      </c>
      <c r="E250" s="243">
        <v>237578</v>
      </c>
      <c r="F250" s="243">
        <f t="shared" si="9"/>
        <v>712734</v>
      </c>
    </row>
    <row r="251" spans="1:6" s="9" customFormat="1" ht="35.1" customHeight="1" x14ac:dyDescent="0.25">
      <c r="A251" s="255" t="s">
        <v>1214</v>
      </c>
      <c r="B251" s="254" t="s">
        <v>1215</v>
      </c>
      <c r="C251" s="240" t="s">
        <v>16</v>
      </c>
      <c r="D251" s="295">
        <v>3</v>
      </c>
      <c r="E251" s="243">
        <v>329530</v>
      </c>
      <c r="F251" s="243">
        <f t="shared" si="9"/>
        <v>988590</v>
      </c>
    </row>
    <row r="252" spans="1:6" s="9" customFormat="1" ht="35.1" customHeight="1" x14ac:dyDescent="0.25">
      <c r="A252" s="255" t="s">
        <v>1216</v>
      </c>
      <c r="B252" s="254" t="s">
        <v>1217</v>
      </c>
      <c r="C252" s="240" t="s">
        <v>16</v>
      </c>
      <c r="D252" s="295">
        <v>1</v>
      </c>
      <c r="E252" s="243">
        <v>395403</v>
      </c>
      <c r="F252" s="243">
        <f t="shared" si="9"/>
        <v>395403</v>
      </c>
    </row>
    <row r="253" spans="1:6" s="9" customFormat="1" ht="35.1" customHeight="1" x14ac:dyDescent="0.25">
      <c r="A253" s="244" t="s">
        <v>1218</v>
      </c>
      <c r="B253" s="245" t="s">
        <v>1219</v>
      </c>
      <c r="C253" s="244"/>
      <c r="D253" s="313"/>
      <c r="E253" s="303"/>
      <c r="F253" s="246"/>
    </row>
    <row r="254" spans="1:6" s="9" customFormat="1" ht="35.1" customHeight="1" x14ac:dyDescent="0.25">
      <c r="A254" s="240" t="s">
        <v>1220</v>
      </c>
      <c r="B254" s="241" t="s">
        <v>1221</v>
      </c>
      <c r="C254" s="240" t="s">
        <v>16</v>
      </c>
      <c r="D254" s="295">
        <v>8</v>
      </c>
      <c r="E254" s="243">
        <v>3300179</v>
      </c>
      <c r="F254" s="243">
        <f>ROUND(+E254*D254,2)</f>
        <v>26401432</v>
      </c>
    </row>
    <row r="255" spans="1:6" s="9" customFormat="1" ht="35.1" customHeight="1" x14ac:dyDescent="0.25">
      <c r="A255" s="266">
        <v>12</v>
      </c>
      <c r="B255" s="267" t="s">
        <v>264</v>
      </c>
      <c r="C255" s="267"/>
      <c r="D255" s="316"/>
      <c r="E255" s="306"/>
      <c r="F255" s="268"/>
    </row>
    <row r="256" spans="1:6" s="9" customFormat="1" ht="35.1" customHeight="1" x14ac:dyDescent="0.25">
      <c r="A256" s="277" t="s">
        <v>265</v>
      </c>
      <c r="B256" s="278" t="s">
        <v>266</v>
      </c>
      <c r="C256" s="256"/>
      <c r="D256" s="313"/>
      <c r="E256" s="303"/>
      <c r="F256" s="246"/>
    </row>
    <row r="257" spans="1:6" s="9" customFormat="1" ht="35.1" customHeight="1" x14ac:dyDescent="0.25">
      <c r="A257" s="279" t="s">
        <v>267</v>
      </c>
      <c r="B257" s="254" t="s">
        <v>268</v>
      </c>
      <c r="C257" s="255" t="s">
        <v>269</v>
      </c>
      <c r="D257" s="295">
        <v>166</v>
      </c>
      <c r="E257" s="243">
        <v>12999</v>
      </c>
      <c r="F257" s="243">
        <f t="shared" ref="F257:F305" si="10">ROUND(+E257*D257,2)</f>
        <v>2157834</v>
      </c>
    </row>
    <row r="258" spans="1:6" s="9" customFormat="1" ht="35.1" customHeight="1" x14ac:dyDescent="0.25">
      <c r="A258" s="279" t="s">
        <v>270</v>
      </c>
      <c r="B258" s="254" t="s">
        <v>271</v>
      </c>
      <c r="C258" s="255" t="s">
        <v>269</v>
      </c>
      <c r="D258" s="295">
        <v>67</v>
      </c>
      <c r="E258" s="243">
        <v>19342</v>
      </c>
      <c r="F258" s="243">
        <f t="shared" si="10"/>
        <v>1295914</v>
      </c>
    </row>
    <row r="259" spans="1:6" s="9" customFormat="1" ht="35.1" customHeight="1" x14ac:dyDescent="0.25">
      <c r="A259" s="279" t="s">
        <v>272</v>
      </c>
      <c r="B259" s="254" t="s">
        <v>273</v>
      </c>
      <c r="C259" s="255" t="s">
        <v>269</v>
      </c>
      <c r="D259" s="295">
        <v>55</v>
      </c>
      <c r="E259" s="243">
        <v>20509</v>
      </c>
      <c r="F259" s="243">
        <f t="shared" si="10"/>
        <v>1127995</v>
      </c>
    </row>
    <row r="260" spans="1:6" s="9" customFormat="1" ht="35.1" customHeight="1" x14ac:dyDescent="0.25">
      <c r="A260" s="279" t="s">
        <v>274</v>
      </c>
      <c r="B260" s="254" t="s">
        <v>275</v>
      </c>
      <c r="C260" s="255" t="s">
        <v>269</v>
      </c>
      <c r="D260" s="295">
        <v>87</v>
      </c>
      <c r="E260" s="243">
        <v>21787</v>
      </c>
      <c r="F260" s="243">
        <f t="shared" si="10"/>
        <v>1895469</v>
      </c>
    </row>
    <row r="261" spans="1:6" s="9" customFormat="1" ht="35.1" customHeight="1" x14ac:dyDescent="0.25">
      <c r="A261" s="279" t="s">
        <v>276</v>
      </c>
      <c r="B261" s="254" t="s">
        <v>277</v>
      </c>
      <c r="C261" s="255" t="s">
        <v>269</v>
      </c>
      <c r="D261" s="295">
        <v>78</v>
      </c>
      <c r="E261" s="243">
        <v>28005</v>
      </c>
      <c r="F261" s="243">
        <f t="shared" si="10"/>
        <v>2184390</v>
      </c>
    </row>
    <row r="262" spans="1:6" s="9" customFormat="1" ht="35.1" customHeight="1" x14ac:dyDescent="0.25">
      <c r="A262" s="279" t="s">
        <v>278</v>
      </c>
      <c r="B262" s="254" t="s">
        <v>279</v>
      </c>
      <c r="C262" s="255" t="s">
        <v>269</v>
      </c>
      <c r="D262" s="295">
        <v>123</v>
      </c>
      <c r="E262" s="243">
        <v>40094</v>
      </c>
      <c r="F262" s="243">
        <f t="shared" si="10"/>
        <v>4931562</v>
      </c>
    </row>
    <row r="263" spans="1:6" s="9" customFormat="1" ht="35.1" customHeight="1" x14ac:dyDescent="0.25">
      <c r="A263" s="279" t="s">
        <v>280</v>
      </c>
      <c r="B263" s="254" t="s">
        <v>281</v>
      </c>
      <c r="C263" s="255" t="s">
        <v>269</v>
      </c>
      <c r="D263" s="295">
        <v>25</v>
      </c>
      <c r="E263" s="243">
        <v>54119</v>
      </c>
      <c r="F263" s="243">
        <f t="shared" si="10"/>
        <v>1352975</v>
      </c>
    </row>
    <row r="264" spans="1:6" s="9" customFormat="1" ht="35.1" customHeight="1" x14ac:dyDescent="0.25">
      <c r="A264" s="279" t="s">
        <v>282</v>
      </c>
      <c r="B264" s="254" t="s">
        <v>283</v>
      </c>
      <c r="C264" s="255" t="s">
        <v>1422</v>
      </c>
      <c r="D264" s="295">
        <v>144</v>
      </c>
      <c r="E264" s="243">
        <v>3365</v>
      </c>
      <c r="F264" s="243">
        <f t="shared" si="10"/>
        <v>484560</v>
      </c>
    </row>
    <row r="265" spans="1:6" s="9" customFormat="1" ht="35.1" customHeight="1" x14ac:dyDescent="0.25">
      <c r="A265" s="279" t="s">
        <v>285</v>
      </c>
      <c r="B265" s="254" t="s">
        <v>286</v>
      </c>
      <c r="C265" s="255" t="s">
        <v>1422</v>
      </c>
      <c r="D265" s="295">
        <v>52</v>
      </c>
      <c r="E265" s="243">
        <v>3995</v>
      </c>
      <c r="F265" s="243">
        <f t="shared" si="10"/>
        <v>207740</v>
      </c>
    </row>
    <row r="266" spans="1:6" s="9" customFormat="1" ht="35.1" customHeight="1" x14ac:dyDescent="0.25">
      <c r="A266" s="279" t="s">
        <v>287</v>
      </c>
      <c r="B266" s="254" t="s">
        <v>288</v>
      </c>
      <c r="C266" s="255" t="s">
        <v>1422</v>
      </c>
      <c r="D266" s="295">
        <v>41</v>
      </c>
      <c r="E266" s="243">
        <v>4719</v>
      </c>
      <c r="F266" s="243">
        <f t="shared" si="10"/>
        <v>193479</v>
      </c>
    </row>
    <row r="267" spans="1:6" s="9" customFormat="1" ht="35.1" customHeight="1" x14ac:dyDescent="0.25">
      <c r="A267" s="279" t="s">
        <v>289</v>
      </c>
      <c r="B267" s="254" t="s">
        <v>290</v>
      </c>
      <c r="C267" s="255" t="s">
        <v>1422</v>
      </c>
      <c r="D267" s="295">
        <v>131</v>
      </c>
      <c r="E267" s="243">
        <v>7451</v>
      </c>
      <c r="F267" s="243">
        <f t="shared" si="10"/>
        <v>976081</v>
      </c>
    </row>
    <row r="268" spans="1:6" s="9" customFormat="1" ht="35.1" customHeight="1" x14ac:dyDescent="0.25">
      <c r="A268" s="279" t="s">
        <v>291</v>
      </c>
      <c r="B268" s="254" t="s">
        <v>292</v>
      </c>
      <c r="C268" s="255" t="s">
        <v>1422</v>
      </c>
      <c r="D268" s="295">
        <v>112</v>
      </c>
      <c r="E268" s="243">
        <v>9186</v>
      </c>
      <c r="F268" s="243">
        <f t="shared" si="10"/>
        <v>1028832</v>
      </c>
    </row>
    <row r="269" spans="1:6" s="9" customFormat="1" ht="35.1" customHeight="1" x14ac:dyDescent="0.25">
      <c r="A269" s="279" t="s">
        <v>293</v>
      </c>
      <c r="B269" s="254" t="s">
        <v>294</v>
      </c>
      <c r="C269" s="255" t="s">
        <v>1422</v>
      </c>
      <c r="D269" s="295">
        <v>76</v>
      </c>
      <c r="E269" s="243">
        <v>12520</v>
      </c>
      <c r="F269" s="243">
        <f t="shared" si="10"/>
        <v>951520</v>
      </c>
    </row>
    <row r="270" spans="1:6" s="9" customFormat="1" ht="35.1" customHeight="1" x14ac:dyDescent="0.25">
      <c r="A270" s="279" t="s">
        <v>295</v>
      </c>
      <c r="B270" s="254" t="s">
        <v>296</v>
      </c>
      <c r="C270" s="255" t="s">
        <v>1422</v>
      </c>
      <c r="D270" s="295">
        <v>16</v>
      </c>
      <c r="E270" s="243">
        <v>30468</v>
      </c>
      <c r="F270" s="243">
        <f t="shared" si="10"/>
        <v>487488</v>
      </c>
    </row>
    <row r="271" spans="1:6" s="9" customFormat="1" ht="35.1" customHeight="1" x14ac:dyDescent="0.25">
      <c r="A271" s="279" t="s">
        <v>297</v>
      </c>
      <c r="B271" s="254" t="s">
        <v>298</v>
      </c>
      <c r="C271" s="255" t="s">
        <v>1422</v>
      </c>
      <c r="D271" s="295">
        <v>67</v>
      </c>
      <c r="E271" s="243">
        <v>1748</v>
      </c>
      <c r="F271" s="243">
        <f t="shared" si="10"/>
        <v>117116</v>
      </c>
    </row>
    <row r="272" spans="1:6" s="9" customFormat="1" ht="35.1" customHeight="1" x14ac:dyDescent="0.25">
      <c r="A272" s="279" t="s">
        <v>299</v>
      </c>
      <c r="B272" s="254" t="s">
        <v>300</v>
      </c>
      <c r="C272" s="255" t="s">
        <v>1422</v>
      </c>
      <c r="D272" s="295">
        <v>24</v>
      </c>
      <c r="E272" s="243">
        <v>2347</v>
      </c>
      <c r="F272" s="243">
        <f t="shared" si="10"/>
        <v>56328</v>
      </c>
    </row>
    <row r="273" spans="1:6" s="9" customFormat="1" ht="35.1" customHeight="1" x14ac:dyDescent="0.25">
      <c r="A273" s="279" t="s">
        <v>301</v>
      </c>
      <c r="B273" s="254" t="s">
        <v>302</v>
      </c>
      <c r="C273" s="255" t="s">
        <v>1422</v>
      </c>
      <c r="D273" s="295">
        <v>24</v>
      </c>
      <c r="E273" s="243">
        <v>2831</v>
      </c>
      <c r="F273" s="243">
        <f t="shared" si="10"/>
        <v>67944</v>
      </c>
    </row>
    <row r="274" spans="1:6" s="9" customFormat="1" ht="35.1" customHeight="1" x14ac:dyDescent="0.25">
      <c r="A274" s="279" t="s">
        <v>303</v>
      </c>
      <c r="B274" s="254" t="s">
        <v>304</v>
      </c>
      <c r="C274" s="255" t="s">
        <v>1422</v>
      </c>
      <c r="D274" s="295">
        <v>36</v>
      </c>
      <c r="E274" s="243">
        <v>3211</v>
      </c>
      <c r="F274" s="243">
        <f t="shared" si="10"/>
        <v>115596</v>
      </c>
    </row>
    <row r="275" spans="1:6" s="9" customFormat="1" ht="35.1" customHeight="1" x14ac:dyDescent="0.25">
      <c r="A275" s="279" t="s">
        <v>305</v>
      </c>
      <c r="B275" s="280" t="s">
        <v>306</v>
      </c>
      <c r="C275" s="255" t="s">
        <v>1422</v>
      </c>
      <c r="D275" s="295">
        <v>33</v>
      </c>
      <c r="E275" s="243">
        <v>3888</v>
      </c>
      <c r="F275" s="243">
        <f t="shared" si="10"/>
        <v>128304</v>
      </c>
    </row>
    <row r="276" spans="1:6" s="9" customFormat="1" ht="35.1" customHeight="1" x14ac:dyDescent="0.25">
      <c r="A276" s="279" t="s">
        <v>307</v>
      </c>
      <c r="B276" s="254" t="s">
        <v>308</v>
      </c>
      <c r="C276" s="255" t="s">
        <v>1422</v>
      </c>
      <c r="D276" s="295">
        <v>42</v>
      </c>
      <c r="E276" s="243">
        <v>5009</v>
      </c>
      <c r="F276" s="243">
        <f t="shared" si="10"/>
        <v>210378</v>
      </c>
    </row>
    <row r="277" spans="1:6" s="9" customFormat="1" ht="35.1" customHeight="1" x14ac:dyDescent="0.25">
      <c r="A277" s="279" t="s">
        <v>309</v>
      </c>
      <c r="B277" s="254" t="s">
        <v>310</v>
      </c>
      <c r="C277" s="255" t="s">
        <v>1422</v>
      </c>
      <c r="D277" s="295">
        <v>10</v>
      </c>
      <c r="E277" s="243">
        <v>5788</v>
      </c>
      <c r="F277" s="243">
        <f t="shared" si="10"/>
        <v>57880</v>
      </c>
    </row>
    <row r="278" spans="1:6" s="9" customFormat="1" ht="35.1" customHeight="1" x14ac:dyDescent="0.25">
      <c r="A278" s="279" t="s">
        <v>311</v>
      </c>
      <c r="B278" s="254" t="s">
        <v>312</v>
      </c>
      <c r="C278" s="255" t="s">
        <v>1422</v>
      </c>
      <c r="D278" s="295">
        <v>56</v>
      </c>
      <c r="E278" s="243">
        <v>65865</v>
      </c>
      <c r="F278" s="243">
        <f t="shared" si="10"/>
        <v>3688440</v>
      </c>
    </row>
    <row r="279" spans="1:6" s="9" customFormat="1" ht="35.1" customHeight="1" x14ac:dyDescent="0.25">
      <c r="A279" s="279" t="s">
        <v>313</v>
      </c>
      <c r="B279" s="254" t="s">
        <v>314</v>
      </c>
      <c r="C279" s="255" t="s">
        <v>1422</v>
      </c>
      <c r="D279" s="295">
        <v>19</v>
      </c>
      <c r="E279" s="243">
        <v>70178</v>
      </c>
      <c r="F279" s="243">
        <f t="shared" si="10"/>
        <v>1333382</v>
      </c>
    </row>
    <row r="280" spans="1:6" s="9" customFormat="1" ht="35.1" customHeight="1" x14ac:dyDescent="0.25">
      <c r="A280" s="279" t="s">
        <v>315</v>
      </c>
      <c r="B280" s="254" t="s">
        <v>316</v>
      </c>
      <c r="C280" s="255" t="s">
        <v>1422</v>
      </c>
      <c r="D280" s="295">
        <v>54</v>
      </c>
      <c r="E280" s="243">
        <v>99924</v>
      </c>
      <c r="F280" s="243">
        <f t="shared" si="10"/>
        <v>5395896</v>
      </c>
    </row>
    <row r="281" spans="1:6" s="9" customFormat="1" ht="35.1" customHeight="1" x14ac:dyDescent="0.25">
      <c r="A281" s="279" t="s">
        <v>317</v>
      </c>
      <c r="B281" s="254" t="s">
        <v>318</v>
      </c>
      <c r="C281" s="255" t="s">
        <v>1422</v>
      </c>
      <c r="D281" s="295">
        <v>17</v>
      </c>
      <c r="E281" s="243">
        <v>64927</v>
      </c>
      <c r="F281" s="243">
        <f t="shared" si="10"/>
        <v>1103759</v>
      </c>
    </row>
    <row r="282" spans="1:6" s="9" customFormat="1" ht="35.1" customHeight="1" x14ac:dyDescent="0.25">
      <c r="A282" s="279" t="s">
        <v>319</v>
      </c>
      <c r="B282" s="254" t="s">
        <v>320</v>
      </c>
      <c r="C282" s="255" t="s">
        <v>1422</v>
      </c>
      <c r="D282" s="295">
        <v>8</v>
      </c>
      <c r="E282" s="243">
        <v>168268</v>
      </c>
      <c r="F282" s="243">
        <f t="shared" si="10"/>
        <v>1346144</v>
      </c>
    </row>
    <row r="283" spans="1:6" s="9" customFormat="1" ht="35.1" customHeight="1" x14ac:dyDescent="0.25">
      <c r="A283" s="279" t="s">
        <v>321</v>
      </c>
      <c r="B283" s="254" t="s">
        <v>322</v>
      </c>
      <c r="C283" s="255" t="s">
        <v>1422</v>
      </c>
      <c r="D283" s="295">
        <v>8</v>
      </c>
      <c r="E283" s="243">
        <v>228433</v>
      </c>
      <c r="F283" s="243">
        <f t="shared" si="10"/>
        <v>1827464</v>
      </c>
    </row>
    <row r="284" spans="1:6" s="9" customFormat="1" ht="35.1" customHeight="1" x14ac:dyDescent="0.25">
      <c r="A284" s="279" t="s">
        <v>323</v>
      </c>
      <c r="B284" s="254" t="s">
        <v>324</v>
      </c>
      <c r="C284" s="255" t="s">
        <v>1422</v>
      </c>
      <c r="D284" s="295">
        <v>2</v>
      </c>
      <c r="E284" s="243">
        <v>111201</v>
      </c>
      <c r="F284" s="243">
        <f t="shared" si="10"/>
        <v>222402</v>
      </c>
    </row>
    <row r="285" spans="1:6" s="9" customFormat="1" ht="35.1" customHeight="1" x14ac:dyDescent="0.25">
      <c r="A285" s="279" t="s">
        <v>325</v>
      </c>
      <c r="B285" s="254" t="s">
        <v>326</v>
      </c>
      <c r="C285" s="255" t="s">
        <v>1422</v>
      </c>
      <c r="D285" s="295">
        <v>1</v>
      </c>
      <c r="E285" s="243">
        <v>173889</v>
      </c>
      <c r="F285" s="243">
        <f t="shared" si="10"/>
        <v>173889</v>
      </c>
    </row>
    <row r="286" spans="1:6" s="9" customFormat="1" ht="35.1" customHeight="1" x14ac:dyDescent="0.25">
      <c r="A286" s="283" t="s">
        <v>327</v>
      </c>
      <c r="B286" s="256" t="s">
        <v>328</v>
      </c>
      <c r="C286" s="256"/>
      <c r="D286" s="313"/>
      <c r="E286" s="303"/>
      <c r="F286" s="246"/>
    </row>
    <row r="287" spans="1:6" s="9" customFormat="1" ht="35.1" customHeight="1" x14ac:dyDescent="0.25">
      <c r="A287" s="240" t="s">
        <v>329</v>
      </c>
      <c r="B287" s="284" t="s">
        <v>330</v>
      </c>
      <c r="C287" s="255" t="s">
        <v>269</v>
      </c>
      <c r="D287" s="295">
        <v>46</v>
      </c>
      <c r="E287" s="243">
        <v>25180</v>
      </c>
      <c r="F287" s="243">
        <f t="shared" si="10"/>
        <v>1158280</v>
      </c>
    </row>
    <row r="288" spans="1:6" s="9" customFormat="1" ht="35.1" customHeight="1" x14ac:dyDescent="0.25">
      <c r="A288" s="240" t="s">
        <v>331</v>
      </c>
      <c r="B288" s="254" t="s">
        <v>332</v>
      </c>
      <c r="C288" s="255" t="s">
        <v>269</v>
      </c>
      <c r="D288" s="295">
        <v>215</v>
      </c>
      <c r="E288" s="243">
        <v>37056</v>
      </c>
      <c r="F288" s="243">
        <f t="shared" si="10"/>
        <v>7967040</v>
      </c>
    </row>
    <row r="289" spans="1:6" s="9" customFormat="1" ht="35.1" customHeight="1" x14ac:dyDescent="0.25">
      <c r="A289" s="240" t="s">
        <v>333</v>
      </c>
      <c r="B289" s="254" t="s">
        <v>334</v>
      </c>
      <c r="C289" s="255" t="s">
        <v>269</v>
      </c>
      <c r="D289" s="295">
        <v>373</v>
      </c>
      <c r="E289" s="243">
        <v>52865</v>
      </c>
      <c r="F289" s="243">
        <f t="shared" si="10"/>
        <v>19718645</v>
      </c>
    </row>
    <row r="290" spans="1:6" s="9" customFormat="1" ht="35.1" customHeight="1" x14ac:dyDescent="0.25">
      <c r="A290" s="240" t="s">
        <v>335</v>
      </c>
      <c r="B290" s="254" t="s">
        <v>336</v>
      </c>
      <c r="C290" s="255" t="s">
        <v>269</v>
      </c>
      <c r="D290" s="295">
        <v>98</v>
      </c>
      <c r="E290" s="243">
        <v>21912</v>
      </c>
      <c r="F290" s="243">
        <f t="shared" si="10"/>
        <v>2147376</v>
      </c>
    </row>
    <row r="291" spans="1:6" s="9" customFormat="1" ht="35.1" customHeight="1" x14ac:dyDescent="0.25">
      <c r="A291" s="240" t="s">
        <v>337</v>
      </c>
      <c r="B291" s="254" t="s">
        <v>338</v>
      </c>
      <c r="C291" s="255" t="s">
        <v>269</v>
      </c>
      <c r="D291" s="295">
        <v>133</v>
      </c>
      <c r="E291" s="243">
        <v>32577</v>
      </c>
      <c r="F291" s="243">
        <f t="shared" si="10"/>
        <v>4332741</v>
      </c>
    </row>
    <row r="292" spans="1:6" s="9" customFormat="1" ht="35.1" customHeight="1" x14ac:dyDescent="0.25">
      <c r="A292" s="240" t="s">
        <v>339</v>
      </c>
      <c r="B292" s="254" t="s">
        <v>340</v>
      </c>
      <c r="C292" s="255" t="s">
        <v>1422</v>
      </c>
      <c r="D292" s="295">
        <v>167</v>
      </c>
      <c r="E292" s="243">
        <v>7704</v>
      </c>
      <c r="F292" s="243">
        <f t="shared" si="10"/>
        <v>1286568</v>
      </c>
    </row>
    <row r="293" spans="1:6" s="9" customFormat="1" ht="35.1" customHeight="1" x14ac:dyDescent="0.25">
      <c r="A293" s="240" t="s">
        <v>341</v>
      </c>
      <c r="B293" s="254" t="s">
        <v>342</v>
      </c>
      <c r="C293" s="255" t="s">
        <v>1422</v>
      </c>
      <c r="D293" s="295">
        <v>221</v>
      </c>
      <c r="E293" s="243">
        <v>10973</v>
      </c>
      <c r="F293" s="243">
        <f t="shared" si="10"/>
        <v>2425033</v>
      </c>
    </row>
    <row r="294" spans="1:6" s="9" customFormat="1" ht="35.1" customHeight="1" x14ac:dyDescent="0.25">
      <c r="A294" s="240" t="s">
        <v>343</v>
      </c>
      <c r="B294" s="254" t="s">
        <v>344</v>
      </c>
      <c r="C294" s="255" t="s">
        <v>1422</v>
      </c>
      <c r="D294" s="295">
        <v>394</v>
      </c>
      <c r="E294" s="243">
        <v>16126</v>
      </c>
      <c r="F294" s="243">
        <f t="shared" si="10"/>
        <v>6353644</v>
      </c>
    </row>
    <row r="295" spans="1:6" s="9" customFormat="1" ht="35.1" customHeight="1" x14ac:dyDescent="0.25">
      <c r="A295" s="240" t="s">
        <v>345</v>
      </c>
      <c r="B295" s="254" t="s">
        <v>346</v>
      </c>
      <c r="C295" s="255" t="s">
        <v>1422</v>
      </c>
      <c r="D295" s="295">
        <v>19</v>
      </c>
      <c r="E295" s="243">
        <v>5009</v>
      </c>
      <c r="F295" s="243">
        <f t="shared" si="10"/>
        <v>95171</v>
      </c>
    </row>
    <row r="296" spans="1:6" s="9" customFormat="1" ht="35.1" customHeight="1" x14ac:dyDescent="0.25">
      <c r="A296" s="240" t="s">
        <v>347</v>
      </c>
      <c r="B296" s="254" t="s">
        <v>348</v>
      </c>
      <c r="C296" s="255" t="s">
        <v>1422</v>
      </c>
      <c r="D296" s="295">
        <v>87</v>
      </c>
      <c r="E296" s="243">
        <v>6370</v>
      </c>
      <c r="F296" s="243">
        <f t="shared" si="10"/>
        <v>554190</v>
      </c>
    </row>
    <row r="297" spans="1:6" s="9" customFormat="1" ht="35.1" customHeight="1" x14ac:dyDescent="0.25">
      <c r="A297" s="240" t="s">
        <v>349</v>
      </c>
      <c r="B297" s="254" t="s">
        <v>350</v>
      </c>
      <c r="C297" s="255" t="s">
        <v>1422</v>
      </c>
      <c r="D297" s="295">
        <v>139</v>
      </c>
      <c r="E297" s="243">
        <v>12643</v>
      </c>
      <c r="F297" s="243">
        <f t="shared" si="10"/>
        <v>1757377</v>
      </c>
    </row>
    <row r="298" spans="1:6" s="9" customFormat="1" ht="35.1" customHeight="1" x14ac:dyDescent="0.25">
      <c r="A298" s="240" t="s">
        <v>351</v>
      </c>
      <c r="B298" s="254" t="s">
        <v>352</v>
      </c>
      <c r="C298" s="255" t="s">
        <v>1422</v>
      </c>
      <c r="D298" s="295">
        <v>50</v>
      </c>
      <c r="E298" s="243">
        <v>42439</v>
      </c>
      <c r="F298" s="243">
        <f t="shared" si="10"/>
        <v>2121950</v>
      </c>
    </row>
    <row r="299" spans="1:6" s="9" customFormat="1" ht="35.1" customHeight="1" x14ac:dyDescent="0.25">
      <c r="A299" s="240" t="s">
        <v>353</v>
      </c>
      <c r="B299" s="254" t="s">
        <v>354</v>
      </c>
      <c r="C299" s="255" t="s">
        <v>1422</v>
      </c>
      <c r="D299" s="295">
        <v>32</v>
      </c>
      <c r="E299" s="243">
        <v>51297</v>
      </c>
      <c r="F299" s="243">
        <f t="shared" si="10"/>
        <v>1641504</v>
      </c>
    </row>
    <row r="300" spans="1:6" s="9" customFormat="1" ht="35.1" customHeight="1" x14ac:dyDescent="0.25">
      <c r="A300" s="240" t="s">
        <v>355</v>
      </c>
      <c r="B300" s="254" t="s">
        <v>356</v>
      </c>
      <c r="C300" s="255" t="s">
        <v>1422</v>
      </c>
      <c r="D300" s="295">
        <v>58</v>
      </c>
      <c r="E300" s="243">
        <v>63040</v>
      </c>
      <c r="F300" s="243">
        <f t="shared" si="10"/>
        <v>3656320</v>
      </c>
    </row>
    <row r="301" spans="1:6" s="9" customFormat="1" ht="35.1" customHeight="1" x14ac:dyDescent="0.25">
      <c r="A301" s="240" t="s">
        <v>357</v>
      </c>
      <c r="B301" s="254" t="s">
        <v>358</v>
      </c>
      <c r="C301" s="255" t="s">
        <v>1422</v>
      </c>
      <c r="D301" s="295">
        <v>2</v>
      </c>
      <c r="E301" s="243">
        <v>556137</v>
      </c>
      <c r="F301" s="243">
        <f t="shared" si="10"/>
        <v>1112274</v>
      </c>
    </row>
    <row r="302" spans="1:6" s="9" customFormat="1" ht="35.1" customHeight="1" x14ac:dyDescent="0.25">
      <c r="A302" s="240" t="s">
        <v>359</v>
      </c>
      <c r="B302" s="254" t="s">
        <v>360</v>
      </c>
      <c r="C302" s="255" t="s">
        <v>269</v>
      </c>
      <c r="D302" s="295">
        <v>40</v>
      </c>
      <c r="E302" s="243">
        <v>46966</v>
      </c>
      <c r="F302" s="243">
        <f t="shared" si="10"/>
        <v>1878640</v>
      </c>
    </row>
    <row r="303" spans="1:6" s="9" customFormat="1" ht="35.1" customHeight="1" x14ac:dyDescent="0.25">
      <c r="A303" s="240" t="s">
        <v>361</v>
      </c>
      <c r="B303" s="254" t="s">
        <v>362</v>
      </c>
      <c r="C303" s="255" t="s">
        <v>269</v>
      </c>
      <c r="D303" s="295">
        <v>10</v>
      </c>
      <c r="E303" s="243">
        <v>65586</v>
      </c>
      <c r="F303" s="243">
        <f t="shared" si="10"/>
        <v>655860</v>
      </c>
    </row>
    <row r="304" spans="1:6" s="9" customFormat="1" ht="35.1" customHeight="1" x14ac:dyDescent="0.25">
      <c r="A304" s="240" t="s">
        <v>363</v>
      </c>
      <c r="B304" s="254" t="s">
        <v>364</v>
      </c>
      <c r="C304" s="255" t="s">
        <v>269</v>
      </c>
      <c r="D304" s="295">
        <v>40</v>
      </c>
      <c r="E304" s="243">
        <v>99646</v>
      </c>
      <c r="F304" s="243">
        <f t="shared" si="10"/>
        <v>3985840</v>
      </c>
    </row>
    <row r="305" spans="1:6" s="9" customFormat="1" ht="35.1" customHeight="1" x14ac:dyDescent="0.25">
      <c r="A305" s="240" t="s">
        <v>365</v>
      </c>
      <c r="B305" s="254" t="s">
        <v>366</v>
      </c>
      <c r="C305" s="255" t="s">
        <v>1422</v>
      </c>
      <c r="D305" s="295">
        <v>20</v>
      </c>
      <c r="E305" s="243">
        <v>80246</v>
      </c>
      <c r="F305" s="243">
        <f t="shared" si="10"/>
        <v>1604920</v>
      </c>
    </row>
    <row r="306" spans="1:6" s="9" customFormat="1" ht="35.1" customHeight="1" x14ac:dyDescent="0.25">
      <c r="A306" s="283" t="s">
        <v>367</v>
      </c>
      <c r="B306" s="256" t="s">
        <v>368</v>
      </c>
      <c r="C306" s="256" t="s">
        <v>369</v>
      </c>
      <c r="D306" s="313"/>
      <c r="E306" s="303"/>
      <c r="F306" s="246"/>
    </row>
    <row r="307" spans="1:6" s="9" customFormat="1" ht="35.1" customHeight="1" x14ac:dyDescent="0.25">
      <c r="A307" s="255" t="s">
        <v>370</v>
      </c>
      <c r="B307" s="87" t="s">
        <v>371</v>
      </c>
      <c r="C307" s="255" t="s">
        <v>1422</v>
      </c>
      <c r="D307" s="295">
        <v>52</v>
      </c>
      <c r="E307" s="243">
        <v>1134023</v>
      </c>
      <c r="F307" s="243">
        <f t="shared" ref="F307:F314" si="11">ROUND(+E307*D307,2)</f>
        <v>58969196</v>
      </c>
    </row>
    <row r="308" spans="1:6" s="9" customFormat="1" ht="35.1" customHeight="1" x14ac:dyDescent="0.25">
      <c r="A308" s="255" t="s">
        <v>372</v>
      </c>
      <c r="B308" s="87" t="s">
        <v>373</v>
      </c>
      <c r="C308" s="255" t="s">
        <v>1422</v>
      </c>
      <c r="D308" s="295">
        <v>8</v>
      </c>
      <c r="E308" s="243">
        <v>687128</v>
      </c>
      <c r="F308" s="243">
        <f t="shared" si="11"/>
        <v>5497024</v>
      </c>
    </row>
    <row r="309" spans="1:6" s="9" customFormat="1" ht="35.1" customHeight="1" x14ac:dyDescent="0.25">
      <c r="A309" s="255" t="s">
        <v>375</v>
      </c>
      <c r="B309" s="87" t="s">
        <v>376</v>
      </c>
      <c r="C309" s="255" t="s">
        <v>1422</v>
      </c>
      <c r="D309" s="295">
        <v>21</v>
      </c>
      <c r="E309" s="243">
        <v>777032</v>
      </c>
      <c r="F309" s="243">
        <f t="shared" si="11"/>
        <v>16317672</v>
      </c>
    </row>
    <row r="310" spans="1:6" s="9" customFormat="1" ht="35.1" customHeight="1" x14ac:dyDescent="0.25">
      <c r="A310" s="255" t="s">
        <v>377</v>
      </c>
      <c r="B310" s="241" t="s">
        <v>378</v>
      </c>
      <c r="C310" s="255" t="s">
        <v>94</v>
      </c>
      <c r="D310" s="295">
        <v>27</v>
      </c>
      <c r="E310" s="243">
        <v>223678</v>
      </c>
      <c r="F310" s="243">
        <f t="shared" si="11"/>
        <v>6039306</v>
      </c>
    </row>
    <row r="311" spans="1:6" s="9" customFormat="1" ht="35.1" customHeight="1" x14ac:dyDescent="0.25">
      <c r="A311" s="255" t="s">
        <v>379</v>
      </c>
      <c r="B311" s="87" t="s">
        <v>380</v>
      </c>
      <c r="C311" s="255" t="s">
        <v>1422</v>
      </c>
      <c r="D311" s="295">
        <v>38</v>
      </c>
      <c r="E311" s="243">
        <v>603870</v>
      </c>
      <c r="F311" s="243">
        <f t="shared" si="11"/>
        <v>22947060</v>
      </c>
    </row>
    <row r="312" spans="1:6" s="9" customFormat="1" ht="35.1" customHeight="1" x14ac:dyDescent="0.25">
      <c r="A312" s="255" t="s">
        <v>381</v>
      </c>
      <c r="B312" s="87" t="s">
        <v>382</v>
      </c>
      <c r="C312" s="255" t="s">
        <v>1422</v>
      </c>
      <c r="D312" s="295">
        <v>6</v>
      </c>
      <c r="E312" s="243">
        <v>571131</v>
      </c>
      <c r="F312" s="243">
        <f t="shared" si="11"/>
        <v>3426786</v>
      </c>
    </row>
    <row r="313" spans="1:6" s="9" customFormat="1" ht="35.1" customHeight="1" x14ac:dyDescent="0.25">
      <c r="A313" s="255" t="s">
        <v>383</v>
      </c>
      <c r="B313" s="241" t="s">
        <v>384</v>
      </c>
      <c r="C313" s="255" t="s">
        <v>13</v>
      </c>
      <c r="D313" s="295">
        <v>23</v>
      </c>
      <c r="E313" s="243">
        <v>93168</v>
      </c>
      <c r="F313" s="243">
        <f t="shared" si="11"/>
        <v>2142864</v>
      </c>
    </row>
    <row r="314" spans="1:6" s="9" customFormat="1" ht="35.1" customHeight="1" x14ac:dyDescent="0.25">
      <c r="A314" s="255" t="s">
        <v>385</v>
      </c>
      <c r="B314" s="241" t="s">
        <v>386</v>
      </c>
      <c r="C314" s="255" t="s">
        <v>1422</v>
      </c>
      <c r="D314" s="295">
        <v>3</v>
      </c>
      <c r="E314" s="243">
        <v>45253</v>
      </c>
      <c r="F314" s="243">
        <f t="shared" si="11"/>
        <v>135759</v>
      </c>
    </row>
    <row r="315" spans="1:6" s="9" customFormat="1" ht="35.1" customHeight="1" x14ac:dyDescent="0.25">
      <c r="A315" s="283" t="s">
        <v>387</v>
      </c>
      <c r="B315" s="256" t="s">
        <v>388</v>
      </c>
      <c r="C315" s="256"/>
      <c r="D315" s="313"/>
      <c r="E315" s="303"/>
      <c r="F315" s="246"/>
    </row>
    <row r="316" spans="1:6" s="9" customFormat="1" ht="35.1" customHeight="1" x14ac:dyDescent="0.25">
      <c r="A316" s="255" t="s">
        <v>389</v>
      </c>
      <c r="B316" s="254" t="s">
        <v>390</v>
      </c>
      <c r="C316" s="255" t="s">
        <v>269</v>
      </c>
      <c r="D316" s="295">
        <v>340</v>
      </c>
      <c r="E316" s="243">
        <v>37056</v>
      </c>
      <c r="F316" s="243">
        <f t="shared" ref="F316:F329" si="12">ROUND(+E316*D316,2)</f>
        <v>12599040</v>
      </c>
    </row>
    <row r="317" spans="1:6" s="9" customFormat="1" ht="35.1" customHeight="1" x14ac:dyDescent="0.25">
      <c r="A317" s="255" t="s">
        <v>391</v>
      </c>
      <c r="B317" s="241" t="s">
        <v>392</v>
      </c>
      <c r="C317" s="240" t="s">
        <v>269</v>
      </c>
      <c r="D317" s="295">
        <v>167</v>
      </c>
      <c r="E317" s="243">
        <v>52865</v>
      </c>
      <c r="F317" s="243">
        <f t="shared" si="12"/>
        <v>8828455</v>
      </c>
    </row>
    <row r="318" spans="1:6" s="9" customFormat="1" ht="35.1" customHeight="1" x14ac:dyDescent="0.25">
      <c r="A318" s="255" t="s">
        <v>393</v>
      </c>
      <c r="B318" s="241" t="s">
        <v>394</v>
      </c>
      <c r="C318" s="240" t="s">
        <v>269</v>
      </c>
      <c r="D318" s="295">
        <v>221</v>
      </c>
      <c r="E318" s="243">
        <v>95536</v>
      </c>
      <c r="F318" s="243">
        <f t="shared" si="12"/>
        <v>21113456</v>
      </c>
    </row>
    <row r="319" spans="1:6" s="9" customFormat="1" ht="35.1" customHeight="1" x14ac:dyDescent="0.25">
      <c r="A319" s="255" t="s">
        <v>395</v>
      </c>
      <c r="B319" s="241" t="s">
        <v>396</v>
      </c>
      <c r="C319" s="255" t="s">
        <v>16</v>
      </c>
      <c r="D319" s="295">
        <v>139</v>
      </c>
      <c r="E319" s="243">
        <v>10973</v>
      </c>
      <c r="F319" s="243">
        <f t="shared" si="12"/>
        <v>1525247</v>
      </c>
    </row>
    <row r="320" spans="1:6" s="9" customFormat="1" ht="35.1" customHeight="1" x14ac:dyDescent="0.25">
      <c r="A320" s="255" t="s">
        <v>397</v>
      </c>
      <c r="B320" s="285" t="s">
        <v>398</v>
      </c>
      <c r="C320" s="255" t="s">
        <v>16</v>
      </c>
      <c r="D320" s="295">
        <v>79</v>
      </c>
      <c r="E320" s="243">
        <v>16126</v>
      </c>
      <c r="F320" s="243">
        <f t="shared" si="12"/>
        <v>1273954</v>
      </c>
    </row>
    <row r="321" spans="1:6" s="9" customFormat="1" ht="35.1" customHeight="1" x14ac:dyDescent="0.25">
      <c r="A321" s="255" t="s">
        <v>399</v>
      </c>
      <c r="B321" s="241" t="s">
        <v>400</v>
      </c>
      <c r="C321" s="255" t="s">
        <v>16</v>
      </c>
      <c r="D321" s="295">
        <v>93</v>
      </c>
      <c r="E321" s="243">
        <v>76849</v>
      </c>
      <c r="F321" s="243">
        <f t="shared" si="12"/>
        <v>7146957</v>
      </c>
    </row>
    <row r="322" spans="1:6" s="9" customFormat="1" ht="35.1" customHeight="1" x14ac:dyDescent="0.25">
      <c r="A322" s="255" t="s">
        <v>401</v>
      </c>
      <c r="B322" s="241" t="s">
        <v>402</v>
      </c>
      <c r="C322" s="240" t="s">
        <v>269</v>
      </c>
      <c r="D322" s="295">
        <v>43</v>
      </c>
      <c r="E322" s="243">
        <v>51297</v>
      </c>
      <c r="F322" s="243">
        <f t="shared" si="12"/>
        <v>2205771</v>
      </c>
    </row>
    <row r="323" spans="1:6" s="9" customFormat="1" ht="35.1" customHeight="1" x14ac:dyDescent="0.25">
      <c r="A323" s="255" t="s">
        <v>403</v>
      </c>
      <c r="B323" s="241" t="s">
        <v>404</v>
      </c>
      <c r="C323" s="240" t="s">
        <v>269</v>
      </c>
      <c r="D323" s="295">
        <v>31</v>
      </c>
      <c r="E323" s="243">
        <v>63040</v>
      </c>
      <c r="F323" s="243">
        <f t="shared" si="12"/>
        <v>1954240</v>
      </c>
    </row>
    <row r="324" spans="1:6" s="9" customFormat="1" ht="35.1" customHeight="1" x14ac:dyDescent="0.25">
      <c r="A324" s="255" t="s">
        <v>405</v>
      </c>
      <c r="B324" s="241" t="s">
        <v>406</v>
      </c>
      <c r="C324" s="240" t="s">
        <v>269</v>
      </c>
      <c r="D324" s="295">
        <v>50</v>
      </c>
      <c r="E324" s="243">
        <v>54906</v>
      </c>
      <c r="F324" s="243">
        <f t="shared" si="12"/>
        <v>2745300</v>
      </c>
    </row>
    <row r="325" spans="1:6" s="9" customFormat="1" ht="35.1" customHeight="1" x14ac:dyDescent="0.25">
      <c r="A325" s="255" t="s">
        <v>407</v>
      </c>
      <c r="B325" s="241" t="s">
        <v>408</v>
      </c>
      <c r="C325" s="240" t="s">
        <v>269</v>
      </c>
      <c r="D325" s="295">
        <v>30</v>
      </c>
      <c r="E325" s="243">
        <v>28625</v>
      </c>
      <c r="F325" s="243">
        <f t="shared" si="12"/>
        <v>858750</v>
      </c>
    </row>
    <row r="326" spans="1:6" s="9" customFormat="1" ht="35.1" customHeight="1" x14ac:dyDescent="0.25">
      <c r="A326" s="255" t="s">
        <v>409</v>
      </c>
      <c r="B326" s="241" t="s">
        <v>410</v>
      </c>
      <c r="C326" s="240" t="s">
        <v>269</v>
      </c>
      <c r="D326" s="295">
        <v>15</v>
      </c>
      <c r="E326" s="243">
        <v>35178</v>
      </c>
      <c r="F326" s="243">
        <f t="shared" si="12"/>
        <v>527670</v>
      </c>
    </row>
    <row r="327" spans="1:6" s="9" customFormat="1" ht="35.1" customHeight="1" x14ac:dyDescent="0.25">
      <c r="A327" s="255" t="s">
        <v>411</v>
      </c>
      <c r="B327" s="241" t="s">
        <v>412</v>
      </c>
      <c r="C327" s="240" t="s">
        <v>269</v>
      </c>
      <c r="D327" s="295">
        <v>70</v>
      </c>
      <c r="E327" s="243">
        <v>46966</v>
      </c>
      <c r="F327" s="243">
        <f t="shared" si="12"/>
        <v>3287620</v>
      </c>
    </row>
    <row r="328" spans="1:6" s="9" customFormat="1" ht="35.1" customHeight="1" x14ac:dyDescent="0.25">
      <c r="A328" s="255" t="s">
        <v>413</v>
      </c>
      <c r="B328" s="241" t="s">
        <v>414</v>
      </c>
      <c r="C328" s="240" t="s">
        <v>269</v>
      </c>
      <c r="D328" s="295">
        <v>20</v>
      </c>
      <c r="E328" s="243">
        <v>81938</v>
      </c>
      <c r="F328" s="243">
        <f t="shared" si="12"/>
        <v>1638760</v>
      </c>
    </row>
    <row r="329" spans="1:6" s="9" customFormat="1" ht="35.1" customHeight="1" x14ac:dyDescent="0.25">
      <c r="A329" s="255" t="s">
        <v>415</v>
      </c>
      <c r="B329" s="241" t="s">
        <v>358</v>
      </c>
      <c r="C329" s="240" t="s">
        <v>1422</v>
      </c>
      <c r="D329" s="295">
        <v>4</v>
      </c>
      <c r="E329" s="243">
        <v>556137</v>
      </c>
      <c r="F329" s="243">
        <f t="shared" si="12"/>
        <v>2224548</v>
      </c>
    </row>
    <row r="330" spans="1:6" s="9" customFormat="1" ht="35.1" customHeight="1" x14ac:dyDescent="0.25">
      <c r="A330" s="283" t="s">
        <v>416</v>
      </c>
      <c r="B330" s="256" t="s">
        <v>417</v>
      </c>
      <c r="C330" s="256" t="s">
        <v>369</v>
      </c>
      <c r="D330" s="313"/>
      <c r="E330" s="303"/>
      <c r="F330" s="246"/>
    </row>
    <row r="331" spans="1:6" s="9" customFormat="1" ht="35.1" customHeight="1" x14ac:dyDescent="0.25">
      <c r="A331" s="240" t="s">
        <v>418</v>
      </c>
      <c r="B331" s="241" t="s">
        <v>1222</v>
      </c>
      <c r="C331" s="240" t="s">
        <v>420</v>
      </c>
      <c r="D331" s="295">
        <v>94</v>
      </c>
      <c r="E331" s="243">
        <v>40990</v>
      </c>
      <c r="F331" s="243">
        <f>ROUND(+E331*D331,2)</f>
        <v>3853060</v>
      </c>
    </row>
    <row r="332" spans="1:6" s="9" customFormat="1" ht="35.1" customHeight="1" x14ac:dyDescent="0.25">
      <c r="A332" s="240" t="s">
        <v>421</v>
      </c>
      <c r="B332" s="241" t="s">
        <v>422</v>
      </c>
      <c r="C332" s="240" t="s">
        <v>420</v>
      </c>
      <c r="D332" s="295">
        <v>28</v>
      </c>
      <c r="E332" s="243">
        <v>77514</v>
      </c>
      <c r="F332" s="243">
        <f>ROUND(+E332*D332,2)</f>
        <v>2170392</v>
      </c>
    </row>
    <row r="333" spans="1:6" s="9" customFormat="1" ht="35.1" customHeight="1" x14ac:dyDescent="0.25">
      <c r="A333" s="240" t="s">
        <v>423</v>
      </c>
      <c r="B333" s="241" t="s">
        <v>36</v>
      </c>
      <c r="C333" s="240" t="s">
        <v>420</v>
      </c>
      <c r="D333" s="295">
        <v>28</v>
      </c>
      <c r="E333" s="243">
        <v>64537</v>
      </c>
      <c r="F333" s="243">
        <f>ROUND(+E333*D333,2)</f>
        <v>1807036</v>
      </c>
    </row>
    <row r="334" spans="1:6" s="9" customFormat="1" ht="35.1" customHeight="1" x14ac:dyDescent="0.25">
      <c r="A334" s="240" t="s">
        <v>424</v>
      </c>
      <c r="B334" s="241" t="s">
        <v>425</v>
      </c>
      <c r="C334" s="240" t="s">
        <v>420</v>
      </c>
      <c r="D334" s="295">
        <v>37</v>
      </c>
      <c r="E334" s="243">
        <v>12819</v>
      </c>
      <c r="F334" s="243">
        <f>ROUND(+E334*D334,2)</f>
        <v>474303</v>
      </c>
    </row>
    <row r="335" spans="1:6" s="9" customFormat="1" ht="35.1" customHeight="1" x14ac:dyDescent="0.25">
      <c r="A335" s="283" t="s">
        <v>426</v>
      </c>
      <c r="B335" s="256" t="s">
        <v>427</v>
      </c>
      <c r="C335" s="256" t="s">
        <v>369</v>
      </c>
      <c r="D335" s="313"/>
      <c r="E335" s="303"/>
      <c r="F335" s="246"/>
    </row>
    <row r="336" spans="1:6" s="9" customFormat="1" ht="35.1" customHeight="1" x14ac:dyDescent="0.25">
      <c r="A336" s="240" t="s">
        <v>428</v>
      </c>
      <c r="B336" s="241" t="s">
        <v>1223</v>
      </c>
      <c r="C336" s="255" t="s">
        <v>16</v>
      </c>
      <c r="D336" s="295">
        <v>1</v>
      </c>
      <c r="E336" s="243">
        <v>35859926</v>
      </c>
      <c r="F336" s="243">
        <f>ROUND(+E336*D336,2)</f>
        <v>35859926</v>
      </c>
    </row>
    <row r="337" spans="1:6" s="9" customFormat="1" ht="35.1" customHeight="1" x14ac:dyDescent="0.25">
      <c r="A337" s="240" t="s">
        <v>430</v>
      </c>
      <c r="B337" s="241" t="s">
        <v>1224</v>
      </c>
      <c r="C337" s="255" t="s">
        <v>16</v>
      </c>
      <c r="D337" s="295">
        <v>1</v>
      </c>
      <c r="E337" s="243">
        <v>98214761</v>
      </c>
      <c r="F337" s="243">
        <f>ROUND(+E337*D337,2)</f>
        <v>98214761</v>
      </c>
    </row>
    <row r="338" spans="1:6" s="9" customFormat="1" ht="35.1" customHeight="1" x14ac:dyDescent="0.25">
      <c r="A338" s="255" t="s">
        <v>432</v>
      </c>
      <c r="B338" s="241" t="s">
        <v>433</v>
      </c>
      <c r="C338" s="255" t="s">
        <v>16</v>
      </c>
      <c r="D338" s="295">
        <v>1</v>
      </c>
      <c r="E338" s="243">
        <v>14455163</v>
      </c>
      <c r="F338" s="243">
        <f>ROUND(+E338*D338,2)</f>
        <v>14455163</v>
      </c>
    </row>
    <row r="339" spans="1:6" s="9" customFormat="1" ht="35.1" customHeight="1" x14ac:dyDescent="0.25">
      <c r="A339" s="247">
        <v>13</v>
      </c>
      <c r="B339" s="248" t="s">
        <v>434</v>
      </c>
      <c r="C339" s="248"/>
      <c r="D339" s="314"/>
      <c r="E339" s="305"/>
      <c r="F339" s="249"/>
    </row>
    <row r="340" spans="1:6" s="9" customFormat="1" ht="35.1" customHeight="1" x14ac:dyDescent="0.25">
      <c r="A340" s="286" t="s">
        <v>435</v>
      </c>
      <c r="B340" s="287" t="s">
        <v>436</v>
      </c>
      <c r="C340" s="287"/>
      <c r="D340" s="318"/>
      <c r="E340" s="309"/>
      <c r="F340" s="288"/>
    </row>
    <row r="341" spans="1:6" s="9" customFormat="1" ht="35.1" customHeight="1" x14ac:dyDescent="0.25">
      <c r="A341" s="255" t="s">
        <v>437</v>
      </c>
      <c r="B341" s="254" t="s">
        <v>438</v>
      </c>
      <c r="C341" s="255" t="s">
        <v>269</v>
      </c>
      <c r="D341" s="295">
        <v>951</v>
      </c>
      <c r="E341" s="243">
        <v>24951</v>
      </c>
      <c r="F341" s="243">
        <f t="shared" ref="F341:F353" si="13">ROUND(+E341*D341,2)</f>
        <v>23728401</v>
      </c>
    </row>
    <row r="342" spans="1:6" s="9" customFormat="1" ht="35.1" customHeight="1" x14ac:dyDescent="0.25">
      <c r="A342" s="255" t="s">
        <v>439</v>
      </c>
      <c r="B342" s="254" t="s">
        <v>440</v>
      </c>
      <c r="C342" s="255" t="s">
        <v>269</v>
      </c>
      <c r="D342" s="295">
        <v>479</v>
      </c>
      <c r="E342" s="243">
        <v>53442</v>
      </c>
      <c r="F342" s="243">
        <f t="shared" si="13"/>
        <v>25598718</v>
      </c>
    </row>
    <row r="343" spans="1:6" s="9" customFormat="1" ht="35.1" customHeight="1" x14ac:dyDescent="0.25">
      <c r="A343" s="255" t="s">
        <v>441</v>
      </c>
      <c r="B343" s="254" t="s">
        <v>442</v>
      </c>
      <c r="C343" s="255" t="s">
        <v>269</v>
      </c>
      <c r="D343" s="295">
        <v>413</v>
      </c>
      <c r="E343" s="243">
        <v>99572</v>
      </c>
      <c r="F343" s="243">
        <f t="shared" si="13"/>
        <v>41123236</v>
      </c>
    </row>
    <row r="344" spans="1:6" s="9" customFormat="1" ht="35.1" customHeight="1" x14ac:dyDescent="0.25">
      <c r="A344" s="255" t="s">
        <v>443</v>
      </c>
      <c r="B344" s="254" t="s">
        <v>444</v>
      </c>
      <c r="C344" s="255" t="s">
        <v>269</v>
      </c>
      <c r="D344" s="295">
        <v>60</v>
      </c>
      <c r="E344" s="243">
        <v>140507</v>
      </c>
      <c r="F344" s="243">
        <f t="shared" si="13"/>
        <v>8430420</v>
      </c>
    </row>
    <row r="345" spans="1:6" s="9" customFormat="1" ht="35.1" customHeight="1" x14ac:dyDescent="0.25">
      <c r="A345" s="255" t="s">
        <v>445</v>
      </c>
      <c r="B345" s="254" t="s">
        <v>446</v>
      </c>
      <c r="C345" s="255" t="s">
        <v>1422</v>
      </c>
      <c r="D345" s="295">
        <v>351</v>
      </c>
      <c r="E345" s="243">
        <v>8405</v>
      </c>
      <c r="F345" s="243">
        <f t="shared" si="13"/>
        <v>2950155</v>
      </c>
    </row>
    <row r="346" spans="1:6" s="9" customFormat="1" ht="35.1" customHeight="1" x14ac:dyDescent="0.25">
      <c r="A346" s="255" t="s">
        <v>447</v>
      </c>
      <c r="B346" s="254" t="s">
        <v>448</v>
      </c>
      <c r="C346" s="255" t="s">
        <v>1422</v>
      </c>
      <c r="D346" s="295">
        <v>130</v>
      </c>
      <c r="E346" s="243">
        <v>18288</v>
      </c>
      <c r="F346" s="243">
        <f t="shared" si="13"/>
        <v>2377440</v>
      </c>
    </row>
    <row r="347" spans="1:6" s="9" customFormat="1" ht="35.1" customHeight="1" x14ac:dyDescent="0.25">
      <c r="A347" s="255" t="s">
        <v>449</v>
      </c>
      <c r="B347" s="254" t="s">
        <v>450</v>
      </c>
      <c r="C347" s="255" t="s">
        <v>1422</v>
      </c>
      <c r="D347" s="295">
        <v>176</v>
      </c>
      <c r="E347" s="243">
        <v>28316</v>
      </c>
      <c r="F347" s="243">
        <f t="shared" si="13"/>
        <v>4983616</v>
      </c>
    </row>
    <row r="348" spans="1:6" s="9" customFormat="1" ht="35.1" customHeight="1" x14ac:dyDescent="0.25">
      <c r="A348" s="255" t="s">
        <v>451</v>
      </c>
      <c r="B348" s="254" t="s">
        <v>452</v>
      </c>
      <c r="C348" s="255" t="s">
        <v>1422</v>
      </c>
      <c r="D348" s="295">
        <v>26</v>
      </c>
      <c r="E348" s="243">
        <v>44248</v>
      </c>
      <c r="F348" s="243">
        <f t="shared" si="13"/>
        <v>1150448</v>
      </c>
    </row>
    <row r="349" spans="1:6" s="9" customFormat="1" ht="35.1" customHeight="1" x14ac:dyDescent="0.25">
      <c r="A349" s="255" t="s">
        <v>453</v>
      </c>
      <c r="B349" s="254" t="s">
        <v>454</v>
      </c>
      <c r="C349" s="255" t="s">
        <v>1422</v>
      </c>
      <c r="D349" s="295">
        <v>76</v>
      </c>
      <c r="E349" s="243">
        <v>8532</v>
      </c>
      <c r="F349" s="243">
        <f t="shared" si="13"/>
        <v>648432</v>
      </c>
    </row>
    <row r="350" spans="1:6" s="9" customFormat="1" ht="35.1" customHeight="1" x14ac:dyDescent="0.25">
      <c r="A350" s="255" t="s">
        <v>455</v>
      </c>
      <c r="B350" s="254" t="s">
        <v>456</v>
      </c>
      <c r="C350" s="255" t="s">
        <v>1422</v>
      </c>
      <c r="D350" s="295">
        <v>80</v>
      </c>
      <c r="E350" s="243">
        <v>11325</v>
      </c>
      <c r="F350" s="243">
        <f t="shared" si="13"/>
        <v>906000</v>
      </c>
    </row>
    <row r="351" spans="1:6" s="9" customFormat="1" ht="35.1" customHeight="1" x14ac:dyDescent="0.25">
      <c r="A351" s="255" t="s">
        <v>457</v>
      </c>
      <c r="B351" s="254" t="s">
        <v>458</v>
      </c>
      <c r="C351" s="255" t="s">
        <v>1422</v>
      </c>
      <c r="D351" s="295">
        <v>12</v>
      </c>
      <c r="E351" s="243">
        <v>14011</v>
      </c>
      <c r="F351" s="243">
        <f t="shared" si="13"/>
        <v>168132</v>
      </c>
    </row>
    <row r="352" spans="1:6" s="9" customFormat="1" ht="35.1" customHeight="1" x14ac:dyDescent="0.25">
      <c r="A352" s="255" t="s">
        <v>459</v>
      </c>
      <c r="B352" s="254" t="s">
        <v>460</v>
      </c>
      <c r="C352" s="255" t="s">
        <v>269</v>
      </c>
      <c r="D352" s="295">
        <v>824</v>
      </c>
      <c r="E352" s="243">
        <v>6038</v>
      </c>
      <c r="F352" s="243">
        <f t="shared" si="13"/>
        <v>4975312</v>
      </c>
    </row>
    <row r="353" spans="1:6" s="9" customFormat="1" ht="35.1" customHeight="1" x14ac:dyDescent="0.25">
      <c r="A353" s="255" t="s">
        <v>461</v>
      </c>
      <c r="B353" s="254" t="s">
        <v>462</v>
      </c>
      <c r="C353" s="255" t="s">
        <v>269</v>
      </c>
      <c r="D353" s="295">
        <v>147</v>
      </c>
      <c r="E353" s="243">
        <v>10269</v>
      </c>
      <c r="F353" s="243">
        <f t="shared" si="13"/>
        <v>1509543</v>
      </c>
    </row>
    <row r="354" spans="1:6" s="9" customFormat="1" ht="35.1" customHeight="1" x14ac:dyDescent="0.25">
      <c r="A354" s="286" t="s">
        <v>463</v>
      </c>
      <c r="B354" s="287" t="s">
        <v>464</v>
      </c>
      <c r="C354" s="287"/>
      <c r="D354" s="318"/>
      <c r="E354" s="309"/>
      <c r="F354" s="288"/>
    </row>
    <row r="355" spans="1:6" s="9" customFormat="1" ht="35.1" customHeight="1" x14ac:dyDescent="0.25">
      <c r="A355" s="255" t="s">
        <v>465</v>
      </c>
      <c r="B355" s="254" t="s">
        <v>466</v>
      </c>
      <c r="C355" s="255" t="s">
        <v>1422</v>
      </c>
      <c r="D355" s="295">
        <v>378</v>
      </c>
      <c r="E355" s="243">
        <v>60880</v>
      </c>
      <c r="F355" s="243">
        <f t="shared" ref="F355:F369" si="14">ROUND(+E355*D355,2)</f>
        <v>23012640</v>
      </c>
    </row>
    <row r="356" spans="1:6" s="9" customFormat="1" ht="35.1" customHeight="1" x14ac:dyDescent="0.25">
      <c r="A356" s="255" t="s">
        <v>467</v>
      </c>
      <c r="B356" s="254" t="s">
        <v>468</v>
      </c>
      <c r="C356" s="255" t="s">
        <v>1422</v>
      </c>
      <c r="D356" s="295">
        <v>52</v>
      </c>
      <c r="E356" s="243">
        <v>39891</v>
      </c>
      <c r="F356" s="243">
        <f t="shared" si="14"/>
        <v>2074332</v>
      </c>
    </row>
    <row r="357" spans="1:6" s="9" customFormat="1" ht="35.1" customHeight="1" x14ac:dyDescent="0.25">
      <c r="A357" s="255" t="s">
        <v>469</v>
      </c>
      <c r="B357" s="254" t="s">
        <v>470</v>
      </c>
      <c r="C357" s="255" t="s">
        <v>1422</v>
      </c>
      <c r="D357" s="295">
        <v>37</v>
      </c>
      <c r="E357" s="243">
        <v>131639</v>
      </c>
      <c r="F357" s="243">
        <f t="shared" si="14"/>
        <v>4870643</v>
      </c>
    </row>
    <row r="358" spans="1:6" s="9" customFormat="1" ht="35.1" customHeight="1" x14ac:dyDescent="0.25">
      <c r="A358" s="255" t="s">
        <v>471</v>
      </c>
      <c r="B358" s="254" t="s">
        <v>472</v>
      </c>
      <c r="C358" s="255" t="s">
        <v>1422</v>
      </c>
      <c r="D358" s="295">
        <v>467</v>
      </c>
      <c r="E358" s="243">
        <v>48051</v>
      </c>
      <c r="F358" s="243">
        <f t="shared" si="14"/>
        <v>22439817</v>
      </c>
    </row>
    <row r="359" spans="1:6" s="9" customFormat="1" ht="35.1" customHeight="1" x14ac:dyDescent="0.25">
      <c r="A359" s="255" t="s">
        <v>473</v>
      </c>
      <c r="B359" s="254" t="s">
        <v>474</v>
      </c>
      <c r="C359" s="255" t="s">
        <v>1422</v>
      </c>
      <c r="D359" s="295">
        <v>5</v>
      </c>
      <c r="E359" s="243">
        <v>4291257</v>
      </c>
      <c r="F359" s="243">
        <f t="shared" si="14"/>
        <v>21456285</v>
      </c>
    </row>
    <row r="360" spans="1:6" s="9" customFormat="1" ht="35.1" customHeight="1" x14ac:dyDescent="0.25">
      <c r="A360" s="255" t="s">
        <v>475</v>
      </c>
      <c r="B360" s="254" t="s">
        <v>476</v>
      </c>
      <c r="C360" s="255" t="s">
        <v>1422</v>
      </c>
      <c r="D360" s="295">
        <v>10</v>
      </c>
      <c r="E360" s="243">
        <v>82150</v>
      </c>
      <c r="F360" s="243">
        <f t="shared" si="14"/>
        <v>821500</v>
      </c>
    </row>
    <row r="361" spans="1:6" s="9" customFormat="1" ht="35.1" customHeight="1" x14ac:dyDescent="0.25">
      <c r="A361" s="255" t="s">
        <v>477</v>
      </c>
      <c r="B361" s="254" t="s">
        <v>478</v>
      </c>
      <c r="C361" s="255" t="s">
        <v>1422</v>
      </c>
      <c r="D361" s="295">
        <v>2</v>
      </c>
      <c r="E361" s="243">
        <v>1524289</v>
      </c>
      <c r="F361" s="243">
        <f t="shared" si="14"/>
        <v>3048578</v>
      </c>
    </row>
    <row r="362" spans="1:6" s="9" customFormat="1" ht="35.1" customHeight="1" x14ac:dyDescent="0.25">
      <c r="A362" s="255" t="s">
        <v>479</v>
      </c>
      <c r="B362" s="254" t="s">
        <v>480</v>
      </c>
      <c r="C362" s="255" t="s">
        <v>1422</v>
      </c>
      <c r="D362" s="295">
        <v>1</v>
      </c>
      <c r="E362" s="243">
        <v>5512716</v>
      </c>
      <c r="F362" s="243">
        <f t="shared" si="14"/>
        <v>5512716</v>
      </c>
    </row>
    <row r="363" spans="1:6" s="9" customFormat="1" ht="35.1" customHeight="1" x14ac:dyDescent="0.25">
      <c r="A363" s="255" t="s">
        <v>481</v>
      </c>
      <c r="B363" s="254" t="s">
        <v>482</v>
      </c>
      <c r="C363" s="255" t="s">
        <v>1422</v>
      </c>
      <c r="D363" s="295">
        <v>1</v>
      </c>
      <c r="E363" s="243">
        <v>440410</v>
      </c>
      <c r="F363" s="243">
        <f t="shared" si="14"/>
        <v>440410</v>
      </c>
    </row>
    <row r="364" spans="1:6" s="9" customFormat="1" ht="35.1" customHeight="1" x14ac:dyDescent="0.25">
      <c r="A364" s="255" t="s">
        <v>483</v>
      </c>
      <c r="B364" s="254" t="s">
        <v>484</v>
      </c>
      <c r="C364" s="255" t="s">
        <v>1422</v>
      </c>
      <c r="D364" s="295">
        <v>1</v>
      </c>
      <c r="E364" s="243">
        <v>1584366</v>
      </c>
      <c r="F364" s="243">
        <f t="shared" si="14"/>
        <v>1584366</v>
      </c>
    </row>
    <row r="365" spans="1:6" s="9" customFormat="1" ht="35.1" customHeight="1" x14ac:dyDescent="0.25">
      <c r="A365" s="255" t="s">
        <v>485</v>
      </c>
      <c r="B365" s="254" t="s">
        <v>486</v>
      </c>
      <c r="C365" s="255" t="s">
        <v>1422</v>
      </c>
      <c r="D365" s="295">
        <v>20</v>
      </c>
      <c r="E365" s="243">
        <v>143318</v>
      </c>
      <c r="F365" s="243">
        <f t="shared" si="14"/>
        <v>2866360</v>
      </c>
    </row>
    <row r="366" spans="1:6" s="9" customFormat="1" ht="35.1" customHeight="1" x14ac:dyDescent="0.25">
      <c r="A366" s="255" t="s">
        <v>487</v>
      </c>
      <c r="B366" s="254" t="s">
        <v>488</v>
      </c>
      <c r="C366" s="255" t="s">
        <v>1422</v>
      </c>
      <c r="D366" s="295">
        <v>3</v>
      </c>
      <c r="E366" s="243">
        <v>288238</v>
      </c>
      <c r="F366" s="243">
        <f t="shared" si="14"/>
        <v>864714</v>
      </c>
    </row>
    <row r="367" spans="1:6" s="9" customFormat="1" ht="35.1" customHeight="1" x14ac:dyDescent="0.25">
      <c r="A367" s="255" t="s">
        <v>489</v>
      </c>
      <c r="B367" s="254" t="s">
        <v>490</v>
      </c>
      <c r="C367" s="255" t="s">
        <v>1422</v>
      </c>
      <c r="D367" s="295">
        <v>44</v>
      </c>
      <c r="E367" s="243">
        <v>123260</v>
      </c>
      <c r="F367" s="243">
        <f t="shared" si="14"/>
        <v>5423440</v>
      </c>
    </row>
    <row r="368" spans="1:6" s="9" customFormat="1" ht="35.1" customHeight="1" x14ac:dyDescent="0.25">
      <c r="A368" s="255" t="s">
        <v>491</v>
      </c>
      <c r="B368" s="254" t="s">
        <v>492</v>
      </c>
      <c r="C368" s="255" t="s">
        <v>1422</v>
      </c>
      <c r="D368" s="295">
        <v>37</v>
      </c>
      <c r="E368" s="243">
        <v>129848</v>
      </c>
      <c r="F368" s="243">
        <f t="shared" si="14"/>
        <v>4804376</v>
      </c>
    </row>
    <row r="369" spans="1:6" s="9" customFormat="1" ht="35.1" customHeight="1" x14ac:dyDescent="0.25">
      <c r="A369" s="255" t="s">
        <v>493</v>
      </c>
      <c r="B369" s="254" t="s">
        <v>494</v>
      </c>
      <c r="C369" s="255" t="s">
        <v>1422</v>
      </c>
      <c r="D369" s="295">
        <v>8</v>
      </c>
      <c r="E369" s="243">
        <v>1646911</v>
      </c>
      <c r="F369" s="243">
        <f t="shared" si="14"/>
        <v>13175288</v>
      </c>
    </row>
    <row r="370" spans="1:6" s="9" customFormat="1" ht="35.1" customHeight="1" x14ac:dyDescent="0.25">
      <c r="A370" s="266">
        <v>14</v>
      </c>
      <c r="B370" s="267" t="s">
        <v>495</v>
      </c>
      <c r="C370" s="267"/>
      <c r="D370" s="316"/>
      <c r="E370" s="306"/>
      <c r="F370" s="268"/>
    </row>
    <row r="371" spans="1:6" s="9" customFormat="1" ht="35.1" customHeight="1" x14ac:dyDescent="0.25">
      <c r="A371" s="283" t="s">
        <v>496</v>
      </c>
      <c r="B371" s="278" t="s">
        <v>497</v>
      </c>
      <c r="C371" s="256"/>
      <c r="D371" s="313"/>
      <c r="E371" s="303"/>
      <c r="F371" s="246"/>
    </row>
    <row r="372" spans="1:6" s="9" customFormat="1" ht="35.1" customHeight="1" x14ac:dyDescent="0.25">
      <c r="A372" s="255" t="s">
        <v>498</v>
      </c>
      <c r="B372" s="87" t="s">
        <v>499</v>
      </c>
      <c r="C372" s="255" t="s">
        <v>16</v>
      </c>
      <c r="D372" s="295">
        <v>210</v>
      </c>
      <c r="E372" s="243">
        <v>85196</v>
      </c>
      <c r="F372" s="243">
        <f t="shared" ref="F372:F387" si="15">ROUND(+E372*D372,2)</f>
        <v>17891160</v>
      </c>
    </row>
    <row r="373" spans="1:6" s="9" customFormat="1" ht="35.1" customHeight="1" x14ac:dyDescent="0.25">
      <c r="A373" s="255" t="s">
        <v>500</v>
      </c>
      <c r="B373" s="87" t="s">
        <v>501</v>
      </c>
      <c r="C373" s="255" t="s">
        <v>16</v>
      </c>
      <c r="D373" s="295">
        <v>112</v>
      </c>
      <c r="E373" s="243">
        <v>77072</v>
      </c>
      <c r="F373" s="243">
        <f t="shared" si="15"/>
        <v>8632064</v>
      </c>
    </row>
    <row r="374" spans="1:6" s="9" customFormat="1" ht="35.1" customHeight="1" x14ac:dyDescent="0.25">
      <c r="A374" s="255" t="s">
        <v>502</v>
      </c>
      <c r="B374" s="254" t="s">
        <v>503</v>
      </c>
      <c r="C374" s="255" t="s">
        <v>16</v>
      </c>
      <c r="D374" s="295">
        <v>166</v>
      </c>
      <c r="E374" s="243">
        <v>72264</v>
      </c>
      <c r="F374" s="243">
        <f t="shared" si="15"/>
        <v>11995824</v>
      </c>
    </row>
    <row r="375" spans="1:6" s="9" customFormat="1" ht="35.1" customHeight="1" x14ac:dyDescent="0.25">
      <c r="A375" s="255" t="s">
        <v>504</v>
      </c>
      <c r="B375" s="254" t="s">
        <v>505</v>
      </c>
      <c r="C375" s="255" t="s">
        <v>16</v>
      </c>
      <c r="D375" s="295">
        <v>69</v>
      </c>
      <c r="E375" s="243">
        <v>72264</v>
      </c>
      <c r="F375" s="243">
        <f t="shared" si="15"/>
        <v>4986216</v>
      </c>
    </row>
    <row r="376" spans="1:6" s="9" customFormat="1" ht="35.1" customHeight="1" x14ac:dyDescent="0.25">
      <c r="A376" s="255" t="s">
        <v>506</v>
      </c>
      <c r="B376" s="254" t="s">
        <v>507</v>
      </c>
      <c r="C376" s="255" t="s">
        <v>16</v>
      </c>
      <c r="D376" s="295">
        <v>252</v>
      </c>
      <c r="E376" s="243">
        <v>72264</v>
      </c>
      <c r="F376" s="243">
        <f t="shared" si="15"/>
        <v>18210528</v>
      </c>
    </row>
    <row r="377" spans="1:6" s="9" customFormat="1" ht="35.1" customHeight="1" x14ac:dyDescent="0.25">
      <c r="A377" s="255" t="s">
        <v>508</v>
      </c>
      <c r="B377" s="254" t="s">
        <v>509</v>
      </c>
      <c r="C377" s="255" t="s">
        <v>16</v>
      </c>
      <c r="D377" s="295">
        <v>8</v>
      </c>
      <c r="E377" s="243">
        <v>69983</v>
      </c>
      <c r="F377" s="243">
        <f t="shared" si="15"/>
        <v>559864</v>
      </c>
    </row>
    <row r="378" spans="1:6" s="9" customFormat="1" ht="35.1" customHeight="1" x14ac:dyDescent="0.25">
      <c r="A378" s="255" t="s">
        <v>510</v>
      </c>
      <c r="B378" s="254" t="s">
        <v>511</v>
      </c>
      <c r="C378" s="255" t="s">
        <v>16</v>
      </c>
      <c r="D378" s="295">
        <v>8</v>
      </c>
      <c r="E378" s="243">
        <v>76723</v>
      </c>
      <c r="F378" s="243">
        <f t="shared" si="15"/>
        <v>613784</v>
      </c>
    </row>
    <row r="379" spans="1:6" s="9" customFormat="1" ht="35.1" customHeight="1" x14ac:dyDescent="0.25">
      <c r="A379" s="255" t="s">
        <v>512</v>
      </c>
      <c r="B379" s="254" t="s">
        <v>513</v>
      </c>
      <c r="C379" s="255" t="s">
        <v>16</v>
      </c>
      <c r="D379" s="295">
        <v>92</v>
      </c>
      <c r="E379" s="243">
        <v>76723</v>
      </c>
      <c r="F379" s="243">
        <f t="shared" si="15"/>
        <v>7058516</v>
      </c>
    </row>
    <row r="380" spans="1:6" s="9" customFormat="1" ht="35.1" customHeight="1" x14ac:dyDescent="0.25">
      <c r="A380" s="255" t="s">
        <v>514</v>
      </c>
      <c r="B380" s="254" t="s">
        <v>515</v>
      </c>
      <c r="C380" s="255" t="s">
        <v>16</v>
      </c>
      <c r="D380" s="295">
        <v>14</v>
      </c>
      <c r="E380" s="243">
        <v>76723</v>
      </c>
      <c r="F380" s="243">
        <f t="shared" si="15"/>
        <v>1074122</v>
      </c>
    </row>
    <row r="381" spans="1:6" s="9" customFormat="1" ht="35.1" customHeight="1" x14ac:dyDescent="0.25">
      <c r="A381" s="255" t="s">
        <v>516</v>
      </c>
      <c r="B381" s="87" t="s">
        <v>517</v>
      </c>
      <c r="C381" s="255" t="s">
        <v>16</v>
      </c>
      <c r="D381" s="295">
        <v>58</v>
      </c>
      <c r="E381" s="243">
        <v>82051</v>
      </c>
      <c r="F381" s="243">
        <f t="shared" si="15"/>
        <v>4758958</v>
      </c>
    </row>
    <row r="382" spans="1:6" s="9" customFormat="1" ht="35.1" customHeight="1" x14ac:dyDescent="0.25">
      <c r="A382" s="255" t="s">
        <v>518</v>
      </c>
      <c r="B382" s="87" t="s">
        <v>519</v>
      </c>
      <c r="C382" s="255" t="s">
        <v>16</v>
      </c>
      <c r="D382" s="295">
        <v>24</v>
      </c>
      <c r="E382" s="243">
        <v>88968</v>
      </c>
      <c r="F382" s="243">
        <f t="shared" si="15"/>
        <v>2135232</v>
      </c>
    </row>
    <row r="383" spans="1:6" s="9" customFormat="1" ht="35.1" customHeight="1" x14ac:dyDescent="0.25">
      <c r="A383" s="255" t="s">
        <v>520</v>
      </c>
      <c r="B383" s="87" t="s">
        <v>521</v>
      </c>
      <c r="C383" s="255" t="s">
        <v>16</v>
      </c>
      <c r="D383" s="295">
        <v>8</v>
      </c>
      <c r="E383" s="243">
        <v>90830</v>
      </c>
      <c r="F383" s="243">
        <f t="shared" si="15"/>
        <v>726640</v>
      </c>
    </row>
    <row r="384" spans="1:6" s="9" customFormat="1" ht="35.1" customHeight="1" x14ac:dyDescent="0.25">
      <c r="A384" s="255" t="s">
        <v>522</v>
      </c>
      <c r="B384" s="87" t="s">
        <v>523</v>
      </c>
      <c r="C384" s="255" t="s">
        <v>16</v>
      </c>
      <c r="D384" s="295">
        <v>6</v>
      </c>
      <c r="E384" s="243">
        <v>99247</v>
      </c>
      <c r="F384" s="243">
        <f t="shared" si="15"/>
        <v>595482</v>
      </c>
    </row>
    <row r="385" spans="1:6" s="9" customFormat="1" ht="35.1" customHeight="1" x14ac:dyDescent="0.25">
      <c r="A385" s="255" t="s">
        <v>524</v>
      </c>
      <c r="B385" s="254" t="s">
        <v>525</v>
      </c>
      <c r="C385" s="255" t="s">
        <v>16</v>
      </c>
      <c r="D385" s="295">
        <v>17</v>
      </c>
      <c r="E385" s="243">
        <v>93144</v>
      </c>
      <c r="F385" s="243">
        <f t="shared" si="15"/>
        <v>1583448</v>
      </c>
    </row>
    <row r="386" spans="1:6" s="9" customFormat="1" ht="35.1" customHeight="1" x14ac:dyDescent="0.25">
      <c r="A386" s="255" t="s">
        <v>526</v>
      </c>
      <c r="B386" s="254" t="s">
        <v>527</v>
      </c>
      <c r="C386" s="255" t="s">
        <v>16</v>
      </c>
      <c r="D386" s="295">
        <v>5</v>
      </c>
      <c r="E386" s="243">
        <v>105026</v>
      </c>
      <c r="F386" s="243">
        <f t="shared" si="15"/>
        <v>525130</v>
      </c>
    </row>
    <row r="387" spans="1:6" s="9" customFormat="1" ht="35.1" customHeight="1" x14ac:dyDescent="0.25">
      <c r="A387" s="255" t="s">
        <v>528</v>
      </c>
      <c r="B387" s="254" t="s">
        <v>529</v>
      </c>
      <c r="C387" s="255" t="s">
        <v>269</v>
      </c>
      <c r="D387" s="295">
        <v>650</v>
      </c>
      <c r="E387" s="243">
        <v>1748</v>
      </c>
      <c r="F387" s="243">
        <f t="shared" si="15"/>
        <v>1136200</v>
      </c>
    </row>
    <row r="388" spans="1:6" s="9" customFormat="1" ht="35.1" customHeight="1" x14ac:dyDescent="0.25">
      <c r="A388" s="283" t="s">
        <v>530</v>
      </c>
      <c r="B388" s="256" t="s">
        <v>531</v>
      </c>
      <c r="C388" s="256"/>
      <c r="D388" s="313"/>
      <c r="E388" s="303"/>
      <c r="F388" s="246"/>
    </row>
    <row r="389" spans="1:6" s="9" customFormat="1" ht="35.1" customHeight="1" x14ac:dyDescent="0.25">
      <c r="A389" s="255" t="s">
        <v>532</v>
      </c>
      <c r="B389" s="254" t="s">
        <v>533</v>
      </c>
      <c r="C389" s="255" t="s">
        <v>1422</v>
      </c>
      <c r="D389" s="295">
        <v>361</v>
      </c>
      <c r="E389" s="243">
        <v>84631</v>
      </c>
      <c r="F389" s="243">
        <f>ROUND(+E389*D389,2)</f>
        <v>30551791</v>
      </c>
    </row>
    <row r="390" spans="1:6" s="9" customFormat="1" ht="35.1" customHeight="1" x14ac:dyDescent="0.25">
      <c r="A390" s="255" t="s">
        <v>534</v>
      </c>
      <c r="B390" s="254" t="s">
        <v>535</v>
      </c>
      <c r="C390" s="255" t="s">
        <v>1422</v>
      </c>
      <c r="D390" s="295">
        <v>7</v>
      </c>
      <c r="E390" s="243">
        <v>114408</v>
      </c>
      <c r="F390" s="243">
        <f>ROUND(+E390*D390,2)</f>
        <v>800856</v>
      </c>
    </row>
    <row r="391" spans="1:6" s="9" customFormat="1" ht="35.1" customHeight="1" x14ac:dyDescent="0.25">
      <c r="A391" s="255" t="s">
        <v>536</v>
      </c>
      <c r="B391" s="254" t="s">
        <v>537</v>
      </c>
      <c r="C391" s="255" t="s">
        <v>1422</v>
      </c>
      <c r="D391" s="295">
        <v>25</v>
      </c>
      <c r="E391" s="243">
        <v>85646</v>
      </c>
      <c r="F391" s="243">
        <f>ROUND(+E391*D391,2)</f>
        <v>2141150</v>
      </c>
    </row>
    <row r="392" spans="1:6" s="9" customFormat="1" ht="35.1" customHeight="1" x14ac:dyDescent="0.25">
      <c r="A392" s="255" t="s">
        <v>538</v>
      </c>
      <c r="B392" s="87" t="s">
        <v>539</v>
      </c>
      <c r="C392" s="255" t="s">
        <v>1422</v>
      </c>
      <c r="D392" s="295">
        <v>4</v>
      </c>
      <c r="E392" s="243">
        <v>103776</v>
      </c>
      <c r="F392" s="243">
        <f>ROUND(+E392*D392,2)</f>
        <v>415104</v>
      </c>
    </row>
    <row r="393" spans="1:6" s="9" customFormat="1" ht="35.1" customHeight="1" x14ac:dyDescent="0.25">
      <c r="A393" s="255" t="s">
        <v>540</v>
      </c>
      <c r="B393" s="254" t="s">
        <v>541</v>
      </c>
      <c r="C393" s="255" t="s">
        <v>269</v>
      </c>
      <c r="D393" s="295">
        <v>1350</v>
      </c>
      <c r="E393" s="243">
        <v>1748</v>
      </c>
      <c r="F393" s="243">
        <f>ROUND(+E393*D393,2)</f>
        <v>2359800</v>
      </c>
    </row>
    <row r="394" spans="1:6" s="9" customFormat="1" ht="35.1" customHeight="1" x14ac:dyDescent="0.25">
      <c r="A394" s="283" t="s">
        <v>542</v>
      </c>
      <c r="B394" s="256" t="s">
        <v>543</v>
      </c>
      <c r="C394" s="256"/>
      <c r="D394" s="313"/>
      <c r="E394" s="303"/>
      <c r="F394" s="246"/>
    </row>
    <row r="395" spans="1:6" s="9" customFormat="1" ht="35.1" customHeight="1" x14ac:dyDescent="0.25">
      <c r="A395" s="255" t="s">
        <v>544</v>
      </c>
      <c r="B395" s="87" t="s">
        <v>545</v>
      </c>
      <c r="C395" s="255" t="s">
        <v>16</v>
      </c>
      <c r="D395" s="295">
        <v>54</v>
      </c>
      <c r="E395" s="243">
        <v>125189</v>
      </c>
      <c r="F395" s="243">
        <f>ROUND(+E395*D395,2)</f>
        <v>6760206</v>
      </c>
    </row>
    <row r="396" spans="1:6" s="9" customFormat="1" ht="35.1" customHeight="1" x14ac:dyDescent="0.25">
      <c r="A396" s="255" t="s">
        <v>546</v>
      </c>
      <c r="B396" s="87" t="s">
        <v>547</v>
      </c>
      <c r="C396" s="255" t="s">
        <v>16</v>
      </c>
      <c r="D396" s="295">
        <v>109</v>
      </c>
      <c r="E396" s="243">
        <v>115393</v>
      </c>
      <c r="F396" s="243">
        <f>ROUND(+E396*D396,2)</f>
        <v>12577837</v>
      </c>
    </row>
    <row r="397" spans="1:6" s="9" customFormat="1" ht="35.1" customHeight="1" x14ac:dyDescent="0.25">
      <c r="A397" s="255" t="s">
        <v>548</v>
      </c>
      <c r="B397" s="87" t="s">
        <v>549</v>
      </c>
      <c r="C397" s="255" t="s">
        <v>269</v>
      </c>
      <c r="D397" s="295">
        <v>50</v>
      </c>
      <c r="E397" s="243">
        <v>11721</v>
      </c>
      <c r="F397" s="243">
        <f>ROUND(+E397*D397,2)</f>
        <v>586050</v>
      </c>
    </row>
    <row r="398" spans="1:6" s="9" customFormat="1" ht="35.1" customHeight="1" x14ac:dyDescent="0.25">
      <c r="A398" s="255" t="s">
        <v>550</v>
      </c>
      <c r="B398" s="87" t="s">
        <v>551</v>
      </c>
      <c r="C398" s="255" t="s">
        <v>269</v>
      </c>
      <c r="D398" s="295">
        <v>2050</v>
      </c>
      <c r="E398" s="243">
        <v>1748</v>
      </c>
      <c r="F398" s="243">
        <f>ROUND(+E398*D398,2)</f>
        <v>3583400</v>
      </c>
    </row>
    <row r="399" spans="1:6" s="9" customFormat="1" ht="35.1" customHeight="1" x14ac:dyDescent="0.25">
      <c r="A399" s="266">
        <v>15</v>
      </c>
      <c r="B399" s="267" t="s">
        <v>552</v>
      </c>
      <c r="C399" s="267"/>
      <c r="D399" s="316"/>
      <c r="E399" s="306"/>
      <c r="F399" s="268"/>
    </row>
    <row r="400" spans="1:6" s="9" customFormat="1" ht="35.1" customHeight="1" x14ac:dyDescent="0.25">
      <c r="A400" s="289" t="s">
        <v>553</v>
      </c>
      <c r="B400" s="256" t="s">
        <v>554</v>
      </c>
      <c r="C400" s="256"/>
      <c r="D400" s="313"/>
      <c r="E400" s="303"/>
      <c r="F400" s="246"/>
    </row>
    <row r="401" spans="1:6" s="9" customFormat="1" ht="35.1" customHeight="1" x14ac:dyDescent="0.25">
      <c r="A401" s="255" t="s">
        <v>555</v>
      </c>
      <c r="B401" s="87" t="s">
        <v>556</v>
      </c>
      <c r="C401" s="255" t="s">
        <v>269</v>
      </c>
      <c r="D401" s="295">
        <v>266</v>
      </c>
      <c r="E401" s="243">
        <v>107979</v>
      </c>
      <c r="F401" s="243">
        <f t="shared" ref="F401:F406" si="16">ROUND(+E401*D401,2)</f>
        <v>28722414</v>
      </c>
    </row>
    <row r="402" spans="1:6" s="9" customFormat="1" ht="35.1" customHeight="1" x14ac:dyDescent="0.25">
      <c r="A402" s="255" t="s">
        <v>557</v>
      </c>
      <c r="B402" s="254" t="s">
        <v>558</v>
      </c>
      <c r="C402" s="255" t="s">
        <v>1422</v>
      </c>
      <c r="D402" s="295">
        <v>11</v>
      </c>
      <c r="E402" s="243">
        <v>138654</v>
      </c>
      <c r="F402" s="243">
        <f t="shared" si="16"/>
        <v>1525194</v>
      </c>
    </row>
    <row r="403" spans="1:6" s="9" customFormat="1" ht="35.1" customHeight="1" x14ac:dyDescent="0.25">
      <c r="A403" s="255" t="s">
        <v>559</v>
      </c>
      <c r="B403" s="254" t="s">
        <v>560</v>
      </c>
      <c r="C403" s="255" t="s">
        <v>1422</v>
      </c>
      <c r="D403" s="295">
        <v>125</v>
      </c>
      <c r="E403" s="243">
        <v>30752</v>
      </c>
      <c r="F403" s="243">
        <f t="shared" si="16"/>
        <v>3844000</v>
      </c>
    </row>
    <row r="404" spans="1:6" s="9" customFormat="1" ht="35.1" customHeight="1" x14ac:dyDescent="0.25">
      <c r="A404" s="255" t="s">
        <v>561</v>
      </c>
      <c r="B404" s="87" t="s">
        <v>562</v>
      </c>
      <c r="C404" s="255" t="s">
        <v>269</v>
      </c>
      <c r="D404" s="295">
        <v>92</v>
      </c>
      <c r="E404" s="243">
        <v>201005</v>
      </c>
      <c r="F404" s="243">
        <f t="shared" si="16"/>
        <v>18492460</v>
      </c>
    </row>
    <row r="405" spans="1:6" s="9" customFormat="1" ht="35.1" customHeight="1" x14ac:dyDescent="0.25">
      <c r="A405" s="255" t="s">
        <v>563</v>
      </c>
      <c r="B405" s="254" t="s">
        <v>564</v>
      </c>
      <c r="C405" s="255" t="s">
        <v>1422</v>
      </c>
      <c r="D405" s="295">
        <v>3</v>
      </c>
      <c r="E405" s="243">
        <v>166382</v>
      </c>
      <c r="F405" s="243">
        <f t="shared" si="16"/>
        <v>499146</v>
      </c>
    </row>
    <row r="406" spans="1:6" s="9" customFormat="1" ht="35.1" customHeight="1" x14ac:dyDescent="0.25">
      <c r="A406" s="255" t="s">
        <v>565</v>
      </c>
      <c r="B406" s="254" t="s">
        <v>566</v>
      </c>
      <c r="C406" s="255" t="s">
        <v>1422</v>
      </c>
      <c r="D406" s="295">
        <v>46</v>
      </c>
      <c r="E406" s="243">
        <v>30752</v>
      </c>
      <c r="F406" s="243">
        <f t="shared" si="16"/>
        <v>1414592</v>
      </c>
    </row>
    <row r="407" spans="1:6" s="9" customFormat="1" ht="35.1" customHeight="1" x14ac:dyDescent="0.25">
      <c r="A407" s="289" t="s">
        <v>567</v>
      </c>
      <c r="B407" s="256" t="s">
        <v>568</v>
      </c>
      <c r="C407" s="256"/>
      <c r="D407" s="313"/>
      <c r="E407" s="303"/>
      <c r="F407" s="246"/>
    </row>
    <row r="408" spans="1:6" s="9" customFormat="1" ht="35.1" customHeight="1" x14ac:dyDescent="0.25">
      <c r="A408" s="255" t="s">
        <v>569</v>
      </c>
      <c r="B408" s="254" t="s">
        <v>570</v>
      </c>
      <c r="C408" s="255" t="s">
        <v>269</v>
      </c>
      <c r="D408" s="295">
        <v>250</v>
      </c>
      <c r="E408" s="243">
        <v>30603</v>
      </c>
      <c r="F408" s="243">
        <f>ROUND(+E408*D408,2)</f>
        <v>7650750</v>
      </c>
    </row>
    <row r="409" spans="1:6" s="9" customFormat="1" ht="35.1" customHeight="1" x14ac:dyDescent="0.25">
      <c r="A409" s="255" t="s">
        <v>571</v>
      </c>
      <c r="B409" s="254" t="s">
        <v>572</v>
      </c>
      <c r="C409" s="255" t="s">
        <v>16</v>
      </c>
      <c r="D409" s="295">
        <v>109</v>
      </c>
      <c r="E409" s="243">
        <v>23878</v>
      </c>
      <c r="F409" s="243">
        <f>ROUND(+E409*D409,2)</f>
        <v>2602702</v>
      </c>
    </row>
    <row r="410" spans="1:6" s="9" customFormat="1" ht="35.1" customHeight="1" x14ac:dyDescent="0.25">
      <c r="A410" s="289" t="s">
        <v>573</v>
      </c>
      <c r="B410" s="256" t="s">
        <v>574</v>
      </c>
      <c r="C410" s="256"/>
      <c r="D410" s="313"/>
      <c r="E410" s="303"/>
      <c r="F410" s="246"/>
    </row>
    <row r="411" spans="1:6" s="9" customFormat="1" ht="35.1" customHeight="1" x14ac:dyDescent="0.25">
      <c r="A411" s="255" t="s">
        <v>575</v>
      </c>
      <c r="B411" s="254" t="s">
        <v>576</v>
      </c>
      <c r="C411" s="255" t="s">
        <v>16</v>
      </c>
      <c r="D411" s="295">
        <v>1</v>
      </c>
      <c r="E411" s="243">
        <v>73526124</v>
      </c>
      <c r="F411" s="243">
        <f t="shared" ref="F411:F420" si="17">ROUND(+E411*D411,2)</f>
        <v>73526124</v>
      </c>
    </row>
    <row r="412" spans="1:6" s="9" customFormat="1" ht="35.1" customHeight="1" x14ac:dyDescent="0.25">
      <c r="A412" s="255" t="s">
        <v>577</v>
      </c>
      <c r="B412" s="254" t="s">
        <v>578</v>
      </c>
      <c r="C412" s="255" t="s">
        <v>16</v>
      </c>
      <c r="D412" s="295">
        <v>1</v>
      </c>
      <c r="E412" s="243">
        <v>5443884</v>
      </c>
      <c r="F412" s="243">
        <f t="shared" si="17"/>
        <v>5443884</v>
      </c>
    </row>
    <row r="413" spans="1:6" s="9" customFormat="1" ht="35.1" customHeight="1" x14ac:dyDescent="0.25">
      <c r="A413" s="255" t="s">
        <v>579</v>
      </c>
      <c r="B413" s="254" t="s">
        <v>580</v>
      </c>
      <c r="C413" s="255" t="s">
        <v>16</v>
      </c>
      <c r="D413" s="295">
        <v>1</v>
      </c>
      <c r="E413" s="243">
        <v>202604</v>
      </c>
      <c r="F413" s="243">
        <f t="shared" si="17"/>
        <v>202604</v>
      </c>
    </row>
    <row r="414" spans="1:6" s="9" customFormat="1" ht="35.1" customHeight="1" x14ac:dyDescent="0.25">
      <c r="A414" s="255" t="s">
        <v>581</v>
      </c>
      <c r="B414" s="254" t="s">
        <v>1225</v>
      </c>
      <c r="C414" s="255" t="s">
        <v>16</v>
      </c>
      <c r="D414" s="295">
        <v>1</v>
      </c>
      <c r="E414" s="243">
        <v>165116</v>
      </c>
      <c r="F414" s="243">
        <f t="shared" si="17"/>
        <v>165116</v>
      </c>
    </row>
    <row r="415" spans="1:6" s="9" customFormat="1" ht="35.1" customHeight="1" x14ac:dyDescent="0.25">
      <c r="A415" s="255" t="s">
        <v>583</v>
      </c>
      <c r="B415" s="254" t="s">
        <v>584</v>
      </c>
      <c r="C415" s="255" t="s">
        <v>16</v>
      </c>
      <c r="D415" s="295">
        <v>1</v>
      </c>
      <c r="E415" s="243">
        <v>332818</v>
      </c>
      <c r="F415" s="243">
        <f t="shared" si="17"/>
        <v>332818</v>
      </c>
    </row>
    <row r="416" spans="1:6" s="9" customFormat="1" ht="35.1" customHeight="1" x14ac:dyDescent="0.25">
      <c r="A416" s="255" t="s">
        <v>585</v>
      </c>
      <c r="B416" s="254" t="s">
        <v>586</v>
      </c>
      <c r="C416" s="255" t="s">
        <v>16</v>
      </c>
      <c r="D416" s="295">
        <v>1</v>
      </c>
      <c r="E416" s="243">
        <v>405750</v>
      </c>
      <c r="F416" s="243">
        <f t="shared" si="17"/>
        <v>405750</v>
      </c>
    </row>
    <row r="417" spans="1:6" s="9" customFormat="1" ht="35.1" customHeight="1" x14ac:dyDescent="0.25">
      <c r="A417" s="255" t="s">
        <v>587</v>
      </c>
      <c r="B417" s="254" t="s">
        <v>1226</v>
      </c>
      <c r="C417" s="255" t="s">
        <v>16</v>
      </c>
      <c r="D417" s="295">
        <v>1</v>
      </c>
      <c r="E417" s="243">
        <v>297041</v>
      </c>
      <c r="F417" s="243">
        <f t="shared" si="17"/>
        <v>297041</v>
      </c>
    </row>
    <row r="418" spans="1:6" s="9" customFormat="1" ht="35.1" customHeight="1" x14ac:dyDescent="0.25">
      <c r="A418" s="255" t="s">
        <v>589</v>
      </c>
      <c r="B418" s="254" t="s">
        <v>590</v>
      </c>
      <c r="C418" s="255" t="s">
        <v>16</v>
      </c>
      <c r="D418" s="295">
        <v>2</v>
      </c>
      <c r="E418" s="243">
        <v>599021</v>
      </c>
      <c r="F418" s="243">
        <f t="shared" si="17"/>
        <v>1198042</v>
      </c>
    </row>
    <row r="419" spans="1:6" s="9" customFormat="1" ht="35.1" customHeight="1" x14ac:dyDescent="0.25">
      <c r="A419" s="255" t="s">
        <v>591</v>
      </c>
      <c r="B419" s="254" t="s">
        <v>1227</v>
      </c>
      <c r="C419" s="255" t="s">
        <v>16</v>
      </c>
      <c r="D419" s="295">
        <v>1</v>
      </c>
      <c r="E419" s="243">
        <v>19225447</v>
      </c>
      <c r="F419" s="243">
        <f t="shared" si="17"/>
        <v>19225447</v>
      </c>
    </row>
    <row r="420" spans="1:6" s="9" customFormat="1" ht="35.1" customHeight="1" x14ac:dyDescent="0.25">
      <c r="A420" s="255" t="s">
        <v>593</v>
      </c>
      <c r="B420" s="254" t="s">
        <v>594</v>
      </c>
      <c r="C420" s="255" t="s">
        <v>16</v>
      </c>
      <c r="D420" s="295">
        <v>3</v>
      </c>
      <c r="E420" s="243">
        <v>1528030</v>
      </c>
      <c r="F420" s="243">
        <f t="shared" si="17"/>
        <v>4584090</v>
      </c>
    </row>
    <row r="421" spans="1:6" s="9" customFormat="1" ht="35.1" customHeight="1" x14ac:dyDescent="0.25">
      <c r="A421" s="289" t="s">
        <v>595</v>
      </c>
      <c r="B421" s="256" t="s">
        <v>596</v>
      </c>
      <c r="C421" s="256"/>
      <c r="D421" s="313"/>
      <c r="E421" s="303"/>
      <c r="F421" s="246"/>
    </row>
    <row r="422" spans="1:6" s="9" customFormat="1" ht="35.1" customHeight="1" x14ac:dyDescent="0.25">
      <c r="A422" s="255" t="s">
        <v>597</v>
      </c>
      <c r="B422" s="254" t="s">
        <v>598</v>
      </c>
      <c r="C422" s="255" t="s">
        <v>269</v>
      </c>
      <c r="D422" s="295">
        <v>20</v>
      </c>
      <c r="E422" s="243">
        <v>322883</v>
      </c>
      <c r="F422" s="243">
        <f>ROUND(+E422*D422,2)</f>
        <v>6457660</v>
      </c>
    </row>
    <row r="423" spans="1:6" s="9" customFormat="1" ht="35.1" customHeight="1" x14ac:dyDescent="0.25">
      <c r="A423" s="255" t="s">
        <v>599</v>
      </c>
      <c r="B423" s="254" t="s">
        <v>1228</v>
      </c>
      <c r="C423" s="255" t="s">
        <v>269</v>
      </c>
      <c r="D423" s="295">
        <v>6</v>
      </c>
      <c r="E423" s="243">
        <v>1191705</v>
      </c>
      <c r="F423" s="243">
        <f>ROUND(+E423*D423,2)</f>
        <v>7150230</v>
      </c>
    </row>
    <row r="424" spans="1:6" s="9" customFormat="1" ht="35.1" customHeight="1" x14ac:dyDescent="0.25">
      <c r="A424" s="255" t="s">
        <v>601</v>
      </c>
      <c r="B424" s="254" t="s">
        <v>1229</v>
      </c>
      <c r="C424" s="255" t="s">
        <v>269</v>
      </c>
      <c r="D424" s="295">
        <v>5</v>
      </c>
      <c r="E424" s="243">
        <v>1253733</v>
      </c>
      <c r="F424" s="243">
        <f>ROUND(+E424*D424,2)</f>
        <v>6268665</v>
      </c>
    </row>
    <row r="425" spans="1:6" s="9" customFormat="1" ht="35.1" customHeight="1" x14ac:dyDescent="0.25">
      <c r="A425" s="289" t="s">
        <v>603</v>
      </c>
      <c r="B425" s="256" t="s">
        <v>596</v>
      </c>
      <c r="C425" s="256"/>
      <c r="D425" s="313"/>
      <c r="E425" s="303"/>
      <c r="F425" s="246"/>
    </row>
    <row r="426" spans="1:6" s="9" customFormat="1" ht="35.1" customHeight="1" x14ac:dyDescent="0.25">
      <c r="A426" s="255" t="s">
        <v>604</v>
      </c>
      <c r="B426" s="254" t="s">
        <v>605</v>
      </c>
      <c r="C426" s="255" t="s">
        <v>269</v>
      </c>
      <c r="D426" s="295">
        <v>8</v>
      </c>
      <c r="E426" s="243">
        <v>195760</v>
      </c>
      <c r="F426" s="243">
        <f t="shared" ref="F426:F441" si="18">ROUND(+E426*D426,2)</f>
        <v>1566080</v>
      </c>
    </row>
    <row r="427" spans="1:6" s="9" customFormat="1" ht="35.1" customHeight="1" x14ac:dyDescent="0.25">
      <c r="A427" s="255" t="s">
        <v>606</v>
      </c>
      <c r="B427" s="254" t="s">
        <v>607</v>
      </c>
      <c r="C427" s="255" t="s">
        <v>269</v>
      </c>
      <c r="D427" s="295">
        <v>52</v>
      </c>
      <c r="E427" s="243">
        <v>62878</v>
      </c>
      <c r="F427" s="243">
        <f t="shared" si="18"/>
        <v>3269656</v>
      </c>
    </row>
    <row r="428" spans="1:6" s="9" customFormat="1" ht="35.1" customHeight="1" x14ac:dyDescent="0.25">
      <c r="A428" s="255" t="s">
        <v>608</v>
      </c>
      <c r="B428" s="254" t="s">
        <v>609</v>
      </c>
      <c r="C428" s="255" t="s">
        <v>269</v>
      </c>
      <c r="D428" s="295">
        <v>106</v>
      </c>
      <c r="E428" s="243">
        <v>62878</v>
      </c>
      <c r="F428" s="243">
        <f t="shared" si="18"/>
        <v>6665068</v>
      </c>
    </row>
    <row r="429" spans="1:6" s="9" customFormat="1" ht="35.1" customHeight="1" x14ac:dyDescent="0.25">
      <c r="A429" s="255" t="s">
        <v>610</v>
      </c>
      <c r="B429" s="254" t="s">
        <v>611</v>
      </c>
      <c r="C429" s="255" t="s">
        <v>269</v>
      </c>
      <c r="D429" s="295">
        <v>5</v>
      </c>
      <c r="E429" s="243">
        <v>367601</v>
      </c>
      <c r="F429" s="243">
        <f t="shared" si="18"/>
        <v>1838005</v>
      </c>
    </row>
    <row r="430" spans="1:6" s="9" customFormat="1" ht="35.1" customHeight="1" x14ac:dyDescent="0.25">
      <c r="A430" s="255" t="s">
        <v>612</v>
      </c>
      <c r="B430" s="254" t="s">
        <v>613</v>
      </c>
      <c r="C430" s="255" t="s">
        <v>269</v>
      </c>
      <c r="D430" s="295">
        <v>6</v>
      </c>
      <c r="E430" s="243">
        <v>62878</v>
      </c>
      <c r="F430" s="243">
        <f t="shared" si="18"/>
        <v>377268</v>
      </c>
    </row>
    <row r="431" spans="1:6" s="9" customFormat="1" ht="35.1" customHeight="1" x14ac:dyDescent="0.25">
      <c r="A431" s="255" t="s">
        <v>614</v>
      </c>
      <c r="B431" s="254" t="s">
        <v>615</v>
      </c>
      <c r="C431" s="255" t="s">
        <v>269</v>
      </c>
      <c r="D431" s="295">
        <v>60</v>
      </c>
      <c r="E431" s="243">
        <v>132053</v>
      </c>
      <c r="F431" s="243">
        <f t="shared" si="18"/>
        <v>7923180</v>
      </c>
    </row>
    <row r="432" spans="1:6" s="9" customFormat="1" ht="35.1" customHeight="1" x14ac:dyDescent="0.25">
      <c r="A432" s="255" t="s">
        <v>616</v>
      </c>
      <c r="B432" s="254" t="s">
        <v>617</v>
      </c>
      <c r="C432" s="255" t="s">
        <v>269</v>
      </c>
      <c r="D432" s="295">
        <v>64</v>
      </c>
      <c r="E432" s="243">
        <v>195436</v>
      </c>
      <c r="F432" s="243">
        <f t="shared" si="18"/>
        <v>12507904</v>
      </c>
    </row>
    <row r="433" spans="1:6" s="9" customFormat="1" ht="35.1" customHeight="1" x14ac:dyDescent="0.25">
      <c r="A433" s="255" t="s">
        <v>618</v>
      </c>
      <c r="B433" s="254" t="s">
        <v>619</v>
      </c>
      <c r="C433" s="255" t="s">
        <v>269</v>
      </c>
      <c r="D433" s="295">
        <v>68</v>
      </c>
      <c r="E433" s="243">
        <v>195436</v>
      </c>
      <c r="F433" s="243">
        <f t="shared" si="18"/>
        <v>13289648</v>
      </c>
    </row>
    <row r="434" spans="1:6" s="9" customFormat="1" ht="35.1" customHeight="1" x14ac:dyDescent="0.25">
      <c r="A434" s="255" t="s">
        <v>620</v>
      </c>
      <c r="B434" s="254" t="s">
        <v>621</v>
      </c>
      <c r="C434" s="255" t="s">
        <v>269</v>
      </c>
      <c r="D434" s="295">
        <v>72</v>
      </c>
      <c r="E434" s="243">
        <v>195436</v>
      </c>
      <c r="F434" s="243">
        <f t="shared" si="18"/>
        <v>14071392</v>
      </c>
    </row>
    <row r="435" spans="1:6" s="9" customFormat="1" ht="35.1" customHeight="1" x14ac:dyDescent="0.25">
      <c r="A435" s="255" t="s">
        <v>622</v>
      </c>
      <c r="B435" s="254" t="s">
        <v>623</v>
      </c>
      <c r="C435" s="255" t="s">
        <v>269</v>
      </c>
      <c r="D435" s="295">
        <v>60</v>
      </c>
      <c r="E435" s="243">
        <v>175265</v>
      </c>
      <c r="F435" s="243">
        <f t="shared" si="18"/>
        <v>10515900</v>
      </c>
    </row>
    <row r="436" spans="1:6" s="9" customFormat="1" ht="35.1" customHeight="1" x14ac:dyDescent="0.25">
      <c r="A436" s="255" t="s">
        <v>624</v>
      </c>
      <c r="B436" s="254" t="s">
        <v>625</v>
      </c>
      <c r="C436" s="255" t="s">
        <v>269</v>
      </c>
      <c r="D436" s="295">
        <v>7</v>
      </c>
      <c r="E436" s="243">
        <v>102265</v>
      </c>
      <c r="F436" s="243">
        <f t="shared" si="18"/>
        <v>715855</v>
      </c>
    </row>
    <row r="437" spans="1:6" s="9" customFormat="1" ht="35.1" customHeight="1" x14ac:dyDescent="0.25">
      <c r="A437" s="255" t="s">
        <v>1230</v>
      </c>
      <c r="B437" s="254" t="s">
        <v>1231</v>
      </c>
      <c r="C437" s="255" t="s">
        <v>269</v>
      </c>
      <c r="D437" s="295">
        <v>72</v>
      </c>
      <c r="E437" s="243">
        <v>175338</v>
      </c>
      <c r="F437" s="243">
        <f t="shared" si="18"/>
        <v>12624336</v>
      </c>
    </row>
    <row r="438" spans="1:6" s="9" customFormat="1" ht="35.1" customHeight="1" x14ac:dyDescent="0.25">
      <c r="A438" s="255" t="s">
        <v>1232</v>
      </c>
      <c r="B438" s="254" t="s">
        <v>1233</v>
      </c>
      <c r="C438" s="255" t="s">
        <v>269</v>
      </c>
      <c r="D438" s="295">
        <v>7</v>
      </c>
      <c r="E438" s="243">
        <v>102265</v>
      </c>
      <c r="F438" s="243">
        <f t="shared" si="18"/>
        <v>715855</v>
      </c>
    </row>
    <row r="439" spans="1:6" s="9" customFormat="1" ht="35.1" customHeight="1" x14ac:dyDescent="0.25">
      <c r="A439" s="255" t="s">
        <v>1234</v>
      </c>
      <c r="B439" s="254" t="s">
        <v>1235</v>
      </c>
      <c r="C439" s="255" t="s">
        <v>269</v>
      </c>
      <c r="D439" s="295">
        <v>76</v>
      </c>
      <c r="E439" s="243">
        <v>486251</v>
      </c>
      <c r="F439" s="243">
        <f t="shared" si="18"/>
        <v>36955076</v>
      </c>
    </row>
    <row r="440" spans="1:6" s="9" customFormat="1" ht="35.1" customHeight="1" x14ac:dyDescent="0.25">
      <c r="A440" s="255" t="s">
        <v>1236</v>
      </c>
      <c r="B440" s="254" t="s">
        <v>1237</v>
      </c>
      <c r="C440" s="255" t="s">
        <v>269</v>
      </c>
      <c r="D440" s="295">
        <v>76</v>
      </c>
      <c r="E440" s="243">
        <v>486251</v>
      </c>
      <c r="F440" s="243">
        <f t="shared" si="18"/>
        <v>36955076</v>
      </c>
    </row>
    <row r="441" spans="1:6" s="9" customFormat="1" ht="35.1" customHeight="1" x14ac:dyDescent="0.25">
      <c r="A441" s="255" t="s">
        <v>626</v>
      </c>
      <c r="B441" s="254" t="s">
        <v>1238</v>
      </c>
      <c r="C441" s="255" t="s">
        <v>269</v>
      </c>
      <c r="D441" s="295">
        <v>102</v>
      </c>
      <c r="E441" s="243">
        <v>166577</v>
      </c>
      <c r="F441" s="243">
        <f t="shared" si="18"/>
        <v>16990854</v>
      </c>
    </row>
    <row r="442" spans="1:6" s="9" customFormat="1" ht="35.1" customHeight="1" x14ac:dyDescent="0.25">
      <c r="A442" s="289" t="s">
        <v>628</v>
      </c>
      <c r="B442" s="256" t="s">
        <v>629</v>
      </c>
      <c r="C442" s="256"/>
      <c r="D442" s="313"/>
      <c r="E442" s="303"/>
      <c r="F442" s="246"/>
    </row>
    <row r="443" spans="1:6" s="9" customFormat="1" ht="35.1" customHeight="1" x14ac:dyDescent="0.25">
      <c r="A443" s="255" t="s">
        <v>630</v>
      </c>
      <c r="B443" s="254" t="s">
        <v>631</v>
      </c>
      <c r="C443" s="255" t="s">
        <v>269</v>
      </c>
      <c r="D443" s="295">
        <v>50</v>
      </c>
      <c r="E443" s="243">
        <v>37279</v>
      </c>
      <c r="F443" s="243">
        <f>ROUND(+E443*D443,2)</f>
        <v>1863950</v>
      </c>
    </row>
    <row r="444" spans="1:6" s="9" customFormat="1" ht="35.1" customHeight="1" x14ac:dyDescent="0.25">
      <c r="A444" s="255" t="s">
        <v>632</v>
      </c>
      <c r="B444" s="254" t="s">
        <v>1239</v>
      </c>
      <c r="C444" s="255" t="s">
        <v>269</v>
      </c>
      <c r="D444" s="295">
        <v>100</v>
      </c>
      <c r="E444" s="243">
        <v>67515</v>
      </c>
      <c r="F444" s="243">
        <f>ROUND(+E444*D444,2)</f>
        <v>6751500</v>
      </c>
    </row>
    <row r="445" spans="1:6" s="9" customFormat="1" ht="39.950000000000003" customHeight="1" x14ac:dyDescent="0.25">
      <c r="A445" s="289" t="s">
        <v>634</v>
      </c>
      <c r="B445" s="256" t="s">
        <v>635</v>
      </c>
      <c r="C445" s="256"/>
      <c r="D445" s="313"/>
      <c r="E445" s="303"/>
      <c r="F445" s="246"/>
    </row>
    <row r="446" spans="1:6" s="9" customFormat="1" ht="39.950000000000003" customHeight="1" x14ac:dyDescent="0.25">
      <c r="A446" s="255" t="s">
        <v>636</v>
      </c>
      <c r="B446" s="254" t="s">
        <v>637</v>
      </c>
      <c r="C446" s="255" t="s">
        <v>16</v>
      </c>
      <c r="D446" s="295">
        <v>1</v>
      </c>
      <c r="E446" s="243">
        <v>871878</v>
      </c>
      <c r="F446" s="243">
        <f t="shared" ref="F446:F452" si="19">ROUND(+E446*D446,2)</f>
        <v>871878</v>
      </c>
    </row>
    <row r="447" spans="1:6" s="9" customFormat="1" ht="39.950000000000003" customHeight="1" x14ac:dyDescent="0.25">
      <c r="A447" s="255" t="s">
        <v>638</v>
      </c>
      <c r="B447" s="254" t="s">
        <v>639</v>
      </c>
      <c r="C447" s="255" t="s">
        <v>16</v>
      </c>
      <c r="D447" s="295">
        <v>1</v>
      </c>
      <c r="E447" s="243">
        <v>700334</v>
      </c>
      <c r="F447" s="243">
        <f t="shared" si="19"/>
        <v>700334</v>
      </c>
    </row>
    <row r="448" spans="1:6" s="9" customFormat="1" ht="39.950000000000003" customHeight="1" x14ac:dyDescent="0.25">
      <c r="A448" s="255" t="s">
        <v>640</v>
      </c>
      <c r="B448" s="254" t="s">
        <v>641</v>
      </c>
      <c r="C448" s="255" t="s">
        <v>16</v>
      </c>
      <c r="D448" s="295">
        <v>3</v>
      </c>
      <c r="E448" s="243">
        <v>703736</v>
      </c>
      <c r="F448" s="243">
        <f t="shared" si="19"/>
        <v>2111208</v>
      </c>
    </row>
    <row r="449" spans="1:6" s="9" customFormat="1" ht="39.950000000000003" customHeight="1" x14ac:dyDescent="0.25">
      <c r="A449" s="255" t="s">
        <v>642</v>
      </c>
      <c r="B449" s="254" t="s">
        <v>643</v>
      </c>
      <c r="C449" s="255" t="s">
        <v>16</v>
      </c>
      <c r="D449" s="295">
        <v>3</v>
      </c>
      <c r="E449" s="243">
        <v>987858</v>
      </c>
      <c r="F449" s="243">
        <f t="shared" si="19"/>
        <v>2963574</v>
      </c>
    </row>
    <row r="450" spans="1:6" s="9" customFormat="1" ht="39.950000000000003" customHeight="1" x14ac:dyDescent="0.25">
      <c r="A450" s="255" t="s">
        <v>644</v>
      </c>
      <c r="B450" s="87" t="s">
        <v>645</v>
      </c>
      <c r="C450" s="255" t="s">
        <v>16</v>
      </c>
      <c r="D450" s="295">
        <v>70</v>
      </c>
      <c r="E450" s="243">
        <v>21079</v>
      </c>
      <c r="F450" s="243">
        <f t="shared" si="19"/>
        <v>1475530</v>
      </c>
    </row>
    <row r="451" spans="1:6" s="9" customFormat="1" ht="39.950000000000003" customHeight="1" x14ac:dyDescent="0.25">
      <c r="A451" s="255" t="s">
        <v>646</v>
      </c>
      <c r="B451" s="87" t="s">
        <v>647</v>
      </c>
      <c r="C451" s="255" t="s">
        <v>16</v>
      </c>
      <c r="D451" s="295">
        <v>50</v>
      </c>
      <c r="E451" s="243">
        <v>21079</v>
      </c>
      <c r="F451" s="243">
        <f t="shared" si="19"/>
        <v>1053950</v>
      </c>
    </row>
    <row r="452" spans="1:6" s="9" customFormat="1" ht="39.950000000000003" customHeight="1" x14ac:dyDescent="0.25">
      <c r="A452" s="255" t="s">
        <v>648</v>
      </c>
      <c r="B452" s="87" t="s">
        <v>649</v>
      </c>
      <c r="C452" s="255" t="s">
        <v>16</v>
      </c>
      <c r="D452" s="295">
        <v>6</v>
      </c>
      <c r="E452" s="243">
        <v>59521</v>
      </c>
      <c r="F452" s="243">
        <f t="shared" si="19"/>
        <v>357126</v>
      </c>
    </row>
    <row r="453" spans="1:6" s="9" customFormat="1" ht="39.950000000000003" customHeight="1" x14ac:dyDescent="0.25">
      <c r="A453" s="289" t="s">
        <v>650</v>
      </c>
      <c r="B453" s="256" t="s">
        <v>1240</v>
      </c>
      <c r="C453" s="256"/>
      <c r="D453" s="256"/>
      <c r="E453" s="310"/>
      <c r="F453" s="256"/>
    </row>
    <row r="454" spans="1:6" s="9" customFormat="1" ht="39.950000000000003" customHeight="1" x14ac:dyDescent="0.25">
      <c r="A454" s="255" t="s">
        <v>652</v>
      </c>
      <c r="B454" s="254" t="s">
        <v>1241</v>
      </c>
      <c r="C454" s="255" t="s">
        <v>16</v>
      </c>
      <c r="D454" s="295">
        <v>1</v>
      </c>
      <c r="E454" s="243">
        <v>597053</v>
      </c>
      <c r="F454" s="243">
        <f>ROUND(+E454*D454,2)</f>
        <v>597053</v>
      </c>
    </row>
    <row r="455" spans="1:6" s="9" customFormat="1" ht="39.950000000000003" customHeight="1" x14ac:dyDescent="0.25">
      <c r="A455" s="289" t="s">
        <v>654</v>
      </c>
      <c r="B455" s="256" t="s">
        <v>655</v>
      </c>
      <c r="C455" s="256"/>
      <c r="D455" s="256"/>
      <c r="E455" s="310"/>
      <c r="F455" s="256"/>
    </row>
    <row r="456" spans="1:6" s="9" customFormat="1" ht="39.950000000000003" customHeight="1" x14ac:dyDescent="0.25">
      <c r="A456" s="255" t="s">
        <v>656</v>
      </c>
      <c r="B456" s="254" t="s">
        <v>1242</v>
      </c>
      <c r="C456" s="255" t="s">
        <v>16</v>
      </c>
      <c r="D456" s="295">
        <v>1</v>
      </c>
      <c r="E456" s="243">
        <v>16180184</v>
      </c>
      <c r="F456" s="243">
        <f>ROUND(+E456*D456,2)</f>
        <v>16180184</v>
      </c>
    </row>
    <row r="457" spans="1:6" s="9" customFormat="1" ht="39.950000000000003" customHeight="1" x14ac:dyDescent="0.25">
      <c r="A457" s="255" t="s">
        <v>658</v>
      </c>
      <c r="B457" s="87" t="s">
        <v>659</v>
      </c>
      <c r="C457" s="255" t="s">
        <v>16</v>
      </c>
      <c r="D457" s="295">
        <v>2</v>
      </c>
      <c r="E457" s="243">
        <v>12227805</v>
      </c>
      <c r="F457" s="243">
        <f>ROUND(+E457*D457,2)</f>
        <v>24455610</v>
      </c>
    </row>
    <row r="458" spans="1:6" s="9" customFormat="1" ht="39.950000000000003" customHeight="1" x14ac:dyDescent="0.25">
      <c r="A458" s="255" t="s">
        <v>660</v>
      </c>
      <c r="B458" s="254" t="s">
        <v>1243</v>
      </c>
      <c r="C458" s="255" t="s">
        <v>16</v>
      </c>
      <c r="D458" s="295">
        <v>1</v>
      </c>
      <c r="E458" s="243">
        <v>14203994</v>
      </c>
      <c r="F458" s="243">
        <f>ROUND(+E458*D458,2)</f>
        <v>14203994</v>
      </c>
    </row>
    <row r="459" spans="1:6" s="9" customFormat="1" ht="39.950000000000003" customHeight="1" x14ac:dyDescent="0.25">
      <c r="A459" s="290" t="s">
        <v>662</v>
      </c>
      <c r="B459" s="256" t="s">
        <v>663</v>
      </c>
      <c r="C459" s="256"/>
      <c r="D459" s="313"/>
      <c r="E459" s="303"/>
      <c r="F459" s="246"/>
    </row>
    <row r="460" spans="1:6" s="9" customFormat="1" ht="35.1" customHeight="1" x14ac:dyDescent="0.25">
      <c r="A460" s="255" t="s">
        <v>664</v>
      </c>
      <c r="B460" s="254" t="s">
        <v>665</v>
      </c>
      <c r="C460" s="255" t="s">
        <v>269</v>
      </c>
      <c r="D460" s="295">
        <v>35</v>
      </c>
      <c r="E460" s="243">
        <v>25031</v>
      </c>
      <c r="F460" s="243">
        <f>ROUND(+E460*D460,2)</f>
        <v>876085</v>
      </c>
    </row>
    <row r="461" spans="1:6" s="9" customFormat="1" ht="35.1" customHeight="1" x14ac:dyDescent="0.25">
      <c r="A461" s="255" t="s">
        <v>666</v>
      </c>
      <c r="B461" s="254" t="s">
        <v>1244</v>
      </c>
      <c r="C461" s="292" t="s">
        <v>16</v>
      </c>
      <c r="D461" s="295">
        <v>6</v>
      </c>
      <c r="E461" s="243">
        <v>130889</v>
      </c>
      <c r="F461" s="243">
        <f>ROUND(+E461*D461,2)</f>
        <v>785334</v>
      </c>
    </row>
    <row r="462" spans="1:6" s="9" customFormat="1" ht="35.1" customHeight="1" x14ac:dyDescent="0.25">
      <c r="A462" s="255" t="s">
        <v>668</v>
      </c>
      <c r="B462" s="254" t="s">
        <v>1245</v>
      </c>
      <c r="C462" s="292" t="s">
        <v>16</v>
      </c>
      <c r="D462" s="295">
        <v>6</v>
      </c>
      <c r="E462" s="243">
        <v>135495</v>
      </c>
      <c r="F462" s="243">
        <f>ROUND(+E462*D462,2)</f>
        <v>812970</v>
      </c>
    </row>
    <row r="463" spans="1:6" s="9" customFormat="1" ht="35.1" customHeight="1" x14ac:dyDescent="0.25">
      <c r="A463" s="255" t="s">
        <v>670</v>
      </c>
      <c r="B463" s="254" t="s">
        <v>1246</v>
      </c>
      <c r="C463" s="292" t="s">
        <v>16</v>
      </c>
      <c r="D463" s="295">
        <v>2</v>
      </c>
      <c r="E463" s="243">
        <v>135495</v>
      </c>
      <c r="F463" s="243">
        <f>ROUND(+E463*D463,2)</f>
        <v>270990</v>
      </c>
    </row>
    <row r="464" spans="1:6" s="9" customFormat="1" ht="35.1" customHeight="1" x14ac:dyDescent="0.25">
      <c r="A464" s="255" t="s">
        <v>672</v>
      </c>
      <c r="B464" s="291" t="s">
        <v>1247</v>
      </c>
      <c r="C464" s="292" t="s">
        <v>16</v>
      </c>
      <c r="D464" s="295">
        <v>6</v>
      </c>
      <c r="E464" s="243">
        <v>171131</v>
      </c>
      <c r="F464" s="243">
        <f>ROUND(+E464*D464,2)</f>
        <v>1026786</v>
      </c>
    </row>
    <row r="465" spans="1:6" s="9" customFormat="1" ht="35.1" customHeight="1" x14ac:dyDescent="0.25">
      <c r="A465" s="290" t="s">
        <v>674</v>
      </c>
      <c r="B465" s="256" t="s">
        <v>675</v>
      </c>
      <c r="C465" s="256"/>
      <c r="D465" s="313"/>
      <c r="E465" s="303"/>
      <c r="F465" s="246"/>
    </row>
    <row r="466" spans="1:6" s="9" customFormat="1" ht="35.1" customHeight="1" x14ac:dyDescent="0.25">
      <c r="A466" s="255" t="s">
        <v>676</v>
      </c>
      <c r="B466" s="254" t="s">
        <v>677</v>
      </c>
      <c r="C466" s="255" t="s">
        <v>269</v>
      </c>
      <c r="D466" s="295">
        <v>10</v>
      </c>
      <c r="E466" s="243">
        <v>7377</v>
      </c>
      <c r="F466" s="243">
        <f>ROUND(+E466*D466,2)</f>
        <v>73770</v>
      </c>
    </row>
    <row r="467" spans="1:6" s="9" customFormat="1" ht="35.1" customHeight="1" x14ac:dyDescent="0.25">
      <c r="A467" s="255" t="s">
        <v>678</v>
      </c>
      <c r="B467" s="254" t="s">
        <v>679</v>
      </c>
      <c r="C467" s="292" t="s">
        <v>16</v>
      </c>
      <c r="D467" s="295">
        <v>1</v>
      </c>
      <c r="E467" s="243">
        <v>130889</v>
      </c>
      <c r="F467" s="243">
        <f>ROUND(+E467*D467,2)</f>
        <v>130889</v>
      </c>
    </row>
    <row r="468" spans="1:6" s="9" customFormat="1" ht="35.1" customHeight="1" x14ac:dyDescent="0.25">
      <c r="A468" s="255" t="s">
        <v>680</v>
      </c>
      <c r="B468" s="254" t="s">
        <v>681</v>
      </c>
      <c r="C468" s="292" t="s">
        <v>16</v>
      </c>
      <c r="D468" s="295">
        <v>1</v>
      </c>
      <c r="E468" s="243">
        <v>135495</v>
      </c>
      <c r="F468" s="243">
        <f>ROUND(+E468*D468,2)</f>
        <v>135495</v>
      </c>
    </row>
    <row r="469" spans="1:6" s="9" customFormat="1" ht="35.1" customHeight="1" x14ac:dyDescent="0.25">
      <c r="A469" s="255" t="s">
        <v>682</v>
      </c>
      <c r="B469" s="254" t="s">
        <v>1248</v>
      </c>
      <c r="C469" s="292" t="s">
        <v>16</v>
      </c>
      <c r="D469" s="295">
        <v>2</v>
      </c>
      <c r="E469" s="243">
        <v>135495</v>
      </c>
      <c r="F469" s="243">
        <f>ROUND(+E469*D469,2)</f>
        <v>270990</v>
      </c>
    </row>
    <row r="470" spans="1:6" s="9" customFormat="1" ht="39.950000000000003" customHeight="1" x14ac:dyDescent="0.25">
      <c r="A470" s="255" t="s">
        <v>684</v>
      </c>
      <c r="B470" s="254" t="s">
        <v>1247</v>
      </c>
      <c r="C470" s="292" t="s">
        <v>16</v>
      </c>
      <c r="D470" s="295">
        <v>1</v>
      </c>
      <c r="E470" s="243">
        <v>171131</v>
      </c>
      <c r="F470" s="243">
        <f>ROUND(+E470*D470,2)</f>
        <v>171131</v>
      </c>
    </row>
    <row r="471" spans="1:6" s="9" customFormat="1" ht="35.1" customHeight="1" x14ac:dyDescent="0.25">
      <c r="A471" s="290" t="s">
        <v>685</v>
      </c>
      <c r="B471" s="256" t="s">
        <v>686</v>
      </c>
      <c r="C471" s="256"/>
      <c r="D471" s="256"/>
      <c r="E471" s="310"/>
      <c r="F471" s="256"/>
    </row>
    <row r="472" spans="1:6" s="9" customFormat="1" ht="35.1" customHeight="1" x14ac:dyDescent="0.25">
      <c r="A472" s="255" t="s">
        <v>687</v>
      </c>
      <c r="B472" s="254" t="s">
        <v>665</v>
      </c>
      <c r="C472" s="255" t="s">
        <v>269</v>
      </c>
      <c r="D472" s="295">
        <v>8</v>
      </c>
      <c r="E472" s="243">
        <v>25031</v>
      </c>
      <c r="F472" s="243">
        <f>ROUND(+E472*D472,2)</f>
        <v>200248</v>
      </c>
    </row>
    <row r="473" spans="1:6" s="9" customFormat="1" ht="57" customHeight="1" x14ac:dyDescent="0.25">
      <c r="A473" s="255" t="s">
        <v>688</v>
      </c>
      <c r="B473" s="254" t="s">
        <v>1249</v>
      </c>
      <c r="C473" s="255" t="s">
        <v>16</v>
      </c>
      <c r="D473" s="295">
        <v>1</v>
      </c>
      <c r="E473" s="243">
        <v>725857</v>
      </c>
      <c r="F473" s="243">
        <f>ROUND(+E473*D473,2)</f>
        <v>725857</v>
      </c>
    </row>
    <row r="474" spans="1:6" s="9" customFormat="1" ht="35.1" customHeight="1" x14ac:dyDescent="0.25">
      <c r="A474" s="244" t="s">
        <v>690</v>
      </c>
      <c r="B474" s="256" t="s">
        <v>691</v>
      </c>
      <c r="C474" s="256"/>
      <c r="D474" s="256"/>
      <c r="E474" s="310"/>
      <c r="F474" s="256"/>
    </row>
    <row r="475" spans="1:6" s="9" customFormat="1" ht="35.1" customHeight="1" x14ac:dyDescent="0.25">
      <c r="A475" s="255" t="s">
        <v>692</v>
      </c>
      <c r="B475" s="254" t="s">
        <v>693</v>
      </c>
      <c r="C475" s="255" t="s">
        <v>269</v>
      </c>
      <c r="D475" s="295">
        <v>65</v>
      </c>
      <c r="E475" s="243">
        <v>4876</v>
      </c>
      <c r="F475" s="243">
        <f t="shared" ref="F475:F484" si="20">ROUND(+E475*D475,2)</f>
        <v>316940</v>
      </c>
    </row>
    <row r="476" spans="1:6" s="9" customFormat="1" ht="35.1" customHeight="1" x14ac:dyDescent="0.25">
      <c r="A476" s="255" t="s">
        <v>694</v>
      </c>
      <c r="B476" s="254" t="s">
        <v>695</v>
      </c>
      <c r="C476" s="255" t="s">
        <v>269</v>
      </c>
      <c r="D476" s="295">
        <v>69</v>
      </c>
      <c r="E476" s="243">
        <v>15151</v>
      </c>
      <c r="F476" s="243">
        <f t="shared" si="20"/>
        <v>1045419</v>
      </c>
    </row>
    <row r="477" spans="1:6" s="9" customFormat="1" ht="35.1" customHeight="1" x14ac:dyDescent="0.25">
      <c r="A477" s="255" t="s">
        <v>696</v>
      </c>
      <c r="B477" s="254" t="s">
        <v>697</v>
      </c>
      <c r="C477" s="255" t="s">
        <v>269</v>
      </c>
      <c r="D477" s="295">
        <v>244</v>
      </c>
      <c r="E477" s="243">
        <v>5534</v>
      </c>
      <c r="F477" s="243">
        <f t="shared" si="20"/>
        <v>1350296</v>
      </c>
    </row>
    <row r="478" spans="1:6" s="9" customFormat="1" ht="35.1" customHeight="1" x14ac:dyDescent="0.25">
      <c r="A478" s="255" t="s">
        <v>698</v>
      </c>
      <c r="B478" s="254" t="s">
        <v>1250</v>
      </c>
      <c r="C478" s="255" t="s">
        <v>269</v>
      </c>
      <c r="D478" s="295">
        <v>190</v>
      </c>
      <c r="E478" s="243">
        <v>15151</v>
      </c>
      <c r="F478" s="243">
        <f t="shared" si="20"/>
        <v>2878690</v>
      </c>
    </row>
    <row r="479" spans="1:6" s="9" customFormat="1" ht="54" customHeight="1" x14ac:dyDescent="0.25">
      <c r="A479" s="255" t="s">
        <v>700</v>
      </c>
      <c r="B479" s="254" t="s">
        <v>1251</v>
      </c>
      <c r="C479" s="255" t="s">
        <v>16</v>
      </c>
      <c r="D479" s="295">
        <v>14</v>
      </c>
      <c r="E479" s="243">
        <v>219354</v>
      </c>
      <c r="F479" s="243">
        <f t="shared" si="20"/>
        <v>3070956</v>
      </c>
    </row>
    <row r="480" spans="1:6" s="9" customFormat="1" ht="35.1" customHeight="1" x14ac:dyDescent="0.25">
      <c r="A480" s="255" t="s">
        <v>702</v>
      </c>
      <c r="B480" s="254" t="s">
        <v>703</v>
      </c>
      <c r="C480" s="255" t="s">
        <v>16</v>
      </c>
      <c r="D480" s="295">
        <v>86</v>
      </c>
      <c r="E480" s="243">
        <v>21649</v>
      </c>
      <c r="F480" s="243">
        <f t="shared" si="20"/>
        <v>1861814</v>
      </c>
    </row>
    <row r="481" spans="1:6" s="9" customFormat="1" ht="35.1" customHeight="1" x14ac:dyDescent="0.25">
      <c r="A481" s="255" t="s">
        <v>704</v>
      </c>
      <c r="B481" s="254" t="s">
        <v>705</v>
      </c>
      <c r="C481" s="255" t="s">
        <v>16</v>
      </c>
      <c r="D481" s="295">
        <v>4</v>
      </c>
      <c r="E481" s="243">
        <v>26864</v>
      </c>
      <c r="F481" s="243">
        <f t="shared" si="20"/>
        <v>107456</v>
      </c>
    </row>
    <row r="482" spans="1:6" s="9" customFormat="1" ht="35.1" customHeight="1" x14ac:dyDescent="0.25">
      <c r="A482" s="255" t="s">
        <v>706</v>
      </c>
      <c r="B482" s="254" t="s">
        <v>707</v>
      </c>
      <c r="C482" s="255" t="s">
        <v>16</v>
      </c>
      <c r="D482" s="295">
        <v>4</v>
      </c>
      <c r="E482" s="243">
        <v>220459</v>
      </c>
      <c r="F482" s="243">
        <f t="shared" si="20"/>
        <v>881836</v>
      </c>
    </row>
    <row r="483" spans="1:6" s="9" customFormat="1" ht="35.1" customHeight="1" x14ac:dyDescent="0.25">
      <c r="A483" s="255" t="s">
        <v>708</v>
      </c>
      <c r="B483" s="254" t="s">
        <v>709</v>
      </c>
      <c r="C483" s="255" t="s">
        <v>16</v>
      </c>
      <c r="D483" s="295">
        <v>4</v>
      </c>
      <c r="E483" s="243">
        <v>135495</v>
      </c>
      <c r="F483" s="243">
        <f t="shared" si="20"/>
        <v>541980</v>
      </c>
    </row>
    <row r="484" spans="1:6" s="9" customFormat="1" ht="35.1" customHeight="1" x14ac:dyDescent="0.25">
      <c r="A484" s="255" t="s">
        <v>710</v>
      </c>
      <c r="B484" s="254" t="s">
        <v>1252</v>
      </c>
      <c r="C484" s="255" t="s">
        <v>16</v>
      </c>
      <c r="D484" s="295">
        <v>4</v>
      </c>
      <c r="E484" s="243">
        <v>269435</v>
      </c>
      <c r="F484" s="243">
        <f t="shared" si="20"/>
        <v>1077740</v>
      </c>
    </row>
    <row r="485" spans="1:6" s="9" customFormat="1" ht="35.1" customHeight="1" x14ac:dyDescent="0.25">
      <c r="A485" s="244" t="s">
        <v>1253</v>
      </c>
      <c r="B485" s="256" t="s">
        <v>1254</v>
      </c>
      <c r="C485" s="256"/>
      <c r="D485" s="313"/>
      <c r="E485" s="303"/>
      <c r="F485" s="246"/>
    </row>
    <row r="486" spans="1:6" s="9" customFormat="1" ht="108.75" customHeight="1" x14ac:dyDescent="0.25">
      <c r="A486" s="255" t="s">
        <v>1255</v>
      </c>
      <c r="B486" s="254" t="s">
        <v>1256</v>
      </c>
      <c r="C486" s="255" t="s">
        <v>16</v>
      </c>
      <c r="D486" s="295">
        <v>1</v>
      </c>
      <c r="E486" s="243">
        <v>211450356</v>
      </c>
      <c r="F486" s="243">
        <f t="shared" ref="F486:F497" si="21">ROUND(+E486*D486,2)</f>
        <v>211450356</v>
      </c>
    </row>
    <row r="487" spans="1:6" s="9" customFormat="1" ht="35.1" customHeight="1" x14ac:dyDescent="0.25">
      <c r="A487" s="255" t="s">
        <v>1257</v>
      </c>
      <c r="B487" s="254" t="s">
        <v>1258</v>
      </c>
      <c r="C487" s="255" t="s">
        <v>16</v>
      </c>
      <c r="D487" s="295">
        <v>1</v>
      </c>
      <c r="E487" s="243">
        <v>1028290</v>
      </c>
      <c r="F487" s="243">
        <f t="shared" si="21"/>
        <v>1028290</v>
      </c>
    </row>
    <row r="488" spans="1:6" s="9" customFormat="1" ht="35.1" customHeight="1" x14ac:dyDescent="0.25">
      <c r="A488" s="255" t="s">
        <v>1259</v>
      </c>
      <c r="B488" s="254" t="s">
        <v>1260</v>
      </c>
      <c r="C488" s="255" t="s">
        <v>16</v>
      </c>
      <c r="D488" s="295">
        <v>4</v>
      </c>
      <c r="E488" s="243">
        <v>192597</v>
      </c>
      <c r="F488" s="243">
        <f t="shared" si="21"/>
        <v>770388</v>
      </c>
    </row>
    <row r="489" spans="1:6" s="9" customFormat="1" ht="50.25" customHeight="1" x14ac:dyDescent="0.25">
      <c r="A489" s="255" t="s">
        <v>1261</v>
      </c>
      <c r="B489" s="254" t="s">
        <v>1262</v>
      </c>
      <c r="C489" s="255" t="s">
        <v>16</v>
      </c>
      <c r="D489" s="295">
        <v>1</v>
      </c>
      <c r="E489" s="243">
        <v>1585520</v>
      </c>
      <c r="F489" s="243">
        <f t="shared" si="21"/>
        <v>1585520</v>
      </c>
    </row>
    <row r="490" spans="1:6" s="9" customFormat="1" ht="35.1" customHeight="1" x14ac:dyDescent="0.25">
      <c r="A490" s="255" t="s">
        <v>1263</v>
      </c>
      <c r="B490" s="254" t="s">
        <v>1264</v>
      </c>
      <c r="C490" s="255" t="s">
        <v>16</v>
      </c>
      <c r="D490" s="295">
        <v>1</v>
      </c>
      <c r="E490" s="243">
        <v>798978</v>
      </c>
      <c r="F490" s="243">
        <f t="shared" si="21"/>
        <v>798978</v>
      </c>
    </row>
    <row r="491" spans="1:6" s="9" customFormat="1" ht="35.1" customHeight="1" x14ac:dyDescent="0.25">
      <c r="A491" s="255" t="s">
        <v>1265</v>
      </c>
      <c r="B491" s="254" t="s">
        <v>1266</v>
      </c>
      <c r="C491" s="255" t="s">
        <v>16</v>
      </c>
      <c r="D491" s="295">
        <v>1</v>
      </c>
      <c r="E491" s="243">
        <v>1512010</v>
      </c>
      <c r="F491" s="243">
        <f t="shared" si="21"/>
        <v>1512010</v>
      </c>
    </row>
    <row r="492" spans="1:6" s="9" customFormat="1" ht="42.75" customHeight="1" x14ac:dyDescent="0.25">
      <c r="A492" s="255" t="s">
        <v>1267</v>
      </c>
      <c r="B492" s="254" t="s">
        <v>1268</v>
      </c>
      <c r="C492" s="255" t="s">
        <v>269</v>
      </c>
      <c r="D492" s="295">
        <v>8</v>
      </c>
      <c r="E492" s="243">
        <v>224164</v>
      </c>
      <c r="F492" s="243">
        <f t="shared" si="21"/>
        <v>1793312</v>
      </c>
    </row>
    <row r="493" spans="1:6" s="9" customFormat="1" ht="35.1" customHeight="1" x14ac:dyDescent="0.25">
      <c r="A493" s="255" t="s">
        <v>1269</v>
      </c>
      <c r="B493" s="254" t="s">
        <v>1270</v>
      </c>
      <c r="C493" s="255" t="s">
        <v>16</v>
      </c>
      <c r="D493" s="295">
        <v>2</v>
      </c>
      <c r="E493" s="243">
        <v>224164</v>
      </c>
      <c r="F493" s="243">
        <f t="shared" si="21"/>
        <v>448328</v>
      </c>
    </row>
    <row r="494" spans="1:6" s="9" customFormat="1" ht="35.1" customHeight="1" x14ac:dyDescent="0.25">
      <c r="A494" s="255" t="s">
        <v>1271</v>
      </c>
      <c r="B494" s="254" t="s">
        <v>1272</v>
      </c>
      <c r="C494" s="255" t="s">
        <v>16</v>
      </c>
      <c r="D494" s="295">
        <v>1</v>
      </c>
      <c r="E494" s="243">
        <v>504920</v>
      </c>
      <c r="F494" s="243">
        <f t="shared" si="21"/>
        <v>504920</v>
      </c>
    </row>
    <row r="495" spans="1:6" s="9" customFormat="1" ht="37.5" customHeight="1" x14ac:dyDescent="0.25">
      <c r="A495" s="255" t="s">
        <v>1273</v>
      </c>
      <c r="B495" s="254" t="s">
        <v>1274</v>
      </c>
      <c r="C495" s="255" t="s">
        <v>16</v>
      </c>
      <c r="D495" s="295">
        <v>1</v>
      </c>
      <c r="E495" s="243">
        <v>460203</v>
      </c>
      <c r="F495" s="243">
        <f t="shared" si="21"/>
        <v>460203</v>
      </c>
    </row>
    <row r="496" spans="1:6" s="9" customFormat="1" ht="35.1" customHeight="1" x14ac:dyDescent="0.25">
      <c r="A496" s="255" t="s">
        <v>1275</v>
      </c>
      <c r="B496" s="254" t="s">
        <v>1276</v>
      </c>
      <c r="C496" s="255" t="s">
        <v>269</v>
      </c>
      <c r="D496" s="295">
        <v>8</v>
      </c>
      <c r="E496" s="243">
        <v>112871</v>
      </c>
      <c r="F496" s="243">
        <f t="shared" si="21"/>
        <v>902968</v>
      </c>
    </row>
    <row r="497" spans="1:6" s="9" customFormat="1" ht="35.1" customHeight="1" x14ac:dyDescent="0.25">
      <c r="A497" s="255" t="s">
        <v>1277</v>
      </c>
      <c r="B497" s="254" t="s">
        <v>1278</v>
      </c>
      <c r="C497" s="255" t="s">
        <v>269</v>
      </c>
      <c r="D497" s="295">
        <v>2</v>
      </c>
      <c r="E497" s="243">
        <v>112871</v>
      </c>
      <c r="F497" s="243">
        <f t="shared" si="21"/>
        <v>225742</v>
      </c>
    </row>
    <row r="498" spans="1:6" s="9" customFormat="1" ht="35.1" customHeight="1" x14ac:dyDescent="0.25">
      <c r="A498" s="244" t="s">
        <v>1279</v>
      </c>
      <c r="B498" s="245" t="s">
        <v>1280</v>
      </c>
      <c r="C498" s="256"/>
      <c r="D498" s="313"/>
      <c r="E498" s="303"/>
      <c r="F498" s="246"/>
    </row>
    <row r="499" spans="1:6" s="9" customFormat="1" ht="35.1" customHeight="1" x14ac:dyDescent="0.25">
      <c r="A499" s="255" t="s">
        <v>1281</v>
      </c>
      <c r="B499" s="254" t="s">
        <v>1282</v>
      </c>
      <c r="C499" s="255" t="s">
        <v>16</v>
      </c>
      <c r="D499" s="295">
        <v>1</v>
      </c>
      <c r="E499" s="243">
        <v>23811571</v>
      </c>
      <c r="F499" s="243">
        <f>ROUND(+E499*D499,2)</f>
        <v>23811571</v>
      </c>
    </row>
    <row r="500" spans="1:6" s="9" customFormat="1" ht="39.950000000000003" customHeight="1" x14ac:dyDescent="0.25">
      <c r="A500" s="244" t="s">
        <v>1283</v>
      </c>
      <c r="B500" s="245" t="s">
        <v>1284</v>
      </c>
      <c r="C500" s="256"/>
      <c r="D500" s="313"/>
      <c r="E500" s="303"/>
      <c r="F500" s="246"/>
    </row>
    <row r="501" spans="1:6" s="9" customFormat="1" ht="39.950000000000003" customHeight="1" x14ac:dyDescent="0.25">
      <c r="A501" s="255" t="s">
        <v>1285</v>
      </c>
      <c r="B501" s="254" t="s">
        <v>1286</v>
      </c>
      <c r="C501" s="255" t="s">
        <v>16</v>
      </c>
      <c r="D501" s="295">
        <v>1</v>
      </c>
      <c r="E501" s="243">
        <v>2327032</v>
      </c>
      <c r="F501" s="243">
        <f>ROUND(+E501*D501,2)</f>
        <v>2327032</v>
      </c>
    </row>
    <row r="502" spans="1:6" s="9" customFormat="1" ht="39.950000000000003" customHeight="1" x14ac:dyDescent="0.25">
      <c r="A502" s="255" t="s">
        <v>1287</v>
      </c>
      <c r="B502" s="254" t="s">
        <v>1288</v>
      </c>
      <c r="C502" s="255" t="s">
        <v>269</v>
      </c>
      <c r="D502" s="295">
        <v>10</v>
      </c>
      <c r="E502" s="243">
        <v>103302</v>
      </c>
      <c r="F502" s="243">
        <f>ROUND(+E502*D502,2)</f>
        <v>1033020</v>
      </c>
    </row>
    <row r="503" spans="1:6" s="9" customFormat="1" ht="39.950000000000003" customHeight="1" x14ac:dyDescent="0.25">
      <c r="A503" s="255" t="s">
        <v>1289</v>
      </c>
      <c r="B503" s="254" t="s">
        <v>1290</v>
      </c>
      <c r="C503" s="255" t="s">
        <v>269</v>
      </c>
      <c r="D503" s="295">
        <v>5</v>
      </c>
      <c r="E503" s="243">
        <v>188987</v>
      </c>
      <c r="F503" s="243">
        <f>ROUND(+E503*D503,2)</f>
        <v>944935</v>
      </c>
    </row>
    <row r="504" spans="1:6" s="9" customFormat="1" ht="39.950000000000003" customHeight="1" x14ac:dyDescent="0.25">
      <c r="A504" s="255" t="s">
        <v>1291</v>
      </c>
      <c r="B504" s="254" t="s">
        <v>1292</v>
      </c>
      <c r="C504" s="255" t="s">
        <v>269</v>
      </c>
      <c r="D504" s="295">
        <v>5</v>
      </c>
      <c r="E504" s="243">
        <v>188987</v>
      </c>
      <c r="F504" s="243">
        <f>ROUND(+E504*D504,2)</f>
        <v>944935</v>
      </c>
    </row>
    <row r="505" spans="1:6" s="9" customFormat="1" ht="35.1" customHeight="1" x14ac:dyDescent="0.25">
      <c r="A505" s="255" t="s">
        <v>1293</v>
      </c>
      <c r="B505" s="254" t="s">
        <v>1294</v>
      </c>
      <c r="C505" s="255" t="s">
        <v>1423</v>
      </c>
      <c r="D505" s="295">
        <v>200</v>
      </c>
      <c r="E505" s="243">
        <v>9990</v>
      </c>
      <c r="F505" s="243">
        <f>ROUND(+E505*D505,2)</f>
        <v>1998000</v>
      </c>
    </row>
    <row r="506" spans="1:6" s="9" customFormat="1" ht="35.1" customHeight="1" x14ac:dyDescent="0.25">
      <c r="A506" s="293">
        <v>16</v>
      </c>
      <c r="B506" s="294" t="s">
        <v>712</v>
      </c>
      <c r="C506" s="267"/>
      <c r="D506" s="316"/>
      <c r="E506" s="306"/>
      <c r="F506" s="268"/>
    </row>
    <row r="507" spans="1:6" s="9" customFormat="1" ht="35.1" customHeight="1" x14ac:dyDescent="0.25">
      <c r="A507" s="244" t="s">
        <v>713</v>
      </c>
      <c r="B507" s="256" t="s">
        <v>714</v>
      </c>
      <c r="C507" s="256"/>
      <c r="D507" s="313"/>
      <c r="E507" s="303"/>
      <c r="F507" s="246"/>
    </row>
    <row r="508" spans="1:6" s="9" customFormat="1" ht="35.1" customHeight="1" x14ac:dyDescent="0.25">
      <c r="A508" s="255" t="s">
        <v>715</v>
      </c>
      <c r="B508" s="87" t="s">
        <v>716</v>
      </c>
      <c r="C508" s="255" t="s">
        <v>16</v>
      </c>
      <c r="D508" s="295">
        <v>210</v>
      </c>
      <c r="E508" s="243">
        <v>132419</v>
      </c>
      <c r="F508" s="243">
        <f t="shared" ref="F508:F516" si="22">ROUND(+E508*D508,2)</f>
        <v>27807990</v>
      </c>
    </row>
    <row r="509" spans="1:6" s="9" customFormat="1" ht="35.1" customHeight="1" x14ac:dyDescent="0.25">
      <c r="A509" s="255" t="s">
        <v>717</v>
      </c>
      <c r="B509" s="87" t="s">
        <v>718</v>
      </c>
      <c r="C509" s="255" t="s">
        <v>16</v>
      </c>
      <c r="D509" s="295">
        <v>112</v>
      </c>
      <c r="E509" s="243">
        <v>214137</v>
      </c>
      <c r="F509" s="243">
        <f t="shared" si="22"/>
        <v>23983344</v>
      </c>
    </row>
    <row r="510" spans="1:6" s="9" customFormat="1" ht="35.1" customHeight="1" x14ac:dyDescent="0.25">
      <c r="A510" s="255" t="s">
        <v>719</v>
      </c>
      <c r="B510" s="254" t="s">
        <v>720</v>
      </c>
      <c r="C510" s="255" t="s">
        <v>16</v>
      </c>
      <c r="D510" s="295">
        <v>166</v>
      </c>
      <c r="E510" s="243">
        <v>195814</v>
      </c>
      <c r="F510" s="243">
        <f t="shared" si="22"/>
        <v>32505124</v>
      </c>
    </row>
    <row r="511" spans="1:6" s="9" customFormat="1" ht="35.1" customHeight="1" x14ac:dyDescent="0.25">
      <c r="A511" s="255" t="s">
        <v>721</v>
      </c>
      <c r="B511" s="254" t="s">
        <v>722</v>
      </c>
      <c r="C511" s="255" t="s">
        <v>16</v>
      </c>
      <c r="D511" s="295">
        <v>69</v>
      </c>
      <c r="E511" s="243">
        <v>144433</v>
      </c>
      <c r="F511" s="243">
        <f t="shared" si="22"/>
        <v>9965877</v>
      </c>
    </row>
    <row r="512" spans="1:6" s="9" customFormat="1" ht="35.1" customHeight="1" x14ac:dyDescent="0.25">
      <c r="A512" s="255" t="s">
        <v>723</v>
      </c>
      <c r="B512" s="254" t="s">
        <v>724</v>
      </c>
      <c r="C512" s="255" t="s">
        <v>16</v>
      </c>
      <c r="D512" s="295">
        <v>252</v>
      </c>
      <c r="E512" s="243">
        <v>232703</v>
      </c>
      <c r="F512" s="243">
        <f t="shared" si="22"/>
        <v>58641156</v>
      </c>
    </row>
    <row r="513" spans="1:6" s="9" customFormat="1" ht="35.1" customHeight="1" x14ac:dyDescent="0.25">
      <c r="A513" s="255" t="s">
        <v>725</v>
      </c>
      <c r="B513" s="254" t="s">
        <v>726</v>
      </c>
      <c r="C513" s="255" t="s">
        <v>16</v>
      </c>
      <c r="D513" s="295">
        <v>8</v>
      </c>
      <c r="E513" s="243">
        <v>277466</v>
      </c>
      <c r="F513" s="243">
        <f t="shared" si="22"/>
        <v>2219728</v>
      </c>
    </row>
    <row r="514" spans="1:6" s="9" customFormat="1" ht="35.1" customHeight="1" x14ac:dyDescent="0.25">
      <c r="A514" s="255" t="s">
        <v>727</v>
      </c>
      <c r="B514" s="254" t="s">
        <v>728</v>
      </c>
      <c r="C514" s="255" t="s">
        <v>16</v>
      </c>
      <c r="D514" s="295">
        <v>8</v>
      </c>
      <c r="E514" s="243">
        <v>205006</v>
      </c>
      <c r="F514" s="243">
        <f t="shared" si="22"/>
        <v>1640048</v>
      </c>
    </row>
    <row r="515" spans="1:6" s="9" customFormat="1" ht="35.1" customHeight="1" x14ac:dyDescent="0.25">
      <c r="A515" s="255" t="s">
        <v>729</v>
      </c>
      <c r="B515" s="291" t="s">
        <v>730</v>
      </c>
      <c r="C515" s="255" t="s">
        <v>16</v>
      </c>
      <c r="D515" s="295">
        <v>92</v>
      </c>
      <c r="E515" s="243">
        <v>99609</v>
      </c>
      <c r="F515" s="243">
        <f t="shared" si="22"/>
        <v>9164028</v>
      </c>
    </row>
    <row r="516" spans="1:6" s="9" customFormat="1" ht="35.1" customHeight="1" x14ac:dyDescent="0.25">
      <c r="A516" s="255" t="s">
        <v>731</v>
      </c>
      <c r="B516" s="254" t="s">
        <v>732</v>
      </c>
      <c r="C516" s="255" t="s">
        <v>16</v>
      </c>
      <c r="D516" s="295">
        <v>14</v>
      </c>
      <c r="E516" s="243">
        <v>79847</v>
      </c>
      <c r="F516" s="243">
        <f t="shared" si="22"/>
        <v>1117858</v>
      </c>
    </row>
    <row r="517" spans="1:6" s="9" customFormat="1" ht="35.1" customHeight="1" x14ac:dyDescent="0.25">
      <c r="A517" s="266">
        <v>17</v>
      </c>
      <c r="B517" s="267" t="s">
        <v>733</v>
      </c>
      <c r="C517" s="267"/>
      <c r="D517" s="316"/>
      <c r="E517" s="306"/>
      <c r="F517" s="268"/>
    </row>
    <row r="518" spans="1:6" s="9" customFormat="1" ht="35.1" customHeight="1" x14ac:dyDescent="0.25">
      <c r="A518" s="244" t="s">
        <v>1295</v>
      </c>
      <c r="B518" s="256" t="s">
        <v>1296</v>
      </c>
      <c r="C518" s="256"/>
      <c r="D518" s="313"/>
      <c r="E518" s="303"/>
      <c r="F518" s="246"/>
    </row>
    <row r="519" spans="1:6" s="9" customFormat="1" ht="35.1" customHeight="1" x14ac:dyDescent="0.25">
      <c r="A519" s="255" t="s">
        <v>1297</v>
      </c>
      <c r="B519" s="254" t="s">
        <v>1298</v>
      </c>
      <c r="C519" s="240" t="s">
        <v>16</v>
      </c>
      <c r="D519" s="295">
        <v>1</v>
      </c>
      <c r="E519" s="243">
        <v>246291164</v>
      </c>
      <c r="F519" s="243">
        <f t="shared" ref="F519:F533" si="23">ROUND(+E519*D519,2)</f>
        <v>246291164</v>
      </c>
    </row>
    <row r="520" spans="1:6" s="9" customFormat="1" ht="35.1" customHeight="1" x14ac:dyDescent="0.25">
      <c r="A520" s="255" t="s">
        <v>1299</v>
      </c>
      <c r="B520" s="254" t="s">
        <v>1300</v>
      </c>
      <c r="C520" s="240" t="s">
        <v>16</v>
      </c>
      <c r="D520" s="295">
        <v>1</v>
      </c>
      <c r="E520" s="243">
        <v>197545150</v>
      </c>
      <c r="F520" s="243">
        <f t="shared" si="23"/>
        <v>197545150</v>
      </c>
    </row>
    <row r="521" spans="1:6" s="9" customFormat="1" ht="35.1" customHeight="1" x14ac:dyDescent="0.25">
      <c r="A521" s="255" t="s">
        <v>1301</v>
      </c>
      <c r="B521" s="241" t="s">
        <v>1424</v>
      </c>
      <c r="C521" s="240" t="s">
        <v>16</v>
      </c>
      <c r="D521" s="295">
        <v>2</v>
      </c>
      <c r="E521" s="243">
        <v>856442</v>
      </c>
      <c r="F521" s="243">
        <f t="shared" si="23"/>
        <v>1712884</v>
      </c>
    </row>
    <row r="522" spans="1:6" s="9" customFormat="1" ht="35.1" customHeight="1" x14ac:dyDescent="0.25">
      <c r="A522" s="255" t="s">
        <v>1303</v>
      </c>
      <c r="B522" s="254" t="s">
        <v>1304</v>
      </c>
      <c r="C522" s="240" t="s">
        <v>16</v>
      </c>
      <c r="D522" s="295">
        <v>9</v>
      </c>
      <c r="E522" s="243">
        <v>3292279</v>
      </c>
      <c r="F522" s="243">
        <f t="shared" si="23"/>
        <v>29630511</v>
      </c>
    </row>
    <row r="523" spans="1:6" s="9" customFormat="1" ht="35.1" customHeight="1" x14ac:dyDescent="0.25">
      <c r="A523" s="255" t="s">
        <v>1305</v>
      </c>
      <c r="B523" s="254" t="s">
        <v>1306</v>
      </c>
      <c r="C523" s="240" t="s">
        <v>16</v>
      </c>
      <c r="D523" s="295">
        <v>16</v>
      </c>
      <c r="E523" s="243">
        <v>2238311</v>
      </c>
      <c r="F523" s="243">
        <f t="shared" si="23"/>
        <v>35812976</v>
      </c>
    </row>
    <row r="524" spans="1:6" s="9" customFormat="1" ht="35.1" customHeight="1" x14ac:dyDescent="0.25">
      <c r="A524" s="255" t="s">
        <v>1307</v>
      </c>
      <c r="B524" s="254" t="s">
        <v>1308</v>
      </c>
      <c r="C524" s="240" t="s">
        <v>16</v>
      </c>
      <c r="D524" s="295">
        <v>1</v>
      </c>
      <c r="E524" s="243">
        <v>2106565</v>
      </c>
      <c r="F524" s="243">
        <f t="shared" si="23"/>
        <v>2106565</v>
      </c>
    </row>
    <row r="525" spans="1:6" s="9" customFormat="1" ht="35.1" customHeight="1" x14ac:dyDescent="0.25">
      <c r="A525" s="255" t="s">
        <v>1309</v>
      </c>
      <c r="B525" s="254" t="s">
        <v>1310</v>
      </c>
      <c r="C525" s="240" t="s">
        <v>16</v>
      </c>
      <c r="D525" s="295">
        <v>1</v>
      </c>
      <c r="E525" s="243">
        <v>1974819</v>
      </c>
      <c r="F525" s="243">
        <f t="shared" si="23"/>
        <v>1974819</v>
      </c>
    </row>
    <row r="526" spans="1:6" s="9" customFormat="1" ht="35.1" customHeight="1" x14ac:dyDescent="0.25">
      <c r="A526" s="255" t="s">
        <v>1311</v>
      </c>
      <c r="B526" s="254" t="s">
        <v>1312</v>
      </c>
      <c r="C526" s="240" t="s">
        <v>16</v>
      </c>
      <c r="D526" s="295">
        <v>3</v>
      </c>
      <c r="E526" s="243">
        <v>1184343</v>
      </c>
      <c r="F526" s="243">
        <f t="shared" si="23"/>
        <v>3553029</v>
      </c>
    </row>
    <row r="527" spans="1:6" s="9" customFormat="1" ht="35.1" customHeight="1" x14ac:dyDescent="0.25">
      <c r="A527" s="255" t="s">
        <v>1313</v>
      </c>
      <c r="B527" s="254" t="s">
        <v>1314</v>
      </c>
      <c r="C527" s="240" t="s">
        <v>16</v>
      </c>
      <c r="D527" s="295">
        <v>3</v>
      </c>
      <c r="E527" s="243">
        <v>1566406</v>
      </c>
      <c r="F527" s="243">
        <f t="shared" si="23"/>
        <v>4699218</v>
      </c>
    </row>
    <row r="528" spans="1:6" s="9" customFormat="1" ht="35.1" customHeight="1" x14ac:dyDescent="0.25">
      <c r="A528" s="255" t="s">
        <v>1315</v>
      </c>
      <c r="B528" s="254" t="s">
        <v>1316</v>
      </c>
      <c r="C528" s="240" t="s">
        <v>16</v>
      </c>
      <c r="D528" s="295">
        <v>1</v>
      </c>
      <c r="E528" s="243">
        <v>1691564</v>
      </c>
      <c r="F528" s="243">
        <f t="shared" si="23"/>
        <v>1691564</v>
      </c>
    </row>
    <row r="529" spans="1:6" s="9" customFormat="1" ht="35.1" customHeight="1" x14ac:dyDescent="0.25">
      <c r="A529" s="255" t="s">
        <v>1317</v>
      </c>
      <c r="B529" s="254" t="s">
        <v>1318</v>
      </c>
      <c r="C529" s="240" t="s">
        <v>16</v>
      </c>
      <c r="D529" s="295">
        <v>1</v>
      </c>
      <c r="E529" s="243">
        <v>1843073</v>
      </c>
      <c r="F529" s="243">
        <f t="shared" si="23"/>
        <v>1843073</v>
      </c>
    </row>
    <row r="530" spans="1:6" s="9" customFormat="1" ht="35.1" customHeight="1" x14ac:dyDescent="0.25">
      <c r="A530" s="255" t="s">
        <v>1319</v>
      </c>
      <c r="B530" s="254" t="s">
        <v>1320</v>
      </c>
      <c r="C530" s="240" t="s">
        <v>16</v>
      </c>
      <c r="D530" s="295">
        <v>2</v>
      </c>
      <c r="E530" s="243">
        <v>10144815</v>
      </c>
      <c r="F530" s="243">
        <f t="shared" si="23"/>
        <v>20289630</v>
      </c>
    </row>
    <row r="531" spans="1:6" s="9" customFormat="1" ht="35.1" customHeight="1" x14ac:dyDescent="0.25">
      <c r="A531" s="255" t="s">
        <v>1321</v>
      </c>
      <c r="B531" s="254" t="s">
        <v>1322</v>
      </c>
      <c r="C531" s="240" t="s">
        <v>16</v>
      </c>
      <c r="D531" s="295">
        <v>1</v>
      </c>
      <c r="E531" s="243">
        <v>16336970</v>
      </c>
      <c r="F531" s="243">
        <f t="shared" si="23"/>
        <v>16336970</v>
      </c>
    </row>
    <row r="532" spans="1:6" s="9" customFormat="1" ht="35.1" customHeight="1" x14ac:dyDescent="0.25">
      <c r="A532" s="255" t="s">
        <v>1323</v>
      </c>
      <c r="B532" s="254" t="s">
        <v>1324</v>
      </c>
      <c r="C532" s="240" t="s">
        <v>16</v>
      </c>
      <c r="D532" s="295">
        <v>4</v>
      </c>
      <c r="E532" s="243">
        <v>6806986</v>
      </c>
      <c r="F532" s="243">
        <f t="shared" si="23"/>
        <v>27227944</v>
      </c>
    </row>
    <row r="533" spans="1:6" s="9" customFormat="1" ht="35.1" customHeight="1" x14ac:dyDescent="0.25">
      <c r="A533" s="255" t="s">
        <v>1325</v>
      </c>
      <c r="B533" s="254" t="s">
        <v>1326</v>
      </c>
      <c r="C533" s="240" t="s">
        <v>16</v>
      </c>
      <c r="D533" s="295">
        <v>2</v>
      </c>
      <c r="E533" s="243">
        <v>23820382</v>
      </c>
      <c r="F533" s="243">
        <f t="shared" si="23"/>
        <v>47640764</v>
      </c>
    </row>
    <row r="534" spans="1:6" s="9" customFormat="1" ht="35.1" customHeight="1" x14ac:dyDescent="0.25">
      <c r="A534" s="244" t="s">
        <v>734</v>
      </c>
      <c r="B534" s="256" t="s">
        <v>735</v>
      </c>
      <c r="C534" s="256"/>
      <c r="D534" s="313"/>
      <c r="E534" s="303"/>
      <c r="F534" s="246"/>
    </row>
    <row r="535" spans="1:6" s="9" customFormat="1" ht="35.1" customHeight="1" x14ac:dyDescent="0.25">
      <c r="A535" s="255" t="s">
        <v>736</v>
      </c>
      <c r="B535" s="254" t="s">
        <v>737</v>
      </c>
      <c r="C535" s="240" t="s">
        <v>94</v>
      </c>
      <c r="D535" s="295">
        <v>62</v>
      </c>
      <c r="E535" s="243">
        <v>73508</v>
      </c>
      <c r="F535" s="243">
        <f t="shared" ref="F535:F542" si="24">ROUND(+E535*D535,2)</f>
        <v>4557496</v>
      </c>
    </row>
    <row r="536" spans="1:6" s="9" customFormat="1" ht="35.1" customHeight="1" x14ac:dyDescent="0.25">
      <c r="A536" s="255" t="s">
        <v>738</v>
      </c>
      <c r="B536" s="254" t="s">
        <v>739</v>
      </c>
      <c r="C536" s="240" t="s">
        <v>94</v>
      </c>
      <c r="D536" s="295">
        <v>33</v>
      </c>
      <c r="E536" s="243">
        <v>47798</v>
      </c>
      <c r="F536" s="243">
        <f t="shared" si="24"/>
        <v>1577334</v>
      </c>
    </row>
    <row r="537" spans="1:6" s="9" customFormat="1" ht="35.1" customHeight="1" x14ac:dyDescent="0.25">
      <c r="A537" s="255" t="s">
        <v>740</v>
      </c>
      <c r="B537" s="254" t="s">
        <v>741</v>
      </c>
      <c r="C537" s="240" t="s">
        <v>94</v>
      </c>
      <c r="D537" s="295">
        <v>88</v>
      </c>
      <c r="E537" s="243">
        <v>35622</v>
      </c>
      <c r="F537" s="243">
        <f t="shared" si="24"/>
        <v>3134736</v>
      </c>
    </row>
    <row r="538" spans="1:6" s="9" customFormat="1" ht="35.1" customHeight="1" x14ac:dyDescent="0.25">
      <c r="A538" s="255" t="s">
        <v>742</v>
      </c>
      <c r="B538" s="254" t="s">
        <v>743</v>
      </c>
      <c r="C538" s="240" t="s">
        <v>94</v>
      </c>
      <c r="D538" s="295">
        <v>253.4</v>
      </c>
      <c r="E538" s="243">
        <v>24250</v>
      </c>
      <c r="F538" s="243">
        <f t="shared" si="24"/>
        <v>6144950</v>
      </c>
    </row>
    <row r="539" spans="1:6" s="9" customFormat="1" ht="35.1" customHeight="1" x14ac:dyDescent="0.25">
      <c r="A539" s="255" t="s">
        <v>744</v>
      </c>
      <c r="B539" s="254" t="s">
        <v>745</v>
      </c>
      <c r="C539" s="240" t="s">
        <v>94</v>
      </c>
      <c r="D539" s="295">
        <v>146.80000000000001</v>
      </c>
      <c r="E539" s="243">
        <v>17669</v>
      </c>
      <c r="F539" s="243">
        <f t="shared" si="24"/>
        <v>2593809.2000000002</v>
      </c>
    </row>
    <row r="540" spans="1:6" s="9" customFormat="1" ht="35.1" customHeight="1" x14ac:dyDescent="0.25">
      <c r="A540" s="255" t="s">
        <v>746</v>
      </c>
      <c r="B540" s="254" t="s">
        <v>747</v>
      </c>
      <c r="C540" s="240" t="s">
        <v>94</v>
      </c>
      <c r="D540" s="295">
        <v>226.6</v>
      </c>
      <c r="E540" s="243">
        <v>15032</v>
      </c>
      <c r="F540" s="243">
        <f t="shared" si="24"/>
        <v>3406251.2</v>
      </c>
    </row>
    <row r="541" spans="1:6" s="9" customFormat="1" ht="35.1" customHeight="1" x14ac:dyDescent="0.25">
      <c r="A541" s="255" t="s">
        <v>748</v>
      </c>
      <c r="B541" s="254" t="s">
        <v>749</v>
      </c>
      <c r="C541" s="240" t="s">
        <v>94</v>
      </c>
      <c r="D541" s="295">
        <v>38.799999999999997</v>
      </c>
      <c r="E541" s="243">
        <v>10998</v>
      </c>
      <c r="F541" s="243">
        <f t="shared" si="24"/>
        <v>426722.4</v>
      </c>
    </row>
    <row r="542" spans="1:6" s="9" customFormat="1" ht="35.1" customHeight="1" x14ac:dyDescent="0.25">
      <c r="A542" s="255" t="s">
        <v>750</v>
      </c>
      <c r="B542" s="254" t="s">
        <v>751</v>
      </c>
      <c r="C542" s="240" t="s">
        <v>94</v>
      </c>
      <c r="D542" s="295">
        <v>44</v>
      </c>
      <c r="E542" s="243">
        <v>9661</v>
      </c>
      <c r="F542" s="243">
        <f t="shared" si="24"/>
        <v>425084</v>
      </c>
    </row>
    <row r="543" spans="1:6" s="9" customFormat="1" ht="35.1" customHeight="1" x14ac:dyDescent="0.25">
      <c r="A543" s="244" t="s">
        <v>752</v>
      </c>
      <c r="B543" s="256" t="s">
        <v>1327</v>
      </c>
      <c r="C543" s="256"/>
      <c r="D543" s="313"/>
      <c r="E543" s="303"/>
      <c r="F543" s="246"/>
    </row>
    <row r="544" spans="1:6" s="9" customFormat="1" ht="35.1" customHeight="1" x14ac:dyDescent="0.25">
      <c r="A544" s="240" t="s">
        <v>754</v>
      </c>
      <c r="B544" s="254" t="s">
        <v>755</v>
      </c>
      <c r="C544" s="240" t="s">
        <v>94</v>
      </c>
      <c r="D544" s="295">
        <v>62</v>
      </c>
      <c r="E544" s="243">
        <v>42439</v>
      </c>
      <c r="F544" s="243">
        <f t="shared" ref="F544:F551" si="25">ROUND(+E544*D544,2)</f>
        <v>2631218</v>
      </c>
    </row>
    <row r="545" spans="1:6" s="9" customFormat="1" ht="35.1" customHeight="1" x14ac:dyDescent="0.25">
      <c r="A545" s="240" t="s">
        <v>756</v>
      </c>
      <c r="B545" s="87" t="s">
        <v>757</v>
      </c>
      <c r="C545" s="240" t="s">
        <v>94</v>
      </c>
      <c r="D545" s="295">
        <v>33</v>
      </c>
      <c r="E545" s="243">
        <v>38123</v>
      </c>
      <c r="F545" s="243">
        <f t="shared" si="25"/>
        <v>1258059</v>
      </c>
    </row>
    <row r="546" spans="1:6" s="9" customFormat="1" ht="35.1" customHeight="1" x14ac:dyDescent="0.25">
      <c r="A546" s="255" t="s">
        <v>758</v>
      </c>
      <c r="B546" s="254" t="s">
        <v>759</v>
      </c>
      <c r="C546" s="240" t="s">
        <v>94</v>
      </c>
      <c r="D546" s="295">
        <v>88</v>
      </c>
      <c r="E546" s="243">
        <v>29232</v>
      </c>
      <c r="F546" s="243">
        <f t="shared" si="25"/>
        <v>2572416</v>
      </c>
    </row>
    <row r="547" spans="1:6" s="9" customFormat="1" ht="35.1" customHeight="1" x14ac:dyDescent="0.25">
      <c r="A547" s="255" t="s">
        <v>760</v>
      </c>
      <c r="B547" s="254" t="s">
        <v>761</v>
      </c>
      <c r="C547" s="240" t="s">
        <v>94</v>
      </c>
      <c r="D547" s="295">
        <v>253.4</v>
      </c>
      <c r="E547" s="243">
        <v>23058</v>
      </c>
      <c r="F547" s="243">
        <f t="shared" si="25"/>
        <v>5842897.2000000002</v>
      </c>
    </row>
    <row r="548" spans="1:6" s="9" customFormat="1" ht="35.1" customHeight="1" x14ac:dyDescent="0.25">
      <c r="A548" s="255" t="s">
        <v>762</v>
      </c>
      <c r="B548" s="87" t="s">
        <v>763</v>
      </c>
      <c r="C548" s="240" t="s">
        <v>94</v>
      </c>
      <c r="D548" s="295">
        <v>146.80000000000001</v>
      </c>
      <c r="E548" s="243">
        <v>17390</v>
      </c>
      <c r="F548" s="243">
        <f t="shared" si="25"/>
        <v>2552852</v>
      </c>
    </row>
    <row r="549" spans="1:6" s="9" customFormat="1" ht="35.1" customHeight="1" x14ac:dyDescent="0.25">
      <c r="A549" s="255" t="s">
        <v>764</v>
      </c>
      <c r="B549" s="87" t="s">
        <v>765</v>
      </c>
      <c r="C549" s="240" t="s">
        <v>94</v>
      </c>
      <c r="D549" s="295">
        <v>226.6</v>
      </c>
      <c r="E549" s="243">
        <v>14914</v>
      </c>
      <c r="F549" s="243">
        <f t="shared" si="25"/>
        <v>3379512.4</v>
      </c>
    </row>
    <row r="550" spans="1:6" s="9" customFormat="1" ht="35.1" customHeight="1" x14ac:dyDescent="0.25">
      <c r="A550" s="255" t="s">
        <v>766</v>
      </c>
      <c r="B550" s="254" t="s">
        <v>767</v>
      </c>
      <c r="C550" s="240" t="s">
        <v>94</v>
      </c>
      <c r="D550" s="295">
        <v>38.799999999999997</v>
      </c>
      <c r="E550" s="243">
        <v>10869</v>
      </c>
      <c r="F550" s="243">
        <f t="shared" si="25"/>
        <v>421717.2</v>
      </c>
    </row>
    <row r="551" spans="1:6" s="9" customFormat="1" ht="35.1" customHeight="1" x14ac:dyDescent="0.25">
      <c r="A551" s="255" t="s">
        <v>768</v>
      </c>
      <c r="B551" s="254" t="s">
        <v>769</v>
      </c>
      <c r="C551" s="240" t="s">
        <v>94</v>
      </c>
      <c r="D551" s="295">
        <v>44</v>
      </c>
      <c r="E551" s="243">
        <v>9486</v>
      </c>
      <c r="F551" s="243">
        <f t="shared" si="25"/>
        <v>417384</v>
      </c>
    </row>
    <row r="552" spans="1:6" s="9" customFormat="1" ht="35.1" customHeight="1" x14ac:dyDescent="0.25">
      <c r="A552" s="244" t="s">
        <v>770</v>
      </c>
      <c r="B552" s="256" t="s">
        <v>1328</v>
      </c>
      <c r="C552" s="256"/>
      <c r="D552" s="313"/>
      <c r="E552" s="303"/>
      <c r="F552" s="246"/>
    </row>
    <row r="553" spans="1:6" s="9" customFormat="1" ht="35.1" customHeight="1" x14ac:dyDescent="0.25">
      <c r="A553" s="255" t="s">
        <v>772</v>
      </c>
      <c r="B553" s="254" t="s">
        <v>773</v>
      </c>
      <c r="C553" s="240" t="s">
        <v>16</v>
      </c>
      <c r="D553" s="295">
        <v>4</v>
      </c>
      <c r="E553" s="243">
        <v>295890</v>
      </c>
      <c r="F553" s="243">
        <f t="shared" ref="F553:F589" si="26">ROUND(+E553*D553,2)</f>
        <v>1183560</v>
      </c>
    </row>
    <row r="554" spans="1:6" s="9" customFormat="1" ht="35.1" customHeight="1" x14ac:dyDescent="0.25">
      <c r="A554" s="255" t="s">
        <v>774</v>
      </c>
      <c r="B554" s="254" t="s">
        <v>775</v>
      </c>
      <c r="C554" s="240" t="s">
        <v>16</v>
      </c>
      <c r="D554" s="295">
        <v>4</v>
      </c>
      <c r="E554" s="243">
        <v>569349</v>
      </c>
      <c r="F554" s="243">
        <f t="shared" si="26"/>
        <v>2277396</v>
      </c>
    </row>
    <row r="555" spans="1:6" s="9" customFormat="1" ht="35.1" customHeight="1" x14ac:dyDescent="0.25">
      <c r="A555" s="255" t="s">
        <v>776</v>
      </c>
      <c r="B555" s="254" t="s">
        <v>777</v>
      </c>
      <c r="C555" s="240" t="s">
        <v>16</v>
      </c>
      <c r="D555" s="295">
        <v>4</v>
      </c>
      <c r="E555" s="243">
        <v>200461</v>
      </c>
      <c r="F555" s="243">
        <f t="shared" si="26"/>
        <v>801844</v>
      </c>
    </row>
    <row r="556" spans="1:6" s="9" customFormat="1" ht="35.1" customHeight="1" x14ac:dyDescent="0.25">
      <c r="A556" s="255" t="s">
        <v>778</v>
      </c>
      <c r="B556" s="254" t="s">
        <v>779</v>
      </c>
      <c r="C556" s="240" t="s">
        <v>16</v>
      </c>
      <c r="D556" s="295">
        <v>2</v>
      </c>
      <c r="E556" s="243">
        <v>463953</v>
      </c>
      <c r="F556" s="243">
        <f t="shared" si="26"/>
        <v>927906</v>
      </c>
    </row>
    <row r="557" spans="1:6" s="9" customFormat="1" ht="35.1" customHeight="1" x14ac:dyDescent="0.25">
      <c r="A557" s="255" t="s">
        <v>780</v>
      </c>
      <c r="B557" s="254" t="s">
        <v>781</v>
      </c>
      <c r="C557" s="240" t="s">
        <v>16</v>
      </c>
      <c r="D557" s="295">
        <v>4</v>
      </c>
      <c r="E557" s="243">
        <v>2393894</v>
      </c>
      <c r="F557" s="243">
        <f t="shared" si="26"/>
        <v>9575576</v>
      </c>
    </row>
    <row r="558" spans="1:6" s="9" customFormat="1" ht="35.1" customHeight="1" x14ac:dyDescent="0.25">
      <c r="A558" s="255" t="s">
        <v>782</v>
      </c>
      <c r="B558" s="254" t="s">
        <v>783</v>
      </c>
      <c r="C558" s="240" t="s">
        <v>16</v>
      </c>
      <c r="D558" s="295">
        <v>4</v>
      </c>
      <c r="E558" s="243">
        <v>2393894</v>
      </c>
      <c r="F558" s="243">
        <f t="shared" si="26"/>
        <v>9575576</v>
      </c>
    </row>
    <row r="559" spans="1:6" s="9" customFormat="1" ht="35.1" customHeight="1" x14ac:dyDescent="0.25">
      <c r="A559" s="255" t="s">
        <v>784</v>
      </c>
      <c r="B559" s="254" t="s">
        <v>785</v>
      </c>
      <c r="C559" s="240" t="s">
        <v>16</v>
      </c>
      <c r="D559" s="295">
        <v>2</v>
      </c>
      <c r="E559" s="243">
        <v>1264836</v>
      </c>
      <c r="F559" s="243">
        <f t="shared" si="26"/>
        <v>2529672</v>
      </c>
    </row>
    <row r="560" spans="1:6" s="9" customFormat="1" ht="35.1" customHeight="1" x14ac:dyDescent="0.25">
      <c r="A560" s="255" t="s">
        <v>786</v>
      </c>
      <c r="B560" s="254" t="s">
        <v>787</v>
      </c>
      <c r="C560" s="240" t="s">
        <v>16</v>
      </c>
      <c r="D560" s="295">
        <v>1</v>
      </c>
      <c r="E560" s="243">
        <v>372432</v>
      </c>
      <c r="F560" s="243">
        <f t="shared" si="26"/>
        <v>372432</v>
      </c>
    </row>
    <row r="561" spans="1:6" s="9" customFormat="1" ht="35.1" customHeight="1" x14ac:dyDescent="0.25">
      <c r="A561" s="255" t="s">
        <v>788</v>
      </c>
      <c r="B561" s="254" t="s">
        <v>789</v>
      </c>
      <c r="C561" s="240" t="s">
        <v>16</v>
      </c>
      <c r="D561" s="295">
        <v>1</v>
      </c>
      <c r="E561" s="243">
        <v>520645</v>
      </c>
      <c r="F561" s="243">
        <f t="shared" si="26"/>
        <v>520645</v>
      </c>
    </row>
    <row r="562" spans="1:6" s="9" customFormat="1" ht="35.1" customHeight="1" x14ac:dyDescent="0.25">
      <c r="A562" s="255" t="s">
        <v>790</v>
      </c>
      <c r="B562" s="254" t="s">
        <v>791</v>
      </c>
      <c r="C562" s="240" t="s">
        <v>16</v>
      </c>
      <c r="D562" s="295">
        <v>7</v>
      </c>
      <c r="E562" s="243">
        <v>330932</v>
      </c>
      <c r="F562" s="243">
        <f t="shared" si="26"/>
        <v>2316524</v>
      </c>
    </row>
    <row r="563" spans="1:6" s="9" customFormat="1" ht="35.1" customHeight="1" x14ac:dyDescent="0.25">
      <c r="A563" s="255" t="s">
        <v>792</v>
      </c>
      <c r="B563" s="254" t="s">
        <v>793</v>
      </c>
      <c r="C563" s="240" t="s">
        <v>16</v>
      </c>
      <c r="D563" s="295">
        <v>7</v>
      </c>
      <c r="E563" s="243">
        <v>466894</v>
      </c>
      <c r="F563" s="243">
        <f t="shared" si="26"/>
        <v>3268258</v>
      </c>
    </row>
    <row r="564" spans="1:6" s="9" customFormat="1" ht="35.1" customHeight="1" x14ac:dyDescent="0.25">
      <c r="A564" s="255" t="s">
        <v>794</v>
      </c>
      <c r="B564" s="254" t="s">
        <v>795</v>
      </c>
      <c r="C564" s="240" t="s">
        <v>16</v>
      </c>
      <c r="D564" s="295">
        <v>2</v>
      </c>
      <c r="E564" s="243">
        <v>244769</v>
      </c>
      <c r="F564" s="243">
        <f t="shared" si="26"/>
        <v>489538</v>
      </c>
    </row>
    <row r="565" spans="1:6" s="9" customFormat="1" ht="35.1" customHeight="1" x14ac:dyDescent="0.25">
      <c r="A565" s="255" t="s">
        <v>796</v>
      </c>
      <c r="B565" s="254" t="s">
        <v>797</v>
      </c>
      <c r="C565" s="240" t="s">
        <v>16</v>
      </c>
      <c r="D565" s="295">
        <v>2</v>
      </c>
      <c r="E565" s="243">
        <v>266786</v>
      </c>
      <c r="F565" s="243">
        <f t="shared" si="26"/>
        <v>533572</v>
      </c>
    </row>
    <row r="566" spans="1:6" s="9" customFormat="1" ht="35.1" customHeight="1" x14ac:dyDescent="0.25">
      <c r="A566" s="255" t="s">
        <v>1329</v>
      </c>
      <c r="B566" s="254" t="s">
        <v>1330</v>
      </c>
      <c r="C566" s="240" t="s">
        <v>16</v>
      </c>
      <c r="D566" s="295">
        <v>2</v>
      </c>
      <c r="E566" s="243">
        <v>128701</v>
      </c>
      <c r="F566" s="243">
        <f t="shared" si="26"/>
        <v>257402</v>
      </c>
    </row>
    <row r="567" spans="1:6" s="9" customFormat="1" ht="35.1" customHeight="1" x14ac:dyDescent="0.25">
      <c r="A567" s="255" t="s">
        <v>1331</v>
      </c>
      <c r="B567" s="254" t="s">
        <v>1332</v>
      </c>
      <c r="C567" s="240" t="s">
        <v>16</v>
      </c>
      <c r="D567" s="295">
        <v>2</v>
      </c>
      <c r="E567" s="243">
        <v>164931</v>
      </c>
      <c r="F567" s="243">
        <f t="shared" si="26"/>
        <v>329862</v>
      </c>
    </row>
    <row r="568" spans="1:6" s="9" customFormat="1" ht="35.1" customHeight="1" x14ac:dyDescent="0.25">
      <c r="A568" s="255" t="s">
        <v>798</v>
      </c>
      <c r="B568" s="254" t="s">
        <v>799</v>
      </c>
      <c r="C568" s="240" t="s">
        <v>16</v>
      </c>
      <c r="D568" s="295">
        <v>2</v>
      </c>
      <c r="E568" s="243">
        <v>599693</v>
      </c>
      <c r="F568" s="243">
        <f t="shared" si="26"/>
        <v>1199386</v>
      </c>
    </row>
    <row r="569" spans="1:6" s="9" customFormat="1" ht="35.1" customHeight="1" x14ac:dyDescent="0.25">
      <c r="A569" s="255" t="s">
        <v>800</v>
      </c>
      <c r="B569" s="254" t="s">
        <v>801</v>
      </c>
      <c r="C569" s="240" t="s">
        <v>16</v>
      </c>
      <c r="D569" s="295">
        <v>2</v>
      </c>
      <c r="E569" s="243">
        <v>3295154</v>
      </c>
      <c r="F569" s="243">
        <f t="shared" si="26"/>
        <v>6590308</v>
      </c>
    </row>
    <row r="570" spans="1:6" s="9" customFormat="1" ht="35.1" customHeight="1" x14ac:dyDescent="0.25">
      <c r="A570" s="255" t="s">
        <v>802</v>
      </c>
      <c r="B570" s="254" t="s">
        <v>803</v>
      </c>
      <c r="C570" s="240" t="s">
        <v>16</v>
      </c>
      <c r="D570" s="295">
        <v>4</v>
      </c>
      <c r="E570" s="243">
        <v>1031722</v>
      </c>
      <c r="F570" s="243">
        <f t="shared" si="26"/>
        <v>4126888</v>
      </c>
    </row>
    <row r="571" spans="1:6" s="9" customFormat="1" ht="35.1" customHeight="1" x14ac:dyDescent="0.25">
      <c r="A571" s="255" t="s">
        <v>804</v>
      </c>
      <c r="B571" s="254" t="s">
        <v>805</v>
      </c>
      <c r="C571" s="240" t="s">
        <v>16</v>
      </c>
      <c r="D571" s="295">
        <v>4</v>
      </c>
      <c r="E571" s="243">
        <v>985438</v>
      </c>
      <c r="F571" s="243">
        <f t="shared" si="26"/>
        <v>3941752</v>
      </c>
    </row>
    <row r="572" spans="1:6" s="9" customFormat="1" ht="35.1" customHeight="1" x14ac:dyDescent="0.25">
      <c r="A572" s="255" t="s">
        <v>806</v>
      </c>
      <c r="B572" s="254" t="s">
        <v>807</v>
      </c>
      <c r="C572" s="240" t="s">
        <v>16</v>
      </c>
      <c r="D572" s="295">
        <v>1</v>
      </c>
      <c r="E572" s="243">
        <v>260594</v>
      </c>
      <c r="F572" s="243">
        <f t="shared" si="26"/>
        <v>260594</v>
      </c>
    </row>
    <row r="573" spans="1:6" s="9" customFormat="1" ht="35.1" customHeight="1" x14ac:dyDescent="0.25">
      <c r="A573" s="255" t="s">
        <v>808</v>
      </c>
      <c r="B573" s="254" t="s">
        <v>809</v>
      </c>
      <c r="C573" s="240" t="s">
        <v>16</v>
      </c>
      <c r="D573" s="295">
        <v>1</v>
      </c>
      <c r="E573" s="243">
        <v>290039</v>
      </c>
      <c r="F573" s="243">
        <f t="shared" si="26"/>
        <v>290039</v>
      </c>
    </row>
    <row r="574" spans="1:6" s="9" customFormat="1" ht="35.1" customHeight="1" x14ac:dyDescent="0.25">
      <c r="A574" s="255" t="s">
        <v>810</v>
      </c>
      <c r="B574" s="87" t="s">
        <v>811</v>
      </c>
      <c r="C574" s="240" t="s">
        <v>16</v>
      </c>
      <c r="D574" s="295">
        <v>23</v>
      </c>
      <c r="E574" s="243">
        <v>220223</v>
      </c>
      <c r="F574" s="243">
        <f t="shared" si="26"/>
        <v>5065129</v>
      </c>
    </row>
    <row r="575" spans="1:6" s="9" customFormat="1" ht="35.1" customHeight="1" x14ac:dyDescent="0.25">
      <c r="A575" s="255" t="s">
        <v>812</v>
      </c>
      <c r="B575" s="87" t="s">
        <v>813</v>
      </c>
      <c r="C575" s="240" t="s">
        <v>16</v>
      </c>
      <c r="D575" s="295">
        <v>23</v>
      </c>
      <c r="E575" s="243">
        <v>332470</v>
      </c>
      <c r="F575" s="243">
        <f t="shared" si="26"/>
        <v>7646810</v>
      </c>
    </row>
    <row r="576" spans="1:6" s="9" customFormat="1" ht="35.1" customHeight="1" x14ac:dyDescent="0.25">
      <c r="A576" s="255" t="s">
        <v>814</v>
      </c>
      <c r="B576" s="87" t="s">
        <v>815</v>
      </c>
      <c r="C576" s="240" t="s">
        <v>16</v>
      </c>
      <c r="D576" s="295">
        <v>2</v>
      </c>
      <c r="E576" s="243">
        <v>239984</v>
      </c>
      <c r="F576" s="243">
        <f t="shared" si="26"/>
        <v>479968</v>
      </c>
    </row>
    <row r="577" spans="1:6" s="9" customFormat="1" ht="35.1" customHeight="1" x14ac:dyDescent="0.25">
      <c r="A577" s="255" t="s">
        <v>816</v>
      </c>
      <c r="B577" s="87" t="s">
        <v>817</v>
      </c>
      <c r="C577" s="240" t="s">
        <v>16</v>
      </c>
      <c r="D577" s="295">
        <v>2</v>
      </c>
      <c r="E577" s="243">
        <v>345381</v>
      </c>
      <c r="F577" s="243">
        <f t="shared" si="26"/>
        <v>690762</v>
      </c>
    </row>
    <row r="578" spans="1:6" s="9" customFormat="1" ht="35.1" customHeight="1" x14ac:dyDescent="0.25">
      <c r="A578" s="255" t="s">
        <v>818</v>
      </c>
      <c r="B578" s="87" t="s">
        <v>819</v>
      </c>
      <c r="C578" s="240" t="s">
        <v>16</v>
      </c>
      <c r="D578" s="295">
        <v>4</v>
      </c>
      <c r="E578" s="243">
        <v>160937</v>
      </c>
      <c r="F578" s="243">
        <f t="shared" si="26"/>
        <v>643748</v>
      </c>
    </row>
    <row r="579" spans="1:6" s="9" customFormat="1" ht="35.1" customHeight="1" x14ac:dyDescent="0.25">
      <c r="A579" s="255" t="s">
        <v>820</v>
      </c>
      <c r="B579" s="254" t="s">
        <v>821</v>
      </c>
      <c r="C579" s="240" t="s">
        <v>16</v>
      </c>
      <c r="D579" s="295">
        <v>4</v>
      </c>
      <c r="E579" s="243">
        <v>200461</v>
      </c>
      <c r="F579" s="243">
        <f t="shared" si="26"/>
        <v>801844</v>
      </c>
    </row>
    <row r="580" spans="1:6" s="9" customFormat="1" ht="35.1" customHeight="1" x14ac:dyDescent="0.25">
      <c r="A580" s="255" t="s">
        <v>822</v>
      </c>
      <c r="B580" s="87" t="s">
        <v>823</v>
      </c>
      <c r="C580" s="240" t="s">
        <v>16</v>
      </c>
      <c r="D580" s="295">
        <v>8</v>
      </c>
      <c r="E580" s="243">
        <v>128701</v>
      </c>
      <c r="F580" s="243">
        <f t="shared" si="26"/>
        <v>1029608</v>
      </c>
    </row>
    <row r="581" spans="1:6" s="9" customFormat="1" ht="35.1" customHeight="1" x14ac:dyDescent="0.25">
      <c r="A581" s="255" t="s">
        <v>824</v>
      </c>
      <c r="B581" s="254" t="s">
        <v>825</v>
      </c>
      <c r="C581" s="240" t="s">
        <v>16</v>
      </c>
      <c r="D581" s="295">
        <v>8</v>
      </c>
      <c r="E581" s="243">
        <v>164931</v>
      </c>
      <c r="F581" s="243">
        <f t="shared" si="26"/>
        <v>1319448</v>
      </c>
    </row>
    <row r="582" spans="1:6" s="9" customFormat="1" ht="35.1" customHeight="1" x14ac:dyDescent="0.25">
      <c r="A582" s="255" t="s">
        <v>826</v>
      </c>
      <c r="B582" s="254" t="s">
        <v>827</v>
      </c>
      <c r="C582" s="240" t="s">
        <v>16</v>
      </c>
      <c r="D582" s="295">
        <v>8</v>
      </c>
      <c r="E582" s="243">
        <v>200461</v>
      </c>
      <c r="F582" s="243">
        <f t="shared" si="26"/>
        <v>1603688</v>
      </c>
    </row>
    <row r="583" spans="1:6" s="9" customFormat="1" ht="35.1" customHeight="1" x14ac:dyDescent="0.25">
      <c r="A583" s="255" t="s">
        <v>828</v>
      </c>
      <c r="B583" s="254" t="s">
        <v>829</v>
      </c>
      <c r="C583" s="240" t="s">
        <v>16</v>
      </c>
      <c r="D583" s="295">
        <v>30</v>
      </c>
      <c r="E583" s="243">
        <v>332207</v>
      </c>
      <c r="F583" s="243">
        <f t="shared" si="26"/>
        <v>9966210</v>
      </c>
    </row>
    <row r="584" spans="1:6" s="9" customFormat="1" ht="35.1" customHeight="1" x14ac:dyDescent="0.25">
      <c r="A584" s="255" t="s">
        <v>830</v>
      </c>
      <c r="B584" s="254" t="s">
        <v>831</v>
      </c>
      <c r="C584" s="240" t="s">
        <v>16</v>
      </c>
      <c r="D584" s="295">
        <v>8</v>
      </c>
      <c r="E584" s="243">
        <v>253159</v>
      </c>
      <c r="F584" s="243">
        <f t="shared" si="26"/>
        <v>2025272</v>
      </c>
    </row>
    <row r="585" spans="1:6" s="9" customFormat="1" ht="35.1" customHeight="1" x14ac:dyDescent="0.25">
      <c r="A585" s="255" t="s">
        <v>832</v>
      </c>
      <c r="B585" s="254" t="s">
        <v>833</v>
      </c>
      <c r="C585" s="240" t="s">
        <v>16</v>
      </c>
      <c r="D585" s="295">
        <v>1</v>
      </c>
      <c r="E585" s="243">
        <v>839429</v>
      </c>
      <c r="F585" s="243">
        <f t="shared" si="26"/>
        <v>839429</v>
      </c>
    </row>
    <row r="586" spans="1:6" s="9" customFormat="1" ht="35.1" customHeight="1" x14ac:dyDescent="0.25">
      <c r="A586" s="255" t="s">
        <v>834</v>
      </c>
      <c r="B586" s="87" t="s">
        <v>835</v>
      </c>
      <c r="C586" s="240" t="s">
        <v>16</v>
      </c>
      <c r="D586" s="295">
        <v>3</v>
      </c>
      <c r="E586" s="243">
        <v>839429</v>
      </c>
      <c r="F586" s="243">
        <f t="shared" si="26"/>
        <v>2518287</v>
      </c>
    </row>
    <row r="587" spans="1:6" s="9" customFormat="1" ht="35.1" customHeight="1" x14ac:dyDescent="0.25">
      <c r="A587" s="255" t="s">
        <v>836</v>
      </c>
      <c r="B587" s="87" t="s">
        <v>837</v>
      </c>
      <c r="C587" s="240" t="s">
        <v>16</v>
      </c>
      <c r="D587" s="295">
        <v>1</v>
      </c>
      <c r="E587" s="243">
        <v>839429</v>
      </c>
      <c r="F587" s="243">
        <f t="shared" si="26"/>
        <v>839429</v>
      </c>
    </row>
    <row r="588" spans="1:6" s="9" customFormat="1" ht="35.1" customHeight="1" x14ac:dyDescent="0.25">
      <c r="A588" s="255" t="s">
        <v>838</v>
      </c>
      <c r="B588" s="87" t="s">
        <v>839</v>
      </c>
      <c r="C588" s="240" t="s">
        <v>16</v>
      </c>
      <c r="D588" s="295">
        <v>20</v>
      </c>
      <c r="E588" s="243">
        <v>740619</v>
      </c>
      <c r="F588" s="243">
        <f t="shared" si="26"/>
        <v>14812380</v>
      </c>
    </row>
    <row r="589" spans="1:6" s="9" customFormat="1" ht="35.1" customHeight="1" x14ac:dyDescent="0.25">
      <c r="A589" s="255" t="s">
        <v>840</v>
      </c>
      <c r="B589" s="254" t="s">
        <v>841</v>
      </c>
      <c r="C589" s="240" t="s">
        <v>16</v>
      </c>
      <c r="D589" s="295">
        <v>1</v>
      </c>
      <c r="E589" s="243">
        <v>597280</v>
      </c>
      <c r="F589" s="243">
        <f t="shared" si="26"/>
        <v>597280</v>
      </c>
    </row>
    <row r="590" spans="1:6" s="9" customFormat="1" ht="35.1" customHeight="1" x14ac:dyDescent="0.25">
      <c r="A590" s="244" t="s">
        <v>842</v>
      </c>
      <c r="B590" s="256" t="s">
        <v>843</v>
      </c>
      <c r="C590" s="256"/>
      <c r="D590" s="313"/>
      <c r="E590" s="303"/>
      <c r="F590" s="246"/>
    </row>
    <row r="591" spans="1:6" s="9" customFormat="1" ht="35.1" customHeight="1" x14ac:dyDescent="0.25">
      <c r="A591" s="255" t="s">
        <v>844</v>
      </c>
      <c r="B591" s="254" t="s">
        <v>845</v>
      </c>
      <c r="C591" s="295" t="s">
        <v>13</v>
      </c>
      <c r="D591" s="295">
        <v>105</v>
      </c>
      <c r="E591" s="243">
        <v>65432</v>
      </c>
      <c r="F591" s="243">
        <f t="shared" ref="F591:F596" si="27">ROUND(+E591*D591,2)</f>
        <v>6870360</v>
      </c>
    </row>
    <row r="592" spans="1:6" s="9" customFormat="1" ht="35.1" customHeight="1" x14ac:dyDescent="0.25">
      <c r="A592" s="255" t="s">
        <v>846</v>
      </c>
      <c r="B592" s="254" t="s">
        <v>847</v>
      </c>
      <c r="C592" s="295" t="s">
        <v>13</v>
      </c>
      <c r="D592" s="295">
        <v>740</v>
      </c>
      <c r="E592" s="243">
        <v>71969</v>
      </c>
      <c r="F592" s="243">
        <f t="shared" si="27"/>
        <v>53257060</v>
      </c>
    </row>
    <row r="593" spans="1:6" s="9" customFormat="1" ht="35.1" customHeight="1" x14ac:dyDescent="0.25">
      <c r="A593" s="255" t="s">
        <v>848</v>
      </c>
      <c r="B593" s="254" t="s">
        <v>849</v>
      </c>
      <c r="C593" s="295" t="s">
        <v>13</v>
      </c>
      <c r="D593" s="295">
        <v>845</v>
      </c>
      <c r="E593" s="243">
        <v>19953</v>
      </c>
      <c r="F593" s="243">
        <f t="shared" si="27"/>
        <v>16860285</v>
      </c>
    </row>
    <row r="594" spans="1:6" s="9" customFormat="1" ht="35.1" customHeight="1" x14ac:dyDescent="0.25">
      <c r="A594" s="255" t="s">
        <v>850</v>
      </c>
      <c r="B594" s="254" t="s">
        <v>851</v>
      </c>
      <c r="C594" s="295" t="s">
        <v>13</v>
      </c>
      <c r="D594" s="295">
        <v>205</v>
      </c>
      <c r="E594" s="243">
        <v>78556</v>
      </c>
      <c r="F594" s="243">
        <f t="shared" si="27"/>
        <v>16103980</v>
      </c>
    </row>
    <row r="595" spans="1:6" s="9" customFormat="1" ht="35.1" customHeight="1" x14ac:dyDescent="0.25">
      <c r="A595" s="255" t="s">
        <v>852</v>
      </c>
      <c r="B595" s="254" t="s">
        <v>853</v>
      </c>
      <c r="C595" s="295" t="s">
        <v>13</v>
      </c>
      <c r="D595" s="295">
        <v>205</v>
      </c>
      <c r="E595" s="243">
        <v>19953</v>
      </c>
      <c r="F595" s="243">
        <f t="shared" si="27"/>
        <v>4090365</v>
      </c>
    </row>
    <row r="596" spans="1:6" s="9" customFormat="1" ht="35.1" customHeight="1" x14ac:dyDescent="0.25">
      <c r="A596" s="255" t="s">
        <v>854</v>
      </c>
      <c r="B596" s="254" t="s">
        <v>855</v>
      </c>
      <c r="C596" s="240" t="s">
        <v>16</v>
      </c>
      <c r="D596" s="295">
        <v>33</v>
      </c>
      <c r="E596" s="243">
        <v>34246</v>
      </c>
      <c r="F596" s="243">
        <f t="shared" si="27"/>
        <v>1130118</v>
      </c>
    </row>
    <row r="597" spans="1:6" s="9" customFormat="1" ht="35.1" customHeight="1" x14ac:dyDescent="0.25">
      <c r="A597" s="244" t="s">
        <v>856</v>
      </c>
      <c r="B597" s="245" t="s">
        <v>857</v>
      </c>
      <c r="C597" s="260"/>
      <c r="D597" s="313"/>
      <c r="E597" s="303"/>
      <c r="F597" s="246"/>
    </row>
    <row r="598" spans="1:6" s="9" customFormat="1" ht="35.1" customHeight="1" x14ac:dyDescent="0.25">
      <c r="A598" s="240" t="s">
        <v>858</v>
      </c>
      <c r="B598" s="254" t="s">
        <v>859</v>
      </c>
      <c r="C598" s="240" t="s">
        <v>16</v>
      </c>
      <c r="D598" s="295">
        <v>112</v>
      </c>
      <c r="E598" s="243">
        <v>161298</v>
      </c>
      <c r="F598" s="243">
        <f t="shared" ref="F598:F611" si="28">ROUND(+E598*D598,2)</f>
        <v>18065376</v>
      </c>
    </row>
    <row r="599" spans="1:6" s="9" customFormat="1" ht="35.1" customHeight="1" x14ac:dyDescent="0.25">
      <c r="A599" s="240" t="s">
        <v>860</v>
      </c>
      <c r="B599" s="254" t="s">
        <v>861</v>
      </c>
      <c r="C599" s="240" t="s">
        <v>16</v>
      </c>
      <c r="D599" s="295">
        <v>6</v>
      </c>
      <c r="E599" s="243">
        <v>112552</v>
      </c>
      <c r="F599" s="243">
        <f t="shared" si="28"/>
        <v>675312</v>
      </c>
    </row>
    <row r="600" spans="1:6" s="9" customFormat="1" ht="35.1" customHeight="1" x14ac:dyDescent="0.25">
      <c r="A600" s="240" t="s">
        <v>862</v>
      </c>
      <c r="B600" s="254" t="s">
        <v>863</v>
      </c>
      <c r="C600" s="240" t="s">
        <v>16</v>
      </c>
      <c r="D600" s="295">
        <v>5</v>
      </c>
      <c r="E600" s="243">
        <v>237711</v>
      </c>
      <c r="F600" s="243">
        <f t="shared" si="28"/>
        <v>1188555</v>
      </c>
    </row>
    <row r="601" spans="1:6" s="9" customFormat="1" ht="35.1" customHeight="1" x14ac:dyDescent="0.25">
      <c r="A601" s="240" t="s">
        <v>864</v>
      </c>
      <c r="B601" s="87" t="s">
        <v>865</v>
      </c>
      <c r="C601" s="240" t="s">
        <v>16</v>
      </c>
      <c r="D601" s="295">
        <v>3</v>
      </c>
      <c r="E601" s="243">
        <v>59853</v>
      </c>
      <c r="F601" s="243">
        <f t="shared" si="28"/>
        <v>179559</v>
      </c>
    </row>
    <row r="602" spans="1:6" s="9" customFormat="1" ht="35.1" customHeight="1" x14ac:dyDescent="0.25">
      <c r="A602" s="240" t="s">
        <v>866</v>
      </c>
      <c r="B602" s="254" t="s">
        <v>867</v>
      </c>
      <c r="C602" s="240" t="s">
        <v>16</v>
      </c>
      <c r="D602" s="295">
        <v>16</v>
      </c>
      <c r="E602" s="243">
        <v>224536</v>
      </c>
      <c r="F602" s="243">
        <f t="shared" si="28"/>
        <v>3592576</v>
      </c>
    </row>
    <row r="603" spans="1:6" s="9" customFormat="1" ht="35.1" customHeight="1" x14ac:dyDescent="0.25">
      <c r="A603" s="240" t="s">
        <v>868</v>
      </c>
      <c r="B603" s="254" t="s">
        <v>869</v>
      </c>
      <c r="C603" s="240" t="s">
        <v>16</v>
      </c>
      <c r="D603" s="295">
        <v>11</v>
      </c>
      <c r="E603" s="243">
        <v>237711</v>
      </c>
      <c r="F603" s="243">
        <f t="shared" si="28"/>
        <v>2614821</v>
      </c>
    </row>
    <row r="604" spans="1:6" s="9" customFormat="1" ht="35.1" customHeight="1" x14ac:dyDescent="0.25">
      <c r="A604" s="240" t="s">
        <v>870</v>
      </c>
      <c r="B604" s="87" t="s">
        <v>871</v>
      </c>
      <c r="C604" s="240" t="s">
        <v>16</v>
      </c>
      <c r="D604" s="295">
        <v>2</v>
      </c>
      <c r="E604" s="243">
        <v>511742</v>
      </c>
      <c r="F604" s="243">
        <f t="shared" si="28"/>
        <v>1023484</v>
      </c>
    </row>
    <row r="605" spans="1:6" s="9" customFormat="1" ht="35.1" customHeight="1" x14ac:dyDescent="0.25">
      <c r="A605" s="240" t="s">
        <v>872</v>
      </c>
      <c r="B605" s="87" t="s">
        <v>873</v>
      </c>
      <c r="C605" s="240" t="s">
        <v>16</v>
      </c>
      <c r="D605" s="295">
        <v>4</v>
      </c>
      <c r="E605" s="243">
        <v>455091</v>
      </c>
      <c r="F605" s="243">
        <f t="shared" si="28"/>
        <v>1820364</v>
      </c>
    </row>
    <row r="606" spans="1:6" s="9" customFormat="1" ht="35.1" customHeight="1" x14ac:dyDescent="0.25">
      <c r="A606" s="240" t="s">
        <v>874</v>
      </c>
      <c r="B606" s="254" t="s">
        <v>875</v>
      </c>
      <c r="C606" s="240" t="s">
        <v>16</v>
      </c>
      <c r="D606" s="295">
        <v>1</v>
      </c>
      <c r="E606" s="243">
        <v>24282</v>
      </c>
      <c r="F606" s="243">
        <f t="shared" si="28"/>
        <v>24282</v>
      </c>
    </row>
    <row r="607" spans="1:6" s="9" customFormat="1" ht="35.1" customHeight="1" x14ac:dyDescent="0.25">
      <c r="A607" s="240" t="s">
        <v>876</v>
      </c>
      <c r="B607" s="254" t="s">
        <v>877</v>
      </c>
      <c r="C607" s="240" t="s">
        <v>16</v>
      </c>
      <c r="D607" s="295">
        <v>1</v>
      </c>
      <c r="E607" s="243">
        <v>33504</v>
      </c>
      <c r="F607" s="243">
        <f t="shared" si="28"/>
        <v>33504</v>
      </c>
    </row>
    <row r="608" spans="1:6" s="9" customFormat="1" ht="35.1" customHeight="1" x14ac:dyDescent="0.25">
      <c r="A608" s="240" t="s">
        <v>878</v>
      </c>
      <c r="B608" s="254" t="s">
        <v>879</v>
      </c>
      <c r="C608" s="240" t="s">
        <v>16</v>
      </c>
      <c r="D608" s="295">
        <v>22</v>
      </c>
      <c r="E608" s="243">
        <v>46679</v>
      </c>
      <c r="F608" s="243">
        <f t="shared" si="28"/>
        <v>1026938</v>
      </c>
    </row>
    <row r="609" spans="1:6" s="9" customFormat="1" ht="35.1" customHeight="1" x14ac:dyDescent="0.25">
      <c r="A609" s="240" t="s">
        <v>880</v>
      </c>
      <c r="B609" s="254" t="s">
        <v>881</v>
      </c>
      <c r="C609" s="240" t="s">
        <v>16</v>
      </c>
      <c r="D609" s="295">
        <v>3</v>
      </c>
      <c r="E609" s="243">
        <v>59853</v>
      </c>
      <c r="F609" s="243">
        <f t="shared" si="28"/>
        <v>179559</v>
      </c>
    </row>
    <row r="610" spans="1:6" s="9" customFormat="1" ht="35.1" customHeight="1" x14ac:dyDescent="0.25">
      <c r="A610" s="240" t="s">
        <v>882</v>
      </c>
      <c r="B610" s="254" t="s">
        <v>1333</v>
      </c>
      <c r="C610" s="240" t="s">
        <v>16</v>
      </c>
      <c r="D610" s="295">
        <v>1</v>
      </c>
      <c r="E610" s="243">
        <v>593425</v>
      </c>
      <c r="F610" s="243">
        <f t="shared" si="28"/>
        <v>593425</v>
      </c>
    </row>
    <row r="611" spans="1:6" s="9" customFormat="1" ht="35.1" customHeight="1" x14ac:dyDescent="0.25">
      <c r="A611" s="240" t="s">
        <v>884</v>
      </c>
      <c r="B611" s="254" t="s">
        <v>1334</v>
      </c>
      <c r="C611" s="240" t="s">
        <v>16</v>
      </c>
      <c r="D611" s="295">
        <v>1</v>
      </c>
      <c r="E611" s="243">
        <v>685079</v>
      </c>
      <c r="F611" s="243">
        <f t="shared" si="28"/>
        <v>685079</v>
      </c>
    </row>
    <row r="612" spans="1:6" s="9" customFormat="1" ht="35.1" customHeight="1" x14ac:dyDescent="0.25">
      <c r="A612" s="244" t="s">
        <v>886</v>
      </c>
      <c r="B612" s="256" t="s">
        <v>887</v>
      </c>
      <c r="C612" s="256"/>
      <c r="D612" s="313"/>
      <c r="E612" s="303"/>
      <c r="F612" s="246"/>
    </row>
    <row r="613" spans="1:6" s="9" customFormat="1" ht="35.1" customHeight="1" x14ac:dyDescent="0.25">
      <c r="A613" s="255" t="s">
        <v>1335</v>
      </c>
      <c r="B613" s="254" t="s">
        <v>1336</v>
      </c>
      <c r="C613" s="240" t="s">
        <v>16</v>
      </c>
      <c r="D613" s="295">
        <v>1</v>
      </c>
      <c r="E613" s="243">
        <v>11528426</v>
      </c>
      <c r="F613" s="243">
        <f>ROUND(+E613*D613,2)</f>
        <v>11528426</v>
      </c>
    </row>
    <row r="614" spans="1:6" s="9" customFormat="1" ht="35.1" customHeight="1" x14ac:dyDescent="0.25">
      <c r="A614" s="255" t="s">
        <v>1337</v>
      </c>
      <c r="B614" s="254" t="s">
        <v>1338</v>
      </c>
      <c r="C614" s="240" t="s">
        <v>16</v>
      </c>
      <c r="D614" s="295">
        <v>1</v>
      </c>
      <c r="E614" s="243">
        <v>9947474</v>
      </c>
      <c r="F614" s="243">
        <f>ROUND(+E614*D614,2)</f>
        <v>9947474</v>
      </c>
    </row>
    <row r="615" spans="1:6" s="9" customFormat="1" ht="35.1" customHeight="1" x14ac:dyDescent="0.25">
      <c r="A615" s="255" t="s">
        <v>888</v>
      </c>
      <c r="B615" s="254" t="s">
        <v>851</v>
      </c>
      <c r="C615" s="295" t="s">
        <v>13</v>
      </c>
      <c r="D615" s="295">
        <v>120</v>
      </c>
      <c r="E615" s="243">
        <v>92310</v>
      </c>
      <c r="F615" s="243">
        <f>ROUND(+E615*D615,2)</f>
        <v>11077200</v>
      </c>
    </row>
    <row r="616" spans="1:6" s="9" customFormat="1" ht="35.1" customHeight="1" x14ac:dyDescent="0.25">
      <c r="A616" s="255" t="s">
        <v>889</v>
      </c>
      <c r="B616" s="254" t="s">
        <v>890</v>
      </c>
      <c r="C616" s="295" t="s">
        <v>13</v>
      </c>
      <c r="D616" s="295">
        <v>262</v>
      </c>
      <c r="E616" s="243">
        <v>85724</v>
      </c>
      <c r="F616" s="243">
        <f>ROUND(+E616*D616,2)</f>
        <v>22459688</v>
      </c>
    </row>
    <row r="617" spans="1:6" s="9" customFormat="1" ht="35.1" customHeight="1" x14ac:dyDescent="0.25">
      <c r="A617" s="255" t="s">
        <v>891</v>
      </c>
      <c r="B617" s="254" t="s">
        <v>892</v>
      </c>
      <c r="C617" s="240" t="s">
        <v>16</v>
      </c>
      <c r="D617" s="295">
        <v>3</v>
      </c>
      <c r="E617" s="243">
        <v>511153</v>
      </c>
      <c r="F617" s="243">
        <f>ROUND(+E617*D617,2)</f>
        <v>1533459</v>
      </c>
    </row>
    <row r="618" spans="1:6" s="9" customFormat="1" ht="35.1" customHeight="1" x14ac:dyDescent="0.25">
      <c r="A618" s="244" t="s">
        <v>893</v>
      </c>
      <c r="B618" s="256" t="s">
        <v>894</v>
      </c>
      <c r="C618" s="256"/>
      <c r="D618" s="313"/>
      <c r="E618" s="303"/>
      <c r="F618" s="246"/>
    </row>
    <row r="619" spans="1:6" s="9" customFormat="1" ht="35.1" customHeight="1" x14ac:dyDescent="0.25">
      <c r="A619" s="240" t="s">
        <v>1339</v>
      </c>
      <c r="B619" s="254" t="s">
        <v>1340</v>
      </c>
      <c r="C619" s="240" t="s">
        <v>16</v>
      </c>
      <c r="D619" s="295">
        <v>2</v>
      </c>
      <c r="E619" s="243">
        <v>11900822</v>
      </c>
      <c r="F619" s="243">
        <f t="shared" ref="F619:F629" si="29">ROUND(+E619*D619,2)</f>
        <v>23801644</v>
      </c>
    </row>
    <row r="620" spans="1:6" s="9" customFormat="1" ht="35.1" customHeight="1" x14ac:dyDescent="0.25">
      <c r="A620" s="240" t="s">
        <v>895</v>
      </c>
      <c r="B620" s="254" t="s">
        <v>896</v>
      </c>
      <c r="C620" s="240" t="s">
        <v>16</v>
      </c>
      <c r="D620" s="295">
        <v>2</v>
      </c>
      <c r="E620" s="243">
        <v>2028785</v>
      </c>
      <c r="F620" s="243">
        <f t="shared" si="29"/>
        <v>4057570</v>
      </c>
    </row>
    <row r="621" spans="1:6" s="9" customFormat="1" ht="35.1" customHeight="1" x14ac:dyDescent="0.25">
      <c r="A621" s="240" t="s">
        <v>897</v>
      </c>
      <c r="B621" s="254" t="s">
        <v>898</v>
      </c>
      <c r="C621" s="240" t="s">
        <v>16</v>
      </c>
      <c r="D621" s="295">
        <v>4</v>
      </c>
      <c r="E621" s="243">
        <v>1238360</v>
      </c>
      <c r="F621" s="243">
        <f t="shared" si="29"/>
        <v>4953440</v>
      </c>
    </row>
    <row r="622" spans="1:6" s="9" customFormat="1" ht="35.1" customHeight="1" x14ac:dyDescent="0.25">
      <c r="A622" s="240" t="s">
        <v>899</v>
      </c>
      <c r="B622" s="254" t="s">
        <v>900</v>
      </c>
      <c r="C622" s="240" t="s">
        <v>16</v>
      </c>
      <c r="D622" s="295">
        <v>2</v>
      </c>
      <c r="E622" s="243">
        <v>889891</v>
      </c>
      <c r="F622" s="243">
        <f t="shared" si="29"/>
        <v>1779782</v>
      </c>
    </row>
    <row r="623" spans="1:6" s="9" customFormat="1" ht="35.1" customHeight="1" x14ac:dyDescent="0.25">
      <c r="A623" s="240" t="s">
        <v>901</v>
      </c>
      <c r="B623" s="254" t="s">
        <v>902</v>
      </c>
      <c r="C623" s="240" t="s">
        <v>16</v>
      </c>
      <c r="D623" s="295">
        <v>3</v>
      </c>
      <c r="E623" s="243">
        <v>889891</v>
      </c>
      <c r="F623" s="243">
        <f t="shared" si="29"/>
        <v>2669673</v>
      </c>
    </row>
    <row r="624" spans="1:6" s="9" customFormat="1" ht="35.1" customHeight="1" x14ac:dyDescent="0.25">
      <c r="A624" s="240" t="s">
        <v>1341</v>
      </c>
      <c r="B624" s="254" t="s">
        <v>1342</v>
      </c>
      <c r="C624" s="240" t="s">
        <v>16</v>
      </c>
      <c r="D624" s="295">
        <v>2</v>
      </c>
      <c r="E624" s="243">
        <v>3385820</v>
      </c>
      <c r="F624" s="243">
        <f t="shared" si="29"/>
        <v>6771640</v>
      </c>
    </row>
    <row r="625" spans="1:6" s="9" customFormat="1" ht="35.1" customHeight="1" x14ac:dyDescent="0.25">
      <c r="A625" s="240" t="s">
        <v>1343</v>
      </c>
      <c r="B625" s="254" t="s">
        <v>1344</v>
      </c>
      <c r="C625" s="240" t="s">
        <v>16</v>
      </c>
      <c r="D625" s="295">
        <v>2</v>
      </c>
      <c r="E625" s="243">
        <v>5954779</v>
      </c>
      <c r="F625" s="243">
        <f t="shared" si="29"/>
        <v>11909558</v>
      </c>
    </row>
    <row r="626" spans="1:6" s="9" customFormat="1" ht="35.1" customHeight="1" x14ac:dyDescent="0.25">
      <c r="A626" s="240" t="s">
        <v>1345</v>
      </c>
      <c r="B626" s="254" t="s">
        <v>1346</v>
      </c>
      <c r="C626" s="240" t="s">
        <v>16</v>
      </c>
      <c r="D626" s="295">
        <v>2</v>
      </c>
      <c r="E626" s="243">
        <v>2028785</v>
      </c>
      <c r="F626" s="243">
        <f t="shared" si="29"/>
        <v>4057570</v>
      </c>
    </row>
    <row r="627" spans="1:6" s="9" customFormat="1" ht="35.1" customHeight="1" x14ac:dyDescent="0.25">
      <c r="A627" s="240" t="s">
        <v>903</v>
      </c>
      <c r="B627" s="254" t="s">
        <v>904</v>
      </c>
      <c r="C627" s="240" t="s">
        <v>16</v>
      </c>
      <c r="D627" s="295">
        <v>5</v>
      </c>
      <c r="E627" s="243">
        <v>1132946</v>
      </c>
      <c r="F627" s="243">
        <f t="shared" si="29"/>
        <v>5664730</v>
      </c>
    </row>
    <row r="628" spans="1:6" s="9" customFormat="1" ht="35.1" customHeight="1" x14ac:dyDescent="0.25">
      <c r="A628" s="240" t="s">
        <v>905</v>
      </c>
      <c r="B628" s="254" t="s">
        <v>906</v>
      </c>
      <c r="C628" s="240" t="s">
        <v>16</v>
      </c>
      <c r="D628" s="295">
        <v>4</v>
      </c>
      <c r="E628" s="243">
        <v>339884</v>
      </c>
      <c r="F628" s="243">
        <f t="shared" si="29"/>
        <v>1359536</v>
      </c>
    </row>
    <row r="629" spans="1:6" s="9" customFormat="1" ht="35.1" customHeight="1" x14ac:dyDescent="0.25">
      <c r="A629" s="240" t="s">
        <v>1347</v>
      </c>
      <c r="B629" s="254" t="s">
        <v>1348</v>
      </c>
      <c r="C629" s="240" t="s">
        <v>16</v>
      </c>
      <c r="D629" s="295">
        <v>2</v>
      </c>
      <c r="E629" s="243">
        <v>2028785</v>
      </c>
      <c r="F629" s="243">
        <f t="shared" si="29"/>
        <v>4057570</v>
      </c>
    </row>
    <row r="630" spans="1:6" s="9" customFormat="1" ht="35.1" customHeight="1" x14ac:dyDescent="0.25">
      <c r="A630" s="266">
        <v>18</v>
      </c>
      <c r="B630" s="267" t="s">
        <v>907</v>
      </c>
      <c r="C630" s="267"/>
      <c r="D630" s="316"/>
      <c r="E630" s="306"/>
      <c r="F630" s="268"/>
    </row>
    <row r="631" spans="1:6" s="9" customFormat="1" ht="35.1" customHeight="1" x14ac:dyDescent="0.25">
      <c r="A631" s="244" t="s">
        <v>908</v>
      </c>
      <c r="B631" s="256" t="s">
        <v>909</v>
      </c>
      <c r="C631" s="256"/>
      <c r="D631" s="313"/>
      <c r="E631" s="303"/>
      <c r="F631" s="246"/>
    </row>
    <row r="632" spans="1:6" s="9" customFormat="1" ht="35.1" customHeight="1" x14ac:dyDescent="0.25">
      <c r="A632" s="255" t="s">
        <v>910</v>
      </c>
      <c r="B632" s="284" t="s">
        <v>911</v>
      </c>
      <c r="C632" s="240" t="s">
        <v>16</v>
      </c>
      <c r="D632" s="295">
        <v>236</v>
      </c>
      <c r="E632" s="243">
        <v>38552</v>
      </c>
      <c r="F632" s="243">
        <f>ROUND(+E632*D632,2)</f>
        <v>9098272</v>
      </c>
    </row>
    <row r="633" spans="1:6" s="9" customFormat="1" ht="35.1" customHeight="1" x14ac:dyDescent="0.25">
      <c r="A633" s="255" t="s">
        <v>912</v>
      </c>
      <c r="B633" s="254" t="s">
        <v>913</v>
      </c>
      <c r="C633" s="240" t="s">
        <v>16</v>
      </c>
      <c r="D633" s="295">
        <v>52</v>
      </c>
      <c r="E633" s="243">
        <v>38552</v>
      </c>
      <c r="F633" s="243">
        <f>ROUND(+E633*D633,2)</f>
        <v>2004704</v>
      </c>
    </row>
    <row r="634" spans="1:6" s="9" customFormat="1" ht="35.1" customHeight="1" x14ac:dyDescent="0.25">
      <c r="A634" s="255" t="s">
        <v>914</v>
      </c>
      <c r="B634" s="254" t="s">
        <v>915</v>
      </c>
      <c r="C634" s="240" t="s">
        <v>16</v>
      </c>
      <c r="D634" s="295">
        <v>236</v>
      </c>
      <c r="E634" s="243">
        <v>10176</v>
      </c>
      <c r="F634" s="243">
        <f>ROUND(+E634*D634,2)</f>
        <v>2401536</v>
      </c>
    </row>
    <row r="635" spans="1:6" s="9" customFormat="1" ht="35.1" customHeight="1" x14ac:dyDescent="0.25">
      <c r="A635" s="255" t="s">
        <v>916</v>
      </c>
      <c r="B635" s="254" t="s">
        <v>917</v>
      </c>
      <c r="C635" s="240" t="s">
        <v>16</v>
      </c>
      <c r="D635" s="295">
        <v>236</v>
      </c>
      <c r="E635" s="243">
        <v>46374</v>
      </c>
      <c r="F635" s="243">
        <f>ROUND(+E635*D635,2)</f>
        <v>10944264</v>
      </c>
    </row>
    <row r="636" spans="1:6" s="9" customFormat="1" ht="35.1" customHeight="1" x14ac:dyDescent="0.25">
      <c r="A636" s="244" t="s">
        <v>918</v>
      </c>
      <c r="B636" s="256" t="s">
        <v>919</v>
      </c>
      <c r="C636" s="256"/>
      <c r="D636" s="313"/>
      <c r="E636" s="303"/>
      <c r="F636" s="246"/>
    </row>
    <row r="637" spans="1:6" s="9" customFormat="1" ht="35.1" customHeight="1" x14ac:dyDescent="0.25">
      <c r="A637" s="255" t="s">
        <v>920</v>
      </c>
      <c r="B637" s="254" t="s">
        <v>921</v>
      </c>
      <c r="C637" s="240" t="s">
        <v>94</v>
      </c>
      <c r="D637" s="295">
        <v>13012</v>
      </c>
      <c r="E637" s="243">
        <v>4618</v>
      </c>
      <c r="F637" s="243">
        <f>ROUND(+E637*D637,2)</f>
        <v>60089416</v>
      </c>
    </row>
    <row r="638" spans="1:6" s="9" customFormat="1" ht="35.1" customHeight="1" x14ac:dyDescent="0.25">
      <c r="A638" s="244" t="s">
        <v>922</v>
      </c>
      <c r="B638" s="256" t="s">
        <v>923</v>
      </c>
      <c r="C638" s="256"/>
      <c r="D638" s="313"/>
      <c r="E638" s="303"/>
      <c r="F638" s="246"/>
    </row>
    <row r="639" spans="1:6" s="9" customFormat="1" ht="35.1" customHeight="1" x14ac:dyDescent="0.25">
      <c r="A639" s="255" t="s">
        <v>924</v>
      </c>
      <c r="B639" s="254" t="s">
        <v>925</v>
      </c>
      <c r="C639" s="240" t="s">
        <v>16</v>
      </c>
      <c r="D639" s="295">
        <v>13</v>
      </c>
      <c r="E639" s="243">
        <v>275478</v>
      </c>
      <c r="F639" s="243">
        <f t="shared" ref="F639:F644" si="30">ROUND(+E639*D639,2)</f>
        <v>3581214</v>
      </c>
    </row>
    <row r="640" spans="1:6" s="9" customFormat="1" ht="35.1" customHeight="1" x14ac:dyDescent="0.25">
      <c r="A640" s="255" t="s">
        <v>926</v>
      </c>
      <c r="B640" s="254" t="s">
        <v>927</v>
      </c>
      <c r="C640" s="240" t="s">
        <v>16</v>
      </c>
      <c r="D640" s="295">
        <v>236</v>
      </c>
      <c r="E640" s="243">
        <v>38554</v>
      </c>
      <c r="F640" s="243">
        <f t="shared" si="30"/>
        <v>9098744</v>
      </c>
    </row>
    <row r="641" spans="1:6" s="9" customFormat="1" ht="35.1" customHeight="1" x14ac:dyDescent="0.25">
      <c r="A641" s="255" t="s">
        <v>928</v>
      </c>
      <c r="B641" s="254" t="s">
        <v>929</v>
      </c>
      <c r="C641" s="240" t="s">
        <v>16</v>
      </c>
      <c r="D641" s="295">
        <v>52</v>
      </c>
      <c r="E641" s="243">
        <v>38554</v>
      </c>
      <c r="F641" s="243">
        <f t="shared" si="30"/>
        <v>2004808</v>
      </c>
    </row>
    <row r="642" spans="1:6" s="9" customFormat="1" ht="35.1" customHeight="1" x14ac:dyDescent="0.25">
      <c r="A642" s="255" t="s">
        <v>930</v>
      </c>
      <c r="B642" s="254" t="s">
        <v>931</v>
      </c>
      <c r="C642" s="240" t="s">
        <v>16</v>
      </c>
      <c r="D642" s="295">
        <v>236</v>
      </c>
      <c r="E642" s="243">
        <v>49451</v>
      </c>
      <c r="F642" s="243">
        <f t="shared" si="30"/>
        <v>11670436</v>
      </c>
    </row>
    <row r="643" spans="1:6" s="9" customFormat="1" ht="35.1" customHeight="1" x14ac:dyDescent="0.25">
      <c r="A643" s="255" t="s">
        <v>932</v>
      </c>
      <c r="B643" s="254" t="s">
        <v>933</v>
      </c>
      <c r="C643" s="240" t="s">
        <v>16</v>
      </c>
      <c r="D643" s="295">
        <v>52</v>
      </c>
      <c r="E643" s="243">
        <v>49451</v>
      </c>
      <c r="F643" s="243">
        <f t="shared" si="30"/>
        <v>2571452</v>
      </c>
    </row>
    <row r="644" spans="1:6" s="9" customFormat="1" ht="35.1" customHeight="1" x14ac:dyDescent="0.25">
      <c r="A644" s="255" t="s">
        <v>934</v>
      </c>
      <c r="B644" s="254" t="s">
        <v>935</v>
      </c>
      <c r="C644" s="240" t="s">
        <v>16</v>
      </c>
      <c r="D644" s="295">
        <v>13</v>
      </c>
      <c r="E644" s="243">
        <v>257112</v>
      </c>
      <c r="F644" s="243">
        <f t="shared" si="30"/>
        <v>3342456</v>
      </c>
    </row>
    <row r="645" spans="1:6" s="9" customFormat="1" ht="35.1" customHeight="1" x14ac:dyDescent="0.25">
      <c r="A645" s="244" t="s">
        <v>936</v>
      </c>
      <c r="B645" s="245" t="s">
        <v>937</v>
      </c>
      <c r="C645" s="244"/>
      <c r="D645" s="313"/>
      <c r="E645" s="303"/>
      <c r="F645" s="246"/>
    </row>
    <row r="646" spans="1:6" s="9" customFormat="1" ht="35.1" customHeight="1" x14ac:dyDescent="0.25">
      <c r="A646" s="255" t="s">
        <v>938</v>
      </c>
      <c r="B646" s="254" t="s">
        <v>939</v>
      </c>
      <c r="C646" s="240" t="s">
        <v>16</v>
      </c>
      <c r="D646" s="295">
        <v>2</v>
      </c>
      <c r="E646" s="243">
        <v>596595</v>
      </c>
      <c r="F646" s="243">
        <f>ROUND(+E646*D646,2)</f>
        <v>1193190</v>
      </c>
    </row>
    <row r="647" spans="1:6" s="9" customFormat="1" ht="35.1" customHeight="1" x14ac:dyDescent="0.25">
      <c r="A647" s="255" t="s">
        <v>940</v>
      </c>
      <c r="B647" s="254" t="s">
        <v>941</v>
      </c>
      <c r="C647" s="240" t="s">
        <v>16</v>
      </c>
      <c r="D647" s="295">
        <v>52</v>
      </c>
      <c r="E647" s="243">
        <v>36237</v>
      </c>
      <c r="F647" s="243">
        <f>ROUND(+E647*D647,2)</f>
        <v>1884324</v>
      </c>
    </row>
    <row r="648" spans="1:6" s="9" customFormat="1" ht="35.1" customHeight="1" x14ac:dyDescent="0.25">
      <c r="A648" s="255" t="s">
        <v>942</v>
      </c>
      <c r="B648" s="254" t="s">
        <v>935</v>
      </c>
      <c r="C648" s="240" t="s">
        <v>16</v>
      </c>
      <c r="D648" s="295">
        <v>2</v>
      </c>
      <c r="E648" s="243">
        <v>257112</v>
      </c>
      <c r="F648" s="243">
        <f>ROUND(+E648*D648,2)</f>
        <v>514224</v>
      </c>
    </row>
    <row r="649" spans="1:6" s="9" customFormat="1" ht="35.1" customHeight="1" x14ac:dyDescent="0.25">
      <c r="A649" s="244" t="s">
        <v>943</v>
      </c>
      <c r="B649" s="245" t="s">
        <v>944</v>
      </c>
      <c r="C649" s="260"/>
      <c r="D649" s="313"/>
      <c r="E649" s="303"/>
      <c r="F649" s="246"/>
    </row>
    <row r="650" spans="1:6" s="9" customFormat="1" ht="35.1" customHeight="1" x14ac:dyDescent="0.25">
      <c r="A650" s="255" t="s">
        <v>945</v>
      </c>
      <c r="B650" s="254" t="s">
        <v>946</v>
      </c>
      <c r="C650" s="240" t="s">
        <v>94</v>
      </c>
      <c r="D650" s="295">
        <v>44</v>
      </c>
      <c r="E650" s="243">
        <v>20102</v>
      </c>
      <c r="F650" s="243">
        <f>ROUND(+E650*D650,2)</f>
        <v>884488</v>
      </c>
    </row>
    <row r="651" spans="1:6" s="9" customFormat="1" ht="35.1" customHeight="1" x14ac:dyDescent="0.25">
      <c r="A651" s="255" t="s">
        <v>947</v>
      </c>
      <c r="B651" s="254" t="s">
        <v>948</v>
      </c>
      <c r="C651" s="240" t="s">
        <v>16</v>
      </c>
      <c r="D651" s="295">
        <v>4</v>
      </c>
      <c r="E651" s="243">
        <v>724697</v>
      </c>
      <c r="F651" s="243">
        <f>ROUND(+E651*D651,2)</f>
        <v>2898788</v>
      </c>
    </row>
    <row r="652" spans="1:6" s="9" customFormat="1" ht="35.1" customHeight="1" x14ac:dyDescent="0.25">
      <c r="A652" s="255" t="s">
        <v>949</v>
      </c>
      <c r="B652" s="254" t="s">
        <v>950</v>
      </c>
      <c r="C652" s="240" t="s">
        <v>16</v>
      </c>
      <c r="D652" s="295">
        <v>4</v>
      </c>
      <c r="E652" s="243">
        <v>257112</v>
      </c>
      <c r="F652" s="243">
        <f>ROUND(+E652*D652,2)</f>
        <v>1028448</v>
      </c>
    </row>
    <row r="653" spans="1:6" s="9" customFormat="1" ht="35.1" customHeight="1" x14ac:dyDescent="0.25">
      <c r="A653" s="244" t="s">
        <v>951</v>
      </c>
      <c r="B653" s="245" t="s">
        <v>952</v>
      </c>
      <c r="C653" s="260"/>
      <c r="D653" s="313"/>
      <c r="E653" s="303"/>
      <c r="F653" s="246"/>
    </row>
    <row r="654" spans="1:6" s="9" customFormat="1" ht="35.1" customHeight="1" x14ac:dyDescent="0.25">
      <c r="A654" s="255" t="s">
        <v>953</v>
      </c>
      <c r="B654" s="254" t="s">
        <v>954</v>
      </c>
      <c r="C654" s="240" t="s">
        <v>16</v>
      </c>
      <c r="D654" s="295">
        <v>4</v>
      </c>
      <c r="E654" s="243">
        <v>4619597</v>
      </c>
      <c r="F654" s="243">
        <f t="shared" ref="F654:F665" si="31">ROUND(+E654*D654,2)</f>
        <v>18478388</v>
      </c>
    </row>
    <row r="655" spans="1:6" s="9" customFormat="1" ht="35.1" customHeight="1" x14ac:dyDescent="0.25">
      <c r="A655" s="255" t="s">
        <v>955</v>
      </c>
      <c r="B655" s="254" t="s">
        <v>956</v>
      </c>
      <c r="C655" s="240" t="s">
        <v>16</v>
      </c>
      <c r="D655" s="295">
        <v>8</v>
      </c>
      <c r="E655" s="243">
        <v>593668</v>
      </c>
      <c r="F655" s="243">
        <f t="shared" si="31"/>
        <v>4749344</v>
      </c>
    </row>
    <row r="656" spans="1:6" s="9" customFormat="1" ht="35.1" customHeight="1" x14ac:dyDescent="0.25">
      <c r="A656" s="255" t="s">
        <v>957</v>
      </c>
      <c r="B656" s="254" t="s">
        <v>958</v>
      </c>
      <c r="C656" s="240" t="s">
        <v>16</v>
      </c>
      <c r="D656" s="295">
        <v>4</v>
      </c>
      <c r="E656" s="243">
        <v>514115</v>
      </c>
      <c r="F656" s="243">
        <f t="shared" si="31"/>
        <v>2056460</v>
      </c>
    </row>
    <row r="657" spans="1:6" s="9" customFormat="1" ht="35.1" customHeight="1" x14ac:dyDescent="0.25">
      <c r="A657" s="255" t="s">
        <v>959</v>
      </c>
      <c r="B657" s="254" t="s">
        <v>960</v>
      </c>
      <c r="C657" s="240" t="s">
        <v>94</v>
      </c>
      <c r="D657" s="295">
        <v>40</v>
      </c>
      <c r="E657" s="243">
        <v>4749</v>
      </c>
      <c r="F657" s="243">
        <f t="shared" si="31"/>
        <v>189960</v>
      </c>
    </row>
    <row r="658" spans="1:6" s="9" customFormat="1" ht="35.1" customHeight="1" x14ac:dyDescent="0.25">
      <c r="A658" s="255" t="s">
        <v>961</v>
      </c>
      <c r="B658" s="254" t="s">
        <v>962</v>
      </c>
      <c r="C658" s="255" t="s">
        <v>94</v>
      </c>
      <c r="D658" s="295">
        <v>546</v>
      </c>
      <c r="E658" s="243">
        <v>158168</v>
      </c>
      <c r="F658" s="243">
        <f t="shared" si="31"/>
        <v>86359728</v>
      </c>
    </row>
    <row r="659" spans="1:6" s="9" customFormat="1" ht="35.1" customHeight="1" x14ac:dyDescent="0.25">
      <c r="A659" s="255" t="s">
        <v>963</v>
      </c>
      <c r="B659" s="254" t="s">
        <v>964</v>
      </c>
      <c r="C659" s="240" t="s">
        <v>94</v>
      </c>
      <c r="D659" s="295">
        <v>336</v>
      </c>
      <c r="E659" s="243">
        <v>37475</v>
      </c>
      <c r="F659" s="243">
        <f t="shared" si="31"/>
        <v>12591600</v>
      </c>
    </row>
    <row r="660" spans="1:6" s="9" customFormat="1" ht="35.1" customHeight="1" x14ac:dyDescent="0.25">
      <c r="A660" s="255" t="s">
        <v>965</v>
      </c>
      <c r="B660" s="254" t="s">
        <v>966</v>
      </c>
      <c r="C660" s="240" t="s">
        <v>94</v>
      </c>
      <c r="D660" s="295">
        <v>87</v>
      </c>
      <c r="E660" s="243">
        <v>20696</v>
      </c>
      <c r="F660" s="243">
        <f t="shared" si="31"/>
        <v>1800552</v>
      </c>
    </row>
    <row r="661" spans="1:6" s="9" customFormat="1" ht="35.1" customHeight="1" x14ac:dyDescent="0.25">
      <c r="A661" s="255" t="s">
        <v>967</v>
      </c>
      <c r="B661" s="254" t="s">
        <v>968</v>
      </c>
      <c r="C661" s="240" t="s">
        <v>94</v>
      </c>
      <c r="D661" s="295">
        <v>227</v>
      </c>
      <c r="E661" s="243">
        <v>16448</v>
      </c>
      <c r="F661" s="243">
        <f t="shared" si="31"/>
        <v>3733696</v>
      </c>
    </row>
    <row r="662" spans="1:6" s="9" customFormat="1" ht="35.1" customHeight="1" x14ac:dyDescent="0.25">
      <c r="A662" s="255" t="s">
        <v>969</v>
      </c>
      <c r="B662" s="254" t="s">
        <v>970</v>
      </c>
      <c r="C662" s="240" t="s">
        <v>94</v>
      </c>
      <c r="D662" s="295">
        <v>30</v>
      </c>
      <c r="E662" s="243">
        <v>6061</v>
      </c>
      <c r="F662" s="243">
        <f t="shared" si="31"/>
        <v>181830</v>
      </c>
    </row>
    <row r="663" spans="1:6" s="9" customFormat="1" ht="35.1" customHeight="1" x14ac:dyDescent="0.25">
      <c r="A663" s="255" t="s">
        <v>971</v>
      </c>
      <c r="B663" s="254" t="s">
        <v>972</v>
      </c>
      <c r="C663" s="240" t="s">
        <v>94</v>
      </c>
      <c r="D663" s="295">
        <v>115</v>
      </c>
      <c r="E663" s="243">
        <v>4876</v>
      </c>
      <c r="F663" s="243">
        <f t="shared" si="31"/>
        <v>560740</v>
      </c>
    </row>
    <row r="664" spans="1:6" s="9" customFormat="1" ht="35.1" customHeight="1" x14ac:dyDescent="0.25">
      <c r="A664" s="255" t="s">
        <v>973</v>
      </c>
      <c r="B664" s="254" t="s">
        <v>974</v>
      </c>
      <c r="C664" s="240" t="s">
        <v>16</v>
      </c>
      <c r="D664" s="295">
        <v>6</v>
      </c>
      <c r="E664" s="243">
        <v>790806</v>
      </c>
      <c r="F664" s="243">
        <f t="shared" si="31"/>
        <v>4744836</v>
      </c>
    </row>
    <row r="665" spans="1:6" s="9" customFormat="1" ht="35.1" customHeight="1" x14ac:dyDescent="0.25">
      <c r="A665" s="255" t="s">
        <v>975</v>
      </c>
      <c r="B665" s="254" t="s">
        <v>976</v>
      </c>
      <c r="C665" s="240" t="s">
        <v>16</v>
      </c>
      <c r="D665" s="295">
        <v>8</v>
      </c>
      <c r="E665" s="243">
        <v>13258</v>
      </c>
      <c r="F665" s="243">
        <f t="shared" si="31"/>
        <v>106064</v>
      </c>
    </row>
    <row r="666" spans="1:6" s="9" customFormat="1" ht="35.1" customHeight="1" x14ac:dyDescent="0.25">
      <c r="A666" s="244" t="s">
        <v>977</v>
      </c>
      <c r="B666" s="256" t="s">
        <v>978</v>
      </c>
      <c r="C666" s="256"/>
      <c r="D666" s="313"/>
      <c r="E666" s="303"/>
      <c r="F666" s="246"/>
    </row>
    <row r="667" spans="1:6" s="9" customFormat="1" ht="35.1" customHeight="1" x14ac:dyDescent="0.25">
      <c r="A667" s="255" t="s">
        <v>979</v>
      </c>
      <c r="B667" s="254" t="s">
        <v>980</v>
      </c>
      <c r="C667" s="240" t="s">
        <v>16</v>
      </c>
      <c r="D667" s="295">
        <v>4</v>
      </c>
      <c r="E667" s="243">
        <v>65873</v>
      </c>
      <c r="F667" s="243">
        <f>ROUND(+E667*D667,2)</f>
        <v>263492</v>
      </c>
    </row>
    <row r="668" spans="1:6" s="9" customFormat="1" ht="35.1" customHeight="1" x14ac:dyDescent="0.25">
      <c r="A668" s="255" t="s">
        <v>981</v>
      </c>
      <c r="B668" s="254" t="s">
        <v>982</v>
      </c>
      <c r="C668" s="240" t="s">
        <v>94</v>
      </c>
      <c r="D668" s="295">
        <v>4</v>
      </c>
      <c r="E668" s="243">
        <v>6635</v>
      </c>
      <c r="F668" s="243">
        <f>ROUND(+E668*D668,2)</f>
        <v>26540</v>
      </c>
    </row>
    <row r="669" spans="1:6" s="9" customFormat="1" ht="35.1" customHeight="1" x14ac:dyDescent="0.25">
      <c r="A669" s="255" t="s">
        <v>983</v>
      </c>
      <c r="B669" s="254" t="s">
        <v>984</v>
      </c>
      <c r="C669" s="240" t="s">
        <v>94</v>
      </c>
      <c r="D669" s="295">
        <v>4</v>
      </c>
      <c r="E669" s="243">
        <v>6635</v>
      </c>
      <c r="F669" s="243">
        <f>ROUND(+E669*D669,2)</f>
        <v>26540</v>
      </c>
    </row>
    <row r="670" spans="1:6" s="9" customFormat="1" ht="35.1" customHeight="1" x14ac:dyDescent="0.25">
      <c r="A670" s="255" t="s">
        <v>985</v>
      </c>
      <c r="B670" s="254" t="s">
        <v>986</v>
      </c>
      <c r="C670" s="240" t="s">
        <v>16</v>
      </c>
      <c r="D670" s="295">
        <v>4</v>
      </c>
      <c r="E670" s="243">
        <v>649052</v>
      </c>
      <c r="F670" s="243">
        <f>ROUND(+E670*D670,2)</f>
        <v>2596208</v>
      </c>
    </row>
    <row r="671" spans="1:6" s="9" customFormat="1" ht="35.1" customHeight="1" x14ac:dyDescent="0.25">
      <c r="A671" s="244" t="s">
        <v>987</v>
      </c>
      <c r="B671" s="256" t="s">
        <v>988</v>
      </c>
      <c r="C671" s="256"/>
      <c r="D671" s="313"/>
      <c r="E671" s="303"/>
      <c r="F671" s="246"/>
    </row>
    <row r="672" spans="1:6" s="9" customFormat="1" ht="35.1" customHeight="1" x14ac:dyDescent="0.25">
      <c r="A672" s="240" t="s">
        <v>989</v>
      </c>
      <c r="B672" s="254" t="s">
        <v>990</v>
      </c>
      <c r="C672" s="240" t="s">
        <v>16</v>
      </c>
      <c r="D672" s="295">
        <v>14</v>
      </c>
      <c r="E672" s="243">
        <v>7531688</v>
      </c>
      <c r="F672" s="243">
        <f>ROUND(+E672*D672,2)</f>
        <v>105443632</v>
      </c>
    </row>
    <row r="673" spans="1:6" s="9" customFormat="1" ht="35.1" customHeight="1" x14ac:dyDescent="0.25">
      <c r="A673" s="240" t="s">
        <v>991</v>
      </c>
      <c r="B673" s="254" t="s">
        <v>992</v>
      </c>
      <c r="C673" s="240" t="s">
        <v>16</v>
      </c>
      <c r="D673" s="295">
        <v>1</v>
      </c>
      <c r="E673" s="243">
        <v>863097</v>
      </c>
      <c r="F673" s="243">
        <f>ROUND(+E673*D673,2)</f>
        <v>863097</v>
      </c>
    </row>
    <row r="674" spans="1:6" s="9" customFormat="1" ht="35.1" customHeight="1" x14ac:dyDescent="0.25">
      <c r="A674" s="266">
        <v>19</v>
      </c>
      <c r="B674" s="267" t="s">
        <v>993</v>
      </c>
      <c r="C674" s="267"/>
      <c r="D674" s="316"/>
      <c r="E674" s="306"/>
      <c r="F674" s="268"/>
    </row>
    <row r="675" spans="1:6" s="9" customFormat="1" ht="35.1" customHeight="1" x14ac:dyDescent="0.25">
      <c r="A675" s="296" t="s">
        <v>1349</v>
      </c>
      <c r="B675" s="297" t="s">
        <v>1350</v>
      </c>
      <c r="C675" s="298"/>
      <c r="D675" s="313"/>
      <c r="E675" s="303"/>
      <c r="F675" s="246"/>
    </row>
    <row r="676" spans="1:6" s="9" customFormat="1" ht="35.1" customHeight="1" x14ac:dyDescent="0.25">
      <c r="A676" s="255" t="s">
        <v>1351</v>
      </c>
      <c r="B676" s="254" t="s">
        <v>1352</v>
      </c>
      <c r="C676" s="240" t="s">
        <v>16</v>
      </c>
      <c r="D676" s="295">
        <v>10</v>
      </c>
      <c r="E676" s="243">
        <v>1292800</v>
      </c>
      <c r="F676" s="243">
        <f t="shared" ref="F676:F682" si="32">ROUND(+E676*D676,2)</f>
        <v>12928000</v>
      </c>
    </row>
    <row r="677" spans="1:6" s="9" customFormat="1" ht="35.1" customHeight="1" x14ac:dyDescent="0.25">
      <c r="A677" s="255" t="s">
        <v>1353</v>
      </c>
      <c r="B677" s="254" t="s">
        <v>1354</v>
      </c>
      <c r="C677" s="240" t="s">
        <v>16</v>
      </c>
      <c r="D677" s="295">
        <v>19</v>
      </c>
      <c r="E677" s="243">
        <v>1753911</v>
      </c>
      <c r="F677" s="243">
        <f t="shared" si="32"/>
        <v>33324309</v>
      </c>
    </row>
    <row r="678" spans="1:6" s="9" customFormat="1" ht="35.1" customHeight="1" x14ac:dyDescent="0.25">
      <c r="A678" s="255" t="s">
        <v>1355</v>
      </c>
      <c r="B678" s="254" t="s">
        <v>1356</v>
      </c>
      <c r="C678" s="240" t="s">
        <v>16</v>
      </c>
      <c r="D678" s="295">
        <v>2</v>
      </c>
      <c r="E678" s="243">
        <v>3775110</v>
      </c>
      <c r="F678" s="243">
        <f t="shared" si="32"/>
        <v>7550220</v>
      </c>
    </row>
    <row r="679" spans="1:6" s="9" customFormat="1" ht="35.1" customHeight="1" x14ac:dyDescent="0.25">
      <c r="A679" s="255" t="s">
        <v>1357</v>
      </c>
      <c r="B679" s="254" t="s">
        <v>1358</v>
      </c>
      <c r="C679" s="240" t="s">
        <v>16</v>
      </c>
      <c r="D679" s="295">
        <v>29</v>
      </c>
      <c r="E679" s="243">
        <v>369744</v>
      </c>
      <c r="F679" s="243">
        <f t="shared" si="32"/>
        <v>10722576</v>
      </c>
    </row>
    <row r="680" spans="1:6" s="9" customFormat="1" ht="35.1" customHeight="1" x14ac:dyDescent="0.25">
      <c r="A680" s="255" t="s">
        <v>1359</v>
      </c>
      <c r="B680" s="254" t="s">
        <v>1360</v>
      </c>
      <c r="C680" s="240" t="s">
        <v>16</v>
      </c>
      <c r="D680" s="295">
        <v>2</v>
      </c>
      <c r="E680" s="243">
        <v>8601134</v>
      </c>
      <c r="F680" s="243">
        <f t="shared" si="32"/>
        <v>17202268</v>
      </c>
    </row>
    <row r="681" spans="1:6" s="9" customFormat="1" ht="35.1" customHeight="1" x14ac:dyDescent="0.25">
      <c r="A681" s="255" t="s">
        <v>1361</v>
      </c>
      <c r="B681" s="254" t="s">
        <v>1362</v>
      </c>
      <c r="C681" s="240" t="s">
        <v>16</v>
      </c>
      <c r="D681" s="295">
        <v>2</v>
      </c>
      <c r="E681" s="243">
        <v>9150233</v>
      </c>
      <c r="F681" s="243">
        <f t="shared" si="32"/>
        <v>18300466</v>
      </c>
    </row>
    <row r="682" spans="1:6" s="9" customFormat="1" ht="35.1" customHeight="1" x14ac:dyDescent="0.25">
      <c r="A682" s="255" t="s">
        <v>1363</v>
      </c>
      <c r="B682" s="241" t="s">
        <v>1425</v>
      </c>
      <c r="C682" s="240" t="s">
        <v>1182</v>
      </c>
      <c r="D682" s="295">
        <v>1</v>
      </c>
      <c r="E682" s="243">
        <v>2929767</v>
      </c>
      <c r="F682" s="243">
        <f t="shared" si="32"/>
        <v>2929767</v>
      </c>
    </row>
    <row r="683" spans="1:6" s="9" customFormat="1" ht="35.1" customHeight="1" x14ac:dyDescent="0.25">
      <c r="A683" s="244" t="s">
        <v>1365</v>
      </c>
      <c r="B683" s="245" t="s">
        <v>1366</v>
      </c>
      <c r="C683" s="260"/>
      <c r="D683" s="313"/>
      <c r="E683" s="303"/>
      <c r="F683" s="246"/>
    </row>
    <row r="684" spans="1:6" s="9" customFormat="1" ht="35.1" customHeight="1" x14ac:dyDescent="0.25">
      <c r="A684" s="255" t="s">
        <v>1367</v>
      </c>
      <c r="B684" s="254" t="s">
        <v>1368</v>
      </c>
      <c r="C684" s="240" t="s">
        <v>16</v>
      </c>
      <c r="D684" s="295">
        <v>19</v>
      </c>
      <c r="E684" s="243">
        <v>237553</v>
      </c>
      <c r="F684" s="243">
        <f t="shared" ref="F684:F693" si="33">ROUND(+E684*D684,2)</f>
        <v>4513507</v>
      </c>
    </row>
    <row r="685" spans="1:6" s="9" customFormat="1" ht="35.1" customHeight="1" x14ac:dyDescent="0.25">
      <c r="A685" s="255" t="s">
        <v>1369</v>
      </c>
      <c r="B685" s="254" t="s">
        <v>1370</v>
      </c>
      <c r="C685" s="240" t="s">
        <v>16</v>
      </c>
      <c r="D685" s="295">
        <v>16</v>
      </c>
      <c r="E685" s="243">
        <v>1739096</v>
      </c>
      <c r="F685" s="243">
        <f t="shared" si="33"/>
        <v>27825536</v>
      </c>
    </row>
    <row r="686" spans="1:6" s="9" customFormat="1" ht="35.1" customHeight="1" x14ac:dyDescent="0.25">
      <c r="A686" s="255" t="s">
        <v>1371</v>
      </c>
      <c r="B686" s="254" t="s">
        <v>1372</v>
      </c>
      <c r="C686" s="240" t="s">
        <v>16</v>
      </c>
      <c r="D686" s="295">
        <v>18</v>
      </c>
      <c r="E686" s="243">
        <v>367714</v>
      </c>
      <c r="F686" s="243">
        <f t="shared" si="33"/>
        <v>6618852</v>
      </c>
    </row>
    <row r="687" spans="1:6" s="9" customFormat="1" ht="35.1" customHeight="1" x14ac:dyDescent="0.25">
      <c r="A687" s="255" t="s">
        <v>1373</v>
      </c>
      <c r="B687" s="254" t="s">
        <v>1374</v>
      </c>
      <c r="C687" s="240" t="s">
        <v>16</v>
      </c>
      <c r="D687" s="295">
        <v>20</v>
      </c>
      <c r="E687" s="243">
        <v>460673</v>
      </c>
      <c r="F687" s="243">
        <f t="shared" si="33"/>
        <v>9213460</v>
      </c>
    </row>
    <row r="688" spans="1:6" s="9" customFormat="1" ht="35.1" customHeight="1" x14ac:dyDescent="0.25">
      <c r="A688" s="255" t="s">
        <v>1375</v>
      </c>
      <c r="B688" s="254" t="s">
        <v>1376</v>
      </c>
      <c r="C688" s="240" t="s">
        <v>16</v>
      </c>
      <c r="D688" s="295">
        <v>14</v>
      </c>
      <c r="E688" s="243">
        <v>12558</v>
      </c>
      <c r="F688" s="243">
        <f t="shared" si="33"/>
        <v>175812</v>
      </c>
    </row>
    <row r="689" spans="1:6" s="9" customFormat="1" ht="35.1" customHeight="1" x14ac:dyDescent="0.25">
      <c r="A689" s="255" t="s">
        <v>1377</v>
      </c>
      <c r="B689" s="254" t="s">
        <v>976</v>
      </c>
      <c r="C689" s="240" t="s">
        <v>16</v>
      </c>
      <c r="D689" s="295">
        <v>18</v>
      </c>
      <c r="E689" s="243">
        <v>13258</v>
      </c>
      <c r="F689" s="243">
        <f t="shared" si="33"/>
        <v>238644</v>
      </c>
    </row>
    <row r="690" spans="1:6" s="9" customFormat="1" ht="35.1" customHeight="1" x14ac:dyDescent="0.25">
      <c r="A690" s="255" t="s">
        <v>1378</v>
      </c>
      <c r="B690" s="254" t="s">
        <v>1379</v>
      </c>
      <c r="C690" s="240" t="s">
        <v>16</v>
      </c>
      <c r="D690" s="295">
        <v>2</v>
      </c>
      <c r="E690" s="243">
        <v>5972984</v>
      </c>
      <c r="F690" s="243">
        <f t="shared" si="33"/>
        <v>11945968</v>
      </c>
    </row>
    <row r="691" spans="1:6" s="9" customFormat="1" ht="35.1" customHeight="1" x14ac:dyDescent="0.25">
      <c r="A691" s="255" t="s">
        <v>1380</v>
      </c>
      <c r="B691" s="254" t="s">
        <v>1381</v>
      </c>
      <c r="C691" s="240" t="s">
        <v>16</v>
      </c>
      <c r="D691" s="295">
        <v>2</v>
      </c>
      <c r="E691" s="243">
        <v>5706725</v>
      </c>
      <c r="F691" s="243">
        <f t="shared" si="33"/>
        <v>11413450</v>
      </c>
    </row>
    <row r="692" spans="1:6" s="9" customFormat="1" ht="35.1" customHeight="1" x14ac:dyDescent="0.25">
      <c r="A692" s="255" t="s">
        <v>1382</v>
      </c>
      <c r="B692" s="254" t="s">
        <v>1383</v>
      </c>
      <c r="C692" s="240" t="s">
        <v>16</v>
      </c>
      <c r="D692" s="295">
        <v>2</v>
      </c>
      <c r="E692" s="243">
        <v>3775110</v>
      </c>
      <c r="F692" s="243">
        <f t="shared" si="33"/>
        <v>7550220</v>
      </c>
    </row>
    <row r="693" spans="1:6" s="9" customFormat="1" ht="41.25" customHeight="1" x14ac:dyDescent="0.25">
      <c r="A693" s="255" t="s">
        <v>1384</v>
      </c>
      <c r="B693" s="241" t="s">
        <v>1426</v>
      </c>
      <c r="C693" s="240" t="s">
        <v>1182</v>
      </c>
      <c r="D693" s="295">
        <v>1</v>
      </c>
      <c r="E693" s="243">
        <v>2929767</v>
      </c>
      <c r="F693" s="243">
        <f t="shared" si="33"/>
        <v>2929767</v>
      </c>
    </row>
    <row r="694" spans="1:6" s="9" customFormat="1" ht="35.1" customHeight="1" x14ac:dyDescent="0.25">
      <c r="A694" s="244" t="s">
        <v>994</v>
      </c>
      <c r="B694" s="245" t="s">
        <v>995</v>
      </c>
      <c r="C694" s="260"/>
      <c r="D694" s="313"/>
      <c r="E694" s="303"/>
      <c r="F694" s="246"/>
    </row>
    <row r="695" spans="1:6" s="9" customFormat="1" ht="35.1" customHeight="1" x14ac:dyDescent="0.25">
      <c r="A695" s="255" t="s">
        <v>996</v>
      </c>
      <c r="B695" s="254" t="s">
        <v>997</v>
      </c>
      <c r="C695" s="240" t="s">
        <v>16</v>
      </c>
      <c r="D695" s="295">
        <v>11</v>
      </c>
      <c r="E695" s="243">
        <v>516030</v>
      </c>
      <c r="F695" s="243">
        <f t="shared" ref="F695:F704" si="34">ROUND(+E695*D695,2)</f>
        <v>5676330</v>
      </c>
    </row>
    <row r="696" spans="1:6" s="9" customFormat="1" ht="35.1" customHeight="1" x14ac:dyDescent="0.25">
      <c r="A696" s="255" t="s">
        <v>998</v>
      </c>
      <c r="B696" s="87" t="s">
        <v>999</v>
      </c>
      <c r="C696" s="240" t="s">
        <v>16</v>
      </c>
      <c r="D696" s="295">
        <v>11</v>
      </c>
      <c r="E696" s="243">
        <v>369280</v>
      </c>
      <c r="F696" s="243">
        <f t="shared" si="34"/>
        <v>4062080</v>
      </c>
    </row>
    <row r="697" spans="1:6" s="9" customFormat="1" ht="35.1" customHeight="1" x14ac:dyDescent="0.25">
      <c r="A697" s="255" t="s">
        <v>1000</v>
      </c>
      <c r="B697" s="254" t="s">
        <v>1001</v>
      </c>
      <c r="C697" s="240" t="s">
        <v>16</v>
      </c>
      <c r="D697" s="295">
        <v>142</v>
      </c>
      <c r="E697" s="243">
        <v>415391</v>
      </c>
      <c r="F697" s="243">
        <f t="shared" si="34"/>
        <v>58985522</v>
      </c>
    </row>
    <row r="698" spans="1:6" s="9" customFormat="1" ht="35.1" customHeight="1" x14ac:dyDescent="0.25">
      <c r="A698" s="255" t="s">
        <v>1002</v>
      </c>
      <c r="B698" s="87" t="s">
        <v>1003</v>
      </c>
      <c r="C698" s="240" t="s">
        <v>16</v>
      </c>
      <c r="D698" s="295">
        <v>8</v>
      </c>
      <c r="E698" s="243">
        <v>389042</v>
      </c>
      <c r="F698" s="243">
        <f t="shared" si="34"/>
        <v>3112336</v>
      </c>
    </row>
    <row r="699" spans="1:6" s="9" customFormat="1" ht="35.1" customHeight="1" x14ac:dyDescent="0.25">
      <c r="A699" s="255" t="s">
        <v>1004</v>
      </c>
      <c r="B699" s="254" t="s">
        <v>1005</v>
      </c>
      <c r="C699" s="240" t="s">
        <v>16</v>
      </c>
      <c r="D699" s="295">
        <v>7</v>
      </c>
      <c r="E699" s="243">
        <v>410689</v>
      </c>
      <c r="F699" s="243">
        <f t="shared" si="34"/>
        <v>2874823</v>
      </c>
    </row>
    <row r="700" spans="1:6" s="9" customFormat="1" ht="35.1" customHeight="1" x14ac:dyDescent="0.25">
      <c r="A700" s="255" t="s">
        <v>1006</v>
      </c>
      <c r="B700" s="254" t="s">
        <v>1007</v>
      </c>
      <c r="C700" s="240" t="s">
        <v>16</v>
      </c>
      <c r="D700" s="295">
        <v>2</v>
      </c>
      <c r="E700" s="243">
        <v>8625691</v>
      </c>
      <c r="F700" s="243">
        <f t="shared" si="34"/>
        <v>17251382</v>
      </c>
    </row>
    <row r="701" spans="1:6" s="9" customFormat="1" ht="35.1" customHeight="1" x14ac:dyDescent="0.25">
      <c r="A701" s="255" t="s">
        <v>1008</v>
      </c>
      <c r="B701" s="254" t="s">
        <v>1009</v>
      </c>
      <c r="C701" s="240" t="s">
        <v>94</v>
      </c>
      <c r="D701" s="295">
        <v>1773</v>
      </c>
      <c r="E701" s="243">
        <v>5401</v>
      </c>
      <c r="F701" s="243">
        <f t="shared" si="34"/>
        <v>9575973</v>
      </c>
    </row>
    <row r="702" spans="1:6" s="9" customFormat="1" ht="35.1" customHeight="1" x14ac:dyDescent="0.25">
      <c r="A702" s="255" t="s">
        <v>1010</v>
      </c>
      <c r="B702" s="254" t="s">
        <v>968</v>
      </c>
      <c r="C702" s="240" t="s">
        <v>94</v>
      </c>
      <c r="D702" s="295">
        <v>1310</v>
      </c>
      <c r="E702" s="243">
        <v>16448</v>
      </c>
      <c r="F702" s="243">
        <f t="shared" si="34"/>
        <v>21546880</v>
      </c>
    </row>
    <row r="703" spans="1:6" s="9" customFormat="1" ht="35.1" customHeight="1" x14ac:dyDescent="0.25">
      <c r="A703" s="255" t="s">
        <v>1011</v>
      </c>
      <c r="B703" s="254" t="s">
        <v>972</v>
      </c>
      <c r="C703" s="240" t="s">
        <v>94</v>
      </c>
      <c r="D703" s="295">
        <v>22</v>
      </c>
      <c r="E703" s="243">
        <v>4876</v>
      </c>
      <c r="F703" s="243">
        <f t="shared" si="34"/>
        <v>107272</v>
      </c>
    </row>
    <row r="704" spans="1:6" s="9" customFormat="1" ht="35.1" customHeight="1" x14ac:dyDescent="0.25">
      <c r="A704" s="255" t="s">
        <v>1012</v>
      </c>
      <c r="B704" s="254" t="s">
        <v>976</v>
      </c>
      <c r="C704" s="240" t="s">
        <v>16</v>
      </c>
      <c r="D704" s="295">
        <v>32</v>
      </c>
      <c r="E704" s="243">
        <v>13258</v>
      </c>
      <c r="F704" s="243">
        <f t="shared" si="34"/>
        <v>424256</v>
      </c>
    </row>
    <row r="705" spans="1:6" s="9" customFormat="1" ht="35.1" customHeight="1" x14ac:dyDescent="0.25">
      <c r="A705" s="244" t="s">
        <v>1387</v>
      </c>
      <c r="B705" s="245" t="s">
        <v>1388</v>
      </c>
      <c r="C705" s="260"/>
      <c r="D705" s="313"/>
      <c r="E705" s="303"/>
      <c r="F705" s="246"/>
    </row>
    <row r="706" spans="1:6" s="9" customFormat="1" ht="35.1" customHeight="1" x14ac:dyDescent="0.25">
      <c r="A706" s="255" t="s">
        <v>1389</v>
      </c>
      <c r="B706" s="254" t="s">
        <v>1390</v>
      </c>
      <c r="C706" s="240" t="s">
        <v>16</v>
      </c>
      <c r="D706" s="295">
        <v>64</v>
      </c>
      <c r="E706" s="243">
        <v>395390</v>
      </c>
      <c r="F706" s="243">
        <f t="shared" ref="F706:F723" si="35">ROUND(+E706*D706,2)</f>
        <v>25304960</v>
      </c>
    </row>
    <row r="707" spans="1:6" s="9" customFormat="1" ht="35.1" customHeight="1" x14ac:dyDescent="0.25">
      <c r="A707" s="255" t="s">
        <v>1391</v>
      </c>
      <c r="B707" s="254" t="s">
        <v>1392</v>
      </c>
      <c r="C707" s="240" t="s">
        <v>16</v>
      </c>
      <c r="D707" s="295">
        <v>2</v>
      </c>
      <c r="E707" s="243">
        <v>9159410</v>
      </c>
      <c r="F707" s="243">
        <f t="shared" si="35"/>
        <v>18318820</v>
      </c>
    </row>
    <row r="708" spans="1:6" s="9" customFormat="1" ht="35.1" customHeight="1" x14ac:dyDescent="0.25">
      <c r="A708" s="255" t="s">
        <v>1393</v>
      </c>
      <c r="B708" s="254" t="s">
        <v>1394</v>
      </c>
      <c r="C708" s="240" t="s">
        <v>16</v>
      </c>
      <c r="D708" s="295">
        <v>2</v>
      </c>
      <c r="E708" s="243">
        <v>16963534</v>
      </c>
      <c r="F708" s="243">
        <f t="shared" si="35"/>
        <v>33927068</v>
      </c>
    </row>
    <row r="709" spans="1:6" s="9" customFormat="1" ht="35.1" customHeight="1" x14ac:dyDescent="0.25">
      <c r="A709" s="255" t="s">
        <v>1395</v>
      </c>
      <c r="B709" s="254" t="s">
        <v>1396</v>
      </c>
      <c r="C709" s="240" t="s">
        <v>16</v>
      </c>
      <c r="D709" s="295">
        <v>2</v>
      </c>
      <c r="E709" s="243">
        <v>1683524</v>
      </c>
      <c r="F709" s="243">
        <f t="shared" si="35"/>
        <v>3367048</v>
      </c>
    </row>
    <row r="710" spans="1:6" s="9" customFormat="1" ht="35.1" customHeight="1" x14ac:dyDescent="0.25">
      <c r="A710" s="255" t="s">
        <v>1397</v>
      </c>
      <c r="B710" s="254" t="s">
        <v>968</v>
      </c>
      <c r="C710" s="240" t="s">
        <v>94</v>
      </c>
      <c r="D710" s="295">
        <v>159</v>
      </c>
      <c r="E710" s="243">
        <v>16448</v>
      </c>
      <c r="F710" s="243">
        <f t="shared" si="35"/>
        <v>2615232</v>
      </c>
    </row>
    <row r="711" spans="1:6" s="9" customFormat="1" ht="35.1" customHeight="1" x14ac:dyDescent="0.25">
      <c r="A711" s="255" t="s">
        <v>1398</v>
      </c>
      <c r="B711" s="254" t="s">
        <v>976</v>
      </c>
      <c r="C711" s="240" t="s">
        <v>16</v>
      </c>
      <c r="D711" s="295">
        <v>4</v>
      </c>
      <c r="E711" s="243">
        <v>13258</v>
      </c>
      <c r="F711" s="243">
        <f t="shared" si="35"/>
        <v>53032</v>
      </c>
    </row>
    <row r="712" spans="1:6" s="9" customFormat="1" ht="35.1" customHeight="1" x14ac:dyDescent="0.25">
      <c r="A712" s="255" t="s">
        <v>1399</v>
      </c>
      <c r="B712" s="254" t="s">
        <v>1400</v>
      </c>
      <c r="C712" s="255" t="s">
        <v>94</v>
      </c>
      <c r="D712" s="295">
        <v>2380</v>
      </c>
      <c r="E712" s="243">
        <v>8630</v>
      </c>
      <c r="F712" s="243">
        <f t="shared" si="35"/>
        <v>20539400</v>
      </c>
    </row>
    <row r="713" spans="1:6" s="9" customFormat="1" ht="35.1" customHeight="1" x14ac:dyDescent="0.25">
      <c r="A713" s="255" t="s">
        <v>1401</v>
      </c>
      <c r="B713" s="241" t="s">
        <v>1427</v>
      </c>
      <c r="C713" s="240" t="s">
        <v>1182</v>
      </c>
      <c r="D713" s="295">
        <v>1</v>
      </c>
      <c r="E713" s="243">
        <v>2929767</v>
      </c>
      <c r="F713" s="243">
        <f t="shared" si="35"/>
        <v>2929767</v>
      </c>
    </row>
    <row r="714" spans="1:6" s="9" customFormat="1" ht="35.1" customHeight="1" x14ac:dyDescent="0.25">
      <c r="A714" s="266">
        <v>20</v>
      </c>
      <c r="B714" s="267" t="s">
        <v>1013</v>
      </c>
      <c r="C714" s="267"/>
      <c r="D714" s="316"/>
      <c r="E714" s="306"/>
      <c r="F714" s="268"/>
    </row>
    <row r="715" spans="1:6" s="9" customFormat="1" ht="35.1" customHeight="1" x14ac:dyDescent="0.25">
      <c r="A715" s="255">
        <v>20.100000000000001</v>
      </c>
      <c r="B715" s="254" t="s">
        <v>1015</v>
      </c>
      <c r="C715" s="240" t="s">
        <v>13</v>
      </c>
      <c r="D715" s="295">
        <v>600</v>
      </c>
      <c r="E715" s="243">
        <v>23602</v>
      </c>
      <c r="F715" s="243">
        <f t="shared" si="35"/>
        <v>14161200</v>
      </c>
    </row>
    <row r="716" spans="1:6" s="9" customFormat="1" ht="35.1" customHeight="1" x14ac:dyDescent="0.25">
      <c r="A716" s="255">
        <v>20.2</v>
      </c>
      <c r="B716" s="254" t="s">
        <v>1017</v>
      </c>
      <c r="C716" s="240" t="s">
        <v>13</v>
      </c>
      <c r="D716" s="295">
        <v>600</v>
      </c>
      <c r="E716" s="243">
        <v>20123</v>
      </c>
      <c r="F716" s="243">
        <f t="shared" si="35"/>
        <v>12073800</v>
      </c>
    </row>
    <row r="717" spans="1:6" s="9" customFormat="1" ht="35.1" customHeight="1" x14ac:dyDescent="0.25">
      <c r="A717" s="255">
        <v>20.3</v>
      </c>
      <c r="B717" s="254" t="s">
        <v>1019</v>
      </c>
      <c r="C717" s="240" t="s">
        <v>94</v>
      </c>
      <c r="D717" s="295">
        <v>1500</v>
      </c>
      <c r="E717" s="243">
        <v>7269</v>
      </c>
      <c r="F717" s="243">
        <f t="shared" si="35"/>
        <v>10903500</v>
      </c>
    </row>
    <row r="718" spans="1:6" s="9" customFormat="1" ht="35.1" customHeight="1" x14ac:dyDescent="0.25">
      <c r="A718" s="255">
        <v>20.399999999999999</v>
      </c>
      <c r="B718" s="254" t="s">
        <v>1021</v>
      </c>
      <c r="C718" s="240" t="s">
        <v>13</v>
      </c>
      <c r="D718" s="295">
        <v>100</v>
      </c>
      <c r="E718" s="243">
        <v>153417</v>
      </c>
      <c r="F718" s="243">
        <f t="shared" si="35"/>
        <v>15341700</v>
      </c>
    </row>
    <row r="719" spans="1:6" s="9" customFormat="1" ht="35.1" customHeight="1" x14ac:dyDescent="0.25">
      <c r="A719" s="255">
        <v>20.5</v>
      </c>
      <c r="B719" s="254" t="s">
        <v>1023</v>
      </c>
      <c r="C719" s="240" t="s">
        <v>55</v>
      </c>
      <c r="D719" s="295">
        <v>1072.0999999999999</v>
      </c>
      <c r="E719" s="243">
        <v>12766</v>
      </c>
      <c r="F719" s="243">
        <f t="shared" si="35"/>
        <v>13686428.6</v>
      </c>
    </row>
    <row r="720" spans="1:6" s="9" customFormat="1" ht="43.15" customHeight="1" x14ac:dyDescent="0.25">
      <c r="A720" s="255">
        <v>20.6</v>
      </c>
      <c r="B720" s="254" t="s">
        <v>1025</v>
      </c>
      <c r="C720" s="240" t="s">
        <v>16</v>
      </c>
      <c r="D720" s="295">
        <v>793</v>
      </c>
      <c r="E720" s="243">
        <v>16726</v>
      </c>
      <c r="F720" s="243">
        <f t="shared" si="35"/>
        <v>13263718</v>
      </c>
    </row>
    <row r="721" spans="1:7" s="9" customFormat="1" ht="42.6" customHeight="1" x14ac:dyDescent="0.25">
      <c r="A721" s="255">
        <v>20.7</v>
      </c>
      <c r="B721" s="254" t="s">
        <v>1027</v>
      </c>
      <c r="C721" s="240" t="s">
        <v>13</v>
      </c>
      <c r="D721" s="295">
        <v>40</v>
      </c>
      <c r="E721" s="243">
        <v>106605</v>
      </c>
      <c r="F721" s="243">
        <f t="shared" si="35"/>
        <v>4264200</v>
      </c>
    </row>
    <row r="722" spans="1:7" s="9" customFormat="1" ht="35.1" customHeight="1" x14ac:dyDescent="0.25">
      <c r="A722" s="255">
        <v>20.8</v>
      </c>
      <c r="B722" s="254" t="s">
        <v>1029</v>
      </c>
      <c r="C722" s="240" t="s">
        <v>13</v>
      </c>
      <c r="D722" s="295">
        <v>1316</v>
      </c>
      <c r="E722" s="243">
        <v>162722</v>
      </c>
      <c r="F722" s="243">
        <f t="shared" si="35"/>
        <v>214142152</v>
      </c>
    </row>
    <row r="723" spans="1:7" s="9" customFormat="1" ht="35.1" customHeight="1" x14ac:dyDescent="0.25">
      <c r="A723" s="255">
        <v>20.9</v>
      </c>
      <c r="B723" s="254" t="s">
        <v>1031</v>
      </c>
      <c r="C723" s="240" t="s">
        <v>13</v>
      </c>
      <c r="D723" s="295">
        <v>700</v>
      </c>
      <c r="E723" s="243">
        <v>36898</v>
      </c>
      <c r="F723" s="243">
        <f t="shared" si="35"/>
        <v>25828600</v>
      </c>
    </row>
    <row r="724" spans="1:7" ht="15" x14ac:dyDescent="0.25">
      <c r="A724" s="428" t="s">
        <v>1032</v>
      </c>
      <c r="B724" s="429"/>
      <c r="C724" s="429"/>
      <c r="D724" s="429"/>
      <c r="E724" s="430"/>
      <c r="F724" s="65">
        <f>SUM(F4:F723)</f>
        <v>12875260770.510004</v>
      </c>
      <c r="G724" s="1"/>
    </row>
    <row r="725" spans="1:7" x14ac:dyDescent="0.25">
      <c r="A725" s="425" t="s">
        <v>1034</v>
      </c>
      <c r="B725" s="425"/>
      <c r="C725" s="425"/>
      <c r="D725" s="219"/>
      <c r="E725" s="137">
        <v>0.19020000000000001</v>
      </c>
      <c r="F725" s="66">
        <f>ROUND(E725*F724,2)</f>
        <v>2448874598.5500002</v>
      </c>
    </row>
    <row r="726" spans="1:7" x14ac:dyDescent="0.25">
      <c r="A726" s="425" t="s">
        <v>1035</v>
      </c>
      <c r="B726" s="425"/>
      <c r="C726" s="425"/>
      <c r="D726" s="219"/>
      <c r="E726" s="137">
        <v>0.01</v>
      </c>
      <c r="F726" s="66">
        <f>ROUND(E726*F724,2)</f>
        <v>128752607.70999999</v>
      </c>
    </row>
    <row r="727" spans="1:7" x14ac:dyDescent="0.25">
      <c r="A727" s="425" t="s">
        <v>1036</v>
      </c>
      <c r="B727" s="425"/>
      <c r="C727" s="425"/>
      <c r="D727" s="219"/>
      <c r="E727" s="137">
        <v>0.05</v>
      </c>
      <c r="F727" s="66">
        <f>ROUND(E727*F724,2)</f>
        <v>643763038.52999997</v>
      </c>
    </row>
    <row r="728" spans="1:7" ht="15" x14ac:dyDescent="0.25">
      <c r="A728" s="431" t="s">
        <v>1033</v>
      </c>
      <c r="B728" s="432"/>
      <c r="C728" s="432"/>
      <c r="D728" s="432"/>
      <c r="E728" s="433"/>
      <c r="F728" s="67">
        <f>ROUND(F725+F726+F727,2)</f>
        <v>3221390244.79</v>
      </c>
    </row>
    <row r="729" spans="1:7" x14ac:dyDescent="0.25">
      <c r="A729" s="425" t="s">
        <v>1038</v>
      </c>
      <c r="B729" s="425"/>
      <c r="C729" s="425"/>
      <c r="D729" s="219"/>
      <c r="E729" s="137">
        <v>0.19</v>
      </c>
      <c r="F729" s="66">
        <f>ROUND(E729*F727,2)</f>
        <v>122314977.31999999</v>
      </c>
    </row>
    <row r="730" spans="1:7" x14ac:dyDescent="0.25">
      <c r="A730" s="426" t="s">
        <v>1039</v>
      </c>
      <c r="B730" s="426"/>
      <c r="C730" s="426"/>
      <c r="D730" s="220"/>
      <c r="E730" s="311"/>
      <c r="F730" s="65">
        <f>ROUND(F724+F728+F729,2)</f>
        <v>16218965992.620001</v>
      </c>
    </row>
    <row r="731" spans="1:7" ht="34.15" customHeight="1" x14ac:dyDescent="0.25">
      <c r="A731" s="425" t="s">
        <v>1418</v>
      </c>
      <c r="B731" s="425"/>
      <c r="C731" s="425"/>
      <c r="D731" s="434" t="s">
        <v>1419</v>
      </c>
      <c r="E731" s="435"/>
      <c r="F731" s="66">
        <v>32694791</v>
      </c>
    </row>
    <row r="732" spans="1:7" ht="20.45" customHeight="1" x14ac:dyDescent="0.25">
      <c r="A732" s="426" t="s">
        <v>1420</v>
      </c>
      <c r="B732" s="426"/>
      <c r="C732" s="426"/>
      <c r="D732" s="220"/>
      <c r="E732" s="311"/>
      <c r="F732" s="65">
        <f>+F731+F730</f>
        <v>16251660783.620001</v>
      </c>
    </row>
    <row r="733" spans="1:7" x14ac:dyDescent="0.25">
      <c r="D733" s="234"/>
    </row>
    <row r="734" spans="1:7" x14ac:dyDescent="0.25">
      <c r="D734" s="234"/>
    </row>
  </sheetData>
  <autoFilter ref="A2:F732" xr:uid="{00000000-0009-0000-0000-00000D000000}"/>
  <mergeCells count="11">
    <mergeCell ref="A732:C732"/>
    <mergeCell ref="A728:E728"/>
    <mergeCell ref="A724:E724"/>
    <mergeCell ref="A725:C725"/>
    <mergeCell ref="A726:C726"/>
    <mergeCell ref="A727:C727"/>
    <mergeCell ref="A1:F1"/>
    <mergeCell ref="A729:C729"/>
    <mergeCell ref="A730:C730"/>
    <mergeCell ref="A731:C731"/>
    <mergeCell ref="D731:E731"/>
  </mergeCells>
  <conditionalFormatting sqref="F729:F730 F4:F7 F12:F15 F17:F20 F133 F135:F136 F138:F142 F144:F147 F149 F152:F155 F157:F163 F165:F170 F172:F177 F180:F183 F185:F191 F193:F198 F200:F205 F207:F214 F216 F219 F221:F222 F224 F227:F229 F231:F232 F234 F236:F240 F242:F245 F247:F252 F254 F257:F285 F307:F314 F316:F329 F331:F334 F336:F338 F341:F353 F355:F369 F372:F387 F389:F393 F395:F398 F401:F406 F408:F409 F411:F420 F422:F424 F426:F441 F443:F444 F446:F452 F454 F456:F458 F460:F464 F466:F470 F472:F473 F475:F484 F486:F497 F499 F501:F505 F508:F516 F519:F533 F535:F542 F544:F551 F553:F589 F591:F596 F598:F611 F613:F617 F619:F629 F632:F635 F637 F639:F644 F646:F648 F650:F652 F654:F665 F667:F670 F672:F673 F676:F682 F684:F693 F695:F704 F706:F713 F724:F727 F22 F24:F25 F28:F29 F31:F33 F35:F39 F41:F42 F44:F46 F49:F50 F52:F53 F55:F56 F58:F61 F64:F70 F72:F73 F75:F80 F82:F87 F89:F94 F96:F101 F103:F105 F108:F110 F112:F113 F115:F119 F121:F123 F125:F127 F129:F130 F287:F305 F9 F2">
    <cfRule type="cellIs" dxfId="27" priority="5" operator="equal">
      <formula>0</formula>
    </cfRule>
  </conditionalFormatting>
  <conditionalFormatting sqref="F728">
    <cfRule type="cellIs" dxfId="26" priority="4" operator="equal">
      <formula>0</formula>
    </cfRule>
  </conditionalFormatting>
  <conditionalFormatting sqref="F715:F723">
    <cfRule type="cellIs" dxfId="25" priority="3" operator="equal">
      <formula>0</formula>
    </cfRule>
  </conditionalFormatting>
  <conditionalFormatting sqref="F732">
    <cfRule type="cellIs" dxfId="24" priority="2" operator="equal">
      <formula>0</formula>
    </cfRule>
  </conditionalFormatting>
  <conditionalFormatting sqref="F731">
    <cfRule type="cellIs" dxfId="23" priority="1" operator="equal">
      <formula>0</formula>
    </cfRule>
  </conditionalFormatting>
  <printOptions horizontalCentered="1"/>
  <pageMargins left="0.70866141732283472" right="0.70866141732283472" top="0.74803149606299213" bottom="0.74803149606299213" header="0.31496062992125984" footer="0.31496062992125984"/>
  <pageSetup scale="46" orientation="portrait" r:id="rId1"/>
  <rowBreaks count="1" manualBreakCount="1">
    <brk id="688" max="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739"/>
  <sheetViews>
    <sheetView showZeros="0" tabSelected="1" view="pageBreakPreview" topLeftCell="A19" zoomScaleNormal="91" zoomScaleSheetLayoutView="100" workbookViewId="0">
      <selection activeCell="I727" sqref="I727"/>
    </sheetView>
  </sheetViews>
  <sheetFormatPr baseColWidth="10" defaultColWidth="11.42578125" defaultRowHeight="16.5" x14ac:dyDescent="0.25"/>
  <cols>
    <col min="1" max="1" width="9" style="215" customWidth="1"/>
    <col min="2" max="2" width="62" style="215" customWidth="1"/>
    <col min="3" max="3" width="10.28515625" style="215" customWidth="1"/>
    <col min="4" max="4" width="15.42578125" style="331" customWidth="1"/>
    <col min="5" max="6" width="21.42578125" customWidth="1"/>
    <col min="7" max="7" width="16.140625" customWidth="1"/>
  </cols>
  <sheetData>
    <row r="1" spans="1:7" ht="23.45" customHeight="1" x14ac:dyDescent="0.25">
      <c r="A1" s="447" t="s">
        <v>1417</v>
      </c>
      <c r="B1" s="447"/>
      <c r="C1" s="447"/>
      <c r="D1" s="447"/>
      <c r="E1" s="447"/>
      <c r="F1" s="447"/>
    </row>
    <row r="2" spans="1:7" ht="23.45" hidden="1" customHeight="1" x14ac:dyDescent="0.25">
      <c r="A2" s="373"/>
      <c r="B2" s="373"/>
      <c r="C2" s="373"/>
      <c r="D2" s="373"/>
      <c r="E2" s="447" t="s">
        <v>1428</v>
      </c>
      <c r="F2" s="447"/>
    </row>
    <row r="3" spans="1:7" ht="27" customHeight="1" x14ac:dyDescent="0.25">
      <c r="A3" s="70" t="s">
        <v>1</v>
      </c>
      <c r="B3" s="70" t="s">
        <v>2</v>
      </c>
      <c r="C3" s="70" t="s">
        <v>3</v>
      </c>
      <c r="D3" s="374" t="s">
        <v>1047</v>
      </c>
      <c r="E3" s="375" t="s">
        <v>5</v>
      </c>
      <c r="F3" s="70" t="s">
        <v>6</v>
      </c>
    </row>
    <row r="4" spans="1:7" s="354" customFormat="1" ht="35.1" customHeight="1" x14ac:dyDescent="0.25">
      <c r="A4" s="376" t="s">
        <v>9</v>
      </c>
      <c r="B4" s="377" t="s">
        <v>10</v>
      </c>
      <c r="C4" s="378"/>
      <c r="D4" s="379"/>
      <c r="E4" s="380"/>
      <c r="F4" s="380"/>
    </row>
    <row r="5" spans="1:7" s="9" customFormat="1" ht="35.1" customHeight="1" x14ac:dyDescent="0.25">
      <c r="A5" s="381" t="s">
        <v>11</v>
      </c>
      <c r="B5" s="382" t="s">
        <v>12</v>
      </c>
      <c r="C5" s="381" t="s">
        <v>13</v>
      </c>
      <c r="D5" s="383">
        <v>545</v>
      </c>
      <c r="E5" s="384">
        <v>27259</v>
      </c>
      <c r="F5" s="384">
        <f>ROUND(D5*E5,2)</f>
        <v>14856155</v>
      </c>
      <c r="G5" s="418"/>
    </row>
    <row r="6" spans="1:7" s="9" customFormat="1" ht="35.1" customHeight="1" x14ac:dyDescent="0.25">
      <c r="A6" s="381" t="s">
        <v>1049</v>
      </c>
      <c r="B6" s="382" t="s">
        <v>1050</v>
      </c>
      <c r="C6" s="381" t="s">
        <v>13</v>
      </c>
      <c r="D6" s="383">
        <v>580</v>
      </c>
      <c r="E6" s="384">
        <v>3577</v>
      </c>
      <c r="F6" s="384">
        <f t="shared" ref="F6:F8" si="0">ROUND(D6*E6,2)</f>
        <v>2074660</v>
      </c>
    </row>
    <row r="7" spans="1:7" s="9" customFormat="1" ht="35.1" customHeight="1" x14ac:dyDescent="0.25">
      <c r="A7" s="381" t="s">
        <v>1051</v>
      </c>
      <c r="B7" s="382" t="s">
        <v>1052</v>
      </c>
      <c r="C7" s="381" t="s">
        <v>94</v>
      </c>
      <c r="D7" s="383">
        <v>40</v>
      </c>
      <c r="E7" s="384">
        <v>34631</v>
      </c>
      <c r="F7" s="384">
        <f t="shared" si="0"/>
        <v>1385240</v>
      </c>
    </row>
    <row r="8" spans="1:7" s="9" customFormat="1" ht="35.1" customHeight="1" x14ac:dyDescent="0.25">
      <c r="A8" s="381" t="s">
        <v>14</v>
      </c>
      <c r="B8" s="382" t="s">
        <v>15</v>
      </c>
      <c r="C8" s="381" t="s">
        <v>16</v>
      </c>
      <c r="D8" s="383">
        <v>8</v>
      </c>
      <c r="E8" s="384">
        <v>36172</v>
      </c>
      <c r="F8" s="384">
        <f t="shared" si="0"/>
        <v>289376</v>
      </c>
    </row>
    <row r="9" spans="1:7" s="357" customFormat="1" ht="35.1" customHeight="1" x14ac:dyDescent="0.25">
      <c r="A9" s="385" t="s">
        <v>19</v>
      </c>
      <c r="B9" s="386" t="s">
        <v>20</v>
      </c>
      <c r="C9" s="385"/>
      <c r="D9" s="387"/>
      <c r="E9" s="388">
        <v>0</v>
      </c>
      <c r="F9" s="388">
        <f>D9*E9</f>
        <v>0</v>
      </c>
    </row>
    <row r="10" spans="1:7" s="9" customFormat="1" ht="35.1" customHeight="1" x14ac:dyDescent="0.25">
      <c r="A10" s="381" t="s">
        <v>23</v>
      </c>
      <c r="B10" s="382" t="s">
        <v>1058</v>
      </c>
      <c r="C10" s="381" t="s">
        <v>13</v>
      </c>
      <c r="D10" s="383">
        <v>151</v>
      </c>
      <c r="E10" s="384">
        <v>13520</v>
      </c>
      <c r="F10" s="384">
        <f>ROUND(D10*E10,2)</f>
        <v>2041520</v>
      </c>
    </row>
    <row r="11" spans="1:7" s="354" customFormat="1" ht="35.1" customHeight="1" x14ac:dyDescent="0.25">
      <c r="A11" s="389">
        <v>2</v>
      </c>
      <c r="B11" s="390" t="s">
        <v>25</v>
      </c>
      <c r="C11" s="390"/>
      <c r="D11" s="391"/>
      <c r="E11" s="392">
        <v>0</v>
      </c>
      <c r="F11" s="392">
        <f>D11*E11</f>
        <v>0</v>
      </c>
    </row>
    <row r="12" spans="1:7" s="357" customFormat="1" ht="35.1" customHeight="1" x14ac:dyDescent="0.25">
      <c r="A12" s="385" t="s">
        <v>26</v>
      </c>
      <c r="B12" s="386" t="s">
        <v>27</v>
      </c>
      <c r="C12" s="385"/>
      <c r="D12" s="387"/>
      <c r="E12" s="388">
        <v>0</v>
      </c>
      <c r="F12" s="388">
        <f>D12*E12</f>
        <v>0</v>
      </c>
    </row>
    <row r="13" spans="1:7" s="9" customFormat="1" ht="35.1" customHeight="1" x14ac:dyDescent="0.25">
      <c r="A13" s="381" t="s">
        <v>28</v>
      </c>
      <c r="B13" s="382" t="s">
        <v>29</v>
      </c>
      <c r="C13" s="381" t="s">
        <v>30</v>
      </c>
      <c r="D13" s="383">
        <v>400</v>
      </c>
      <c r="E13" s="384">
        <v>32648</v>
      </c>
      <c r="F13" s="384">
        <f t="shared" ref="F13:F16" si="1">ROUND(D13*E13,2)</f>
        <v>13059200</v>
      </c>
    </row>
    <row r="14" spans="1:7" s="9" customFormat="1" ht="35.1" customHeight="1" x14ac:dyDescent="0.25">
      <c r="A14" s="381" t="s">
        <v>31</v>
      </c>
      <c r="B14" s="382" t="s">
        <v>32</v>
      </c>
      <c r="C14" s="381" t="s">
        <v>30</v>
      </c>
      <c r="D14" s="383">
        <v>357.4</v>
      </c>
      <c r="E14" s="384">
        <v>41241</v>
      </c>
      <c r="F14" s="384">
        <f t="shared" si="1"/>
        <v>14739533.4</v>
      </c>
    </row>
    <row r="15" spans="1:7" s="9" customFormat="1" ht="35.1" customHeight="1" x14ac:dyDescent="0.25">
      <c r="A15" s="381" t="s">
        <v>33</v>
      </c>
      <c r="B15" s="393" t="s">
        <v>34</v>
      </c>
      <c r="C15" s="381" t="s">
        <v>30</v>
      </c>
      <c r="D15" s="383">
        <v>580.17999999999995</v>
      </c>
      <c r="E15" s="384">
        <v>12898</v>
      </c>
      <c r="F15" s="384">
        <f t="shared" si="1"/>
        <v>7483161.6399999997</v>
      </c>
    </row>
    <row r="16" spans="1:7" s="9" customFormat="1" ht="35.1" customHeight="1" x14ac:dyDescent="0.25">
      <c r="A16" s="381" t="s">
        <v>35</v>
      </c>
      <c r="B16" s="382" t="s">
        <v>36</v>
      </c>
      <c r="C16" s="381" t="s">
        <v>30</v>
      </c>
      <c r="D16" s="383">
        <v>193.03</v>
      </c>
      <c r="E16" s="384">
        <v>64933</v>
      </c>
      <c r="F16" s="384">
        <f t="shared" si="1"/>
        <v>12534016.99</v>
      </c>
    </row>
    <row r="17" spans="1:6" s="357" customFormat="1" ht="35.1" customHeight="1" x14ac:dyDescent="0.25">
      <c r="A17" s="385" t="s">
        <v>37</v>
      </c>
      <c r="B17" s="386" t="s">
        <v>38</v>
      </c>
      <c r="C17" s="385"/>
      <c r="D17" s="385"/>
      <c r="E17" s="388">
        <v>0</v>
      </c>
      <c r="F17" s="388">
        <f>D17*E17</f>
        <v>0</v>
      </c>
    </row>
    <row r="18" spans="1:6" s="9" customFormat="1" ht="35.1" customHeight="1" x14ac:dyDescent="0.25">
      <c r="A18" s="394" t="s">
        <v>39</v>
      </c>
      <c r="B18" s="395" t="s">
        <v>40</v>
      </c>
      <c r="C18" s="396" t="s">
        <v>13</v>
      </c>
      <c r="D18" s="383">
        <v>1183.6300000000001</v>
      </c>
      <c r="E18" s="384">
        <v>26251</v>
      </c>
      <c r="F18" s="384">
        <f t="shared" ref="F18:F21" si="2">ROUND(D18*E18,2)</f>
        <v>31071471.129999999</v>
      </c>
    </row>
    <row r="19" spans="1:6" s="9" customFormat="1" ht="35.1" customHeight="1" x14ac:dyDescent="0.25">
      <c r="A19" s="394" t="s">
        <v>41</v>
      </c>
      <c r="B19" s="382" t="s">
        <v>42</v>
      </c>
      <c r="C19" s="381" t="s">
        <v>30</v>
      </c>
      <c r="D19" s="383">
        <v>82.48</v>
      </c>
      <c r="E19" s="384">
        <v>710160</v>
      </c>
      <c r="F19" s="384">
        <f t="shared" si="2"/>
        <v>58573996.799999997</v>
      </c>
    </row>
    <row r="20" spans="1:6" s="9" customFormat="1" ht="35.1" customHeight="1" x14ac:dyDescent="0.25">
      <c r="A20" s="394" t="s">
        <v>43</v>
      </c>
      <c r="B20" s="382" t="s">
        <v>44</v>
      </c>
      <c r="C20" s="381" t="s">
        <v>30</v>
      </c>
      <c r="D20" s="383">
        <v>81.540000000000006</v>
      </c>
      <c r="E20" s="384">
        <v>710160</v>
      </c>
      <c r="F20" s="384">
        <f t="shared" si="2"/>
        <v>57906446.399999999</v>
      </c>
    </row>
    <row r="21" spans="1:6" s="9" customFormat="1" ht="35.1" customHeight="1" x14ac:dyDescent="0.25">
      <c r="A21" s="394" t="s">
        <v>45</v>
      </c>
      <c r="B21" s="382" t="s">
        <v>46</v>
      </c>
      <c r="C21" s="381" t="s">
        <v>30</v>
      </c>
      <c r="D21" s="383">
        <v>47.93</v>
      </c>
      <c r="E21" s="384">
        <v>820300</v>
      </c>
      <c r="F21" s="384">
        <f t="shared" si="2"/>
        <v>39316979</v>
      </c>
    </row>
    <row r="22" spans="1:6" s="357" customFormat="1" ht="35.1" customHeight="1" x14ac:dyDescent="0.25">
      <c r="A22" s="385" t="s">
        <v>47</v>
      </c>
      <c r="B22" s="386" t="s">
        <v>1059</v>
      </c>
      <c r="C22" s="385"/>
      <c r="D22" s="385"/>
      <c r="E22" s="388">
        <v>0</v>
      </c>
      <c r="F22" s="388">
        <f>D22*E22</f>
        <v>0</v>
      </c>
    </row>
    <row r="23" spans="1:6" s="9" customFormat="1" ht="35.1" customHeight="1" x14ac:dyDescent="0.25">
      <c r="A23" s="396" t="s">
        <v>49</v>
      </c>
      <c r="B23" s="382" t="s">
        <v>50</v>
      </c>
      <c r="C23" s="381" t="s">
        <v>30</v>
      </c>
      <c r="D23" s="383">
        <v>64.319999999999993</v>
      </c>
      <c r="E23" s="384">
        <v>847343</v>
      </c>
      <c r="F23" s="384">
        <f>ROUND(D23*E23,2)</f>
        <v>54501101.759999998</v>
      </c>
    </row>
    <row r="24" spans="1:6" s="357" customFormat="1" ht="35.1" customHeight="1" x14ac:dyDescent="0.25">
      <c r="A24" s="385" t="s">
        <v>51</v>
      </c>
      <c r="B24" s="397" t="s">
        <v>52</v>
      </c>
      <c r="C24" s="397"/>
      <c r="D24" s="385"/>
      <c r="E24" s="388">
        <v>0</v>
      </c>
      <c r="F24" s="388">
        <f>D24*E24</f>
        <v>0</v>
      </c>
    </row>
    <row r="25" spans="1:6" s="9" customFormat="1" ht="35.1" customHeight="1" x14ac:dyDescent="0.25">
      <c r="A25" s="381" t="s">
        <v>53</v>
      </c>
      <c r="B25" s="382" t="s">
        <v>54</v>
      </c>
      <c r="C25" s="381" t="s">
        <v>55</v>
      </c>
      <c r="D25" s="383">
        <v>24851.95</v>
      </c>
      <c r="E25" s="384">
        <v>5257</v>
      </c>
      <c r="F25" s="384">
        <f t="shared" ref="F25:F26" si="3">ROUND(D25*E25,2)</f>
        <v>130646701.15000001</v>
      </c>
    </row>
    <row r="26" spans="1:6" s="9" customFormat="1" ht="35.1" customHeight="1" x14ac:dyDescent="0.25">
      <c r="A26" s="394" t="s">
        <v>56</v>
      </c>
      <c r="B26" s="382" t="s">
        <v>57</v>
      </c>
      <c r="C26" s="381" t="s">
        <v>13</v>
      </c>
      <c r="D26" s="383">
        <v>2113.6</v>
      </c>
      <c r="E26" s="384">
        <v>7886</v>
      </c>
      <c r="F26" s="384">
        <f t="shared" si="3"/>
        <v>16667849.6</v>
      </c>
    </row>
    <row r="27" spans="1:6" s="354" customFormat="1" ht="35.1" customHeight="1" x14ac:dyDescent="0.25">
      <c r="A27" s="389">
        <v>3</v>
      </c>
      <c r="B27" s="390" t="s">
        <v>58</v>
      </c>
      <c r="C27" s="390"/>
      <c r="D27" s="398"/>
      <c r="E27" s="392">
        <v>0</v>
      </c>
      <c r="F27" s="392">
        <f>D27*E27</f>
        <v>0</v>
      </c>
    </row>
    <row r="28" spans="1:6" s="357" customFormat="1" ht="35.1" customHeight="1" x14ac:dyDescent="0.25">
      <c r="A28" s="385" t="s">
        <v>59</v>
      </c>
      <c r="B28" s="386" t="s">
        <v>60</v>
      </c>
      <c r="C28" s="385"/>
      <c r="D28" s="385"/>
      <c r="E28" s="388">
        <v>0</v>
      </c>
      <c r="F28" s="388">
        <f>D28*E28</f>
        <v>0</v>
      </c>
    </row>
    <row r="29" spans="1:6" s="9" customFormat="1" ht="35.1" customHeight="1" x14ac:dyDescent="0.25">
      <c r="A29" s="396" t="s">
        <v>61</v>
      </c>
      <c r="B29" s="382" t="s">
        <v>62</v>
      </c>
      <c r="C29" s="381" t="s">
        <v>30</v>
      </c>
      <c r="D29" s="383">
        <v>272.72000000000003</v>
      </c>
      <c r="E29" s="384">
        <v>836389</v>
      </c>
      <c r="F29" s="384">
        <f t="shared" ref="F29:F30" si="4">ROUND(D29*E29,2)</f>
        <v>228100008.08000001</v>
      </c>
    </row>
    <row r="30" spans="1:6" s="9" customFormat="1" ht="35.1" customHeight="1" x14ac:dyDescent="0.25">
      <c r="A30" s="396" t="s">
        <v>63</v>
      </c>
      <c r="B30" s="382" t="s">
        <v>64</v>
      </c>
      <c r="C30" s="381" t="s">
        <v>30</v>
      </c>
      <c r="D30" s="383">
        <v>168.21</v>
      </c>
      <c r="E30" s="384">
        <v>836389</v>
      </c>
      <c r="F30" s="384">
        <f t="shared" si="4"/>
        <v>140688993.69</v>
      </c>
    </row>
    <row r="31" spans="1:6" s="357" customFormat="1" ht="35.1" customHeight="1" x14ac:dyDescent="0.25">
      <c r="A31" s="385" t="s">
        <v>65</v>
      </c>
      <c r="B31" s="386" t="s">
        <v>66</v>
      </c>
      <c r="C31" s="385"/>
      <c r="D31" s="385"/>
      <c r="E31" s="388">
        <v>0</v>
      </c>
      <c r="F31" s="388">
        <f>D31*E31</f>
        <v>0</v>
      </c>
    </row>
    <row r="32" spans="1:6" s="9" customFormat="1" ht="35.1" customHeight="1" x14ac:dyDescent="0.25">
      <c r="A32" s="394" t="s">
        <v>67</v>
      </c>
      <c r="B32" s="382" t="s">
        <v>1060</v>
      </c>
      <c r="C32" s="396" t="s">
        <v>30</v>
      </c>
      <c r="D32" s="383">
        <v>2128.8200000000002</v>
      </c>
      <c r="E32" s="384">
        <v>934576</v>
      </c>
      <c r="F32" s="384">
        <f t="shared" ref="F32:F34" si="5">ROUND(D32*E32,2)</f>
        <v>1989544080.3199999</v>
      </c>
    </row>
    <row r="33" spans="1:6" s="9" customFormat="1" ht="35.1" customHeight="1" x14ac:dyDescent="0.25">
      <c r="A33" s="394" t="s">
        <v>69</v>
      </c>
      <c r="B33" s="382" t="s">
        <v>70</v>
      </c>
      <c r="C33" s="396" t="s">
        <v>13</v>
      </c>
      <c r="D33" s="383">
        <v>1816.6</v>
      </c>
      <c r="E33" s="384">
        <v>100981</v>
      </c>
      <c r="F33" s="384">
        <f t="shared" si="5"/>
        <v>183442084.59999999</v>
      </c>
    </row>
    <row r="34" spans="1:6" s="9" customFormat="1" ht="35.1" customHeight="1" x14ac:dyDescent="0.25">
      <c r="A34" s="394" t="s">
        <v>71</v>
      </c>
      <c r="B34" s="382" t="s">
        <v>72</v>
      </c>
      <c r="C34" s="396" t="s">
        <v>30</v>
      </c>
      <c r="D34" s="383">
        <v>8.9</v>
      </c>
      <c r="E34" s="384">
        <v>814546</v>
      </c>
      <c r="F34" s="384">
        <f t="shared" si="5"/>
        <v>7249459.4000000004</v>
      </c>
    </row>
    <row r="35" spans="1:6" s="357" customFormat="1" ht="35.1" customHeight="1" x14ac:dyDescent="0.25">
      <c r="A35" s="385" t="s">
        <v>73</v>
      </c>
      <c r="B35" s="386" t="s">
        <v>74</v>
      </c>
      <c r="C35" s="385"/>
      <c r="D35" s="385"/>
      <c r="E35" s="388">
        <v>0</v>
      </c>
      <c r="F35" s="388">
        <f>D35*E35</f>
        <v>0</v>
      </c>
    </row>
    <row r="36" spans="1:6" s="9" customFormat="1" ht="35.1" customHeight="1" x14ac:dyDescent="0.25">
      <c r="A36" s="394" t="s">
        <v>75</v>
      </c>
      <c r="B36" s="382" t="s">
        <v>76</v>
      </c>
      <c r="C36" s="396" t="s">
        <v>30</v>
      </c>
      <c r="D36" s="383">
        <v>84.3</v>
      </c>
      <c r="E36" s="384">
        <v>820300</v>
      </c>
      <c r="F36" s="384">
        <f t="shared" ref="F36:F40" si="6">ROUND(D36*E36,2)</f>
        <v>69151290</v>
      </c>
    </row>
    <row r="37" spans="1:6" s="9" customFormat="1" ht="35.1" customHeight="1" x14ac:dyDescent="0.25">
      <c r="A37" s="394" t="s">
        <v>77</v>
      </c>
      <c r="B37" s="382" t="s">
        <v>78</v>
      </c>
      <c r="C37" s="396" t="s">
        <v>30</v>
      </c>
      <c r="D37" s="383">
        <v>124.9</v>
      </c>
      <c r="E37" s="384">
        <v>791138</v>
      </c>
      <c r="F37" s="384">
        <f t="shared" si="6"/>
        <v>98813136.200000003</v>
      </c>
    </row>
    <row r="38" spans="1:6" s="9" customFormat="1" ht="35.1" customHeight="1" x14ac:dyDescent="0.25">
      <c r="A38" s="394" t="s">
        <v>79</v>
      </c>
      <c r="B38" s="382" t="s">
        <v>80</v>
      </c>
      <c r="C38" s="381" t="s">
        <v>30</v>
      </c>
      <c r="D38" s="383">
        <v>34.700000000000003</v>
      </c>
      <c r="E38" s="384">
        <v>939577</v>
      </c>
      <c r="F38" s="384">
        <f t="shared" si="6"/>
        <v>32603321.899999999</v>
      </c>
    </row>
    <row r="39" spans="1:6" s="9" customFormat="1" ht="35.1" customHeight="1" x14ac:dyDescent="0.25">
      <c r="A39" s="394" t="s">
        <v>81</v>
      </c>
      <c r="B39" s="382" t="s">
        <v>82</v>
      </c>
      <c r="C39" s="381" t="s">
        <v>30</v>
      </c>
      <c r="D39" s="383">
        <v>19</v>
      </c>
      <c r="E39" s="384">
        <v>939577</v>
      </c>
      <c r="F39" s="384">
        <f t="shared" si="6"/>
        <v>17851963</v>
      </c>
    </row>
    <row r="40" spans="1:6" s="9" customFormat="1" ht="35.1" customHeight="1" x14ac:dyDescent="0.25">
      <c r="A40" s="394" t="s">
        <v>83</v>
      </c>
      <c r="B40" s="382" t="s">
        <v>84</v>
      </c>
      <c r="C40" s="396" t="s">
        <v>30</v>
      </c>
      <c r="D40" s="383">
        <v>72</v>
      </c>
      <c r="E40" s="384">
        <v>879210</v>
      </c>
      <c r="F40" s="384">
        <f t="shared" si="6"/>
        <v>63303120</v>
      </c>
    </row>
    <row r="41" spans="1:6" s="357" customFormat="1" ht="35.1" customHeight="1" x14ac:dyDescent="0.25">
      <c r="A41" s="385" t="s">
        <v>85</v>
      </c>
      <c r="B41" s="397" t="s">
        <v>86</v>
      </c>
      <c r="C41" s="397"/>
      <c r="D41" s="385"/>
      <c r="E41" s="388">
        <v>0</v>
      </c>
      <c r="F41" s="388">
        <f>D41*E41</f>
        <v>0</v>
      </c>
    </row>
    <row r="42" spans="1:6" s="9" customFormat="1" ht="35.1" customHeight="1" x14ac:dyDescent="0.25">
      <c r="A42" s="381" t="s">
        <v>87</v>
      </c>
      <c r="B42" s="393" t="s">
        <v>54</v>
      </c>
      <c r="C42" s="381" t="s">
        <v>55</v>
      </c>
      <c r="D42" s="383">
        <v>218958.88</v>
      </c>
      <c r="E42" s="384">
        <v>5257</v>
      </c>
      <c r="F42" s="384">
        <f t="shared" ref="F42:F43" si="7">ROUND(D42*E42,2)</f>
        <v>1151066832.1600001</v>
      </c>
    </row>
    <row r="43" spans="1:6" s="9" customFormat="1" ht="35.1" customHeight="1" x14ac:dyDescent="0.25">
      <c r="A43" s="394" t="s">
        <v>88</v>
      </c>
      <c r="B43" s="395" t="s">
        <v>89</v>
      </c>
      <c r="C43" s="381" t="s">
        <v>13</v>
      </c>
      <c r="D43" s="383">
        <v>7158.21</v>
      </c>
      <c r="E43" s="384">
        <v>7886</v>
      </c>
      <c r="F43" s="384">
        <f t="shared" si="7"/>
        <v>56449644.060000002</v>
      </c>
    </row>
    <row r="44" spans="1:6" s="357" customFormat="1" ht="35.1" customHeight="1" x14ac:dyDescent="0.25">
      <c r="A44" s="385" t="s">
        <v>90</v>
      </c>
      <c r="B44" s="397" t="s">
        <v>91</v>
      </c>
      <c r="C44" s="397"/>
      <c r="D44" s="385"/>
      <c r="E44" s="388">
        <v>0</v>
      </c>
      <c r="F44" s="388">
        <f>D44*E44</f>
        <v>0</v>
      </c>
    </row>
    <row r="45" spans="1:6" s="9" customFormat="1" ht="35.1" customHeight="1" x14ac:dyDescent="0.25">
      <c r="A45" s="381" t="s">
        <v>92</v>
      </c>
      <c r="B45" s="393" t="s">
        <v>93</v>
      </c>
      <c r="C45" s="381" t="s">
        <v>94</v>
      </c>
      <c r="D45" s="383">
        <v>208.1</v>
      </c>
      <c r="E45" s="384">
        <v>112869</v>
      </c>
      <c r="F45" s="384">
        <f t="shared" ref="F45:F47" si="8">ROUND(D45*E45,2)</f>
        <v>23488038.899999999</v>
      </c>
    </row>
    <row r="46" spans="1:6" s="9" customFormat="1" ht="35.1" customHeight="1" x14ac:dyDescent="0.25">
      <c r="A46" s="381" t="s">
        <v>95</v>
      </c>
      <c r="B46" s="393" t="s">
        <v>96</v>
      </c>
      <c r="C46" s="381" t="s">
        <v>94</v>
      </c>
      <c r="D46" s="383">
        <v>1268.5999999999999</v>
      </c>
      <c r="E46" s="384">
        <v>80752</v>
      </c>
      <c r="F46" s="384">
        <f t="shared" si="8"/>
        <v>102441987.2</v>
      </c>
    </row>
    <row r="47" spans="1:6" s="9" customFormat="1" ht="35.1" customHeight="1" x14ac:dyDescent="0.25">
      <c r="A47" s="381" t="s">
        <v>97</v>
      </c>
      <c r="B47" s="395" t="s">
        <v>98</v>
      </c>
      <c r="C47" s="396" t="s">
        <v>13</v>
      </c>
      <c r="D47" s="383">
        <v>996.5</v>
      </c>
      <c r="E47" s="384">
        <v>106773</v>
      </c>
      <c r="F47" s="384">
        <f t="shared" si="8"/>
        <v>106399294.5</v>
      </c>
    </row>
    <row r="48" spans="1:6" s="354" customFormat="1" ht="35.1" customHeight="1" x14ac:dyDescent="0.25">
      <c r="A48" s="389">
        <v>4</v>
      </c>
      <c r="B48" s="390" t="s">
        <v>99</v>
      </c>
      <c r="C48" s="390"/>
      <c r="D48" s="398"/>
      <c r="E48" s="392">
        <v>0</v>
      </c>
      <c r="F48" s="392">
        <f>D48*E48</f>
        <v>0</v>
      </c>
    </row>
    <row r="49" spans="1:6" s="357" customFormat="1" ht="35.1" customHeight="1" x14ac:dyDescent="0.25">
      <c r="A49" s="385" t="s">
        <v>100</v>
      </c>
      <c r="B49" s="386" t="s">
        <v>101</v>
      </c>
      <c r="C49" s="399"/>
      <c r="D49" s="385"/>
      <c r="E49" s="388">
        <v>0</v>
      </c>
      <c r="F49" s="388">
        <f>D49*E49</f>
        <v>0</v>
      </c>
    </row>
    <row r="50" spans="1:6" s="9" customFormat="1" ht="35.1" customHeight="1" x14ac:dyDescent="0.25">
      <c r="A50" s="396" t="s">
        <v>102</v>
      </c>
      <c r="B50" s="395" t="s">
        <v>1062</v>
      </c>
      <c r="C50" s="396" t="s">
        <v>13</v>
      </c>
      <c r="D50" s="383">
        <v>59.86</v>
      </c>
      <c r="E50" s="384">
        <v>54347</v>
      </c>
      <c r="F50" s="384">
        <f t="shared" ref="F50:F51" si="9">ROUND(D50*E50,2)</f>
        <v>3253211.42</v>
      </c>
    </row>
    <row r="51" spans="1:6" s="9" customFormat="1" ht="35.1" customHeight="1" x14ac:dyDescent="0.25">
      <c r="A51" s="396" t="s">
        <v>104</v>
      </c>
      <c r="B51" s="395" t="s">
        <v>105</v>
      </c>
      <c r="C51" s="396" t="s">
        <v>13</v>
      </c>
      <c r="D51" s="383">
        <v>388.43</v>
      </c>
      <c r="E51" s="384">
        <v>54347</v>
      </c>
      <c r="F51" s="384">
        <f t="shared" si="9"/>
        <v>21110005.210000001</v>
      </c>
    </row>
    <row r="52" spans="1:6" s="357" customFormat="1" ht="35.1" customHeight="1" x14ac:dyDescent="0.25">
      <c r="A52" s="385" t="s">
        <v>1063</v>
      </c>
      <c r="B52" s="386" t="s">
        <v>1064</v>
      </c>
      <c r="C52" s="399"/>
      <c r="D52" s="385"/>
      <c r="E52" s="388">
        <v>0</v>
      </c>
      <c r="F52" s="388">
        <f>D52*E52</f>
        <v>0</v>
      </c>
    </row>
    <row r="53" spans="1:6" s="9" customFormat="1" ht="49.15" customHeight="1" x14ac:dyDescent="0.25">
      <c r="A53" s="396" t="s">
        <v>1065</v>
      </c>
      <c r="B53" s="395" t="s">
        <v>103</v>
      </c>
      <c r="C53" s="396" t="s">
        <v>13</v>
      </c>
      <c r="D53" s="383">
        <v>68.989999999999995</v>
      </c>
      <c r="E53" s="384">
        <v>54347</v>
      </c>
      <c r="F53" s="384">
        <f t="shared" ref="F53:F54" si="10">ROUND(D53*E53,2)</f>
        <v>3749399.53</v>
      </c>
    </row>
    <row r="54" spans="1:6" s="9" customFormat="1" ht="35.1" customHeight="1" x14ac:dyDescent="0.25">
      <c r="A54" s="396" t="s">
        <v>1066</v>
      </c>
      <c r="B54" s="395" t="s">
        <v>105</v>
      </c>
      <c r="C54" s="396" t="s">
        <v>13</v>
      </c>
      <c r="D54" s="383">
        <v>701.75</v>
      </c>
      <c r="E54" s="384">
        <v>54347</v>
      </c>
      <c r="F54" s="384">
        <f t="shared" si="10"/>
        <v>38138007.25</v>
      </c>
    </row>
    <row r="55" spans="1:6" s="357" customFormat="1" ht="35.1" customHeight="1" x14ac:dyDescent="0.25">
      <c r="A55" s="385" t="s">
        <v>1067</v>
      </c>
      <c r="B55" s="386" t="s">
        <v>1068</v>
      </c>
      <c r="C55" s="399"/>
      <c r="D55" s="385"/>
      <c r="E55" s="388">
        <v>0</v>
      </c>
      <c r="F55" s="388">
        <f>D55*E55</f>
        <v>0</v>
      </c>
    </row>
    <row r="56" spans="1:6" s="9" customFormat="1" ht="46.15" customHeight="1" x14ac:dyDescent="0.25">
      <c r="A56" s="396" t="s">
        <v>1069</v>
      </c>
      <c r="B56" s="395" t="s">
        <v>103</v>
      </c>
      <c r="C56" s="396" t="s">
        <v>13</v>
      </c>
      <c r="D56" s="383">
        <v>68.989999999999995</v>
      </c>
      <c r="E56" s="384">
        <v>75207</v>
      </c>
      <c r="F56" s="384">
        <f t="shared" ref="F56:F57" si="11">ROUND(D56*E56,2)</f>
        <v>5188530.93</v>
      </c>
    </row>
    <row r="57" spans="1:6" s="9" customFormat="1" ht="35.1" customHeight="1" x14ac:dyDescent="0.25">
      <c r="A57" s="396" t="s">
        <v>1070</v>
      </c>
      <c r="B57" s="395" t="s">
        <v>105</v>
      </c>
      <c r="C57" s="396" t="s">
        <v>13</v>
      </c>
      <c r="D57" s="383">
        <v>565.59</v>
      </c>
      <c r="E57" s="384">
        <v>71218</v>
      </c>
      <c r="F57" s="384">
        <f t="shared" si="11"/>
        <v>40280188.619999997</v>
      </c>
    </row>
    <row r="58" spans="1:6" s="357" customFormat="1" ht="35.1" customHeight="1" x14ac:dyDescent="0.25">
      <c r="A58" s="400" t="s">
        <v>1071</v>
      </c>
      <c r="B58" s="386" t="s">
        <v>1072</v>
      </c>
      <c r="C58" s="399"/>
      <c r="D58" s="385"/>
      <c r="E58" s="388">
        <v>0</v>
      </c>
      <c r="F58" s="388">
        <f>D58*E58</f>
        <v>0</v>
      </c>
    </row>
    <row r="59" spans="1:6" s="9" customFormat="1" ht="50.45" customHeight="1" x14ac:dyDescent="0.25">
      <c r="A59" s="396" t="s">
        <v>1073</v>
      </c>
      <c r="B59" s="395" t="s">
        <v>103</v>
      </c>
      <c r="C59" s="396" t="s">
        <v>13</v>
      </c>
      <c r="D59" s="383">
        <v>51.89</v>
      </c>
      <c r="E59" s="384">
        <v>75207</v>
      </c>
      <c r="F59" s="384">
        <f t="shared" ref="F59:F62" si="12">ROUND(D59*E59,2)</f>
        <v>3902491.23</v>
      </c>
    </row>
    <row r="60" spans="1:6" s="9" customFormat="1" ht="35.1" customHeight="1" x14ac:dyDescent="0.25">
      <c r="A60" s="396" t="s">
        <v>1074</v>
      </c>
      <c r="B60" s="395" t="s">
        <v>105</v>
      </c>
      <c r="C60" s="396" t="s">
        <v>13</v>
      </c>
      <c r="D60" s="383">
        <v>1250.28</v>
      </c>
      <c r="E60" s="384">
        <v>71218</v>
      </c>
      <c r="F60" s="384">
        <f t="shared" si="12"/>
        <v>89042441.040000007</v>
      </c>
    </row>
    <row r="61" spans="1:6" s="9" customFormat="1" ht="35.1" customHeight="1" x14ac:dyDescent="0.25">
      <c r="A61" s="396" t="s">
        <v>1075</v>
      </c>
      <c r="B61" s="395" t="s">
        <v>1076</v>
      </c>
      <c r="C61" s="396" t="s">
        <v>94</v>
      </c>
      <c r="D61" s="383">
        <v>250.06</v>
      </c>
      <c r="E61" s="384">
        <v>18079</v>
      </c>
      <c r="F61" s="384">
        <f t="shared" si="12"/>
        <v>4520834.74</v>
      </c>
    </row>
    <row r="62" spans="1:6" s="9" customFormat="1" ht="35.1" customHeight="1" x14ac:dyDescent="0.25">
      <c r="A62" s="396" t="s">
        <v>1077</v>
      </c>
      <c r="B62" s="395" t="s">
        <v>1078</v>
      </c>
      <c r="C62" s="396" t="s">
        <v>13</v>
      </c>
      <c r="D62" s="383">
        <v>149.82</v>
      </c>
      <c r="E62" s="384">
        <v>49632</v>
      </c>
      <c r="F62" s="384">
        <f t="shared" si="12"/>
        <v>7435866.2400000002</v>
      </c>
    </row>
    <row r="63" spans="1:6" s="354" customFormat="1" ht="35.1" customHeight="1" x14ac:dyDescent="0.25">
      <c r="A63" s="389">
        <v>5</v>
      </c>
      <c r="B63" s="390" t="s">
        <v>106</v>
      </c>
      <c r="C63" s="390"/>
      <c r="D63" s="398"/>
      <c r="E63" s="392">
        <v>0</v>
      </c>
      <c r="F63" s="392">
        <f>D63*E63</f>
        <v>0</v>
      </c>
    </row>
    <row r="64" spans="1:6" s="357" customFormat="1" ht="35.1" customHeight="1" x14ac:dyDescent="0.25">
      <c r="A64" s="385" t="s">
        <v>107</v>
      </c>
      <c r="B64" s="397" t="s">
        <v>108</v>
      </c>
      <c r="C64" s="397"/>
      <c r="D64" s="397"/>
      <c r="E64" s="388">
        <v>0</v>
      </c>
      <c r="F64" s="388">
        <f>D64*E64</f>
        <v>0</v>
      </c>
    </row>
    <row r="65" spans="1:6" s="9" customFormat="1" ht="35.1" customHeight="1" x14ac:dyDescent="0.25">
      <c r="A65" s="396" t="s">
        <v>109</v>
      </c>
      <c r="B65" s="382" t="s">
        <v>110</v>
      </c>
      <c r="C65" s="381" t="s">
        <v>30</v>
      </c>
      <c r="D65" s="383">
        <v>0.73</v>
      </c>
      <c r="E65" s="384">
        <v>847343</v>
      </c>
      <c r="F65" s="384">
        <f t="shared" ref="F65:F71" si="13">ROUND(D65*E65,2)</f>
        <v>618560.39</v>
      </c>
    </row>
    <row r="66" spans="1:6" s="9" customFormat="1" ht="35.1" customHeight="1" x14ac:dyDescent="0.25">
      <c r="A66" s="396" t="s">
        <v>111</v>
      </c>
      <c r="B66" s="382" t="s">
        <v>112</v>
      </c>
      <c r="C66" s="381" t="s">
        <v>30</v>
      </c>
      <c r="D66" s="383">
        <v>22.66</v>
      </c>
      <c r="E66" s="384">
        <v>847343</v>
      </c>
      <c r="F66" s="384">
        <f t="shared" si="13"/>
        <v>19200792.379999999</v>
      </c>
    </row>
    <row r="67" spans="1:6" s="9" customFormat="1" ht="35.1" customHeight="1" x14ac:dyDescent="0.25">
      <c r="A67" s="396" t="s">
        <v>113</v>
      </c>
      <c r="B67" s="382" t="s">
        <v>114</v>
      </c>
      <c r="C67" s="381" t="s">
        <v>30</v>
      </c>
      <c r="D67" s="383">
        <v>191.2</v>
      </c>
      <c r="E67" s="384">
        <v>847343</v>
      </c>
      <c r="F67" s="384">
        <f t="shared" si="13"/>
        <v>162011981.59999999</v>
      </c>
    </row>
    <row r="68" spans="1:6" s="9" customFormat="1" ht="35.1" customHeight="1" x14ac:dyDescent="0.25">
      <c r="A68" s="396" t="s">
        <v>115</v>
      </c>
      <c r="B68" s="382" t="s">
        <v>116</v>
      </c>
      <c r="C68" s="381" t="s">
        <v>30</v>
      </c>
      <c r="D68" s="383">
        <v>40.24</v>
      </c>
      <c r="E68" s="384">
        <v>847343</v>
      </c>
      <c r="F68" s="384">
        <f t="shared" si="13"/>
        <v>34097082.32</v>
      </c>
    </row>
    <row r="69" spans="1:6" s="9" customFormat="1" ht="35.1" customHeight="1" x14ac:dyDescent="0.25">
      <c r="A69" s="396" t="s">
        <v>117</v>
      </c>
      <c r="B69" s="382" t="s">
        <v>118</v>
      </c>
      <c r="C69" s="381" t="s">
        <v>30</v>
      </c>
      <c r="D69" s="383">
        <v>160.97999999999999</v>
      </c>
      <c r="E69" s="384">
        <v>847343</v>
      </c>
      <c r="F69" s="384">
        <f t="shared" si="13"/>
        <v>136405276.13999999</v>
      </c>
    </row>
    <row r="70" spans="1:6" s="9" customFormat="1" ht="35.1" customHeight="1" x14ac:dyDescent="0.25">
      <c r="A70" s="396" t="s">
        <v>119</v>
      </c>
      <c r="B70" s="382" t="s">
        <v>120</v>
      </c>
      <c r="C70" s="381" t="s">
        <v>13</v>
      </c>
      <c r="D70" s="383">
        <v>159.38</v>
      </c>
      <c r="E70" s="384">
        <v>154694</v>
      </c>
      <c r="F70" s="384">
        <f t="shared" si="13"/>
        <v>24655129.719999999</v>
      </c>
    </row>
    <row r="71" spans="1:6" s="9" customFormat="1" ht="35.1" customHeight="1" x14ac:dyDescent="0.25">
      <c r="A71" s="396" t="s">
        <v>121</v>
      </c>
      <c r="B71" s="395" t="s">
        <v>122</v>
      </c>
      <c r="C71" s="396" t="s">
        <v>13</v>
      </c>
      <c r="D71" s="383">
        <v>42.64</v>
      </c>
      <c r="E71" s="384">
        <v>309390</v>
      </c>
      <c r="F71" s="384">
        <f t="shared" si="13"/>
        <v>13192389.6</v>
      </c>
    </row>
    <row r="72" spans="1:6" s="357" customFormat="1" ht="35.1" customHeight="1" x14ac:dyDescent="0.25">
      <c r="A72" s="385" t="s">
        <v>123</v>
      </c>
      <c r="B72" s="397" t="s">
        <v>124</v>
      </c>
      <c r="C72" s="397"/>
      <c r="D72" s="385"/>
      <c r="E72" s="388">
        <v>0</v>
      </c>
      <c r="F72" s="388">
        <f>D72*E72</f>
        <v>0</v>
      </c>
    </row>
    <row r="73" spans="1:6" s="9" customFormat="1" ht="35.1" customHeight="1" x14ac:dyDescent="0.25">
      <c r="A73" s="396" t="s">
        <v>125</v>
      </c>
      <c r="B73" s="382" t="s">
        <v>1079</v>
      </c>
      <c r="C73" s="381" t="s">
        <v>30</v>
      </c>
      <c r="D73" s="383">
        <v>0.17</v>
      </c>
      <c r="E73" s="384">
        <v>847343</v>
      </c>
      <c r="F73" s="384">
        <f t="shared" ref="F73:F74" si="14">ROUND(D73*E73,2)</f>
        <v>144048.31</v>
      </c>
    </row>
    <row r="74" spans="1:6" s="9" customFormat="1" ht="35.1" customHeight="1" x14ac:dyDescent="0.25">
      <c r="A74" s="396" t="s">
        <v>126</v>
      </c>
      <c r="B74" s="382" t="s">
        <v>1080</v>
      </c>
      <c r="C74" s="381" t="s">
        <v>30</v>
      </c>
      <c r="D74" s="383">
        <v>56.08</v>
      </c>
      <c r="E74" s="384">
        <v>847343</v>
      </c>
      <c r="F74" s="384">
        <f t="shared" si="14"/>
        <v>47518995.439999998</v>
      </c>
    </row>
    <row r="75" spans="1:6" s="357" customFormat="1" ht="35.1" customHeight="1" x14ac:dyDescent="0.25">
      <c r="A75" s="385" t="s">
        <v>127</v>
      </c>
      <c r="B75" s="386" t="s">
        <v>128</v>
      </c>
      <c r="C75" s="385"/>
      <c r="D75" s="385"/>
      <c r="E75" s="388">
        <v>0</v>
      </c>
      <c r="F75" s="388">
        <f>D75*E75</f>
        <v>0</v>
      </c>
    </row>
    <row r="76" spans="1:6" s="9" customFormat="1" ht="35.1" customHeight="1" x14ac:dyDescent="0.25">
      <c r="A76" s="396" t="s">
        <v>129</v>
      </c>
      <c r="B76" s="87" t="s">
        <v>130</v>
      </c>
      <c r="C76" s="381" t="s">
        <v>13</v>
      </c>
      <c r="D76" s="383">
        <v>183.84</v>
      </c>
      <c r="E76" s="384">
        <v>111608</v>
      </c>
      <c r="F76" s="384">
        <f t="shared" ref="F76:F81" si="15">ROUND(D76*E76,2)</f>
        <v>20518014.719999999</v>
      </c>
    </row>
    <row r="77" spans="1:6" s="9" customFormat="1" ht="35.1" customHeight="1" x14ac:dyDescent="0.25">
      <c r="A77" s="396" t="s">
        <v>131</v>
      </c>
      <c r="B77" s="87" t="s">
        <v>112</v>
      </c>
      <c r="C77" s="381" t="s">
        <v>30</v>
      </c>
      <c r="D77" s="383">
        <v>59.33</v>
      </c>
      <c r="E77" s="384">
        <v>847343</v>
      </c>
      <c r="F77" s="384">
        <f t="shared" si="15"/>
        <v>50272860.189999998</v>
      </c>
    </row>
    <row r="78" spans="1:6" s="9" customFormat="1" ht="35.1" customHeight="1" x14ac:dyDescent="0.25">
      <c r="A78" s="396" t="s">
        <v>132</v>
      </c>
      <c r="B78" s="87" t="s">
        <v>114</v>
      </c>
      <c r="C78" s="381" t="s">
        <v>30</v>
      </c>
      <c r="D78" s="383">
        <v>17.52</v>
      </c>
      <c r="E78" s="384">
        <v>847343</v>
      </c>
      <c r="F78" s="384">
        <f t="shared" si="15"/>
        <v>14845449.359999999</v>
      </c>
    </row>
    <row r="79" spans="1:6" s="9" customFormat="1" ht="35.1" customHeight="1" x14ac:dyDescent="0.25">
      <c r="A79" s="396" t="s">
        <v>133</v>
      </c>
      <c r="B79" s="87" t="s">
        <v>118</v>
      </c>
      <c r="C79" s="381" t="s">
        <v>30</v>
      </c>
      <c r="D79" s="383">
        <v>108.79</v>
      </c>
      <c r="E79" s="384">
        <v>847343</v>
      </c>
      <c r="F79" s="384">
        <f t="shared" si="15"/>
        <v>92182444.969999999</v>
      </c>
    </row>
    <row r="80" spans="1:6" s="9" customFormat="1" ht="35.1" customHeight="1" x14ac:dyDescent="0.25">
      <c r="A80" s="396" t="s">
        <v>135</v>
      </c>
      <c r="B80" s="87" t="s">
        <v>120</v>
      </c>
      <c r="C80" s="381" t="s">
        <v>13</v>
      </c>
      <c r="D80" s="383">
        <v>409.13</v>
      </c>
      <c r="E80" s="384">
        <v>154694</v>
      </c>
      <c r="F80" s="384">
        <f t="shared" si="15"/>
        <v>63289956.219999999</v>
      </c>
    </row>
    <row r="81" spans="1:6" s="9" customFormat="1" ht="35.1" customHeight="1" x14ac:dyDescent="0.25">
      <c r="A81" s="396" t="s">
        <v>136</v>
      </c>
      <c r="B81" s="87" t="s">
        <v>122</v>
      </c>
      <c r="C81" s="396" t="s">
        <v>13</v>
      </c>
      <c r="D81" s="383">
        <v>152.75</v>
      </c>
      <c r="E81" s="384">
        <v>309390</v>
      </c>
      <c r="F81" s="384">
        <f t="shared" si="15"/>
        <v>47259322.5</v>
      </c>
    </row>
    <row r="82" spans="1:6" s="357" customFormat="1" ht="35.1" customHeight="1" x14ac:dyDescent="0.25">
      <c r="A82" s="385" t="s">
        <v>137</v>
      </c>
      <c r="B82" s="386" t="s">
        <v>138</v>
      </c>
      <c r="C82" s="385"/>
      <c r="D82" s="385"/>
      <c r="E82" s="388">
        <v>0</v>
      </c>
      <c r="F82" s="388">
        <f>D82*E82</f>
        <v>0</v>
      </c>
    </row>
    <row r="83" spans="1:6" s="9" customFormat="1" ht="35.1" customHeight="1" x14ac:dyDescent="0.25">
      <c r="A83" s="396" t="s">
        <v>139</v>
      </c>
      <c r="B83" s="87" t="s">
        <v>130</v>
      </c>
      <c r="C83" s="381" t="s">
        <v>13</v>
      </c>
      <c r="D83" s="383">
        <v>179.22</v>
      </c>
      <c r="E83" s="384">
        <v>111608</v>
      </c>
      <c r="F83" s="384">
        <f t="shared" ref="F83:F88" si="16">ROUND(D83*E83,2)</f>
        <v>20002385.760000002</v>
      </c>
    </row>
    <row r="84" spans="1:6" s="9" customFormat="1" ht="35.1" customHeight="1" x14ac:dyDescent="0.25">
      <c r="A84" s="396" t="s">
        <v>140</v>
      </c>
      <c r="B84" s="87" t="s">
        <v>112</v>
      </c>
      <c r="C84" s="381" t="s">
        <v>30</v>
      </c>
      <c r="D84" s="383">
        <v>2.25</v>
      </c>
      <c r="E84" s="384">
        <v>847343</v>
      </c>
      <c r="F84" s="384">
        <f t="shared" si="16"/>
        <v>1906521.75</v>
      </c>
    </row>
    <row r="85" spans="1:6" s="9" customFormat="1" ht="35.1" customHeight="1" x14ac:dyDescent="0.25">
      <c r="A85" s="396" t="s">
        <v>141</v>
      </c>
      <c r="B85" s="87" t="s">
        <v>114</v>
      </c>
      <c r="C85" s="381" t="s">
        <v>30</v>
      </c>
      <c r="D85" s="383">
        <v>63.42</v>
      </c>
      <c r="E85" s="384">
        <v>847343</v>
      </c>
      <c r="F85" s="384">
        <f t="shared" si="16"/>
        <v>53738493.060000002</v>
      </c>
    </row>
    <row r="86" spans="1:6" s="9" customFormat="1" ht="35.1" customHeight="1" x14ac:dyDescent="0.25">
      <c r="A86" s="396" t="s">
        <v>142</v>
      </c>
      <c r="B86" s="87" t="s">
        <v>118</v>
      </c>
      <c r="C86" s="381" t="s">
        <v>30</v>
      </c>
      <c r="D86" s="383">
        <v>159.56</v>
      </c>
      <c r="E86" s="384">
        <v>847343</v>
      </c>
      <c r="F86" s="384">
        <f t="shared" si="16"/>
        <v>135202049.08000001</v>
      </c>
    </row>
    <row r="87" spans="1:6" s="9" customFormat="1" ht="35.1" customHeight="1" x14ac:dyDescent="0.25">
      <c r="A87" s="396" t="s">
        <v>143</v>
      </c>
      <c r="B87" s="87" t="s">
        <v>120</v>
      </c>
      <c r="C87" s="381" t="s">
        <v>13</v>
      </c>
      <c r="D87" s="383">
        <v>279.36</v>
      </c>
      <c r="E87" s="384">
        <v>154694</v>
      </c>
      <c r="F87" s="384">
        <f t="shared" si="16"/>
        <v>43215315.840000004</v>
      </c>
    </row>
    <row r="88" spans="1:6" s="9" customFormat="1" ht="35.1" customHeight="1" x14ac:dyDescent="0.25">
      <c r="A88" s="396" t="s">
        <v>144</v>
      </c>
      <c r="B88" s="87" t="s">
        <v>122</v>
      </c>
      <c r="C88" s="381" t="s">
        <v>13</v>
      </c>
      <c r="D88" s="383">
        <v>248.94</v>
      </c>
      <c r="E88" s="384">
        <v>309390</v>
      </c>
      <c r="F88" s="384">
        <f t="shared" si="16"/>
        <v>77019546.599999994</v>
      </c>
    </row>
    <row r="89" spans="1:6" s="357" customFormat="1" ht="35.1" customHeight="1" x14ac:dyDescent="0.25">
      <c r="A89" s="385" t="s">
        <v>1081</v>
      </c>
      <c r="B89" s="386" t="s">
        <v>1082</v>
      </c>
      <c r="C89" s="385"/>
      <c r="D89" s="385"/>
      <c r="E89" s="388">
        <v>0</v>
      </c>
      <c r="F89" s="388">
        <f>D89*E89</f>
        <v>0</v>
      </c>
    </row>
    <row r="90" spans="1:6" s="9" customFormat="1" ht="35.1" customHeight="1" x14ac:dyDescent="0.25">
      <c r="A90" s="396" t="s">
        <v>1083</v>
      </c>
      <c r="B90" s="87" t="s">
        <v>130</v>
      </c>
      <c r="C90" s="396" t="s">
        <v>13</v>
      </c>
      <c r="D90" s="383">
        <v>179.21</v>
      </c>
      <c r="E90" s="384">
        <v>111608</v>
      </c>
      <c r="F90" s="384">
        <f t="shared" ref="F90:F95" si="17">ROUND(D90*E90,2)</f>
        <v>20001269.68</v>
      </c>
    </row>
    <row r="91" spans="1:6" s="9" customFormat="1" ht="35.1" customHeight="1" x14ac:dyDescent="0.25">
      <c r="A91" s="396" t="s">
        <v>1084</v>
      </c>
      <c r="B91" s="87" t="s">
        <v>112</v>
      </c>
      <c r="C91" s="396" t="s">
        <v>30</v>
      </c>
      <c r="D91" s="383">
        <v>1.45</v>
      </c>
      <c r="E91" s="384">
        <v>847343</v>
      </c>
      <c r="F91" s="384">
        <f t="shared" si="17"/>
        <v>1228647.3500000001</v>
      </c>
    </row>
    <row r="92" spans="1:6" s="9" customFormat="1" ht="35.1" customHeight="1" x14ac:dyDescent="0.25">
      <c r="A92" s="396" t="s">
        <v>1085</v>
      </c>
      <c r="B92" s="87" t="s">
        <v>114</v>
      </c>
      <c r="C92" s="396" t="s">
        <v>30</v>
      </c>
      <c r="D92" s="383">
        <v>31.54</v>
      </c>
      <c r="E92" s="384">
        <v>847343</v>
      </c>
      <c r="F92" s="384">
        <f t="shared" si="17"/>
        <v>26725198.219999999</v>
      </c>
    </row>
    <row r="93" spans="1:6" s="9" customFormat="1" ht="35.1" customHeight="1" x14ac:dyDescent="0.25">
      <c r="A93" s="396" t="s">
        <v>1086</v>
      </c>
      <c r="B93" s="87" t="s">
        <v>118</v>
      </c>
      <c r="C93" s="396" t="s">
        <v>30</v>
      </c>
      <c r="D93" s="383">
        <v>69.08</v>
      </c>
      <c r="E93" s="384">
        <v>847343</v>
      </c>
      <c r="F93" s="384">
        <f t="shared" si="17"/>
        <v>58534454.439999998</v>
      </c>
    </row>
    <row r="94" spans="1:6" s="9" customFormat="1" ht="35.1" customHeight="1" x14ac:dyDescent="0.25">
      <c r="A94" s="396" t="s">
        <v>1087</v>
      </c>
      <c r="B94" s="87" t="s">
        <v>120</v>
      </c>
      <c r="C94" s="396" t="s">
        <v>13</v>
      </c>
      <c r="D94" s="383">
        <v>276.55</v>
      </c>
      <c r="E94" s="384">
        <v>162784</v>
      </c>
      <c r="F94" s="384">
        <f t="shared" si="17"/>
        <v>45017915.200000003</v>
      </c>
    </row>
    <row r="95" spans="1:6" s="9" customFormat="1" ht="35.1" customHeight="1" x14ac:dyDescent="0.25">
      <c r="A95" s="396" t="s">
        <v>1088</v>
      </c>
      <c r="B95" s="87" t="s">
        <v>122</v>
      </c>
      <c r="C95" s="396" t="s">
        <v>13</v>
      </c>
      <c r="D95" s="383">
        <v>132.12</v>
      </c>
      <c r="E95" s="384">
        <v>325565</v>
      </c>
      <c r="F95" s="384">
        <f t="shared" si="17"/>
        <v>43013647.799999997</v>
      </c>
    </row>
    <row r="96" spans="1:6" s="357" customFormat="1" ht="35.1" customHeight="1" x14ac:dyDescent="0.25">
      <c r="A96" s="385" t="s">
        <v>1089</v>
      </c>
      <c r="B96" s="386" t="s">
        <v>1090</v>
      </c>
      <c r="C96" s="385"/>
      <c r="D96" s="385"/>
      <c r="E96" s="388">
        <v>0</v>
      </c>
      <c r="F96" s="388">
        <f>D96*E96</f>
        <v>0</v>
      </c>
    </row>
    <row r="97" spans="1:6" s="9" customFormat="1" ht="35.1" customHeight="1" x14ac:dyDescent="0.25">
      <c r="A97" s="381" t="s">
        <v>1091</v>
      </c>
      <c r="B97" s="87" t="s">
        <v>130</v>
      </c>
      <c r="C97" s="381" t="s">
        <v>13</v>
      </c>
      <c r="D97" s="383">
        <v>142.06</v>
      </c>
      <c r="E97" s="384">
        <v>111608</v>
      </c>
      <c r="F97" s="384">
        <f t="shared" ref="F97:F102" si="18">ROUND(D97*E97,2)</f>
        <v>15855032.48</v>
      </c>
    </row>
    <row r="98" spans="1:6" s="9" customFormat="1" ht="35.1" customHeight="1" x14ac:dyDescent="0.25">
      <c r="A98" s="381" t="s">
        <v>1092</v>
      </c>
      <c r="B98" s="87" t="s">
        <v>112</v>
      </c>
      <c r="C98" s="381" t="s">
        <v>30</v>
      </c>
      <c r="D98" s="383">
        <v>1.25</v>
      </c>
      <c r="E98" s="384">
        <v>847343</v>
      </c>
      <c r="F98" s="384">
        <f t="shared" si="18"/>
        <v>1059178.75</v>
      </c>
    </row>
    <row r="99" spans="1:6" s="9" customFormat="1" ht="35.1" customHeight="1" x14ac:dyDescent="0.25">
      <c r="A99" s="381" t="s">
        <v>1093</v>
      </c>
      <c r="B99" s="87" t="s">
        <v>114</v>
      </c>
      <c r="C99" s="381" t="s">
        <v>30</v>
      </c>
      <c r="D99" s="383">
        <v>27.45</v>
      </c>
      <c r="E99" s="384">
        <v>847343</v>
      </c>
      <c r="F99" s="384">
        <f t="shared" si="18"/>
        <v>23259565.350000001</v>
      </c>
    </row>
    <row r="100" spans="1:6" s="9" customFormat="1" ht="35.1" customHeight="1" x14ac:dyDescent="0.25">
      <c r="A100" s="381" t="s">
        <v>1094</v>
      </c>
      <c r="B100" s="87" t="s">
        <v>118</v>
      </c>
      <c r="C100" s="381" t="s">
        <v>30</v>
      </c>
      <c r="D100" s="383">
        <v>14.01</v>
      </c>
      <c r="E100" s="384">
        <v>847343</v>
      </c>
      <c r="F100" s="384">
        <f t="shared" si="18"/>
        <v>11871275.43</v>
      </c>
    </row>
    <row r="101" spans="1:6" s="9" customFormat="1" ht="35.1" customHeight="1" x14ac:dyDescent="0.25">
      <c r="A101" s="381" t="s">
        <v>1095</v>
      </c>
      <c r="B101" s="87" t="s">
        <v>120</v>
      </c>
      <c r="C101" s="381" t="s">
        <v>13</v>
      </c>
      <c r="D101" s="383">
        <v>316.99</v>
      </c>
      <c r="E101" s="384">
        <v>162784</v>
      </c>
      <c r="F101" s="384">
        <f t="shared" si="18"/>
        <v>51600900.159999996</v>
      </c>
    </row>
    <row r="102" spans="1:6" s="9" customFormat="1" ht="35.1" customHeight="1" x14ac:dyDescent="0.25">
      <c r="A102" s="381" t="s">
        <v>1096</v>
      </c>
      <c r="B102" s="87" t="s">
        <v>122</v>
      </c>
      <c r="C102" s="381" t="s">
        <v>13</v>
      </c>
      <c r="D102" s="383">
        <v>112.85</v>
      </c>
      <c r="E102" s="384">
        <v>325565</v>
      </c>
      <c r="F102" s="384">
        <f t="shared" si="18"/>
        <v>36740010.25</v>
      </c>
    </row>
    <row r="103" spans="1:6" s="357" customFormat="1" ht="35.1" customHeight="1" x14ac:dyDescent="0.25">
      <c r="A103" s="385" t="s">
        <v>1097</v>
      </c>
      <c r="B103" s="386" t="s">
        <v>1098</v>
      </c>
      <c r="C103" s="385"/>
      <c r="D103" s="385"/>
      <c r="E103" s="388">
        <v>0</v>
      </c>
      <c r="F103" s="388">
        <f>D103*E103</f>
        <v>0</v>
      </c>
    </row>
    <row r="104" spans="1:6" s="9" customFormat="1" ht="35.1" customHeight="1" x14ac:dyDescent="0.25">
      <c r="A104" s="381" t="s">
        <v>1099</v>
      </c>
      <c r="B104" s="382" t="s">
        <v>1100</v>
      </c>
      <c r="C104" s="381" t="s">
        <v>13</v>
      </c>
      <c r="D104" s="383">
        <v>94.59</v>
      </c>
      <c r="E104" s="384">
        <v>55872</v>
      </c>
      <c r="F104" s="384">
        <f t="shared" ref="F104:F106" si="19">ROUND(D104*E104,2)</f>
        <v>5284932.4800000004</v>
      </c>
    </row>
    <row r="105" spans="1:6" s="9" customFormat="1" ht="35.1" customHeight="1" x14ac:dyDescent="0.25">
      <c r="A105" s="381" t="s">
        <v>1101</v>
      </c>
      <c r="B105" s="87" t="s">
        <v>112</v>
      </c>
      <c r="C105" s="381" t="s">
        <v>30</v>
      </c>
      <c r="D105" s="383">
        <v>26.75</v>
      </c>
      <c r="E105" s="384">
        <v>847343</v>
      </c>
      <c r="F105" s="384">
        <f t="shared" si="19"/>
        <v>22666425.25</v>
      </c>
    </row>
    <row r="106" spans="1:6" s="9" customFormat="1" ht="35.1" customHeight="1" x14ac:dyDescent="0.25">
      <c r="A106" s="381" t="s">
        <v>1102</v>
      </c>
      <c r="B106" s="87" t="s">
        <v>114</v>
      </c>
      <c r="C106" s="381" t="s">
        <v>30</v>
      </c>
      <c r="D106" s="383">
        <v>33.22</v>
      </c>
      <c r="E106" s="384">
        <v>847343</v>
      </c>
      <c r="F106" s="384">
        <f t="shared" si="19"/>
        <v>28148734.460000001</v>
      </c>
    </row>
    <row r="107" spans="1:6" s="354" customFormat="1" ht="35.1" customHeight="1" x14ac:dyDescent="0.25">
      <c r="A107" s="389">
        <v>6</v>
      </c>
      <c r="B107" s="390" t="s">
        <v>145</v>
      </c>
      <c r="C107" s="390"/>
      <c r="D107" s="390"/>
      <c r="E107" s="392">
        <v>0</v>
      </c>
      <c r="F107" s="392">
        <f>D107*E107</f>
        <v>0</v>
      </c>
    </row>
    <row r="108" spans="1:6" s="357" customFormat="1" ht="35.1" customHeight="1" x14ac:dyDescent="0.25">
      <c r="A108" s="385" t="s">
        <v>146</v>
      </c>
      <c r="B108" s="386" t="s">
        <v>147</v>
      </c>
      <c r="C108" s="385"/>
      <c r="D108" s="385"/>
      <c r="E108" s="388">
        <v>0</v>
      </c>
      <c r="F108" s="388">
        <f>D108*E108</f>
        <v>0</v>
      </c>
    </row>
    <row r="109" spans="1:6" s="9" customFormat="1" ht="35.1" customHeight="1" x14ac:dyDescent="0.25">
      <c r="A109" s="396" t="s">
        <v>148</v>
      </c>
      <c r="B109" s="395" t="s">
        <v>149</v>
      </c>
      <c r="C109" s="396" t="s">
        <v>13</v>
      </c>
      <c r="D109" s="383">
        <v>457.19</v>
      </c>
      <c r="E109" s="384">
        <v>94906</v>
      </c>
      <c r="F109" s="384">
        <f t="shared" ref="F109:F111" si="20">ROUND(D109*E109,2)</f>
        <v>43390074.140000001</v>
      </c>
    </row>
    <row r="110" spans="1:6" s="9" customFormat="1" ht="35.1" customHeight="1" x14ac:dyDescent="0.25">
      <c r="A110" s="396" t="s">
        <v>150</v>
      </c>
      <c r="B110" s="395" t="s">
        <v>151</v>
      </c>
      <c r="C110" s="396" t="s">
        <v>13</v>
      </c>
      <c r="D110" s="383">
        <v>1963.08</v>
      </c>
      <c r="E110" s="384">
        <v>8472</v>
      </c>
      <c r="F110" s="384">
        <f t="shared" si="20"/>
        <v>16631213.76</v>
      </c>
    </row>
    <row r="111" spans="1:6" s="9" customFormat="1" ht="35.1" customHeight="1" x14ac:dyDescent="0.25">
      <c r="A111" s="381" t="s">
        <v>152</v>
      </c>
      <c r="B111" s="382" t="s">
        <v>153</v>
      </c>
      <c r="C111" s="381" t="s">
        <v>13</v>
      </c>
      <c r="D111" s="383">
        <v>1.4</v>
      </c>
      <c r="E111" s="384">
        <v>111650</v>
      </c>
      <c r="F111" s="384">
        <f t="shared" si="20"/>
        <v>156310</v>
      </c>
    </row>
    <row r="112" spans="1:6" s="357" customFormat="1" ht="35.1" customHeight="1" x14ac:dyDescent="0.25">
      <c r="A112" s="385" t="s">
        <v>154</v>
      </c>
      <c r="B112" s="397" t="s">
        <v>155</v>
      </c>
      <c r="C112" s="397"/>
      <c r="D112" s="385"/>
      <c r="E112" s="388">
        <v>0</v>
      </c>
      <c r="F112" s="388">
        <f>D112*E112</f>
        <v>0</v>
      </c>
    </row>
    <row r="113" spans="1:6" s="9" customFormat="1" ht="35.1" customHeight="1" x14ac:dyDescent="0.25">
      <c r="A113" s="396" t="s">
        <v>156</v>
      </c>
      <c r="B113" s="395" t="s">
        <v>157</v>
      </c>
      <c r="C113" s="396" t="s">
        <v>13</v>
      </c>
      <c r="D113" s="383">
        <v>1877.87</v>
      </c>
      <c r="E113" s="384">
        <v>94612</v>
      </c>
      <c r="F113" s="384">
        <f t="shared" ref="F113:F114" si="21">ROUND(D113*E113,2)</f>
        <v>177669036.44</v>
      </c>
    </row>
    <row r="114" spans="1:6" s="9" customFormat="1" ht="35.1" customHeight="1" x14ac:dyDescent="0.25">
      <c r="A114" s="396" t="s">
        <v>158</v>
      </c>
      <c r="B114" s="395" t="s">
        <v>159</v>
      </c>
      <c r="C114" s="396" t="s">
        <v>13</v>
      </c>
      <c r="D114" s="383">
        <v>188.25</v>
      </c>
      <c r="E114" s="384">
        <v>99368</v>
      </c>
      <c r="F114" s="384">
        <f t="shared" si="21"/>
        <v>18706026</v>
      </c>
    </row>
    <row r="115" spans="1:6" s="357" customFormat="1" ht="35.1" customHeight="1" x14ac:dyDescent="0.25">
      <c r="A115" s="385" t="s">
        <v>160</v>
      </c>
      <c r="B115" s="397" t="s">
        <v>161</v>
      </c>
      <c r="C115" s="397"/>
      <c r="D115" s="385"/>
      <c r="E115" s="388">
        <v>0</v>
      </c>
      <c r="F115" s="388">
        <f>D115*E115</f>
        <v>0</v>
      </c>
    </row>
    <row r="116" spans="1:6" s="9" customFormat="1" ht="35.1" customHeight="1" x14ac:dyDescent="0.25">
      <c r="A116" s="396" t="s">
        <v>162</v>
      </c>
      <c r="B116" s="395" t="s">
        <v>153</v>
      </c>
      <c r="C116" s="396" t="s">
        <v>13</v>
      </c>
      <c r="D116" s="383">
        <v>1232.8499999999999</v>
      </c>
      <c r="E116" s="384">
        <v>111650</v>
      </c>
      <c r="F116" s="384">
        <f t="shared" ref="F116:F120" si="22">ROUND(D116*E116,2)</f>
        <v>137647702.5</v>
      </c>
    </row>
    <row r="117" spans="1:6" s="9" customFormat="1" ht="35.1" customHeight="1" x14ac:dyDescent="0.25">
      <c r="A117" s="396" t="s">
        <v>163</v>
      </c>
      <c r="B117" s="395" t="s">
        <v>164</v>
      </c>
      <c r="C117" s="396" t="s">
        <v>13</v>
      </c>
      <c r="D117" s="383">
        <v>807.1</v>
      </c>
      <c r="E117" s="384">
        <v>72859</v>
      </c>
      <c r="F117" s="384">
        <f t="shared" si="22"/>
        <v>58804498.899999999</v>
      </c>
    </row>
    <row r="118" spans="1:6" s="9" customFormat="1" ht="35.1" customHeight="1" x14ac:dyDescent="0.25">
      <c r="A118" s="396" t="s">
        <v>165</v>
      </c>
      <c r="B118" s="395" t="s">
        <v>166</v>
      </c>
      <c r="C118" s="396" t="s">
        <v>13</v>
      </c>
      <c r="D118" s="383">
        <v>44.18</v>
      </c>
      <c r="E118" s="384">
        <v>48562</v>
      </c>
      <c r="F118" s="384">
        <f t="shared" si="22"/>
        <v>2145469.16</v>
      </c>
    </row>
    <row r="119" spans="1:6" s="9" customFormat="1" ht="35.1" customHeight="1" x14ac:dyDescent="0.25">
      <c r="A119" s="396" t="s">
        <v>167</v>
      </c>
      <c r="B119" s="395" t="s">
        <v>168</v>
      </c>
      <c r="C119" s="396" t="s">
        <v>13</v>
      </c>
      <c r="D119" s="383">
        <v>309.35000000000002</v>
      </c>
      <c r="E119" s="384">
        <v>105314</v>
      </c>
      <c r="F119" s="384">
        <f t="shared" si="22"/>
        <v>32578885.899999999</v>
      </c>
    </row>
    <row r="120" spans="1:6" s="9" customFormat="1" ht="35.1" customHeight="1" x14ac:dyDescent="0.25">
      <c r="A120" s="396" t="s">
        <v>169</v>
      </c>
      <c r="B120" s="395" t="s">
        <v>159</v>
      </c>
      <c r="C120" s="396" t="s">
        <v>13</v>
      </c>
      <c r="D120" s="383">
        <v>252.37</v>
      </c>
      <c r="E120" s="384">
        <v>95771</v>
      </c>
      <c r="F120" s="384">
        <f t="shared" si="22"/>
        <v>24169727.27</v>
      </c>
    </row>
    <row r="121" spans="1:6" s="357" customFormat="1" ht="35.1" customHeight="1" x14ac:dyDescent="0.25">
      <c r="A121" s="385" t="s">
        <v>170</v>
      </c>
      <c r="B121" s="386" t="s">
        <v>171</v>
      </c>
      <c r="C121" s="399"/>
      <c r="D121" s="401"/>
      <c r="E121" s="388">
        <v>0</v>
      </c>
      <c r="F121" s="388">
        <f>D121*E121</f>
        <v>0</v>
      </c>
    </row>
    <row r="122" spans="1:6" s="9" customFormat="1" ht="35.1" customHeight="1" x14ac:dyDescent="0.25">
      <c r="A122" s="396" t="s">
        <v>172</v>
      </c>
      <c r="B122" s="395" t="s">
        <v>153</v>
      </c>
      <c r="C122" s="396" t="s">
        <v>13</v>
      </c>
      <c r="D122" s="383">
        <v>1521.96</v>
      </c>
      <c r="E122" s="384">
        <v>111650</v>
      </c>
      <c r="F122" s="384">
        <f t="shared" ref="F122:F124" si="23">ROUND(D122*E122,2)</f>
        <v>169926834</v>
      </c>
    </row>
    <row r="123" spans="1:6" s="9" customFormat="1" ht="35.1" customHeight="1" x14ac:dyDescent="0.25">
      <c r="A123" s="396" t="s">
        <v>173</v>
      </c>
      <c r="B123" s="395" t="s">
        <v>164</v>
      </c>
      <c r="C123" s="396" t="s">
        <v>13</v>
      </c>
      <c r="D123" s="383">
        <v>270.19</v>
      </c>
      <c r="E123" s="384">
        <v>72859</v>
      </c>
      <c r="F123" s="384">
        <f t="shared" si="23"/>
        <v>19685773.210000001</v>
      </c>
    </row>
    <row r="124" spans="1:6" s="9" customFormat="1" ht="35.1" customHeight="1" x14ac:dyDescent="0.25">
      <c r="A124" s="396" t="s">
        <v>174</v>
      </c>
      <c r="B124" s="395" t="s">
        <v>159</v>
      </c>
      <c r="C124" s="396" t="s">
        <v>13</v>
      </c>
      <c r="D124" s="383">
        <v>162.61000000000001</v>
      </c>
      <c r="E124" s="384">
        <v>95771</v>
      </c>
      <c r="F124" s="384">
        <f t="shared" si="23"/>
        <v>15573322.310000001</v>
      </c>
    </row>
    <row r="125" spans="1:6" s="357" customFormat="1" ht="35.1" customHeight="1" x14ac:dyDescent="0.25">
      <c r="A125" s="385" t="s">
        <v>1103</v>
      </c>
      <c r="B125" s="386" t="s">
        <v>1104</v>
      </c>
      <c r="C125" s="399"/>
      <c r="D125" s="385"/>
      <c r="E125" s="388">
        <v>0</v>
      </c>
      <c r="F125" s="388">
        <f>D125*E125</f>
        <v>0</v>
      </c>
    </row>
    <row r="126" spans="1:6" s="9" customFormat="1" ht="35.1" customHeight="1" x14ac:dyDescent="0.25">
      <c r="A126" s="396" t="s">
        <v>1105</v>
      </c>
      <c r="B126" s="395" t="s">
        <v>153</v>
      </c>
      <c r="C126" s="396" t="s">
        <v>13</v>
      </c>
      <c r="D126" s="383">
        <v>1159.8800000000001</v>
      </c>
      <c r="E126" s="384">
        <v>125408</v>
      </c>
      <c r="F126" s="384">
        <f t="shared" ref="F126:F128" si="24">ROUND(D126*E126,2)</f>
        <v>145458231.03999999</v>
      </c>
    </row>
    <row r="127" spans="1:6" s="9" customFormat="1" ht="35.1" customHeight="1" x14ac:dyDescent="0.25">
      <c r="A127" s="396" t="s">
        <v>1106</v>
      </c>
      <c r="B127" s="395" t="s">
        <v>164</v>
      </c>
      <c r="C127" s="396" t="s">
        <v>13</v>
      </c>
      <c r="D127" s="383">
        <v>53.48</v>
      </c>
      <c r="E127" s="384">
        <v>72859</v>
      </c>
      <c r="F127" s="384">
        <f t="shared" si="24"/>
        <v>3896499.32</v>
      </c>
    </row>
    <row r="128" spans="1:6" s="9" customFormat="1" ht="35.1" customHeight="1" x14ac:dyDescent="0.25">
      <c r="A128" s="396" t="s">
        <v>1107</v>
      </c>
      <c r="B128" s="395" t="s">
        <v>159</v>
      </c>
      <c r="C128" s="396" t="s">
        <v>13</v>
      </c>
      <c r="D128" s="383">
        <v>9</v>
      </c>
      <c r="E128" s="384">
        <v>99368</v>
      </c>
      <c r="F128" s="384">
        <f t="shared" si="24"/>
        <v>894312</v>
      </c>
    </row>
    <row r="129" spans="1:6" s="357" customFormat="1" ht="35.1" customHeight="1" x14ac:dyDescent="0.25">
      <c r="A129" s="385" t="s">
        <v>1108</v>
      </c>
      <c r="B129" s="386" t="s">
        <v>1109</v>
      </c>
      <c r="C129" s="399"/>
      <c r="D129" s="385"/>
      <c r="E129" s="388">
        <v>0</v>
      </c>
      <c r="F129" s="388">
        <f>D129*E129</f>
        <v>0</v>
      </c>
    </row>
    <row r="130" spans="1:6" s="9" customFormat="1" ht="35.1" customHeight="1" x14ac:dyDescent="0.25">
      <c r="A130" s="396" t="s">
        <v>1110</v>
      </c>
      <c r="B130" s="395" t="s">
        <v>153</v>
      </c>
      <c r="C130" s="396" t="s">
        <v>13</v>
      </c>
      <c r="D130" s="383">
        <v>949.13</v>
      </c>
      <c r="E130" s="384">
        <v>125408</v>
      </c>
      <c r="F130" s="384">
        <f t="shared" ref="F130:F131" si="25">ROUND(D130*E130,2)</f>
        <v>119028495.04000001</v>
      </c>
    </row>
    <row r="131" spans="1:6" s="9" customFormat="1" ht="35.1" customHeight="1" x14ac:dyDescent="0.25">
      <c r="A131" s="396" t="s">
        <v>1111</v>
      </c>
      <c r="B131" s="395" t="s">
        <v>159</v>
      </c>
      <c r="C131" s="396" t="s">
        <v>13</v>
      </c>
      <c r="D131" s="383">
        <v>56.54</v>
      </c>
      <c r="E131" s="384">
        <v>99368</v>
      </c>
      <c r="F131" s="384">
        <f t="shared" si="25"/>
        <v>5618266.7199999997</v>
      </c>
    </row>
    <row r="132" spans="1:6" s="354" customFormat="1" ht="35.1" customHeight="1" x14ac:dyDescent="0.25">
      <c r="A132" s="389">
        <v>7</v>
      </c>
      <c r="B132" s="390" t="s">
        <v>175</v>
      </c>
      <c r="C132" s="390"/>
      <c r="D132" s="390"/>
      <c r="E132" s="392">
        <v>0</v>
      </c>
      <c r="F132" s="392">
        <f>D132*E132</f>
        <v>0</v>
      </c>
    </row>
    <row r="133" spans="1:6" s="357" customFormat="1" ht="35.1" customHeight="1" x14ac:dyDescent="0.25">
      <c r="A133" s="385" t="s">
        <v>176</v>
      </c>
      <c r="B133" s="397" t="s">
        <v>177</v>
      </c>
      <c r="C133" s="397"/>
      <c r="D133" s="385"/>
      <c r="E133" s="388">
        <v>0</v>
      </c>
      <c r="F133" s="388">
        <f>D133*E133</f>
        <v>0</v>
      </c>
    </row>
    <row r="134" spans="1:6" s="9" customFormat="1" ht="35.1" customHeight="1" x14ac:dyDescent="0.25">
      <c r="A134" s="396" t="s">
        <v>178</v>
      </c>
      <c r="B134" s="395" t="s">
        <v>1112</v>
      </c>
      <c r="C134" s="381" t="s">
        <v>13</v>
      </c>
      <c r="D134" s="383">
        <v>4.8600000000000003</v>
      </c>
      <c r="E134" s="384">
        <v>275979</v>
      </c>
      <c r="F134" s="384">
        <f>ROUND(D134*E134,2)</f>
        <v>1341257.94</v>
      </c>
    </row>
    <row r="135" spans="1:6" s="357" customFormat="1" ht="35.1" customHeight="1" x14ac:dyDescent="0.25">
      <c r="A135" s="385" t="s">
        <v>180</v>
      </c>
      <c r="B135" s="386" t="s">
        <v>181</v>
      </c>
      <c r="C135" s="385"/>
      <c r="D135" s="385"/>
      <c r="E135" s="388">
        <v>0</v>
      </c>
      <c r="F135" s="388">
        <f>D135*E135</f>
        <v>0</v>
      </c>
    </row>
    <row r="136" spans="1:6" s="9" customFormat="1" ht="35.1" customHeight="1" x14ac:dyDescent="0.25">
      <c r="A136" s="396" t="s">
        <v>182</v>
      </c>
      <c r="B136" s="395" t="s">
        <v>183</v>
      </c>
      <c r="C136" s="381" t="s">
        <v>13</v>
      </c>
      <c r="D136" s="383">
        <v>0.55000000000000004</v>
      </c>
      <c r="E136" s="384">
        <v>275979</v>
      </c>
      <c r="F136" s="384">
        <f t="shared" ref="F136:F137" si="26">ROUND(D136*E136,2)</f>
        <v>151788.45000000001</v>
      </c>
    </row>
    <row r="137" spans="1:6" s="9" customFormat="1" ht="35.1" customHeight="1" x14ac:dyDescent="0.25">
      <c r="A137" s="396" t="s">
        <v>184</v>
      </c>
      <c r="B137" s="395" t="s">
        <v>1113</v>
      </c>
      <c r="C137" s="381" t="s">
        <v>13</v>
      </c>
      <c r="D137" s="383">
        <v>0.36</v>
      </c>
      <c r="E137" s="384">
        <v>275979</v>
      </c>
      <c r="F137" s="384">
        <f t="shared" si="26"/>
        <v>99352.44</v>
      </c>
    </row>
    <row r="138" spans="1:6" s="357" customFormat="1" ht="35.1" customHeight="1" x14ac:dyDescent="0.25">
      <c r="A138" s="385" t="s">
        <v>186</v>
      </c>
      <c r="B138" s="386" t="s">
        <v>187</v>
      </c>
      <c r="C138" s="385"/>
      <c r="D138" s="385"/>
      <c r="E138" s="388">
        <v>0</v>
      </c>
      <c r="F138" s="388">
        <f>D138*E138</f>
        <v>0</v>
      </c>
    </row>
    <row r="139" spans="1:6" s="9" customFormat="1" ht="35.1" customHeight="1" x14ac:dyDescent="0.25">
      <c r="A139" s="396" t="s">
        <v>188</v>
      </c>
      <c r="B139" s="395" t="s">
        <v>189</v>
      </c>
      <c r="C139" s="381" t="s">
        <v>13</v>
      </c>
      <c r="D139" s="383">
        <v>0.05</v>
      </c>
      <c r="E139" s="384">
        <v>275979</v>
      </c>
      <c r="F139" s="384">
        <f t="shared" ref="F139:F143" si="27">ROUND(D139*E139,2)</f>
        <v>13798.95</v>
      </c>
    </row>
    <row r="140" spans="1:6" s="9" customFormat="1" ht="35.1" customHeight="1" x14ac:dyDescent="0.25">
      <c r="A140" s="396" t="s">
        <v>190</v>
      </c>
      <c r="B140" s="395" t="s">
        <v>191</v>
      </c>
      <c r="C140" s="381" t="s">
        <v>13</v>
      </c>
      <c r="D140" s="383">
        <v>0.32</v>
      </c>
      <c r="E140" s="384">
        <v>275979</v>
      </c>
      <c r="F140" s="384">
        <f t="shared" si="27"/>
        <v>88313.279999999999</v>
      </c>
    </row>
    <row r="141" spans="1:6" s="9" customFormat="1" ht="35.1" customHeight="1" x14ac:dyDescent="0.25">
      <c r="A141" s="396" t="s">
        <v>192</v>
      </c>
      <c r="B141" s="395" t="s">
        <v>183</v>
      </c>
      <c r="C141" s="381" t="s">
        <v>13</v>
      </c>
      <c r="D141" s="383">
        <v>0.48</v>
      </c>
      <c r="E141" s="384">
        <v>275979</v>
      </c>
      <c r="F141" s="384">
        <f t="shared" si="27"/>
        <v>132469.92000000001</v>
      </c>
    </row>
    <row r="142" spans="1:6" s="9" customFormat="1" ht="35.1" customHeight="1" x14ac:dyDescent="0.25">
      <c r="A142" s="396" t="s">
        <v>193</v>
      </c>
      <c r="B142" s="395" t="s">
        <v>1114</v>
      </c>
      <c r="C142" s="381" t="s">
        <v>13</v>
      </c>
      <c r="D142" s="383">
        <v>0.12</v>
      </c>
      <c r="E142" s="384">
        <v>275979</v>
      </c>
      <c r="F142" s="384">
        <f t="shared" si="27"/>
        <v>33117.480000000003</v>
      </c>
    </row>
    <row r="143" spans="1:6" s="9" customFormat="1" ht="35.1" customHeight="1" x14ac:dyDescent="0.25">
      <c r="A143" s="396" t="s">
        <v>194</v>
      </c>
      <c r="B143" s="395" t="s">
        <v>195</v>
      </c>
      <c r="C143" s="381" t="s">
        <v>13</v>
      </c>
      <c r="D143" s="383">
        <v>0.36</v>
      </c>
      <c r="E143" s="384">
        <v>275979</v>
      </c>
      <c r="F143" s="384">
        <f t="shared" si="27"/>
        <v>99352.44</v>
      </c>
    </row>
    <row r="144" spans="1:6" s="357" customFormat="1" ht="35.1" customHeight="1" x14ac:dyDescent="0.25">
      <c r="A144" s="385" t="s">
        <v>1115</v>
      </c>
      <c r="B144" s="386" t="s">
        <v>1116</v>
      </c>
      <c r="C144" s="385"/>
      <c r="D144" s="385"/>
      <c r="E144" s="388">
        <v>0</v>
      </c>
      <c r="F144" s="388">
        <f t="shared" ref="F144:F207" si="28">D144*E144</f>
        <v>0</v>
      </c>
    </row>
    <row r="145" spans="1:6" s="9" customFormat="1" ht="35.1" customHeight="1" x14ac:dyDescent="0.25">
      <c r="A145" s="396" t="s">
        <v>1117</v>
      </c>
      <c r="B145" s="395" t="s">
        <v>189</v>
      </c>
      <c r="C145" s="381" t="s">
        <v>13</v>
      </c>
      <c r="D145" s="383">
        <v>0.54</v>
      </c>
      <c r="E145" s="384">
        <v>276684</v>
      </c>
      <c r="F145" s="384">
        <f>ROUND(D145*E145,2)</f>
        <v>149409.35999999999</v>
      </c>
    </row>
    <row r="146" spans="1:6" s="9" customFormat="1" ht="35.1" customHeight="1" x14ac:dyDescent="0.25">
      <c r="A146" s="396" t="s">
        <v>1118</v>
      </c>
      <c r="B146" s="395" t="s">
        <v>191</v>
      </c>
      <c r="C146" s="381" t="s">
        <v>13</v>
      </c>
      <c r="D146" s="383">
        <v>2.38</v>
      </c>
      <c r="E146" s="384">
        <v>276684</v>
      </c>
      <c r="F146" s="384">
        <f>ROUND(D146*E146,2)</f>
        <v>658507.92000000004</v>
      </c>
    </row>
    <row r="147" spans="1:6" s="9" customFormat="1" ht="35.1" customHeight="1" x14ac:dyDescent="0.25">
      <c r="A147" s="396" t="s">
        <v>1119</v>
      </c>
      <c r="B147" s="395" t="s">
        <v>183</v>
      </c>
      <c r="C147" s="381" t="s">
        <v>13</v>
      </c>
      <c r="D147" s="383">
        <v>3.45</v>
      </c>
      <c r="E147" s="384">
        <v>276684</v>
      </c>
      <c r="F147" s="384">
        <f>ROUND(D147*E147,2)</f>
        <v>954559.8</v>
      </c>
    </row>
    <row r="148" spans="1:6" s="9" customFormat="1" ht="35.1" customHeight="1" x14ac:dyDescent="0.25">
      <c r="A148" s="396" t="s">
        <v>1120</v>
      </c>
      <c r="B148" s="395" t="s">
        <v>195</v>
      </c>
      <c r="C148" s="381" t="s">
        <v>13</v>
      </c>
      <c r="D148" s="383">
        <v>1.8</v>
      </c>
      <c r="E148" s="384">
        <v>276684</v>
      </c>
      <c r="F148" s="384">
        <f>ROUND(D148*E148,2)</f>
        <v>498031.2</v>
      </c>
    </row>
    <row r="149" spans="1:6" s="357" customFormat="1" ht="35.1" customHeight="1" x14ac:dyDescent="0.25">
      <c r="A149" s="385" t="s">
        <v>1121</v>
      </c>
      <c r="B149" s="386" t="s">
        <v>1122</v>
      </c>
      <c r="C149" s="385"/>
      <c r="D149" s="385"/>
      <c r="E149" s="388">
        <v>0</v>
      </c>
      <c r="F149" s="388">
        <f t="shared" si="28"/>
        <v>0</v>
      </c>
    </row>
    <row r="150" spans="1:6" s="9" customFormat="1" ht="35.1" customHeight="1" x14ac:dyDescent="0.25">
      <c r="A150" s="396" t="s">
        <v>1123</v>
      </c>
      <c r="B150" s="395" t="s">
        <v>183</v>
      </c>
      <c r="C150" s="381" t="s">
        <v>13</v>
      </c>
      <c r="D150" s="383">
        <v>3.45</v>
      </c>
      <c r="E150" s="384">
        <v>276684</v>
      </c>
      <c r="F150" s="384">
        <f>ROUND(D150*E150,2)</f>
        <v>954559.8</v>
      </c>
    </row>
    <row r="151" spans="1:6" s="354" customFormat="1" ht="35.1" customHeight="1" x14ac:dyDescent="0.25">
      <c r="A151" s="389">
        <v>8</v>
      </c>
      <c r="B151" s="390" t="s">
        <v>196</v>
      </c>
      <c r="C151" s="390"/>
      <c r="D151" s="390"/>
      <c r="E151" s="392">
        <v>0</v>
      </c>
      <c r="F151" s="392">
        <f t="shared" si="28"/>
        <v>0</v>
      </c>
    </row>
    <row r="152" spans="1:6" s="357" customFormat="1" ht="35.1" customHeight="1" x14ac:dyDescent="0.25">
      <c r="A152" s="385" t="s">
        <v>197</v>
      </c>
      <c r="B152" s="386" t="s">
        <v>198</v>
      </c>
      <c r="C152" s="385"/>
      <c r="D152" s="385"/>
      <c r="E152" s="388">
        <v>0</v>
      </c>
      <c r="F152" s="388">
        <f t="shared" si="28"/>
        <v>0</v>
      </c>
    </row>
    <row r="153" spans="1:6" s="9" customFormat="1" ht="35.1" customHeight="1" x14ac:dyDescent="0.25">
      <c r="A153" s="396" t="s">
        <v>199</v>
      </c>
      <c r="B153" s="395" t="s">
        <v>200</v>
      </c>
      <c r="C153" s="381" t="s">
        <v>13</v>
      </c>
      <c r="D153" s="383">
        <v>61.2</v>
      </c>
      <c r="E153" s="384">
        <v>321802</v>
      </c>
      <c r="F153" s="384">
        <f>ROUND(D153*E153,2)</f>
        <v>19694282.399999999</v>
      </c>
    </row>
    <row r="154" spans="1:6" s="9" customFormat="1" ht="35.1" customHeight="1" x14ac:dyDescent="0.25">
      <c r="A154" s="396" t="s">
        <v>201</v>
      </c>
      <c r="B154" s="395" t="s">
        <v>202</v>
      </c>
      <c r="C154" s="381" t="s">
        <v>13</v>
      </c>
      <c r="D154" s="383">
        <v>222.85</v>
      </c>
      <c r="E154" s="384">
        <v>364675</v>
      </c>
      <c r="F154" s="384">
        <f>ROUND(D154*E154,2)</f>
        <v>81267823.75</v>
      </c>
    </row>
    <row r="155" spans="1:6" s="9" customFormat="1" ht="35.1" customHeight="1" x14ac:dyDescent="0.25">
      <c r="A155" s="396" t="s">
        <v>203</v>
      </c>
      <c r="B155" s="395" t="s">
        <v>204</v>
      </c>
      <c r="C155" s="381" t="s">
        <v>13</v>
      </c>
      <c r="D155" s="383">
        <v>34.020000000000003</v>
      </c>
      <c r="E155" s="384">
        <v>381533</v>
      </c>
      <c r="F155" s="384">
        <f>ROUND(D155*E155,2)</f>
        <v>12979752.66</v>
      </c>
    </row>
    <row r="156" spans="1:6" s="9" customFormat="1" ht="35.1" customHeight="1" x14ac:dyDescent="0.25">
      <c r="A156" s="396" t="s">
        <v>205</v>
      </c>
      <c r="B156" s="395" t="s">
        <v>206</v>
      </c>
      <c r="C156" s="381" t="s">
        <v>13</v>
      </c>
      <c r="D156" s="383">
        <v>26.13</v>
      </c>
      <c r="E156" s="384">
        <v>381533</v>
      </c>
      <c r="F156" s="384">
        <f>ROUND(D156*E156,2)</f>
        <v>9969457.2899999991</v>
      </c>
    </row>
    <row r="157" spans="1:6" s="357" customFormat="1" ht="35.1" customHeight="1" x14ac:dyDescent="0.25">
      <c r="A157" s="385" t="s">
        <v>207</v>
      </c>
      <c r="B157" s="386" t="s">
        <v>208</v>
      </c>
      <c r="C157" s="385"/>
      <c r="D157" s="385"/>
      <c r="E157" s="388">
        <v>0</v>
      </c>
      <c r="F157" s="388">
        <f t="shared" si="28"/>
        <v>0</v>
      </c>
    </row>
    <row r="158" spans="1:6" s="9" customFormat="1" ht="35.1" customHeight="1" x14ac:dyDescent="0.25">
      <c r="A158" s="396" t="s">
        <v>209</v>
      </c>
      <c r="B158" s="395" t="s">
        <v>210</v>
      </c>
      <c r="C158" s="381" t="s">
        <v>13</v>
      </c>
      <c r="D158" s="383">
        <v>243.78</v>
      </c>
      <c r="E158" s="384">
        <v>255167</v>
      </c>
      <c r="F158" s="384">
        <f t="shared" ref="F158:F164" si="29">ROUND(D158*E158,2)</f>
        <v>62204611.259999998</v>
      </c>
    </row>
    <row r="159" spans="1:6" s="9" customFormat="1" ht="35.1" customHeight="1" x14ac:dyDescent="0.25">
      <c r="A159" s="396" t="s">
        <v>211</v>
      </c>
      <c r="B159" s="395" t="s">
        <v>200</v>
      </c>
      <c r="C159" s="381" t="s">
        <v>13</v>
      </c>
      <c r="D159" s="383">
        <v>26.96</v>
      </c>
      <c r="E159" s="384">
        <v>321802</v>
      </c>
      <c r="F159" s="384">
        <f t="shared" si="29"/>
        <v>8675781.9199999999</v>
      </c>
    </row>
    <row r="160" spans="1:6" s="9" customFormat="1" ht="35.1" customHeight="1" x14ac:dyDescent="0.25">
      <c r="A160" s="396" t="s">
        <v>212</v>
      </c>
      <c r="B160" s="395" t="s">
        <v>202</v>
      </c>
      <c r="C160" s="381" t="s">
        <v>13</v>
      </c>
      <c r="D160" s="383">
        <v>60.01</v>
      </c>
      <c r="E160" s="384">
        <v>364675</v>
      </c>
      <c r="F160" s="384">
        <f t="shared" si="29"/>
        <v>21884146.75</v>
      </c>
    </row>
    <row r="161" spans="1:6" s="9" customFormat="1" ht="35.1" customHeight="1" x14ac:dyDescent="0.25">
      <c r="A161" s="396" t="s">
        <v>213</v>
      </c>
      <c r="B161" s="395" t="s">
        <v>214</v>
      </c>
      <c r="C161" s="381" t="s">
        <v>13</v>
      </c>
      <c r="D161" s="383">
        <v>142.59</v>
      </c>
      <c r="E161" s="384">
        <v>364675</v>
      </c>
      <c r="F161" s="384">
        <f t="shared" si="29"/>
        <v>51999008.25</v>
      </c>
    </row>
    <row r="162" spans="1:6" s="9" customFormat="1" ht="35.1" customHeight="1" x14ac:dyDescent="0.25">
      <c r="A162" s="396" t="s">
        <v>215</v>
      </c>
      <c r="B162" s="395" t="s">
        <v>216</v>
      </c>
      <c r="C162" s="381" t="s">
        <v>13</v>
      </c>
      <c r="D162" s="383">
        <v>86.98</v>
      </c>
      <c r="E162" s="384">
        <v>378593</v>
      </c>
      <c r="F162" s="384">
        <f t="shared" si="29"/>
        <v>32930019.140000001</v>
      </c>
    </row>
    <row r="163" spans="1:6" s="9" customFormat="1" ht="35.1" customHeight="1" x14ac:dyDescent="0.25">
      <c r="A163" s="396" t="s">
        <v>217</v>
      </c>
      <c r="B163" s="395" t="s">
        <v>218</v>
      </c>
      <c r="C163" s="381" t="s">
        <v>13</v>
      </c>
      <c r="D163" s="383">
        <v>23.52</v>
      </c>
      <c r="E163" s="384">
        <v>381533</v>
      </c>
      <c r="F163" s="384">
        <f t="shared" si="29"/>
        <v>8973656.1600000001</v>
      </c>
    </row>
    <row r="164" spans="1:6" s="9" customFormat="1" ht="35.1" customHeight="1" x14ac:dyDescent="0.25">
      <c r="A164" s="396" t="s">
        <v>219</v>
      </c>
      <c r="B164" s="382" t="s">
        <v>220</v>
      </c>
      <c r="C164" s="381" t="s">
        <v>13</v>
      </c>
      <c r="D164" s="383">
        <v>26.38</v>
      </c>
      <c r="E164" s="384">
        <v>425079</v>
      </c>
      <c r="F164" s="384">
        <f t="shared" si="29"/>
        <v>11213584.02</v>
      </c>
    </row>
    <row r="165" spans="1:6" s="357" customFormat="1" ht="35.1" customHeight="1" x14ac:dyDescent="0.25">
      <c r="A165" s="385" t="s">
        <v>1124</v>
      </c>
      <c r="B165" s="386" t="s">
        <v>1125</v>
      </c>
      <c r="C165" s="385"/>
      <c r="D165" s="385"/>
      <c r="E165" s="388">
        <v>0</v>
      </c>
      <c r="F165" s="388">
        <f t="shared" si="28"/>
        <v>0</v>
      </c>
    </row>
    <row r="166" spans="1:6" s="9" customFormat="1" ht="35.1" customHeight="1" x14ac:dyDescent="0.25">
      <c r="A166" s="396" t="s">
        <v>1126</v>
      </c>
      <c r="B166" s="395" t="s">
        <v>210</v>
      </c>
      <c r="C166" s="381" t="s">
        <v>13</v>
      </c>
      <c r="D166" s="383">
        <v>181.07</v>
      </c>
      <c r="E166" s="384">
        <v>257506</v>
      </c>
      <c r="F166" s="384">
        <f t="shared" ref="F166:F171" si="30">ROUND(D166*E166,2)</f>
        <v>46626611.420000002</v>
      </c>
    </row>
    <row r="167" spans="1:6" s="9" customFormat="1" ht="35.1" customHeight="1" x14ac:dyDescent="0.25">
      <c r="A167" s="396" t="s">
        <v>1127</v>
      </c>
      <c r="B167" s="395" t="s">
        <v>1128</v>
      </c>
      <c r="C167" s="381" t="s">
        <v>13</v>
      </c>
      <c r="D167" s="383">
        <v>34.630000000000003</v>
      </c>
      <c r="E167" s="384">
        <v>321802</v>
      </c>
      <c r="F167" s="384">
        <f t="shared" si="30"/>
        <v>11144003.26</v>
      </c>
    </row>
    <row r="168" spans="1:6" s="9" customFormat="1" ht="35.1" customHeight="1" x14ac:dyDescent="0.25">
      <c r="A168" s="396" t="s">
        <v>1129</v>
      </c>
      <c r="B168" s="395" t="s">
        <v>202</v>
      </c>
      <c r="C168" s="381" t="s">
        <v>13</v>
      </c>
      <c r="D168" s="383">
        <v>87.57</v>
      </c>
      <c r="E168" s="384">
        <v>364675</v>
      </c>
      <c r="F168" s="384">
        <f t="shared" si="30"/>
        <v>31934589.75</v>
      </c>
    </row>
    <row r="169" spans="1:6" s="9" customFormat="1" ht="35.1" customHeight="1" x14ac:dyDescent="0.25">
      <c r="A169" s="396" t="s">
        <v>1130</v>
      </c>
      <c r="B169" s="395" t="s">
        <v>214</v>
      </c>
      <c r="C169" s="381" t="s">
        <v>13</v>
      </c>
      <c r="D169" s="383">
        <v>157.53</v>
      </c>
      <c r="E169" s="384">
        <v>364675</v>
      </c>
      <c r="F169" s="384">
        <f t="shared" si="30"/>
        <v>57447252.75</v>
      </c>
    </row>
    <row r="170" spans="1:6" s="9" customFormat="1" ht="35.1" customHeight="1" x14ac:dyDescent="0.25">
      <c r="A170" s="396" t="s">
        <v>1131</v>
      </c>
      <c r="B170" s="395" t="s">
        <v>204</v>
      </c>
      <c r="C170" s="381" t="s">
        <v>13</v>
      </c>
      <c r="D170" s="383">
        <v>148.13999999999999</v>
      </c>
      <c r="E170" s="384">
        <v>381533</v>
      </c>
      <c r="F170" s="384">
        <f t="shared" si="30"/>
        <v>56520298.619999997</v>
      </c>
    </row>
    <row r="171" spans="1:6" s="9" customFormat="1" ht="35.1" customHeight="1" x14ac:dyDescent="0.25">
      <c r="A171" s="396" t="s">
        <v>1132</v>
      </c>
      <c r="B171" s="382" t="s">
        <v>1133</v>
      </c>
      <c r="C171" s="381" t="s">
        <v>13</v>
      </c>
      <c r="D171" s="383">
        <v>31.33</v>
      </c>
      <c r="E171" s="384">
        <v>425079</v>
      </c>
      <c r="F171" s="384">
        <f t="shared" si="30"/>
        <v>13317725.07</v>
      </c>
    </row>
    <row r="172" spans="1:6" s="357" customFormat="1" ht="35.1" customHeight="1" x14ac:dyDescent="0.25">
      <c r="A172" s="385" t="s">
        <v>1134</v>
      </c>
      <c r="B172" s="386" t="s">
        <v>1135</v>
      </c>
      <c r="C172" s="385"/>
      <c r="D172" s="385"/>
      <c r="E172" s="388">
        <v>0</v>
      </c>
      <c r="F172" s="388">
        <f t="shared" si="28"/>
        <v>0</v>
      </c>
    </row>
    <row r="173" spans="1:6" s="9" customFormat="1" ht="35.1" customHeight="1" x14ac:dyDescent="0.25">
      <c r="A173" s="396" t="s">
        <v>1136</v>
      </c>
      <c r="B173" s="395" t="s">
        <v>210</v>
      </c>
      <c r="C173" s="381" t="s">
        <v>13</v>
      </c>
      <c r="D173" s="383">
        <v>41.36</v>
      </c>
      <c r="E173" s="384">
        <v>257506</v>
      </c>
      <c r="F173" s="384">
        <f t="shared" ref="F173:F178" si="31">ROUND(D173*E173,2)</f>
        <v>10650448.16</v>
      </c>
    </row>
    <row r="174" spans="1:6" s="9" customFormat="1" ht="35.1" customHeight="1" x14ac:dyDescent="0.25">
      <c r="A174" s="396" t="s">
        <v>1137</v>
      </c>
      <c r="B174" s="395" t="s">
        <v>1128</v>
      </c>
      <c r="C174" s="381" t="s">
        <v>13</v>
      </c>
      <c r="D174" s="383">
        <v>124.89</v>
      </c>
      <c r="E174" s="384">
        <v>321802</v>
      </c>
      <c r="F174" s="384">
        <f t="shared" si="31"/>
        <v>40189851.780000001</v>
      </c>
    </row>
    <row r="175" spans="1:6" s="9" customFormat="1" ht="35.1" customHeight="1" x14ac:dyDescent="0.25">
      <c r="A175" s="396" t="s">
        <v>1138</v>
      </c>
      <c r="B175" s="395" t="s">
        <v>202</v>
      </c>
      <c r="C175" s="381" t="s">
        <v>13</v>
      </c>
      <c r="D175" s="383">
        <v>82.95</v>
      </c>
      <c r="E175" s="384">
        <v>364675</v>
      </c>
      <c r="F175" s="384">
        <f t="shared" si="31"/>
        <v>30249791.25</v>
      </c>
    </row>
    <row r="176" spans="1:6" s="9" customFormat="1" ht="35.1" customHeight="1" x14ac:dyDescent="0.25">
      <c r="A176" s="381" t="s">
        <v>1139</v>
      </c>
      <c r="B176" s="382" t="s">
        <v>214</v>
      </c>
      <c r="C176" s="381" t="s">
        <v>13</v>
      </c>
      <c r="D176" s="383">
        <v>157.53</v>
      </c>
      <c r="E176" s="384">
        <v>364675</v>
      </c>
      <c r="F176" s="384">
        <f t="shared" si="31"/>
        <v>57447252.75</v>
      </c>
    </row>
    <row r="177" spans="1:6" s="9" customFormat="1" ht="35.1" customHeight="1" x14ac:dyDescent="0.25">
      <c r="A177" s="381" t="s">
        <v>1140</v>
      </c>
      <c r="B177" s="382" t="s">
        <v>216</v>
      </c>
      <c r="C177" s="381" t="s">
        <v>13</v>
      </c>
      <c r="D177" s="383">
        <v>84.61</v>
      </c>
      <c r="E177" s="384">
        <v>378593</v>
      </c>
      <c r="F177" s="384">
        <f t="shared" si="31"/>
        <v>32032753.73</v>
      </c>
    </row>
    <row r="178" spans="1:6" s="9" customFormat="1" ht="35.1" customHeight="1" x14ac:dyDescent="0.25">
      <c r="A178" s="381" t="s">
        <v>1141</v>
      </c>
      <c r="B178" s="382" t="s">
        <v>220</v>
      </c>
      <c r="C178" s="381" t="s">
        <v>13</v>
      </c>
      <c r="D178" s="383">
        <v>31.96</v>
      </c>
      <c r="E178" s="384">
        <v>425079</v>
      </c>
      <c r="F178" s="384">
        <f t="shared" si="31"/>
        <v>13585524.84</v>
      </c>
    </row>
    <row r="179" spans="1:6" s="354" customFormat="1" ht="35.1" customHeight="1" x14ac:dyDescent="0.25">
      <c r="A179" s="389">
        <v>9</v>
      </c>
      <c r="B179" s="390" t="s">
        <v>221</v>
      </c>
      <c r="C179" s="390"/>
      <c r="D179" s="390"/>
      <c r="E179" s="392">
        <v>0</v>
      </c>
      <c r="F179" s="392">
        <f t="shared" si="28"/>
        <v>0</v>
      </c>
    </row>
    <row r="180" spans="1:6" s="357" customFormat="1" ht="35.1" customHeight="1" x14ac:dyDescent="0.25">
      <c r="A180" s="385" t="s">
        <v>222</v>
      </c>
      <c r="B180" s="386" t="s">
        <v>223</v>
      </c>
      <c r="C180" s="385"/>
      <c r="D180" s="385"/>
      <c r="E180" s="388">
        <v>0</v>
      </c>
      <c r="F180" s="388">
        <f t="shared" si="28"/>
        <v>0</v>
      </c>
    </row>
    <row r="181" spans="1:6" s="9" customFormat="1" ht="35.1" customHeight="1" x14ac:dyDescent="0.25">
      <c r="A181" s="396" t="s">
        <v>224</v>
      </c>
      <c r="B181" s="395" t="s">
        <v>225</v>
      </c>
      <c r="C181" s="381" t="s">
        <v>13</v>
      </c>
      <c r="D181" s="383">
        <v>4.4000000000000004</v>
      </c>
      <c r="E181" s="384">
        <v>1425926</v>
      </c>
      <c r="F181" s="384">
        <f>ROUND(D181*E181,2)</f>
        <v>6274074.4000000004</v>
      </c>
    </row>
    <row r="182" spans="1:6" s="9" customFormat="1" ht="35.1" customHeight="1" x14ac:dyDescent="0.25">
      <c r="A182" s="396" t="s">
        <v>226</v>
      </c>
      <c r="B182" s="395" t="s">
        <v>227</v>
      </c>
      <c r="C182" s="381" t="s">
        <v>13</v>
      </c>
      <c r="D182" s="383">
        <v>15.12</v>
      </c>
      <c r="E182" s="384">
        <v>135730</v>
      </c>
      <c r="F182" s="384">
        <f>ROUND(D182*E182,2)</f>
        <v>2052237.6</v>
      </c>
    </row>
    <row r="183" spans="1:6" s="9" customFormat="1" ht="35.1" customHeight="1" x14ac:dyDescent="0.25">
      <c r="A183" s="396" t="s">
        <v>228</v>
      </c>
      <c r="B183" s="395" t="s">
        <v>229</v>
      </c>
      <c r="C183" s="381" t="s">
        <v>13</v>
      </c>
      <c r="D183" s="383">
        <v>33.6</v>
      </c>
      <c r="E183" s="384">
        <v>159615</v>
      </c>
      <c r="F183" s="384">
        <f>ROUND(D183*E183,2)</f>
        <v>5363064</v>
      </c>
    </row>
    <row r="184" spans="1:6" s="9" customFormat="1" ht="35.1" customHeight="1" x14ac:dyDescent="0.25">
      <c r="A184" s="396" t="s">
        <v>230</v>
      </c>
      <c r="B184" s="395" t="s">
        <v>1142</v>
      </c>
      <c r="C184" s="381" t="s">
        <v>13</v>
      </c>
      <c r="D184" s="383">
        <v>15.84</v>
      </c>
      <c r="E184" s="384">
        <v>260230</v>
      </c>
      <c r="F184" s="384">
        <f>ROUND(D184*E184,2)</f>
        <v>4122043.2</v>
      </c>
    </row>
    <row r="185" spans="1:6" s="357" customFormat="1" ht="35.1" customHeight="1" x14ac:dyDescent="0.25">
      <c r="A185" s="385" t="s">
        <v>232</v>
      </c>
      <c r="B185" s="386" t="s">
        <v>233</v>
      </c>
      <c r="C185" s="399"/>
      <c r="D185" s="385"/>
      <c r="E185" s="388">
        <v>0</v>
      </c>
      <c r="F185" s="388">
        <f t="shared" si="28"/>
        <v>0</v>
      </c>
    </row>
    <row r="186" spans="1:6" s="9" customFormat="1" ht="35.1" customHeight="1" x14ac:dyDescent="0.25">
      <c r="A186" s="396" t="s">
        <v>234</v>
      </c>
      <c r="B186" s="395" t="s">
        <v>225</v>
      </c>
      <c r="C186" s="381" t="s">
        <v>13</v>
      </c>
      <c r="D186" s="383">
        <v>4.4000000000000004</v>
      </c>
      <c r="E186" s="384">
        <v>1425926</v>
      </c>
      <c r="F186" s="384">
        <f t="shared" ref="F186:F192" si="32">ROUND(D186*E186,2)</f>
        <v>6274074.4000000004</v>
      </c>
    </row>
    <row r="187" spans="1:6" s="9" customFormat="1" ht="35.1" customHeight="1" x14ac:dyDescent="0.25">
      <c r="A187" s="396" t="s">
        <v>235</v>
      </c>
      <c r="B187" s="395" t="s">
        <v>227</v>
      </c>
      <c r="C187" s="381" t="s">
        <v>13</v>
      </c>
      <c r="D187" s="383">
        <v>12.96</v>
      </c>
      <c r="E187" s="384">
        <v>135730</v>
      </c>
      <c r="F187" s="384">
        <f t="shared" si="32"/>
        <v>1759060.8</v>
      </c>
    </row>
    <row r="188" spans="1:6" s="9" customFormat="1" ht="35.1" customHeight="1" x14ac:dyDescent="0.25">
      <c r="A188" s="396" t="s">
        <v>236</v>
      </c>
      <c r="B188" s="395" t="s">
        <v>237</v>
      </c>
      <c r="C188" s="381" t="s">
        <v>13</v>
      </c>
      <c r="D188" s="383">
        <v>2.4</v>
      </c>
      <c r="E188" s="384">
        <v>754811</v>
      </c>
      <c r="F188" s="384">
        <f t="shared" si="32"/>
        <v>1811546.4</v>
      </c>
    </row>
    <row r="189" spans="1:6" s="9" customFormat="1" ht="35.1" customHeight="1" x14ac:dyDescent="0.25">
      <c r="A189" s="396" t="s">
        <v>238</v>
      </c>
      <c r="B189" s="395" t="s">
        <v>239</v>
      </c>
      <c r="C189" s="381" t="s">
        <v>13</v>
      </c>
      <c r="D189" s="383">
        <v>12.96</v>
      </c>
      <c r="E189" s="384">
        <v>754811</v>
      </c>
      <c r="F189" s="384">
        <f t="shared" si="32"/>
        <v>9782350.5600000005</v>
      </c>
    </row>
    <row r="190" spans="1:6" s="9" customFormat="1" ht="35.1" customHeight="1" x14ac:dyDescent="0.25">
      <c r="A190" s="396" t="s">
        <v>240</v>
      </c>
      <c r="B190" s="395" t="s">
        <v>241</v>
      </c>
      <c r="C190" s="381" t="s">
        <v>13</v>
      </c>
      <c r="D190" s="383">
        <v>5.76</v>
      </c>
      <c r="E190" s="384">
        <v>754811</v>
      </c>
      <c r="F190" s="384">
        <f t="shared" si="32"/>
        <v>4347711.3600000003</v>
      </c>
    </row>
    <row r="191" spans="1:6" s="9" customFormat="1" ht="35.1" customHeight="1" x14ac:dyDescent="0.25">
      <c r="A191" s="396" t="s">
        <v>242</v>
      </c>
      <c r="B191" s="395" t="s">
        <v>229</v>
      </c>
      <c r="C191" s="381" t="s">
        <v>13</v>
      </c>
      <c r="D191" s="383">
        <v>4.8</v>
      </c>
      <c r="E191" s="384">
        <v>159615</v>
      </c>
      <c r="F191" s="384">
        <f t="shared" si="32"/>
        <v>766152</v>
      </c>
    </row>
    <row r="192" spans="1:6" s="9" customFormat="1" ht="35.1" customHeight="1" x14ac:dyDescent="0.25">
      <c r="A192" s="396" t="s">
        <v>243</v>
      </c>
      <c r="B192" s="395" t="s">
        <v>244</v>
      </c>
      <c r="C192" s="381" t="s">
        <v>13</v>
      </c>
      <c r="D192" s="383">
        <v>24.8</v>
      </c>
      <c r="E192" s="384">
        <v>598255</v>
      </c>
      <c r="F192" s="384">
        <f t="shared" si="32"/>
        <v>14836724</v>
      </c>
    </row>
    <row r="193" spans="1:6" s="357" customFormat="1" ht="35.1" customHeight="1" x14ac:dyDescent="0.25">
      <c r="A193" s="385" t="s">
        <v>245</v>
      </c>
      <c r="B193" s="386" t="s">
        <v>246</v>
      </c>
      <c r="C193" s="385"/>
      <c r="D193" s="385"/>
      <c r="E193" s="388">
        <v>0</v>
      </c>
      <c r="F193" s="388">
        <f t="shared" si="28"/>
        <v>0</v>
      </c>
    </row>
    <row r="194" spans="1:6" s="9" customFormat="1" ht="35.1" customHeight="1" x14ac:dyDescent="0.25">
      <c r="A194" s="396" t="s">
        <v>247</v>
      </c>
      <c r="B194" s="395" t="s">
        <v>225</v>
      </c>
      <c r="C194" s="381" t="s">
        <v>13</v>
      </c>
      <c r="D194" s="383">
        <v>4.4000000000000004</v>
      </c>
      <c r="E194" s="384">
        <v>1425926</v>
      </c>
      <c r="F194" s="384">
        <f t="shared" ref="F194:F199" si="33">ROUND(D194*E194,2)</f>
        <v>6274074.4000000004</v>
      </c>
    </row>
    <row r="195" spans="1:6" s="9" customFormat="1" ht="35.1" customHeight="1" x14ac:dyDescent="0.25">
      <c r="A195" s="396" t="s">
        <v>248</v>
      </c>
      <c r="B195" s="395" t="s">
        <v>227</v>
      </c>
      <c r="C195" s="381" t="s">
        <v>13</v>
      </c>
      <c r="D195" s="383">
        <v>4.32</v>
      </c>
      <c r="E195" s="384">
        <v>135730</v>
      </c>
      <c r="F195" s="384">
        <f t="shared" si="33"/>
        <v>586353.6</v>
      </c>
    </row>
    <row r="196" spans="1:6" s="9" customFormat="1" ht="35.1" customHeight="1" x14ac:dyDescent="0.25">
      <c r="A196" s="396" t="s">
        <v>249</v>
      </c>
      <c r="B196" s="395" t="s">
        <v>237</v>
      </c>
      <c r="C196" s="381" t="s">
        <v>13</v>
      </c>
      <c r="D196" s="383">
        <v>9.6</v>
      </c>
      <c r="E196" s="384">
        <v>754811</v>
      </c>
      <c r="F196" s="384">
        <f t="shared" si="33"/>
        <v>7246185.5999999996</v>
      </c>
    </row>
    <row r="197" spans="1:6" s="9" customFormat="1" ht="35.1" customHeight="1" x14ac:dyDescent="0.25">
      <c r="A197" s="396" t="s">
        <v>250</v>
      </c>
      <c r="B197" s="395" t="s">
        <v>239</v>
      </c>
      <c r="C197" s="381" t="s">
        <v>13</v>
      </c>
      <c r="D197" s="383">
        <v>4.32</v>
      </c>
      <c r="E197" s="384">
        <v>754811</v>
      </c>
      <c r="F197" s="384">
        <f t="shared" si="33"/>
        <v>3260783.52</v>
      </c>
    </row>
    <row r="198" spans="1:6" s="9" customFormat="1" ht="35.1" customHeight="1" x14ac:dyDescent="0.25">
      <c r="A198" s="396" t="s">
        <v>251</v>
      </c>
      <c r="B198" s="395" t="s">
        <v>241</v>
      </c>
      <c r="C198" s="381" t="s">
        <v>13</v>
      </c>
      <c r="D198" s="383">
        <v>5.76</v>
      </c>
      <c r="E198" s="384">
        <v>754811</v>
      </c>
      <c r="F198" s="384">
        <f t="shared" si="33"/>
        <v>4347711.3600000003</v>
      </c>
    </row>
    <row r="199" spans="1:6" s="9" customFormat="1" ht="35.1" customHeight="1" x14ac:dyDescent="0.25">
      <c r="A199" s="396" t="s">
        <v>252</v>
      </c>
      <c r="B199" s="395" t="s">
        <v>244</v>
      </c>
      <c r="C199" s="381" t="s">
        <v>13</v>
      </c>
      <c r="D199" s="383">
        <v>28.51</v>
      </c>
      <c r="E199" s="384">
        <v>598255</v>
      </c>
      <c r="F199" s="384">
        <f t="shared" si="33"/>
        <v>17056250.050000001</v>
      </c>
    </row>
    <row r="200" spans="1:6" s="357" customFormat="1" ht="35.1" customHeight="1" x14ac:dyDescent="0.25">
      <c r="A200" s="385" t="s">
        <v>1143</v>
      </c>
      <c r="B200" s="386" t="s">
        <v>1144</v>
      </c>
      <c r="C200" s="385"/>
      <c r="D200" s="385"/>
      <c r="E200" s="388">
        <v>0</v>
      </c>
      <c r="F200" s="388">
        <f t="shared" si="28"/>
        <v>0</v>
      </c>
    </row>
    <row r="201" spans="1:6" s="9" customFormat="1" ht="35.1" customHeight="1" x14ac:dyDescent="0.25">
      <c r="A201" s="396" t="s">
        <v>1145</v>
      </c>
      <c r="B201" s="395" t="s">
        <v>225</v>
      </c>
      <c r="C201" s="381" t="s">
        <v>13</v>
      </c>
      <c r="D201" s="383">
        <v>4.4000000000000004</v>
      </c>
      <c r="E201" s="384">
        <v>1425926</v>
      </c>
      <c r="F201" s="384">
        <f t="shared" ref="F201:F206" si="34">ROUND(D201*E201,2)</f>
        <v>6274074.4000000004</v>
      </c>
    </row>
    <row r="202" spans="1:6" s="9" customFormat="1" ht="35.1" customHeight="1" x14ac:dyDescent="0.25">
      <c r="A202" s="396" t="s">
        <v>1146</v>
      </c>
      <c r="B202" s="395" t="s">
        <v>227</v>
      </c>
      <c r="C202" s="381" t="s">
        <v>13</v>
      </c>
      <c r="D202" s="383">
        <v>4.32</v>
      </c>
      <c r="E202" s="384">
        <v>135730</v>
      </c>
      <c r="F202" s="384">
        <f t="shared" si="34"/>
        <v>586353.6</v>
      </c>
    </row>
    <row r="203" spans="1:6" s="9" customFormat="1" ht="35.1" customHeight="1" x14ac:dyDescent="0.25">
      <c r="A203" s="396" t="s">
        <v>1147</v>
      </c>
      <c r="B203" s="395" t="s">
        <v>237</v>
      </c>
      <c r="C203" s="381" t="s">
        <v>13</v>
      </c>
      <c r="D203" s="383">
        <v>7.2</v>
      </c>
      <c r="E203" s="384">
        <v>754811</v>
      </c>
      <c r="F203" s="384">
        <f t="shared" si="34"/>
        <v>5434639.2000000002</v>
      </c>
    </row>
    <row r="204" spans="1:6" s="9" customFormat="1" ht="35.1" customHeight="1" x14ac:dyDescent="0.25">
      <c r="A204" s="396" t="s">
        <v>1148</v>
      </c>
      <c r="B204" s="395" t="s">
        <v>239</v>
      </c>
      <c r="C204" s="381" t="s">
        <v>13</v>
      </c>
      <c r="D204" s="383">
        <v>2.16</v>
      </c>
      <c r="E204" s="384">
        <v>754811</v>
      </c>
      <c r="F204" s="384">
        <f t="shared" si="34"/>
        <v>1630391.76</v>
      </c>
    </row>
    <row r="205" spans="1:6" s="9" customFormat="1" ht="35.1" customHeight="1" x14ac:dyDescent="0.25">
      <c r="A205" s="396" t="s">
        <v>1149</v>
      </c>
      <c r="B205" s="395" t="s">
        <v>241</v>
      </c>
      <c r="C205" s="381" t="s">
        <v>13</v>
      </c>
      <c r="D205" s="383">
        <v>5.76</v>
      </c>
      <c r="E205" s="384">
        <v>754811</v>
      </c>
      <c r="F205" s="384">
        <f t="shared" si="34"/>
        <v>4347711.3600000003</v>
      </c>
    </row>
    <row r="206" spans="1:6" s="9" customFormat="1" ht="35.1" customHeight="1" x14ac:dyDescent="0.25">
      <c r="A206" s="396" t="s">
        <v>1150</v>
      </c>
      <c r="B206" s="395" t="s">
        <v>244</v>
      </c>
      <c r="C206" s="381" t="s">
        <v>13</v>
      </c>
      <c r="D206" s="383">
        <v>24.12</v>
      </c>
      <c r="E206" s="384">
        <v>598255</v>
      </c>
      <c r="F206" s="384">
        <f t="shared" si="34"/>
        <v>14429910.6</v>
      </c>
    </row>
    <row r="207" spans="1:6" s="357" customFormat="1" ht="35.1" customHeight="1" x14ac:dyDescent="0.25">
      <c r="A207" s="385" t="s">
        <v>1151</v>
      </c>
      <c r="B207" s="386" t="s">
        <v>1152</v>
      </c>
      <c r="C207" s="385"/>
      <c r="D207" s="385"/>
      <c r="E207" s="388">
        <v>0</v>
      </c>
      <c r="F207" s="388">
        <f t="shared" si="28"/>
        <v>0</v>
      </c>
    </row>
    <row r="208" spans="1:6" s="9" customFormat="1" ht="35.1" customHeight="1" x14ac:dyDescent="0.25">
      <c r="A208" s="396" t="s">
        <v>1153</v>
      </c>
      <c r="B208" s="395" t="s">
        <v>225</v>
      </c>
      <c r="C208" s="381" t="s">
        <v>13</v>
      </c>
      <c r="D208" s="383">
        <v>4.4000000000000004</v>
      </c>
      <c r="E208" s="384">
        <v>1425926</v>
      </c>
      <c r="F208" s="384">
        <f t="shared" ref="F208:F215" si="35">ROUND(D208*E208,2)</f>
        <v>6274074.4000000004</v>
      </c>
    </row>
    <row r="209" spans="1:6" s="9" customFormat="1" ht="35.1" customHeight="1" x14ac:dyDescent="0.25">
      <c r="A209" s="396" t="s">
        <v>1154</v>
      </c>
      <c r="B209" s="395" t="s">
        <v>227</v>
      </c>
      <c r="C209" s="381" t="s">
        <v>13</v>
      </c>
      <c r="D209" s="383">
        <v>4.32</v>
      </c>
      <c r="E209" s="384">
        <v>135730</v>
      </c>
      <c r="F209" s="384">
        <f t="shared" si="35"/>
        <v>586353.6</v>
      </c>
    </row>
    <row r="210" spans="1:6" s="9" customFormat="1" ht="35.1" customHeight="1" x14ac:dyDescent="0.25">
      <c r="A210" s="396" t="s">
        <v>1155</v>
      </c>
      <c r="B210" s="395" t="s">
        <v>237</v>
      </c>
      <c r="C210" s="381" t="s">
        <v>13</v>
      </c>
      <c r="D210" s="383">
        <v>4.8</v>
      </c>
      <c r="E210" s="384">
        <v>754811</v>
      </c>
      <c r="F210" s="384">
        <f t="shared" si="35"/>
        <v>3623092.8</v>
      </c>
    </row>
    <row r="211" spans="1:6" s="9" customFormat="1" ht="35.1" customHeight="1" x14ac:dyDescent="0.25">
      <c r="A211" s="396" t="s">
        <v>1156</v>
      </c>
      <c r="B211" s="395" t="s">
        <v>239</v>
      </c>
      <c r="C211" s="381" t="s">
        <v>13</v>
      </c>
      <c r="D211" s="383">
        <v>2.16</v>
      </c>
      <c r="E211" s="384">
        <v>754811</v>
      </c>
      <c r="F211" s="384">
        <f t="shared" si="35"/>
        <v>1630391.76</v>
      </c>
    </row>
    <row r="212" spans="1:6" s="9" customFormat="1" ht="35.1" customHeight="1" x14ac:dyDescent="0.25">
      <c r="A212" s="396" t="s">
        <v>1157</v>
      </c>
      <c r="B212" s="395" t="s">
        <v>241</v>
      </c>
      <c r="C212" s="381" t="s">
        <v>13</v>
      </c>
      <c r="D212" s="383">
        <v>3.84</v>
      </c>
      <c r="E212" s="384">
        <v>754811</v>
      </c>
      <c r="F212" s="384">
        <f t="shared" si="35"/>
        <v>2898474.24</v>
      </c>
    </row>
    <row r="213" spans="1:6" s="9" customFormat="1" ht="35.1" customHeight="1" x14ac:dyDescent="0.25">
      <c r="A213" s="396" t="s">
        <v>1158</v>
      </c>
      <c r="B213" s="395" t="s">
        <v>1159</v>
      </c>
      <c r="C213" s="381" t="s">
        <v>13</v>
      </c>
      <c r="D213" s="383">
        <v>3.36</v>
      </c>
      <c r="E213" s="384">
        <v>754811</v>
      </c>
      <c r="F213" s="384">
        <f t="shared" si="35"/>
        <v>2536164.96</v>
      </c>
    </row>
    <row r="214" spans="1:6" s="9" customFormat="1" ht="35.1" customHeight="1" x14ac:dyDescent="0.25">
      <c r="A214" s="396" t="s">
        <v>1160</v>
      </c>
      <c r="B214" s="395" t="s">
        <v>229</v>
      </c>
      <c r="C214" s="381" t="s">
        <v>13</v>
      </c>
      <c r="D214" s="383">
        <v>4.8</v>
      </c>
      <c r="E214" s="384">
        <v>754811</v>
      </c>
      <c r="F214" s="384">
        <f t="shared" si="35"/>
        <v>3623092.8</v>
      </c>
    </row>
    <row r="215" spans="1:6" s="9" customFormat="1" ht="35.1" customHeight="1" x14ac:dyDescent="0.25">
      <c r="A215" s="396" t="s">
        <v>1161</v>
      </c>
      <c r="B215" s="395" t="s">
        <v>244</v>
      </c>
      <c r="C215" s="381" t="s">
        <v>13</v>
      </c>
      <c r="D215" s="383">
        <v>24.89</v>
      </c>
      <c r="E215" s="384">
        <v>598255</v>
      </c>
      <c r="F215" s="384">
        <f t="shared" si="35"/>
        <v>14890566.949999999</v>
      </c>
    </row>
    <row r="216" spans="1:6" s="357" customFormat="1" ht="35.1" customHeight="1" x14ac:dyDescent="0.25">
      <c r="A216" s="385" t="s">
        <v>1162</v>
      </c>
      <c r="B216" s="386" t="s">
        <v>1163</v>
      </c>
      <c r="C216" s="385"/>
      <c r="D216" s="385"/>
      <c r="E216" s="388">
        <v>0</v>
      </c>
      <c r="F216" s="388">
        <f t="shared" ref="F216:F257" si="36">D216*E216</f>
        <v>0</v>
      </c>
    </row>
    <row r="217" spans="1:6" s="9" customFormat="1" ht="35.1" customHeight="1" x14ac:dyDescent="0.25">
      <c r="A217" s="396" t="s">
        <v>1164</v>
      </c>
      <c r="B217" s="395" t="s">
        <v>225</v>
      </c>
      <c r="C217" s="381" t="s">
        <v>13</v>
      </c>
      <c r="D217" s="383">
        <v>2.2000000000000002</v>
      </c>
      <c r="E217" s="384">
        <v>1425926</v>
      </c>
      <c r="F217" s="384">
        <f>ROUND(D217*E217,2)</f>
        <v>3137037.2</v>
      </c>
    </row>
    <row r="218" spans="1:6" s="354" customFormat="1" ht="35.1" customHeight="1" x14ac:dyDescent="0.25">
      <c r="A218" s="389">
        <v>10</v>
      </c>
      <c r="B218" s="390" t="s">
        <v>253</v>
      </c>
      <c r="C218" s="390"/>
      <c r="D218" s="390"/>
      <c r="E218" s="392">
        <v>0</v>
      </c>
      <c r="F218" s="392">
        <f t="shared" si="36"/>
        <v>0</v>
      </c>
    </row>
    <row r="219" spans="1:6" s="357" customFormat="1" ht="35.1" customHeight="1" x14ac:dyDescent="0.25">
      <c r="A219" s="385" t="s">
        <v>1165</v>
      </c>
      <c r="B219" s="386" t="s">
        <v>1166</v>
      </c>
      <c r="C219" s="385"/>
      <c r="D219" s="385"/>
      <c r="E219" s="388">
        <v>0</v>
      </c>
      <c r="F219" s="388">
        <f t="shared" si="36"/>
        <v>0</v>
      </c>
    </row>
    <row r="220" spans="1:6" s="9" customFormat="1" ht="35.1" customHeight="1" x14ac:dyDescent="0.25">
      <c r="A220" s="396" t="s">
        <v>1167</v>
      </c>
      <c r="B220" s="395" t="s">
        <v>1168</v>
      </c>
      <c r="C220" s="396" t="s">
        <v>16</v>
      </c>
      <c r="D220" s="383">
        <v>2</v>
      </c>
      <c r="E220" s="384">
        <v>138028798</v>
      </c>
      <c r="F220" s="384">
        <f>ROUND(D220*E220,2)</f>
        <v>276057596</v>
      </c>
    </row>
    <row r="221" spans="1:6" s="357" customFormat="1" ht="35.1" customHeight="1" x14ac:dyDescent="0.25">
      <c r="A221" s="385" t="s">
        <v>254</v>
      </c>
      <c r="B221" s="386" t="s">
        <v>255</v>
      </c>
      <c r="C221" s="385"/>
      <c r="D221" s="385"/>
      <c r="E221" s="388">
        <v>0</v>
      </c>
      <c r="F221" s="388">
        <f t="shared" si="36"/>
        <v>0</v>
      </c>
    </row>
    <row r="222" spans="1:6" s="9" customFormat="1" ht="35.1" customHeight="1" x14ac:dyDescent="0.25">
      <c r="A222" s="381" t="s">
        <v>256</v>
      </c>
      <c r="B222" s="395" t="s">
        <v>257</v>
      </c>
      <c r="C222" s="396" t="s">
        <v>94</v>
      </c>
      <c r="D222" s="383">
        <v>394.4</v>
      </c>
      <c r="E222" s="384">
        <v>652845</v>
      </c>
      <c r="F222" s="384">
        <f>ROUND(D222*E222,2)</f>
        <v>257482068</v>
      </c>
    </row>
    <row r="223" spans="1:6" s="9" customFormat="1" ht="35.1" customHeight="1" x14ac:dyDescent="0.25">
      <c r="A223" s="381" t="s">
        <v>258</v>
      </c>
      <c r="B223" s="395" t="s">
        <v>259</v>
      </c>
      <c r="C223" s="396" t="s">
        <v>94</v>
      </c>
      <c r="D223" s="383">
        <v>60.13</v>
      </c>
      <c r="E223" s="384">
        <v>261929</v>
      </c>
      <c r="F223" s="384">
        <f>ROUND(D223*E223,2)</f>
        <v>15749790.77</v>
      </c>
    </row>
    <row r="224" spans="1:6" s="357" customFormat="1" ht="35.1" customHeight="1" x14ac:dyDescent="0.25">
      <c r="A224" s="385" t="s">
        <v>260</v>
      </c>
      <c r="B224" s="397" t="s">
        <v>261</v>
      </c>
      <c r="C224" s="397"/>
      <c r="D224" s="385"/>
      <c r="E224" s="388">
        <v>0</v>
      </c>
      <c r="F224" s="388">
        <f t="shared" si="36"/>
        <v>0</v>
      </c>
    </row>
    <row r="225" spans="1:6" s="9" customFormat="1" ht="35.1" customHeight="1" x14ac:dyDescent="0.25">
      <c r="A225" s="381" t="s">
        <v>262</v>
      </c>
      <c r="B225" s="395" t="s">
        <v>263</v>
      </c>
      <c r="C225" s="396" t="s">
        <v>13</v>
      </c>
      <c r="D225" s="383">
        <v>167</v>
      </c>
      <c r="E225" s="384">
        <v>628271</v>
      </c>
      <c r="F225" s="384">
        <f>ROUND(D225*E225,2)</f>
        <v>104921257</v>
      </c>
    </row>
    <row r="226" spans="1:6" s="354" customFormat="1" ht="35.1" customHeight="1" x14ac:dyDescent="0.25">
      <c r="A226" s="389">
        <v>11</v>
      </c>
      <c r="B226" s="390" t="s">
        <v>1169</v>
      </c>
      <c r="C226" s="402"/>
      <c r="D226" s="390"/>
      <c r="E226" s="392">
        <v>0</v>
      </c>
      <c r="F226" s="392">
        <f t="shared" si="36"/>
        <v>0</v>
      </c>
    </row>
    <row r="227" spans="1:6" s="357" customFormat="1" ht="35.1" customHeight="1" x14ac:dyDescent="0.25">
      <c r="A227" s="385" t="s">
        <v>1170</v>
      </c>
      <c r="B227" s="386" t="s">
        <v>10</v>
      </c>
      <c r="C227" s="385"/>
      <c r="D227" s="385"/>
      <c r="E227" s="388">
        <v>0</v>
      </c>
      <c r="F227" s="388">
        <f t="shared" si="36"/>
        <v>0</v>
      </c>
    </row>
    <row r="228" spans="1:6" s="9" customFormat="1" ht="35.1" customHeight="1" x14ac:dyDescent="0.25">
      <c r="A228" s="396" t="s">
        <v>1171</v>
      </c>
      <c r="B228" s="395" t="s">
        <v>1050</v>
      </c>
      <c r="C228" s="396" t="s">
        <v>13</v>
      </c>
      <c r="D228" s="383">
        <v>745.72</v>
      </c>
      <c r="E228" s="384">
        <v>3577</v>
      </c>
      <c r="F228" s="384">
        <f>ROUND(D228*E228,2)</f>
        <v>2667440.44</v>
      </c>
    </row>
    <row r="229" spans="1:6" s="9" customFormat="1" ht="35.1" customHeight="1" x14ac:dyDescent="0.25">
      <c r="A229" s="396" t="s">
        <v>1172</v>
      </c>
      <c r="B229" s="395" t="s">
        <v>12</v>
      </c>
      <c r="C229" s="396" t="s">
        <v>13</v>
      </c>
      <c r="D229" s="383">
        <v>745.72</v>
      </c>
      <c r="E229" s="384">
        <v>27259</v>
      </c>
      <c r="F229" s="384">
        <f>ROUND(D229*E229,2)</f>
        <v>20327581.48</v>
      </c>
    </row>
    <row r="230" spans="1:6" s="9" customFormat="1" ht="35.1" customHeight="1" x14ac:dyDescent="0.25">
      <c r="A230" s="396" t="s">
        <v>1173</v>
      </c>
      <c r="B230" s="395" t="s">
        <v>1052</v>
      </c>
      <c r="C230" s="396" t="s">
        <v>94</v>
      </c>
      <c r="D230" s="383">
        <v>110.98</v>
      </c>
      <c r="E230" s="384">
        <v>34631</v>
      </c>
      <c r="F230" s="384">
        <f>ROUND(D230*E230,2)</f>
        <v>3843348.38</v>
      </c>
    </row>
    <row r="231" spans="1:6" s="357" customFormat="1" ht="35.1" customHeight="1" x14ac:dyDescent="0.25">
      <c r="A231" s="385" t="s">
        <v>1174</v>
      </c>
      <c r="B231" s="386" t="s">
        <v>18</v>
      </c>
      <c r="C231" s="385"/>
      <c r="D231" s="385"/>
      <c r="E231" s="388">
        <v>0</v>
      </c>
      <c r="F231" s="388">
        <f t="shared" si="36"/>
        <v>0</v>
      </c>
    </row>
    <row r="232" spans="1:6" s="9" customFormat="1" ht="35.1" customHeight="1" x14ac:dyDescent="0.25">
      <c r="A232" s="396" t="s">
        <v>1175</v>
      </c>
      <c r="B232" s="395" t="s">
        <v>1176</v>
      </c>
      <c r="C232" s="396" t="s">
        <v>16</v>
      </c>
      <c r="D232" s="383">
        <v>1</v>
      </c>
      <c r="E232" s="384">
        <v>567316</v>
      </c>
      <c r="F232" s="384">
        <f>ROUND(D232*E232,2)</f>
        <v>567316</v>
      </c>
    </row>
    <row r="233" spans="1:6" s="9" customFormat="1" ht="35.1" customHeight="1" x14ac:dyDescent="0.25">
      <c r="A233" s="396" t="s">
        <v>1177</v>
      </c>
      <c r="B233" s="395" t="s">
        <v>1178</v>
      </c>
      <c r="C233" s="396" t="s">
        <v>16</v>
      </c>
      <c r="D233" s="383">
        <v>1</v>
      </c>
      <c r="E233" s="384">
        <v>4065792</v>
      </c>
      <c r="F233" s="384">
        <f>ROUND(D233*E233,2)</f>
        <v>4065792</v>
      </c>
    </row>
    <row r="234" spans="1:6" s="357" customFormat="1" ht="35.1" customHeight="1" x14ac:dyDescent="0.25">
      <c r="A234" s="385" t="s">
        <v>1179</v>
      </c>
      <c r="B234" s="386" t="s">
        <v>20</v>
      </c>
      <c r="C234" s="403"/>
      <c r="D234" s="385"/>
      <c r="E234" s="388">
        <v>0</v>
      </c>
      <c r="F234" s="388">
        <f t="shared" si="36"/>
        <v>0</v>
      </c>
    </row>
    <row r="235" spans="1:6" s="9" customFormat="1" ht="35.1" customHeight="1" x14ac:dyDescent="0.25">
      <c r="A235" s="396" t="s">
        <v>1180</v>
      </c>
      <c r="B235" s="382" t="s">
        <v>1421</v>
      </c>
      <c r="C235" s="396" t="s">
        <v>1182</v>
      </c>
      <c r="D235" s="383">
        <v>1</v>
      </c>
      <c r="E235" s="384">
        <v>1988314</v>
      </c>
      <c r="F235" s="384">
        <f>ROUND(D235*E235,2)</f>
        <v>1988314</v>
      </c>
    </row>
    <row r="236" spans="1:6" s="357" customFormat="1" ht="35.1" customHeight="1" x14ac:dyDescent="0.25">
      <c r="A236" s="385" t="s">
        <v>1183</v>
      </c>
      <c r="B236" s="386" t="s">
        <v>1184</v>
      </c>
      <c r="C236" s="403"/>
      <c r="D236" s="385"/>
      <c r="E236" s="388">
        <v>0</v>
      </c>
      <c r="F236" s="388">
        <f t="shared" si="36"/>
        <v>0</v>
      </c>
    </row>
    <row r="237" spans="1:6" s="9" customFormat="1" ht="35.1" customHeight="1" x14ac:dyDescent="0.25">
      <c r="A237" s="381" t="s">
        <v>1185</v>
      </c>
      <c r="B237" s="382" t="s">
        <v>1186</v>
      </c>
      <c r="C237" s="381" t="s">
        <v>30</v>
      </c>
      <c r="D237" s="383">
        <v>79.2</v>
      </c>
      <c r="E237" s="384">
        <v>32648</v>
      </c>
      <c r="F237" s="384">
        <f>ROUND(D237*E237,2)</f>
        <v>2585721.6</v>
      </c>
    </row>
    <row r="238" spans="1:6" s="9" customFormat="1" ht="35.1" customHeight="1" x14ac:dyDescent="0.25">
      <c r="A238" s="381" t="s">
        <v>1187</v>
      </c>
      <c r="B238" s="393" t="s">
        <v>1188</v>
      </c>
      <c r="C238" s="381" t="s">
        <v>30</v>
      </c>
      <c r="D238" s="383">
        <v>110</v>
      </c>
      <c r="E238" s="384">
        <v>148314</v>
      </c>
      <c r="F238" s="384">
        <f>ROUND(D238*E238,2)</f>
        <v>16314540</v>
      </c>
    </row>
    <row r="239" spans="1:6" s="9" customFormat="1" ht="35.1" customHeight="1" x14ac:dyDescent="0.25">
      <c r="A239" s="381" t="s">
        <v>1189</v>
      </c>
      <c r="B239" s="395" t="s">
        <v>422</v>
      </c>
      <c r="C239" s="381" t="s">
        <v>30</v>
      </c>
      <c r="D239" s="383">
        <v>64.790000000000006</v>
      </c>
      <c r="E239" s="384">
        <v>77990</v>
      </c>
      <c r="F239" s="384">
        <f>ROUND(D239*E239,2)</f>
        <v>5052972.0999999996</v>
      </c>
    </row>
    <row r="240" spans="1:6" s="9" customFormat="1" ht="35.1" customHeight="1" x14ac:dyDescent="0.25">
      <c r="A240" s="381" t="s">
        <v>1190</v>
      </c>
      <c r="B240" s="382" t="s">
        <v>1191</v>
      </c>
      <c r="C240" s="381" t="s">
        <v>30</v>
      </c>
      <c r="D240" s="383">
        <v>2</v>
      </c>
      <c r="E240" s="384">
        <v>535433</v>
      </c>
      <c r="F240" s="384">
        <f>ROUND(D240*E240,2)</f>
        <v>1070866</v>
      </c>
    </row>
    <row r="241" spans="1:6" s="9" customFormat="1" ht="35.1" customHeight="1" x14ac:dyDescent="0.25">
      <c r="A241" s="381" t="s">
        <v>1192</v>
      </c>
      <c r="B241" s="382" t="s">
        <v>1193</v>
      </c>
      <c r="C241" s="381" t="s">
        <v>30</v>
      </c>
      <c r="D241" s="383">
        <v>139.05000000000001</v>
      </c>
      <c r="E241" s="384">
        <v>35426</v>
      </c>
      <c r="F241" s="384">
        <f>ROUND(D241*E241,2)</f>
        <v>4925985.3</v>
      </c>
    </row>
    <row r="242" spans="1:6" s="357" customFormat="1" ht="35.1" customHeight="1" x14ac:dyDescent="0.25">
      <c r="A242" s="400" t="s">
        <v>1194</v>
      </c>
      <c r="B242" s="386" t="s">
        <v>1195</v>
      </c>
      <c r="C242" s="397"/>
      <c r="D242" s="385"/>
      <c r="E242" s="388">
        <v>0</v>
      </c>
      <c r="F242" s="388">
        <f t="shared" si="36"/>
        <v>0</v>
      </c>
    </row>
    <row r="243" spans="1:6" s="9" customFormat="1" ht="35.1" customHeight="1" x14ac:dyDescent="0.25">
      <c r="A243" s="381" t="s">
        <v>1196</v>
      </c>
      <c r="B243" s="393" t="s">
        <v>1197</v>
      </c>
      <c r="C243" s="381" t="s">
        <v>13</v>
      </c>
      <c r="D243" s="383">
        <v>185.11</v>
      </c>
      <c r="E243" s="384">
        <v>80211</v>
      </c>
      <c r="F243" s="384">
        <f>ROUND(D243*E243,2)</f>
        <v>14847858.210000001</v>
      </c>
    </row>
    <row r="244" spans="1:6" s="9" customFormat="1" ht="35.1" customHeight="1" x14ac:dyDescent="0.25">
      <c r="A244" s="381" t="s">
        <v>1198</v>
      </c>
      <c r="B244" s="382" t="s">
        <v>1199</v>
      </c>
      <c r="C244" s="381" t="s">
        <v>94</v>
      </c>
      <c r="D244" s="383">
        <v>72.05</v>
      </c>
      <c r="E244" s="384">
        <v>47704</v>
      </c>
      <c r="F244" s="384">
        <f>ROUND(D244*E244,2)</f>
        <v>3437073.2</v>
      </c>
    </row>
    <row r="245" spans="1:6" s="9" customFormat="1" ht="35.1" customHeight="1" x14ac:dyDescent="0.25">
      <c r="A245" s="381" t="s">
        <v>1200</v>
      </c>
      <c r="B245" s="382" t="s">
        <v>1201</v>
      </c>
      <c r="C245" s="381" t="s">
        <v>94</v>
      </c>
      <c r="D245" s="383">
        <v>303.41000000000003</v>
      </c>
      <c r="E245" s="384">
        <v>72913</v>
      </c>
      <c r="F245" s="384">
        <f>ROUND(D245*E245,2)</f>
        <v>22122533.329999998</v>
      </c>
    </row>
    <row r="246" spans="1:6" s="9" customFormat="1" ht="35.1" customHeight="1" x14ac:dyDescent="0.25">
      <c r="A246" s="381" t="s">
        <v>1202</v>
      </c>
      <c r="B246" s="382" t="s">
        <v>1203</v>
      </c>
      <c r="C246" s="381" t="s">
        <v>13</v>
      </c>
      <c r="D246" s="383">
        <v>433</v>
      </c>
      <c r="E246" s="384">
        <v>16127</v>
      </c>
      <c r="F246" s="384">
        <f>ROUND(D246*E246,2)</f>
        <v>6982991</v>
      </c>
    </row>
    <row r="247" spans="1:6" s="357" customFormat="1" ht="35.1" customHeight="1" x14ac:dyDescent="0.25">
      <c r="A247" s="385" t="s">
        <v>1204</v>
      </c>
      <c r="B247" s="386" t="s">
        <v>1205</v>
      </c>
      <c r="C247" s="385"/>
      <c r="D247" s="385"/>
      <c r="E247" s="388">
        <v>0</v>
      </c>
      <c r="F247" s="388">
        <f t="shared" si="36"/>
        <v>0</v>
      </c>
    </row>
    <row r="248" spans="1:6" s="9" customFormat="1" ht="35.1" customHeight="1" x14ac:dyDescent="0.25">
      <c r="A248" s="396" t="s">
        <v>1206</v>
      </c>
      <c r="B248" s="382" t="s">
        <v>1207</v>
      </c>
      <c r="C248" s="381" t="s">
        <v>16</v>
      </c>
      <c r="D248" s="383">
        <v>4</v>
      </c>
      <c r="E248" s="384">
        <v>795461</v>
      </c>
      <c r="F248" s="384">
        <f t="shared" ref="F248:F253" si="37">ROUND(D248*E248,2)</f>
        <v>3181844</v>
      </c>
    </row>
    <row r="249" spans="1:6" s="9" customFormat="1" ht="35.1" customHeight="1" x14ac:dyDescent="0.25">
      <c r="A249" s="396" t="s">
        <v>1208</v>
      </c>
      <c r="B249" s="382" t="s">
        <v>1209</v>
      </c>
      <c r="C249" s="381" t="s">
        <v>16</v>
      </c>
      <c r="D249" s="383">
        <v>6</v>
      </c>
      <c r="E249" s="384">
        <v>397757</v>
      </c>
      <c r="F249" s="384">
        <f t="shared" si="37"/>
        <v>2386542</v>
      </c>
    </row>
    <row r="250" spans="1:6" s="9" customFormat="1" ht="35.1" customHeight="1" x14ac:dyDescent="0.25">
      <c r="A250" s="396" t="s">
        <v>1210</v>
      </c>
      <c r="B250" s="382" t="s">
        <v>1211</v>
      </c>
      <c r="C250" s="381" t="s">
        <v>16</v>
      </c>
      <c r="D250" s="383">
        <v>1</v>
      </c>
      <c r="E250" s="384">
        <v>9942376</v>
      </c>
      <c r="F250" s="384">
        <f t="shared" si="37"/>
        <v>9942376</v>
      </c>
    </row>
    <row r="251" spans="1:6" s="9" customFormat="1" ht="35.1" customHeight="1" x14ac:dyDescent="0.25">
      <c r="A251" s="396" t="s">
        <v>1212</v>
      </c>
      <c r="B251" s="395" t="s">
        <v>1213</v>
      </c>
      <c r="C251" s="381" t="s">
        <v>16</v>
      </c>
      <c r="D251" s="383">
        <v>3</v>
      </c>
      <c r="E251" s="384">
        <v>239036</v>
      </c>
      <c r="F251" s="384">
        <f t="shared" si="37"/>
        <v>717108</v>
      </c>
    </row>
    <row r="252" spans="1:6" s="9" customFormat="1" ht="35.1" customHeight="1" x14ac:dyDescent="0.25">
      <c r="A252" s="396" t="s">
        <v>1214</v>
      </c>
      <c r="B252" s="395" t="s">
        <v>1215</v>
      </c>
      <c r="C252" s="381" t="s">
        <v>16</v>
      </c>
      <c r="D252" s="383">
        <v>3</v>
      </c>
      <c r="E252" s="384">
        <v>331552</v>
      </c>
      <c r="F252" s="384">
        <f t="shared" si="37"/>
        <v>994656</v>
      </c>
    </row>
    <row r="253" spans="1:6" s="9" customFormat="1" ht="35.1" customHeight="1" x14ac:dyDescent="0.25">
      <c r="A253" s="396" t="s">
        <v>1216</v>
      </c>
      <c r="B253" s="395" t="s">
        <v>1217</v>
      </c>
      <c r="C253" s="381" t="s">
        <v>16</v>
      </c>
      <c r="D253" s="383">
        <v>1</v>
      </c>
      <c r="E253" s="384">
        <v>397829</v>
      </c>
      <c r="F253" s="384">
        <f t="shared" si="37"/>
        <v>397829</v>
      </c>
    </row>
    <row r="254" spans="1:6" s="357" customFormat="1" ht="35.1" customHeight="1" x14ac:dyDescent="0.25">
      <c r="A254" s="385" t="s">
        <v>1218</v>
      </c>
      <c r="B254" s="386" t="s">
        <v>1219</v>
      </c>
      <c r="C254" s="385"/>
      <c r="D254" s="385"/>
      <c r="E254" s="388">
        <v>0</v>
      </c>
      <c r="F254" s="388">
        <f t="shared" si="36"/>
        <v>0</v>
      </c>
    </row>
    <row r="255" spans="1:6" s="9" customFormat="1" ht="35.1" customHeight="1" x14ac:dyDescent="0.25">
      <c r="A255" s="381" t="s">
        <v>1220</v>
      </c>
      <c r="B255" s="382" t="s">
        <v>1221</v>
      </c>
      <c r="C255" s="381" t="s">
        <v>16</v>
      </c>
      <c r="D255" s="383">
        <v>8</v>
      </c>
      <c r="E255" s="384">
        <v>3320426</v>
      </c>
      <c r="F255" s="384">
        <f>ROUND(D255*E255,2)</f>
        <v>26563408</v>
      </c>
    </row>
    <row r="256" spans="1:6" s="354" customFormat="1" ht="35.1" customHeight="1" x14ac:dyDescent="0.25">
      <c r="A256" s="389">
        <v>12</v>
      </c>
      <c r="B256" s="390" t="s">
        <v>264</v>
      </c>
      <c r="C256" s="390"/>
      <c r="D256" s="390"/>
      <c r="E256" s="392">
        <v>0</v>
      </c>
      <c r="F256" s="392">
        <f t="shared" si="36"/>
        <v>0</v>
      </c>
    </row>
    <row r="257" spans="1:6" s="357" customFormat="1" ht="35.1" customHeight="1" x14ac:dyDescent="0.25">
      <c r="A257" s="404" t="s">
        <v>265</v>
      </c>
      <c r="B257" s="405" t="s">
        <v>266</v>
      </c>
      <c r="C257" s="397"/>
      <c r="D257" s="385"/>
      <c r="E257" s="388">
        <v>0</v>
      </c>
      <c r="F257" s="388">
        <f t="shared" si="36"/>
        <v>0</v>
      </c>
    </row>
    <row r="258" spans="1:6" s="9" customFormat="1" ht="35.1" customHeight="1" x14ac:dyDescent="0.25">
      <c r="A258" s="406" t="s">
        <v>267</v>
      </c>
      <c r="B258" s="395" t="s">
        <v>268</v>
      </c>
      <c r="C258" s="396" t="s">
        <v>269</v>
      </c>
      <c r="D258" s="383">
        <v>166</v>
      </c>
      <c r="E258" s="384">
        <v>13079</v>
      </c>
      <c r="F258" s="384">
        <f t="shared" ref="F258:F286" si="38">ROUND(D258*E258,2)</f>
        <v>2171114</v>
      </c>
    </row>
    <row r="259" spans="1:6" s="9" customFormat="1" ht="35.1" customHeight="1" x14ac:dyDescent="0.25">
      <c r="A259" s="406" t="s">
        <v>270</v>
      </c>
      <c r="B259" s="395" t="s">
        <v>271</v>
      </c>
      <c r="C259" s="396" t="s">
        <v>269</v>
      </c>
      <c r="D259" s="383">
        <v>67</v>
      </c>
      <c r="E259" s="384">
        <v>19461</v>
      </c>
      <c r="F259" s="384">
        <f t="shared" si="38"/>
        <v>1303887</v>
      </c>
    </row>
    <row r="260" spans="1:6" s="9" customFormat="1" ht="35.1" customHeight="1" x14ac:dyDescent="0.25">
      <c r="A260" s="406" t="s">
        <v>272</v>
      </c>
      <c r="B260" s="395" t="s">
        <v>273</v>
      </c>
      <c r="C260" s="396" t="s">
        <v>269</v>
      </c>
      <c r="D260" s="383">
        <v>55</v>
      </c>
      <c r="E260" s="384">
        <v>20635</v>
      </c>
      <c r="F260" s="384">
        <f t="shared" si="38"/>
        <v>1134925</v>
      </c>
    </row>
    <row r="261" spans="1:6" s="9" customFormat="1" ht="35.1" customHeight="1" x14ac:dyDescent="0.25">
      <c r="A261" s="406" t="s">
        <v>274</v>
      </c>
      <c r="B261" s="395" t="s">
        <v>275</v>
      </c>
      <c r="C261" s="396" t="s">
        <v>269</v>
      </c>
      <c r="D261" s="383">
        <v>87</v>
      </c>
      <c r="E261" s="384">
        <v>21921</v>
      </c>
      <c r="F261" s="384">
        <f t="shared" si="38"/>
        <v>1907127</v>
      </c>
    </row>
    <row r="262" spans="1:6" s="9" customFormat="1" ht="35.1" customHeight="1" x14ac:dyDescent="0.25">
      <c r="A262" s="406" t="s">
        <v>276</v>
      </c>
      <c r="B262" s="395" t="s">
        <v>277</v>
      </c>
      <c r="C262" s="396" t="s">
        <v>269</v>
      </c>
      <c r="D262" s="383">
        <v>78</v>
      </c>
      <c r="E262" s="384">
        <v>28177</v>
      </c>
      <c r="F262" s="384">
        <f t="shared" si="38"/>
        <v>2197806</v>
      </c>
    </row>
    <row r="263" spans="1:6" s="9" customFormat="1" ht="35.1" customHeight="1" x14ac:dyDescent="0.25">
      <c r="A263" s="406" t="s">
        <v>278</v>
      </c>
      <c r="B263" s="395" t="s">
        <v>279</v>
      </c>
      <c r="C263" s="396" t="s">
        <v>269</v>
      </c>
      <c r="D263" s="383">
        <v>123</v>
      </c>
      <c r="E263" s="384">
        <v>40340</v>
      </c>
      <c r="F263" s="384">
        <f t="shared" si="38"/>
        <v>4961820</v>
      </c>
    </row>
    <row r="264" spans="1:6" s="9" customFormat="1" ht="35.1" customHeight="1" x14ac:dyDescent="0.25">
      <c r="A264" s="406" t="s">
        <v>280</v>
      </c>
      <c r="B264" s="395" t="s">
        <v>281</v>
      </c>
      <c r="C264" s="396" t="s">
        <v>269</v>
      </c>
      <c r="D264" s="383">
        <v>25</v>
      </c>
      <c r="E264" s="384">
        <v>54451</v>
      </c>
      <c r="F264" s="384">
        <f t="shared" si="38"/>
        <v>1361275</v>
      </c>
    </row>
    <row r="265" spans="1:6" s="9" customFormat="1" ht="35.1" customHeight="1" x14ac:dyDescent="0.25">
      <c r="A265" s="406" t="s">
        <v>282</v>
      </c>
      <c r="B265" s="395" t="s">
        <v>283</v>
      </c>
      <c r="C265" s="396" t="s">
        <v>1422</v>
      </c>
      <c r="D265" s="383">
        <v>144</v>
      </c>
      <c r="E265" s="384">
        <v>3386</v>
      </c>
      <c r="F265" s="384">
        <f t="shared" si="38"/>
        <v>487584</v>
      </c>
    </row>
    <row r="266" spans="1:6" s="9" customFormat="1" ht="35.1" customHeight="1" x14ac:dyDescent="0.25">
      <c r="A266" s="406" t="s">
        <v>285</v>
      </c>
      <c r="B266" s="395" t="s">
        <v>286</v>
      </c>
      <c r="C266" s="396" t="s">
        <v>1422</v>
      </c>
      <c r="D266" s="383">
        <v>52</v>
      </c>
      <c r="E266" s="384">
        <v>4020</v>
      </c>
      <c r="F266" s="384">
        <f t="shared" si="38"/>
        <v>209040</v>
      </c>
    </row>
    <row r="267" spans="1:6" s="9" customFormat="1" ht="35.1" customHeight="1" x14ac:dyDescent="0.25">
      <c r="A267" s="406" t="s">
        <v>287</v>
      </c>
      <c r="B267" s="395" t="s">
        <v>288</v>
      </c>
      <c r="C267" s="396" t="s">
        <v>1422</v>
      </c>
      <c r="D267" s="383">
        <v>41</v>
      </c>
      <c r="E267" s="384">
        <v>4748</v>
      </c>
      <c r="F267" s="384">
        <f t="shared" si="38"/>
        <v>194668</v>
      </c>
    </row>
    <row r="268" spans="1:6" s="9" customFormat="1" ht="35.1" customHeight="1" x14ac:dyDescent="0.25">
      <c r="A268" s="406" t="s">
        <v>289</v>
      </c>
      <c r="B268" s="395" t="s">
        <v>290</v>
      </c>
      <c r="C268" s="396" t="s">
        <v>1422</v>
      </c>
      <c r="D268" s="383">
        <v>131</v>
      </c>
      <c r="E268" s="384">
        <v>7497</v>
      </c>
      <c r="F268" s="384">
        <f t="shared" si="38"/>
        <v>982107</v>
      </c>
    </row>
    <row r="269" spans="1:6" s="9" customFormat="1" ht="35.1" customHeight="1" x14ac:dyDescent="0.25">
      <c r="A269" s="406" t="s">
        <v>291</v>
      </c>
      <c r="B269" s="395" t="s">
        <v>292</v>
      </c>
      <c r="C269" s="396" t="s">
        <v>1422</v>
      </c>
      <c r="D269" s="383">
        <v>112</v>
      </c>
      <c r="E269" s="384">
        <v>9242</v>
      </c>
      <c r="F269" s="384">
        <f t="shared" si="38"/>
        <v>1035104</v>
      </c>
    </row>
    <row r="270" spans="1:6" s="9" customFormat="1" ht="35.1" customHeight="1" x14ac:dyDescent="0.25">
      <c r="A270" s="406" t="s">
        <v>293</v>
      </c>
      <c r="B270" s="395" t="s">
        <v>294</v>
      </c>
      <c r="C270" s="396" t="s">
        <v>1422</v>
      </c>
      <c r="D270" s="383">
        <v>76</v>
      </c>
      <c r="E270" s="384">
        <v>12597</v>
      </c>
      <c r="F270" s="384">
        <f t="shared" si="38"/>
        <v>957372</v>
      </c>
    </row>
    <row r="271" spans="1:6" s="9" customFormat="1" ht="35.1" customHeight="1" x14ac:dyDescent="0.25">
      <c r="A271" s="406" t="s">
        <v>295</v>
      </c>
      <c r="B271" s="395" t="s">
        <v>296</v>
      </c>
      <c r="C271" s="396" t="s">
        <v>1422</v>
      </c>
      <c r="D271" s="383">
        <v>16</v>
      </c>
      <c r="E271" s="384">
        <v>30655</v>
      </c>
      <c r="F271" s="384">
        <f t="shared" si="38"/>
        <v>490480</v>
      </c>
    </row>
    <row r="272" spans="1:6" s="9" customFormat="1" ht="35.1" customHeight="1" x14ac:dyDescent="0.25">
      <c r="A272" s="406" t="s">
        <v>297</v>
      </c>
      <c r="B272" s="395" t="s">
        <v>298</v>
      </c>
      <c r="C272" s="396" t="s">
        <v>1422</v>
      </c>
      <c r="D272" s="383">
        <v>67</v>
      </c>
      <c r="E272" s="384">
        <v>1759</v>
      </c>
      <c r="F272" s="384">
        <f t="shared" si="38"/>
        <v>117853</v>
      </c>
    </row>
    <row r="273" spans="1:6" s="9" customFormat="1" ht="35.1" customHeight="1" x14ac:dyDescent="0.25">
      <c r="A273" s="406" t="s">
        <v>299</v>
      </c>
      <c r="B273" s="395" t="s">
        <v>300</v>
      </c>
      <c r="C273" s="396" t="s">
        <v>1422</v>
      </c>
      <c r="D273" s="383">
        <v>24</v>
      </c>
      <c r="E273" s="384">
        <v>2361</v>
      </c>
      <c r="F273" s="384">
        <f t="shared" si="38"/>
        <v>56664</v>
      </c>
    </row>
    <row r="274" spans="1:6" s="9" customFormat="1" ht="35.1" customHeight="1" x14ac:dyDescent="0.25">
      <c r="A274" s="406" t="s">
        <v>301</v>
      </c>
      <c r="B274" s="395" t="s">
        <v>302</v>
      </c>
      <c r="C274" s="396" t="s">
        <v>1422</v>
      </c>
      <c r="D274" s="383">
        <v>24</v>
      </c>
      <c r="E274" s="384">
        <v>2848</v>
      </c>
      <c r="F274" s="384">
        <f t="shared" si="38"/>
        <v>68352</v>
      </c>
    </row>
    <row r="275" spans="1:6" s="9" customFormat="1" ht="35.1" customHeight="1" x14ac:dyDescent="0.25">
      <c r="A275" s="406" t="s">
        <v>303</v>
      </c>
      <c r="B275" s="395" t="s">
        <v>304</v>
      </c>
      <c r="C275" s="396" t="s">
        <v>1422</v>
      </c>
      <c r="D275" s="383">
        <v>36</v>
      </c>
      <c r="E275" s="384">
        <v>3231</v>
      </c>
      <c r="F275" s="384">
        <f t="shared" si="38"/>
        <v>116316</v>
      </c>
    </row>
    <row r="276" spans="1:6" s="9" customFormat="1" ht="35.1" customHeight="1" x14ac:dyDescent="0.25">
      <c r="A276" s="406" t="s">
        <v>305</v>
      </c>
      <c r="B276" s="407" t="s">
        <v>306</v>
      </c>
      <c r="C276" s="396" t="s">
        <v>1422</v>
      </c>
      <c r="D276" s="383">
        <v>33</v>
      </c>
      <c r="E276" s="384">
        <v>3912</v>
      </c>
      <c r="F276" s="384">
        <f t="shared" si="38"/>
        <v>129096</v>
      </c>
    </row>
    <row r="277" spans="1:6" s="9" customFormat="1" ht="35.1" customHeight="1" x14ac:dyDescent="0.25">
      <c r="A277" s="406" t="s">
        <v>307</v>
      </c>
      <c r="B277" s="395" t="s">
        <v>308</v>
      </c>
      <c r="C277" s="396" t="s">
        <v>1422</v>
      </c>
      <c r="D277" s="383">
        <v>42</v>
      </c>
      <c r="E277" s="384">
        <v>5040</v>
      </c>
      <c r="F277" s="384">
        <f t="shared" si="38"/>
        <v>211680</v>
      </c>
    </row>
    <row r="278" spans="1:6" s="9" customFormat="1" ht="35.1" customHeight="1" x14ac:dyDescent="0.25">
      <c r="A278" s="406" t="s">
        <v>309</v>
      </c>
      <c r="B278" s="395" t="s">
        <v>310</v>
      </c>
      <c r="C278" s="396" t="s">
        <v>1422</v>
      </c>
      <c r="D278" s="383">
        <v>10</v>
      </c>
      <c r="E278" s="384">
        <v>5824</v>
      </c>
      <c r="F278" s="384">
        <f t="shared" si="38"/>
        <v>58240</v>
      </c>
    </row>
    <row r="279" spans="1:6" s="9" customFormat="1" ht="35.1" customHeight="1" x14ac:dyDescent="0.25">
      <c r="A279" s="406" t="s">
        <v>311</v>
      </c>
      <c r="B279" s="395" t="s">
        <v>312</v>
      </c>
      <c r="C279" s="396" t="s">
        <v>1422</v>
      </c>
      <c r="D279" s="383">
        <v>56</v>
      </c>
      <c r="E279" s="384">
        <v>66269</v>
      </c>
      <c r="F279" s="384">
        <f t="shared" si="38"/>
        <v>3711064</v>
      </c>
    </row>
    <row r="280" spans="1:6" s="9" customFormat="1" ht="35.1" customHeight="1" x14ac:dyDescent="0.25">
      <c r="A280" s="406" t="s">
        <v>313</v>
      </c>
      <c r="B280" s="395" t="s">
        <v>314</v>
      </c>
      <c r="C280" s="396" t="s">
        <v>1422</v>
      </c>
      <c r="D280" s="383">
        <v>19</v>
      </c>
      <c r="E280" s="384">
        <v>70609</v>
      </c>
      <c r="F280" s="384">
        <f t="shared" si="38"/>
        <v>1341571</v>
      </c>
    </row>
    <row r="281" spans="1:6" s="9" customFormat="1" ht="35.1" customHeight="1" x14ac:dyDescent="0.25">
      <c r="A281" s="406" t="s">
        <v>315</v>
      </c>
      <c r="B281" s="395" t="s">
        <v>316</v>
      </c>
      <c r="C281" s="396" t="s">
        <v>1422</v>
      </c>
      <c r="D281" s="383">
        <v>54</v>
      </c>
      <c r="E281" s="384">
        <v>100537</v>
      </c>
      <c r="F281" s="384">
        <f t="shared" si="38"/>
        <v>5428998</v>
      </c>
    </row>
    <row r="282" spans="1:6" s="9" customFormat="1" ht="35.1" customHeight="1" x14ac:dyDescent="0.25">
      <c r="A282" s="406" t="s">
        <v>317</v>
      </c>
      <c r="B282" s="395" t="s">
        <v>318</v>
      </c>
      <c r="C282" s="396" t="s">
        <v>1422</v>
      </c>
      <c r="D282" s="383">
        <v>17</v>
      </c>
      <c r="E282" s="384">
        <v>65325</v>
      </c>
      <c r="F282" s="384">
        <f t="shared" si="38"/>
        <v>1110525</v>
      </c>
    </row>
    <row r="283" spans="1:6" s="9" customFormat="1" ht="35.1" customHeight="1" x14ac:dyDescent="0.25">
      <c r="A283" s="406" t="s">
        <v>319</v>
      </c>
      <c r="B283" s="395" t="s">
        <v>320</v>
      </c>
      <c r="C283" s="396" t="s">
        <v>1422</v>
      </c>
      <c r="D283" s="383">
        <v>8</v>
      </c>
      <c r="E283" s="384">
        <v>169300</v>
      </c>
      <c r="F283" s="384">
        <f t="shared" si="38"/>
        <v>1354400</v>
      </c>
    </row>
    <row r="284" spans="1:6" s="9" customFormat="1" ht="35.1" customHeight="1" x14ac:dyDescent="0.25">
      <c r="A284" s="406" t="s">
        <v>321</v>
      </c>
      <c r="B284" s="395" t="s">
        <v>322</v>
      </c>
      <c r="C284" s="396" t="s">
        <v>1422</v>
      </c>
      <c r="D284" s="383">
        <v>8</v>
      </c>
      <c r="E284" s="384">
        <v>229834</v>
      </c>
      <c r="F284" s="384">
        <f t="shared" si="38"/>
        <v>1838672</v>
      </c>
    </row>
    <row r="285" spans="1:6" s="9" customFormat="1" ht="35.1" customHeight="1" x14ac:dyDescent="0.25">
      <c r="A285" s="406" t="s">
        <v>323</v>
      </c>
      <c r="B285" s="395" t="s">
        <v>324</v>
      </c>
      <c r="C285" s="396" t="s">
        <v>1422</v>
      </c>
      <c r="D285" s="383">
        <v>2</v>
      </c>
      <c r="E285" s="384">
        <v>111883</v>
      </c>
      <c r="F285" s="384">
        <f t="shared" si="38"/>
        <v>223766</v>
      </c>
    </row>
    <row r="286" spans="1:6" s="9" customFormat="1" ht="35.1" customHeight="1" x14ac:dyDescent="0.25">
      <c r="A286" s="406" t="s">
        <v>325</v>
      </c>
      <c r="B286" s="395" t="s">
        <v>326</v>
      </c>
      <c r="C286" s="396" t="s">
        <v>1422</v>
      </c>
      <c r="D286" s="383">
        <v>1</v>
      </c>
      <c r="E286" s="384">
        <v>174956</v>
      </c>
      <c r="F286" s="384">
        <f t="shared" si="38"/>
        <v>174956</v>
      </c>
    </row>
    <row r="287" spans="1:6" s="357" customFormat="1" ht="35.1" customHeight="1" x14ac:dyDescent="0.25">
      <c r="A287" s="408" t="s">
        <v>327</v>
      </c>
      <c r="B287" s="397" t="s">
        <v>328</v>
      </c>
      <c r="C287" s="397"/>
      <c r="D287" s="385"/>
      <c r="E287" s="388">
        <v>0</v>
      </c>
      <c r="F287" s="388">
        <f t="shared" ref="F287:F331" si="39">D287*E287</f>
        <v>0</v>
      </c>
    </row>
    <row r="288" spans="1:6" s="9" customFormat="1" ht="35.1" customHeight="1" x14ac:dyDescent="0.25">
      <c r="A288" s="381" t="s">
        <v>329</v>
      </c>
      <c r="B288" s="409" t="s">
        <v>330</v>
      </c>
      <c r="C288" s="396" t="s">
        <v>269</v>
      </c>
      <c r="D288" s="383">
        <v>46</v>
      </c>
      <c r="E288" s="384">
        <v>25334</v>
      </c>
      <c r="F288" s="384">
        <f t="shared" ref="F288:F306" si="40">ROUND(D288*E288,2)</f>
        <v>1165364</v>
      </c>
    </row>
    <row r="289" spans="1:6" s="9" customFormat="1" ht="35.1" customHeight="1" x14ac:dyDescent="0.25">
      <c r="A289" s="381" t="s">
        <v>331</v>
      </c>
      <c r="B289" s="395" t="s">
        <v>332</v>
      </c>
      <c r="C289" s="396" t="s">
        <v>269</v>
      </c>
      <c r="D289" s="383">
        <v>215</v>
      </c>
      <c r="E289" s="384">
        <v>37283</v>
      </c>
      <c r="F289" s="384">
        <f t="shared" si="40"/>
        <v>8015845</v>
      </c>
    </row>
    <row r="290" spans="1:6" s="9" customFormat="1" ht="35.1" customHeight="1" x14ac:dyDescent="0.25">
      <c r="A290" s="381" t="s">
        <v>333</v>
      </c>
      <c r="B290" s="395" t="s">
        <v>334</v>
      </c>
      <c r="C290" s="396" t="s">
        <v>269</v>
      </c>
      <c r="D290" s="383">
        <v>373</v>
      </c>
      <c r="E290" s="384">
        <v>53189</v>
      </c>
      <c r="F290" s="384">
        <f t="shared" si="40"/>
        <v>19839497</v>
      </c>
    </row>
    <row r="291" spans="1:6" s="9" customFormat="1" ht="35.1" customHeight="1" x14ac:dyDescent="0.25">
      <c r="A291" s="381" t="s">
        <v>335</v>
      </c>
      <c r="B291" s="395" t="s">
        <v>336</v>
      </c>
      <c r="C291" s="396" t="s">
        <v>269</v>
      </c>
      <c r="D291" s="383">
        <v>98</v>
      </c>
      <c r="E291" s="384">
        <v>22046</v>
      </c>
      <c r="F291" s="384">
        <f t="shared" si="40"/>
        <v>2160508</v>
      </c>
    </row>
    <row r="292" spans="1:6" s="9" customFormat="1" ht="35.1" customHeight="1" x14ac:dyDescent="0.25">
      <c r="A292" s="381" t="s">
        <v>337</v>
      </c>
      <c r="B292" s="395" t="s">
        <v>338</v>
      </c>
      <c r="C292" s="396" t="s">
        <v>269</v>
      </c>
      <c r="D292" s="383">
        <v>133</v>
      </c>
      <c r="E292" s="384">
        <v>32777</v>
      </c>
      <c r="F292" s="384">
        <f t="shared" si="40"/>
        <v>4359341</v>
      </c>
    </row>
    <row r="293" spans="1:6" s="9" customFormat="1" ht="35.1" customHeight="1" x14ac:dyDescent="0.25">
      <c r="A293" s="381" t="s">
        <v>339</v>
      </c>
      <c r="B293" s="395" t="s">
        <v>340</v>
      </c>
      <c r="C293" s="396" t="s">
        <v>1422</v>
      </c>
      <c r="D293" s="383">
        <v>167</v>
      </c>
      <c r="E293" s="384">
        <v>7751</v>
      </c>
      <c r="F293" s="384">
        <f t="shared" si="40"/>
        <v>1294417</v>
      </c>
    </row>
    <row r="294" spans="1:6" s="9" customFormat="1" ht="35.1" customHeight="1" x14ac:dyDescent="0.25">
      <c r="A294" s="381" t="s">
        <v>341</v>
      </c>
      <c r="B294" s="395" t="s">
        <v>342</v>
      </c>
      <c r="C294" s="396" t="s">
        <v>1422</v>
      </c>
      <c r="D294" s="383">
        <v>221</v>
      </c>
      <c r="E294" s="384">
        <v>11040</v>
      </c>
      <c r="F294" s="384">
        <f t="shared" si="40"/>
        <v>2439840</v>
      </c>
    </row>
    <row r="295" spans="1:6" s="9" customFormat="1" ht="35.1" customHeight="1" x14ac:dyDescent="0.25">
      <c r="A295" s="381" t="s">
        <v>343</v>
      </c>
      <c r="B295" s="395" t="s">
        <v>344</v>
      </c>
      <c r="C295" s="396" t="s">
        <v>1422</v>
      </c>
      <c r="D295" s="383">
        <v>394</v>
      </c>
      <c r="E295" s="384">
        <v>16225</v>
      </c>
      <c r="F295" s="384">
        <f t="shared" si="40"/>
        <v>6392650</v>
      </c>
    </row>
    <row r="296" spans="1:6" s="9" customFormat="1" ht="35.1" customHeight="1" x14ac:dyDescent="0.25">
      <c r="A296" s="381" t="s">
        <v>345</v>
      </c>
      <c r="B296" s="395" t="s">
        <v>346</v>
      </c>
      <c r="C296" s="396" t="s">
        <v>1422</v>
      </c>
      <c r="D296" s="383">
        <v>19</v>
      </c>
      <c r="E296" s="384">
        <v>5040</v>
      </c>
      <c r="F296" s="384">
        <f t="shared" si="40"/>
        <v>95760</v>
      </c>
    </row>
    <row r="297" spans="1:6" s="9" customFormat="1" ht="35.1" customHeight="1" x14ac:dyDescent="0.25">
      <c r="A297" s="381" t="s">
        <v>347</v>
      </c>
      <c r="B297" s="395" t="s">
        <v>348</v>
      </c>
      <c r="C297" s="396" t="s">
        <v>1422</v>
      </c>
      <c r="D297" s="383">
        <v>87</v>
      </c>
      <c r="E297" s="384">
        <v>6409</v>
      </c>
      <c r="F297" s="384">
        <f t="shared" si="40"/>
        <v>557583</v>
      </c>
    </row>
    <row r="298" spans="1:6" s="9" customFormat="1" ht="35.1" customHeight="1" x14ac:dyDescent="0.25">
      <c r="A298" s="381" t="s">
        <v>349</v>
      </c>
      <c r="B298" s="395" t="s">
        <v>350</v>
      </c>
      <c r="C298" s="396" t="s">
        <v>1422</v>
      </c>
      <c r="D298" s="383">
        <v>139</v>
      </c>
      <c r="E298" s="384">
        <v>12721</v>
      </c>
      <c r="F298" s="384">
        <f t="shared" si="40"/>
        <v>1768219</v>
      </c>
    </row>
    <row r="299" spans="1:6" s="9" customFormat="1" ht="35.1" customHeight="1" x14ac:dyDescent="0.25">
      <c r="A299" s="381" t="s">
        <v>351</v>
      </c>
      <c r="B299" s="395" t="s">
        <v>352</v>
      </c>
      <c r="C299" s="396" t="s">
        <v>1422</v>
      </c>
      <c r="D299" s="383">
        <v>50</v>
      </c>
      <c r="E299" s="384">
        <v>42699</v>
      </c>
      <c r="F299" s="384">
        <f t="shared" si="40"/>
        <v>2134950</v>
      </c>
    </row>
    <row r="300" spans="1:6" s="9" customFormat="1" ht="35.1" customHeight="1" x14ac:dyDescent="0.25">
      <c r="A300" s="381" t="s">
        <v>353</v>
      </c>
      <c r="B300" s="395" t="s">
        <v>354</v>
      </c>
      <c r="C300" s="396" t="s">
        <v>1422</v>
      </c>
      <c r="D300" s="383">
        <v>32</v>
      </c>
      <c r="E300" s="384">
        <v>51612</v>
      </c>
      <c r="F300" s="384">
        <f t="shared" si="40"/>
        <v>1651584</v>
      </c>
    </row>
    <row r="301" spans="1:6" s="9" customFormat="1" ht="35.1" customHeight="1" x14ac:dyDescent="0.25">
      <c r="A301" s="381" t="s">
        <v>355</v>
      </c>
      <c r="B301" s="395" t="s">
        <v>356</v>
      </c>
      <c r="C301" s="396" t="s">
        <v>1422</v>
      </c>
      <c r="D301" s="383">
        <v>58</v>
      </c>
      <c r="E301" s="384">
        <v>63427</v>
      </c>
      <c r="F301" s="384">
        <f t="shared" si="40"/>
        <v>3678766</v>
      </c>
    </row>
    <row r="302" spans="1:6" s="9" customFormat="1" ht="35.1" customHeight="1" x14ac:dyDescent="0.25">
      <c r="A302" s="381" t="s">
        <v>357</v>
      </c>
      <c r="B302" s="395" t="s">
        <v>358</v>
      </c>
      <c r="C302" s="396" t="s">
        <v>1422</v>
      </c>
      <c r="D302" s="383">
        <v>2</v>
      </c>
      <c r="E302" s="384">
        <v>559549</v>
      </c>
      <c r="F302" s="384">
        <f t="shared" si="40"/>
        <v>1119098</v>
      </c>
    </row>
    <row r="303" spans="1:6" s="9" customFormat="1" ht="35.1" customHeight="1" x14ac:dyDescent="0.25">
      <c r="A303" s="381" t="s">
        <v>359</v>
      </c>
      <c r="B303" s="395" t="s">
        <v>360</v>
      </c>
      <c r="C303" s="396" t="s">
        <v>269</v>
      </c>
      <c r="D303" s="383">
        <v>40</v>
      </c>
      <c r="E303" s="384">
        <v>47254</v>
      </c>
      <c r="F303" s="384">
        <f t="shared" si="40"/>
        <v>1890160</v>
      </c>
    </row>
    <row r="304" spans="1:6" s="9" customFormat="1" ht="35.1" customHeight="1" x14ac:dyDescent="0.25">
      <c r="A304" s="381" t="s">
        <v>361</v>
      </c>
      <c r="B304" s="395" t="s">
        <v>362</v>
      </c>
      <c r="C304" s="396" t="s">
        <v>269</v>
      </c>
      <c r="D304" s="383">
        <v>10</v>
      </c>
      <c r="E304" s="384">
        <v>65988</v>
      </c>
      <c r="F304" s="384">
        <f t="shared" si="40"/>
        <v>659880</v>
      </c>
    </row>
    <row r="305" spans="1:6" s="9" customFormat="1" ht="35.1" customHeight="1" x14ac:dyDescent="0.25">
      <c r="A305" s="381" t="s">
        <v>363</v>
      </c>
      <c r="B305" s="395" t="s">
        <v>364</v>
      </c>
      <c r="C305" s="396" t="s">
        <v>269</v>
      </c>
      <c r="D305" s="383">
        <v>40</v>
      </c>
      <c r="E305" s="384">
        <v>100257</v>
      </c>
      <c r="F305" s="384">
        <f t="shared" si="40"/>
        <v>4010280</v>
      </c>
    </row>
    <row r="306" spans="1:6" s="9" customFormat="1" ht="35.1" customHeight="1" x14ac:dyDescent="0.25">
      <c r="A306" s="381" t="s">
        <v>365</v>
      </c>
      <c r="B306" s="395" t="s">
        <v>366</v>
      </c>
      <c r="C306" s="396" t="s">
        <v>1422</v>
      </c>
      <c r="D306" s="383">
        <v>20</v>
      </c>
      <c r="E306" s="384">
        <v>80738</v>
      </c>
      <c r="F306" s="384">
        <f t="shared" si="40"/>
        <v>1614760</v>
      </c>
    </row>
    <row r="307" spans="1:6" s="357" customFormat="1" ht="35.1" customHeight="1" x14ac:dyDescent="0.25">
      <c r="A307" s="408" t="s">
        <v>367</v>
      </c>
      <c r="B307" s="397" t="s">
        <v>368</v>
      </c>
      <c r="C307" s="397" t="s">
        <v>369</v>
      </c>
      <c r="D307" s="385"/>
      <c r="E307" s="388">
        <v>0</v>
      </c>
      <c r="F307" s="388">
        <f t="shared" si="39"/>
        <v>0</v>
      </c>
    </row>
    <row r="308" spans="1:6" s="9" customFormat="1" ht="35.1" customHeight="1" x14ac:dyDescent="0.25">
      <c r="A308" s="396" t="s">
        <v>370</v>
      </c>
      <c r="B308" s="87" t="s">
        <v>371</v>
      </c>
      <c r="C308" s="396" t="s">
        <v>1422</v>
      </c>
      <c r="D308" s="383">
        <v>52</v>
      </c>
      <c r="E308" s="384">
        <v>1140980</v>
      </c>
      <c r="F308" s="384">
        <f t="shared" ref="F308:F315" si="41">ROUND(D308*E308,2)</f>
        <v>59330960</v>
      </c>
    </row>
    <row r="309" spans="1:6" s="9" customFormat="1" ht="35.1" customHeight="1" x14ac:dyDescent="0.25">
      <c r="A309" s="396" t="s">
        <v>372</v>
      </c>
      <c r="B309" s="87" t="s">
        <v>373</v>
      </c>
      <c r="C309" s="396" t="s">
        <v>1422</v>
      </c>
      <c r="D309" s="383">
        <v>8</v>
      </c>
      <c r="E309" s="384">
        <v>691344</v>
      </c>
      <c r="F309" s="384">
        <f t="shared" si="41"/>
        <v>5530752</v>
      </c>
    </row>
    <row r="310" spans="1:6" s="9" customFormat="1" ht="35.1" customHeight="1" x14ac:dyDescent="0.25">
      <c r="A310" s="396" t="s">
        <v>375</v>
      </c>
      <c r="B310" s="87" t="s">
        <v>376</v>
      </c>
      <c r="C310" s="396" t="s">
        <v>1422</v>
      </c>
      <c r="D310" s="383">
        <v>21</v>
      </c>
      <c r="E310" s="384">
        <v>781799</v>
      </c>
      <c r="F310" s="384">
        <f t="shared" si="41"/>
        <v>16417779</v>
      </c>
    </row>
    <row r="311" spans="1:6" s="9" customFormat="1" ht="35.1" customHeight="1" x14ac:dyDescent="0.25">
      <c r="A311" s="396" t="s">
        <v>377</v>
      </c>
      <c r="B311" s="382" t="s">
        <v>378</v>
      </c>
      <c r="C311" s="396" t="s">
        <v>94</v>
      </c>
      <c r="D311" s="383">
        <v>27</v>
      </c>
      <c r="E311" s="384">
        <v>225050</v>
      </c>
      <c r="F311" s="384">
        <f t="shared" si="41"/>
        <v>6076350</v>
      </c>
    </row>
    <row r="312" spans="1:6" s="9" customFormat="1" ht="35.1" customHeight="1" x14ac:dyDescent="0.25">
      <c r="A312" s="396" t="s">
        <v>379</v>
      </c>
      <c r="B312" s="87" t="s">
        <v>380</v>
      </c>
      <c r="C312" s="396" t="s">
        <v>1422</v>
      </c>
      <c r="D312" s="383">
        <v>38</v>
      </c>
      <c r="E312" s="384">
        <v>607575</v>
      </c>
      <c r="F312" s="384">
        <f t="shared" si="41"/>
        <v>23087850</v>
      </c>
    </row>
    <row r="313" spans="1:6" s="9" customFormat="1" ht="35.1" customHeight="1" x14ac:dyDescent="0.25">
      <c r="A313" s="396" t="s">
        <v>381</v>
      </c>
      <c r="B313" s="87" t="s">
        <v>382</v>
      </c>
      <c r="C313" s="396" t="s">
        <v>1422</v>
      </c>
      <c r="D313" s="383">
        <v>6</v>
      </c>
      <c r="E313" s="384">
        <v>574635</v>
      </c>
      <c r="F313" s="384">
        <f t="shared" si="41"/>
        <v>3447810</v>
      </c>
    </row>
    <row r="314" spans="1:6" s="9" customFormat="1" ht="35.1" customHeight="1" x14ac:dyDescent="0.25">
      <c r="A314" s="396" t="s">
        <v>383</v>
      </c>
      <c r="B314" s="382" t="s">
        <v>384</v>
      </c>
      <c r="C314" s="396" t="s">
        <v>13</v>
      </c>
      <c r="D314" s="383">
        <v>23</v>
      </c>
      <c r="E314" s="384">
        <v>93740</v>
      </c>
      <c r="F314" s="384">
        <f t="shared" si="41"/>
        <v>2156020</v>
      </c>
    </row>
    <row r="315" spans="1:6" s="9" customFormat="1" ht="35.1" customHeight="1" x14ac:dyDescent="0.25">
      <c r="A315" s="396" t="s">
        <v>385</v>
      </c>
      <c r="B315" s="382" t="s">
        <v>386</v>
      </c>
      <c r="C315" s="396" t="s">
        <v>1422</v>
      </c>
      <c r="D315" s="383">
        <v>3</v>
      </c>
      <c r="E315" s="384">
        <v>45531</v>
      </c>
      <c r="F315" s="384">
        <f t="shared" si="41"/>
        <v>136593</v>
      </c>
    </row>
    <row r="316" spans="1:6" s="357" customFormat="1" ht="35.1" customHeight="1" x14ac:dyDescent="0.25">
      <c r="A316" s="408" t="s">
        <v>387</v>
      </c>
      <c r="B316" s="397" t="s">
        <v>388</v>
      </c>
      <c r="C316" s="397"/>
      <c r="D316" s="385"/>
      <c r="E316" s="388">
        <v>0</v>
      </c>
      <c r="F316" s="388">
        <f t="shared" si="39"/>
        <v>0</v>
      </c>
    </row>
    <row r="317" spans="1:6" s="9" customFormat="1" ht="35.1" customHeight="1" x14ac:dyDescent="0.25">
      <c r="A317" s="396" t="s">
        <v>389</v>
      </c>
      <c r="B317" s="395" t="s">
        <v>390</v>
      </c>
      <c r="C317" s="396" t="s">
        <v>269</v>
      </c>
      <c r="D317" s="383">
        <v>340</v>
      </c>
      <c r="E317" s="384">
        <v>37283</v>
      </c>
      <c r="F317" s="384">
        <f t="shared" ref="F317:F330" si="42">ROUND(D317*E317,2)</f>
        <v>12676220</v>
      </c>
    </row>
    <row r="318" spans="1:6" s="9" customFormat="1" ht="35.1" customHeight="1" x14ac:dyDescent="0.25">
      <c r="A318" s="396" t="s">
        <v>391</v>
      </c>
      <c r="B318" s="382" t="s">
        <v>392</v>
      </c>
      <c r="C318" s="381" t="s">
        <v>269</v>
      </c>
      <c r="D318" s="383">
        <v>167</v>
      </c>
      <c r="E318" s="384">
        <v>53189</v>
      </c>
      <c r="F318" s="384">
        <f t="shared" si="42"/>
        <v>8882563</v>
      </c>
    </row>
    <row r="319" spans="1:6" s="9" customFormat="1" ht="35.1" customHeight="1" x14ac:dyDescent="0.25">
      <c r="A319" s="396" t="s">
        <v>393</v>
      </c>
      <c r="B319" s="382" t="s">
        <v>394</v>
      </c>
      <c r="C319" s="381" t="s">
        <v>269</v>
      </c>
      <c r="D319" s="383">
        <v>221</v>
      </c>
      <c r="E319" s="384">
        <v>96122</v>
      </c>
      <c r="F319" s="384">
        <f t="shared" si="42"/>
        <v>21242962</v>
      </c>
    </row>
    <row r="320" spans="1:6" s="9" customFormat="1" ht="35.1" customHeight="1" x14ac:dyDescent="0.25">
      <c r="A320" s="396" t="s">
        <v>395</v>
      </c>
      <c r="B320" s="382" t="s">
        <v>396</v>
      </c>
      <c r="C320" s="396" t="s">
        <v>16</v>
      </c>
      <c r="D320" s="383">
        <v>139</v>
      </c>
      <c r="E320" s="384">
        <v>11040</v>
      </c>
      <c r="F320" s="384">
        <f t="shared" si="42"/>
        <v>1534560</v>
      </c>
    </row>
    <row r="321" spans="1:6" s="9" customFormat="1" ht="35.1" customHeight="1" x14ac:dyDescent="0.25">
      <c r="A321" s="396" t="s">
        <v>397</v>
      </c>
      <c r="B321" s="410" t="s">
        <v>398</v>
      </c>
      <c r="C321" s="396" t="s">
        <v>16</v>
      </c>
      <c r="D321" s="383">
        <v>79</v>
      </c>
      <c r="E321" s="384">
        <v>16225</v>
      </c>
      <c r="F321" s="384">
        <f t="shared" si="42"/>
        <v>1281775</v>
      </c>
    </row>
    <row r="322" spans="1:6" s="9" customFormat="1" ht="35.1" customHeight="1" x14ac:dyDescent="0.25">
      <c r="A322" s="396" t="s">
        <v>399</v>
      </c>
      <c r="B322" s="382" t="s">
        <v>400</v>
      </c>
      <c r="C322" s="396" t="s">
        <v>16</v>
      </c>
      <c r="D322" s="383">
        <v>93</v>
      </c>
      <c r="E322" s="384">
        <v>77320</v>
      </c>
      <c r="F322" s="384">
        <f t="shared" si="42"/>
        <v>7190760</v>
      </c>
    </row>
    <row r="323" spans="1:6" s="9" customFormat="1" ht="35.1" customHeight="1" x14ac:dyDescent="0.25">
      <c r="A323" s="396" t="s">
        <v>401</v>
      </c>
      <c r="B323" s="382" t="s">
        <v>402</v>
      </c>
      <c r="C323" s="381" t="s">
        <v>269</v>
      </c>
      <c r="D323" s="383">
        <v>43</v>
      </c>
      <c r="E323" s="384">
        <v>51612</v>
      </c>
      <c r="F323" s="384">
        <f t="shared" si="42"/>
        <v>2219316</v>
      </c>
    </row>
    <row r="324" spans="1:6" s="9" customFormat="1" ht="35.1" customHeight="1" x14ac:dyDescent="0.25">
      <c r="A324" s="396" t="s">
        <v>403</v>
      </c>
      <c r="B324" s="382" t="s">
        <v>404</v>
      </c>
      <c r="C324" s="381" t="s">
        <v>269</v>
      </c>
      <c r="D324" s="383">
        <v>31</v>
      </c>
      <c r="E324" s="384">
        <v>63427</v>
      </c>
      <c r="F324" s="384">
        <f t="shared" si="42"/>
        <v>1966237</v>
      </c>
    </row>
    <row r="325" spans="1:6" s="9" customFormat="1" ht="35.1" customHeight="1" x14ac:dyDescent="0.25">
      <c r="A325" s="396" t="s">
        <v>405</v>
      </c>
      <c r="B325" s="382" t="s">
        <v>406</v>
      </c>
      <c r="C325" s="381" t="s">
        <v>269</v>
      </c>
      <c r="D325" s="383">
        <v>50</v>
      </c>
      <c r="E325" s="384">
        <v>55243</v>
      </c>
      <c r="F325" s="384">
        <f t="shared" si="42"/>
        <v>2762150</v>
      </c>
    </row>
    <row r="326" spans="1:6" s="9" customFormat="1" ht="35.1" customHeight="1" x14ac:dyDescent="0.25">
      <c r="A326" s="396" t="s">
        <v>407</v>
      </c>
      <c r="B326" s="382" t="s">
        <v>408</v>
      </c>
      <c r="C326" s="381" t="s">
        <v>269</v>
      </c>
      <c r="D326" s="383">
        <v>30</v>
      </c>
      <c r="E326" s="384">
        <v>28801</v>
      </c>
      <c r="F326" s="384">
        <f t="shared" si="42"/>
        <v>864030</v>
      </c>
    </row>
    <row r="327" spans="1:6" s="9" customFormat="1" ht="35.1" customHeight="1" x14ac:dyDescent="0.25">
      <c r="A327" s="396" t="s">
        <v>409</v>
      </c>
      <c r="B327" s="382" t="s">
        <v>410</v>
      </c>
      <c r="C327" s="381" t="s">
        <v>269</v>
      </c>
      <c r="D327" s="383">
        <v>15</v>
      </c>
      <c r="E327" s="384">
        <v>35394</v>
      </c>
      <c r="F327" s="384">
        <f t="shared" si="42"/>
        <v>530910</v>
      </c>
    </row>
    <row r="328" spans="1:6" s="9" customFormat="1" ht="35.1" customHeight="1" x14ac:dyDescent="0.25">
      <c r="A328" s="396" t="s">
        <v>411</v>
      </c>
      <c r="B328" s="382" t="s">
        <v>412</v>
      </c>
      <c r="C328" s="381" t="s">
        <v>269</v>
      </c>
      <c r="D328" s="383">
        <v>70</v>
      </c>
      <c r="E328" s="384">
        <v>47254</v>
      </c>
      <c r="F328" s="384">
        <f t="shared" si="42"/>
        <v>3307780</v>
      </c>
    </row>
    <row r="329" spans="1:6" s="9" customFormat="1" ht="35.1" customHeight="1" x14ac:dyDescent="0.25">
      <c r="A329" s="396" t="s">
        <v>413</v>
      </c>
      <c r="B329" s="382" t="s">
        <v>414</v>
      </c>
      <c r="C329" s="381" t="s">
        <v>269</v>
      </c>
      <c r="D329" s="383">
        <v>20</v>
      </c>
      <c r="E329" s="384">
        <v>82441</v>
      </c>
      <c r="F329" s="384">
        <f t="shared" si="42"/>
        <v>1648820</v>
      </c>
    </row>
    <row r="330" spans="1:6" s="9" customFormat="1" ht="35.1" customHeight="1" x14ac:dyDescent="0.25">
      <c r="A330" s="396" t="s">
        <v>415</v>
      </c>
      <c r="B330" s="382" t="s">
        <v>358</v>
      </c>
      <c r="C330" s="381" t="s">
        <v>1422</v>
      </c>
      <c r="D330" s="383">
        <v>4</v>
      </c>
      <c r="E330" s="384">
        <v>559549</v>
      </c>
      <c r="F330" s="384">
        <f t="shared" si="42"/>
        <v>2238196</v>
      </c>
    </row>
    <row r="331" spans="1:6" s="357" customFormat="1" ht="35.1" customHeight="1" x14ac:dyDescent="0.25">
      <c r="A331" s="408" t="s">
        <v>416</v>
      </c>
      <c r="B331" s="397" t="s">
        <v>417</v>
      </c>
      <c r="C331" s="397" t="s">
        <v>369</v>
      </c>
      <c r="D331" s="385"/>
      <c r="E331" s="388">
        <v>0</v>
      </c>
      <c r="F331" s="388">
        <f t="shared" si="39"/>
        <v>0</v>
      </c>
    </row>
    <row r="332" spans="1:6" s="9" customFormat="1" ht="35.1" customHeight="1" x14ac:dyDescent="0.25">
      <c r="A332" s="381" t="s">
        <v>418</v>
      </c>
      <c r="B332" s="382" t="s">
        <v>1222</v>
      </c>
      <c r="C332" s="381" t="s">
        <v>420</v>
      </c>
      <c r="D332" s="383">
        <v>94</v>
      </c>
      <c r="E332" s="384">
        <v>41241</v>
      </c>
      <c r="F332" s="384">
        <f>ROUND(D332*E332,2)</f>
        <v>3876654</v>
      </c>
    </row>
    <row r="333" spans="1:6" s="9" customFormat="1" ht="35.1" customHeight="1" x14ac:dyDescent="0.25">
      <c r="A333" s="381" t="s">
        <v>421</v>
      </c>
      <c r="B333" s="382" t="s">
        <v>422</v>
      </c>
      <c r="C333" s="381" t="s">
        <v>420</v>
      </c>
      <c r="D333" s="383">
        <v>28</v>
      </c>
      <c r="E333" s="384">
        <v>77990</v>
      </c>
      <c r="F333" s="384">
        <f>ROUND(D333*E333,2)</f>
        <v>2183720</v>
      </c>
    </row>
    <row r="334" spans="1:6" s="9" customFormat="1" ht="35.1" customHeight="1" x14ac:dyDescent="0.25">
      <c r="A334" s="381" t="s">
        <v>423</v>
      </c>
      <c r="B334" s="382" t="s">
        <v>36</v>
      </c>
      <c r="C334" s="381" t="s">
        <v>420</v>
      </c>
      <c r="D334" s="383">
        <v>28</v>
      </c>
      <c r="E334" s="384">
        <v>64933</v>
      </c>
      <c r="F334" s="384">
        <f>ROUND(D334*E334,2)</f>
        <v>1818124</v>
      </c>
    </row>
    <row r="335" spans="1:6" s="9" customFormat="1" ht="35.1" customHeight="1" x14ac:dyDescent="0.25">
      <c r="A335" s="381" t="s">
        <v>424</v>
      </c>
      <c r="B335" s="382" t="s">
        <v>425</v>
      </c>
      <c r="C335" s="381" t="s">
        <v>420</v>
      </c>
      <c r="D335" s="383">
        <v>37</v>
      </c>
      <c r="E335" s="384">
        <v>12898</v>
      </c>
      <c r="F335" s="384">
        <f>ROUND(D335*E335,2)</f>
        <v>477226</v>
      </c>
    </row>
    <row r="336" spans="1:6" s="357" customFormat="1" ht="35.1" customHeight="1" x14ac:dyDescent="0.25">
      <c r="A336" s="408" t="s">
        <v>426</v>
      </c>
      <c r="B336" s="397" t="s">
        <v>427</v>
      </c>
      <c r="C336" s="397" t="s">
        <v>369</v>
      </c>
      <c r="D336" s="385"/>
      <c r="E336" s="388">
        <v>0</v>
      </c>
      <c r="F336" s="388">
        <f t="shared" ref="F336:F395" si="43">D336*E336</f>
        <v>0</v>
      </c>
    </row>
    <row r="337" spans="1:6" s="9" customFormat="1" ht="35.1" customHeight="1" x14ac:dyDescent="0.25">
      <c r="A337" s="381" t="s">
        <v>428</v>
      </c>
      <c r="B337" s="382" t="s">
        <v>1223</v>
      </c>
      <c r="C337" s="396" t="s">
        <v>16</v>
      </c>
      <c r="D337" s="383">
        <v>1</v>
      </c>
      <c r="E337" s="384">
        <v>36079931</v>
      </c>
      <c r="F337" s="384">
        <f>ROUND(D337*E337,2)</f>
        <v>36079931</v>
      </c>
    </row>
    <row r="338" spans="1:6" s="9" customFormat="1" ht="35.1" customHeight="1" x14ac:dyDescent="0.25">
      <c r="A338" s="381" t="s">
        <v>430</v>
      </c>
      <c r="B338" s="382" t="s">
        <v>1224</v>
      </c>
      <c r="C338" s="396" t="s">
        <v>16</v>
      </c>
      <c r="D338" s="383">
        <v>1</v>
      </c>
      <c r="E338" s="384">
        <v>98817320</v>
      </c>
      <c r="F338" s="384">
        <f>ROUND(D338*E338,2)</f>
        <v>98817320</v>
      </c>
    </row>
    <row r="339" spans="1:6" s="9" customFormat="1" ht="35.1" customHeight="1" x14ac:dyDescent="0.25">
      <c r="A339" s="396" t="s">
        <v>432</v>
      </c>
      <c r="B339" s="382" t="s">
        <v>433</v>
      </c>
      <c r="C339" s="396" t="s">
        <v>16</v>
      </c>
      <c r="D339" s="383">
        <v>1</v>
      </c>
      <c r="E339" s="384">
        <v>14543847</v>
      </c>
      <c r="F339" s="384">
        <f>ROUND(D339*E339,2)</f>
        <v>14543847</v>
      </c>
    </row>
    <row r="340" spans="1:6" s="354" customFormat="1" ht="35.1" customHeight="1" x14ac:dyDescent="0.25">
      <c r="A340" s="389">
        <v>13</v>
      </c>
      <c r="B340" s="390" t="s">
        <v>434</v>
      </c>
      <c r="C340" s="390"/>
      <c r="D340" s="390"/>
      <c r="E340" s="392">
        <v>0</v>
      </c>
      <c r="F340" s="392">
        <f t="shared" si="43"/>
        <v>0</v>
      </c>
    </row>
    <row r="341" spans="1:6" s="357" customFormat="1" ht="35.1" customHeight="1" x14ac:dyDescent="0.25">
      <c r="A341" s="408" t="s">
        <v>435</v>
      </c>
      <c r="B341" s="397" t="s">
        <v>436</v>
      </c>
      <c r="C341" s="397"/>
      <c r="D341" s="401"/>
      <c r="E341" s="388">
        <v>0</v>
      </c>
      <c r="F341" s="388">
        <f t="shared" si="43"/>
        <v>0</v>
      </c>
    </row>
    <row r="342" spans="1:6" s="9" customFormat="1" ht="35.1" customHeight="1" x14ac:dyDescent="0.25">
      <c r="A342" s="396" t="s">
        <v>437</v>
      </c>
      <c r="B342" s="395" t="s">
        <v>438</v>
      </c>
      <c r="C342" s="396" t="s">
        <v>269</v>
      </c>
      <c r="D342" s="383">
        <v>951</v>
      </c>
      <c r="E342" s="384">
        <v>25104</v>
      </c>
      <c r="F342" s="384">
        <f t="shared" ref="F342:F354" si="44">ROUND(D342*E342,2)</f>
        <v>23873904</v>
      </c>
    </row>
    <row r="343" spans="1:6" s="9" customFormat="1" ht="35.1" customHeight="1" x14ac:dyDescent="0.25">
      <c r="A343" s="396" t="s">
        <v>439</v>
      </c>
      <c r="B343" s="395" t="s">
        <v>440</v>
      </c>
      <c r="C343" s="396" t="s">
        <v>269</v>
      </c>
      <c r="D343" s="383">
        <v>479</v>
      </c>
      <c r="E343" s="384">
        <v>53770</v>
      </c>
      <c r="F343" s="384">
        <f t="shared" si="44"/>
        <v>25755830</v>
      </c>
    </row>
    <row r="344" spans="1:6" s="9" customFormat="1" ht="35.1" customHeight="1" x14ac:dyDescent="0.25">
      <c r="A344" s="396" t="s">
        <v>441</v>
      </c>
      <c r="B344" s="395" t="s">
        <v>442</v>
      </c>
      <c r="C344" s="396" t="s">
        <v>269</v>
      </c>
      <c r="D344" s="383">
        <v>413</v>
      </c>
      <c r="E344" s="384">
        <v>100183</v>
      </c>
      <c r="F344" s="384">
        <f t="shared" si="44"/>
        <v>41375579</v>
      </c>
    </row>
    <row r="345" spans="1:6" s="9" customFormat="1" ht="35.1" customHeight="1" x14ac:dyDescent="0.25">
      <c r="A345" s="396" t="s">
        <v>443</v>
      </c>
      <c r="B345" s="395" t="s">
        <v>444</v>
      </c>
      <c r="C345" s="396" t="s">
        <v>269</v>
      </c>
      <c r="D345" s="383">
        <v>60</v>
      </c>
      <c r="E345" s="384">
        <v>141369</v>
      </c>
      <c r="F345" s="384">
        <f t="shared" si="44"/>
        <v>8482140</v>
      </c>
    </row>
    <row r="346" spans="1:6" s="9" customFormat="1" ht="35.1" customHeight="1" x14ac:dyDescent="0.25">
      <c r="A346" s="396" t="s">
        <v>445</v>
      </c>
      <c r="B346" s="395" t="s">
        <v>446</v>
      </c>
      <c r="C346" s="396" t="s">
        <v>1422</v>
      </c>
      <c r="D346" s="383">
        <v>351</v>
      </c>
      <c r="E346" s="384">
        <v>8457</v>
      </c>
      <c r="F346" s="384">
        <f t="shared" si="44"/>
        <v>2968407</v>
      </c>
    </row>
    <row r="347" spans="1:6" s="9" customFormat="1" ht="35.1" customHeight="1" x14ac:dyDescent="0.25">
      <c r="A347" s="396" t="s">
        <v>447</v>
      </c>
      <c r="B347" s="395" t="s">
        <v>448</v>
      </c>
      <c r="C347" s="396" t="s">
        <v>1422</v>
      </c>
      <c r="D347" s="383">
        <v>130</v>
      </c>
      <c r="E347" s="384">
        <v>18400</v>
      </c>
      <c r="F347" s="384">
        <f t="shared" si="44"/>
        <v>2392000</v>
      </c>
    </row>
    <row r="348" spans="1:6" s="9" customFormat="1" ht="35.1" customHeight="1" x14ac:dyDescent="0.25">
      <c r="A348" s="396" t="s">
        <v>449</v>
      </c>
      <c r="B348" s="395" t="s">
        <v>450</v>
      </c>
      <c r="C348" s="396" t="s">
        <v>1422</v>
      </c>
      <c r="D348" s="383">
        <v>176</v>
      </c>
      <c r="E348" s="384">
        <v>28490</v>
      </c>
      <c r="F348" s="384">
        <f t="shared" si="44"/>
        <v>5014240</v>
      </c>
    </row>
    <row r="349" spans="1:6" s="9" customFormat="1" ht="35.1" customHeight="1" x14ac:dyDescent="0.25">
      <c r="A349" s="396" t="s">
        <v>451</v>
      </c>
      <c r="B349" s="395" t="s">
        <v>452</v>
      </c>
      <c r="C349" s="396" t="s">
        <v>1422</v>
      </c>
      <c r="D349" s="383">
        <v>26</v>
      </c>
      <c r="E349" s="384">
        <v>44519</v>
      </c>
      <c r="F349" s="384">
        <f t="shared" si="44"/>
        <v>1157494</v>
      </c>
    </row>
    <row r="350" spans="1:6" s="9" customFormat="1" ht="35.1" customHeight="1" x14ac:dyDescent="0.25">
      <c r="A350" s="396" t="s">
        <v>453</v>
      </c>
      <c r="B350" s="395" t="s">
        <v>454</v>
      </c>
      <c r="C350" s="396" t="s">
        <v>1422</v>
      </c>
      <c r="D350" s="383">
        <v>76</v>
      </c>
      <c r="E350" s="384">
        <v>8584</v>
      </c>
      <c r="F350" s="384">
        <f t="shared" si="44"/>
        <v>652384</v>
      </c>
    </row>
    <row r="351" spans="1:6" s="9" customFormat="1" ht="35.1" customHeight="1" x14ac:dyDescent="0.25">
      <c r="A351" s="396" t="s">
        <v>455</v>
      </c>
      <c r="B351" s="395" t="s">
        <v>456</v>
      </c>
      <c r="C351" s="396" t="s">
        <v>1422</v>
      </c>
      <c r="D351" s="383">
        <v>80</v>
      </c>
      <c r="E351" s="384">
        <v>11394</v>
      </c>
      <c r="F351" s="384">
        <f t="shared" si="44"/>
        <v>911520</v>
      </c>
    </row>
    <row r="352" spans="1:6" s="9" customFormat="1" ht="35.1" customHeight="1" x14ac:dyDescent="0.25">
      <c r="A352" s="396" t="s">
        <v>457</v>
      </c>
      <c r="B352" s="395" t="s">
        <v>458</v>
      </c>
      <c r="C352" s="396" t="s">
        <v>1422</v>
      </c>
      <c r="D352" s="383">
        <v>12</v>
      </c>
      <c r="E352" s="384">
        <v>14097</v>
      </c>
      <c r="F352" s="384">
        <f t="shared" si="44"/>
        <v>169164</v>
      </c>
    </row>
    <row r="353" spans="1:6" s="9" customFormat="1" ht="35.1" customHeight="1" x14ac:dyDescent="0.25">
      <c r="A353" s="396" t="s">
        <v>459</v>
      </c>
      <c r="B353" s="395" t="s">
        <v>460</v>
      </c>
      <c r="C353" s="396" t="s">
        <v>269</v>
      </c>
      <c r="D353" s="383">
        <v>824</v>
      </c>
      <c r="E353" s="384">
        <v>6075</v>
      </c>
      <c r="F353" s="384">
        <f t="shared" si="44"/>
        <v>5005800</v>
      </c>
    </row>
    <row r="354" spans="1:6" s="9" customFormat="1" ht="35.1" customHeight="1" x14ac:dyDescent="0.25">
      <c r="A354" s="396" t="s">
        <v>461</v>
      </c>
      <c r="B354" s="395" t="s">
        <v>462</v>
      </c>
      <c r="C354" s="396" t="s">
        <v>269</v>
      </c>
      <c r="D354" s="383">
        <v>147</v>
      </c>
      <c r="E354" s="384">
        <v>10332</v>
      </c>
      <c r="F354" s="384">
        <f t="shared" si="44"/>
        <v>1518804</v>
      </c>
    </row>
    <row r="355" spans="1:6" s="357" customFormat="1" ht="35.1" customHeight="1" x14ac:dyDescent="0.25">
      <c r="A355" s="408" t="s">
        <v>463</v>
      </c>
      <c r="B355" s="397" t="s">
        <v>464</v>
      </c>
      <c r="C355" s="397"/>
      <c r="D355" s="385"/>
      <c r="E355" s="388">
        <v>0</v>
      </c>
      <c r="F355" s="388">
        <f t="shared" si="43"/>
        <v>0</v>
      </c>
    </row>
    <row r="356" spans="1:6" s="9" customFormat="1" ht="35.1" customHeight="1" x14ac:dyDescent="0.25">
      <c r="A356" s="396" t="s">
        <v>465</v>
      </c>
      <c r="B356" s="395" t="s">
        <v>466</v>
      </c>
      <c r="C356" s="396" t="s">
        <v>1422</v>
      </c>
      <c r="D356" s="383">
        <v>378</v>
      </c>
      <c r="E356" s="384">
        <v>61254</v>
      </c>
      <c r="F356" s="384">
        <f t="shared" ref="F356:F370" si="45">ROUND(D356*E356,2)</f>
        <v>23154012</v>
      </c>
    </row>
    <row r="357" spans="1:6" s="9" customFormat="1" ht="35.1" customHeight="1" x14ac:dyDescent="0.25">
      <c r="A357" s="396" t="s">
        <v>467</v>
      </c>
      <c r="B357" s="395" t="s">
        <v>468</v>
      </c>
      <c r="C357" s="396" t="s">
        <v>1422</v>
      </c>
      <c r="D357" s="383">
        <v>52</v>
      </c>
      <c r="E357" s="384">
        <v>40136</v>
      </c>
      <c r="F357" s="384">
        <f t="shared" si="45"/>
        <v>2087072</v>
      </c>
    </row>
    <row r="358" spans="1:6" s="9" customFormat="1" ht="35.1" customHeight="1" x14ac:dyDescent="0.25">
      <c r="A358" s="396" t="s">
        <v>469</v>
      </c>
      <c r="B358" s="395" t="s">
        <v>470</v>
      </c>
      <c r="C358" s="396" t="s">
        <v>1422</v>
      </c>
      <c r="D358" s="383">
        <v>37</v>
      </c>
      <c r="E358" s="384">
        <v>132447</v>
      </c>
      <c r="F358" s="384">
        <f t="shared" si="45"/>
        <v>4900539</v>
      </c>
    </row>
    <row r="359" spans="1:6" s="9" customFormat="1" ht="35.1" customHeight="1" x14ac:dyDescent="0.25">
      <c r="A359" s="396" t="s">
        <v>471</v>
      </c>
      <c r="B359" s="395" t="s">
        <v>472</v>
      </c>
      <c r="C359" s="396" t="s">
        <v>1422</v>
      </c>
      <c r="D359" s="383">
        <v>467</v>
      </c>
      <c r="E359" s="384">
        <v>48346</v>
      </c>
      <c r="F359" s="384">
        <f t="shared" si="45"/>
        <v>22577582</v>
      </c>
    </row>
    <row r="360" spans="1:6" s="9" customFormat="1" ht="35.1" customHeight="1" x14ac:dyDescent="0.25">
      <c r="A360" s="396" t="s">
        <v>473</v>
      </c>
      <c r="B360" s="395" t="s">
        <v>474</v>
      </c>
      <c r="C360" s="396" t="s">
        <v>1422</v>
      </c>
      <c r="D360" s="383">
        <v>5</v>
      </c>
      <c r="E360" s="384">
        <v>4317584</v>
      </c>
      <c r="F360" s="384">
        <f t="shared" si="45"/>
        <v>21587920</v>
      </c>
    </row>
    <row r="361" spans="1:6" s="9" customFormat="1" ht="35.1" customHeight="1" x14ac:dyDescent="0.25">
      <c r="A361" s="396" t="s">
        <v>475</v>
      </c>
      <c r="B361" s="395" t="s">
        <v>476</v>
      </c>
      <c r="C361" s="396" t="s">
        <v>1422</v>
      </c>
      <c r="D361" s="383">
        <v>10</v>
      </c>
      <c r="E361" s="384">
        <v>82654</v>
      </c>
      <c r="F361" s="384">
        <f t="shared" si="45"/>
        <v>826540</v>
      </c>
    </row>
    <row r="362" spans="1:6" s="9" customFormat="1" ht="35.1" customHeight="1" x14ac:dyDescent="0.25">
      <c r="A362" s="396" t="s">
        <v>477</v>
      </c>
      <c r="B362" s="395" t="s">
        <v>478</v>
      </c>
      <c r="C362" s="396" t="s">
        <v>1422</v>
      </c>
      <c r="D362" s="383">
        <v>2</v>
      </c>
      <c r="E362" s="384">
        <v>1533641</v>
      </c>
      <c r="F362" s="384">
        <f t="shared" si="45"/>
        <v>3067282</v>
      </c>
    </row>
    <row r="363" spans="1:6" s="9" customFormat="1" ht="35.1" customHeight="1" x14ac:dyDescent="0.25">
      <c r="A363" s="396" t="s">
        <v>479</v>
      </c>
      <c r="B363" s="395" t="s">
        <v>480</v>
      </c>
      <c r="C363" s="396" t="s">
        <v>1422</v>
      </c>
      <c r="D363" s="383">
        <v>1</v>
      </c>
      <c r="E363" s="384">
        <v>5546537</v>
      </c>
      <c r="F363" s="384">
        <f t="shared" si="45"/>
        <v>5546537</v>
      </c>
    </row>
    <row r="364" spans="1:6" s="9" customFormat="1" ht="35.1" customHeight="1" x14ac:dyDescent="0.25">
      <c r="A364" s="396" t="s">
        <v>481</v>
      </c>
      <c r="B364" s="395" t="s">
        <v>482</v>
      </c>
      <c r="C364" s="396" t="s">
        <v>1422</v>
      </c>
      <c r="D364" s="383">
        <v>1</v>
      </c>
      <c r="E364" s="384">
        <v>443112</v>
      </c>
      <c r="F364" s="384">
        <f t="shared" si="45"/>
        <v>443112</v>
      </c>
    </row>
    <row r="365" spans="1:6" s="9" customFormat="1" ht="35.1" customHeight="1" x14ac:dyDescent="0.25">
      <c r="A365" s="396" t="s">
        <v>483</v>
      </c>
      <c r="B365" s="395" t="s">
        <v>484</v>
      </c>
      <c r="C365" s="396" t="s">
        <v>1422</v>
      </c>
      <c r="D365" s="383">
        <v>1</v>
      </c>
      <c r="E365" s="384">
        <v>1594086</v>
      </c>
      <c r="F365" s="384">
        <f t="shared" si="45"/>
        <v>1594086</v>
      </c>
    </row>
    <row r="366" spans="1:6" s="9" customFormat="1" ht="35.1" customHeight="1" x14ac:dyDescent="0.25">
      <c r="A366" s="396" t="s">
        <v>485</v>
      </c>
      <c r="B366" s="395" t="s">
        <v>486</v>
      </c>
      <c r="C366" s="396" t="s">
        <v>1422</v>
      </c>
      <c r="D366" s="383">
        <v>20</v>
      </c>
      <c r="E366" s="384">
        <v>144197</v>
      </c>
      <c r="F366" s="384">
        <f t="shared" si="45"/>
        <v>2883940</v>
      </c>
    </row>
    <row r="367" spans="1:6" s="9" customFormat="1" ht="35.1" customHeight="1" x14ac:dyDescent="0.25">
      <c r="A367" s="396" t="s">
        <v>487</v>
      </c>
      <c r="B367" s="395" t="s">
        <v>488</v>
      </c>
      <c r="C367" s="396" t="s">
        <v>1422</v>
      </c>
      <c r="D367" s="383">
        <v>3</v>
      </c>
      <c r="E367" s="384">
        <v>290006</v>
      </c>
      <c r="F367" s="384">
        <f t="shared" si="45"/>
        <v>870018</v>
      </c>
    </row>
    <row r="368" spans="1:6" s="9" customFormat="1" ht="35.1" customHeight="1" x14ac:dyDescent="0.25">
      <c r="A368" s="396" t="s">
        <v>489</v>
      </c>
      <c r="B368" s="395" t="s">
        <v>490</v>
      </c>
      <c r="C368" s="396" t="s">
        <v>1422</v>
      </c>
      <c r="D368" s="383">
        <v>44</v>
      </c>
      <c r="E368" s="384">
        <v>124016</v>
      </c>
      <c r="F368" s="384">
        <f t="shared" si="45"/>
        <v>5456704</v>
      </c>
    </row>
    <row r="369" spans="1:6" s="9" customFormat="1" ht="35.1" customHeight="1" x14ac:dyDescent="0.25">
      <c r="A369" s="396" t="s">
        <v>491</v>
      </c>
      <c r="B369" s="395" t="s">
        <v>492</v>
      </c>
      <c r="C369" s="396" t="s">
        <v>1422</v>
      </c>
      <c r="D369" s="383">
        <v>37</v>
      </c>
      <c r="E369" s="384">
        <v>130645</v>
      </c>
      <c r="F369" s="384">
        <f t="shared" si="45"/>
        <v>4833865</v>
      </c>
    </row>
    <row r="370" spans="1:6" s="9" customFormat="1" ht="35.1" customHeight="1" x14ac:dyDescent="0.25">
      <c r="A370" s="396" t="s">
        <v>493</v>
      </c>
      <c r="B370" s="395" t="s">
        <v>494</v>
      </c>
      <c r="C370" s="396" t="s">
        <v>1422</v>
      </c>
      <c r="D370" s="383">
        <v>8</v>
      </c>
      <c r="E370" s="384">
        <v>1657015</v>
      </c>
      <c r="F370" s="384">
        <f t="shared" si="45"/>
        <v>13256120</v>
      </c>
    </row>
    <row r="371" spans="1:6" s="354" customFormat="1" ht="35.1" customHeight="1" x14ac:dyDescent="0.25">
      <c r="A371" s="389">
        <v>14</v>
      </c>
      <c r="B371" s="390" t="s">
        <v>495</v>
      </c>
      <c r="C371" s="390"/>
      <c r="D371" s="390"/>
      <c r="E371" s="392">
        <v>0</v>
      </c>
      <c r="F371" s="392">
        <f t="shared" si="43"/>
        <v>0</v>
      </c>
    </row>
    <row r="372" spans="1:6" s="357" customFormat="1" ht="35.1" customHeight="1" x14ac:dyDescent="0.25">
      <c r="A372" s="408" t="s">
        <v>496</v>
      </c>
      <c r="B372" s="405" t="s">
        <v>497</v>
      </c>
      <c r="C372" s="397"/>
      <c r="D372" s="385"/>
      <c r="E372" s="388">
        <v>0</v>
      </c>
      <c r="F372" s="388">
        <f t="shared" si="43"/>
        <v>0</v>
      </c>
    </row>
    <row r="373" spans="1:6" s="9" customFormat="1" ht="35.1" customHeight="1" x14ac:dyDescent="0.25">
      <c r="A373" s="396" t="s">
        <v>498</v>
      </c>
      <c r="B373" s="87" t="s">
        <v>499</v>
      </c>
      <c r="C373" s="396" t="s">
        <v>16</v>
      </c>
      <c r="D373" s="383">
        <v>210</v>
      </c>
      <c r="E373" s="384">
        <v>85719</v>
      </c>
      <c r="F373" s="384">
        <f t="shared" ref="F373:F388" si="46">ROUND(D373*E373,2)</f>
        <v>18000990</v>
      </c>
    </row>
    <row r="374" spans="1:6" s="9" customFormat="1" ht="35.1" customHeight="1" x14ac:dyDescent="0.25">
      <c r="A374" s="396" t="s">
        <v>500</v>
      </c>
      <c r="B374" s="87" t="s">
        <v>501</v>
      </c>
      <c r="C374" s="396" t="s">
        <v>16</v>
      </c>
      <c r="D374" s="383">
        <v>112</v>
      </c>
      <c r="E374" s="384">
        <v>77545</v>
      </c>
      <c r="F374" s="384">
        <f t="shared" si="46"/>
        <v>8685040</v>
      </c>
    </row>
    <row r="375" spans="1:6" s="9" customFormat="1" ht="35.1" customHeight="1" x14ac:dyDescent="0.25">
      <c r="A375" s="396" t="s">
        <v>502</v>
      </c>
      <c r="B375" s="395" t="s">
        <v>503</v>
      </c>
      <c r="C375" s="396" t="s">
        <v>16</v>
      </c>
      <c r="D375" s="383">
        <v>166</v>
      </c>
      <c r="E375" s="384">
        <v>72707</v>
      </c>
      <c r="F375" s="384">
        <f t="shared" si="46"/>
        <v>12069362</v>
      </c>
    </row>
    <row r="376" spans="1:6" s="9" customFormat="1" ht="35.1" customHeight="1" x14ac:dyDescent="0.25">
      <c r="A376" s="396" t="s">
        <v>504</v>
      </c>
      <c r="B376" s="395" t="s">
        <v>505</v>
      </c>
      <c r="C376" s="396" t="s">
        <v>16</v>
      </c>
      <c r="D376" s="383">
        <v>69</v>
      </c>
      <c r="E376" s="384">
        <v>72707</v>
      </c>
      <c r="F376" s="384">
        <f t="shared" si="46"/>
        <v>5016783</v>
      </c>
    </row>
    <row r="377" spans="1:6" s="9" customFormat="1" ht="35.1" customHeight="1" x14ac:dyDescent="0.25">
      <c r="A377" s="396" t="s">
        <v>506</v>
      </c>
      <c r="B377" s="395" t="s">
        <v>507</v>
      </c>
      <c r="C377" s="396" t="s">
        <v>16</v>
      </c>
      <c r="D377" s="383">
        <v>252</v>
      </c>
      <c r="E377" s="384">
        <v>72707</v>
      </c>
      <c r="F377" s="384">
        <f t="shared" si="46"/>
        <v>18322164</v>
      </c>
    </row>
    <row r="378" spans="1:6" s="9" customFormat="1" ht="35.1" customHeight="1" x14ac:dyDescent="0.25">
      <c r="A378" s="396" t="s">
        <v>508</v>
      </c>
      <c r="B378" s="395" t="s">
        <v>509</v>
      </c>
      <c r="C378" s="396" t="s">
        <v>16</v>
      </c>
      <c r="D378" s="383">
        <v>8</v>
      </c>
      <c r="E378" s="384">
        <v>70412</v>
      </c>
      <c r="F378" s="384">
        <f t="shared" si="46"/>
        <v>563296</v>
      </c>
    </row>
    <row r="379" spans="1:6" s="9" customFormat="1" ht="35.1" customHeight="1" x14ac:dyDescent="0.25">
      <c r="A379" s="396" t="s">
        <v>510</v>
      </c>
      <c r="B379" s="395" t="s">
        <v>511</v>
      </c>
      <c r="C379" s="396" t="s">
        <v>16</v>
      </c>
      <c r="D379" s="383">
        <v>8</v>
      </c>
      <c r="E379" s="384">
        <v>77194</v>
      </c>
      <c r="F379" s="384">
        <f t="shared" si="46"/>
        <v>617552</v>
      </c>
    </row>
    <row r="380" spans="1:6" s="9" customFormat="1" ht="35.1" customHeight="1" x14ac:dyDescent="0.25">
      <c r="A380" s="396" t="s">
        <v>512</v>
      </c>
      <c r="B380" s="395" t="s">
        <v>513</v>
      </c>
      <c r="C380" s="396" t="s">
        <v>16</v>
      </c>
      <c r="D380" s="383">
        <v>92</v>
      </c>
      <c r="E380" s="384">
        <v>77194</v>
      </c>
      <c r="F380" s="384">
        <f t="shared" si="46"/>
        <v>7101848</v>
      </c>
    </row>
    <row r="381" spans="1:6" s="9" customFormat="1" ht="35.1" customHeight="1" x14ac:dyDescent="0.25">
      <c r="A381" s="396" t="s">
        <v>514</v>
      </c>
      <c r="B381" s="395" t="s">
        <v>515</v>
      </c>
      <c r="C381" s="396" t="s">
        <v>16</v>
      </c>
      <c r="D381" s="383">
        <v>14</v>
      </c>
      <c r="E381" s="384">
        <v>77194</v>
      </c>
      <c r="F381" s="384">
        <f t="shared" si="46"/>
        <v>1080716</v>
      </c>
    </row>
    <row r="382" spans="1:6" s="9" customFormat="1" ht="35.1" customHeight="1" x14ac:dyDescent="0.25">
      <c r="A382" s="396" t="s">
        <v>516</v>
      </c>
      <c r="B382" s="87" t="s">
        <v>517</v>
      </c>
      <c r="C382" s="396" t="s">
        <v>16</v>
      </c>
      <c r="D382" s="383">
        <v>58</v>
      </c>
      <c r="E382" s="384">
        <v>82554</v>
      </c>
      <c r="F382" s="384">
        <f t="shared" si="46"/>
        <v>4788132</v>
      </c>
    </row>
    <row r="383" spans="1:6" s="9" customFormat="1" ht="35.1" customHeight="1" x14ac:dyDescent="0.25">
      <c r="A383" s="396" t="s">
        <v>518</v>
      </c>
      <c r="B383" s="87" t="s">
        <v>519</v>
      </c>
      <c r="C383" s="396" t="s">
        <v>16</v>
      </c>
      <c r="D383" s="383">
        <v>24</v>
      </c>
      <c r="E383" s="384">
        <v>89514</v>
      </c>
      <c r="F383" s="384">
        <f t="shared" si="46"/>
        <v>2148336</v>
      </c>
    </row>
    <row r="384" spans="1:6" s="9" customFormat="1" ht="35.1" customHeight="1" x14ac:dyDescent="0.25">
      <c r="A384" s="396" t="s">
        <v>520</v>
      </c>
      <c r="B384" s="87" t="s">
        <v>521</v>
      </c>
      <c r="C384" s="396" t="s">
        <v>16</v>
      </c>
      <c r="D384" s="383">
        <v>8</v>
      </c>
      <c r="E384" s="384">
        <v>91387</v>
      </c>
      <c r="F384" s="384">
        <f t="shared" si="46"/>
        <v>731096</v>
      </c>
    </row>
    <row r="385" spans="1:6" s="9" customFormat="1" ht="35.1" customHeight="1" x14ac:dyDescent="0.25">
      <c r="A385" s="396" t="s">
        <v>522</v>
      </c>
      <c r="B385" s="87" t="s">
        <v>523</v>
      </c>
      <c r="C385" s="396" t="s">
        <v>16</v>
      </c>
      <c r="D385" s="383">
        <v>6</v>
      </c>
      <c r="E385" s="384">
        <v>99856</v>
      </c>
      <c r="F385" s="384">
        <f t="shared" si="46"/>
        <v>599136</v>
      </c>
    </row>
    <row r="386" spans="1:6" s="9" customFormat="1" ht="35.1" customHeight="1" x14ac:dyDescent="0.25">
      <c r="A386" s="396" t="s">
        <v>524</v>
      </c>
      <c r="B386" s="395" t="s">
        <v>525</v>
      </c>
      <c r="C386" s="396" t="s">
        <v>16</v>
      </c>
      <c r="D386" s="383">
        <v>17</v>
      </c>
      <c r="E386" s="384">
        <v>93715</v>
      </c>
      <c r="F386" s="384">
        <f t="shared" si="46"/>
        <v>1593155</v>
      </c>
    </row>
    <row r="387" spans="1:6" s="9" customFormat="1" ht="35.1" customHeight="1" x14ac:dyDescent="0.25">
      <c r="A387" s="396" t="s">
        <v>526</v>
      </c>
      <c r="B387" s="395" t="s">
        <v>527</v>
      </c>
      <c r="C387" s="396" t="s">
        <v>16</v>
      </c>
      <c r="D387" s="383">
        <v>5</v>
      </c>
      <c r="E387" s="384">
        <v>105670</v>
      </c>
      <c r="F387" s="384">
        <f t="shared" si="46"/>
        <v>528350</v>
      </c>
    </row>
    <row r="388" spans="1:6" s="9" customFormat="1" ht="35.1" customHeight="1" x14ac:dyDescent="0.25">
      <c r="A388" s="396" t="s">
        <v>528</v>
      </c>
      <c r="B388" s="395" t="s">
        <v>529</v>
      </c>
      <c r="C388" s="396" t="s">
        <v>269</v>
      </c>
      <c r="D388" s="383">
        <v>650</v>
      </c>
      <c r="E388" s="384">
        <v>1759</v>
      </c>
      <c r="F388" s="384">
        <f t="shared" si="46"/>
        <v>1143350</v>
      </c>
    </row>
    <row r="389" spans="1:6" s="357" customFormat="1" ht="35.1" customHeight="1" x14ac:dyDescent="0.25">
      <c r="A389" s="408" t="s">
        <v>530</v>
      </c>
      <c r="B389" s="397" t="s">
        <v>531</v>
      </c>
      <c r="C389" s="397"/>
      <c r="D389" s="385"/>
      <c r="E389" s="388">
        <v>0</v>
      </c>
      <c r="F389" s="388">
        <f t="shared" si="43"/>
        <v>0</v>
      </c>
    </row>
    <row r="390" spans="1:6" s="9" customFormat="1" ht="35.1" customHeight="1" x14ac:dyDescent="0.25">
      <c r="A390" s="396" t="s">
        <v>532</v>
      </c>
      <c r="B390" s="395" t="s">
        <v>533</v>
      </c>
      <c r="C390" s="396" t="s">
        <v>1422</v>
      </c>
      <c r="D390" s="383">
        <v>361</v>
      </c>
      <c r="E390" s="384">
        <v>85150</v>
      </c>
      <c r="F390" s="384">
        <f>ROUND(D390*E390,2)</f>
        <v>30739150</v>
      </c>
    </row>
    <row r="391" spans="1:6" s="9" customFormat="1" ht="35.1" customHeight="1" x14ac:dyDescent="0.25">
      <c r="A391" s="396" t="s">
        <v>534</v>
      </c>
      <c r="B391" s="395" t="s">
        <v>535</v>
      </c>
      <c r="C391" s="396" t="s">
        <v>1422</v>
      </c>
      <c r="D391" s="383">
        <v>7</v>
      </c>
      <c r="E391" s="384">
        <v>115110</v>
      </c>
      <c r="F391" s="384">
        <f>ROUND(D391*E391,2)</f>
        <v>805770</v>
      </c>
    </row>
    <row r="392" spans="1:6" s="9" customFormat="1" ht="35.1" customHeight="1" x14ac:dyDescent="0.25">
      <c r="A392" s="396" t="s">
        <v>536</v>
      </c>
      <c r="B392" s="395" t="s">
        <v>537</v>
      </c>
      <c r="C392" s="396" t="s">
        <v>1422</v>
      </c>
      <c r="D392" s="383">
        <v>25</v>
      </c>
      <c r="E392" s="384">
        <v>86171</v>
      </c>
      <c r="F392" s="384">
        <f>ROUND(D392*E392,2)</f>
        <v>2154275</v>
      </c>
    </row>
    <row r="393" spans="1:6" s="9" customFormat="1" ht="35.1" customHeight="1" x14ac:dyDescent="0.25">
      <c r="A393" s="396" t="s">
        <v>538</v>
      </c>
      <c r="B393" s="87" t="s">
        <v>539</v>
      </c>
      <c r="C393" s="396" t="s">
        <v>1422</v>
      </c>
      <c r="D393" s="383">
        <v>4</v>
      </c>
      <c r="E393" s="384">
        <v>104413</v>
      </c>
      <c r="F393" s="384">
        <f>ROUND(D393*E393,2)</f>
        <v>417652</v>
      </c>
    </row>
    <row r="394" spans="1:6" s="9" customFormat="1" ht="35.1" customHeight="1" x14ac:dyDescent="0.25">
      <c r="A394" s="396" t="s">
        <v>540</v>
      </c>
      <c r="B394" s="395" t="s">
        <v>541</v>
      </c>
      <c r="C394" s="396" t="s">
        <v>269</v>
      </c>
      <c r="D394" s="383">
        <v>1350</v>
      </c>
      <c r="E394" s="384">
        <v>1759</v>
      </c>
      <c r="F394" s="384">
        <f>ROUND(D394*E394,2)</f>
        <v>2374650</v>
      </c>
    </row>
    <row r="395" spans="1:6" s="357" customFormat="1" ht="35.1" customHeight="1" x14ac:dyDescent="0.25">
      <c r="A395" s="408" t="s">
        <v>542</v>
      </c>
      <c r="B395" s="397" t="s">
        <v>543</v>
      </c>
      <c r="C395" s="397"/>
      <c r="D395" s="385"/>
      <c r="E395" s="388">
        <v>0</v>
      </c>
      <c r="F395" s="388">
        <f t="shared" si="43"/>
        <v>0</v>
      </c>
    </row>
    <row r="396" spans="1:6" s="9" customFormat="1" ht="35.1" customHeight="1" x14ac:dyDescent="0.25">
      <c r="A396" s="396" t="s">
        <v>544</v>
      </c>
      <c r="B396" s="87" t="s">
        <v>545</v>
      </c>
      <c r="C396" s="396" t="s">
        <v>16</v>
      </c>
      <c r="D396" s="383">
        <v>54</v>
      </c>
      <c r="E396" s="384">
        <v>125957</v>
      </c>
      <c r="F396" s="384">
        <f>ROUND(D396*E396,2)</f>
        <v>6801678</v>
      </c>
    </row>
    <row r="397" spans="1:6" s="9" customFormat="1" ht="35.1" customHeight="1" x14ac:dyDescent="0.25">
      <c r="A397" s="396" t="s">
        <v>546</v>
      </c>
      <c r="B397" s="87" t="s">
        <v>547</v>
      </c>
      <c r="C397" s="396" t="s">
        <v>16</v>
      </c>
      <c r="D397" s="383">
        <v>109</v>
      </c>
      <c r="E397" s="384">
        <v>116101</v>
      </c>
      <c r="F397" s="384">
        <f>ROUND(D397*E397,2)</f>
        <v>12655009</v>
      </c>
    </row>
    <row r="398" spans="1:6" s="9" customFormat="1" ht="35.1" customHeight="1" x14ac:dyDescent="0.25">
      <c r="A398" s="396" t="s">
        <v>548</v>
      </c>
      <c r="B398" s="87" t="s">
        <v>549</v>
      </c>
      <c r="C398" s="396" t="s">
        <v>269</v>
      </c>
      <c r="D398" s="383">
        <v>50</v>
      </c>
      <c r="E398" s="384">
        <v>11793</v>
      </c>
      <c r="F398" s="384">
        <f>ROUND(D398*E398,2)</f>
        <v>589650</v>
      </c>
    </row>
    <row r="399" spans="1:6" s="9" customFormat="1" ht="35.1" customHeight="1" x14ac:dyDescent="0.25">
      <c r="A399" s="396" t="s">
        <v>550</v>
      </c>
      <c r="B399" s="87" t="s">
        <v>551</v>
      </c>
      <c r="C399" s="396" t="s">
        <v>269</v>
      </c>
      <c r="D399" s="383">
        <v>2050</v>
      </c>
      <c r="E399" s="384">
        <v>1759</v>
      </c>
      <c r="F399" s="384">
        <f>ROUND(D399*E399,2)</f>
        <v>3605950</v>
      </c>
    </row>
    <row r="400" spans="1:6" s="354" customFormat="1" ht="35.1" customHeight="1" x14ac:dyDescent="0.25">
      <c r="A400" s="389">
        <v>15</v>
      </c>
      <c r="B400" s="390" t="s">
        <v>552</v>
      </c>
      <c r="C400" s="390"/>
      <c r="D400" s="390"/>
      <c r="E400" s="392">
        <v>0</v>
      </c>
      <c r="F400" s="392">
        <f t="shared" ref="F400:F460" si="47">D400*E400</f>
        <v>0</v>
      </c>
    </row>
    <row r="401" spans="1:6" s="357" customFormat="1" ht="35.1" customHeight="1" x14ac:dyDescent="0.25">
      <c r="A401" s="411" t="s">
        <v>553</v>
      </c>
      <c r="B401" s="397" t="s">
        <v>554</v>
      </c>
      <c r="C401" s="397"/>
      <c r="D401" s="385"/>
      <c r="E401" s="388">
        <v>0</v>
      </c>
      <c r="F401" s="388">
        <f t="shared" si="47"/>
        <v>0</v>
      </c>
    </row>
    <row r="402" spans="1:6" s="9" customFormat="1" ht="35.1" customHeight="1" x14ac:dyDescent="0.25">
      <c r="A402" s="396" t="s">
        <v>555</v>
      </c>
      <c r="B402" s="87" t="s">
        <v>556</v>
      </c>
      <c r="C402" s="396" t="s">
        <v>269</v>
      </c>
      <c r="D402" s="383">
        <v>266</v>
      </c>
      <c r="E402" s="384">
        <v>108641</v>
      </c>
      <c r="F402" s="384">
        <f t="shared" ref="F402:F407" si="48">ROUND(D402*E402,2)</f>
        <v>28898506</v>
      </c>
    </row>
    <row r="403" spans="1:6" s="9" customFormat="1" ht="35.1" customHeight="1" x14ac:dyDescent="0.25">
      <c r="A403" s="396" t="s">
        <v>557</v>
      </c>
      <c r="B403" s="395" t="s">
        <v>558</v>
      </c>
      <c r="C403" s="396" t="s">
        <v>1422</v>
      </c>
      <c r="D403" s="383">
        <v>11</v>
      </c>
      <c r="E403" s="384">
        <v>139505</v>
      </c>
      <c r="F403" s="384">
        <f t="shared" si="48"/>
        <v>1534555</v>
      </c>
    </row>
    <row r="404" spans="1:6" s="9" customFormat="1" ht="35.1" customHeight="1" x14ac:dyDescent="0.25">
      <c r="A404" s="396" t="s">
        <v>559</v>
      </c>
      <c r="B404" s="395" t="s">
        <v>560</v>
      </c>
      <c r="C404" s="396" t="s">
        <v>1422</v>
      </c>
      <c r="D404" s="383">
        <v>125</v>
      </c>
      <c r="E404" s="384">
        <v>30941</v>
      </c>
      <c r="F404" s="384">
        <f t="shared" si="48"/>
        <v>3867625</v>
      </c>
    </row>
    <row r="405" spans="1:6" s="9" customFormat="1" ht="35.1" customHeight="1" x14ac:dyDescent="0.25">
      <c r="A405" s="396" t="s">
        <v>561</v>
      </c>
      <c r="B405" s="87" t="s">
        <v>562</v>
      </c>
      <c r="C405" s="396" t="s">
        <v>269</v>
      </c>
      <c r="D405" s="383">
        <v>92</v>
      </c>
      <c r="E405" s="384">
        <v>202238</v>
      </c>
      <c r="F405" s="384">
        <f t="shared" si="48"/>
        <v>18605896</v>
      </c>
    </row>
    <row r="406" spans="1:6" s="9" customFormat="1" ht="35.1" customHeight="1" x14ac:dyDescent="0.25">
      <c r="A406" s="396" t="s">
        <v>563</v>
      </c>
      <c r="B406" s="395" t="s">
        <v>564</v>
      </c>
      <c r="C406" s="396" t="s">
        <v>1422</v>
      </c>
      <c r="D406" s="383">
        <v>3</v>
      </c>
      <c r="E406" s="384">
        <v>167403</v>
      </c>
      <c r="F406" s="384">
        <f t="shared" si="48"/>
        <v>502209</v>
      </c>
    </row>
    <row r="407" spans="1:6" s="9" customFormat="1" ht="35.1" customHeight="1" x14ac:dyDescent="0.25">
      <c r="A407" s="396" t="s">
        <v>565</v>
      </c>
      <c r="B407" s="395" t="s">
        <v>566</v>
      </c>
      <c r="C407" s="396" t="s">
        <v>1422</v>
      </c>
      <c r="D407" s="383">
        <v>46</v>
      </c>
      <c r="E407" s="384">
        <v>30941</v>
      </c>
      <c r="F407" s="384">
        <f t="shared" si="48"/>
        <v>1423286</v>
      </c>
    </row>
    <row r="408" spans="1:6" s="357" customFormat="1" ht="35.1" customHeight="1" x14ac:dyDescent="0.25">
      <c r="A408" s="411" t="s">
        <v>567</v>
      </c>
      <c r="B408" s="397" t="s">
        <v>568</v>
      </c>
      <c r="C408" s="397"/>
      <c r="D408" s="385"/>
      <c r="E408" s="388">
        <v>0</v>
      </c>
      <c r="F408" s="388">
        <f t="shared" si="47"/>
        <v>0</v>
      </c>
    </row>
    <row r="409" spans="1:6" s="9" customFormat="1" ht="35.1" customHeight="1" x14ac:dyDescent="0.25">
      <c r="A409" s="396" t="s">
        <v>569</v>
      </c>
      <c r="B409" s="395" t="s">
        <v>570</v>
      </c>
      <c r="C409" s="396" t="s">
        <v>269</v>
      </c>
      <c r="D409" s="383">
        <v>250</v>
      </c>
      <c r="E409" s="384">
        <v>30791</v>
      </c>
      <c r="F409" s="384">
        <f>ROUND(D409*E409,2)</f>
        <v>7697750</v>
      </c>
    </row>
    <row r="410" spans="1:6" s="9" customFormat="1" ht="35.1" customHeight="1" x14ac:dyDescent="0.25">
      <c r="A410" s="396" t="s">
        <v>571</v>
      </c>
      <c r="B410" s="395" t="s">
        <v>572</v>
      </c>
      <c r="C410" s="396" t="s">
        <v>16</v>
      </c>
      <c r="D410" s="383">
        <v>109</v>
      </c>
      <c r="E410" s="384">
        <v>24024</v>
      </c>
      <c r="F410" s="384">
        <f>ROUND(D410*E410,2)</f>
        <v>2618616</v>
      </c>
    </row>
    <row r="411" spans="1:6" s="357" customFormat="1" ht="35.1" customHeight="1" x14ac:dyDescent="0.25">
      <c r="A411" s="411" t="s">
        <v>573</v>
      </c>
      <c r="B411" s="397" t="s">
        <v>574</v>
      </c>
      <c r="C411" s="397"/>
      <c r="D411" s="385"/>
      <c r="E411" s="388">
        <v>0</v>
      </c>
      <c r="F411" s="388">
        <f t="shared" si="47"/>
        <v>0</v>
      </c>
    </row>
    <row r="412" spans="1:6" s="9" customFormat="1" ht="35.1" customHeight="1" x14ac:dyDescent="0.25">
      <c r="A412" s="396" t="s">
        <v>575</v>
      </c>
      <c r="B412" s="395" t="s">
        <v>576</v>
      </c>
      <c r="C412" s="396" t="s">
        <v>16</v>
      </c>
      <c r="D412" s="383">
        <v>1</v>
      </c>
      <c r="E412" s="384">
        <v>73977215</v>
      </c>
      <c r="F412" s="384">
        <f t="shared" ref="F412:F421" si="49">ROUND(D412*E412,2)</f>
        <v>73977215</v>
      </c>
    </row>
    <row r="413" spans="1:6" s="9" customFormat="1" ht="35.1" customHeight="1" x14ac:dyDescent="0.25">
      <c r="A413" s="396" t="s">
        <v>577</v>
      </c>
      <c r="B413" s="395" t="s">
        <v>578</v>
      </c>
      <c r="C413" s="396" t="s">
        <v>16</v>
      </c>
      <c r="D413" s="383">
        <v>1</v>
      </c>
      <c r="E413" s="384">
        <v>5477283</v>
      </c>
      <c r="F413" s="384">
        <f t="shared" si="49"/>
        <v>5477283</v>
      </c>
    </row>
    <row r="414" spans="1:6" s="9" customFormat="1" ht="35.1" customHeight="1" x14ac:dyDescent="0.25">
      <c r="A414" s="396" t="s">
        <v>579</v>
      </c>
      <c r="B414" s="395" t="s">
        <v>580</v>
      </c>
      <c r="C414" s="396" t="s">
        <v>16</v>
      </c>
      <c r="D414" s="383">
        <v>1</v>
      </c>
      <c r="E414" s="384">
        <v>203847</v>
      </c>
      <c r="F414" s="384">
        <f t="shared" si="49"/>
        <v>203847</v>
      </c>
    </row>
    <row r="415" spans="1:6" s="9" customFormat="1" ht="35.1" customHeight="1" x14ac:dyDescent="0.25">
      <c r="A415" s="396" t="s">
        <v>581</v>
      </c>
      <c r="B415" s="395" t="s">
        <v>1225</v>
      </c>
      <c r="C415" s="396" t="s">
        <v>16</v>
      </c>
      <c r="D415" s="383">
        <v>1</v>
      </c>
      <c r="E415" s="384">
        <v>166129</v>
      </c>
      <c r="F415" s="384">
        <f t="shared" si="49"/>
        <v>166129</v>
      </c>
    </row>
    <row r="416" spans="1:6" s="9" customFormat="1" ht="35.1" customHeight="1" x14ac:dyDescent="0.25">
      <c r="A416" s="396" t="s">
        <v>583</v>
      </c>
      <c r="B416" s="395" t="s">
        <v>584</v>
      </c>
      <c r="C416" s="396" t="s">
        <v>16</v>
      </c>
      <c r="D416" s="383">
        <v>1</v>
      </c>
      <c r="E416" s="384">
        <v>334860</v>
      </c>
      <c r="F416" s="384">
        <f t="shared" si="49"/>
        <v>334860</v>
      </c>
    </row>
    <row r="417" spans="1:6" s="9" customFormat="1" ht="35.1" customHeight="1" x14ac:dyDescent="0.25">
      <c r="A417" s="396" t="s">
        <v>585</v>
      </c>
      <c r="B417" s="395" t="s">
        <v>586</v>
      </c>
      <c r="C417" s="396" t="s">
        <v>16</v>
      </c>
      <c r="D417" s="383">
        <v>1</v>
      </c>
      <c r="E417" s="384">
        <v>408239</v>
      </c>
      <c r="F417" s="384">
        <f t="shared" si="49"/>
        <v>408239</v>
      </c>
    </row>
    <row r="418" spans="1:6" s="9" customFormat="1" ht="35.1" customHeight="1" x14ac:dyDescent="0.25">
      <c r="A418" s="396" t="s">
        <v>587</v>
      </c>
      <c r="B418" s="395" t="s">
        <v>1226</v>
      </c>
      <c r="C418" s="396" t="s">
        <v>16</v>
      </c>
      <c r="D418" s="383">
        <v>1</v>
      </c>
      <c r="E418" s="384">
        <v>298863</v>
      </c>
      <c r="F418" s="384">
        <f t="shared" si="49"/>
        <v>298863</v>
      </c>
    </row>
    <row r="419" spans="1:6" s="9" customFormat="1" ht="35.1" customHeight="1" x14ac:dyDescent="0.25">
      <c r="A419" s="396" t="s">
        <v>589</v>
      </c>
      <c r="B419" s="395" t="s">
        <v>590</v>
      </c>
      <c r="C419" s="396" t="s">
        <v>16</v>
      </c>
      <c r="D419" s="383">
        <v>2</v>
      </c>
      <c r="E419" s="384">
        <v>602696</v>
      </c>
      <c r="F419" s="384">
        <f t="shared" si="49"/>
        <v>1205392</v>
      </c>
    </row>
    <row r="420" spans="1:6" s="9" customFormat="1" ht="35.1" customHeight="1" x14ac:dyDescent="0.25">
      <c r="A420" s="396" t="s">
        <v>591</v>
      </c>
      <c r="B420" s="395" t="s">
        <v>1227</v>
      </c>
      <c r="C420" s="396" t="s">
        <v>16</v>
      </c>
      <c r="D420" s="383">
        <v>1</v>
      </c>
      <c r="E420" s="384">
        <v>19343397</v>
      </c>
      <c r="F420" s="384">
        <f t="shared" si="49"/>
        <v>19343397</v>
      </c>
    </row>
    <row r="421" spans="1:6" s="9" customFormat="1" ht="35.1" customHeight="1" x14ac:dyDescent="0.25">
      <c r="A421" s="396" t="s">
        <v>593</v>
      </c>
      <c r="B421" s="395" t="s">
        <v>594</v>
      </c>
      <c r="C421" s="396" t="s">
        <v>16</v>
      </c>
      <c r="D421" s="383">
        <v>3</v>
      </c>
      <c r="E421" s="384">
        <v>1537405</v>
      </c>
      <c r="F421" s="384">
        <f t="shared" si="49"/>
        <v>4612215</v>
      </c>
    </row>
    <row r="422" spans="1:6" s="357" customFormat="1" ht="35.1" customHeight="1" x14ac:dyDescent="0.25">
      <c r="A422" s="411" t="s">
        <v>595</v>
      </c>
      <c r="B422" s="397" t="s">
        <v>596</v>
      </c>
      <c r="C422" s="397"/>
      <c r="D422" s="385"/>
      <c r="E422" s="388">
        <v>0</v>
      </c>
      <c r="F422" s="388">
        <f t="shared" si="47"/>
        <v>0</v>
      </c>
    </row>
    <row r="423" spans="1:6" s="9" customFormat="1" ht="35.1" customHeight="1" x14ac:dyDescent="0.25">
      <c r="A423" s="396" t="s">
        <v>597</v>
      </c>
      <c r="B423" s="395" t="s">
        <v>598</v>
      </c>
      <c r="C423" s="396" t="s">
        <v>269</v>
      </c>
      <c r="D423" s="383">
        <v>20</v>
      </c>
      <c r="E423" s="384">
        <v>324864</v>
      </c>
      <c r="F423" s="384">
        <f>ROUND(D423*E423,2)</f>
        <v>6497280</v>
      </c>
    </row>
    <row r="424" spans="1:6" s="9" customFormat="1" ht="35.1" customHeight="1" x14ac:dyDescent="0.25">
      <c r="A424" s="396" t="s">
        <v>599</v>
      </c>
      <c r="B424" s="395" t="s">
        <v>1228</v>
      </c>
      <c r="C424" s="396" t="s">
        <v>269</v>
      </c>
      <c r="D424" s="383">
        <v>6</v>
      </c>
      <c r="E424" s="384">
        <v>1199016</v>
      </c>
      <c r="F424" s="384">
        <f>ROUND(D424*E424,2)</f>
        <v>7194096</v>
      </c>
    </row>
    <row r="425" spans="1:6" s="9" customFormat="1" ht="35.1" customHeight="1" x14ac:dyDescent="0.25">
      <c r="A425" s="396" t="s">
        <v>601</v>
      </c>
      <c r="B425" s="395" t="s">
        <v>1229</v>
      </c>
      <c r="C425" s="396" t="s">
        <v>269</v>
      </c>
      <c r="D425" s="383">
        <v>5</v>
      </c>
      <c r="E425" s="384">
        <v>1261425</v>
      </c>
      <c r="F425" s="384">
        <f>ROUND(D425*E425,2)</f>
        <v>6307125</v>
      </c>
    </row>
    <row r="426" spans="1:6" s="357" customFormat="1" ht="35.1" customHeight="1" x14ac:dyDescent="0.25">
      <c r="A426" s="411" t="s">
        <v>603</v>
      </c>
      <c r="B426" s="397" t="s">
        <v>596</v>
      </c>
      <c r="C426" s="397"/>
      <c r="D426" s="385"/>
      <c r="E426" s="388">
        <v>0</v>
      </c>
      <c r="F426" s="388">
        <f t="shared" si="47"/>
        <v>0</v>
      </c>
    </row>
    <row r="427" spans="1:6" s="9" customFormat="1" ht="35.1" customHeight="1" x14ac:dyDescent="0.25">
      <c r="A427" s="396" t="s">
        <v>604</v>
      </c>
      <c r="B427" s="395" t="s">
        <v>605</v>
      </c>
      <c r="C427" s="396" t="s">
        <v>269</v>
      </c>
      <c r="D427" s="383">
        <v>8</v>
      </c>
      <c r="E427" s="384">
        <v>196961</v>
      </c>
      <c r="F427" s="384">
        <f t="shared" ref="F427:F442" si="50">ROUND(D427*E427,2)</f>
        <v>1575688</v>
      </c>
    </row>
    <row r="428" spans="1:6" s="9" customFormat="1" ht="35.1" customHeight="1" x14ac:dyDescent="0.25">
      <c r="A428" s="396" t="s">
        <v>606</v>
      </c>
      <c r="B428" s="395" t="s">
        <v>607</v>
      </c>
      <c r="C428" s="396" t="s">
        <v>269</v>
      </c>
      <c r="D428" s="383">
        <v>52</v>
      </c>
      <c r="E428" s="384">
        <v>63264</v>
      </c>
      <c r="F428" s="384">
        <f t="shared" si="50"/>
        <v>3289728</v>
      </c>
    </row>
    <row r="429" spans="1:6" s="9" customFormat="1" ht="35.1" customHeight="1" x14ac:dyDescent="0.25">
      <c r="A429" s="396" t="s">
        <v>608</v>
      </c>
      <c r="B429" s="395" t="s">
        <v>609</v>
      </c>
      <c r="C429" s="396" t="s">
        <v>269</v>
      </c>
      <c r="D429" s="383">
        <v>106</v>
      </c>
      <c r="E429" s="384">
        <v>63264</v>
      </c>
      <c r="F429" s="384">
        <f t="shared" si="50"/>
        <v>6705984</v>
      </c>
    </row>
    <row r="430" spans="1:6" s="9" customFormat="1" ht="35.1" customHeight="1" x14ac:dyDescent="0.25">
      <c r="A430" s="396" t="s">
        <v>610</v>
      </c>
      <c r="B430" s="395" t="s">
        <v>611</v>
      </c>
      <c r="C430" s="396" t="s">
        <v>269</v>
      </c>
      <c r="D430" s="383">
        <v>5</v>
      </c>
      <c r="E430" s="384">
        <v>369856</v>
      </c>
      <c r="F430" s="384">
        <f t="shared" si="50"/>
        <v>1849280</v>
      </c>
    </row>
    <row r="431" spans="1:6" s="9" customFormat="1" ht="35.1" customHeight="1" x14ac:dyDescent="0.25">
      <c r="A431" s="396" t="s">
        <v>612</v>
      </c>
      <c r="B431" s="395" t="s">
        <v>613</v>
      </c>
      <c r="C431" s="396" t="s">
        <v>269</v>
      </c>
      <c r="D431" s="383">
        <v>6</v>
      </c>
      <c r="E431" s="384">
        <v>63264</v>
      </c>
      <c r="F431" s="384">
        <f t="shared" si="50"/>
        <v>379584</v>
      </c>
    </row>
    <row r="432" spans="1:6" s="9" customFormat="1" ht="35.1" customHeight="1" x14ac:dyDescent="0.25">
      <c r="A432" s="396" t="s">
        <v>614</v>
      </c>
      <c r="B432" s="395" t="s">
        <v>615</v>
      </c>
      <c r="C432" s="396" t="s">
        <v>269</v>
      </c>
      <c r="D432" s="383">
        <v>60</v>
      </c>
      <c r="E432" s="384">
        <v>132863</v>
      </c>
      <c r="F432" s="384">
        <f t="shared" si="50"/>
        <v>7971780</v>
      </c>
    </row>
    <row r="433" spans="1:6" s="9" customFormat="1" ht="35.1" customHeight="1" x14ac:dyDescent="0.25">
      <c r="A433" s="396" t="s">
        <v>616</v>
      </c>
      <c r="B433" s="395" t="s">
        <v>617</v>
      </c>
      <c r="C433" s="396" t="s">
        <v>269</v>
      </c>
      <c r="D433" s="383">
        <v>64</v>
      </c>
      <c r="E433" s="384">
        <v>196635</v>
      </c>
      <c r="F433" s="384">
        <f t="shared" si="50"/>
        <v>12584640</v>
      </c>
    </row>
    <row r="434" spans="1:6" s="9" customFormat="1" ht="35.1" customHeight="1" x14ac:dyDescent="0.25">
      <c r="A434" s="396" t="s">
        <v>618</v>
      </c>
      <c r="B434" s="395" t="s">
        <v>619</v>
      </c>
      <c r="C434" s="396" t="s">
        <v>269</v>
      </c>
      <c r="D434" s="383">
        <v>68</v>
      </c>
      <c r="E434" s="384">
        <v>196635</v>
      </c>
      <c r="F434" s="384">
        <f t="shared" si="50"/>
        <v>13371180</v>
      </c>
    </row>
    <row r="435" spans="1:6" s="9" customFormat="1" ht="35.1" customHeight="1" x14ac:dyDescent="0.25">
      <c r="A435" s="396" t="s">
        <v>620</v>
      </c>
      <c r="B435" s="395" t="s">
        <v>621</v>
      </c>
      <c r="C435" s="396" t="s">
        <v>269</v>
      </c>
      <c r="D435" s="383">
        <v>72</v>
      </c>
      <c r="E435" s="384">
        <v>196635</v>
      </c>
      <c r="F435" s="384">
        <f t="shared" si="50"/>
        <v>14157720</v>
      </c>
    </row>
    <row r="436" spans="1:6" s="9" customFormat="1" ht="35.1" customHeight="1" x14ac:dyDescent="0.25">
      <c r="A436" s="396" t="s">
        <v>622</v>
      </c>
      <c r="B436" s="395" t="s">
        <v>623</v>
      </c>
      <c r="C436" s="396" t="s">
        <v>269</v>
      </c>
      <c r="D436" s="383">
        <v>60</v>
      </c>
      <c r="E436" s="384">
        <v>176340</v>
      </c>
      <c r="F436" s="384">
        <f t="shared" si="50"/>
        <v>10580400</v>
      </c>
    </row>
    <row r="437" spans="1:6" s="9" customFormat="1" ht="35.1" customHeight="1" x14ac:dyDescent="0.25">
      <c r="A437" s="396" t="s">
        <v>624</v>
      </c>
      <c r="B437" s="395" t="s">
        <v>625</v>
      </c>
      <c r="C437" s="396" t="s">
        <v>269</v>
      </c>
      <c r="D437" s="383">
        <v>7</v>
      </c>
      <c r="E437" s="384">
        <v>102892</v>
      </c>
      <c r="F437" s="384">
        <f t="shared" si="50"/>
        <v>720244</v>
      </c>
    </row>
    <row r="438" spans="1:6" s="9" customFormat="1" ht="35.1" customHeight="1" x14ac:dyDescent="0.25">
      <c r="A438" s="396" t="s">
        <v>1230</v>
      </c>
      <c r="B438" s="395" t="s">
        <v>1231</v>
      </c>
      <c r="C438" s="396" t="s">
        <v>269</v>
      </c>
      <c r="D438" s="383">
        <v>72</v>
      </c>
      <c r="E438" s="384">
        <v>176414</v>
      </c>
      <c r="F438" s="384">
        <f t="shared" si="50"/>
        <v>12701808</v>
      </c>
    </row>
    <row r="439" spans="1:6" s="9" customFormat="1" ht="35.1" customHeight="1" x14ac:dyDescent="0.25">
      <c r="A439" s="396" t="s">
        <v>1232</v>
      </c>
      <c r="B439" s="395" t="s">
        <v>1233</v>
      </c>
      <c r="C439" s="396" t="s">
        <v>269</v>
      </c>
      <c r="D439" s="383">
        <v>7</v>
      </c>
      <c r="E439" s="384">
        <v>102892</v>
      </c>
      <c r="F439" s="384">
        <f t="shared" si="50"/>
        <v>720244</v>
      </c>
    </row>
    <row r="440" spans="1:6" s="9" customFormat="1" ht="35.1" customHeight="1" x14ac:dyDescent="0.25">
      <c r="A440" s="396" t="s">
        <v>1234</v>
      </c>
      <c r="B440" s="395" t="s">
        <v>1235</v>
      </c>
      <c r="C440" s="396" t="s">
        <v>269</v>
      </c>
      <c r="D440" s="383">
        <v>76</v>
      </c>
      <c r="E440" s="384">
        <v>489234</v>
      </c>
      <c r="F440" s="384">
        <f t="shared" si="50"/>
        <v>37181784</v>
      </c>
    </row>
    <row r="441" spans="1:6" s="9" customFormat="1" ht="35.1" customHeight="1" x14ac:dyDescent="0.25">
      <c r="A441" s="396" t="s">
        <v>1236</v>
      </c>
      <c r="B441" s="395" t="s">
        <v>1237</v>
      </c>
      <c r="C441" s="396" t="s">
        <v>269</v>
      </c>
      <c r="D441" s="383">
        <v>76</v>
      </c>
      <c r="E441" s="384">
        <v>489234</v>
      </c>
      <c r="F441" s="384">
        <f t="shared" si="50"/>
        <v>37181784</v>
      </c>
    </row>
    <row r="442" spans="1:6" s="9" customFormat="1" ht="35.1" customHeight="1" x14ac:dyDescent="0.25">
      <c r="A442" s="396" t="s">
        <v>626</v>
      </c>
      <c r="B442" s="395" t="s">
        <v>1238</v>
      </c>
      <c r="C442" s="396" t="s">
        <v>269</v>
      </c>
      <c r="D442" s="383">
        <v>102</v>
      </c>
      <c r="E442" s="384">
        <v>167599</v>
      </c>
      <c r="F442" s="384">
        <f t="shared" si="50"/>
        <v>17095098</v>
      </c>
    </row>
    <row r="443" spans="1:6" s="357" customFormat="1" ht="35.1" customHeight="1" x14ac:dyDescent="0.25">
      <c r="A443" s="411" t="s">
        <v>628</v>
      </c>
      <c r="B443" s="397" t="s">
        <v>629</v>
      </c>
      <c r="C443" s="397"/>
      <c r="D443" s="385"/>
      <c r="E443" s="388">
        <v>0</v>
      </c>
      <c r="F443" s="388">
        <f t="shared" si="47"/>
        <v>0</v>
      </c>
    </row>
    <row r="444" spans="1:6" s="9" customFormat="1" ht="35.1" customHeight="1" x14ac:dyDescent="0.25">
      <c r="A444" s="396" t="s">
        <v>630</v>
      </c>
      <c r="B444" s="395" t="s">
        <v>631</v>
      </c>
      <c r="C444" s="396" t="s">
        <v>269</v>
      </c>
      <c r="D444" s="383">
        <v>50</v>
      </c>
      <c r="E444" s="384">
        <v>37508</v>
      </c>
      <c r="F444" s="384">
        <f>ROUND(D444*E444,2)</f>
        <v>1875400</v>
      </c>
    </row>
    <row r="445" spans="1:6" s="9" customFormat="1" ht="35.1" customHeight="1" x14ac:dyDescent="0.25">
      <c r="A445" s="396" t="s">
        <v>632</v>
      </c>
      <c r="B445" s="395" t="s">
        <v>1239</v>
      </c>
      <c r="C445" s="396" t="s">
        <v>269</v>
      </c>
      <c r="D445" s="383">
        <v>100</v>
      </c>
      <c r="E445" s="384">
        <v>67929</v>
      </c>
      <c r="F445" s="384">
        <f>ROUND(D445*E445,2)</f>
        <v>6792900</v>
      </c>
    </row>
    <row r="446" spans="1:6" s="357" customFormat="1" ht="39.950000000000003" customHeight="1" x14ac:dyDescent="0.25">
      <c r="A446" s="411" t="s">
        <v>634</v>
      </c>
      <c r="B446" s="397" t="s">
        <v>635</v>
      </c>
      <c r="C446" s="397"/>
      <c r="D446" s="385"/>
      <c r="E446" s="388">
        <v>0</v>
      </c>
      <c r="F446" s="388">
        <f t="shared" si="47"/>
        <v>0</v>
      </c>
    </row>
    <row r="447" spans="1:6" s="9" customFormat="1" ht="39.950000000000003" customHeight="1" x14ac:dyDescent="0.25">
      <c r="A447" s="396" t="s">
        <v>636</v>
      </c>
      <c r="B447" s="395" t="s">
        <v>637</v>
      </c>
      <c r="C447" s="396" t="s">
        <v>16</v>
      </c>
      <c r="D447" s="383">
        <v>1</v>
      </c>
      <c r="E447" s="384">
        <v>877227</v>
      </c>
      <c r="F447" s="384">
        <f t="shared" ref="F447:F453" si="51">ROUND(D447*E447,2)</f>
        <v>877227</v>
      </c>
    </row>
    <row r="448" spans="1:6" s="9" customFormat="1" ht="39.950000000000003" customHeight="1" x14ac:dyDescent="0.25">
      <c r="A448" s="396" t="s">
        <v>638</v>
      </c>
      <c r="B448" s="395" t="s">
        <v>639</v>
      </c>
      <c r="C448" s="396" t="s">
        <v>16</v>
      </c>
      <c r="D448" s="383">
        <v>1</v>
      </c>
      <c r="E448" s="384">
        <v>704631</v>
      </c>
      <c r="F448" s="384">
        <f t="shared" si="51"/>
        <v>704631</v>
      </c>
    </row>
    <row r="449" spans="1:6" s="9" customFormat="1" ht="39.950000000000003" customHeight="1" x14ac:dyDescent="0.25">
      <c r="A449" s="396" t="s">
        <v>640</v>
      </c>
      <c r="B449" s="395" t="s">
        <v>641</v>
      </c>
      <c r="C449" s="396" t="s">
        <v>16</v>
      </c>
      <c r="D449" s="383">
        <v>3</v>
      </c>
      <c r="E449" s="384">
        <v>708054</v>
      </c>
      <c r="F449" s="384">
        <f t="shared" si="51"/>
        <v>2124162</v>
      </c>
    </row>
    <row r="450" spans="1:6" s="9" customFormat="1" ht="39.950000000000003" customHeight="1" x14ac:dyDescent="0.25">
      <c r="A450" s="396" t="s">
        <v>642</v>
      </c>
      <c r="B450" s="395" t="s">
        <v>643</v>
      </c>
      <c r="C450" s="396" t="s">
        <v>16</v>
      </c>
      <c r="D450" s="383">
        <v>3</v>
      </c>
      <c r="E450" s="384">
        <v>993919</v>
      </c>
      <c r="F450" s="384">
        <f t="shared" si="51"/>
        <v>2981757</v>
      </c>
    </row>
    <row r="451" spans="1:6" s="9" customFormat="1" ht="39.950000000000003" customHeight="1" x14ac:dyDescent="0.25">
      <c r="A451" s="396" t="s">
        <v>644</v>
      </c>
      <c r="B451" s="87" t="s">
        <v>645</v>
      </c>
      <c r="C451" s="396" t="s">
        <v>16</v>
      </c>
      <c r="D451" s="383">
        <v>70</v>
      </c>
      <c r="E451" s="384">
        <v>21208</v>
      </c>
      <c r="F451" s="384">
        <f t="shared" si="51"/>
        <v>1484560</v>
      </c>
    </row>
    <row r="452" spans="1:6" s="9" customFormat="1" ht="39.950000000000003" customHeight="1" x14ac:dyDescent="0.25">
      <c r="A452" s="396" t="s">
        <v>646</v>
      </c>
      <c r="B452" s="87" t="s">
        <v>647</v>
      </c>
      <c r="C452" s="396" t="s">
        <v>16</v>
      </c>
      <c r="D452" s="383">
        <v>50</v>
      </c>
      <c r="E452" s="384">
        <v>21208</v>
      </c>
      <c r="F452" s="384">
        <f t="shared" si="51"/>
        <v>1060400</v>
      </c>
    </row>
    <row r="453" spans="1:6" s="9" customFormat="1" ht="39.950000000000003" customHeight="1" x14ac:dyDescent="0.25">
      <c r="A453" s="396" t="s">
        <v>648</v>
      </c>
      <c r="B453" s="87" t="s">
        <v>649</v>
      </c>
      <c r="C453" s="396" t="s">
        <v>16</v>
      </c>
      <c r="D453" s="383">
        <v>6</v>
      </c>
      <c r="E453" s="384">
        <v>59886</v>
      </c>
      <c r="F453" s="384">
        <f t="shared" si="51"/>
        <v>359316</v>
      </c>
    </row>
    <row r="454" spans="1:6" s="357" customFormat="1" ht="39.950000000000003" customHeight="1" x14ac:dyDescent="0.25">
      <c r="A454" s="411" t="s">
        <v>650</v>
      </c>
      <c r="B454" s="397" t="s">
        <v>1240</v>
      </c>
      <c r="C454" s="397"/>
      <c r="D454" s="401"/>
      <c r="E454" s="388">
        <v>0</v>
      </c>
      <c r="F454" s="388">
        <f t="shared" si="47"/>
        <v>0</v>
      </c>
    </row>
    <row r="455" spans="1:6" s="9" customFormat="1" ht="67.5" customHeight="1" x14ac:dyDescent="0.25">
      <c r="A455" s="396" t="s">
        <v>652</v>
      </c>
      <c r="B455" s="395" t="s">
        <v>1241</v>
      </c>
      <c r="C455" s="396" t="s">
        <v>16</v>
      </c>
      <c r="D455" s="383">
        <v>1</v>
      </c>
      <c r="E455" s="384">
        <v>600716</v>
      </c>
      <c r="F455" s="384">
        <f>ROUND(D455*E455,2)</f>
        <v>600716</v>
      </c>
    </row>
    <row r="456" spans="1:6" s="357" customFormat="1" ht="39.950000000000003" customHeight="1" x14ac:dyDescent="0.25">
      <c r="A456" s="411" t="s">
        <v>654</v>
      </c>
      <c r="B456" s="397" t="s">
        <v>655</v>
      </c>
      <c r="C456" s="397"/>
      <c r="D456" s="401"/>
      <c r="E456" s="388">
        <v>0</v>
      </c>
      <c r="F456" s="388">
        <f t="shared" si="47"/>
        <v>0</v>
      </c>
    </row>
    <row r="457" spans="1:6" s="9" customFormat="1" ht="60" customHeight="1" x14ac:dyDescent="0.25">
      <c r="A457" s="396" t="s">
        <v>656</v>
      </c>
      <c r="B457" s="395" t="s">
        <v>1242</v>
      </c>
      <c r="C457" s="396" t="s">
        <v>16</v>
      </c>
      <c r="D457" s="383">
        <v>1</v>
      </c>
      <c r="E457" s="384">
        <v>20382570</v>
      </c>
      <c r="F457" s="384">
        <f>ROUND(D457*E457,2)</f>
        <v>20382570</v>
      </c>
    </row>
    <row r="458" spans="1:6" s="9" customFormat="1" ht="39.950000000000003" customHeight="1" x14ac:dyDescent="0.25">
      <c r="A458" s="396" t="s">
        <v>658</v>
      </c>
      <c r="B458" s="87" t="s">
        <v>659</v>
      </c>
      <c r="C458" s="396" t="s">
        <v>16</v>
      </c>
      <c r="D458" s="383">
        <v>2</v>
      </c>
      <c r="E458" s="384">
        <v>12302824</v>
      </c>
      <c r="F458" s="384">
        <f>ROUND(D458*E458,2)</f>
        <v>24605648</v>
      </c>
    </row>
    <row r="459" spans="1:6" s="9" customFormat="1" ht="39.950000000000003" customHeight="1" x14ac:dyDescent="0.25">
      <c r="A459" s="396" t="s">
        <v>660</v>
      </c>
      <c r="B459" s="395" t="s">
        <v>1243</v>
      </c>
      <c r="C459" s="396" t="s">
        <v>16</v>
      </c>
      <c r="D459" s="383">
        <v>1</v>
      </c>
      <c r="E459" s="384">
        <v>14291137</v>
      </c>
      <c r="F459" s="384">
        <f>ROUND(D459*E459,2)</f>
        <v>14291137</v>
      </c>
    </row>
    <row r="460" spans="1:6" s="357" customFormat="1" ht="39.950000000000003" customHeight="1" x14ac:dyDescent="0.25">
      <c r="A460" s="412" t="s">
        <v>662</v>
      </c>
      <c r="B460" s="397" t="s">
        <v>663</v>
      </c>
      <c r="C460" s="397"/>
      <c r="D460" s="385"/>
      <c r="E460" s="388">
        <v>0</v>
      </c>
      <c r="F460" s="388">
        <f t="shared" si="47"/>
        <v>0</v>
      </c>
    </row>
    <row r="461" spans="1:6" s="9" customFormat="1" ht="35.1" customHeight="1" x14ac:dyDescent="0.25">
      <c r="A461" s="396" t="s">
        <v>664</v>
      </c>
      <c r="B461" s="395" t="s">
        <v>665</v>
      </c>
      <c r="C461" s="396" t="s">
        <v>269</v>
      </c>
      <c r="D461" s="383">
        <v>35</v>
      </c>
      <c r="E461" s="384">
        <v>25185</v>
      </c>
      <c r="F461" s="384">
        <f>ROUND(D461*E461,2)</f>
        <v>881475</v>
      </c>
    </row>
    <row r="462" spans="1:6" s="9" customFormat="1" ht="35.1" customHeight="1" x14ac:dyDescent="0.25">
      <c r="A462" s="396" t="s">
        <v>666</v>
      </c>
      <c r="B462" s="395" t="s">
        <v>1244</v>
      </c>
      <c r="C462" s="413" t="s">
        <v>16</v>
      </c>
      <c r="D462" s="383">
        <v>6</v>
      </c>
      <c r="E462" s="384">
        <v>131692</v>
      </c>
      <c r="F462" s="384">
        <f>ROUND(D462*E462,2)</f>
        <v>790152</v>
      </c>
    </row>
    <row r="463" spans="1:6" s="9" customFormat="1" ht="35.1" customHeight="1" x14ac:dyDescent="0.25">
      <c r="A463" s="396" t="s">
        <v>668</v>
      </c>
      <c r="B463" s="395" t="s">
        <v>1245</v>
      </c>
      <c r="C463" s="413" t="s">
        <v>16</v>
      </c>
      <c r="D463" s="383">
        <v>6</v>
      </c>
      <c r="E463" s="384">
        <v>136326</v>
      </c>
      <c r="F463" s="384">
        <f>ROUND(D463*E463,2)</f>
        <v>817956</v>
      </c>
    </row>
    <row r="464" spans="1:6" s="9" customFormat="1" ht="35.1" customHeight="1" x14ac:dyDescent="0.25">
      <c r="A464" s="396" t="s">
        <v>670</v>
      </c>
      <c r="B464" s="395" t="s">
        <v>1246</v>
      </c>
      <c r="C464" s="413" t="s">
        <v>16</v>
      </c>
      <c r="D464" s="383">
        <v>2</v>
      </c>
      <c r="E464" s="384">
        <v>136326</v>
      </c>
      <c r="F464" s="384">
        <f>ROUND(D464*E464,2)</f>
        <v>272652</v>
      </c>
    </row>
    <row r="465" spans="1:6" s="9" customFormat="1" ht="35.1" customHeight="1" x14ac:dyDescent="0.25">
      <c r="A465" s="396" t="s">
        <v>672</v>
      </c>
      <c r="B465" s="414" t="s">
        <v>1247</v>
      </c>
      <c r="C465" s="413" t="s">
        <v>16</v>
      </c>
      <c r="D465" s="383">
        <v>6</v>
      </c>
      <c r="E465" s="384">
        <v>172181</v>
      </c>
      <c r="F465" s="384">
        <f>ROUND(D465*E465,2)</f>
        <v>1033086</v>
      </c>
    </row>
    <row r="466" spans="1:6" s="357" customFormat="1" ht="35.1" customHeight="1" x14ac:dyDescent="0.25">
      <c r="A466" s="412" t="s">
        <v>674</v>
      </c>
      <c r="B466" s="397" t="s">
        <v>675</v>
      </c>
      <c r="C466" s="397"/>
      <c r="D466" s="385"/>
      <c r="E466" s="388">
        <v>0</v>
      </c>
      <c r="F466" s="388">
        <f t="shared" ref="F466:F519" si="52">D466*E466</f>
        <v>0</v>
      </c>
    </row>
    <row r="467" spans="1:6" s="9" customFormat="1" ht="35.1" customHeight="1" x14ac:dyDescent="0.25">
      <c r="A467" s="396" t="s">
        <v>676</v>
      </c>
      <c r="B467" s="395" t="s">
        <v>677</v>
      </c>
      <c r="C467" s="396" t="s">
        <v>269</v>
      </c>
      <c r="D467" s="383">
        <v>10</v>
      </c>
      <c r="E467" s="384">
        <v>7422</v>
      </c>
      <c r="F467" s="384">
        <f>ROUND(D467*E467,2)</f>
        <v>74220</v>
      </c>
    </row>
    <row r="468" spans="1:6" s="9" customFormat="1" ht="35.1" customHeight="1" x14ac:dyDescent="0.25">
      <c r="A468" s="396" t="s">
        <v>678</v>
      </c>
      <c r="B468" s="395" t="s">
        <v>679</v>
      </c>
      <c r="C468" s="413" t="s">
        <v>16</v>
      </c>
      <c r="D468" s="383">
        <v>1</v>
      </c>
      <c r="E468" s="384">
        <v>131692</v>
      </c>
      <c r="F468" s="384">
        <f>ROUND(D468*E468,2)</f>
        <v>131692</v>
      </c>
    </row>
    <row r="469" spans="1:6" s="9" customFormat="1" ht="35.1" customHeight="1" x14ac:dyDescent="0.25">
      <c r="A469" s="396" t="s">
        <v>680</v>
      </c>
      <c r="B469" s="395" t="s">
        <v>681</v>
      </c>
      <c r="C469" s="413" t="s">
        <v>16</v>
      </c>
      <c r="D469" s="383">
        <v>1</v>
      </c>
      <c r="E469" s="384">
        <v>136326</v>
      </c>
      <c r="F469" s="384">
        <f>ROUND(D469*E469,2)</f>
        <v>136326</v>
      </c>
    </row>
    <row r="470" spans="1:6" s="9" customFormat="1" ht="35.1" customHeight="1" x14ac:dyDescent="0.25">
      <c r="A470" s="396" t="s">
        <v>682</v>
      </c>
      <c r="B470" s="395" t="s">
        <v>1248</v>
      </c>
      <c r="C470" s="413" t="s">
        <v>16</v>
      </c>
      <c r="D470" s="383">
        <v>2</v>
      </c>
      <c r="E470" s="384">
        <v>136326</v>
      </c>
      <c r="F470" s="384">
        <f>ROUND(D470*E470,2)</f>
        <v>272652</v>
      </c>
    </row>
    <row r="471" spans="1:6" s="9" customFormat="1" ht="39.950000000000003" customHeight="1" x14ac:dyDescent="0.25">
      <c r="A471" s="396" t="s">
        <v>684</v>
      </c>
      <c r="B471" s="395" t="s">
        <v>1247</v>
      </c>
      <c r="C471" s="413" t="s">
        <v>16</v>
      </c>
      <c r="D471" s="383">
        <v>1</v>
      </c>
      <c r="E471" s="384">
        <v>172181</v>
      </c>
      <c r="F471" s="384">
        <f>ROUND(D471*E471,2)</f>
        <v>172181</v>
      </c>
    </row>
    <row r="472" spans="1:6" s="357" customFormat="1" ht="35.1" customHeight="1" x14ac:dyDescent="0.25">
      <c r="A472" s="412" t="s">
        <v>685</v>
      </c>
      <c r="B472" s="397" t="s">
        <v>686</v>
      </c>
      <c r="C472" s="397"/>
      <c r="D472" s="385"/>
      <c r="E472" s="388">
        <v>0</v>
      </c>
      <c r="F472" s="388">
        <f t="shared" si="52"/>
        <v>0</v>
      </c>
    </row>
    <row r="473" spans="1:6" s="9" customFormat="1" ht="35.1" customHeight="1" x14ac:dyDescent="0.25">
      <c r="A473" s="396" t="s">
        <v>687</v>
      </c>
      <c r="B473" s="395" t="s">
        <v>665</v>
      </c>
      <c r="C473" s="396" t="s">
        <v>269</v>
      </c>
      <c r="D473" s="383">
        <v>8</v>
      </c>
      <c r="E473" s="384">
        <v>25185</v>
      </c>
      <c r="F473" s="384">
        <f>ROUND(D473*E473,2)</f>
        <v>201480</v>
      </c>
    </row>
    <row r="474" spans="1:6" s="9" customFormat="1" ht="57" customHeight="1" x14ac:dyDescent="0.25">
      <c r="A474" s="396" t="s">
        <v>688</v>
      </c>
      <c r="B474" s="395" t="s">
        <v>1249</v>
      </c>
      <c r="C474" s="396" t="s">
        <v>16</v>
      </c>
      <c r="D474" s="383">
        <v>1</v>
      </c>
      <c r="E474" s="384">
        <v>730310</v>
      </c>
      <c r="F474" s="384">
        <f>ROUND(D474*E474,2)</f>
        <v>730310</v>
      </c>
    </row>
    <row r="475" spans="1:6" s="357" customFormat="1" ht="35.1" customHeight="1" x14ac:dyDescent="0.25">
      <c r="A475" s="385" t="s">
        <v>690</v>
      </c>
      <c r="B475" s="397" t="s">
        <v>691</v>
      </c>
      <c r="C475" s="397"/>
      <c r="D475" s="385"/>
      <c r="E475" s="388">
        <v>0</v>
      </c>
      <c r="F475" s="388">
        <f t="shared" si="52"/>
        <v>0</v>
      </c>
    </row>
    <row r="476" spans="1:6" s="9" customFormat="1" ht="35.1" customHeight="1" x14ac:dyDescent="0.25">
      <c r="A476" s="396" t="s">
        <v>692</v>
      </c>
      <c r="B476" s="395" t="s">
        <v>693</v>
      </c>
      <c r="C476" s="396" t="s">
        <v>269</v>
      </c>
      <c r="D476" s="383">
        <v>65</v>
      </c>
      <c r="E476" s="384">
        <v>4906</v>
      </c>
      <c r="F476" s="384">
        <f t="shared" ref="F476:F485" si="53">ROUND(D476*E476,2)</f>
        <v>318890</v>
      </c>
    </row>
    <row r="477" spans="1:6" s="9" customFormat="1" ht="35.1" customHeight="1" x14ac:dyDescent="0.25">
      <c r="A477" s="396" t="s">
        <v>694</v>
      </c>
      <c r="B477" s="395" t="s">
        <v>695</v>
      </c>
      <c r="C477" s="396" t="s">
        <v>269</v>
      </c>
      <c r="D477" s="383">
        <v>69</v>
      </c>
      <c r="E477" s="384">
        <v>15244</v>
      </c>
      <c r="F477" s="384">
        <f t="shared" si="53"/>
        <v>1051836</v>
      </c>
    </row>
    <row r="478" spans="1:6" s="9" customFormat="1" ht="35.1" customHeight="1" x14ac:dyDescent="0.25">
      <c r="A478" s="396" t="s">
        <v>696</v>
      </c>
      <c r="B478" s="395" t="s">
        <v>697</v>
      </c>
      <c r="C478" s="396" t="s">
        <v>269</v>
      </c>
      <c r="D478" s="383">
        <v>244</v>
      </c>
      <c r="E478" s="384">
        <v>5568</v>
      </c>
      <c r="F478" s="384">
        <f t="shared" si="53"/>
        <v>1358592</v>
      </c>
    </row>
    <row r="479" spans="1:6" s="9" customFormat="1" ht="35.1" customHeight="1" x14ac:dyDescent="0.25">
      <c r="A479" s="396" t="s">
        <v>698</v>
      </c>
      <c r="B479" s="395" t="s">
        <v>1250</v>
      </c>
      <c r="C479" s="396" t="s">
        <v>269</v>
      </c>
      <c r="D479" s="383">
        <v>190</v>
      </c>
      <c r="E479" s="384">
        <v>15244</v>
      </c>
      <c r="F479" s="384">
        <f t="shared" si="53"/>
        <v>2896360</v>
      </c>
    </row>
    <row r="480" spans="1:6" s="9" customFormat="1" ht="54" customHeight="1" x14ac:dyDescent="0.25">
      <c r="A480" s="396" t="s">
        <v>700</v>
      </c>
      <c r="B480" s="395" t="s">
        <v>1251</v>
      </c>
      <c r="C480" s="396" t="s">
        <v>16</v>
      </c>
      <c r="D480" s="383">
        <v>14</v>
      </c>
      <c r="E480" s="384">
        <v>220700</v>
      </c>
      <c r="F480" s="384">
        <f t="shared" si="53"/>
        <v>3089800</v>
      </c>
    </row>
    <row r="481" spans="1:6" s="9" customFormat="1" ht="35.1" customHeight="1" x14ac:dyDescent="0.25">
      <c r="A481" s="396" t="s">
        <v>702</v>
      </c>
      <c r="B481" s="395" t="s">
        <v>703</v>
      </c>
      <c r="C481" s="396" t="s">
        <v>16</v>
      </c>
      <c r="D481" s="383">
        <v>86</v>
      </c>
      <c r="E481" s="384">
        <v>21782</v>
      </c>
      <c r="F481" s="384">
        <f t="shared" si="53"/>
        <v>1873252</v>
      </c>
    </row>
    <row r="482" spans="1:6" s="9" customFormat="1" ht="35.1" customHeight="1" x14ac:dyDescent="0.25">
      <c r="A482" s="396" t="s">
        <v>704</v>
      </c>
      <c r="B482" s="395" t="s">
        <v>705</v>
      </c>
      <c r="C482" s="396" t="s">
        <v>16</v>
      </c>
      <c r="D482" s="383">
        <v>4</v>
      </c>
      <c r="E482" s="384">
        <v>27029</v>
      </c>
      <c r="F482" s="384">
        <f t="shared" si="53"/>
        <v>108116</v>
      </c>
    </row>
    <row r="483" spans="1:6" s="9" customFormat="1" ht="35.1" customHeight="1" x14ac:dyDescent="0.25">
      <c r="A483" s="396" t="s">
        <v>706</v>
      </c>
      <c r="B483" s="395" t="s">
        <v>707</v>
      </c>
      <c r="C483" s="396" t="s">
        <v>16</v>
      </c>
      <c r="D483" s="383">
        <v>4</v>
      </c>
      <c r="E483" s="384">
        <v>221812</v>
      </c>
      <c r="F483" s="384">
        <f t="shared" si="53"/>
        <v>887248</v>
      </c>
    </row>
    <row r="484" spans="1:6" s="9" customFormat="1" ht="35.1" customHeight="1" x14ac:dyDescent="0.25">
      <c r="A484" s="396" t="s">
        <v>708</v>
      </c>
      <c r="B484" s="395" t="s">
        <v>709</v>
      </c>
      <c r="C484" s="396" t="s">
        <v>16</v>
      </c>
      <c r="D484" s="383">
        <v>4</v>
      </c>
      <c r="E484" s="384">
        <v>136326</v>
      </c>
      <c r="F484" s="384">
        <f t="shared" si="53"/>
        <v>545304</v>
      </c>
    </row>
    <row r="485" spans="1:6" s="9" customFormat="1" ht="35.1" customHeight="1" x14ac:dyDescent="0.25">
      <c r="A485" s="396" t="s">
        <v>710</v>
      </c>
      <c r="B485" s="395" t="s">
        <v>1252</v>
      </c>
      <c r="C485" s="396" t="s">
        <v>16</v>
      </c>
      <c r="D485" s="383">
        <v>4</v>
      </c>
      <c r="E485" s="384">
        <v>271088</v>
      </c>
      <c r="F485" s="384">
        <f t="shared" si="53"/>
        <v>1084352</v>
      </c>
    </row>
    <row r="486" spans="1:6" s="357" customFormat="1" ht="35.1" customHeight="1" x14ac:dyDescent="0.25">
      <c r="A486" s="385" t="s">
        <v>1253</v>
      </c>
      <c r="B486" s="397" t="s">
        <v>1254</v>
      </c>
      <c r="C486" s="397"/>
      <c r="D486" s="385"/>
      <c r="E486" s="388">
        <v>0</v>
      </c>
      <c r="F486" s="388">
        <f t="shared" si="52"/>
        <v>0</v>
      </c>
    </row>
    <row r="487" spans="1:6" s="9" customFormat="1" ht="108.75" customHeight="1" x14ac:dyDescent="0.25">
      <c r="A487" s="396" t="s">
        <v>1255</v>
      </c>
      <c r="B487" s="395" t="s">
        <v>1256</v>
      </c>
      <c r="C487" s="396" t="s">
        <v>16</v>
      </c>
      <c r="D487" s="383">
        <v>1</v>
      </c>
      <c r="E487" s="384">
        <v>212747628</v>
      </c>
      <c r="F487" s="384">
        <f t="shared" ref="F487:F498" si="54">ROUND(D487*E487,2)</f>
        <v>212747628</v>
      </c>
    </row>
    <row r="488" spans="1:6" s="9" customFormat="1" ht="35.1" customHeight="1" x14ac:dyDescent="0.25">
      <c r="A488" s="396" t="s">
        <v>1257</v>
      </c>
      <c r="B488" s="395" t="s">
        <v>1258</v>
      </c>
      <c r="C488" s="396" t="s">
        <v>16</v>
      </c>
      <c r="D488" s="383">
        <v>1</v>
      </c>
      <c r="E488" s="384">
        <v>1034599</v>
      </c>
      <c r="F488" s="384">
        <f t="shared" si="54"/>
        <v>1034599</v>
      </c>
    </row>
    <row r="489" spans="1:6" s="9" customFormat="1" ht="35.1" customHeight="1" x14ac:dyDescent="0.25">
      <c r="A489" s="396" t="s">
        <v>1259</v>
      </c>
      <c r="B489" s="395" t="s">
        <v>1260</v>
      </c>
      <c r="C489" s="396" t="s">
        <v>16</v>
      </c>
      <c r="D489" s="383">
        <v>4</v>
      </c>
      <c r="E489" s="384">
        <v>193779</v>
      </c>
      <c r="F489" s="384">
        <f t="shared" si="54"/>
        <v>775116</v>
      </c>
    </row>
    <row r="490" spans="1:6" s="9" customFormat="1" ht="50.25" customHeight="1" x14ac:dyDescent="0.25">
      <c r="A490" s="396" t="s">
        <v>1261</v>
      </c>
      <c r="B490" s="395" t="s">
        <v>1262</v>
      </c>
      <c r="C490" s="396" t="s">
        <v>16</v>
      </c>
      <c r="D490" s="383">
        <v>1</v>
      </c>
      <c r="E490" s="384">
        <v>1595247</v>
      </c>
      <c r="F490" s="384">
        <f t="shared" si="54"/>
        <v>1595247</v>
      </c>
    </row>
    <row r="491" spans="1:6" s="9" customFormat="1" ht="35.1" customHeight="1" x14ac:dyDescent="0.25">
      <c r="A491" s="396" t="s">
        <v>1263</v>
      </c>
      <c r="B491" s="395" t="s">
        <v>1264</v>
      </c>
      <c r="C491" s="396" t="s">
        <v>16</v>
      </c>
      <c r="D491" s="383">
        <v>1</v>
      </c>
      <c r="E491" s="384">
        <v>803880</v>
      </c>
      <c r="F491" s="384">
        <f t="shared" si="54"/>
        <v>803880</v>
      </c>
    </row>
    <row r="492" spans="1:6" s="9" customFormat="1" ht="35.1" customHeight="1" x14ac:dyDescent="0.25">
      <c r="A492" s="396" t="s">
        <v>1265</v>
      </c>
      <c r="B492" s="395" t="s">
        <v>1266</v>
      </c>
      <c r="C492" s="396" t="s">
        <v>16</v>
      </c>
      <c r="D492" s="383">
        <v>1</v>
      </c>
      <c r="E492" s="384">
        <v>1521286</v>
      </c>
      <c r="F492" s="384">
        <f t="shared" si="54"/>
        <v>1521286</v>
      </c>
    </row>
    <row r="493" spans="1:6" s="9" customFormat="1" ht="42.75" customHeight="1" x14ac:dyDescent="0.25">
      <c r="A493" s="396" t="s">
        <v>1267</v>
      </c>
      <c r="B493" s="395" t="s">
        <v>1268</v>
      </c>
      <c r="C493" s="396" t="s">
        <v>269</v>
      </c>
      <c r="D493" s="383">
        <v>8</v>
      </c>
      <c r="E493" s="384">
        <v>225539</v>
      </c>
      <c r="F493" s="384">
        <f t="shared" si="54"/>
        <v>1804312</v>
      </c>
    </row>
    <row r="494" spans="1:6" s="9" customFormat="1" ht="35.1" customHeight="1" x14ac:dyDescent="0.25">
      <c r="A494" s="396" t="s">
        <v>1269</v>
      </c>
      <c r="B494" s="395" t="s">
        <v>1270</v>
      </c>
      <c r="C494" s="396" t="s">
        <v>16</v>
      </c>
      <c r="D494" s="383">
        <v>2</v>
      </c>
      <c r="E494" s="384">
        <v>225539</v>
      </c>
      <c r="F494" s="384">
        <f t="shared" si="54"/>
        <v>451078</v>
      </c>
    </row>
    <row r="495" spans="1:6" s="9" customFormat="1" ht="35.1" customHeight="1" x14ac:dyDescent="0.25">
      <c r="A495" s="396" t="s">
        <v>1271</v>
      </c>
      <c r="B495" s="395" t="s">
        <v>1272</v>
      </c>
      <c r="C495" s="396" t="s">
        <v>16</v>
      </c>
      <c r="D495" s="383">
        <v>1</v>
      </c>
      <c r="E495" s="384">
        <v>508018</v>
      </c>
      <c r="F495" s="384">
        <f t="shared" si="54"/>
        <v>508018</v>
      </c>
    </row>
    <row r="496" spans="1:6" s="9" customFormat="1" ht="37.5" customHeight="1" x14ac:dyDescent="0.25">
      <c r="A496" s="396" t="s">
        <v>1273</v>
      </c>
      <c r="B496" s="395" t="s">
        <v>1274</v>
      </c>
      <c r="C496" s="396" t="s">
        <v>16</v>
      </c>
      <c r="D496" s="383">
        <v>1</v>
      </c>
      <c r="E496" s="384">
        <v>463026</v>
      </c>
      <c r="F496" s="384">
        <f t="shared" si="54"/>
        <v>463026</v>
      </c>
    </row>
    <row r="497" spans="1:6" s="9" customFormat="1" ht="35.1" customHeight="1" x14ac:dyDescent="0.25">
      <c r="A497" s="396" t="s">
        <v>1275</v>
      </c>
      <c r="B497" s="395" t="s">
        <v>1276</v>
      </c>
      <c r="C497" s="396" t="s">
        <v>269</v>
      </c>
      <c r="D497" s="383">
        <v>8</v>
      </c>
      <c r="E497" s="384">
        <v>113563</v>
      </c>
      <c r="F497" s="384">
        <f t="shared" si="54"/>
        <v>908504</v>
      </c>
    </row>
    <row r="498" spans="1:6" s="9" customFormat="1" ht="35.1" customHeight="1" x14ac:dyDescent="0.25">
      <c r="A498" s="396" t="s">
        <v>1277</v>
      </c>
      <c r="B498" s="395" t="s">
        <v>1278</v>
      </c>
      <c r="C498" s="396" t="s">
        <v>269</v>
      </c>
      <c r="D498" s="383">
        <v>2</v>
      </c>
      <c r="E498" s="384">
        <v>113563</v>
      </c>
      <c r="F498" s="384">
        <f t="shared" si="54"/>
        <v>227126</v>
      </c>
    </row>
    <row r="499" spans="1:6" s="357" customFormat="1" ht="35.1" customHeight="1" x14ac:dyDescent="0.25">
      <c r="A499" s="385" t="s">
        <v>1279</v>
      </c>
      <c r="B499" s="386" t="s">
        <v>1280</v>
      </c>
      <c r="C499" s="397"/>
      <c r="D499" s="401"/>
      <c r="E499" s="388">
        <v>0</v>
      </c>
      <c r="F499" s="388">
        <f t="shared" si="52"/>
        <v>0</v>
      </c>
    </row>
    <row r="500" spans="1:6" s="9" customFormat="1" ht="35.1" customHeight="1" x14ac:dyDescent="0.25">
      <c r="A500" s="396" t="s">
        <v>1281</v>
      </c>
      <c r="B500" s="395" t="s">
        <v>1282</v>
      </c>
      <c r="C500" s="396" t="s">
        <v>16</v>
      </c>
      <c r="D500" s="383">
        <v>1</v>
      </c>
      <c r="E500" s="384">
        <v>23957658</v>
      </c>
      <c r="F500" s="384">
        <f>ROUND(D500*E500,2)</f>
        <v>23957658</v>
      </c>
    </row>
    <row r="501" spans="1:6" s="357" customFormat="1" ht="39.950000000000003" customHeight="1" x14ac:dyDescent="0.25">
      <c r="A501" s="385" t="s">
        <v>1283</v>
      </c>
      <c r="B501" s="386" t="s">
        <v>1284</v>
      </c>
      <c r="C501" s="397"/>
      <c r="D501" s="401"/>
      <c r="E501" s="388">
        <v>0</v>
      </c>
      <c r="F501" s="388">
        <f t="shared" si="52"/>
        <v>0</v>
      </c>
    </row>
    <row r="502" spans="1:6" s="9" customFormat="1" ht="39.950000000000003" customHeight="1" x14ac:dyDescent="0.25">
      <c r="A502" s="396" t="s">
        <v>1285</v>
      </c>
      <c r="B502" s="395" t="s">
        <v>1286</v>
      </c>
      <c r="C502" s="396" t="s">
        <v>16</v>
      </c>
      <c r="D502" s="383">
        <v>1</v>
      </c>
      <c r="E502" s="384">
        <v>2341309</v>
      </c>
      <c r="F502" s="384">
        <f t="shared" ref="F502:F506" si="55">ROUND(D502*E502,2)</f>
        <v>2341309</v>
      </c>
    </row>
    <row r="503" spans="1:6" s="9" customFormat="1" ht="39.950000000000003" customHeight="1" x14ac:dyDescent="0.25">
      <c r="A503" s="396" t="s">
        <v>1287</v>
      </c>
      <c r="B503" s="395" t="s">
        <v>1288</v>
      </c>
      <c r="C503" s="396" t="s">
        <v>269</v>
      </c>
      <c r="D503" s="383">
        <v>10</v>
      </c>
      <c r="E503" s="384">
        <v>103936</v>
      </c>
      <c r="F503" s="384">
        <f t="shared" si="55"/>
        <v>1039360</v>
      </c>
    </row>
    <row r="504" spans="1:6" s="9" customFormat="1" ht="39.950000000000003" customHeight="1" x14ac:dyDescent="0.25">
      <c r="A504" s="396" t="s">
        <v>1289</v>
      </c>
      <c r="B504" s="395" t="s">
        <v>1290</v>
      </c>
      <c r="C504" s="396" t="s">
        <v>269</v>
      </c>
      <c r="D504" s="383">
        <v>5</v>
      </c>
      <c r="E504" s="384">
        <v>190146</v>
      </c>
      <c r="F504" s="384">
        <f t="shared" si="55"/>
        <v>950730</v>
      </c>
    </row>
    <row r="505" spans="1:6" s="9" customFormat="1" ht="39.950000000000003" customHeight="1" x14ac:dyDescent="0.25">
      <c r="A505" s="396" t="s">
        <v>1291</v>
      </c>
      <c r="B505" s="395" t="s">
        <v>1292</v>
      </c>
      <c r="C505" s="396" t="s">
        <v>269</v>
      </c>
      <c r="D505" s="383">
        <v>5</v>
      </c>
      <c r="E505" s="384">
        <v>190146</v>
      </c>
      <c r="F505" s="384">
        <f t="shared" si="55"/>
        <v>950730</v>
      </c>
    </row>
    <row r="506" spans="1:6" s="9" customFormat="1" ht="35.1" customHeight="1" x14ac:dyDescent="0.25">
      <c r="A506" s="396" t="s">
        <v>1293</v>
      </c>
      <c r="B506" s="395" t="s">
        <v>1294</v>
      </c>
      <c r="C506" s="396" t="s">
        <v>1423</v>
      </c>
      <c r="D506" s="383">
        <v>200</v>
      </c>
      <c r="E506" s="384">
        <v>10051</v>
      </c>
      <c r="F506" s="384">
        <f t="shared" si="55"/>
        <v>2010200</v>
      </c>
    </row>
    <row r="507" spans="1:6" s="354" customFormat="1" ht="35.1" customHeight="1" x14ac:dyDescent="0.25">
      <c r="A507" s="415">
        <v>16</v>
      </c>
      <c r="B507" s="416" t="s">
        <v>712</v>
      </c>
      <c r="C507" s="390"/>
      <c r="D507" s="390"/>
      <c r="E507" s="392">
        <v>0</v>
      </c>
      <c r="F507" s="392">
        <f t="shared" si="52"/>
        <v>0</v>
      </c>
    </row>
    <row r="508" spans="1:6" s="357" customFormat="1" ht="35.1" customHeight="1" x14ac:dyDescent="0.25">
      <c r="A508" s="385" t="s">
        <v>713</v>
      </c>
      <c r="B508" s="397" t="s">
        <v>714</v>
      </c>
      <c r="C508" s="397"/>
      <c r="D508" s="385"/>
      <c r="E508" s="388">
        <v>0</v>
      </c>
      <c r="F508" s="388">
        <f t="shared" si="52"/>
        <v>0</v>
      </c>
    </row>
    <row r="509" spans="1:6" s="9" customFormat="1" ht="35.1" customHeight="1" x14ac:dyDescent="0.25">
      <c r="A509" s="396" t="s">
        <v>715</v>
      </c>
      <c r="B509" s="87" t="s">
        <v>716</v>
      </c>
      <c r="C509" s="396" t="s">
        <v>16</v>
      </c>
      <c r="D509" s="383">
        <v>210</v>
      </c>
      <c r="E509" s="384">
        <v>133231</v>
      </c>
      <c r="F509" s="384">
        <f t="shared" ref="F509:F517" si="56">ROUND(D509*E509,2)</f>
        <v>27978510</v>
      </c>
    </row>
    <row r="510" spans="1:6" s="9" customFormat="1" ht="35.1" customHeight="1" x14ac:dyDescent="0.25">
      <c r="A510" s="396" t="s">
        <v>717</v>
      </c>
      <c r="B510" s="87" t="s">
        <v>718</v>
      </c>
      <c r="C510" s="396" t="s">
        <v>16</v>
      </c>
      <c r="D510" s="383">
        <v>112</v>
      </c>
      <c r="E510" s="384">
        <v>215451</v>
      </c>
      <c r="F510" s="384">
        <f t="shared" si="56"/>
        <v>24130512</v>
      </c>
    </row>
    <row r="511" spans="1:6" s="9" customFormat="1" ht="35.1" customHeight="1" x14ac:dyDescent="0.25">
      <c r="A511" s="396" t="s">
        <v>719</v>
      </c>
      <c r="B511" s="395" t="s">
        <v>720</v>
      </c>
      <c r="C511" s="396" t="s">
        <v>16</v>
      </c>
      <c r="D511" s="383">
        <v>166</v>
      </c>
      <c r="E511" s="384">
        <v>197015</v>
      </c>
      <c r="F511" s="384">
        <f t="shared" si="56"/>
        <v>32704490</v>
      </c>
    </row>
    <row r="512" spans="1:6" s="9" customFormat="1" ht="35.1" customHeight="1" x14ac:dyDescent="0.25">
      <c r="A512" s="396" t="s">
        <v>721</v>
      </c>
      <c r="B512" s="395" t="s">
        <v>722</v>
      </c>
      <c r="C512" s="396" t="s">
        <v>16</v>
      </c>
      <c r="D512" s="383">
        <v>69</v>
      </c>
      <c r="E512" s="384">
        <v>145319</v>
      </c>
      <c r="F512" s="384">
        <f t="shared" si="56"/>
        <v>10027011</v>
      </c>
    </row>
    <row r="513" spans="1:6" s="9" customFormat="1" ht="35.1" customHeight="1" x14ac:dyDescent="0.25">
      <c r="A513" s="396" t="s">
        <v>723</v>
      </c>
      <c r="B513" s="395" t="s">
        <v>724</v>
      </c>
      <c r="C513" s="396" t="s">
        <v>16</v>
      </c>
      <c r="D513" s="383">
        <v>252</v>
      </c>
      <c r="E513" s="384">
        <v>234131</v>
      </c>
      <c r="F513" s="384">
        <f t="shared" si="56"/>
        <v>59001012</v>
      </c>
    </row>
    <row r="514" spans="1:6" s="9" customFormat="1" ht="35.1" customHeight="1" x14ac:dyDescent="0.25">
      <c r="A514" s="396" t="s">
        <v>725</v>
      </c>
      <c r="B514" s="395" t="s">
        <v>726</v>
      </c>
      <c r="C514" s="396" t="s">
        <v>16</v>
      </c>
      <c r="D514" s="383">
        <v>8</v>
      </c>
      <c r="E514" s="384">
        <v>279168</v>
      </c>
      <c r="F514" s="384">
        <f t="shared" si="56"/>
        <v>2233344</v>
      </c>
    </row>
    <row r="515" spans="1:6" s="9" customFormat="1" ht="35.1" customHeight="1" x14ac:dyDescent="0.25">
      <c r="A515" s="396" t="s">
        <v>727</v>
      </c>
      <c r="B515" s="395" t="s">
        <v>728</v>
      </c>
      <c r="C515" s="396" t="s">
        <v>16</v>
      </c>
      <c r="D515" s="383">
        <v>8</v>
      </c>
      <c r="E515" s="384">
        <v>206264</v>
      </c>
      <c r="F515" s="384">
        <f t="shared" si="56"/>
        <v>1650112</v>
      </c>
    </row>
    <row r="516" spans="1:6" s="9" customFormat="1" ht="35.1" customHeight="1" x14ac:dyDescent="0.25">
      <c r="A516" s="396" t="s">
        <v>729</v>
      </c>
      <c r="B516" s="414" t="s">
        <v>730</v>
      </c>
      <c r="C516" s="396" t="s">
        <v>16</v>
      </c>
      <c r="D516" s="383">
        <v>92</v>
      </c>
      <c r="E516" s="384">
        <v>100220</v>
      </c>
      <c r="F516" s="384">
        <f t="shared" si="56"/>
        <v>9220240</v>
      </c>
    </row>
    <row r="517" spans="1:6" s="9" customFormat="1" ht="35.1" customHeight="1" x14ac:dyDescent="0.25">
      <c r="A517" s="396" t="s">
        <v>731</v>
      </c>
      <c r="B517" s="395" t="s">
        <v>732</v>
      </c>
      <c r="C517" s="396" t="s">
        <v>16</v>
      </c>
      <c r="D517" s="383">
        <v>14</v>
      </c>
      <c r="E517" s="384">
        <v>80337</v>
      </c>
      <c r="F517" s="384">
        <f t="shared" si="56"/>
        <v>1124718</v>
      </c>
    </row>
    <row r="518" spans="1:6" s="354" customFormat="1" ht="35.1" customHeight="1" x14ac:dyDescent="0.25">
      <c r="A518" s="389">
        <v>17</v>
      </c>
      <c r="B518" s="390" t="s">
        <v>733</v>
      </c>
      <c r="C518" s="390"/>
      <c r="D518" s="390"/>
      <c r="E518" s="392">
        <v>0</v>
      </c>
      <c r="F518" s="392">
        <f t="shared" si="52"/>
        <v>0</v>
      </c>
    </row>
    <row r="519" spans="1:6" s="357" customFormat="1" ht="35.1" customHeight="1" x14ac:dyDescent="0.25">
      <c r="A519" s="385" t="s">
        <v>1295</v>
      </c>
      <c r="B519" s="397" t="s">
        <v>1296</v>
      </c>
      <c r="C519" s="397"/>
      <c r="D519" s="397"/>
      <c r="E519" s="388">
        <v>0</v>
      </c>
      <c r="F519" s="388">
        <f t="shared" si="52"/>
        <v>0</v>
      </c>
    </row>
    <row r="520" spans="1:6" s="9" customFormat="1" ht="35.1" customHeight="1" x14ac:dyDescent="0.25">
      <c r="A520" s="396" t="s">
        <v>1297</v>
      </c>
      <c r="B520" s="395" t="s">
        <v>1298</v>
      </c>
      <c r="C520" s="381" t="s">
        <v>16</v>
      </c>
      <c r="D520" s="383">
        <v>1</v>
      </c>
      <c r="E520" s="384">
        <v>247802188</v>
      </c>
      <c r="F520" s="384">
        <f t="shared" ref="F520:F534" si="57">ROUND(D520*E520,2)</f>
        <v>247802188</v>
      </c>
    </row>
    <row r="521" spans="1:6" s="9" customFormat="1" ht="35.1" customHeight="1" x14ac:dyDescent="0.25">
      <c r="A521" s="396" t="s">
        <v>1299</v>
      </c>
      <c r="B521" s="395" t="s">
        <v>1300</v>
      </c>
      <c r="C521" s="381" t="s">
        <v>16</v>
      </c>
      <c r="D521" s="383">
        <v>1</v>
      </c>
      <c r="E521" s="384">
        <v>198757112</v>
      </c>
      <c r="F521" s="384">
        <f t="shared" si="57"/>
        <v>198757112</v>
      </c>
    </row>
    <row r="522" spans="1:6" s="9" customFormat="1" ht="35.1" customHeight="1" x14ac:dyDescent="0.25">
      <c r="A522" s="396" t="s">
        <v>1301</v>
      </c>
      <c r="B522" s="382" t="s">
        <v>1424</v>
      </c>
      <c r="C522" s="381" t="s">
        <v>16</v>
      </c>
      <c r="D522" s="383">
        <v>2</v>
      </c>
      <c r="E522" s="384">
        <v>861696</v>
      </c>
      <c r="F522" s="384">
        <f t="shared" si="57"/>
        <v>1723392</v>
      </c>
    </row>
    <row r="523" spans="1:6" s="9" customFormat="1" ht="35.1" customHeight="1" x14ac:dyDescent="0.25">
      <c r="A523" s="396" t="s">
        <v>1303</v>
      </c>
      <c r="B523" s="395" t="s">
        <v>1304</v>
      </c>
      <c r="C523" s="381" t="s">
        <v>16</v>
      </c>
      <c r="D523" s="383">
        <v>9</v>
      </c>
      <c r="E523" s="384">
        <v>3312478</v>
      </c>
      <c r="F523" s="384">
        <f t="shared" si="57"/>
        <v>29812302</v>
      </c>
    </row>
    <row r="524" spans="1:6" s="9" customFormat="1" ht="35.1" customHeight="1" x14ac:dyDescent="0.25">
      <c r="A524" s="396" t="s">
        <v>1305</v>
      </c>
      <c r="B524" s="395" t="s">
        <v>1306</v>
      </c>
      <c r="C524" s="381" t="s">
        <v>16</v>
      </c>
      <c r="D524" s="383">
        <v>16</v>
      </c>
      <c r="E524" s="384">
        <v>2252043</v>
      </c>
      <c r="F524" s="384">
        <f t="shared" si="57"/>
        <v>36032688</v>
      </c>
    </row>
    <row r="525" spans="1:6" s="9" customFormat="1" ht="35.1" customHeight="1" x14ac:dyDescent="0.25">
      <c r="A525" s="396" t="s">
        <v>1307</v>
      </c>
      <c r="B525" s="395" t="s">
        <v>1308</v>
      </c>
      <c r="C525" s="381" t="s">
        <v>16</v>
      </c>
      <c r="D525" s="383">
        <v>1</v>
      </c>
      <c r="E525" s="384">
        <v>2119489</v>
      </c>
      <c r="F525" s="384">
        <f t="shared" si="57"/>
        <v>2119489</v>
      </c>
    </row>
    <row r="526" spans="1:6" s="9" customFormat="1" ht="35.1" customHeight="1" x14ac:dyDescent="0.25">
      <c r="A526" s="396" t="s">
        <v>1309</v>
      </c>
      <c r="B526" s="395" t="s">
        <v>1310</v>
      </c>
      <c r="C526" s="381" t="s">
        <v>16</v>
      </c>
      <c r="D526" s="383">
        <v>1</v>
      </c>
      <c r="E526" s="384">
        <v>1986935</v>
      </c>
      <c r="F526" s="384">
        <f t="shared" si="57"/>
        <v>1986935</v>
      </c>
    </row>
    <row r="527" spans="1:6" s="9" customFormat="1" ht="35.1" customHeight="1" x14ac:dyDescent="0.25">
      <c r="A527" s="396" t="s">
        <v>1311</v>
      </c>
      <c r="B527" s="395" t="s">
        <v>1312</v>
      </c>
      <c r="C527" s="381" t="s">
        <v>16</v>
      </c>
      <c r="D527" s="383">
        <v>3</v>
      </c>
      <c r="E527" s="384">
        <v>1191609</v>
      </c>
      <c r="F527" s="384">
        <f t="shared" si="57"/>
        <v>3574827</v>
      </c>
    </row>
    <row r="528" spans="1:6" s="9" customFormat="1" ht="35.1" customHeight="1" x14ac:dyDescent="0.25">
      <c r="A528" s="396" t="s">
        <v>1313</v>
      </c>
      <c r="B528" s="395" t="s">
        <v>1314</v>
      </c>
      <c r="C528" s="381" t="s">
        <v>16</v>
      </c>
      <c r="D528" s="383">
        <v>3</v>
      </c>
      <c r="E528" s="384">
        <v>1576016</v>
      </c>
      <c r="F528" s="384">
        <f t="shared" si="57"/>
        <v>4728048</v>
      </c>
    </row>
    <row r="529" spans="1:6" s="9" customFormat="1" ht="35.1" customHeight="1" x14ac:dyDescent="0.25">
      <c r="A529" s="396" t="s">
        <v>1315</v>
      </c>
      <c r="B529" s="395" t="s">
        <v>1316</v>
      </c>
      <c r="C529" s="381" t="s">
        <v>16</v>
      </c>
      <c r="D529" s="383">
        <v>1</v>
      </c>
      <c r="E529" s="384">
        <v>1701942</v>
      </c>
      <c r="F529" s="384">
        <f t="shared" si="57"/>
        <v>1701942</v>
      </c>
    </row>
    <row r="530" spans="1:6" s="9" customFormat="1" ht="35.1" customHeight="1" x14ac:dyDescent="0.25">
      <c r="A530" s="396" t="s">
        <v>1317</v>
      </c>
      <c r="B530" s="395" t="s">
        <v>1318</v>
      </c>
      <c r="C530" s="381" t="s">
        <v>16</v>
      </c>
      <c r="D530" s="383">
        <v>1</v>
      </c>
      <c r="E530" s="384">
        <v>1854380</v>
      </c>
      <c r="F530" s="384">
        <f t="shared" si="57"/>
        <v>1854380</v>
      </c>
    </row>
    <row r="531" spans="1:6" s="9" customFormat="1" ht="35.1" customHeight="1" x14ac:dyDescent="0.25">
      <c r="A531" s="396" t="s">
        <v>1319</v>
      </c>
      <c r="B531" s="395" t="s">
        <v>1320</v>
      </c>
      <c r="C531" s="381" t="s">
        <v>16</v>
      </c>
      <c r="D531" s="383">
        <v>2</v>
      </c>
      <c r="E531" s="384">
        <v>10207055</v>
      </c>
      <c r="F531" s="384">
        <f t="shared" si="57"/>
        <v>20414110</v>
      </c>
    </row>
    <row r="532" spans="1:6" s="9" customFormat="1" ht="35.1" customHeight="1" x14ac:dyDescent="0.25">
      <c r="A532" s="396" t="s">
        <v>1321</v>
      </c>
      <c r="B532" s="395" t="s">
        <v>1322</v>
      </c>
      <c r="C532" s="381" t="s">
        <v>16</v>
      </c>
      <c r="D532" s="383">
        <v>1</v>
      </c>
      <c r="E532" s="384">
        <v>16437199</v>
      </c>
      <c r="F532" s="384">
        <f t="shared" si="57"/>
        <v>16437199</v>
      </c>
    </row>
    <row r="533" spans="1:6" s="9" customFormat="1" ht="35.1" customHeight="1" x14ac:dyDescent="0.25">
      <c r="A533" s="396" t="s">
        <v>1323</v>
      </c>
      <c r="B533" s="395" t="s">
        <v>1324</v>
      </c>
      <c r="C533" s="381" t="s">
        <v>16</v>
      </c>
      <c r="D533" s="383">
        <v>4</v>
      </c>
      <c r="E533" s="384">
        <v>6848748</v>
      </c>
      <c r="F533" s="384">
        <f t="shared" si="57"/>
        <v>27394992</v>
      </c>
    </row>
    <row r="534" spans="1:6" s="9" customFormat="1" ht="35.1" customHeight="1" x14ac:dyDescent="0.25">
      <c r="A534" s="396" t="s">
        <v>1325</v>
      </c>
      <c r="B534" s="395" t="s">
        <v>1326</v>
      </c>
      <c r="C534" s="381" t="s">
        <v>16</v>
      </c>
      <c r="D534" s="383">
        <v>2</v>
      </c>
      <c r="E534" s="384">
        <v>23966523</v>
      </c>
      <c r="F534" s="384">
        <f t="shared" si="57"/>
        <v>47933046</v>
      </c>
    </row>
    <row r="535" spans="1:6" s="357" customFormat="1" ht="35.1" customHeight="1" x14ac:dyDescent="0.25">
      <c r="A535" s="385" t="s">
        <v>734</v>
      </c>
      <c r="B535" s="397" t="s">
        <v>735</v>
      </c>
      <c r="C535" s="397"/>
      <c r="D535" s="385"/>
      <c r="E535" s="388">
        <v>0</v>
      </c>
      <c r="F535" s="388">
        <f t="shared" ref="F535:F591" si="58">D535*E535</f>
        <v>0</v>
      </c>
    </row>
    <row r="536" spans="1:6" s="9" customFormat="1" ht="35.1" customHeight="1" x14ac:dyDescent="0.25">
      <c r="A536" s="396" t="s">
        <v>736</v>
      </c>
      <c r="B536" s="395" t="s">
        <v>737</v>
      </c>
      <c r="C536" s="381" t="s">
        <v>94</v>
      </c>
      <c r="D536" s="383">
        <v>62</v>
      </c>
      <c r="E536" s="384">
        <v>73959</v>
      </c>
      <c r="F536" s="384">
        <f t="shared" ref="F536:F543" si="59">ROUND(D536*E536,2)</f>
        <v>4585458</v>
      </c>
    </row>
    <row r="537" spans="1:6" s="9" customFormat="1" ht="35.1" customHeight="1" x14ac:dyDescent="0.25">
      <c r="A537" s="396" t="s">
        <v>738</v>
      </c>
      <c r="B537" s="395" t="s">
        <v>739</v>
      </c>
      <c r="C537" s="381" t="s">
        <v>94</v>
      </c>
      <c r="D537" s="383">
        <v>33</v>
      </c>
      <c r="E537" s="384">
        <v>48091</v>
      </c>
      <c r="F537" s="384">
        <f t="shared" si="59"/>
        <v>1587003</v>
      </c>
    </row>
    <row r="538" spans="1:6" s="9" customFormat="1" ht="35.1" customHeight="1" x14ac:dyDescent="0.25">
      <c r="A538" s="396" t="s">
        <v>740</v>
      </c>
      <c r="B538" s="395" t="s">
        <v>741</v>
      </c>
      <c r="C538" s="381" t="s">
        <v>94</v>
      </c>
      <c r="D538" s="383">
        <v>88</v>
      </c>
      <c r="E538" s="384">
        <v>35841</v>
      </c>
      <c r="F538" s="384">
        <f t="shared" si="59"/>
        <v>3154008</v>
      </c>
    </row>
    <row r="539" spans="1:6" s="9" customFormat="1" ht="35.1" customHeight="1" x14ac:dyDescent="0.25">
      <c r="A539" s="396" t="s">
        <v>742</v>
      </c>
      <c r="B539" s="395" t="s">
        <v>743</v>
      </c>
      <c r="C539" s="381" t="s">
        <v>94</v>
      </c>
      <c r="D539" s="383">
        <v>253.4</v>
      </c>
      <c r="E539" s="384">
        <v>24399</v>
      </c>
      <c r="F539" s="384">
        <f t="shared" si="59"/>
        <v>6182706.5999999996</v>
      </c>
    </row>
    <row r="540" spans="1:6" s="9" customFormat="1" ht="35.1" customHeight="1" x14ac:dyDescent="0.25">
      <c r="A540" s="396" t="s">
        <v>744</v>
      </c>
      <c r="B540" s="395" t="s">
        <v>745</v>
      </c>
      <c r="C540" s="381" t="s">
        <v>94</v>
      </c>
      <c r="D540" s="383">
        <v>146.80000000000001</v>
      </c>
      <c r="E540" s="384">
        <v>17777</v>
      </c>
      <c r="F540" s="384">
        <f t="shared" si="59"/>
        <v>2609663.6</v>
      </c>
    </row>
    <row r="541" spans="1:6" s="9" customFormat="1" ht="35.1" customHeight="1" x14ac:dyDescent="0.25">
      <c r="A541" s="396" t="s">
        <v>746</v>
      </c>
      <c r="B541" s="395" t="s">
        <v>747</v>
      </c>
      <c r="C541" s="381" t="s">
        <v>94</v>
      </c>
      <c r="D541" s="383">
        <v>226.6</v>
      </c>
      <c r="E541" s="384">
        <v>15124</v>
      </c>
      <c r="F541" s="384">
        <f t="shared" si="59"/>
        <v>3427098.4</v>
      </c>
    </row>
    <row r="542" spans="1:6" s="9" customFormat="1" ht="35.1" customHeight="1" x14ac:dyDescent="0.25">
      <c r="A542" s="396" t="s">
        <v>748</v>
      </c>
      <c r="B542" s="395" t="s">
        <v>749</v>
      </c>
      <c r="C542" s="381" t="s">
        <v>94</v>
      </c>
      <c r="D542" s="383">
        <v>38.799999999999997</v>
      </c>
      <c r="E542" s="384">
        <v>11065</v>
      </c>
      <c r="F542" s="384">
        <f t="shared" si="59"/>
        <v>429322</v>
      </c>
    </row>
    <row r="543" spans="1:6" s="9" customFormat="1" ht="35.1" customHeight="1" x14ac:dyDescent="0.25">
      <c r="A543" s="396" t="s">
        <v>750</v>
      </c>
      <c r="B543" s="395" t="s">
        <v>751</v>
      </c>
      <c r="C543" s="381" t="s">
        <v>94</v>
      </c>
      <c r="D543" s="383">
        <v>44</v>
      </c>
      <c r="E543" s="384">
        <v>9720</v>
      </c>
      <c r="F543" s="384">
        <f t="shared" si="59"/>
        <v>427680</v>
      </c>
    </row>
    <row r="544" spans="1:6" s="357" customFormat="1" ht="35.1" customHeight="1" x14ac:dyDescent="0.25">
      <c r="A544" s="385" t="s">
        <v>752</v>
      </c>
      <c r="B544" s="397" t="s">
        <v>1327</v>
      </c>
      <c r="C544" s="397"/>
      <c r="D544" s="385"/>
      <c r="E544" s="388">
        <v>0</v>
      </c>
      <c r="F544" s="388">
        <f t="shared" si="58"/>
        <v>0</v>
      </c>
    </row>
    <row r="545" spans="1:6" s="9" customFormat="1" ht="35.1" customHeight="1" x14ac:dyDescent="0.25">
      <c r="A545" s="381" t="s">
        <v>754</v>
      </c>
      <c r="B545" s="395" t="s">
        <v>755</v>
      </c>
      <c r="C545" s="381" t="s">
        <v>94</v>
      </c>
      <c r="D545" s="383">
        <v>62</v>
      </c>
      <c r="E545" s="384">
        <v>42699</v>
      </c>
      <c r="F545" s="384">
        <f t="shared" ref="F545:F552" si="60">ROUND(D545*E545,2)</f>
        <v>2647338</v>
      </c>
    </row>
    <row r="546" spans="1:6" s="9" customFormat="1" ht="35.1" customHeight="1" x14ac:dyDescent="0.25">
      <c r="A546" s="381" t="s">
        <v>756</v>
      </c>
      <c r="B546" s="87" t="s">
        <v>757</v>
      </c>
      <c r="C546" s="381" t="s">
        <v>94</v>
      </c>
      <c r="D546" s="383">
        <v>33</v>
      </c>
      <c r="E546" s="384">
        <v>38357</v>
      </c>
      <c r="F546" s="384">
        <f t="shared" si="60"/>
        <v>1265781</v>
      </c>
    </row>
    <row r="547" spans="1:6" s="9" customFormat="1" ht="35.1" customHeight="1" x14ac:dyDescent="0.25">
      <c r="A547" s="396" t="s">
        <v>758</v>
      </c>
      <c r="B547" s="395" t="s">
        <v>759</v>
      </c>
      <c r="C547" s="381" t="s">
        <v>94</v>
      </c>
      <c r="D547" s="383">
        <v>88</v>
      </c>
      <c r="E547" s="384">
        <v>29411</v>
      </c>
      <c r="F547" s="384">
        <f t="shared" si="60"/>
        <v>2588168</v>
      </c>
    </row>
    <row r="548" spans="1:6" s="9" customFormat="1" ht="35.1" customHeight="1" x14ac:dyDescent="0.25">
      <c r="A548" s="396" t="s">
        <v>760</v>
      </c>
      <c r="B548" s="395" t="s">
        <v>761</v>
      </c>
      <c r="C548" s="381" t="s">
        <v>94</v>
      </c>
      <c r="D548" s="383">
        <v>253.4</v>
      </c>
      <c r="E548" s="384">
        <v>23199</v>
      </c>
      <c r="F548" s="384">
        <f t="shared" si="60"/>
        <v>5878626.5999999996</v>
      </c>
    </row>
    <row r="549" spans="1:6" s="9" customFormat="1" ht="35.1" customHeight="1" x14ac:dyDescent="0.25">
      <c r="A549" s="396" t="s">
        <v>762</v>
      </c>
      <c r="B549" s="87" t="s">
        <v>763</v>
      </c>
      <c r="C549" s="381" t="s">
        <v>94</v>
      </c>
      <c r="D549" s="383">
        <v>146.80000000000001</v>
      </c>
      <c r="E549" s="384">
        <v>17497</v>
      </c>
      <c r="F549" s="384">
        <f t="shared" si="60"/>
        <v>2568559.6</v>
      </c>
    </row>
    <row r="550" spans="1:6" s="9" customFormat="1" ht="35.1" customHeight="1" x14ac:dyDescent="0.25">
      <c r="A550" s="396" t="s">
        <v>764</v>
      </c>
      <c r="B550" s="87" t="s">
        <v>765</v>
      </c>
      <c r="C550" s="381" t="s">
        <v>94</v>
      </c>
      <c r="D550" s="383">
        <v>226.6</v>
      </c>
      <c r="E550" s="384">
        <v>15005</v>
      </c>
      <c r="F550" s="384">
        <f t="shared" si="60"/>
        <v>3400133</v>
      </c>
    </row>
    <row r="551" spans="1:6" s="9" customFormat="1" ht="35.1" customHeight="1" x14ac:dyDescent="0.25">
      <c r="A551" s="396" t="s">
        <v>766</v>
      </c>
      <c r="B551" s="395" t="s">
        <v>767</v>
      </c>
      <c r="C551" s="381" t="s">
        <v>94</v>
      </c>
      <c r="D551" s="383">
        <v>38.799999999999997</v>
      </c>
      <c r="E551" s="384">
        <v>10936</v>
      </c>
      <c r="F551" s="384">
        <f t="shared" si="60"/>
        <v>424316.8</v>
      </c>
    </row>
    <row r="552" spans="1:6" s="9" customFormat="1" ht="35.1" customHeight="1" x14ac:dyDescent="0.25">
      <c r="A552" s="396" t="s">
        <v>768</v>
      </c>
      <c r="B552" s="395" t="s">
        <v>769</v>
      </c>
      <c r="C552" s="381" t="s">
        <v>94</v>
      </c>
      <c r="D552" s="383">
        <v>44</v>
      </c>
      <c r="E552" s="384">
        <v>9544</v>
      </c>
      <c r="F552" s="384">
        <f t="shared" si="60"/>
        <v>419936</v>
      </c>
    </row>
    <row r="553" spans="1:6" s="357" customFormat="1" ht="35.1" customHeight="1" x14ac:dyDescent="0.25">
      <c r="A553" s="385" t="s">
        <v>770</v>
      </c>
      <c r="B553" s="397" t="s">
        <v>1328</v>
      </c>
      <c r="C553" s="397"/>
      <c r="D553" s="385"/>
      <c r="E553" s="388">
        <v>0</v>
      </c>
      <c r="F553" s="388">
        <f t="shared" si="58"/>
        <v>0</v>
      </c>
    </row>
    <row r="554" spans="1:6" s="9" customFormat="1" ht="35.1" customHeight="1" x14ac:dyDescent="0.25">
      <c r="A554" s="396" t="s">
        <v>772</v>
      </c>
      <c r="B554" s="395" t="s">
        <v>773</v>
      </c>
      <c r="C554" s="381" t="s">
        <v>16</v>
      </c>
      <c r="D554" s="383">
        <v>4</v>
      </c>
      <c r="E554" s="384">
        <v>297705</v>
      </c>
      <c r="F554" s="384">
        <f t="shared" ref="F554:F590" si="61">ROUND(D554*E554,2)</f>
        <v>1190820</v>
      </c>
    </row>
    <row r="555" spans="1:6" s="9" customFormat="1" ht="35.1" customHeight="1" x14ac:dyDescent="0.25">
      <c r="A555" s="396" t="s">
        <v>774</v>
      </c>
      <c r="B555" s="395" t="s">
        <v>775</v>
      </c>
      <c r="C555" s="381" t="s">
        <v>16</v>
      </c>
      <c r="D555" s="383">
        <v>4</v>
      </c>
      <c r="E555" s="384">
        <v>572842</v>
      </c>
      <c r="F555" s="384">
        <f t="shared" si="61"/>
        <v>2291368</v>
      </c>
    </row>
    <row r="556" spans="1:6" s="9" customFormat="1" ht="35.1" customHeight="1" x14ac:dyDescent="0.25">
      <c r="A556" s="396" t="s">
        <v>776</v>
      </c>
      <c r="B556" s="395" t="s">
        <v>777</v>
      </c>
      <c r="C556" s="381" t="s">
        <v>16</v>
      </c>
      <c r="D556" s="383">
        <v>4</v>
      </c>
      <c r="E556" s="384">
        <v>201691</v>
      </c>
      <c r="F556" s="384">
        <f t="shared" si="61"/>
        <v>806764</v>
      </c>
    </row>
    <row r="557" spans="1:6" s="9" customFormat="1" ht="35.1" customHeight="1" x14ac:dyDescent="0.25">
      <c r="A557" s="396" t="s">
        <v>778</v>
      </c>
      <c r="B557" s="395" t="s">
        <v>779</v>
      </c>
      <c r="C557" s="381" t="s">
        <v>16</v>
      </c>
      <c r="D557" s="383">
        <v>2</v>
      </c>
      <c r="E557" s="384">
        <v>466799</v>
      </c>
      <c r="F557" s="384">
        <f t="shared" si="61"/>
        <v>933598</v>
      </c>
    </row>
    <row r="558" spans="1:6" s="9" customFormat="1" ht="35.1" customHeight="1" x14ac:dyDescent="0.25">
      <c r="A558" s="396" t="s">
        <v>780</v>
      </c>
      <c r="B558" s="395" t="s">
        <v>781</v>
      </c>
      <c r="C558" s="381" t="s">
        <v>16</v>
      </c>
      <c r="D558" s="383">
        <v>4</v>
      </c>
      <c r="E558" s="384">
        <v>2408581</v>
      </c>
      <c r="F558" s="384">
        <f t="shared" si="61"/>
        <v>9634324</v>
      </c>
    </row>
    <row r="559" spans="1:6" s="9" customFormat="1" ht="35.1" customHeight="1" x14ac:dyDescent="0.25">
      <c r="A559" s="396" t="s">
        <v>782</v>
      </c>
      <c r="B559" s="395" t="s">
        <v>783</v>
      </c>
      <c r="C559" s="381" t="s">
        <v>16</v>
      </c>
      <c r="D559" s="383">
        <v>4</v>
      </c>
      <c r="E559" s="384">
        <v>2408581</v>
      </c>
      <c r="F559" s="384">
        <f t="shared" si="61"/>
        <v>9634324</v>
      </c>
    </row>
    <row r="560" spans="1:6" s="9" customFormat="1" ht="35.1" customHeight="1" x14ac:dyDescent="0.25">
      <c r="A560" s="396" t="s">
        <v>784</v>
      </c>
      <c r="B560" s="395" t="s">
        <v>785</v>
      </c>
      <c r="C560" s="381" t="s">
        <v>16</v>
      </c>
      <c r="D560" s="383">
        <v>2</v>
      </c>
      <c r="E560" s="384">
        <v>1272596</v>
      </c>
      <c r="F560" s="384">
        <f t="shared" si="61"/>
        <v>2545192</v>
      </c>
    </row>
    <row r="561" spans="1:6" s="9" customFormat="1" ht="35.1" customHeight="1" x14ac:dyDescent="0.25">
      <c r="A561" s="396" t="s">
        <v>786</v>
      </c>
      <c r="B561" s="395" t="s">
        <v>787</v>
      </c>
      <c r="C561" s="381" t="s">
        <v>16</v>
      </c>
      <c r="D561" s="383">
        <v>1</v>
      </c>
      <c r="E561" s="384">
        <v>374717</v>
      </c>
      <c r="F561" s="384">
        <f t="shared" si="61"/>
        <v>374717</v>
      </c>
    </row>
    <row r="562" spans="1:6" s="9" customFormat="1" ht="35.1" customHeight="1" x14ac:dyDescent="0.25">
      <c r="A562" s="396" t="s">
        <v>788</v>
      </c>
      <c r="B562" s="395" t="s">
        <v>789</v>
      </c>
      <c r="C562" s="381" t="s">
        <v>16</v>
      </c>
      <c r="D562" s="383">
        <v>1</v>
      </c>
      <c r="E562" s="384">
        <v>523839</v>
      </c>
      <c r="F562" s="384">
        <f t="shared" si="61"/>
        <v>523839</v>
      </c>
    </row>
    <row r="563" spans="1:6" s="9" customFormat="1" ht="35.1" customHeight="1" x14ac:dyDescent="0.25">
      <c r="A563" s="396" t="s">
        <v>790</v>
      </c>
      <c r="B563" s="395" t="s">
        <v>791</v>
      </c>
      <c r="C563" s="381" t="s">
        <v>16</v>
      </c>
      <c r="D563" s="383">
        <v>7</v>
      </c>
      <c r="E563" s="384">
        <v>332962</v>
      </c>
      <c r="F563" s="384">
        <f t="shared" si="61"/>
        <v>2330734</v>
      </c>
    </row>
    <row r="564" spans="1:6" s="9" customFormat="1" ht="35.1" customHeight="1" x14ac:dyDescent="0.25">
      <c r="A564" s="396" t="s">
        <v>792</v>
      </c>
      <c r="B564" s="395" t="s">
        <v>793</v>
      </c>
      <c r="C564" s="381" t="s">
        <v>16</v>
      </c>
      <c r="D564" s="383">
        <v>7</v>
      </c>
      <c r="E564" s="384">
        <v>469758</v>
      </c>
      <c r="F564" s="384">
        <f t="shared" si="61"/>
        <v>3288306</v>
      </c>
    </row>
    <row r="565" spans="1:6" s="9" customFormat="1" ht="35.1" customHeight="1" x14ac:dyDescent="0.25">
      <c r="A565" s="396" t="s">
        <v>794</v>
      </c>
      <c r="B565" s="395" t="s">
        <v>795</v>
      </c>
      <c r="C565" s="381" t="s">
        <v>16</v>
      </c>
      <c r="D565" s="383">
        <v>2</v>
      </c>
      <c r="E565" s="384">
        <v>246271</v>
      </c>
      <c r="F565" s="384">
        <f t="shared" si="61"/>
        <v>492542</v>
      </c>
    </row>
    <row r="566" spans="1:6" s="9" customFormat="1" ht="35.1" customHeight="1" x14ac:dyDescent="0.25">
      <c r="A566" s="396" t="s">
        <v>796</v>
      </c>
      <c r="B566" s="395" t="s">
        <v>797</v>
      </c>
      <c r="C566" s="381" t="s">
        <v>16</v>
      </c>
      <c r="D566" s="383">
        <v>2</v>
      </c>
      <c r="E566" s="384">
        <v>268423</v>
      </c>
      <c r="F566" s="384">
        <f t="shared" si="61"/>
        <v>536846</v>
      </c>
    </row>
    <row r="567" spans="1:6" s="9" customFormat="1" ht="35.1" customHeight="1" x14ac:dyDescent="0.25">
      <c r="A567" s="396" t="s">
        <v>1329</v>
      </c>
      <c r="B567" s="395" t="s">
        <v>1330</v>
      </c>
      <c r="C567" s="381" t="s">
        <v>16</v>
      </c>
      <c r="D567" s="383">
        <v>2</v>
      </c>
      <c r="E567" s="384">
        <v>129491</v>
      </c>
      <c r="F567" s="384">
        <f t="shared" si="61"/>
        <v>258982</v>
      </c>
    </row>
    <row r="568" spans="1:6" s="9" customFormat="1" ht="35.1" customHeight="1" x14ac:dyDescent="0.25">
      <c r="A568" s="396" t="s">
        <v>1331</v>
      </c>
      <c r="B568" s="395" t="s">
        <v>1332</v>
      </c>
      <c r="C568" s="381" t="s">
        <v>16</v>
      </c>
      <c r="D568" s="383">
        <v>2</v>
      </c>
      <c r="E568" s="384">
        <v>165943</v>
      </c>
      <c r="F568" s="384">
        <f t="shared" si="61"/>
        <v>331886</v>
      </c>
    </row>
    <row r="569" spans="1:6" s="9" customFormat="1" ht="35.1" customHeight="1" x14ac:dyDescent="0.25">
      <c r="A569" s="396" t="s">
        <v>798</v>
      </c>
      <c r="B569" s="395" t="s">
        <v>799</v>
      </c>
      <c r="C569" s="381" t="s">
        <v>16</v>
      </c>
      <c r="D569" s="383">
        <v>2</v>
      </c>
      <c r="E569" s="384">
        <v>603372</v>
      </c>
      <c r="F569" s="384">
        <f t="shared" si="61"/>
        <v>1206744</v>
      </c>
    </row>
    <row r="570" spans="1:6" s="9" customFormat="1" ht="35.1" customHeight="1" x14ac:dyDescent="0.25">
      <c r="A570" s="396" t="s">
        <v>800</v>
      </c>
      <c r="B570" s="395" t="s">
        <v>801</v>
      </c>
      <c r="C570" s="381" t="s">
        <v>16</v>
      </c>
      <c r="D570" s="383">
        <v>2</v>
      </c>
      <c r="E570" s="384">
        <v>3315370</v>
      </c>
      <c r="F570" s="384">
        <f t="shared" si="61"/>
        <v>6630740</v>
      </c>
    </row>
    <row r="571" spans="1:6" s="9" customFormat="1" ht="35.1" customHeight="1" x14ac:dyDescent="0.25">
      <c r="A571" s="396" t="s">
        <v>802</v>
      </c>
      <c r="B571" s="395" t="s">
        <v>803</v>
      </c>
      <c r="C571" s="381" t="s">
        <v>16</v>
      </c>
      <c r="D571" s="383">
        <v>4</v>
      </c>
      <c r="E571" s="384">
        <v>1038052</v>
      </c>
      <c r="F571" s="384">
        <f t="shared" si="61"/>
        <v>4152208</v>
      </c>
    </row>
    <row r="572" spans="1:6" s="9" customFormat="1" ht="35.1" customHeight="1" x14ac:dyDescent="0.25">
      <c r="A572" s="396" t="s">
        <v>804</v>
      </c>
      <c r="B572" s="395" t="s">
        <v>805</v>
      </c>
      <c r="C572" s="381" t="s">
        <v>16</v>
      </c>
      <c r="D572" s="383">
        <v>4</v>
      </c>
      <c r="E572" s="384">
        <v>991484</v>
      </c>
      <c r="F572" s="384">
        <f t="shared" si="61"/>
        <v>3965936</v>
      </c>
    </row>
    <row r="573" spans="1:6" s="9" customFormat="1" ht="35.1" customHeight="1" x14ac:dyDescent="0.25">
      <c r="A573" s="396" t="s">
        <v>806</v>
      </c>
      <c r="B573" s="395" t="s">
        <v>807</v>
      </c>
      <c r="C573" s="381" t="s">
        <v>16</v>
      </c>
      <c r="D573" s="383">
        <v>1</v>
      </c>
      <c r="E573" s="384">
        <v>257162</v>
      </c>
      <c r="F573" s="384">
        <f t="shared" si="61"/>
        <v>257162</v>
      </c>
    </row>
    <row r="574" spans="1:6" s="9" customFormat="1" ht="35.1" customHeight="1" x14ac:dyDescent="0.25">
      <c r="A574" s="396" t="s">
        <v>808</v>
      </c>
      <c r="B574" s="395" t="s">
        <v>809</v>
      </c>
      <c r="C574" s="381" t="s">
        <v>16</v>
      </c>
      <c r="D574" s="383">
        <v>1</v>
      </c>
      <c r="E574" s="384">
        <v>287226</v>
      </c>
      <c r="F574" s="384">
        <f t="shared" si="61"/>
        <v>287226</v>
      </c>
    </row>
    <row r="575" spans="1:6" s="9" customFormat="1" ht="35.1" customHeight="1" x14ac:dyDescent="0.25">
      <c r="A575" s="396" t="s">
        <v>810</v>
      </c>
      <c r="B575" s="87" t="s">
        <v>811</v>
      </c>
      <c r="C575" s="381" t="s">
        <v>16</v>
      </c>
      <c r="D575" s="383">
        <v>23</v>
      </c>
      <c r="E575" s="384">
        <v>221574</v>
      </c>
      <c r="F575" s="384">
        <f t="shared" si="61"/>
        <v>5096202</v>
      </c>
    </row>
    <row r="576" spans="1:6" s="9" customFormat="1" ht="35.1" customHeight="1" x14ac:dyDescent="0.25">
      <c r="A576" s="396" t="s">
        <v>812</v>
      </c>
      <c r="B576" s="87" t="s">
        <v>813</v>
      </c>
      <c r="C576" s="381" t="s">
        <v>16</v>
      </c>
      <c r="D576" s="383">
        <v>23</v>
      </c>
      <c r="E576" s="384">
        <v>334510</v>
      </c>
      <c r="F576" s="384">
        <f t="shared" si="61"/>
        <v>7693730</v>
      </c>
    </row>
    <row r="577" spans="1:6" s="9" customFormat="1" ht="35.1" customHeight="1" x14ac:dyDescent="0.25">
      <c r="A577" s="396" t="s">
        <v>814</v>
      </c>
      <c r="B577" s="87" t="s">
        <v>815</v>
      </c>
      <c r="C577" s="381" t="s">
        <v>16</v>
      </c>
      <c r="D577" s="383">
        <v>2</v>
      </c>
      <c r="E577" s="384">
        <v>241456</v>
      </c>
      <c r="F577" s="384">
        <f t="shared" si="61"/>
        <v>482912</v>
      </c>
    </row>
    <row r="578" spans="1:6" s="9" customFormat="1" ht="35.1" customHeight="1" x14ac:dyDescent="0.25">
      <c r="A578" s="396" t="s">
        <v>816</v>
      </c>
      <c r="B578" s="87" t="s">
        <v>817</v>
      </c>
      <c r="C578" s="381" t="s">
        <v>16</v>
      </c>
      <c r="D578" s="383">
        <v>2</v>
      </c>
      <c r="E578" s="384">
        <v>347500</v>
      </c>
      <c r="F578" s="384">
        <f t="shared" si="61"/>
        <v>695000</v>
      </c>
    </row>
    <row r="579" spans="1:6" s="9" customFormat="1" ht="35.1" customHeight="1" x14ac:dyDescent="0.25">
      <c r="A579" s="396" t="s">
        <v>818</v>
      </c>
      <c r="B579" s="87" t="s">
        <v>819</v>
      </c>
      <c r="C579" s="381" t="s">
        <v>16</v>
      </c>
      <c r="D579" s="383">
        <v>4</v>
      </c>
      <c r="E579" s="384">
        <v>161924</v>
      </c>
      <c r="F579" s="384">
        <f t="shared" si="61"/>
        <v>647696</v>
      </c>
    </row>
    <row r="580" spans="1:6" s="9" customFormat="1" ht="35.1" customHeight="1" x14ac:dyDescent="0.25">
      <c r="A580" s="396" t="s">
        <v>820</v>
      </c>
      <c r="B580" s="395" t="s">
        <v>821</v>
      </c>
      <c r="C580" s="381" t="s">
        <v>16</v>
      </c>
      <c r="D580" s="383">
        <v>4</v>
      </c>
      <c r="E580" s="384">
        <v>201691</v>
      </c>
      <c r="F580" s="384">
        <f t="shared" si="61"/>
        <v>806764</v>
      </c>
    </row>
    <row r="581" spans="1:6" s="9" customFormat="1" ht="35.1" customHeight="1" x14ac:dyDescent="0.25">
      <c r="A581" s="396" t="s">
        <v>822</v>
      </c>
      <c r="B581" s="87" t="s">
        <v>823</v>
      </c>
      <c r="C581" s="381" t="s">
        <v>16</v>
      </c>
      <c r="D581" s="383">
        <v>8</v>
      </c>
      <c r="E581" s="384">
        <v>129491</v>
      </c>
      <c r="F581" s="384">
        <f t="shared" si="61"/>
        <v>1035928</v>
      </c>
    </row>
    <row r="582" spans="1:6" s="9" customFormat="1" ht="35.1" customHeight="1" x14ac:dyDescent="0.25">
      <c r="A582" s="396" t="s">
        <v>824</v>
      </c>
      <c r="B582" s="395" t="s">
        <v>825</v>
      </c>
      <c r="C582" s="381" t="s">
        <v>16</v>
      </c>
      <c r="D582" s="383">
        <v>8</v>
      </c>
      <c r="E582" s="384">
        <v>165943</v>
      </c>
      <c r="F582" s="384">
        <f t="shared" si="61"/>
        <v>1327544</v>
      </c>
    </row>
    <row r="583" spans="1:6" s="9" customFormat="1" ht="35.1" customHeight="1" x14ac:dyDescent="0.25">
      <c r="A583" s="396" t="s">
        <v>826</v>
      </c>
      <c r="B583" s="395" t="s">
        <v>827</v>
      </c>
      <c r="C583" s="381" t="s">
        <v>16</v>
      </c>
      <c r="D583" s="383">
        <v>8</v>
      </c>
      <c r="E583" s="384">
        <v>201691</v>
      </c>
      <c r="F583" s="384">
        <f t="shared" si="61"/>
        <v>1613528</v>
      </c>
    </row>
    <row r="584" spans="1:6" s="9" customFormat="1" ht="35.1" customHeight="1" x14ac:dyDescent="0.25">
      <c r="A584" s="396" t="s">
        <v>828</v>
      </c>
      <c r="B584" s="395" t="s">
        <v>829</v>
      </c>
      <c r="C584" s="381" t="s">
        <v>16</v>
      </c>
      <c r="D584" s="383">
        <v>30</v>
      </c>
      <c r="E584" s="384">
        <v>334245</v>
      </c>
      <c r="F584" s="384">
        <f t="shared" si="61"/>
        <v>10027350</v>
      </c>
    </row>
    <row r="585" spans="1:6" s="9" customFormat="1" ht="35.1" customHeight="1" x14ac:dyDescent="0.25">
      <c r="A585" s="396" t="s">
        <v>830</v>
      </c>
      <c r="B585" s="395" t="s">
        <v>831</v>
      </c>
      <c r="C585" s="381" t="s">
        <v>16</v>
      </c>
      <c r="D585" s="383">
        <v>8</v>
      </c>
      <c r="E585" s="384">
        <v>254712</v>
      </c>
      <c r="F585" s="384">
        <f t="shared" si="61"/>
        <v>2037696</v>
      </c>
    </row>
    <row r="586" spans="1:6" s="9" customFormat="1" ht="35.1" customHeight="1" x14ac:dyDescent="0.25">
      <c r="A586" s="396" t="s">
        <v>832</v>
      </c>
      <c r="B586" s="395" t="s">
        <v>833</v>
      </c>
      <c r="C586" s="381" t="s">
        <v>16</v>
      </c>
      <c r="D586" s="383">
        <v>1</v>
      </c>
      <c r="E586" s="384">
        <v>844579</v>
      </c>
      <c r="F586" s="384">
        <f t="shared" si="61"/>
        <v>844579</v>
      </c>
    </row>
    <row r="587" spans="1:6" s="9" customFormat="1" ht="35.1" customHeight="1" x14ac:dyDescent="0.25">
      <c r="A587" s="396" t="s">
        <v>834</v>
      </c>
      <c r="B587" s="87" t="s">
        <v>835</v>
      </c>
      <c r="C587" s="381" t="s">
        <v>16</v>
      </c>
      <c r="D587" s="383">
        <v>3</v>
      </c>
      <c r="E587" s="384">
        <v>844579</v>
      </c>
      <c r="F587" s="384">
        <f t="shared" si="61"/>
        <v>2533737</v>
      </c>
    </row>
    <row r="588" spans="1:6" s="9" customFormat="1" ht="35.1" customHeight="1" x14ac:dyDescent="0.25">
      <c r="A588" s="396" t="s">
        <v>836</v>
      </c>
      <c r="B588" s="87" t="s">
        <v>837</v>
      </c>
      <c r="C588" s="381" t="s">
        <v>16</v>
      </c>
      <c r="D588" s="383">
        <v>1</v>
      </c>
      <c r="E588" s="384">
        <v>844579</v>
      </c>
      <c r="F588" s="384">
        <f t="shared" si="61"/>
        <v>844579</v>
      </c>
    </row>
    <row r="589" spans="1:6" s="9" customFormat="1" ht="35.1" customHeight="1" x14ac:dyDescent="0.25">
      <c r="A589" s="396" t="s">
        <v>838</v>
      </c>
      <c r="B589" s="87" t="s">
        <v>839</v>
      </c>
      <c r="C589" s="381" t="s">
        <v>16</v>
      </c>
      <c r="D589" s="383">
        <v>20</v>
      </c>
      <c r="E589" s="384">
        <v>745163</v>
      </c>
      <c r="F589" s="384">
        <f t="shared" si="61"/>
        <v>14903260</v>
      </c>
    </row>
    <row r="590" spans="1:6" s="9" customFormat="1" ht="35.1" customHeight="1" x14ac:dyDescent="0.25">
      <c r="A590" s="396" t="s">
        <v>840</v>
      </c>
      <c r="B590" s="395" t="s">
        <v>841</v>
      </c>
      <c r="C590" s="381" t="s">
        <v>16</v>
      </c>
      <c r="D590" s="383">
        <v>1</v>
      </c>
      <c r="E590" s="384">
        <v>600944</v>
      </c>
      <c r="F590" s="384">
        <f t="shared" si="61"/>
        <v>600944</v>
      </c>
    </row>
    <row r="591" spans="1:6" s="357" customFormat="1" ht="35.1" customHeight="1" x14ac:dyDescent="0.25">
      <c r="A591" s="385" t="s">
        <v>842</v>
      </c>
      <c r="B591" s="397" t="s">
        <v>843</v>
      </c>
      <c r="C591" s="397"/>
      <c r="D591" s="385"/>
      <c r="E591" s="388">
        <v>0</v>
      </c>
      <c r="F591" s="388">
        <f t="shared" si="58"/>
        <v>0</v>
      </c>
    </row>
    <row r="592" spans="1:6" s="9" customFormat="1" ht="35.1" customHeight="1" x14ac:dyDescent="0.25">
      <c r="A592" s="396" t="s">
        <v>844</v>
      </c>
      <c r="B592" s="395" t="s">
        <v>845</v>
      </c>
      <c r="C592" s="417" t="s">
        <v>13</v>
      </c>
      <c r="D592" s="383">
        <v>105</v>
      </c>
      <c r="E592" s="384">
        <v>65833</v>
      </c>
      <c r="F592" s="384">
        <f t="shared" ref="F592:F597" si="62">ROUND(D592*E592,2)</f>
        <v>6912465</v>
      </c>
    </row>
    <row r="593" spans="1:6" s="9" customFormat="1" ht="35.1" customHeight="1" x14ac:dyDescent="0.25">
      <c r="A593" s="396" t="s">
        <v>846</v>
      </c>
      <c r="B593" s="395" t="s">
        <v>847</v>
      </c>
      <c r="C593" s="417" t="s">
        <v>13</v>
      </c>
      <c r="D593" s="383">
        <v>740</v>
      </c>
      <c r="E593" s="384">
        <v>72411</v>
      </c>
      <c r="F593" s="384">
        <f t="shared" si="62"/>
        <v>53584140</v>
      </c>
    </row>
    <row r="594" spans="1:6" s="9" customFormat="1" ht="35.1" customHeight="1" x14ac:dyDescent="0.25">
      <c r="A594" s="396" t="s">
        <v>848</v>
      </c>
      <c r="B594" s="395" t="s">
        <v>849</v>
      </c>
      <c r="C594" s="417" t="s">
        <v>13</v>
      </c>
      <c r="D594" s="383">
        <v>845</v>
      </c>
      <c r="E594" s="384">
        <v>20075</v>
      </c>
      <c r="F594" s="384">
        <f t="shared" si="62"/>
        <v>16963375</v>
      </c>
    </row>
    <row r="595" spans="1:6" s="9" customFormat="1" ht="35.1" customHeight="1" x14ac:dyDescent="0.25">
      <c r="A595" s="396" t="s">
        <v>850</v>
      </c>
      <c r="B595" s="395" t="s">
        <v>851</v>
      </c>
      <c r="C595" s="417" t="s">
        <v>13</v>
      </c>
      <c r="D595" s="383">
        <v>205</v>
      </c>
      <c r="E595" s="384">
        <v>79038</v>
      </c>
      <c r="F595" s="384">
        <f t="shared" si="62"/>
        <v>16202790</v>
      </c>
    </row>
    <row r="596" spans="1:6" s="9" customFormat="1" ht="35.1" customHeight="1" x14ac:dyDescent="0.25">
      <c r="A596" s="396" t="s">
        <v>852</v>
      </c>
      <c r="B596" s="395" t="s">
        <v>853</v>
      </c>
      <c r="C596" s="417" t="s">
        <v>13</v>
      </c>
      <c r="D596" s="383">
        <v>205</v>
      </c>
      <c r="E596" s="384">
        <v>20075</v>
      </c>
      <c r="F596" s="384">
        <f t="shared" si="62"/>
        <v>4115375</v>
      </c>
    </row>
    <row r="597" spans="1:6" s="9" customFormat="1" ht="35.1" customHeight="1" x14ac:dyDescent="0.25">
      <c r="A597" s="396" t="s">
        <v>854</v>
      </c>
      <c r="B597" s="395" t="s">
        <v>855</v>
      </c>
      <c r="C597" s="381" t="s">
        <v>16</v>
      </c>
      <c r="D597" s="383">
        <v>33</v>
      </c>
      <c r="E597" s="384">
        <v>34456</v>
      </c>
      <c r="F597" s="384">
        <f t="shared" si="62"/>
        <v>1137048</v>
      </c>
    </row>
    <row r="598" spans="1:6" s="357" customFormat="1" ht="35.1" customHeight="1" x14ac:dyDescent="0.25">
      <c r="A598" s="385" t="s">
        <v>856</v>
      </c>
      <c r="B598" s="386" t="s">
        <v>857</v>
      </c>
      <c r="C598" s="399"/>
      <c r="D598" s="385"/>
      <c r="E598" s="388">
        <v>0</v>
      </c>
      <c r="F598" s="388">
        <f t="shared" ref="F598:F654" si="63">D598*E598</f>
        <v>0</v>
      </c>
    </row>
    <row r="599" spans="1:6" s="9" customFormat="1" ht="35.1" customHeight="1" x14ac:dyDescent="0.25">
      <c r="A599" s="381" t="s">
        <v>858</v>
      </c>
      <c r="B599" s="395" t="s">
        <v>859</v>
      </c>
      <c r="C599" s="381" t="s">
        <v>16</v>
      </c>
      <c r="D599" s="383">
        <v>112</v>
      </c>
      <c r="E599" s="384">
        <v>162288</v>
      </c>
      <c r="F599" s="384">
        <f t="shared" ref="F599:F612" si="64">ROUND(D599*E599,2)</f>
        <v>18176256</v>
      </c>
    </row>
    <row r="600" spans="1:6" s="9" customFormat="1" ht="35.1" customHeight="1" x14ac:dyDescent="0.25">
      <c r="A600" s="381" t="s">
        <v>860</v>
      </c>
      <c r="B600" s="395" t="s">
        <v>861</v>
      </c>
      <c r="C600" s="381" t="s">
        <v>16</v>
      </c>
      <c r="D600" s="383">
        <v>6</v>
      </c>
      <c r="E600" s="384">
        <v>113243</v>
      </c>
      <c r="F600" s="384">
        <f t="shared" si="64"/>
        <v>679458</v>
      </c>
    </row>
    <row r="601" spans="1:6" s="9" customFormat="1" ht="35.1" customHeight="1" x14ac:dyDescent="0.25">
      <c r="A601" s="381" t="s">
        <v>862</v>
      </c>
      <c r="B601" s="395" t="s">
        <v>863</v>
      </c>
      <c r="C601" s="381" t="s">
        <v>16</v>
      </c>
      <c r="D601" s="383">
        <v>5</v>
      </c>
      <c r="E601" s="384">
        <v>239169</v>
      </c>
      <c r="F601" s="384">
        <f t="shared" si="64"/>
        <v>1195845</v>
      </c>
    </row>
    <row r="602" spans="1:6" s="9" customFormat="1" ht="35.1" customHeight="1" x14ac:dyDescent="0.25">
      <c r="A602" s="381" t="s">
        <v>864</v>
      </c>
      <c r="B602" s="87" t="s">
        <v>865</v>
      </c>
      <c r="C602" s="381" t="s">
        <v>16</v>
      </c>
      <c r="D602" s="383">
        <v>3</v>
      </c>
      <c r="E602" s="384">
        <v>60220</v>
      </c>
      <c r="F602" s="384">
        <f t="shared" si="64"/>
        <v>180660</v>
      </c>
    </row>
    <row r="603" spans="1:6" s="9" customFormat="1" ht="35.1" customHeight="1" x14ac:dyDescent="0.25">
      <c r="A603" s="381" t="s">
        <v>866</v>
      </c>
      <c r="B603" s="395" t="s">
        <v>867</v>
      </c>
      <c r="C603" s="381" t="s">
        <v>16</v>
      </c>
      <c r="D603" s="383">
        <v>16</v>
      </c>
      <c r="E603" s="384">
        <v>225914</v>
      </c>
      <c r="F603" s="384">
        <f t="shared" si="64"/>
        <v>3614624</v>
      </c>
    </row>
    <row r="604" spans="1:6" s="9" customFormat="1" ht="35.1" customHeight="1" x14ac:dyDescent="0.25">
      <c r="A604" s="381" t="s">
        <v>868</v>
      </c>
      <c r="B604" s="395" t="s">
        <v>869</v>
      </c>
      <c r="C604" s="381" t="s">
        <v>16</v>
      </c>
      <c r="D604" s="383">
        <v>11</v>
      </c>
      <c r="E604" s="384">
        <v>239169</v>
      </c>
      <c r="F604" s="384">
        <f t="shared" si="64"/>
        <v>2630859</v>
      </c>
    </row>
    <row r="605" spans="1:6" s="9" customFormat="1" ht="35.1" customHeight="1" x14ac:dyDescent="0.25">
      <c r="A605" s="381" t="s">
        <v>870</v>
      </c>
      <c r="B605" s="87" t="s">
        <v>871</v>
      </c>
      <c r="C605" s="381" t="s">
        <v>16</v>
      </c>
      <c r="D605" s="383">
        <v>2</v>
      </c>
      <c r="E605" s="384">
        <v>514882</v>
      </c>
      <c r="F605" s="384">
        <f t="shared" si="64"/>
        <v>1029764</v>
      </c>
    </row>
    <row r="606" spans="1:6" s="9" customFormat="1" ht="35.1" customHeight="1" x14ac:dyDescent="0.25">
      <c r="A606" s="381" t="s">
        <v>872</v>
      </c>
      <c r="B606" s="87" t="s">
        <v>873</v>
      </c>
      <c r="C606" s="381" t="s">
        <v>16</v>
      </c>
      <c r="D606" s="383">
        <v>4</v>
      </c>
      <c r="E606" s="384">
        <v>457883</v>
      </c>
      <c r="F606" s="384">
        <f t="shared" si="64"/>
        <v>1831532</v>
      </c>
    </row>
    <row r="607" spans="1:6" s="9" customFormat="1" ht="35.1" customHeight="1" x14ac:dyDescent="0.25">
      <c r="A607" s="381" t="s">
        <v>874</v>
      </c>
      <c r="B607" s="395" t="s">
        <v>875</v>
      </c>
      <c r="C607" s="381" t="s">
        <v>16</v>
      </c>
      <c r="D607" s="383">
        <v>1</v>
      </c>
      <c r="E607" s="384">
        <v>24431</v>
      </c>
      <c r="F607" s="384">
        <f t="shared" si="64"/>
        <v>24431</v>
      </c>
    </row>
    <row r="608" spans="1:6" s="9" customFormat="1" ht="35.1" customHeight="1" x14ac:dyDescent="0.25">
      <c r="A608" s="381" t="s">
        <v>876</v>
      </c>
      <c r="B608" s="395" t="s">
        <v>877</v>
      </c>
      <c r="C608" s="381" t="s">
        <v>16</v>
      </c>
      <c r="D608" s="383">
        <v>1</v>
      </c>
      <c r="E608" s="384">
        <v>33710</v>
      </c>
      <c r="F608" s="384">
        <f t="shared" si="64"/>
        <v>33710</v>
      </c>
    </row>
    <row r="609" spans="1:6" s="9" customFormat="1" ht="35.1" customHeight="1" x14ac:dyDescent="0.25">
      <c r="A609" s="381" t="s">
        <v>878</v>
      </c>
      <c r="B609" s="395" t="s">
        <v>879</v>
      </c>
      <c r="C609" s="381" t="s">
        <v>16</v>
      </c>
      <c r="D609" s="383">
        <v>22</v>
      </c>
      <c r="E609" s="384">
        <v>46965</v>
      </c>
      <c r="F609" s="384">
        <f t="shared" si="64"/>
        <v>1033230</v>
      </c>
    </row>
    <row r="610" spans="1:6" s="9" customFormat="1" ht="35.1" customHeight="1" x14ac:dyDescent="0.25">
      <c r="A610" s="381" t="s">
        <v>880</v>
      </c>
      <c r="B610" s="395" t="s">
        <v>881</v>
      </c>
      <c r="C610" s="381" t="s">
        <v>16</v>
      </c>
      <c r="D610" s="383">
        <v>3</v>
      </c>
      <c r="E610" s="384">
        <v>60220</v>
      </c>
      <c r="F610" s="384">
        <f t="shared" si="64"/>
        <v>180660</v>
      </c>
    </row>
    <row r="611" spans="1:6" s="9" customFormat="1" ht="35.1" customHeight="1" x14ac:dyDescent="0.25">
      <c r="A611" s="381" t="s">
        <v>882</v>
      </c>
      <c r="B611" s="395" t="s">
        <v>1333</v>
      </c>
      <c r="C611" s="381" t="s">
        <v>16</v>
      </c>
      <c r="D611" s="383">
        <v>1</v>
      </c>
      <c r="E611" s="384">
        <v>597066</v>
      </c>
      <c r="F611" s="384">
        <f t="shared" si="64"/>
        <v>597066</v>
      </c>
    </row>
    <row r="612" spans="1:6" s="9" customFormat="1" ht="35.1" customHeight="1" x14ac:dyDescent="0.25">
      <c r="A612" s="381" t="s">
        <v>884</v>
      </c>
      <c r="B612" s="395" t="s">
        <v>1334</v>
      </c>
      <c r="C612" s="381" t="s">
        <v>16</v>
      </c>
      <c r="D612" s="383">
        <v>1</v>
      </c>
      <c r="E612" s="384">
        <v>689282</v>
      </c>
      <c r="F612" s="384">
        <f t="shared" si="64"/>
        <v>689282</v>
      </c>
    </row>
    <row r="613" spans="1:6" s="357" customFormat="1" ht="35.1" customHeight="1" x14ac:dyDescent="0.25">
      <c r="A613" s="385" t="s">
        <v>886</v>
      </c>
      <c r="B613" s="397" t="s">
        <v>887</v>
      </c>
      <c r="C613" s="397"/>
      <c r="D613" s="385"/>
      <c r="E613" s="388">
        <v>0</v>
      </c>
      <c r="F613" s="388">
        <f t="shared" si="63"/>
        <v>0</v>
      </c>
    </row>
    <row r="614" spans="1:6" s="9" customFormat="1" ht="35.1" customHeight="1" x14ac:dyDescent="0.25">
      <c r="A614" s="396" t="s">
        <v>1335</v>
      </c>
      <c r="B614" s="395" t="s">
        <v>1336</v>
      </c>
      <c r="C614" s="381" t="s">
        <v>16</v>
      </c>
      <c r="D614" s="383">
        <v>1</v>
      </c>
      <c r="E614" s="384">
        <v>11599154</v>
      </c>
      <c r="F614" s="384">
        <f t="shared" ref="F614:F618" si="65">ROUND(D614*E614,2)</f>
        <v>11599154</v>
      </c>
    </row>
    <row r="615" spans="1:6" s="9" customFormat="1" ht="35.1" customHeight="1" x14ac:dyDescent="0.25">
      <c r="A615" s="396" t="s">
        <v>1337</v>
      </c>
      <c r="B615" s="395" t="s">
        <v>1338</v>
      </c>
      <c r="C615" s="381" t="s">
        <v>16</v>
      </c>
      <c r="D615" s="383">
        <v>1</v>
      </c>
      <c r="E615" s="384">
        <v>10008503</v>
      </c>
      <c r="F615" s="384">
        <f t="shared" si="65"/>
        <v>10008503</v>
      </c>
    </row>
    <row r="616" spans="1:6" s="9" customFormat="1" ht="35.1" customHeight="1" x14ac:dyDescent="0.25">
      <c r="A616" s="396" t="s">
        <v>888</v>
      </c>
      <c r="B616" s="395" t="s">
        <v>851</v>
      </c>
      <c r="C616" s="417" t="s">
        <v>13</v>
      </c>
      <c r="D616" s="383">
        <v>120</v>
      </c>
      <c r="E616" s="384">
        <v>92876</v>
      </c>
      <c r="F616" s="384">
        <f t="shared" si="65"/>
        <v>11145120</v>
      </c>
    </row>
    <row r="617" spans="1:6" s="9" customFormat="1" ht="35.1" customHeight="1" x14ac:dyDescent="0.25">
      <c r="A617" s="396" t="s">
        <v>889</v>
      </c>
      <c r="B617" s="395" t="s">
        <v>890</v>
      </c>
      <c r="C617" s="417" t="s">
        <v>13</v>
      </c>
      <c r="D617" s="383">
        <v>262</v>
      </c>
      <c r="E617" s="384">
        <v>86250</v>
      </c>
      <c r="F617" s="384">
        <f t="shared" si="65"/>
        <v>22597500</v>
      </c>
    </row>
    <row r="618" spans="1:6" s="9" customFormat="1" ht="35.1" customHeight="1" x14ac:dyDescent="0.25">
      <c r="A618" s="396" t="s">
        <v>891</v>
      </c>
      <c r="B618" s="395" t="s">
        <v>892</v>
      </c>
      <c r="C618" s="381" t="s">
        <v>16</v>
      </c>
      <c r="D618" s="383">
        <v>3</v>
      </c>
      <c r="E618" s="384">
        <v>514289</v>
      </c>
      <c r="F618" s="384">
        <f t="shared" si="65"/>
        <v>1542867</v>
      </c>
    </row>
    <row r="619" spans="1:6" s="357" customFormat="1" ht="35.1" customHeight="1" x14ac:dyDescent="0.25">
      <c r="A619" s="385" t="s">
        <v>893</v>
      </c>
      <c r="B619" s="397" t="s">
        <v>894</v>
      </c>
      <c r="C619" s="397"/>
      <c r="D619" s="385"/>
      <c r="E619" s="388">
        <v>0</v>
      </c>
      <c r="F619" s="388">
        <f t="shared" si="63"/>
        <v>0</v>
      </c>
    </row>
    <row r="620" spans="1:6" s="9" customFormat="1" ht="35.1" customHeight="1" x14ac:dyDescent="0.25">
      <c r="A620" s="381" t="s">
        <v>1339</v>
      </c>
      <c r="B620" s="395" t="s">
        <v>1340</v>
      </c>
      <c r="C620" s="381" t="s">
        <v>16</v>
      </c>
      <c r="D620" s="383">
        <v>2</v>
      </c>
      <c r="E620" s="384">
        <v>11973835</v>
      </c>
      <c r="F620" s="384">
        <f t="shared" ref="F620:F630" si="66">ROUND(D620*E620,2)</f>
        <v>23947670</v>
      </c>
    </row>
    <row r="621" spans="1:6" s="9" customFormat="1" ht="35.1" customHeight="1" x14ac:dyDescent="0.25">
      <c r="A621" s="381" t="s">
        <v>895</v>
      </c>
      <c r="B621" s="395" t="s">
        <v>896</v>
      </c>
      <c r="C621" s="381" t="s">
        <v>16</v>
      </c>
      <c r="D621" s="383">
        <v>2</v>
      </c>
      <c r="E621" s="384">
        <v>2041232</v>
      </c>
      <c r="F621" s="384">
        <f t="shared" si="66"/>
        <v>4082464</v>
      </c>
    </row>
    <row r="622" spans="1:6" s="9" customFormat="1" ht="35.1" customHeight="1" x14ac:dyDescent="0.25">
      <c r="A622" s="381" t="s">
        <v>897</v>
      </c>
      <c r="B622" s="395" t="s">
        <v>898</v>
      </c>
      <c r="C622" s="381" t="s">
        <v>16</v>
      </c>
      <c r="D622" s="383">
        <v>4</v>
      </c>
      <c r="E622" s="384">
        <v>1245957</v>
      </c>
      <c r="F622" s="384">
        <f t="shared" si="66"/>
        <v>4983828</v>
      </c>
    </row>
    <row r="623" spans="1:6" s="9" customFormat="1" ht="35.1" customHeight="1" x14ac:dyDescent="0.25">
      <c r="A623" s="381" t="s">
        <v>899</v>
      </c>
      <c r="B623" s="395" t="s">
        <v>900</v>
      </c>
      <c r="C623" s="381" t="s">
        <v>16</v>
      </c>
      <c r="D623" s="383">
        <v>2</v>
      </c>
      <c r="E623" s="384">
        <v>895351</v>
      </c>
      <c r="F623" s="384">
        <f t="shared" si="66"/>
        <v>1790702</v>
      </c>
    </row>
    <row r="624" spans="1:6" s="9" customFormat="1" ht="35.1" customHeight="1" x14ac:dyDescent="0.25">
      <c r="A624" s="381" t="s">
        <v>901</v>
      </c>
      <c r="B624" s="395" t="s">
        <v>902</v>
      </c>
      <c r="C624" s="381" t="s">
        <v>16</v>
      </c>
      <c r="D624" s="383">
        <v>3</v>
      </c>
      <c r="E624" s="384">
        <v>895351</v>
      </c>
      <c r="F624" s="384">
        <f t="shared" si="66"/>
        <v>2686053</v>
      </c>
    </row>
    <row r="625" spans="1:6" s="9" customFormat="1" ht="35.1" customHeight="1" x14ac:dyDescent="0.25">
      <c r="A625" s="381" t="s">
        <v>1341</v>
      </c>
      <c r="B625" s="395" t="s">
        <v>1342</v>
      </c>
      <c r="C625" s="381" t="s">
        <v>16</v>
      </c>
      <c r="D625" s="383">
        <v>2</v>
      </c>
      <c r="E625" s="384">
        <v>3406592</v>
      </c>
      <c r="F625" s="384">
        <f t="shared" si="66"/>
        <v>6813184</v>
      </c>
    </row>
    <row r="626" spans="1:6" s="9" customFormat="1" ht="35.1" customHeight="1" x14ac:dyDescent="0.25">
      <c r="A626" s="381" t="s">
        <v>1343</v>
      </c>
      <c r="B626" s="395" t="s">
        <v>1344</v>
      </c>
      <c r="C626" s="381" t="s">
        <v>16</v>
      </c>
      <c r="D626" s="383">
        <v>2</v>
      </c>
      <c r="E626" s="384">
        <v>5991312</v>
      </c>
      <c r="F626" s="384">
        <f t="shared" si="66"/>
        <v>11982624</v>
      </c>
    </row>
    <row r="627" spans="1:6" s="9" customFormat="1" ht="35.1" customHeight="1" x14ac:dyDescent="0.25">
      <c r="A627" s="381" t="s">
        <v>1345</v>
      </c>
      <c r="B627" s="395" t="s">
        <v>1346</v>
      </c>
      <c r="C627" s="381" t="s">
        <v>16</v>
      </c>
      <c r="D627" s="383">
        <v>2</v>
      </c>
      <c r="E627" s="384">
        <v>2041232</v>
      </c>
      <c r="F627" s="384">
        <f t="shared" si="66"/>
        <v>4082464</v>
      </c>
    </row>
    <row r="628" spans="1:6" s="9" customFormat="1" ht="35.1" customHeight="1" x14ac:dyDescent="0.25">
      <c r="A628" s="381" t="s">
        <v>903</v>
      </c>
      <c r="B628" s="395" t="s">
        <v>904</v>
      </c>
      <c r="C628" s="381" t="s">
        <v>16</v>
      </c>
      <c r="D628" s="383">
        <v>5</v>
      </c>
      <c r="E628" s="384">
        <v>1139897</v>
      </c>
      <c r="F628" s="384">
        <f t="shared" si="66"/>
        <v>5699485</v>
      </c>
    </row>
    <row r="629" spans="1:6" s="9" customFormat="1" ht="35.1" customHeight="1" x14ac:dyDescent="0.25">
      <c r="A629" s="381" t="s">
        <v>905</v>
      </c>
      <c r="B629" s="395" t="s">
        <v>906</v>
      </c>
      <c r="C629" s="381" t="s">
        <v>16</v>
      </c>
      <c r="D629" s="383">
        <v>4</v>
      </c>
      <c r="E629" s="384">
        <v>341969</v>
      </c>
      <c r="F629" s="384">
        <f t="shared" si="66"/>
        <v>1367876</v>
      </c>
    </row>
    <row r="630" spans="1:6" s="9" customFormat="1" ht="35.1" customHeight="1" x14ac:dyDescent="0.25">
      <c r="A630" s="381" t="s">
        <v>1347</v>
      </c>
      <c r="B630" s="395" t="s">
        <v>1348</v>
      </c>
      <c r="C630" s="381" t="s">
        <v>16</v>
      </c>
      <c r="D630" s="383">
        <v>2</v>
      </c>
      <c r="E630" s="384">
        <v>2041232</v>
      </c>
      <c r="F630" s="384">
        <f t="shared" si="66"/>
        <v>4082464</v>
      </c>
    </row>
    <row r="631" spans="1:6" s="354" customFormat="1" ht="35.1" customHeight="1" x14ac:dyDescent="0.25">
      <c r="A631" s="389">
        <v>18</v>
      </c>
      <c r="B631" s="390" t="s">
        <v>907</v>
      </c>
      <c r="C631" s="390"/>
      <c r="D631" s="390"/>
      <c r="E631" s="392">
        <v>0</v>
      </c>
      <c r="F631" s="392">
        <f t="shared" si="63"/>
        <v>0</v>
      </c>
    </row>
    <row r="632" spans="1:6" s="357" customFormat="1" ht="35.1" customHeight="1" x14ac:dyDescent="0.25">
      <c r="A632" s="385" t="s">
        <v>908</v>
      </c>
      <c r="B632" s="397" t="s">
        <v>909</v>
      </c>
      <c r="C632" s="397"/>
      <c r="D632" s="385"/>
      <c r="E632" s="388">
        <v>0</v>
      </c>
      <c r="F632" s="388">
        <f t="shared" si="63"/>
        <v>0</v>
      </c>
    </row>
    <row r="633" spans="1:6" s="9" customFormat="1" ht="35.1" customHeight="1" x14ac:dyDescent="0.25">
      <c r="A633" s="396" t="s">
        <v>910</v>
      </c>
      <c r="B633" s="409" t="s">
        <v>911</v>
      </c>
      <c r="C633" s="381" t="s">
        <v>16</v>
      </c>
      <c r="D633" s="383">
        <v>236</v>
      </c>
      <c r="E633" s="384">
        <v>38789</v>
      </c>
      <c r="F633" s="384">
        <f t="shared" ref="F633:F636" si="67">ROUND(D633*E633,2)</f>
        <v>9154204</v>
      </c>
    </row>
    <row r="634" spans="1:6" s="9" customFormat="1" ht="35.1" customHeight="1" x14ac:dyDescent="0.25">
      <c r="A634" s="396" t="s">
        <v>912</v>
      </c>
      <c r="B634" s="395" t="s">
        <v>913</v>
      </c>
      <c r="C634" s="381" t="s">
        <v>16</v>
      </c>
      <c r="D634" s="383">
        <v>52</v>
      </c>
      <c r="E634" s="384">
        <v>38789</v>
      </c>
      <c r="F634" s="384">
        <f t="shared" si="67"/>
        <v>2017028</v>
      </c>
    </row>
    <row r="635" spans="1:6" s="9" customFormat="1" ht="35.1" customHeight="1" x14ac:dyDescent="0.25">
      <c r="A635" s="396" t="s">
        <v>914</v>
      </c>
      <c r="B635" s="395" t="s">
        <v>915</v>
      </c>
      <c r="C635" s="381" t="s">
        <v>16</v>
      </c>
      <c r="D635" s="383">
        <v>236</v>
      </c>
      <c r="E635" s="384">
        <v>10238</v>
      </c>
      <c r="F635" s="384">
        <f t="shared" si="67"/>
        <v>2416168</v>
      </c>
    </row>
    <row r="636" spans="1:6" s="9" customFormat="1" ht="35.1" customHeight="1" x14ac:dyDescent="0.25">
      <c r="A636" s="396" t="s">
        <v>916</v>
      </c>
      <c r="B636" s="395" t="s">
        <v>917</v>
      </c>
      <c r="C636" s="381" t="s">
        <v>16</v>
      </c>
      <c r="D636" s="383">
        <v>236</v>
      </c>
      <c r="E636" s="384">
        <v>46659</v>
      </c>
      <c r="F636" s="384">
        <f t="shared" si="67"/>
        <v>11011524</v>
      </c>
    </row>
    <row r="637" spans="1:6" s="357" customFormat="1" ht="35.1" customHeight="1" x14ac:dyDescent="0.25">
      <c r="A637" s="385" t="s">
        <v>918</v>
      </c>
      <c r="B637" s="397" t="s">
        <v>919</v>
      </c>
      <c r="C637" s="397"/>
      <c r="D637" s="385"/>
      <c r="E637" s="388">
        <v>0</v>
      </c>
      <c r="F637" s="388">
        <f t="shared" si="63"/>
        <v>0</v>
      </c>
    </row>
    <row r="638" spans="1:6" s="9" customFormat="1" ht="35.1" customHeight="1" x14ac:dyDescent="0.25">
      <c r="A638" s="396" t="s">
        <v>920</v>
      </c>
      <c r="B638" s="395" t="s">
        <v>921</v>
      </c>
      <c r="C638" s="381" t="s">
        <v>94</v>
      </c>
      <c r="D638" s="383">
        <v>13012</v>
      </c>
      <c r="E638" s="384">
        <v>4646</v>
      </c>
      <c r="F638" s="384">
        <f>ROUND(D638*E638,2)</f>
        <v>60453752</v>
      </c>
    </row>
    <row r="639" spans="1:6" s="357" customFormat="1" ht="35.1" customHeight="1" x14ac:dyDescent="0.25">
      <c r="A639" s="385" t="s">
        <v>922</v>
      </c>
      <c r="B639" s="397" t="s">
        <v>923</v>
      </c>
      <c r="C639" s="397"/>
      <c r="D639" s="385"/>
      <c r="E639" s="388">
        <v>0</v>
      </c>
      <c r="F639" s="388">
        <f t="shared" si="63"/>
        <v>0</v>
      </c>
    </row>
    <row r="640" spans="1:6" s="9" customFormat="1" ht="35.1" customHeight="1" x14ac:dyDescent="0.25">
      <c r="A640" s="396" t="s">
        <v>924</v>
      </c>
      <c r="B640" s="395" t="s">
        <v>925</v>
      </c>
      <c r="C640" s="381" t="s">
        <v>16</v>
      </c>
      <c r="D640" s="383">
        <v>13</v>
      </c>
      <c r="E640" s="384">
        <v>277168</v>
      </c>
      <c r="F640" s="384">
        <f t="shared" ref="F640:F645" si="68">ROUND(D640*E640,2)</f>
        <v>3603184</v>
      </c>
    </row>
    <row r="641" spans="1:6" s="9" customFormat="1" ht="35.1" customHeight="1" x14ac:dyDescent="0.25">
      <c r="A641" s="396" t="s">
        <v>926</v>
      </c>
      <c r="B641" s="395" t="s">
        <v>927</v>
      </c>
      <c r="C641" s="381" t="s">
        <v>16</v>
      </c>
      <c r="D641" s="383">
        <v>236</v>
      </c>
      <c r="E641" s="384">
        <v>38791</v>
      </c>
      <c r="F641" s="384">
        <f t="shared" si="68"/>
        <v>9154676</v>
      </c>
    </row>
    <row r="642" spans="1:6" s="9" customFormat="1" ht="35.1" customHeight="1" x14ac:dyDescent="0.25">
      <c r="A642" s="396" t="s">
        <v>928</v>
      </c>
      <c r="B642" s="395" t="s">
        <v>929</v>
      </c>
      <c r="C642" s="381" t="s">
        <v>16</v>
      </c>
      <c r="D642" s="383">
        <v>52</v>
      </c>
      <c r="E642" s="384">
        <v>38791</v>
      </c>
      <c r="F642" s="384">
        <f t="shared" si="68"/>
        <v>2017132</v>
      </c>
    </row>
    <row r="643" spans="1:6" s="9" customFormat="1" ht="35.1" customHeight="1" x14ac:dyDescent="0.25">
      <c r="A643" s="396" t="s">
        <v>930</v>
      </c>
      <c r="B643" s="395" t="s">
        <v>931</v>
      </c>
      <c r="C643" s="381" t="s">
        <v>16</v>
      </c>
      <c r="D643" s="383">
        <v>236</v>
      </c>
      <c r="E643" s="384">
        <v>49754</v>
      </c>
      <c r="F643" s="384">
        <f t="shared" si="68"/>
        <v>11741944</v>
      </c>
    </row>
    <row r="644" spans="1:6" s="9" customFormat="1" ht="35.1" customHeight="1" x14ac:dyDescent="0.25">
      <c r="A644" s="396" t="s">
        <v>932</v>
      </c>
      <c r="B644" s="395" t="s">
        <v>933</v>
      </c>
      <c r="C644" s="381" t="s">
        <v>16</v>
      </c>
      <c r="D644" s="383">
        <v>52</v>
      </c>
      <c r="E644" s="384">
        <v>49754</v>
      </c>
      <c r="F644" s="384">
        <f t="shared" si="68"/>
        <v>2587208</v>
      </c>
    </row>
    <row r="645" spans="1:6" s="9" customFormat="1" ht="35.1" customHeight="1" x14ac:dyDescent="0.25">
      <c r="A645" s="396" t="s">
        <v>934</v>
      </c>
      <c r="B645" s="395" t="s">
        <v>935</v>
      </c>
      <c r="C645" s="381" t="s">
        <v>16</v>
      </c>
      <c r="D645" s="383">
        <v>13</v>
      </c>
      <c r="E645" s="384">
        <v>258689</v>
      </c>
      <c r="F645" s="384">
        <f t="shared" si="68"/>
        <v>3362957</v>
      </c>
    </row>
    <row r="646" spans="1:6" s="357" customFormat="1" ht="35.1" customHeight="1" x14ac:dyDescent="0.25">
      <c r="A646" s="385" t="s">
        <v>936</v>
      </c>
      <c r="B646" s="386" t="s">
        <v>937</v>
      </c>
      <c r="C646" s="385"/>
      <c r="D646" s="385"/>
      <c r="E646" s="388">
        <v>0</v>
      </c>
      <c r="F646" s="388">
        <f t="shared" si="63"/>
        <v>0</v>
      </c>
    </row>
    <row r="647" spans="1:6" s="9" customFormat="1" ht="35.1" customHeight="1" x14ac:dyDescent="0.25">
      <c r="A647" s="396" t="s">
        <v>938</v>
      </c>
      <c r="B647" s="395" t="s">
        <v>939</v>
      </c>
      <c r="C647" s="381" t="s">
        <v>16</v>
      </c>
      <c r="D647" s="383">
        <v>2</v>
      </c>
      <c r="E647" s="384">
        <v>600255</v>
      </c>
      <c r="F647" s="384">
        <f t="shared" ref="F647:F649" si="69">ROUND(D647*E647,2)</f>
        <v>1200510</v>
      </c>
    </row>
    <row r="648" spans="1:6" s="9" customFormat="1" ht="35.1" customHeight="1" x14ac:dyDescent="0.25">
      <c r="A648" s="396" t="s">
        <v>940</v>
      </c>
      <c r="B648" s="395" t="s">
        <v>941</v>
      </c>
      <c r="C648" s="381" t="s">
        <v>16</v>
      </c>
      <c r="D648" s="383">
        <v>52</v>
      </c>
      <c r="E648" s="384">
        <v>36459</v>
      </c>
      <c r="F648" s="384">
        <f t="shared" si="69"/>
        <v>1895868</v>
      </c>
    </row>
    <row r="649" spans="1:6" s="9" customFormat="1" ht="35.1" customHeight="1" x14ac:dyDescent="0.25">
      <c r="A649" s="396" t="s">
        <v>942</v>
      </c>
      <c r="B649" s="395" t="s">
        <v>935</v>
      </c>
      <c r="C649" s="381" t="s">
        <v>16</v>
      </c>
      <c r="D649" s="383">
        <v>2</v>
      </c>
      <c r="E649" s="384">
        <v>258689</v>
      </c>
      <c r="F649" s="384">
        <f t="shared" si="69"/>
        <v>517378</v>
      </c>
    </row>
    <row r="650" spans="1:6" s="357" customFormat="1" ht="35.1" customHeight="1" x14ac:dyDescent="0.25">
      <c r="A650" s="385" t="s">
        <v>943</v>
      </c>
      <c r="B650" s="386" t="s">
        <v>944</v>
      </c>
      <c r="C650" s="399"/>
      <c r="D650" s="385"/>
      <c r="E650" s="388">
        <v>0</v>
      </c>
      <c r="F650" s="388">
        <f t="shared" si="63"/>
        <v>0</v>
      </c>
    </row>
    <row r="651" spans="1:6" s="9" customFormat="1" ht="35.1" customHeight="1" x14ac:dyDescent="0.25">
      <c r="A651" s="396" t="s">
        <v>945</v>
      </c>
      <c r="B651" s="395" t="s">
        <v>946</v>
      </c>
      <c r="C651" s="381" t="s">
        <v>94</v>
      </c>
      <c r="D651" s="383">
        <v>44</v>
      </c>
      <c r="E651" s="384">
        <v>20225</v>
      </c>
      <c r="F651" s="384">
        <f t="shared" ref="F651:F653" si="70">ROUND(D651*E651,2)</f>
        <v>889900</v>
      </c>
    </row>
    <row r="652" spans="1:6" s="9" customFormat="1" ht="35.1" customHeight="1" x14ac:dyDescent="0.25">
      <c r="A652" s="396" t="s">
        <v>947</v>
      </c>
      <c r="B652" s="395" t="s">
        <v>948</v>
      </c>
      <c r="C652" s="381" t="s">
        <v>16</v>
      </c>
      <c r="D652" s="383">
        <v>4</v>
      </c>
      <c r="E652" s="384">
        <v>729143</v>
      </c>
      <c r="F652" s="384">
        <f t="shared" si="70"/>
        <v>2916572</v>
      </c>
    </row>
    <row r="653" spans="1:6" s="9" customFormat="1" ht="35.1" customHeight="1" x14ac:dyDescent="0.25">
      <c r="A653" s="396" t="s">
        <v>949</v>
      </c>
      <c r="B653" s="395" t="s">
        <v>950</v>
      </c>
      <c r="C653" s="381" t="s">
        <v>16</v>
      </c>
      <c r="D653" s="383">
        <v>4</v>
      </c>
      <c r="E653" s="384">
        <v>258689</v>
      </c>
      <c r="F653" s="384">
        <f t="shared" si="70"/>
        <v>1034756</v>
      </c>
    </row>
    <row r="654" spans="1:6" s="357" customFormat="1" ht="35.1" customHeight="1" x14ac:dyDescent="0.25">
      <c r="A654" s="385" t="s">
        <v>951</v>
      </c>
      <c r="B654" s="386" t="s">
        <v>952</v>
      </c>
      <c r="C654" s="399"/>
      <c r="D654" s="385"/>
      <c r="E654" s="388">
        <v>0</v>
      </c>
      <c r="F654" s="388">
        <f t="shared" si="63"/>
        <v>0</v>
      </c>
    </row>
    <row r="655" spans="1:6" s="9" customFormat="1" ht="35.1" customHeight="1" x14ac:dyDescent="0.25">
      <c r="A655" s="396" t="s">
        <v>953</v>
      </c>
      <c r="B655" s="395" t="s">
        <v>954</v>
      </c>
      <c r="C655" s="381" t="s">
        <v>16</v>
      </c>
      <c r="D655" s="383">
        <v>4</v>
      </c>
      <c r="E655" s="384">
        <v>4647939</v>
      </c>
      <c r="F655" s="384">
        <f t="shared" ref="F655:F666" si="71">ROUND(D655*E655,2)</f>
        <v>18591756</v>
      </c>
    </row>
    <row r="656" spans="1:6" s="9" customFormat="1" ht="35.1" customHeight="1" x14ac:dyDescent="0.25">
      <c r="A656" s="396" t="s">
        <v>955</v>
      </c>
      <c r="B656" s="395" t="s">
        <v>956</v>
      </c>
      <c r="C656" s="381" t="s">
        <v>16</v>
      </c>
      <c r="D656" s="383">
        <v>8</v>
      </c>
      <c r="E656" s="384">
        <v>597310</v>
      </c>
      <c r="F656" s="384">
        <f t="shared" si="71"/>
        <v>4778480</v>
      </c>
    </row>
    <row r="657" spans="1:6" s="9" customFormat="1" ht="35.1" customHeight="1" x14ac:dyDescent="0.25">
      <c r="A657" s="396" t="s">
        <v>957</v>
      </c>
      <c r="B657" s="395" t="s">
        <v>958</v>
      </c>
      <c r="C657" s="381" t="s">
        <v>16</v>
      </c>
      <c r="D657" s="383">
        <v>4</v>
      </c>
      <c r="E657" s="384">
        <v>517269</v>
      </c>
      <c r="F657" s="384">
        <f t="shared" si="71"/>
        <v>2069076</v>
      </c>
    </row>
    <row r="658" spans="1:6" s="9" customFormat="1" ht="35.1" customHeight="1" x14ac:dyDescent="0.25">
      <c r="A658" s="396" t="s">
        <v>959</v>
      </c>
      <c r="B658" s="395" t="s">
        <v>960</v>
      </c>
      <c r="C658" s="381" t="s">
        <v>94</v>
      </c>
      <c r="D658" s="383">
        <v>40</v>
      </c>
      <c r="E658" s="384">
        <v>4778</v>
      </c>
      <c r="F658" s="384">
        <f t="shared" si="71"/>
        <v>191120</v>
      </c>
    </row>
    <row r="659" spans="1:6" s="9" customFormat="1" ht="35.1" customHeight="1" x14ac:dyDescent="0.25">
      <c r="A659" s="396" t="s">
        <v>961</v>
      </c>
      <c r="B659" s="395" t="s">
        <v>962</v>
      </c>
      <c r="C659" s="396" t="s">
        <v>94</v>
      </c>
      <c r="D659" s="383">
        <v>546</v>
      </c>
      <c r="E659" s="384">
        <v>159138</v>
      </c>
      <c r="F659" s="384">
        <f t="shared" si="71"/>
        <v>86889348</v>
      </c>
    </row>
    <row r="660" spans="1:6" s="9" customFormat="1" ht="35.1" customHeight="1" x14ac:dyDescent="0.25">
      <c r="A660" s="396" t="s">
        <v>963</v>
      </c>
      <c r="B660" s="395" t="s">
        <v>964</v>
      </c>
      <c r="C660" s="381" t="s">
        <v>94</v>
      </c>
      <c r="D660" s="383">
        <v>336</v>
      </c>
      <c r="E660" s="384">
        <v>37705</v>
      </c>
      <c r="F660" s="384">
        <f t="shared" si="71"/>
        <v>12668880</v>
      </c>
    </row>
    <row r="661" spans="1:6" s="9" customFormat="1" ht="35.1" customHeight="1" x14ac:dyDescent="0.25">
      <c r="A661" s="396" t="s">
        <v>965</v>
      </c>
      <c r="B661" s="395" t="s">
        <v>966</v>
      </c>
      <c r="C661" s="381" t="s">
        <v>94</v>
      </c>
      <c r="D661" s="383">
        <v>87</v>
      </c>
      <c r="E661" s="384">
        <v>20823</v>
      </c>
      <c r="F661" s="384">
        <f t="shared" si="71"/>
        <v>1811601</v>
      </c>
    </row>
    <row r="662" spans="1:6" s="9" customFormat="1" ht="35.1" customHeight="1" x14ac:dyDescent="0.25">
      <c r="A662" s="396" t="s">
        <v>967</v>
      </c>
      <c r="B662" s="395" t="s">
        <v>968</v>
      </c>
      <c r="C662" s="381" t="s">
        <v>94</v>
      </c>
      <c r="D662" s="383">
        <v>227</v>
      </c>
      <c r="E662" s="384">
        <v>16549</v>
      </c>
      <c r="F662" s="384">
        <f t="shared" si="71"/>
        <v>3756623</v>
      </c>
    </row>
    <row r="663" spans="1:6" s="9" customFormat="1" ht="35.1" customHeight="1" x14ac:dyDescent="0.25">
      <c r="A663" s="396" t="s">
        <v>969</v>
      </c>
      <c r="B663" s="395" t="s">
        <v>970</v>
      </c>
      <c r="C663" s="381" t="s">
        <v>94</v>
      </c>
      <c r="D663" s="383">
        <v>30</v>
      </c>
      <c r="E663" s="384">
        <v>6098</v>
      </c>
      <c r="F663" s="384">
        <f t="shared" si="71"/>
        <v>182940</v>
      </c>
    </row>
    <row r="664" spans="1:6" s="9" customFormat="1" ht="35.1" customHeight="1" x14ac:dyDescent="0.25">
      <c r="A664" s="396" t="s">
        <v>971</v>
      </c>
      <c r="B664" s="395" t="s">
        <v>972</v>
      </c>
      <c r="C664" s="381" t="s">
        <v>94</v>
      </c>
      <c r="D664" s="383">
        <v>115</v>
      </c>
      <c r="E664" s="384">
        <v>4906</v>
      </c>
      <c r="F664" s="384">
        <f t="shared" si="71"/>
        <v>564190</v>
      </c>
    </row>
    <row r="665" spans="1:6" s="9" customFormat="1" ht="35.1" customHeight="1" x14ac:dyDescent="0.25">
      <c r="A665" s="396" t="s">
        <v>973</v>
      </c>
      <c r="B665" s="395" t="s">
        <v>974</v>
      </c>
      <c r="C665" s="381" t="s">
        <v>16</v>
      </c>
      <c r="D665" s="383">
        <v>6</v>
      </c>
      <c r="E665" s="384">
        <v>795658</v>
      </c>
      <c r="F665" s="384">
        <f t="shared" si="71"/>
        <v>4773948</v>
      </c>
    </row>
    <row r="666" spans="1:6" s="9" customFormat="1" ht="35.1" customHeight="1" x14ac:dyDescent="0.25">
      <c r="A666" s="396" t="s">
        <v>975</v>
      </c>
      <c r="B666" s="395" t="s">
        <v>976</v>
      </c>
      <c r="C666" s="381" t="s">
        <v>16</v>
      </c>
      <c r="D666" s="383">
        <v>8</v>
      </c>
      <c r="E666" s="384">
        <v>13339</v>
      </c>
      <c r="F666" s="384">
        <f t="shared" si="71"/>
        <v>106712</v>
      </c>
    </row>
    <row r="667" spans="1:6" s="357" customFormat="1" ht="35.1" customHeight="1" x14ac:dyDescent="0.25">
      <c r="A667" s="385" t="s">
        <v>977</v>
      </c>
      <c r="B667" s="397" t="s">
        <v>978</v>
      </c>
      <c r="C667" s="397"/>
      <c r="D667" s="385"/>
      <c r="E667" s="388">
        <v>0</v>
      </c>
      <c r="F667" s="388">
        <f t="shared" ref="F667:F715" si="72">D667*E667</f>
        <v>0</v>
      </c>
    </row>
    <row r="668" spans="1:6" s="9" customFormat="1" ht="35.1" customHeight="1" x14ac:dyDescent="0.25">
      <c r="A668" s="396" t="s">
        <v>979</v>
      </c>
      <c r="B668" s="395" t="s">
        <v>980</v>
      </c>
      <c r="C668" s="381" t="s">
        <v>16</v>
      </c>
      <c r="D668" s="383">
        <v>4</v>
      </c>
      <c r="E668" s="384">
        <v>66277</v>
      </c>
      <c r="F668" s="384">
        <f t="shared" ref="F668:F671" si="73">ROUND(D668*E668,2)</f>
        <v>265108</v>
      </c>
    </row>
    <row r="669" spans="1:6" s="9" customFormat="1" ht="35.1" customHeight="1" x14ac:dyDescent="0.25">
      <c r="A669" s="396" t="s">
        <v>981</v>
      </c>
      <c r="B669" s="395" t="s">
        <v>982</v>
      </c>
      <c r="C669" s="381" t="s">
        <v>94</v>
      </c>
      <c r="D669" s="383">
        <v>4</v>
      </c>
      <c r="E669" s="384">
        <v>6676</v>
      </c>
      <c r="F669" s="384">
        <f t="shared" si="73"/>
        <v>26704</v>
      </c>
    </row>
    <row r="670" spans="1:6" s="9" customFormat="1" ht="35.1" customHeight="1" x14ac:dyDescent="0.25">
      <c r="A670" s="396" t="s">
        <v>983</v>
      </c>
      <c r="B670" s="395" t="s">
        <v>984</v>
      </c>
      <c r="C670" s="381" t="s">
        <v>94</v>
      </c>
      <c r="D670" s="383">
        <v>4</v>
      </c>
      <c r="E670" s="384">
        <v>6676</v>
      </c>
      <c r="F670" s="384">
        <f t="shared" si="73"/>
        <v>26704</v>
      </c>
    </row>
    <row r="671" spans="1:6" s="9" customFormat="1" ht="35.1" customHeight="1" x14ac:dyDescent="0.25">
      <c r="A671" s="396" t="s">
        <v>985</v>
      </c>
      <c r="B671" s="395" t="s">
        <v>986</v>
      </c>
      <c r="C671" s="381" t="s">
        <v>16</v>
      </c>
      <c r="D671" s="383">
        <v>4</v>
      </c>
      <c r="E671" s="384">
        <v>653034</v>
      </c>
      <c r="F671" s="384">
        <f t="shared" si="73"/>
        <v>2612136</v>
      </c>
    </row>
    <row r="672" spans="1:6" s="357" customFormat="1" ht="35.1" customHeight="1" x14ac:dyDescent="0.25">
      <c r="A672" s="385" t="s">
        <v>987</v>
      </c>
      <c r="B672" s="397" t="s">
        <v>988</v>
      </c>
      <c r="C672" s="397"/>
      <c r="D672" s="385"/>
      <c r="E672" s="388">
        <v>0</v>
      </c>
      <c r="F672" s="388">
        <f t="shared" si="72"/>
        <v>0</v>
      </c>
    </row>
    <row r="673" spans="1:6" s="9" customFormat="1" ht="35.1" customHeight="1" x14ac:dyDescent="0.25">
      <c r="A673" s="381" t="s">
        <v>989</v>
      </c>
      <c r="B673" s="395" t="s">
        <v>990</v>
      </c>
      <c r="C673" s="381" t="s">
        <v>16</v>
      </c>
      <c r="D673" s="383">
        <v>14</v>
      </c>
      <c r="E673" s="384">
        <v>7577896</v>
      </c>
      <c r="F673" s="384">
        <f t="shared" ref="F673:F674" si="74">ROUND(D673*E673,2)</f>
        <v>106090544</v>
      </c>
    </row>
    <row r="674" spans="1:6" s="9" customFormat="1" ht="35.1" customHeight="1" x14ac:dyDescent="0.25">
      <c r="A674" s="381" t="s">
        <v>991</v>
      </c>
      <c r="B674" s="395" t="s">
        <v>992</v>
      </c>
      <c r="C674" s="381" t="s">
        <v>16</v>
      </c>
      <c r="D674" s="383">
        <v>1</v>
      </c>
      <c r="E674" s="384">
        <v>868392</v>
      </c>
      <c r="F674" s="384">
        <f t="shared" si="74"/>
        <v>868392</v>
      </c>
    </row>
    <row r="675" spans="1:6" s="354" customFormat="1" ht="35.1" customHeight="1" x14ac:dyDescent="0.25">
      <c r="A675" s="389">
        <v>19</v>
      </c>
      <c r="B675" s="390" t="s">
        <v>993</v>
      </c>
      <c r="C675" s="390"/>
      <c r="D675" s="390"/>
      <c r="E675" s="392">
        <v>0</v>
      </c>
      <c r="F675" s="392">
        <f t="shared" si="72"/>
        <v>0</v>
      </c>
    </row>
    <row r="676" spans="1:6" s="357" customFormat="1" ht="35.1" customHeight="1" x14ac:dyDescent="0.25">
      <c r="A676" s="385" t="s">
        <v>1349</v>
      </c>
      <c r="B676" s="386" t="s">
        <v>1350</v>
      </c>
      <c r="C676" s="399"/>
      <c r="D676" s="385"/>
      <c r="E676" s="388">
        <v>0</v>
      </c>
      <c r="F676" s="388">
        <f t="shared" si="72"/>
        <v>0</v>
      </c>
    </row>
    <row r="677" spans="1:6" s="9" customFormat="1" ht="35.1" customHeight="1" x14ac:dyDescent="0.25">
      <c r="A677" s="396" t="s">
        <v>1351</v>
      </c>
      <c r="B677" s="395" t="s">
        <v>1352</v>
      </c>
      <c r="C677" s="381" t="s">
        <v>16</v>
      </c>
      <c r="D677" s="383">
        <v>10</v>
      </c>
      <c r="E677" s="384">
        <v>1300731</v>
      </c>
      <c r="F677" s="384">
        <f t="shared" ref="F677:F683" si="75">ROUND(D677*E677,2)</f>
        <v>13007310</v>
      </c>
    </row>
    <row r="678" spans="1:6" s="9" customFormat="1" ht="35.1" customHeight="1" x14ac:dyDescent="0.25">
      <c r="A678" s="396" t="s">
        <v>1353</v>
      </c>
      <c r="B678" s="395" t="s">
        <v>1354</v>
      </c>
      <c r="C678" s="381" t="s">
        <v>16</v>
      </c>
      <c r="D678" s="383">
        <v>19</v>
      </c>
      <c r="E678" s="384">
        <v>1764671</v>
      </c>
      <c r="F678" s="384">
        <f t="shared" si="75"/>
        <v>33528749</v>
      </c>
    </row>
    <row r="679" spans="1:6" s="9" customFormat="1" ht="35.1" customHeight="1" x14ac:dyDescent="0.25">
      <c r="A679" s="396" t="s">
        <v>1355</v>
      </c>
      <c r="B679" s="395" t="s">
        <v>1356</v>
      </c>
      <c r="C679" s="381" t="s">
        <v>16</v>
      </c>
      <c r="D679" s="383">
        <v>2</v>
      </c>
      <c r="E679" s="384">
        <v>3798271</v>
      </c>
      <c r="F679" s="384">
        <f t="shared" si="75"/>
        <v>7596542</v>
      </c>
    </row>
    <row r="680" spans="1:6" s="9" customFormat="1" ht="35.1" customHeight="1" x14ac:dyDescent="0.25">
      <c r="A680" s="396" t="s">
        <v>1357</v>
      </c>
      <c r="B680" s="395" t="s">
        <v>1358</v>
      </c>
      <c r="C680" s="381" t="s">
        <v>16</v>
      </c>
      <c r="D680" s="383">
        <v>29</v>
      </c>
      <c r="E680" s="384">
        <v>372012</v>
      </c>
      <c r="F680" s="384">
        <f t="shared" si="75"/>
        <v>10788348</v>
      </c>
    </row>
    <row r="681" spans="1:6" s="9" customFormat="1" ht="35.1" customHeight="1" x14ac:dyDescent="0.25">
      <c r="A681" s="396" t="s">
        <v>1359</v>
      </c>
      <c r="B681" s="395" t="s">
        <v>1360</v>
      </c>
      <c r="C681" s="381" t="s">
        <v>16</v>
      </c>
      <c r="D681" s="383">
        <v>2</v>
      </c>
      <c r="E681" s="384">
        <v>8653903</v>
      </c>
      <c r="F681" s="384">
        <f t="shared" si="75"/>
        <v>17307806</v>
      </c>
    </row>
    <row r="682" spans="1:6" s="9" customFormat="1" ht="35.1" customHeight="1" x14ac:dyDescent="0.25">
      <c r="A682" s="396" t="s">
        <v>1361</v>
      </c>
      <c r="B682" s="395" t="s">
        <v>1362</v>
      </c>
      <c r="C682" s="381" t="s">
        <v>16</v>
      </c>
      <c r="D682" s="383">
        <v>2</v>
      </c>
      <c r="E682" s="384">
        <v>9206371</v>
      </c>
      <c r="F682" s="384">
        <f t="shared" si="75"/>
        <v>18412742</v>
      </c>
    </row>
    <row r="683" spans="1:6" s="9" customFormat="1" ht="35.1" customHeight="1" x14ac:dyDescent="0.25">
      <c r="A683" s="396" t="s">
        <v>1363</v>
      </c>
      <c r="B683" s="382" t="s">
        <v>1425</v>
      </c>
      <c r="C683" s="381" t="s">
        <v>1182</v>
      </c>
      <c r="D683" s="383">
        <v>1</v>
      </c>
      <c r="E683" s="384">
        <v>2947741</v>
      </c>
      <c r="F683" s="384">
        <f t="shared" si="75"/>
        <v>2947741</v>
      </c>
    </row>
    <row r="684" spans="1:6" s="357" customFormat="1" ht="35.1" customHeight="1" x14ac:dyDescent="0.25">
      <c r="A684" s="385" t="s">
        <v>1365</v>
      </c>
      <c r="B684" s="386" t="s">
        <v>1366</v>
      </c>
      <c r="C684" s="399"/>
      <c r="D684" s="385"/>
      <c r="E684" s="388">
        <v>0</v>
      </c>
      <c r="F684" s="388">
        <f t="shared" si="72"/>
        <v>0</v>
      </c>
    </row>
    <row r="685" spans="1:6" s="9" customFormat="1" ht="35.1" customHeight="1" x14ac:dyDescent="0.25">
      <c r="A685" s="396" t="s">
        <v>1367</v>
      </c>
      <c r="B685" s="395" t="s">
        <v>1368</v>
      </c>
      <c r="C685" s="381" t="s">
        <v>16</v>
      </c>
      <c r="D685" s="383">
        <v>19</v>
      </c>
      <c r="E685" s="384">
        <v>239010</v>
      </c>
      <c r="F685" s="384">
        <f t="shared" ref="F685:F694" si="76">ROUND(D685*E685,2)</f>
        <v>4541190</v>
      </c>
    </row>
    <row r="686" spans="1:6" s="9" customFormat="1" ht="35.1" customHeight="1" x14ac:dyDescent="0.25">
      <c r="A686" s="396" t="s">
        <v>1369</v>
      </c>
      <c r="B686" s="395" t="s">
        <v>1370</v>
      </c>
      <c r="C686" s="381" t="s">
        <v>16</v>
      </c>
      <c r="D686" s="383">
        <v>16</v>
      </c>
      <c r="E686" s="384">
        <v>1749766</v>
      </c>
      <c r="F686" s="384">
        <f t="shared" si="76"/>
        <v>27996256</v>
      </c>
    </row>
    <row r="687" spans="1:6" s="9" customFormat="1" ht="35.1" customHeight="1" x14ac:dyDescent="0.25">
      <c r="A687" s="396" t="s">
        <v>1371</v>
      </c>
      <c r="B687" s="395" t="s">
        <v>1372</v>
      </c>
      <c r="C687" s="381" t="s">
        <v>16</v>
      </c>
      <c r="D687" s="383">
        <v>18</v>
      </c>
      <c r="E687" s="384">
        <v>369970</v>
      </c>
      <c r="F687" s="384">
        <f t="shared" si="76"/>
        <v>6659460</v>
      </c>
    </row>
    <row r="688" spans="1:6" s="9" customFormat="1" ht="35.1" customHeight="1" x14ac:dyDescent="0.25">
      <c r="A688" s="396" t="s">
        <v>1373</v>
      </c>
      <c r="B688" s="395" t="s">
        <v>1374</v>
      </c>
      <c r="C688" s="381" t="s">
        <v>16</v>
      </c>
      <c r="D688" s="383">
        <v>20</v>
      </c>
      <c r="E688" s="384">
        <v>463499</v>
      </c>
      <c r="F688" s="384">
        <f t="shared" si="76"/>
        <v>9269980</v>
      </c>
    </row>
    <row r="689" spans="1:6" s="9" customFormat="1" ht="35.1" customHeight="1" x14ac:dyDescent="0.25">
      <c r="A689" s="396" t="s">
        <v>1375</v>
      </c>
      <c r="B689" s="395" t="s">
        <v>1376</v>
      </c>
      <c r="C689" s="381" t="s">
        <v>16</v>
      </c>
      <c r="D689" s="383">
        <v>14</v>
      </c>
      <c r="E689" s="384">
        <v>12635</v>
      </c>
      <c r="F689" s="384">
        <f t="shared" si="76"/>
        <v>176890</v>
      </c>
    </row>
    <row r="690" spans="1:6" s="9" customFormat="1" ht="35.1" customHeight="1" x14ac:dyDescent="0.25">
      <c r="A690" s="396" t="s">
        <v>1377</v>
      </c>
      <c r="B690" s="395" t="s">
        <v>976</v>
      </c>
      <c r="C690" s="381" t="s">
        <v>16</v>
      </c>
      <c r="D690" s="383">
        <v>18</v>
      </c>
      <c r="E690" s="384">
        <v>13339</v>
      </c>
      <c r="F690" s="384">
        <f t="shared" si="76"/>
        <v>240102</v>
      </c>
    </row>
    <row r="691" spans="1:6" s="9" customFormat="1" ht="35.1" customHeight="1" x14ac:dyDescent="0.25">
      <c r="A691" s="396" t="s">
        <v>1378</v>
      </c>
      <c r="B691" s="395" t="s">
        <v>1379</v>
      </c>
      <c r="C691" s="381" t="s">
        <v>16</v>
      </c>
      <c r="D691" s="383">
        <v>2</v>
      </c>
      <c r="E691" s="384">
        <v>6009629</v>
      </c>
      <c r="F691" s="384">
        <f t="shared" si="76"/>
        <v>12019258</v>
      </c>
    </row>
    <row r="692" spans="1:6" s="9" customFormat="1" ht="35.1" customHeight="1" x14ac:dyDescent="0.25">
      <c r="A692" s="396" t="s">
        <v>1380</v>
      </c>
      <c r="B692" s="395" t="s">
        <v>1381</v>
      </c>
      <c r="C692" s="381" t="s">
        <v>16</v>
      </c>
      <c r="D692" s="383">
        <v>2</v>
      </c>
      <c r="E692" s="384">
        <v>5741736</v>
      </c>
      <c r="F692" s="384">
        <f t="shared" si="76"/>
        <v>11483472</v>
      </c>
    </row>
    <row r="693" spans="1:6" s="9" customFormat="1" ht="35.1" customHeight="1" x14ac:dyDescent="0.25">
      <c r="A693" s="396" t="s">
        <v>1382</v>
      </c>
      <c r="B693" s="395" t="s">
        <v>1383</v>
      </c>
      <c r="C693" s="381" t="s">
        <v>16</v>
      </c>
      <c r="D693" s="383">
        <v>2</v>
      </c>
      <c r="E693" s="384">
        <v>3798271</v>
      </c>
      <c r="F693" s="384">
        <f t="shared" si="76"/>
        <v>7596542</v>
      </c>
    </row>
    <row r="694" spans="1:6" s="9" customFormat="1" ht="41.25" customHeight="1" x14ac:dyDescent="0.25">
      <c r="A694" s="396" t="s">
        <v>1384</v>
      </c>
      <c r="B694" s="382" t="s">
        <v>1426</v>
      </c>
      <c r="C694" s="381" t="s">
        <v>1182</v>
      </c>
      <c r="D694" s="383">
        <v>1</v>
      </c>
      <c r="E694" s="384">
        <v>2947741</v>
      </c>
      <c r="F694" s="384">
        <f t="shared" si="76"/>
        <v>2947741</v>
      </c>
    </row>
    <row r="695" spans="1:6" s="357" customFormat="1" ht="35.1" customHeight="1" x14ac:dyDescent="0.25">
      <c r="A695" s="385" t="s">
        <v>994</v>
      </c>
      <c r="B695" s="386" t="s">
        <v>995</v>
      </c>
      <c r="C695" s="399"/>
      <c r="D695" s="385"/>
      <c r="E695" s="388">
        <v>0</v>
      </c>
      <c r="F695" s="388">
        <f t="shared" si="72"/>
        <v>0</v>
      </c>
    </row>
    <row r="696" spans="1:6" s="9" customFormat="1" ht="35.1" customHeight="1" x14ac:dyDescent="0.25">
      <c r="A696" s="396" t="s">
        <v>996</v>
      </c>
      <c r="B696" s="395" t="s">
        <v>997</v>
      </c>
      <c r="C696" s="381" t="s">
        <v>16</v>
      </c>
      <c r="D696" s="383">
        <v>11</v>
      </c>
      <c r="E696" s="384">
        <v>519196</v>
      </c>
      <c r="F696" s="384">
        <f t="shared" ref="F696:F705" si="77">ROUND(D696*E696,2)</f>
        <v>5711156</v>
      </c>
    </row>
    <row r="697" spans="1:6" s="9" customFormat="1" ht="35.1" customHeight="1" x14ac:dyDescent="0.25">
      <c r="A697" s="396" t="s">
        <v>998</v>
      </c>
      <c r="B697" s="87" t="s">
        <v>999</v>
      </c>
      <c r="C697" s="381" t="s">
        <v>16</v>
      </c>
      <c r="D697" s="383">
        <v>11</v>
      </c>
      <c r="E697" s="384">
        <v>371546</v>
      </c>
      <c r="F697" s="384">
        <f t="shared" si="77"/>
        <v>4087006</v>
      </c>
    </row>
    <row r="698" spans="1:6" s="9" customFormat="1" ht="35.1" customHeight="1" x14ac:dyDescent="0.25">
      <c r="A698" s="396" t="s">
        <v>1000</v>
      </c>
      <c r="B698" s="395" t="s">
        <v>1001</v>
      </c>
      <c r="C698" s="381" t="s">
        <v>16</v>
      </c>
      <c r="D698" s="383">
        <v>142</v>
      </c>
      <c r="E698" s="384">
        <v>417939</v>
      </c>
      <c r="F698" s="384">
        <f t="shared" si="77"/>
        <v>59347338</v>
      </c>
    </row>
    <row r="699" spans="1:6" s="9" customFormat="1" ht="35.1" customHeight="1" x14ac:dyDescent="0.25">
      <c r="A699" s="396" t="s">
        <v>1002</v>
      </c>
      <c r="B699" s="87" t="s">
        <v>1003</v>
      </c>
      <c r="C699" s="381" t="s">
        <v>16</v>
      </c>
      <c r="D699" s="383">
        <v>8</v>
      </c>
      <c r="E699" s="384">
        <v>391429</v>
      </c>
      <c r="F699" s="384">
        <f t="shared" si="77"/>
        <v>3131432</v>
      </c>
    </row>
    <row r="700" spans="1:6" s="9" customFormat="1" ht="35.1" customHeight="1" x14ac:dyDescent="0.25">
      <c r="A700" s="396" t="s">
        <v>1004</v>
      </c>
      <c r="B700" s="395" t="s">
        <v>1005</v>
      </c>
      <c r="C700" s="381" t="s">
        <v>16</v>
      </c>
      <c r="D700" s="383">
        <v>7</v>
      </c>
      <c r="E700" s="384">
        <v>413209</v>
      </c>
      <c r="F700" s="384">
        <f t="shared" si="77"/>
        <v>2892463</v>
      </c>
    </row>
    <row r="701" spans="1:6" s="9" customFormat="1" ht="35.1" customHeight="1" x14ac:dyDescent="0.25">
      <c r="A701" s="396" t="s">
        <v>1006</v>
      </c>
      <c r="B701" s="395" t="s">
        <v>1007</v>
      </c>
      <c r="C701" s="381" t="s">
        <v>16</v>
      </c>
      <c r="D701" s="383">
        <v>2</v>
      </c>
      <c r="E701" s="384">
        <v>8678611</v>
      </c>
      <c r="F701" s="384">
        <f t="shared" si="77"/>
        <v>17357222</v>
      </c>
    </row>
    <row r="702" spans="1:6" s="9" customFormat="1" ht="35.1" customHeight="1" x14ac:dyDescent="0.25">
      <c r="A702" s="396" t="s">
        <v>1008</v>
      </c>
      <c r="B702" s="395" t="s">
        <v>1009</v>
      </c>
      <c r="C702" s="381" t="s">
        <v>94</v>
      </c>
      <c r="D702" s="383">
        <v>1773</v>
      </c>
      <c r="E702" s="384">
        <v>5434</v>
      </c>
      <c r="F702" s="384">
        <f t="shared" si="77"/>
        <v>9634482</v>
      </c>
    </row>
    <row r="703" spans="1:6" s="9" customFormat="1" ht="35.1" customHeight="1" x14ac:dyDescent="0.25">
      <c r="A703" s="396" t="s">
        <v>1010</v>
      </c>
      <c r="B703" s="395" t="s">
        <v>968</v>
      </c>
      <c r="C703" s="381" t="s">
        <v>94</v>
      </c>
      <c r="D703" s="383">
        <v>1310</v>
      </c>
      <c r="E703" s="384">
        <v>16549</v>
      </c>
      <c r="F703" s="384">
        <f t="shared" si="77"/>
        <v>21679190</v>
      </c>
    </row>
    <row r="704" spans="1:6" s="9" customFormat="1" ht="35.1" customHeight="1" x14ac:dyDescent="0.25">
      <c r="A704" s="396" t="s">
        <v>1011</v>
      </c>
      <c r="B704" s="395" t="s">
        <v>972</v>
      </c>
      <c r="C704" s="381" t="s">
        <v>94</v>
      </c>
      <c r="D704" s="383">
        <v>22</v>
      </c>
      <c r="E704" s="384">
        <v>4906</v>
      </c>
      <c r="F704" s="384">
        <f t="shared" si="77"/>
        <v>107932</v>
      </c>
    </row>
    <row r="705" spans="1:6" s="9" customFormat="1" ht="35.1" customHeight="1" x14ac:dyDescent="0.25">
      <c r="A705" s="396" t="s">
        <v>1012</v>
      </c>
      <c r="B705" s="395" t="s">
        <v>976</v>
      </c>
      <c r="C705" s="381" t="s">
        <v>16</v>
      </c>
      <c r="D705" s="383">
        <v>32</v>
      </c>
      <c r="E705" s="384">
        <v>13339</v>
      </c>
      <c r="F705" s="384">
        <f t="shared" si="77"/>
        <v>426848</v>
      </c>
    </row>
    <row r="706" spans="1:6" s="357" customFormat="1" ht="35.1" customHeight="1" x14ac:dyDescent="0.25">
      <c r="A706" s="385" t="s">
        <v>1387</v>
      </c>
      <c r="B706" s="386" t="s">
        <v>1388</v>
      </c>
      <c r="C706" s="399"/>
      <c r="D706" s="385"/>
      <c r="E706" s="388">
        <v>0</v>
      </c>
      <c r="F706" s="388">
        <f t="shared" si="72"/>
        <v>0</v>
      </c>
    </row>
    <row r="707" spans="1:6" s="9" customFormat="1" ht="35.1" customHeight="1" x14ac:dyDescent="0.25">
      <c r="A707" s="396" t="s">
        <v>1389</v>
      </c>
      <c r="B707" s="395" t="s">
        <v>1390</v>
      </c>
      <c r="C707" s="381" t="s">
        <v>16</v>
      </c>
      <c r="D707" s="383">
        <v>64</v>
      </c>
      <c r="E707" s="384">
        <v>397816</v>
      </c>
      <c r="F707" s="384">
        <f t="shared" ref="F707:F714" si="78">ROUND(D707*E707,2)</f>
        <v>25460224</v>
      </c>
    </row>
    <row r="708" spans="1:6" s="9" customFormat="1" ht="35.1" customHeight="1" x14ac:dyDescent="0.25">
      <c r="A708" s="396" t="s">
        <v>1391</v>
      </c>
      <c r="B708" s="395" t="s">
        <v>1392</v>
      </c>
      <c r="C708" s="381" t="s">
        <v>16</v>
      </c>
      <c r="D708" s="383">
        <v>2</v>
      </c>
      <c r="E708" s="384">
        <v>9215604</v>
      </c>
      <c r="F708" s="384">
        <f t="shared" si="78"/>
        <v>18431208</v>
      </c>
    </row>
    <row r="709" spans="1:6" s="9" customFormat="1" ht="35.1" customHeight="1" x14ac:dyDescent="0.25">
      <c r="A709" s="396" t="s">
        <v>1393</v>
      </c>
      <c r="B709" s="395" t="s">
        <v>1394</v>
      </c>
      <c r="C709" s="381" t="s">
        <v>16</v>
      </c>
      <c r="D709" s="383">
        <v>2</v>
      </c>
      <c r="E709" s="384">
        <v>17067607</v>
      </c>
      <c r="F709" s="384">
        <f t="shared" si="78"/>
        <v>34135214</v>
      </c>
    </row>
    <row r="710" spans="1:6" s="9" customFormat="1" ht="35.1" customHeight="1" x14ac:dyDescent="0.25">
      <c r="A710" s="396" t="s">
        <v>1395</v>
      </c>
      <c r="B710" s="395" t="s">
        <v>1396</v>
      </c>
      <c r="C710" s="381" t="s">
        <v>16</v>
      </c>
      <c r="D710" s="383">
        <v>2</v>
      </c>
      <c r="E710" s="384">
        <v>1693853</v>
      </c>
      <c r="F710" s="384">
        <f t="shared" si="78"/>
        <v>3387706</v>
      </c>
    </row>
    <row r="711" spans="1:6" s="9" customFormat="1" ht="35.1" customHeight="1" x14ac:dyDescent="0.25">
      <c r="A711" s="396" t="s">
        <v>1397</v>
      </c>
      <c r="B711" s="395" t="s">
        <v>968</v>
      </c>
      <c r="C711" s="381" t="s">
        <v>94</v>
      </c>
      <c r="D711" s="383">
        <v>159</v>
      </c>
      <c r="E711" s="384">
        <v>16549</v>
      </c>
      <c r="F711" s="384">
        <f t="shared" si="78"/>
        <v>2631291</v>
      </c>
    </row>
    <row r="712" spans="1:6" s="9" customFormat="1" ht="35.1" customHeight="1" x14ac:dyDescent="0.25">
      <c r="A712" s="396" t="s">
        <v>1398</v>
      </c>
      <c r="B712" s="395" t="s">
        <v>976</v>
      </c>
      <c r="C712" s="381" t="s">
        <v>16</v>
      </c>
      <c r="D712" s="383">
        <v>4</v>
      </c>
      <c r="E712" s="384">
        <v>13339</v>
      </c>
      <c r="F712" s="384">
        <f t="shared" si="78"/>
        <v>53356</v>
      </c>
    </row>
    <row r="713" spans="1:6" s="9" customFormat="1" ht="35.1" customHeight="1" x14ac:dyDescent="0.25">
      <c r="A713" s="396" t="s">
        <v>1399</v>
      </c>
      <c r="B713" s="395" t="s">
        <v>1400</v>
      </c>
      <c r="C713" s="396" t="s">
        <v>94</v>
      </c>
      <c r="D713" s="383">
        <v>2380</v>
      </c>
      <c r="E713" s="384">
        <v>8683</v>
      </c>
      <c r="F713" s="384">
        <f t="shared" si="78"/>
        <v>20665540</v>
      </c>
    </row>
    <row r="714" spans="1:6" s="9" customFormat="1" ht="35.1" customHeight="1" x14ac:dyDescent="0.25">
      <c r="A714" s="396" t="s">
        <v>1401</v>
      </c>
      <c r="B714" s="382" t="s">
        <v>1427</v>
      </c>
      <c r="C714" s="381" t="s">
        <v>1182</v>
      </c>
      <c r="D714" s="383">
        <v>1</v>
      </c>
      <c r="E714" s="384">
        <v>2947741</v>
      </c>
      <c r="F714" s="384">
        <f t="shared" si="78"/>
        <v>2947741</v>
      </c>
    </row>
    <row r="715" spans="1:6" s="354" customFormat="1" ht="35.1" customHeight="1" x14ac:dyDescent="0.25">
      <c r="A715" s="389">
        <v>20</v>
      </c>
      <c r="B715" s="390" t="s">
        <v>1013</v>
      </c>
      <c r="C715" s="390"/>
      <c r="D715" s="390"/>
      <c r="E715" s="392">
        <v>0</v>
      </c>
      <c r="F715" s="392">
        <f t="shared" si="72"/>
        <v>0</v>
      </c>
    </row>
    <row r="716" spans="1:6" s="9" customFormat="1" ht="35.1" customHeight="1" x14ac:dyDescent="0.25">
      <c r="A716" s="396">
        <v>20.100000000000001</v>
      </c>
      <c r="B716" s="395" t="s">
        <v>1015</v>
      </c>
      <c r="C716" s="381" t="s">
        <v>13</v>
      </c>
      <c r="D716" s="383">
        <v>600</v>
      </c>
      <c r="E716" s="384">
        <v>23747</v>
      </c>
      <c r="F716" s="384">
        <f t="shared" ref="F716:F724" si="79">ROUND(D716*E716,2)</f>
        <v>14248200</v>
      </c>
    </row>
    <row r="717" spans="1:6" s="9" customFormat="1" ht="35.1" customHeight="1" x14ac:dyDescent="0.25">
      <c r="A717" s="396">
        <v>20.2</v>
      </c>
      <c r="B717" s="395" t="s">
        <v>1017</v>
      </c>
      <c r="C717" s="381" t="s">
        <v>13</v>
      </c>
      <c r="D717" s="383">
        <v>600</v>
      </c>
      <c r="E717" s="384">
        <v>20246</v>
      </c>
      <c r="F717" s="384">
        <f t="shared" si="79"/>
        <v>12147600</v>
      </c>
    </row>
    <row r="718" spans="1:6" s="9" customFormat="1" ht="35.1" customHeight="1" x14ac:dyDescent="0.25">
      <c r="A718" s="396">
        <v>20.3</v>
      </c>
      <c r="B718" s="395" t="s">
        <v>1019</v>
      </c>
      <c r="C718" s="381" t="s">
        <v>94</v>
      </c>
      <c r="D718" s="383">
        <v>1500</v>
      </c>
      <c r="E718" s="384">
        <v>7314</v>
      </c>
      <c r="F718" s="384">
        <f t="shared" si="79"/>
        <v>10971000</v>
      </c>
    </row>
    <row r="719" spans="1:6" s="9" customFormat="1" ht="35.1" customHeight="1" x14ac:dyDescent="0.25">
      <c r="A719" s="396">
        <v>20.399999999999999</v>
      </c>
      <c r="B719" s="395" t="s">
        <v>1021</v>
      </c>
      <c r="C719" s="381" t="s">
        <v>13</v>
      </c>
      <c r="D719" s="383">
        <v>100</v>
      </c>
      <c r="E719" s="384">
        <v>154358</v>
      </c>
      <c r="F719" s="384">
        <f t="shared" si="79"/>
        <v>15435800</v>
      </c>
    </row>
    <row r="720" spans="1:6" s="9" customFormat="1" ht="35.1" customHeight="1" x14ac:dyDescent="0.25">
      <c r="A720" s="396">
        <v>20.5</v>
      </c>
      <c r="B720" s="395" t="s">
        <v>1023</v>
      </c>
      <c r="C720" s="381" t="s">
        <v>55</v>
      </c>
      <c r="D720" s="383">
        <v>1072.0999999999999</v>
      </c>
      <c r="E720" s="384">
        <v>12844</v>
      </c>
      <c r="F720" s="384">
        <f t="shared" si="79"/>
        <v>13770052.4</v>
      </c>
    </row>
    <row r="721" spans="1:6" s="9" customFormat="1" ht="43.15" customHeight="1" x14ac:dyDescent="0.25">
      <c r="A721" s="396">
        <v>20.6</v>
      </c>
      <c r="B721" s="395" t="s">
        <v>1025</v>
      </c>
      <c r="C721" s="381" t="s">
        <v>16</v>
      </c>
      <c r="D721" s="383">
        <v>793</v>
      </c>
      <c r="E721" s="384">
        <v>16829</v>
      </c>
      <c r="F721" s="384">
        <f t="shared" si="79"/>
        <v>13345397</v>
      </c>
    </row>
    <row r="722" spans="1:6" s="9" customFormat="1" ht="42.6" customHeight="1" x14ac:dyDescent="0.25">
      <c r="A722" s="396">
        <v>20.7</v>
      </c>
      <c r="B722" s="395" t="s">
        <v>1027</v>
      </c>
      <c r="C722" s="381" t="s">
        <v>13</v>
      </c>
      <c r="D722" s="383">
        <v>40</v>
      </c>
      <c r="E722" s="384">
        <v>107259</v>
      </c>
      <c r="F722" s="384">
        <f t="shared" si="79"/>
        <v>4290360</v>
      </c>
    </row>
    <row r="723" spans="1:6" s="9" customFormat="1" ht="35.1" customHeight="1" x14ac:dyDescent="0.25">
      <c r="A723" s="396">
        <v>20.8</v>
      </c>
      <c r="B723" s="395" t="s">
        <v>1029</v>
      </c>
      <c r="C723" s="381" t="s">
        <v>13</v>
      </c>
      <c r="D723" s="383">
        <v>1316</v>
      </c>
      <c r="E723" s="384">
        <v>163720</v>
      </c>
      <c r="F723" s="384">
        <f t="shared" si="79"/>
        <v>215455520</v>
      </c>
    </row>
    <row r="724" spans="1:6" s="9" customFormat="1" ht="35.1" customHeight="1" x14ac:dyDescent="0.25">
      <c r="A724" s="396">
        <v>20.9</v>
      </c>
      <c r="B724" s="395" t="s">
        <v>1031</v>
      </c>
      <c r="C724" s="381" t="s">
        <v>13</v>
      </c>
      <c r="D724" s="383">
        <v>700</v>
      </c>
      <c r="E724" s="384">
        <v>37124</v>
      </c>
      <c r="F724" s="384">
        <f t="shared" si="79"/>
        <v>25986800</v>
      </c>
    </row>
    <row r="725" spans="1:6" s="355" customFormat="1" ht="15" x14ac:dyDescent="0.25">
      <c r="A725" s="448" t="s">
        <v>1032</v>
      </c>
      <c r="B725" s="449"/>
      <c r="C725" s="449"/>
      <c r="D725" s="449"/>
      <c r="F725" s="372">
        <f>SUM(F5:F724)</f>
        <v>12958759620.699999</v>
      </c>
    </row>
    <row r="726" spans="1:6" x14ac:dyDescent="0.25">
      <c r="A726" s="444" t="s">
        <v>1429</v>
      </c>
      <c r="B726" s="425"/>
      <c r="C726" s="425"/>
      <c r="D726" s="326"/>
      <c r="E726" s="137">
        <v>0.1898</v>
      </c>
      <c r="F726" s="368">
        <f>ROUND($F$725*E726,2)</f>
        <v>2459572576.0100002</v>
      </c>
    </row>
    <row r="727" spans="1:6" x14ac:dyDescent="0.25">
      <c r="A727" s="444" t="s">
        <v>1035</v>
      </c>
      <c r="B727" s="425"/>
      <c r="C727" s="425"/>
      <c r="D727" s="326"/>
      <c r="E727" s="137">
        <v>0.01</v>
      </c>
      <c r="F727" s="368">
        <f t="shared" ref="F727:F728" si="80">ROUND($F$725*E727,2)</f>
        <v>129587596.20999999</v>
      </c>
    </row>
    <row r="728" spans="1:6" x14ac:dyDescent="0.25">
      <c r="A728" s="444" t="s">
        <v>1036</v>
      </c>
      <c r="B728" s="425"/>
      <c r="C728" s="425"/>
      <c r="D728" s="326"/>
      <c r="E728" s="137">
        <v>0.05</v>
      </c>
      <c r="F728" s="368">
        <f t="shared" si="80"/>
        <v>647937981.03999996</v>
      </c>
    </row>
    <row r="729" spans="1:6" s="355" customFormat="1" ht="15" x14ac:dyDescent="0.25">
      <c r="A729" s="369" t="s">
        <v>1033</v>
      </c>
      <c r="B729" s="358"/>
      <c r="C729" s="358"/>
      <c r="D729" s="358"/>
      <c r="F729" s="370">
        <f>ROUND(F726+F727+F728,2)</f>
        <v>3237098153.2600002</v>
      </c>
    </row>
    <row r="730" spans="1:6" x14ac:dyDescent="0.25">
      <c r="A730" s="444" t="s">
        <v>1038</v>
      </c>
      <c r="B730" s="425"/>
      <c r="C730" s="425"/>
      <c r="D730" s="326"/>
      <c r="E730" s="359">
        <v>0.19</v>
      </c>
      <c r="F730" s="368">
        <f>ROUND(F728*E730,2)</f>
        <v>123108216.40000001</v>
      </c>
    </row>
    <row r="731" spans="1:6" s="355" customFormat="1" x14ac:dyDescent="0.25">
      <c r="A731" s="445" t="s">
        <v>1039</v>
      </c>
      <c r="B731" s="446"/>
      <c r="C731" s="446"/>
      <c r="D731" s="360"/>
      <c r="E731" s="361"/>
      <c r="F731" s="367">
        <f>ROUND(F725+F729+F730,2)</f>
        <v>16318965990.360001</v>
      </c>
    </row>
    <row r="732" spans="1:6" ht="45" customHeight="1" x14ac:dyDescent="0.25">
      <c r="A732" s="439" t="s">
        <v>1418</v>
      </c>
      <c r="B732" s="440"/>
      <c r="C732" s="441" t="s">
        <v>1419</v>
      </c>
      <c r="D732" s="442"/>
      <c r="E732" s="443"/>
      <c r="F732" s="371">
        <f>32694793</f>
        <v>32694793</v>
      </c>
    </row>
    <row r="733" spans="1:6" s="355" customFormat="1" ht="20.45" customHeight="1" x14ac:dyDescent="0.25">
      <c r="A733" s="362" t="s">
        <v>1430</v>
      </c>
      <c r="B733" s="363"/>
      <c r="C733" s="363"/>
      <c r="D733" s="364"/>
      <c r="E733" s="365"/>
      <c r="F733" s="366">
        <f>+F732+F731</f>
        <v>16351660783.360001</v>
      </c>
    </row>
    <row r="734" spans="1:6" x14ac:dyDescent="0.25">
      <c r="D734" s="330"/>
      <c r="F734" s="115"/>
    </row>
    <row r="735" spans="1:6" x14ac:dyDescent="0.25">
      <c r="F735" s="95"/>
    </row>
    <row r="739" spans="1:6" s="331" customFormat="1" x14ac:dyDescent="0.25">
      <c r="A739" s="215"/>
      <c r="B739" s="215"/>
      <c r="C739" s="356"/>
      <c r="E739"/>
      <c r="F739"/>
    </row>
  </sheetData>
  <autoFilter ref="A3:D733" xr:uid="{00000000-0009-0000-0000-00000E000000}"/>
  <mergeCells count="10">
    <mergeCell ref="A1:F1"/>
    <mergeCell ref="E2:F2"/>
    <mergeCell ref="A725:D725"/>
    <mergeCell ref="A726:C726"/>
    <mergeCell ref="A727:C727"/>
    <mergeCell ref="A732:B732"/>
    <mergeCell ref="C732:E732"/>
    <mergeCell ref="A728:C728"/>
    <mergeCell ref="A730:C730"/>
    <mergeCell ref="A731:C731"/>
  </mergeCells>
  <conditionalFormatting sqref="F725">
    <cfRule type="cellIs" dxfId="22" priority="9" operator="equal">
      <formula>0</formula>
    </cfRule>
  </conditionalFormatting>
  <conditionalFormatting sqref="F729">
    <cfRule type="cellIs" dxfId="21" priority="8" operator="equal">
      <formula>0</formula>
    </cfRule>
  </conditionalFormatting>
  <conditionalFormatting sqref="F731">
    <cfRule type="cellIs" dxfId="20" priority="7" operator="equal">
      <formula>0</formula>
    </cfRule>
  </conditionalFormatting>
  <conditionalFormatting sqref="F733">
    <cfRule type="cellIs" dxfId="19" priority="6" operator="equal">
      <formula>0</formula>
    </cfRule>
  </conditionalFormatting>
  <conditionalFormatting sqref="F732">
    <cfRule type="cellIs" dxfId="18" priority="5" operator="equal">
      <formula>0</formula>
    </cfRule>
  </conditionalFormatting>
  <conditionalFormatting sqref="F3">
    <cfRule type="cellIs" dxfId="17" priority="4" operator="equal">
      <formula>0</formula>
    </cfRule>
  </conditionalFormatting>
  <conditionalFormatting sqref="F726:F728">
    <cfRule type="cellIs" dxfId="16" priority="3" operator="equal">
      <formula>0</formula>
    </cfRule>
  </conditionalFormatting>
  <conditionalFormatting sqref="F730">
    <cfRule type="cellIs" dxfId="15" priority="1" operator="equal">
      <formula>0</formula>
    </cfRule>
  </conditionalFormatting>
  <printOptions horizontalCentered="1"/>
  <pageMargins left="0.70866141732283472" right="0.70866141732283472" top="0.74803149606299213" bottom="0.74803149606299213" header="0.31496062992125984" footer="0.31496062992125984"/>
  <pageSetup scale="46" orientation="portrait" r:id="rId1"/>
  <rowBreaks count="1" manualBreakCount="1">
    <brk id="689" max="1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734"/>
  <sheetViews>
    <sheetView view="pageBreakPreview" topLeftCell="A569" zoomScaleNormal="91" zoomScaleSheetLayoutView="100" workbookViewId="0">
      <selection activeCell="G572" sqref="G572:G573"/>
    </sheetView>
  </sheetViews>
  <sheetFormatPr baseColWidth="10" defaultColWidth="11.42578125" defaultRowHeight="16.5" x14ac:dyDescent="0.25"/>
  <cols>
    <col min="1" max="1" width="9" style="215" customWidth="1"/>
    <col min="2" max="2" width="62" style="215" customWidth="1"/>
    <col min="3" max="3" width="10.28515625" style="215" customWidth="1"/>
    <col min="4" max="5" width="10.28515625" style="329" customWidth="1"/>
    <col min="6" max="6" width="15.42578125" style="331" customWidth="1"/>
    <col min="7" max="7" width="18.42578125" style="234" customWidth="1"/>
    <col min="8" max="8" width="32.42578125" style="234" customWidth="1"/>
    <col min="9" max="9" width="32.42578125" customWidth="1"/>
    <col min="10" max="10" width="27.140625" customWidth="1"/>
  </cols>
  <sheetData>
    <row r="1" spans="1:8" ht="23.45" customHeight="1" x14ac:dyDescent="0.25">
      <c r="A1" s="348" t="s">
        <v>1417</v>
      </c>
      <c r="B1" s="349"/>
      <c r="C1" s="349"/>
      <c r="D1" s="349"/>
      <c r="E1" s="349"/>
      <c r="F1" s="349"/>
      <c r="G1" s="349"/>
      <c r="H1" s="350"/>
    </row>
    <row r="2" spans="1:8" ht="27" customHeight="1" x14ac:dyDescent="0.25">
      <c r="A2" s="2" t="s">
        <v>1</v>
      </c>
      <c r="B2" s="2" t="s">
        <v>2</v>
      </c>
      <c r="C2" s="2" t="s">
        <v>3</v>
      </c>
      <c r="D2" s="320"/>
      <c r="E2" s="320"/>
      <c r="F2" s="320" t="s">
        <v>1047</v>
      </c>
      <c r="G2" s="301" t="s">
        <v>5</v>
      </c>
      <c r="H2" s="2" t="s">
        <v>6</v>
      </c>
    </row>
    <row r="3" spans="1:8" s="9" customFormat="1" ht="35.1" customHeight="1" x14ac:dyDescent="0.25">
      <c r="A3" s="235" t="s">
        <v>9</v>
      </c>
      <c r="B3" s="236" t="s">
        <v>10</v>
      </c>
      <c r="C3" s="237"/>
      <c r="D3" s="321"/>
      <c r="E3" s="321"/>
      <c r="F3" s="321"/>
      <c r="G3" s="302"/>
      <c r="H3" s="238"/>
    </row>
    <row r="4" spans="1:8" s="9" customFormat="1" ht="35.1" customHeight="1" x14ac:dyDescent="0.25">
      <c r="A4" s="240" t="s">
        <v>11</v>
      </c>
      <c r="B4" s="241" t="s">
        <v>12</v>
      </c>
      <c r="C4" s="240" t="s">
        <v>13</v>
      </c>
      <c r="D4" s="322">
        <f>ROUND(_xlfn.XLOOKUP(A4,'PARA ENVÍO UNIFICADO (VANE)'!$A$4:$A$729,'PARA ENVÍO UNIFICADO (VANE)'!$D$4:$D$729,0,0),2)</f>
        <v>295</v>
      </c>
      <c r="E4" s="322">
        <f>ROUND(_xlfn.XLOOKUP(A4,'PARA ENVÍO UNIFICADO (VANE)'!$A$4:$A$729,'PARA ENVÍO UNIFICADO (VANE)'!$E$4:$E$729,0,0),2)</f>
        <v>250</v>
      </c>
      <c r="F4" s="322">
        <f>ROUND(D4+E4,2)</f>
        <v>545</v>
      </c>
      <c r="G4" s="243">
        <v>27093</v>
      </c>
      <c r="H4" s="243">
        <f>ROUND(+G4*F4,2)</f>
        <v>14765685</v>
      </c>
    </row>
    <row r="5" spans="1:8" s="9" customFormat="1" ht="35.1" customHeight="1" x14ac:dyDescent="0.25">
      <c r="A5" s="240" t="s">
        <v>1049</v>
      </c>
      <c r="B5" s="241" t="s">
        <v>1050</v>
      </c>
      <c r="C5" s="240" t="s">
        <v>13</v>
      </c>
      <c r="D5" s="322">
        <f>_xlfn.XLOOKUP(A5,'PARA ENVÍO UNIFICADO (VANE)'!$A$4:$A$729,'PARA ENVÍO UNIFICADO (VANE)'!$D$4:$D$729,0,0)</f>
        <v>580</v>
      </c>
      <c r="E5" s="322">
        <f>_xlfn.XLOOKUP(A5,'PARA ENVÍO UNIFICADO (VANE)'!$A$4:$A$729,'PARA ENVÍO UNIFICADO (VANE)'!$E$4:$E$729,0,0)</f>
        <v>0</v>
      </c>
      <c r="F5" s="322">
        <f t="shared" ref="F5:F68" si="0">ROUND(D5+E5,2)</f>
        <v>580</v>
      </c>
      <c r="G5" s="243">
        <v>3555</v>
      </c>
      <c r="H5" s="243">
        <f>ROUND(+G5*F5,2)</f>
        <v>2061900</v>
      </c>
    </row>
    <row r="6" spans="1:8" s="9" customFormat="1" ht="35.1" customHeight="1" x14ac:dyDescent="0.25">
      <c r="A6" s="240" t="s">
        <v>1051</v>
      </c>
      <c r="B6" s="241" t="s">
        <v>1052</v>
      </c>
      <c r="C6" s="240" t="s">
        <v>94</v>
      </c>
      <c r="D6" s="322">
        <f>_xlfn.XLOOKUP(A6,'PARA ENVÍO UNIFICADO (VANE)'!$A$4:$A$729,'PARA ENVÍO UNIFICADO (VANE)'!$D$4:$D$729,0,0)</f>
        <v>40</v>
      </c>
      <c r="E6" s="322">
        <f>_xlfn.XLOOKUP(A6,'PARA ENVÍO UNIFICADO (VANE)'!$A$4:$A$729,'PARA ENVÍO UNIFICADO (VANE)'!$E$4:$E$729,0,0)</f>
        <v>0</v>
      </c>
      <c r="F6" s="322">
        <f t="shared" si="0"/>
        <v>40</v>
      </c>
      <c r="G6" s="243">
        <v>34420</v>
      </c>
      <c r="H6" s="243">
        <f>ROUND(+G6*F6,2)</f>
        <v>1376800</v>
      </c>
    </row>
    <row r="7" spans="1:8" s="9" customFormat="1" ht="35.1" customHeight="1" x14ac:dyDescent="0.25">
      <c r="A7" s="240" t="s">
        <v>14</v>
      </c>
      <c r="B7" s="241" t="s">
        <v>15</v>
      </c>
      <c r="C7" s="240" t="s">
        <v>16</v>
      </c>
      <c r="D7" s="322">
        <f>_xlfn.XLOOKUP(A7,'PARA ENVÍO UNIFICADO (VANE)'!$A$4:$A$729,'PARA ENVÍO UNIFICADO (VANE)'!$D$4:$D$729,0,0)</f>
        <v>0</v>
      </c>
      <c r="E7" s="322">
        <f>_xlfn.XLOOKUP(A7,'PARA ENVÍO UNIFICADO (VANE)'!$A$4:$A$729,'PARA ENVÍO UNIFICADO (VANE)'!$E$4:$E$729,0,0)</f>
        <v>8</v>
      </c>
      <c r="F7" s="322">
        <f t="shared" si="0"/>
        <v>8</v>
      </c>
      <c r="G7" s="243">
        <v>35951</v>
      </c>
      <c r="H7" s="243">
        <f>ROUND(+G7*F7,2)</f>
        <v>287608</v>
      </c>
    </row>
    <row r="8" spans="1:8" s="9" customFormat="1" ht="35.1" customHeight="1" x14ac:dyDescent="0.25">
      <c r="A8" s="244" t="s">
        <v>19</v>
      </c>
      <c r="B8" s="245" t="s">
        <v>20</v>
      </c>
      <c r="C8" s="244"/>
      <c r="D8" s="323"/>
      <c r="E8" s="323"/>
      <c r="F8" s="322">
        <f t="shared" si="0"/>
        <v>0</v>
      </c>
      <c r="G8" s="303"/>
      <c r="H8" s="246"/>
    </row>
    <row r="9" spans="1:8" s="9" customFormat="1" ht="35.1" customHeight="1" x14ac:dyDescent="0.25">
      <c r="A9" s="240" t="s">
        <v>23</v>
      </c>
      <c r="B9" s="241" t="s">
        <v>1058</v>
      </c>
      <c r="C9" s="240" t="s">
        <v>13</v>
      </c>
      <c r="D9" s="322">
        <f>_xlfn.XLOOKUP(A9,'PARA ENVÍO UNIFICADO (VANE)'!$A$4:$A$729,'PARA ENVÍO UNIFICADO (VANE)'!$D$4:$D$729,0,0)</f>
        <v>0</v>
      </c>
      <c r="E9" s="322">
        <f>_xlfn.XLOOKUP(A9,'PARA ENVÍO UNIFICADO (VANE)'!$A$4:$A$729,'PARA ENVÍO UNIFICADO (VANE)'!$E$4:$E$729,0,0)</f>
        <v>151</v>
      </c>
      <c r="F9" s="322">
        <f t="shared" si="0"/>
        <v>151</v>
      </c>
      <c r="G9" s="243">
        <v>13438</v>
      </c>
      <c r="H9" s="243">
        <f>ROUND(+G9*F9,2)</f>
        <v>2029138</v>
      </c>
    </row>
    <row r="10" spans="1:8" s="9" customFormat="1" ht="35.1" customHeight="1" x14ac:dyDescent="0.25">
      <c r="A10" s="247">
        <v>2</v>
      </c>
      <c r="B10" s="248" t="s">
        <v>25</v>
      </c>
      <c r="C10" s="248"/>
      <c r="D10" s="324"/>
      <c r="E10" s="324"/>
      <c r="F10" s="322">
        <f t="shared" si="0"/>
        <v>0</v>
      </c>
      <c r="G10" s="304"/>
      <c r="H10" s="249"/>
    </row>
    <row r="11" spans="1:8" s="9" customFormat="1" ht="35.1" customHeight="1" x14ac:dyDescent="0.25">
      <c r="A11" s="244" t="s">
        <v>26</v>
      </c>
      <c r="B11" s="245" t="s">
        <v>27</v>
      </c>
      <c r="C11" s="244"/>
      <c r="D11" s="323"/>
      <c r="E11" s="323"/>
      <c r="F11" s="322">
        <f t="shared" si="0"/>
        <v>0</v>
      </c>
      <c r="G11" s="303"/>
      <c r="H11" s="246"/>
    </row>
    <row r="12" spans="1:8" s="9" customFormat="1" ht="35.1" customHeight="1" x14ac:dyDescent="0.25">
      <c r="A12" s="240" t="s">
        <v>28</v>
      </c>
      <c r="B12" s="241" t="s">
        <v>29</v>
      </c>
      <c r="C12" s="240" t="s">
        <v>30</v>
      </c>
      <c r="D12" s="322">
        <f>_xlfn.XLOOKUP(A12,'PARA ENVÍO UNIFICADO (VANE)'!$A$4:$A$729,'PARA ENVÍO UNIFICADO (VANE)'!$D$4:$D$729,0,0)</f>
        <v>400</v>
      </c>
      <c r="E12" s="322">
        <f>_xlfn.XLOOKUP(A12,'PARA ENVÍO UNIFICADO (VANE)'!$A$4:$A$729,'PARA ENVÍO UNIFICADO (VANE)'!$E$4:$E$729,0,0)</f>
        <v>0</v>
      </c>
      <c r="F12" s="322">
        <f t="shared" si="0"/>
        <v>400</v>
      </c>
      <c r="G12" s="243">
        <v>32449</v>
      </c>
      <c r="H12" s="243">
        <f>ROUND(+G12*F12,2)</f>
        <v>12979600</v>
      </c>
    </row>
    <row r="13" spans="1:8" s="9" customFormat="1" ht="35.1" customHeight="1" x14ac:dyDescent="0.25">
      <c r="A13" s="240" t="s">
        <v>31</v>
      </c>
      <c r="B13" s="241" t="s">
        <v>32</v>
      </c>
      <c r="C13" s="240" t="s">
        <v>30</v>
      </c>
      <c r="D13" s="322">
        <f>_xlfn.XLOOKUP(A13,'PARA ENVÍO UNIFICADO (VANE)'!$A$4:$A$729,'PARA ENVÍO UNIFICADO (VANE)'!$D$4:$D$729,0,0)</f>
        <v>57.945499999999981</v>
      </c>
      <c r="E13" s="322">
        <f>_xlfn.XLOOKUP(A13,'PARA ENVÍO UNIFICADO (VANE)'!$A$4:$A$729,'PARA ENVÍO UNIFICADO (VANE)'!$E$4:$E$729,0,0)</f>
        <v>299.45</v>
      </c>
      <c r="F13" s="322">
        <f t="shared" si="0"/>
        <v>357.4</v>
      </c>
      <c r="G13" s="243">
        <v>40990</v>
      </c>
      <c r="H13" s="243">
        <f>ROUND(+G13*F13,2)</f>
        <v>14649826</v>
      </c>
    </row>
    <row r="14" spans="1:8" s="9" customFormat="1" ht="35.1" customHeight="1" x14ac:dyDescent="0.25">
      <c r="A14" s="240" t="s">
        <v>33</v>
      </c>
      <c r="B14" s="251" t="s">
        <v>34</v>
      </c>
      <c r="C14" s="240" t="s">
        <v>30</v>
      </c>
      <c r="D14" s="322">
        <f>_xlfn.XLOOKUP(A14,'PARA ENVÍO UNIFICADO (VANE)'!$A$4:$A$729,'PARA ENVÍO UNIFICADO (VANE)'!$D$4:$D$729,0,0)</f>
        <v>56.107679999999959</v>
      </c>
      <c r="E14" s="322">
        <f>_xlfn.XLOOKUP(A14,'PARA ENVÍO UNIFICADO (VANE)'!$A$4:$A$729,'PARA ENVÍO UNIFICADO (VANE)'!$E$4:$E$729,0,0)</f>
        <v>524.07000000000005</v>
      </c>
      <c r="F14" s="322">
        <f t="shared" si="0"/>
        <v>580.17999999999995</v>
      </c>
      <c r="G14" s="243">
        <v>12819</v>
      </c>
      <c r="H14" s="243">
        <f>ROUND(+G14*F14,2)</f>
        <v>7437327.4199999999</v>
      </c>
    </row>
    <row r="15" spans="1:8" s="9" customFormat="1" ht="35.1" customHeight="1" x14ac:dyDescent="0.25">
      <c r="A15" s="240" t="s">
        <v>35</v>
      </c>
      <c r="B15" s="241" t="s">
        <v>36</v>
      </c>
      <c r="C15" s="240" t="s">
        <v>30</v>
      </c>
      <c r="D15" s="322">
        <f>_xlfn.XLOOKUP(A15,'PARA ENVÍO UNIFICADO (VANE)'!$A$4:$A$729,'PARA ENVÍO UNIFICADO (VANE)'!$D$4:$D$729,0,0)</f>
        <v>70.485000000000014</v>
      </c>
      <c r="E15" s="322">
        <f>_xlfn.XLOOKUP(A15,'PARA ENVÍO UNIFICADO (VANE)'!$A$4:$A$729,'PARA ENVÍO UNIFICADO (VANE)'!$E$4:$E$729,0,0)</f>
        <v>122.54</v>
      </c>
      <c r="F15" s="322">
        <f t="shared" si="0"/>
        <v>193.03</v>
      </c>
      <c r="G15" s="243">
        <v>64537</v>
      </c>
      <c r="H15" s="243">
        <f>ROUND(+G15*F15,2)</f>
        <v>12457577.109999999</v>
      </c>
    </row>
    <row r="16" spans="1:8" s="9" customFormat="1" ht="35.1" customHeight="1" x14ac:dyDescent="0.25">
      <c r="A16" s="244" t="s">
        <v>37</v>
      </c>
      <c r="B16" s="245" t="s">
        <v>38</v>
      </c>
      <c r="C16" s="244"/>
      <c r="D16" s="244"/>
      <c r="E16" s="244"/>
      <c r="F16" s="322">
        <f t="shared" si="0"/>
        <v>0</v>
      </c>
      <c r="G16" s="252"/>
      <c r="H16" s="246"/>
    </row>
    <row r="17" spans="1:8" s="9" customFormat="1" ht="35.1" customHeight="1" x14ac:dyDescent="0.25">
      <c r="A17" s="253" t="s">
        <v>39</v>
      </c>
      <c r="B17" s="254" t="s">
        <v>40</v>
      </c>
      <c r="C17" s="255" t="s">
        <v>13</v>
      </c>
      <c r="D17" s="322">
        <f>_xlfn.XLOOKUP(A17,'PARA ENVÍO UNIFICADO (VANE)'!$A$4:$A$729,'PARA ENVÍO UNIFICADO (VANE)'!$D$4:$D$729,0,0)</f>
        <v>72.123000000000047</v>
      </c>
      <c r="E17" s="322">
        <f>_xlfn.XLOOKUP(A17,'PARA ENVÍO UNIFICADO (VANE)'!$A$4:$A$729,'PARA ENVÍO UNIFICADO (VANE)'!$E$4:$E$729,0,0)</f>
        <v>1111.51</v>
      </c>
      <c r="F17" s="322">
        <f t="shared" si="0"/>
        <v>1183.6300000000001</v>
      </c>
      <c r="G17" s="243">
        <v>26091</v>
      </c>
      <c r="H17" s="243">
        <f t="shared" ref="H17:H80" si="1">ROUND(+G17*F17,2)</f>
        <v>30882090.329999998</v>
      </c>
    </row>
    <row r="18" spans="1:8" s="9" customFormat="1" ht="35.1" customHeight="1" x14ac:dyDescent="0.25">
      <c r="A18" s="253" t="s">
        <v>41</v>
      </c>
      <c r="B18" s="241" t="s">
        <v>42</v>
      </c>
      <c r="C18" s="240" t="s">
        <v>30</v>
      </c>
      <c r="D18" s="322">
        <f>_xlfn.XLOOKUP(A18,'PARA ENVÍO UNIFICADO (VANE)'!$A$4:$A$729,'PARA ENVÍO UNIFICADO (VANE)'!$D$4:$D$729,0,0)</f>
        <v>36</v>
      </c>
      <c r="E18" s="322">
        <f>_xlfn.XLOOKUP(A18,'PARA ENVÍO UNIFICADO (VANE)'!$A$4:$A$729,'PARA ENVÍO UNIFICADO (VANE)'!$E$4:$E$729,0,0)</f>
        <v>46.48</v>
      </c>
      <c r="F18" s="322">
        <f t="shared" si="0"/>
        <v>82.48</v>
      </c>
      <c r="G18" s="243">
        <v>705830</v>
      </c>
      <c r="H18" s="243">
        <f t="shared" si="1"/>
        <v>58216858.399999999</v>
      </c>
    </row>
    <row r="19" spans="1:8" s="9" customFormat="1" ht="35.1" customHeight="1" x14ac:dyDescent="0.25">
      <c r="A19" s="253" t="s">
        <v>43</v>
      </c>
      <c r="B19" s="241" t="s">
        <v>44</v>
      </c>
      <c r="C19" s="240" t="s">
        <v>30</v>
      </c>
      <c r="D19" s="322">
        <f>_xlfn.XLOOKUP(A19,'PARA ENVÍO UNIFICADO (VANE)'!$A$4:$A$729,'PARA ENVÍO UNIFICADO (VANE)'!$D$4:$D$729,0,0)</f>
        <v>36.5</v>
      </c>
      <c r="E19" s="322">
        <f>_xlfn.XLOOKUP(A19,'PARA ENVÍO UNIFICADO (VANE)'!$A$4:$A$729,'PARA ENVÍO UNIFICADO (VANE)'!$E$4:$E$729,0,0)</f>
        <v>45.04</v>
      </c>
      <c r="F19" s="322">
        <f t="shared" si="0"/>
        <v>81.540000000000006</v>
      </c>
      <c r="G19" s="243">
        <v>705830</v>
      </c>
      <c r="H19" s="243">
        <f t="shared" si="1"/>
        <v>57553378.200000003</v>
      </c>
    </row>
    <row r="20" spans="1:8" s="9" customFormat="1" ht="35.1" customHeight="1" x14ac:dyDescent="0.25">
      <c r="A20" s="253" t="s">
        <v>45</v>
      </c>
      <c r="B20" s="241" t="s">
        <v>46</v>
      </c>
      <c r="C20" s="240" t="s">
        <v>30</v>
      </c>
      <c r="D20" s="322">
        <f>_xlfn.XLOOKUP(A20,'PARA ENVÍO UNIFICADO (VANE)'!$A$4:$A$729,'PARA ENVÍO UNIFICADO (VANE)'!$D$4:$D$729,0,0)</f>
        <v>13</v>
      </c>
      <c r="E20" s="322">
        <f>_xlfn.XLOOKUP(A20,'PARA ENVÍO UNIFICADO (VANE)'!$A$4:$A$729,'PARA ENVÍO UNIFICADO (VANE)'!$E$4:$E$729,0,0)</f>
        <v>34.93</v>
      </c>
      <c r="F20" s="322">
        <f t="shared" si="0"/>
        <v>47.93</v>
      </c>
      <c r="G20" s="243">
        <v>815298</v>
      </c>
      <c r="H20" s="243">
        <f t="shared" si="1"/>
        <v>39077233.140000001</v>
      </c>
    </row>
    <row r="21" spans="1:8" s="9" customFormat="1" ht="35.1" customHeight="1" x14ac:dyDescent="0.25">
      <c r="A21" s="244" t="s">
        <v>47</v>
      </c>
      <c r="B21" s="245" t="s">
        <v>1059</v>
      </c>
      <c r="C21" s="244"/>
      <c r="D21" s="244"/>
      <c r="E21" s="244"/>
      <c r="F21" s="322">
        <f t="shared" si="0"/>
        <v>0</v>
      </c>
      <c r="G21" s="303"/>
      <c r="H21" s="246"/>
    </row>
    <row r="22" spans="1:8" s="9" customFormat="1" ht="35.1" customHeight="1" x14ac:dyDescent="0.25">
      <c r="A22" s="255" t="s">
        <v>49</v>
      </c>
      <c r="B22" s="241" t="s">
        <v>50</v>
      </c>
      <c r="C22" s="240" t="s">
        <v>30</v>
      </c>
      <c r="D22" s="322">
        <f>_xlfn.XLOOKUP(A22,'PARA ENVÍO UNIFICADO (VANE)'!$A$4:$A$729,'PARA ENVÍO UNIFICADO (VANE)'!$D$4:$D$729,0,0)</f>
        <v>13.700000000000003</v>
      </c>
      <c r="E22" s="322">
        <f>_xlfn.XLOOKUP(A22,'PARA ENVÍO UNIFICADO (VANE)'!$A$4:$A$729,'PARA ENVÍO UNIFICADO (VANE)'!$E$4:$E$729,0,0)</f>
        <v>50.62</v>
      </c>
      <c r="F22" s="322">
        <f t="shared" si="0"/>
        <v>64.319999999999993</v>
      </c>
      <c r="G22" s="243">
        <v>842176</v>
      </c>
      <c r="H22" s="243">
        <f t="shared" si="1"/>
        <v>54168760.32</v>
      </c>
    </row>
    <row r="23" spans="1:8" s="9" customFormat="1" ht="35.1" customHeight="1" x14ac:dyDescent="0.25">
      <c r="A23" s="244" t="s">
        <v>51</v>
      </c>
      <c r="B23" s="256" t="s">
        <v>52</v>
      </c>
      <c r="C23" s="256"/>
      <c r="D23" s="244"/>
      <c r="E23" s="244"/>
      <c r="F23" s="322">
        <f t="shared" si="0"/>
        <v>0</v>
      </c>
      <c r="G23" s="303"/>
      <c r="H23" s="246"/>
    </row>
    <row r="24" spans="1:8" s="9" customFormat="1" ht="35.1" customHeight="1" x14ac:dyDescent="0.25">
      <c r="A24" s="240" t="s">
        <v>53</v>
      </c>
      <c r="B24" s="241" t="s">
        <v>54</v>
      </c>
      <c r="C24" s="240" t="s">
        <v>55</v>
      </c>
      <c r="D24" s="322">
        <f>_xlfn.XLOOKUP(A24,'PARA ENVÍO UNIFICADO (VANE)'!$A$4:$A$729,'PARA ENVÍO UNIFICADO (VANE)'!$D$4:$D$729,0,0)</f>
        <v>8230.6999999999971</v>
      </c>
      <c r="E24" s="322">
        <f>_xlfn.XLOOKUP(A24,'PARA ENVÍO UNIFICADO (VANE)'!$A$4:$A$729,'PARA ENVÍO UNIFICADO (VANE)'!$E$4:$E$729,0,0)</f>
        <v>16621.25</v>
      </c>
      <c r="F24" s="322">
        <f t="shared" si="0"/>
        <v>24851.95</v>
      </c>
      <c r="G24" s="243">
        <v>5221</v>
      </c>
      <c r="H24" s="243">
        <f t="shared" si="1"/>
        <v>129752030.95</v>
      </c>
    </row>
    <row r="25" spans="1:8" s="9" customFormat="1" ht="35.1" customHeight="1" x14ac:dyDescent="0.25">
      <c r="A25" s="253" t="s">
        <v>56</v>
      </c>
      <c r="B25" s="241" t="s">
        <v>57</v>
      </c>
      <c r="C25" s="240" t="s">
        <v>13</v>
      </c>
      <c r="D25" s="322">
        <f>_xlfn.XLOOKUP(A25,'PARA ENVÍO UNIFICADO (VANE)'!$A$4:$A$729,'PARA ENVÍO UNIFICADO (VANE)'!$D$4:$D$729,0,0)</f>
        <v>242.5</v>
      </c>
      <c r="E25" s="322">
        <f>_xlfn.XLOOKUP(A25,'PARA ENVÍO UNIFICADO (VANE)'!$A$4:$A$729,'PARA ENVÍO UNIFICADO (VANE)'!$E$4:$E$729,0,0)</f>
        <v>1871.1</v>
      </c>
      <c r="F25" s="322">
        <f t="shared" si="0"/>
        <v>2113.6</v>
      </c>
      <c r="G25" s="243">
        <v>7898</v>
      </c>
      <c r="H25" s="243">
        <f t="shared" si="1"/>
        <v>16693212.800000001</v>
      </c>
    </row>
    <row r="26" spans="1:8" s="9" customFormat="1" ht="35.1" customHeight="1" x14ac:dyDescent="0.25">
      <c r="A26" s="247">
        <v>3</v>
      </c>
      <c r="B26" s="248" t="s">
        <v>58</v>
      </c>
      <c r="C26" s="248"/>
      <c r="D26" s="305"/>
      <c r="E26" s="305"/>
      <c r="F26" s="322">
        <f t="shared" si="0"/>
        <v>0</v>
      </c>
      <c r="G26" s="305"/>
      <c r="H26" s="249"/>
    </row>
    <row r="27" spans="1:8" s="9" customFormat="1" ht="35.1" customHeight="1" x14ac:dyDescent="0.25">
      <c r="A27" s="244" t="s">
        <v>59</v>
      </c>
      <c r="B27" s="245" t="s">
        <v>60</v>
      </c>
      <c r="C27" s="244"/>
      <c r="D27" s="244"/>
      <c r="E27" s="244"/>
      <c r="F27" s="322">
        <f t="shared" si="0"/>
        <v>0</v>
      </c>
      <c r="G27" s="303"/>
      <c r="H27" s="246"/>
    </row>
    <row r="28" spans="1:8" s="9" customFormat="1" ht="35.1" customHeight="1" x14ac:dyDescent="0.25">
      <c r="A28" s="255" t="s">
        <v>61</v>
      </c>
      <c r="B28" s="241" t="s">
        <v>62</v>
      </c>
      <c r="C28" s="240" t="s">
        <v>30</v>
      </c>
      <c r="D28" s="322">
        <f>_xlfn.XLOOKUP(A28,'PARA ENVÍO UNIFICADO (VANE)'!$A$4:$A$729,'PARA ENVÍO UNIFICADO (VANE)'!$D$4:$D$729,0,0)</f>
        <v>24.939999999999998</v>
      </c>
      <c r="E28" s="322">
        <f>_xlfn.XLOOKUP(A28,'PARA ENVÍO UNIFICADO (VANE)'!$A$4:$A$729,'PARA ENVÍO UNIFICADO (VANE)'!$E$4:$E$729,0,0)</f>
        <v>247.78</v>
      </c>
      <c r="F28" s="322">
        <f t="shared" si="0"/>
        <v>272.72000000000003</v>
      </c>
      <c r="G28" s="243">
        <v>831289</v>
      </c>
      <c r="H28" s="243">
        <f t="shared" si="1"/>
        <v>226709136.08000001</v>
      </c>
    </row>
    <row r="29" spans="1:8" s="9" customFormat="1" ht="35.1" customHeight="1" x14ac:dyDescent="0.25">
      <c r="A29" s="255" t="s">
        <v>63</v>
      </c>
      <c r="B29" s="241" t="s">
        <v>64</v>
      </c>
      <c r="C29" s="240" t="s">
        <v>30</v>
      </c>
      <c r="D29" s="322">
        <f>_xlfn.XLOOKUP(A29,'PARA ENVÍO UNIFICADO (VANE)'!$A$4:$A$729,'PARA ENVÍO UNIFICADO (VANE)'!$D$4:$D$729,0,0)</f>
        <v>15.569999999999993</v>
      </c>
      <c r="E29" s="322">
        <f>_xlfn.XLOOKUP(A29,'PARA ENVÍO UNIFICADO (VANE)'!$A$4:$A$729,'PARA ENVÍO UNIFICADO (VANE)'!$E$4:$E$729,0,0)</f>
        <v>152.63999999999999</v>
      </c>
      <c r="F29" s="322">
        <f t="shared" si="0"/>
        <v>168.21</v>
      </c>
      <c r="G29" s="243">
        <v>831289</v>
      </c>
      <c r="H29" s="243">
        <f t="shared" si="1"/>
        <v>139831122.69</v>
      </c>
    </row>
    <row r="30" spans="1:8" s="9" customFormat="1" ht="35.1" customHeight="1" x14ac:dyDescent="0.25">
      <c r="A30" s="244" t="s">
        <v>65</v>
      </c>
      <c r="B30" s="245" t="s">
        <v>66</v>
      </c>
      <c r="C30" s="244"/>
      <c r="D30" s="244"/>
      <c r="E30" s="244"/>
      <c r="F30" s="322">
        <f t="shared" si="0"/>
        <v>0</v>
      </c>
      <c r="G30" s="303"/>
      <c r="H30" s="246"/>
    </row>
    <row r="31" spans="1:8" s="9" customFormat="1" ht="35.1" customHeight="1" x14ac:dyDescent="0.25">
      <c r="A31" s="253" t="s">
        <v>67</v>
      </c>
      <c r="B31" s="241" t="s">
        <v>1060</v>
      </c>
      <c r="C31" s="255" t="s">
        <v>30</v>
      </c>
      <c r="D31" s="322">
        <f>_xlfn.XLOOKUP(A31,'PARA ENVÍO UNIFICADO (VANE)'!$A$4:$A$729,'PARA ENVÍO UNIFICADO (VANE)'!$D$4:$D$729,0,0)</f>
        <v>0</v>
      </c>
      <c r="E31" s="322">
        <f>_xlfn.XLOOKUP(A31,'PARA ENVÍO UNIFICADO (VANE)'!$A$4:$A$729,'PARA ENVÍO UNIFICADO (VANE)'!$E$4:$E$729,0,0)</f>
        <v>2128.8200000000002</v>
      </c>
      <c r="F31" s="322">
        <f t="shared" si="0"/>
        <v>2128.8200000000002</v>
      </c>
      <c r="G31" s="243">
        <v>928877</v>
      </c>
      <c r="H31" s="243">
        <f t="shared" si="1"/>
        <v>1977411935.1400001</v>
      </c>
    </row>
    <row r="32" spans="1:8" s="9" customFormat="1" ht="35.1" customHeight="1" x14ac:dyDescent="0.25">
      <c r="A32" s="253" t="s">
        <v>69</v>
      </c>
      <c r="B32" s="241" t="s">
        <v>70</v>
      </c>
      <c r="C32" s="255" t="s">
        <v>13</v>
      </c>
      <c r="D32" s="322">
        <f>_xlfn.XLOOKUP(A32,'PARA ENVÍO UNIFICADO (VANE)'!$A$4:$A$729,'PARA ENVÍO UNIFICADO (VANE)'!$D$4:$D$729,0,0)</f>
        <v>235.59999999999991</v>
      </c>
      <c r="E32" s="322">
        <f>_xlfn.XLOOKUP(A32,'PARA ENVÍO UNIFICADO (VANE)'!$A$4:$A$729,'PARA ENVÍO UNIFICADO (VANE)'!$E$4:$E$729,0,0)</f>
        <v>1581</v>
      </c>
      <c r="F32" s="322">
        <f t="shared" si="0"/>
        <v>1816.6</v>
      </c>
      <c r="G32" s="243">
        <v>100365</v>
      </c>
      <c r="H32" s="243">
        <f t="shared" si="1"/>
        <v>182323059</v>
      </c>
    </row>
    <row r="33" spans="1:8" s="9" customFormat="1" ht="35.1" customHeight="1" x14ac:dyDescent="0.25">
      <c r="A33" s="253" t="s">
        <v>71</v>
      </c>
      <c r="B33" s="241" t="s">
        <v>72</v>
      </c>
      <c r="C33" s="255" t="s">
        <v>30</v>
      </c>
      <c r="D33" s="322">
        <f>_xlfn.XLOOKUP(A33,'PARA ENVÍO UNIFICADO (VANE)'!$A$4:$A$729,'PARA ENVÍO UNIFICADO (VANE)'!$D$4:$D$729,0,0)</f>
        <v>0</v>
      </c>
      <c r="E33" s="322">
        <f>_xlfn.XLOOKUP(A33,'PARA ENVÍO UNIFICADO (VANE)'!$A$4:$A$729,'PARA ENVÍO UNIFICADO (VANE)'!$E$4:$E$729,0,0)</f>
        <v>8.9</v>
      </c>
      <c r="F33" s="322">
        <f t="shared" si="0"/>
        <v>8.9</v>
      </c>
      <c r="G33" s="243">
        <v>809579</v>
      </c>
      <c r="H33" s="243">
        <f t="shared" si="1"/>
        <v>7205253.0999999996</v>
      </c>
    </row>
    <row r="34" spans="1:8" s="9" customFormat="1" ht="35.1" customHeight="1" x14ac:dyDescent="0.25">
      <c r="A34" s="244" t="s">
        <v>73</v>
      </c>
      <c r="B34" s="245" t="s">
        <v>74</v>
      </c>
      <c r="C34" s="244"/>
      <c r="D34" s="244"/>
      <c r="E34" s="244"/>
      <c r="F34" s="322">
        <f t="shared" si="0"/>
        <v>0</v>
      </c>
      <c r="G34" s="303"/>
      <c r="H34" s="246"/>
    </row>
    <row r="35" spans="1:8" s="9" customFormat="1" ht="35.1" customHeight="1" x14ac:dyDescent="0.25">
      <c r="A35" s="253" t="s">
        <v>75</v>
      </c>
      <c r="B35" s="241" t="s">
        <v>76</v>
      </c>
      <c r="C35" s="255" t="s">
        <v>30</v>
      </c>
      <c r="D35" s="322">
        <f>_xlfn.XLOOKUP(A35,'PARA ENVÍO UNIFICADO (VANE)'!$A$4:$A$729,'PARA ENVÍO UNIFICADO (VANE)'!$D$4:$D$729,0,0)</f>
        <v>11.299999999999997</v>
      </c>
      <c r="E35" s="322">
        <f>_xlfn.XLOOKUP(A35,'PARA ENVÍO UNIFICADO (VANE)'!$A$4:$A$729,'PARA ENVÍO UNIFICADO (VANE)'!$E$4:$E$729,0,0)</f>
        <v>73</v>
      </c>
      <c r="F35" s="322">
        <f t="shared" si="0"/>
        <v>84.3</v>
      </c>
      <c r="G35" s="243">
        <v>815298</v>
      </c>
      <c r="H35" s="243">
        <f t="shared" si="1"/>
        <v>68729621.400000006</v>
      </c>
    </row>
    <row r="36" spans="1:8" s="9" customFormat="1" ht="35.1" customHeight="1" x14ac:dyDescent="0.25">
      <c r="A36" s="253" t="s">
        <v>77</v>
      </c>
      <c r="B36" s="241" t="s">
        <v>78</v>
      </c>
      <c r="C36" s="255" t="s">
        <v>30</v>
      </c>
      <c r="D36" s="322">
        <f>_xlfn.XLOOKUP(A36,'PARA ENVÍO UNIFICADO (VANE)'!$A$4:$A$729,'PARA ENVÍO UNIFICADO (VANE)'!$D$4:$D$729,0,0)</f>
        <v>15.900000000000006</v>
      </c>
      <c r="E36" s="322">
        <f>_xlfn.XLOOKUP(A36,'PARA ENVÍO UNIFICADO (VANE)'!$A$4:$A$729,'PARA ENVÍO UNIFICADO (VANE)'!$E$4:$E$729,0,0)</f>
        <v>109</v>
      </c>
      <c r="F36" s="322">
        <f t="shared" si="0"/>
        <v>124.9</v>
      </c>
      <c r="G36" s="243">
        <v>786314</v>
      </c>
      <c r="H36" s="243">
        <f t="shared" si="1"/>
        <v>98210618.599999994</v>
      </c>
    </row>
    <row r="37" spans="1:8" s="9" customFormat="1" ht="35.1" customHeight="1" x14ac:dyDescent="0.25">
      <c r="A37" s="253" t="s">
        <v>79</v>
      </c>
      <c r="B37" s="241" t="s">
        <v>80</v>
      </c>
      <c r="C37" s="240" t="s">
        <v>30</v>
      </c>
      <c r="D37" s="322">
        <f>_xlfn.XLOOKUP(A37,'PARA ENVÍO UNIFICADO (VANE)'!$A$4:$A$729,'PARA ENVÍO UNIFICADO (VANE)'!$D$4:$D$729,0,0)</f>
        <v>4.7000000000000028</v>
      </c>
      <c r="E37" s="322">
        <f>_xlfn.XLOOKUP(A37,'PARA ENVÍO UNIFICADO (VANE)'!$A$4:$A$729,'PARA ENVÍO UNIFICADO (VANE)'!$E$4:$E$729,0,0)</f>
        <v>30</v>
      </c>
      <c r="F37" s="322">
        <f t="shared" si="0"/>
        <v>34.700000000000003</v>
      </c>
      <c r="G37" s="243">
        <v>933848</v>
      </c>
      <c r="H37" s="243">
        <f t="shared" si="1"/>
        <v>32404525.600000001</v>
      </c>
    </row>
    <row r="38" spans="1:8" s="9" customFormat="1" ht="35.1" customHeight="1" x14ac:dyDescent="0.25">
      <c r="A38" s="253" t="s">
        <v>81</v>
      </c>
      <c r="B38" s="241" t="s">
        <v>82</v>
      </c>
      <c r="C38" s="240" t="s">
        <v>30</v>
      </c>
      <c r="D38" s="322">
        <f>_xlfn.XLOOKUP(A38,'PARA ENVÍO UNIFICADO (VANE)'!$A$4:$A$729,'PARA ENVÍO UNIFICADO (VANE)'!$D$4:$D$729,0,0)</f>
        <v>2</v>
      </c>
      <c r="E38" s="322">
        <f>_xlfn.XLOOKUP(A38,'PARA ENVÍO UNIFICADO (VANE)'!$A$4:$A$729,'PARA ENVÍO UNIFICADO (VANE)'!$E$4:$E$729,0,0)</f>
        <v>17</v>
      </c>
      <c r="F38" s="322">
        <f t="shared" si="0"/>
        <v>19</v>
      </c>
      <c r="G38" s="243">
        <v>933848</v>
      </c>
      <c r="H38" s="243">
        <f t="shared" si="1"/>
        <v>17743112</v>
      </c>
    </row>
    <row r="39" spans="1:8" s="9" customFormat="1" ht="35.1" customHeight="1" x14ac:dyDescent="0.25">
      <c r="A39" s="253" t="s">
        <v>83</v>
      </c>
      <c r="B39" s="241" t="s">
        <v>84</v>
      </c>
      <c r="C39" s="255" t="s">
        <v>30</v>
      </c>
      <c r="D39" s="322">
        <f>_xlfn.XLOOKUP(A39,'PARA ENVÍO UNIFICADO (VANE)'!$A$4:$A$729,'PARA ENVÍO UNIFICADO (VANE)'!$D$4:$D$729,0,0)</f>
        <v>9</v>
      </c>
      <c r="E39" s="322">
        <f>_xlfn.XLOOKUP(A39,'PARA ENVÍO UNIFICADO (VANE)'!$A$4:$A$729,'PARA ENVÍO UNIFICADO (VANE)'!$E$4:$E$729,0,0)</f>
        <v>63</v>
      </c>
      <c r="F39" s="322">
        <f t="shared" si="0"/>
        <v>72</v>
      </c>
      <c r="G39" s="243">
        <v>873849</v>
      </c>
      <c r="H39" s="243">
        <f t="shared" si="1"/>
        <v>62917128</v>
      </c>
    </row>
    <row r="40" spans="1:8" s="9" customFormat="1" ht="35.1" customHeight="1" x14ac:dyDescent="0.25">
      <c r="A40" s="244" t="s">
        <v>85</v>
      </c>
      <c r="B40" s="256" t="s">
        <v>86</v>
      </c>
      <c r="C40" s="256"/>
      <c r="D40" s="244"/>
      <c r="E40" s="244"/>
      <c r="F40" s="322">
        <f t="shared" si="0"/>
        <v>0</v>
      </c>
      <c r="G40" s="303"/>
      <c r="H40" s="246"/>
    </row>
    <row r="41" spans="1:8" s="9" customFormat="1" ht="35.1" customHeight="1" x14ac:dyDescent="0.25">
      <c r="A41" s="240" t="s">
        <v>87</v>
      </c>
      <c r="B41" s="251" t="s">
        <v>54</v>
      </c>
      <c r="C41" s="240" t="s">
        <v>55</v>
      </c>
      <c r="D41" s="322">
        <f>_xlfn.XLOOKUP(A41,'PARA ENVÍO UNIFICADO (VANE)'!$A$4:$A$729,'PARA ENVÍO UNIFICADO (VANE)'!$D$4:$D$729,0,0)</f>
        <v>84343.400000000023</v>
      </c>
      <c r="E41" s="322">
        <f>_xlfn.XLOOKUP(A41,'PARA ENVÍO UNIFICADO (VANE)'!$A$4:$A$729,'PARA ENVÍO UNIFICADO (VANE)'!$E$4:$E$729,0,0)</f>
        <v>134615.48000000001</v>
      </c>
      <c r="F41" s="322">
        <f t="shared" si="0"/>
        <v>218958.88</v>
      </c>
      <c r="G41" s="243">
        <v>5221</v>
      </c>
      <c r="H41" s="243">
        <f t="shared" si="1"/>
        <v>1143184312.48</v>
      </c>
    </row>
    <row r="42" spans="1:8" s="9" customFormat="1" ht="35.1" customHeight="1" x14ac:dyDescent="0.25">
      <c r="A42" s="253" t="s">
        <v>88</v>
      </c>
      <c r="B42" s="254" t="s">
        <v>89</v>
      </c>
      <c r="C42" s="240" t="s">
        <v>13</v>
      </c>
      <c r="D42" s="322">
        <f>_xlfn.XLOOKUP(A42,'PARA ENVÍO UNIFICADO (VANE)'!$A$4:$A$729,'PARA ENVÍO UNIFICADO (VANE)'!$D$4:$D$729,0,0)</f>
        <v>938.19999999999982</v>
      </c>
      <c r="E42" s="322">
        <f>_xlfn.XLOOKUP(A42,'PARA ENVÍO UNIFICADO (VANE)'!$A$4:$A$729,'PARA ENVÍO UNIFICADO (VANE)'!$E$4:$E$729,0,0)</f>
        <v>6220.01</v>
      </c>
      <c r="F42" s="322">
        <f t="shared" si="0"/>
        <v>7158.21</v>
      </c>
      <c r="G42" s="243">
        <v>7898</v>
      </c>
      <c r="H42" s="243">
        <f t="shared" si="1"/>
        <v>56535542.579999998</v>
      </c>
    </row>
    <row r="43" spans="1:8" s="9" customFormat="1" ht="35.1" customHeight="1" x14ac:dyDescent="0.25">
      <c r="A43" s="244" t="s">
        <v>90</v>
      </c>
      <c r="B43" s="256" t="s">
        <v>91</v>
      </c>
      <c r="C43" s="256"/>
      <c r="D43" s="244"/>
      <c r="E43" s="244"/>
      <c r="F43" s="322">
        <f t="shared" si="0"/>
        <v>0</v>
      </c>
      <c r="G43" s="303"/>
      <c r="H43" s="246"/>
    </row>
    <row r="44" spans="1:8" s="9" customFormat="1" ht="35.1" customHeight="1" x14ac:dyDescent="0.25">
      <c r="A44" s="240" t="s">
        <v>92</v>
      </c>
      <c r="B44" s="251" t="s">
        <v>93</v>
      </c>
      <c r="C44" s="240" t="s">
        <v>94</v>
      </c>
      <c r="D44" s="322">
        <f>_xlfn.XLOOKUP(A44,'PARA ENVÍO UNIFICADO (VANE)'!$A$4:$A$729,'PARA ENVÍO UNIFICADO (VANE)'!$D$4:$D$729,0,0)</f>
        <v>14.099999999999994</v>
      </c>
      <c r="E44" s="322">
        <f>_xlfn.XLOOKUP(A44,'PARA ENVÍO UNIFICADO (VANE)'!$A$4:$A$729,'PARA ENVÍO UNIFICADO (VANE)'!$E$4:$E$729,0,0)</f>
        <v>194</v>
      </c>
      <c r="F44" s="322">
        <f t="shared" si="0"/>
        <v>208.1</v>
      </c>
      <c r="G44" s="243">
        <v>112181</v>
      </c>
      <c r="H44" s="243">
        <f t="shared" si="1"/>
        <v>23344866.100000001</v>
      </c>
    </row>
    <row r="45" spans="1:8" s="9" customFormat="1" ht="35.1" customHeight="1" x14ac:dyDescent="0.25">
      <c r="A45" s="240" t="s">
        <v>95</v>
      </c>
      <c r="B45" s="251" t="s">
        <v>96</v>
      </c>
      <c r="C45" s="240" t="s">
        <v>94</v>
      </c>
      <c r="D45" s="322">
        <f>_xlfn.XLOOKUP(A45,'PARA ENVÍO UNIFICADO (VANE)'!$A$4:$A$729,'PARA ENVÍO UNIFICADO (VANE)'!$D$4:$D$729,0,0)</f>
        <v>28.599999999999994</v>
      </c>
      <c r="E45" s="322">
        <f>_xlfn.XLOOKUP(A45,'PARA ENVÍO UNIFICADO (VANE)'!$A$4:$A$729,'PARA ENVÍO UNIFICADO (VANE)'!$E$4:$E$729,0,0)</f>
        <v>1240</v>
      </c>
      <c r="F45" s="322">
        <f t="shared" si="0"/>
        <v>1268.5999999999999</v>
      </c>
      <c r="G45" s="243">
        <v>80260</v>
      </c>
      <c r="H45" s="243">
        <f t="shared" si="1"/>
        <v>101817836</v>
      </c>
    </row>
    <row r="46" spans="1:8" s="9" customFormat="1" ht="35.1" customHeight="1" x14ac:dyDescent="0.25">
      <c r="A46" s="240" t="s">
        <v>97</v>
      </c>
      <c r="B46" s="254" t="s">
        <v>98</v>
      </c>
      <c r="C46" s="255" t="s">
        <v>13</v>
      </c>
      <c r="D46" s="322">
        <f>_xlfn.XLOOKUP(A46,'PARA ENVÍO UNIFICADO (VANE)'!$A$4:$A$729,'PARA ENVÍO UNIFICADO (VANE)'!$D$4:$D$729,0,0)</f>
        <v>488.5</v>
      </c>
      <c r="E46" s="322">
        <f>_xlfn.XLOOKUP(A46,'PARA ENVÍO UNIFICADO (VANE)'!$A$4:$A$729,'PARA ENVÍO UNIFICADO (VANE)'!$E$4:$E$729,0,0)</f>
        <v>508</v>
      </c>
      <c r="F46" s="322">
        <f t="shared" si="0"/>
        <v>996.5</v>
      </c>
      <c r="G46" s="243">
        <v>106122</v>
      </c>
      <c r="H46" s="243">
        <f t="shared" si="1"/>
        <v>105750573</v>
      </c>
    </row>
    <row r="47" spans="1:8" s="9" customFormat="1" ht="35.1" customHeight="1" x14ac:dyDescent="0.25">
      <c r="A47" s="247">
        <v>4</v>
      </c>
      <c r="B47" s="248" t="s">
        <v>99</v>
      </c>
      <c r="C47" s="248"/>
      <c r="D47" s="305"/>
      <c r="E47" s="305"/>
      <c r="F47" s="322">
        <f t="shared" si="0"/>
        <v>0</v>
      </c>
      <c r="G47" s="305"/>
      <c r="H47" s="249"/>
    </row>
    <row r="48" spans="1:8" s="9" customFormat="1" ht="35.1" customHeight="1" x14ac:dyDescent="0.25">
      <c r="A48" s="244" t="s">
        <v>100</v>
      </c>
      <c r="B48" s="245" t="s">
        <v>101</v>
      </c>
      <c r="C48" s="260"/>
      <c r="D48" s="244"/>
      <c r="E48" s="244"/>
      <c r="F48" s="322">
        <f t="shared" si="0"/>
        <v>0</v>
      </c>
      <c r="G48" s="303"/>
      <c r="H48" s="246"/>
    </row>
    <row r="49" spans="1:8" s="9" customFormat="1" ht="35.1" customHeight="1" x14ac:dyDescent="0.25">
      <c r="A49" s="255" t="s">
        <v>102</v>
      </c>
      <c r="B49" s="254" t="s">
        <v>1062</v>
      </c>
      <c r="C49" s="255" t="s">
        <v>13</v>
      </c>
      <c r="D49" s="322">
        <f>_xlfn.XLOOKUP(A49,'PARA ENVÍO UNIFICADO (VANE)'!$A$4:$A$729,'PARA ENVÍO UNIFICADO (VANE)'!$D$4:$D$729,0,0)</f>
        <v>0</v>
      </c>
      <c r="E49" s="322">
        <f>_xlfn.XLOOKUP(A49,'PARA ENVÍO UNIFICADO (VANE)'!$A$4:$A$729,'PARA ENVÍO UNIFICADO (VANE)'!$E$4:$E$729,0,0)</f>
        <v>59.86</v>
      </c>
      <c r="F49" s="322">
        <f t="shared" si="0"/>
        <v>59.86</v>
      </c>
      <c r="G49" s="243">
        <v>54016</v>
      </c>
      <c r="H49" s="243">
        <f t="shared" si="1"/>
        <v>3233397.76</v>
      </c>
    </row>
    <row r="50" spans="1:8" s="9" customFormat="1" ht="35.1" customHeight="1" x14ac:dyDescent="0.25">
      <c r="A50" s="255" t="s">
        <v>104</v>
      </c>
      <c r="B50" s="254" t="s">
        <v>105</v>
      </c>
      <c r="C50" s="255" t="s">
        <v>13</v>
      </c>
      <c r="D50" s="322">
        <f>_xlfn.XLOOKUP(A50,'PARA ENVÍO UNIFICADO (VANE)'!$A$4:$A$729,'PARA ENVÍO UNIFICADO (VANE)'!$D$4:$D$729,0,0)</f>
        <v>0</v>
      </c>
      <c r="E50" s="322">
        <f>_xlfn.XLOOKUP(A50,'PARA ENVÍO UNIFICADO (VANE)'!$A$4:$A$729,'PARA ENVÍO UNIFICADO (VANE)'!$E$4:$E$729,0,0)</f>
        <v>388.43</v>
      </c>
      <c r="F50" s="322">
        <f t="shared" si="0"/>
        <v>388.43</v>
      </c>
      <c r="G50" s="243">
        <v>54016</v>
      </c>
      <c r="H50" s="243">
        <f t="shared" si="1"/>
        <v>20981434.879999999</v>
      </c>
    </row>
    <row r="51" spans="1:8" s="9" customFormat="1" ht="35.1" customHeight="1" x14ac:dyDescent="0.25">
      <c r="A51" s="261" t="s">
        <v>1063</v>
      </c>
      <c r="B51" s="262" t="s">
        <v>1064</v>
      </c>
      <c r="C51" s="263"/>
      <c r="D51" s="244"/>
      <c r="E51" s="244"/>
      <c r="F51" s="322">
        <f t="shared" si="0"/>
        <v>0</v>
      </c>
      <c r="G51" s="303"/>
      <c r="H51" s="246"/>
    </row>
    <row r="52" spans="1:8" s="9" customFormat="1" ht="49.15" customHeight="1" x14ac:dyDescent="0.25">
      <c r="A52" s="255" t="s">
        <v>1065</v>
      </c>
      <c r="B52" s="254" t="s">
        <v>103</v>
      </c>
      <c r="C52" s="255" t="s">
        <v>13</v>
      </c>
      <c r="D52" s="322">
        <f>_xlfn.XLOOKUP(A52,'PARA ENVÍO UNIFICADO (VANE)'!$A$4:$A$729,'PARA ENVÍO UNIFICADO (VANE)'!$D$4:$D$729,0,0)</f>
        <v>68.989999999999995</v>
      </c>
      <c r="E52" s="322">
        <f>_xlfn.XLOOKUP(A52,'PARA ENVÍO UNIFICADO (VANE)'!$A$4:$A$729,'PARA ENVÍO UNIFICADO (VANE)'!$E$4:$E$729,0,0)</f>
        <v>0</v>
      </c>
      <c r="F52" s="322">
        <f t="shared" si="0"/>
        <v>68.989999999999995</v>
      </c>
      <c r="G52" s="243">
        <v>54016</v>
      </c>
      <c r="H52" s="243">
        <f t="shared" si="1"/>
        <v>3726563.84</v>
      </c>
    </row>
    <row r="53" spans="1:8" s="9" customFormat="1" ht="35.1" customHeight="1" x14ac:dyDescent="0.25">
      <c r="A53" s="255" t="s">
        <v>1066</v>
      </c>
      <c r="B53" s="254" t="s">
        <v>105</v>
      </c>
      <c r="C53" s="255" t="s">
        <v>13</v>
      </c>
      <c r="D53" s="322">
        <f>_xlfn.XLOOKUP(A53,'PARA ENVÍO UNIFICADO (VANE)'!$A$4:$A$729,'PARA ENVÍO UNIFICADO (VANE)'!$D$4:$D$729,0,0)</f>
        <v>701.75</v>
      </c>
      <c r="E53" s="322">
        <f>_xlfn.XLOOKUP(A53,'PARA ENVÍO UNIFICADO (VANE)'!$A$4:$A$729,'PARA ENVÍO UNIFICADO (VANE)'!$E$4:$E$729,0,0)</f>
        <v>0</v>
      </c>
      <c r="F53" s="322">
        <f t="shared" si="0"/>
        <v>701.75</v>
      </c>
      <c r="G53" s="243">
        <v>54016</v>
      </c>
      <c r="H53" s="243">
        <f t="shared" si="1"/>
        <v>37905728</v>
      </c>
    </row>
    <row r="54" spans="1:8" s="9" customFormat="1" ht="35.1" customHeight="1" x14ac:dyDescent="0.25">
      <c r="A54" s="244" t="s">
        <v>1067</v>
      </c>
      <c r="B54" s="245" t="s">
        <v>1068</v>
      </c>
      <c r="C54" s="260"/>
      <c r="D54" s="244"/>
      <c r="E54" s="244"/>
      <c r="F54" s="322">
        <f t="shared" si="0"/>
        <v>0</v>
      </c>
      <c r="G54" s="303"/>
      <c r="H54" s="246"/>
    </row>
    <row r="55" spans="1:8" s="9" customFormat="1" ht="46.15" customHeight="1" x14ac:dyDescent="0.25">
      <c r="A55" s="255" t="s">
        <v>1069</v>
      </c>
      <c r="B55" s="254" t="s">
        <v>103</v>
      </c>
      <c r="C55" s="255" t="s">
        <v>13</v>
      </c>
      <c r="D55" s="322">
        <f>_xlfn.XLOOKUP(A55,'PARA ENVÍO UNIFICADO (VANE)'!$A$4:$A$729,'PARA ENVÍO UNIFICADO (VANE)'!$D$4:$D$729,0,0)</f>
        <v>68.989999999999995</v>
      </c>
      <c r="E55" s="322">
        <f>_xlfn.XLOOKUP(A55,'PARA ENVÍO UNIFICADO (VANE)'!$A$4:$A$729,'PARA ENVÍO UNIFICADO (VANE)'!$E$4:$E$729,0,0)</f>
        <v>0</v>
      </c>
      <c r="F55" s="322">
        <f t="shared" si="0"/>
        <v>68.989999999999995</v>
      </c>
      <c r="G55" s="243">
        <v>74748</v>
      </c>
      <c r="H55" s="243">
        <f t="shared" si="1"/>
        <v>5156864.5199999996</v>
      </c>
    </row>
    <row r="56" spans="1:8" s="9" customFormat="1" ht="35.1" customHeight="1" x14ac:dyDescent="0.25">
      <c r="A56" s="255" t="s">
        <v>1070</v>
      </c>
      <c r="B56" s="254" t="s">
        <v>105</v>
      </c>
      <c r="C56" s="255" t="s">
        <v>13</v>
      </c>
      <c r="D56" s="322">
        <f>_xlfn.XLOOKUP(A56,'PARA ENVÍO UNIFICADO (VANE)'!$A$4:$A$729,'PARA ENVÍO UNIFICADO (VANE)'!$D$4:$D$729,0,0)</f>
        <v>565.59</v>
      </c>
      <c r="E56" s="322">
        <f>_xlfn.XLOOKUP(A56,'PARA ENVÍO UNIFICADO (VANE)'!$A$4:$A$729,'PARA ENVÍO UNIFICADO (VANE)'!$E$4:$E$729,0,0)</f>
        <v>0</v>
      </c>
      <c r="F56" s="322">
        <f t="shared" si="0"/>
        <v>565.59</v>
      </c>
      <c r="G56" s="243">
        <v>70784</v>
      </c>
      <c r="H56" s="243">
        <f t="shared" si="1"/>
        <v>40034722.560000002</v>
      </c>
    </row>
    <row r="57" spans="1:8" s="9" customFormat="1" ht="35.1" customHeight="1" x14ac:dyDescent="0.25">
      <c r="A57" s="265" t="s">
        <v>1071</v>
      </c>
      <c r="B57" s="245" t="s">
        <v>1072</v>
      </c>
      <c r="C57" s="260"/>
      <c r="D57" s="244"/>
      <c r="E57" s="244"/>
      <c r="F57" s="322">
        <f t="shared" si="0"/>
        <v>0</v>
      </c>
      <c r="G57" s="303"/>
      <c r="H57" s="246"/>
    </row>
    <row r="58" spans="1:8" s="9" customFormat="1" ht="50.45" customHeight="1" x14ac:dyDescent="0.25">
      <c r="A58" s="255" t="s">
        <v>1073</v>
      </c>
      <c r="B58" s="254" t="s">
        <v>103</v>
      </c>
      <c r="C58" s="255" t="s">
        <v>13</v>
      </c>
      <c r="D58" s="322">
        <f>_xlfn.XLOOKUP(A58,'PARA ENVÍO UNIFICADO (VANE)'!$A$4:$A$729,'PARA ENVÍO UNIFICADO (VANE)'!$D$4:$D$729,0,0)</f>
        <v>51.89</v>
      </c>
      <c r="E58" s="322">
        <f>_xlfn.XLOOKUP(A58,'PARA ENVÍO UNIFICADO (VANE)'!$A$4:$A$729,'PARA ENVÍO UNIFICADO (VANE)'!$E$4:$E$729,0,0)</f>
        <v>0</v>
      </c>
      <c r="F58" s="322">
        <f t="shared" si="0"/>
        <v>51.89</v>
      </c>
      <c r="G58" s="243">
        <v>74748</v>
      </c>
      <c r="H58" s="243">
        <f t="shared" si="1"/>
        <v>3878673.72</v>
      </c>
    </row>
    <row r="59" spans="1:8" s="9" customFormat="1" ht="35.1" customHeight="1" x14ac:dyDescent="0.25">
      <c r="A59" s="255" t="s">
        <v>1074</v>
      </c>
      <c r="B59" s="254" t="s">
        <v>105</v>
      </c>
      <c r="C59" s="255" t="s">
        <v>13</v>
      </c>
      <c r="D59" s="322">
        <f>_xlfn.XLOOKUP(A59,'PARA ENVÍO UNIFICADO (VANE)'!$A$4:$A$729,'PARA ENVÍO UNIFICADO (VANE)'!$D$4:$D$729,0,0)</f>
        <v>1250.28</v>
      </c>
      <c r="E59" s="322">
        <f>_xlfn.XLOOKUP(A59,'PARA ENVÍO UNIFICADO (VANE)'!$A$4:$A$729,'PARA ENVÍO UNIFICADO (VANE)'!$E$4:$E$729,0,0)</f>
        <v>0</v>
      </c>
      <c r="F59" s="322">
        <f t="shared" si="0"/>
        <v>1250.28</v>
      </c>
      <c r="G59" s="243">
        <v>70784</v>
      </c>
      <c r="H59" s="243">
        <f t="shared" si="1"/>
        <v>88499819.519999996</v>
      </c>
    </row>
    <row r="60" spans="1:8" s="9" customFormat="1" ht="35.1" customHeight="1" x14ac:dyDescent="0.25">
      <c r="A60" s="255" t="s">
        <v>1075</v>
      </c>
      <c r="B60" s="254" t="s">
        <v>1076</v>
      </c>
      <c r="C60" s="255" t="s">
        <v>94</v>
      </c>
      <c r="D60" s="322">
        <f>_xlfn.XLOOKUP(A60,'PARA ENVÍO UNIFICADO (VANE)'!$A$4:$A$729,'PARA ENVÍO UNIFICADO (VANE)'!$D$4:$D$729,0,0)</f>
        <v>250.05600000000001</v>
      </c>
      <c r="E60" s="322">
        <f>_xlfn.XLOOKUP(A60,'PARA ENVÍO UNIFICADO (VANE)'!$A$4:$A$729,'PARA ENVÍO UNIFICADO (VANE)'!$E$4:$E$729,0,0)</f>
        <v>0</v>
      </c>
      <c r="F60" s="322">
        <f t="shared" si="0"/>
        <v>250.06</v>
      </c>
      <c r="G60" s="243">
        <v>17969</v>
      </c>
      <c r="H60" s="243">
        <f t="shared" si="1"/>
        <v>4493328.1399999997</v>
      </c>
    </row>
    <row r="61" spans="1:8" s="9" customFormat="1" ht="35.1" customHeight="1" x14ac:dyDescent="0.25">
      <c r="A61" s="255" t="s">
        <v>1077</v>
      </c>
      <c r="B61" s="254" t="s">
        <v>1078</v>
      </c>
      <c r="C61" s="255" t="s">
        <v>13</v>
      </c>
      <c r="D61" s="322">
        <f>_xlfn.XLOOKUP(A61,'PARA ENVÍO UNIFICADO (VANE)'!$A$4:$A$729,'PARA ENVÍO UNIFICADO (VANE)'!$D$4:$D$729,0,0)</f>
        <v>149.82</v>
      </c>
      <c r="E61" s="322">
        <f>_xlfn.XLOOKUP(A61,'PARA ENVÍO UNIFICADO (VANE)'!$A$4:$A$729,'PARA ENVÍO UNIFICADO (VANE)'!$E$4:$E$729,0,0)</f>
        <v>0</v>
      </c>
      <c r="F61" s="322">
        <f t="shared" si="0"/>
        <v>149.82</v>
      </c>
      <c r="G61" s="243">
        <v>49329</v>
      </c>
      <c r="H61" s="243">
        <f t="shared" si="1"/>
        <v>7390470.7800000003</v>
      </c>
    </row>
    <row r="62" spans="1:8" s="9" customFormat="1" ht="35.1" customHeight="1" x14ac:dyDescent="0.25">
      <c r="A62" s="247">
        <v>5</v>
      </c>
      <c r="B62" s="248" t="s">
        <v>106</v>
      </c>
      <c r="C62" s="248"/>
      <c r="D62" s="305"/>
      <c r="E62" s="305"/>
      <c r="F62" s="322">
        <f t="shared" si="0"/>
        <v>0</v>
      </c>
      <c r="G62" s="305"/>
      <c r="H62" s="249"/>
    </row>
    <row r="63" spans="1:8" s="9" customFormat="1" ht="35.1" customHeight="1" x14ac:dyDescent="0.25">
      <c r="A63" s="244" t="s">
        <v>107</v>
      </c>
      <c r="B63" s="256" t="s">
        <v>108</v>
      </c>
      <c r="C63" s="256"/>
      <c r="D63" s="256"/>
      <c r="E63" s="256"/>
      <c r="F63" s="322">
        <f t="shared" si="0"/>
        <v>0</v>
      </c>
      <c r="G63" s="303"/>
      <c r="H63" s="246"/>
    </row>
    <row r="64" spans="1:8" s="9" customFormat="1" ht="35.1" customHeight="1" x14ac:dyDescent="0.25">
      <c r="A64" s="255" t="s">
        <v>109</v>
      </c>
      <c r="B64" s="241" t="s">
        <v>110</v>
      </c>
      <c r="C64" s="240" t="s">
        <v>30</v>
      </c>
      <c r="D64" s="322">
        <f>_xlfn.XLOOKUP(A64,'PARA ENVÍO UNIFICADO (VANE)'!$A$4:$A$729,'PARA ENVÍO UNIFICADO (VANE)'!$D$4:$D$729,0,0)</f>
        <v>0</v>
      </c>
      <c r="E64" s="322">
        <f>_xlfn.XLOOKUP(A64,'PARA ENVÍO UNIFICADO (VANE)'!$A$4:$A$729,'PARA ENVÍO UNIFICADO (VANE)'!$E$4:$E$729,0,0)</f>
        <v>0.73</v>
      </c>
      <c r="F64" s="322">
        <f t="shared" si="0"/>
        <v>0.73</v>
      </c>
      <c r="G64" s="243">
        <v>842176</v>
      </c>
      <c r="H64" s="243">
        <f t="shared" si="1"/>
        <v>614788.48</v>
      </c>
    </row>
    <row r="65" spans="1:8" s="9" customFormat="1" ht="35.1" customHeight="1" x14ac:dyDescent="0.25">
      <c r="A65" s="255" t="s">
        <v>111</v>
      </c>
      <c r="B65" s="241" t="s">
        <v>112</v>
      </c>
      <c r="C65" s="240" t="s">
        <v>30</v>
      </c>
      <c r="D65" s="322">
        <f>_xlfn.XLOOKUP(A65,'PARA ENVÍO UNIFICADO (VANE)'!$A$4:$A$729,'PARA ENVÍO UNIFICADO (VANE)'!$D$4:$D$729,0,0)</f>
        <v>11.33</v>
      </c>
      <c r="E65" s="322">
        <f>_xlfn.XLOOKUP(A65,'PARA ENVÍO UNIFICADO (VANE)'!$A$4:$A$729,'PARA ENVÍO UNIFICADO (VANE)'!$E$4:$E$729,0,0)</f>
        <v>11.33</v>
      </c>
      <c r="F65" s="322">
        <f t="shared" si="0"/>
        <v>22.66</v>
      </c>
      <c r="G65" s="243">
        <v>842176</v>
      </c>
      <c r="H65" s="243">
        <f t="shared" si="1"/>
        <v>19083708.16</v>
      </c>
    </row>
    <row r="66" spans="1:8" s="9" customFormat="1" ht="35.1" customHeight="1" x14ac:dyDescent="0.25">
      <c r="A66" s="255" t="s">
        <v>113</v>
      </c>
      <c r="B66" s="241" t="s">
        <v>114</v>
      </c>
      <c r="C66" s="240" t="s">
        <v>30</v>
      </c>
      <c r="D66" s="322">
        <f>_xlfn.XLOOKUP(A66,'PARA ENVÍO UNIFICADO (VANE)'!$A$4:$A$729,'PARA ENVÍO UNIFICADO (VANE)'!$D$4:$D$729,0,0)</f>
        <v>95.594999999999999</v>
      </c>
      <c r="E66" s="322">
        <f>_xlfn.XLOOKUP(A66,'PARA ENVÍO UNIFICADO (VANE)'!$A$4:$A$729,'PARA ENVÍO UNIFICADO (VANE)'!$E$4:$E$729,0,0)</f>
        <v>95.6</v>
      </c>
      <c r="F66" s="322">
        <f t="shared" si="0"/>
        <v>191.2</v>
      </c>
      <c r="G66" s="243">
        <v>842176</v>
      </c>
      <c r="H66" s="243">
        <f t="shared" si="1"/>
        <v>161024051.19999999</v>
      </c>
    </row>
    <row r="67" spans="1:8" s="9" customFormat="1" ht="35.1" customHeight="1" x14ac:dyDescent="0.25">
      <c r="A67" s="255" t="s">
        <v>115</v>
      </c>
      <c r="B67" s="241" t="s">
        <v>116</v>
      </c>
      <c r="C67" s="240" t="s">
        <v>30</v>
      </c>
      <c r="D67" s="322">
        <f>_xlfn.XLOOKUP(A67,'PARA ENVÍO UNIFICADO (VANE)'!$A$4:$A$729,'PARA ENVÍO UNIFICADO (VANE)'!$D$4:$D$729,0,0)</f>
        <v>20.12</v>
      </c>
      <c r="E67" s="322">
        <f>_xlfn.XLOOKUP(A67,'PARA ENVÍO UNIFICADO (VANE)'!$A$4:$A$729,'PARA ENVÍO UNIFICADO (VANE)'!$E$4:$E$729,0,0)</f>
        <v>20.12</v>
      </c>
      <c r="F67" s="322">
        <f t="shared" si="0"/>
        <v>40.24</v>
      </c>
      <c r="G67" s="243">
        <v>842176</v>
      </c>
      <c r="H67" s="243">
        <f t="shared" si="1"/>
        <v>33889162.240000002</v>
      </c>
    </row>
    <row r="68" spans="1:8" s="9" customFormat="1" ht="35.1" customHeight="1" x14ac:dyDescent="0.25">
      <c r="A68" s="255" t="s">
        <v>117</v>
      </c>
      <c r="B68" s="241" t="s">
        <v>118</v>
      </c>
      <c r="C68" s="240" t="s">
        <v>30</v>
      </c>
      <c r="D68" s="322">
        <f>_xlfn.XLOOKUP(A68,'PARA ENVÍO UNIFICADO (VANE)'!$A$4:$A$729,'PARA ENVÍO UNIFICADO (VANE)'!$D$4:$D$729,0,0)</f>
        <v>80.484999999999999</v>
      </c>
      <c r="E68" s="322">
        <f>_xlfn.XLOOKUP(A68,'PARA ENVÍO UNIFICADO (VANE)'!$A$4:$A$729,'PARA ENVÍO UNIFICADO (VANE)'!$E$4:$E$729,0,0)</f>
        <v>80.489999999999995</v>
      </c>
      <c r="F68" s="322">
        <f t="shared" si="0"/>
        <v>160.97999999999999</v>
      </c>
      <c r="G68" s="243">
        <v>842176</v>
      </c>
      <c r="H68" s="243">
        <f t="shared" si="1"/>
        <v>135573492.47999999</v>
      </c>
    </row>
    <row r="69" spans="1:8" s="9" customFormat="1" ht="35.1" customHeight="1" x14ac:dyDescent="0.25">
      <c r="A69" s="255" t="s">
        <v>119</v>
      </c>
      <c r="B69" s="241" t="s">
        <v>120</v>
      </c>
      <c r="C69" s="240" t="s">
        <v>13</v>
      </c>
      <c r="D69" s="322">
        <f>_xlfn.XLOOKUP(A69,'PARA ENVÍO UNIFICADO (VANE)'!$A$4:$A$729,'PARA ENVÍO UNIFICADO (VANE)'!$D$4:$D$729,0,0)</f>
        <v>79.69</v>
      </c>
      <c r="E69" s="322">
        <f>_xlfn.XLOOKUP(A69,'PARA ENVÍO UNIFICADO (VANE)'!$A$4:$A$729,'PARA ENVÍO UNIFICADO (VANE)'!$E$4:$E$729,0,0)</f>
        <v>79.69</v>
      </c>
      <c r="F69" s="322">
        <f t="shared" ref="F69:F132" si="2">ROUND(D69+E69,2)</f>
        <v>159.38</v>
      </c>
      <c r="G69" s="243">
        <v>153751</v>
      </c>
      <c r="H69" s="243">
        <f t="shared" si="1"/>
        <v>24504834.379999999</v>
      </c>
    </row>
    <row r="70" spans="1:8" s="9" customFormat="1" ht="35.1" customHeight="1" x14ac:dyDescent="0.25">
      <c r="A70" s="255" t="s">
        <v>121</v>
      </c>
      <c r="B70" s="254" t="s">
        <v>122</v>
      </c>
      <c r="C70" s="255" t="s">
        <v>13</v>
      </c>
      <c r="D70" s="322">
        <f>_xlfn.XLOOKUP(A70,'PARA ENVÍO UNIFICADO (VANE)'!$A$4:$A$729,'PARA ENVÍO UNIFICADO (VANE)'!$D$4:$D$729,0,0)</f>
        <v>21.32</v>
      </c>
      <c r="E70" s="322">
        <f>_xlfn.XLOOKUP(A70,'PARA ENVÍO UNIFICADO (VANE)'!$A$4:$A$729,'PARA ENVÍO UNIFICADO (VANE)'!$E$4:$E$729,0,0)</f>
        <v>21.32</v>
      </c>
      <c r="F70" s="322">
        <f t="shared" si="2"/>
        <v>42.64</v>
      </c>
      <c r="G70" s="243">
        <v>307503</v>
      </c>
      <c r="H70" s="243">
        <f t="shared" si="1"/>
        <v>13111927.92</v>
      </c>
    </row>
    <row r="71" spans="1:8" s="9" customFormat="1" ht="35.1" customHeight="1" x14ac:dyDescent="0.25">
      <c r="A71" s="244" t="s">
        <v>123</v>
      </c>
      <c r="B71" s="256" t="s">
        <v>124</v>
      </c>
      <c r="C71" s="256"/>
      <c r="D71" s="244"/>
      <c r="E71" s="244"/>
      <c r="F71" s="322">
        <f t="shared" si="2"/>
        <v>0</v>
      </c>
      <c r="G71" s="303"/>
      <c r="H71" s="246"/>
    </row>
    <row r="72" spans="1:8" s="9" customFormat="1" ht="35.1" customHeight="1" x14ac:dyDescent="0.25">
      <c r="A72" s="255" t="s">
        <v>125</v>
      </c>
      <c r="B72" s="241" t="s">
        <v>1079</v>
      </c>
      <c r="C72" s="240" t="s">
        <v>30</v>
      </c>
      <c r="D72" s="322">
        <f>_xlfn.XLOOKUP(A72,'PARA ENVÍO UNIFICADO (VANE)'!$A$4:$A$729,'PARA ENVÍO UNIFICADO (VANE)'!$D$4:$D$729,0,0)</f>
        <v>0</v>
      </c>
      <c r="E72" s="322">
        <f>_xlfn.XLOOKUP(A72,'PARA ENVÍO UNIFICADO (VANE)'!$A$4:$A$729,'PARA ENVÍO UNIFICADO (VANE)'!$E$4:$E$729,0,0)</f>
        <v>0.17</v>
      </c>
      <c r="F72" s="322">
        <f t="shared" si="2"/>
        <v>0.17</v>
      </c>
      <c r="G72" s="243">
        <v>842176</v>
      </c>
      <c r="H72" s="243">
        <f t="shared" si="1"/>
        <v>143169.92000000001</v>
      </c>
    </row>
    <row r="73" spans="1:8" s="9" customFormat="1" ht="35.1" customHeight="1" x14ac:dyDescent="0.25">
      <c r="A73" s="255" t="s">
        <v>126</v>
      </c>
      <c r="B73" s="241" t="s">
        <v>1080</v>
      </c>
      <c r="C73" s="240" t="s">
        <v>30</v>
      </c>
      <c r="D73" s="322">
        <f>_xlfn.XLOOKUP(A73,'PARA ENVÍO UNIFICADO (VANE)'!$A$4:$A$729,'PARA ENVÍO UNIFICADO (VANE)'!$D$4:$D$729,0,0)</f>
        <v>0</v>
      </c>
      <c r="E73" s="322">
        <f>_xlfn.XLOOKUP(A73,'PARA ENVÍO UNIFICADO (VANE)'!$A$4:$A$729,'PARA ENVÍO UNIFICADO (VANE)'!$E$4:$E$729,0,0)</f>
        <v>56.08</v>
      </c>
      <c r="F73" s="322">
        <f t="shared" si="2"/>
        <v>56.08</v>
      </c>
      <c r="G73" s="243">
        <v>842176</v>
      </c>
      <c r="H73" s="243">
        <f t="shared" si="1"/>
        <v>47229230.079999998</v>
      </c>
    </row>
    <row r="74" spans="1:8" s="9" customFormat="1" ht="35.1" customHeight="1" x14ac:dyDescent="0.25">
      <c r="A74" s="244" t="s">
        <v>127</v>
      </c>
      <c r="B74" s="245" t="s">
        <v>128</v>
      </c>
      <c r="C74" s="244"/>
      <c r="D74" s="244"/>
      <c r="E74" s="244"/>
      <c r="F74" s="322">
        <f t="shared" si="2"/>
        <v>0</v>
      </c>
      <c r="G74" s="303"/>
      <c r="H74" s="246"/>
    </row>
    <row r="75" spans="1:8" s="9" customFormat="1" ht="35.1" customHeight="1" x14ac:dyDescent="0.25">
      <c r="A75" s="255" t="s">
        <v>129</v>
      </c>
      <c r="B75" s="87" t="s">
        <v>130</v>
      </c>
      <c r="C75" s="240" t="s">
        <v>13</v>
      </c>
      <c r="D75" s="322">
        <f>_xlfn.XLOOKUP(A75,'PARA ENVÍO UNIFICADO (VANE)'!$A$4:$A$729,'PARA ENVÍO UNIFICADO (VANE)'!$D$4:$D$729,0,0)</f>
        <v>91.915000000000006</v>
      </c>
      <c r="E75" s="322">
        <f>_xlfn.XLOOKUP(A75,'PARA ENVÍO UNIFICADO (VANE)'!$A$4:$A$729,'PARA ENVÍO UNIFICADO (VANE)'!$E$4:$E$729,0,0)</f>
        <v>91.92</v>
      </c>
      <c r="F75" s="322">
        <f t="shared" si="2"/>
        <v>183.84</v>
      </c>
      <c r="G75" s="243">
        <v>110927</v>
      </c>
      <c r="H75" s="243">
        <f t="shared" si="1"/>
        <v>20392819.68</v>
      </c>
    </row>
    <row r="76" spans="1:8" s="9" customFormat="1" ht="35.1" customHeight="1" x14ac:dyDescent="0.25">
      <c r="A76" s="255" t="s">
        <v>131</v>
      </c>
      <c r="B76" s="87" t="s">
        <v>112</v>
      </c>
      <c r="C76" s="240" t="s">
        <v>30</v>
      </c>
      <c r="D76" s="322">
        <f>_xlfn.XLOOKUP(A76,'PARA ENVÍO UNIFICADO (VANE)'!$A$4:$A$729,'PARA ENVÍO UNIFICADO (VANE)'!$D$4:$D$729,0,0)</f>
        <v>29.659999999999997</v>
      </c>
      <c r="E76" s="322">
        <f>_xlfn.XLOOKUP(A76,'PARA ENVÍO UNIFICADO (VANE)'!$A$4:$A$729,'PARA ENVÍO UNIFICADO (VANE)'!$E$4:$E$729,0,0)</f>
        <v>29.67</v>
      </c>
      <c r="F76" s="322">
        <f t="shared" si="2"/>
        <v>59.33</v>
      </c>
      <c r="G76" s="243">
        <v>842176</v>
      </c>
      <c r="H76" s="243">
        <f t="shared" si="1"/>
        <v>49966302.079999998</v>
      </c>
    </row>
    <row r="77" spans="1:8" s="9" customFormat="1" ht="35.1" customHeight="1" x14ac:dyDescent="0.25">
      <c r="A77" s="255" t="s">
        <v>132</v>
      </c>
      <c r="B77" s="87" t="s">
        <v>114</v>
      </c>
      <c r="C77" s="240" t="s">
        <v>30</v>
      </c>
      <c r="D77" s="322">
        <f>_xlfn.XLOOKUP(A77,'PARA ENVÍO UNIFICADO (VANE)'!$A$4:$A$729,'PARA ENVÍO UNIFICADO (VANE)'!$D$4:$D$729,0,0)</f>
        <v>8.76</v>
      </c>
      <c r="E77" s="322">
        <f>_xlfn.XLOOKUP(A77,'PARA ENVÍO UNIFICADO (VANE)'!$A$4:$A$729,'PARA ENVÍO UNIFICADO (VANE)'!$E$4:$E$729,0,0)</f>
        <v>8.76</v>
      </c>
      <c r="F77" s="322">
        <f t="shared" si="2"/>
        <v>17.52</v>
      </c>
      <c r="G77" s="243">
        <v>842176</v>
      </c>
      <c r="H77" s="243">
        <f t="shared" si="1"/>
        <v>14754923.52</v>
      </c>
    </row>
    <row r="78" spans="1:8" s="9" customFormat="1" ht="35.1" customHeight="1" x14ac:dyDescent="0.25">
      <c r="A78" s="255" t="s">
        <v>133</v>
      </c>
      <c r="B78" s="87" t="s">
        <v>118</v>
      </c>
      <c r="C78" s="240" t="s">
        <v>30</v>
      </c>
      <c r="D78" s="322">
        <f>_xlfn.XLOOKUP(A78,'PARA ENVÍO UNIFICADO (VANE)'!$A$4:$A$729,'PARA ENVÍO UNIFICADO (VANE)'!$D$4:$D$729,0,0)</f>
        <v>54.390000000000008</v>
      </c>
      <c r="E78" s="322">
        <f>_xlfn.XLOOKUP(A78,'PARA ENVÍO UNIFICADO (VANE)'!$A$4:$A$729,'PARA ENVÍO UNIFICADO (VANE)'!$E$4:$E$729,0,0)</f>
        <v>54.4</v>
      </c>
      <c r="F78" s="322">
        <f t="shared" si="2"/>
        <v>108.79</v>
      </c>
      <c r="G78" s="243">
        <v>842176</v>
      </c>
      <c r="H78" s="243">
        <f t="shared" si="1"/>
        <v>91620327.040000007</v>
      </c>
    </row>
    <row r="79" spans="1:8" s="9" customFormat="1" ht="35.1" customHeight="1" x14ac:dyDescent="0.25">
      <c r="A79" s="255" t="s">
        <v>135</v>
      </c>
      <c r="B79" s="87" t="s">
        <v>120</v>
      </c>
      <c r="C79" s="240" t="s">
        <v>13</v>
      </c>
      <c r="D79" s="322">
        <f>_xlfn.XLOOKUP(A79,'PARA ENVÍO UNIFICADO (VANE)'!$A$4:$A$729,'PARA ENVÍO UNIFICADO (VANE)'!$D$4:$D$729,0,0)</f>
        <v>204.56</v>
      </c>
      <c r="E79" s="322">
        <f>_xlfn.XLOOKUP(A79,'PARA ENVÍO UNIFICADO (VANE)'!$A$4:$A$729,'PARA ENVÍO UNIFICADO (VANE)'!$E$4:$E$729,0,0)</f>
        <v>204.57</v>
      </c>
      <c r="F79" s="322">
        <f t="shared" si="2"/>
        <v>409.13</v>
      </c>
      <c r="G79" s="243">
        <v>153751</v>
      </c>
      <c r="H79" s="243">
        <f t="shared" si="1"/>
        <v>62904146.630000003</v>
      </c>
    </row>
    <row r="80" spans="1:8" s="9" customFormat="1" ht="35.1" customHeight="1" x14ac:dyDescent="0.25">
      <c r="A80" s="255" t="s">
        <v>136</v>
      </c>
      <c r="B80" s="87" t="s">
        <v>122</v>
      </c>
      <c r="C80" s="255" t="s">
        <v>13</v>
      </c>
      <c r="D80" s="322">
        <f>_xlfn.XLOOKUP(A80,'PARA ENVÍO UNIFICADO (VANE)'!$A$4:$A$729,'PARA ENVÍO UNIFICADO (VANE)'!$D$4:$D$729,0,0)</f>
        <v>76.37</v>
      </c>
      <c r="E80" s="322">
        <f>_xlfn.XLOOKUP(A80,'PARA ENVÍO UNIFICADO (VANE)'!$A$4:$A$729,'PARA ENVÍO UNIFICADO (VANE)'!$E$4:$E$729,0,0)</f>
        <v>76.38</v>
      </c>
      <c r="F80" s="322">
        <f t="shared" si="2"/>
        <v>152.75</v>
      </c>
      <c r="G80" s="243">
        <v>307503</v>
      </c>
      <c r="H80" s="243">
        <f t="shared" si="1"/>
        <v>46971083.25</v>
      </c>
    </row>
    <row r="81" spans="1:8" s="9" customFormat="1" ht="35.1" customHeight="1" x14ac:dyDescent="0.25">
      <c r="A81" s="244" t="s">
        <v>137</v>
      </c>
      <c r="B81" s="245" t="s">
        <v>138</v>
      </c>
      <c r="C81" s="244"/>
      <c r="D81" s="244"/>
      <c r="E81" s="244"/>
      <c r="F81" s="322">
        <f t="shared" si="2"/>
        <v>0</v>
      </c>
      <c r="G81" s="303"/>
      <c r="H81" s="246"/>
    </row>
    <row r="82" spans="1:8" s="9" customFormat="1" ht="35.1" customHeight="1" x14ac:dyDescent="0.25">
      <c r="A82" s="255" t="s">
        <v>139</v>
      </c>
      <c r="B82" s="87" t="s">
        <v>130</v>
      </c>
      <c r="C82" s="240" t="s">
        <v>13</v>
      </c>
      <c r="D82" s="322">
        <f>_xlfn.XLOOKUP(A82,'PARA ENVÍO UNIFICADO (VANE)'!$A$4:$A$729,'PARA ENVÍO UNIFICADO (VANE)'!$D$4:$D$729,0,0)</f>
        <v>89.605000000000004</v>
      </c>
      <c r="E82" s="322">
        <f>_xlfn.XLOOKUP(A82,'PARA ENVÍO UNIFICADO (VANE)'!$A$4:$A$729,'PARA ENVÍO UNIFICADO (VANE)'!$E$4:$E$729,0,0)</f>
        <v>89.61</v>
      </c>
      <c r="F82" s="322">
        <f t="shared" si="2"/>
        <v>179.22</v>
      </c>
      <c r="G82" s="243">
        <v>110927</v>
      </c>
      <c r="H82" s="243">
        <f t="shared" ref="H82:H130" si="3">ROUND(+G82*F82,2)</f>
        <v>19880336.940000001</v>
      </c>
    </row>
    <row r="83" spans="1:8" s="9" customFormat="1" ht="35.1" customHeight="1" x14ac:dyDescent="0.25">
      <c r="A83" s="255" t="s">
        <v>140</v>
      </c>
      <c r="B83" s="87" t="s">
        <v>112</v>
      </c>
      <c r="C83" s="240" t="s">
        <v>30</v>
      </c>
      <c r="D83" s="322">
        <f>_xlfn.XLOOKUP(A83,'PARA ENVÍO UNIFICADO (VANE)'!$A$4:$A$729,'PARA ENVÍO UNIFICADO (VANE)'!$D$4:$D$729,0,0)</f>
        <v>1.1200000000000001</v>
      </c>
      <c r="E83" s="322">
        <f>_xlfn.XLOOKUP(A83,'PARA ENVÍO UNIFICADO (VANE)'!$A$4:$A$729,'PARA ENVÍO UNIFICADO (VANE)'!$E$4:$E$729,0,0)</f>
        <v>1.1299999999999999</v>
      </c>
      <c r="F83" s="322">
        <f t="shared" si="2"/>
        <v>2.25</v>
      </c>
      <c r="G83" s="243">
        <v>842176</v>
      </c>
      <c r="H83" s="243">
        <f t="shared" si="3"/>
        <v>1894896</v>
      </c>
    </row>
    <row r="84" spans="1:8" s="9" customFormat="1" ht="35.1" customHeight="1" x14ac:dyDescent="0.25">
      <c r="A84" s="255" t="s">
        <v>141</v>
      </c>
      <c r="B84" s="87" t="s">
        <v>114</v>
      </c>
      <c r="C84" s="240" t="s">
        <v>30</v>
      </c>
      <c r="D84" s="322">
        <f>_xlfn.XLOOKUP(A84,'PARA ENVÍO UNIFICADO (VANE)'!$A$4:$A$729,'PARA ENVÍO UNIFICADO (VANE)'!$D$4:$D$729,0,0)</f>
        <v>31.71</v>
      </c>
      <c r="E84" s="322">
        <f>_xlfn.XLOOKUP(A84,'PARA ENVÍO UNIFICADO (VANE)'!$A$4:$A$729,'PARA ENVÍO UNIFICADO (VANE)'!$E$4:$E$729,0,0)</f>
        <v>31.71</v>
      </c>
      <c r="F84" s="322">
        <f t="shared" si="2"/>
        <v>63.42</v>
      </c>
      <c r="G84" s="243">
        <v>842176</v>
      </c>
      <c r="H84" s="243">
        <f t="shared" si="3"/>
        <v>53410801.920000002</v>
      </c>
    </row>
    <row r="85" spans="1:8" s="9" customFormat="1" ht="35.1" customHeight="1" x14ac:dyDescent="0.25">
      <c r="A85" s="255" t="s">
        <v>142</v>
      </c>
      <c r="B85" s="87" t="s">
        <v>118</v>
      </c>
      <c r="C85" s="240" t="s">
        <v>30</v>
      </c>
      <c r="D85" s="322">
        <f>_xlfn.XLOOKUP(A85,'PARA ENVÍO UNIFICADO (VANE)'!$A$4:$A$729,'PARA ENVÍO UNIFICADO (VANE)'!$D$4:$D$729,0,0)</f>
        <v>81.89</v>
      </c>
      <c r="E85" s="322">
        <f>_xlfn.XLOOKUP(A85,'PARA ENVÍO UNIFICADO (VANE)'!$A$4:$A$729,'PARA ENVÍO UNIFICADO (VANE)'!$E$4:$E$729,0,0)</f>
        <v>77.67</v>
      </c>
      <c r="F85" s="322">
        <f t="shared" si="2"/>
        <v>159.56</v>
      </c>
      <c r="G85" s="243">
        <v>842176</v>
      </c>
      <c r="H85" s="243">
        <f t="shared" si="3"/>
        <v>134377602.56</v>
      </c>
    </row>
    <row r="86" spans="1:8" s="9" customFormat="1" ht="35.1" customHeight="1" x14ac:dyDescent="0.25">
      <c r="A86" s="255" t="s">
        <v>143</v>
      </c>
      <c r="B86" s="87" t="s">
        <v>120</v>
      </c>
      <c r="C86" s="240" t="s">
        <v>13</v>
      </c>
      <c r="D86" s="322">
        <f>_xlfn.XLOOKUP(A86,'PARA ENVÍO UNIFICADO (VANE)'!$A$4:$A$729,'PARA ENVÍO UNIFICADO (VANE)'!$D$4:$D$729,0,0)</f>
        <v>139.68</v>
      </c>
      <c r="E86" s="322">
        <f>_xlfn.XLOOKUP(A86,'PARA ENVÍO UNIFICADO (VANE)'!$A$4:$A$729,'PARA ENVÍO UNIFICADO (VANE)'!$E$4:$E$729,0,0)</f>
        <v>139.68</v>
      </c>
      <c r="F86" s="322">
        <f t="shared" si="2"/>
        <v>279.36</v>
      </c>
      <c r="G86" s="243">
        <v>153751</v>
      </c>
      <c r="H86" s="243">
        <f t="shared" si="3"/>
        <v>42951879.359999999</v>
      </c>
    </row>
    <row r="87" spans="1:8" s="9" customFormat="1" ht="35.1" customHeight="1" x14ac:dyDescent="0.25">
      <c r="A87" s="255" t="s">
        <v>144</v>
      </c>
      <c r="B87" s="87" t="s">
        <v>122</v>
      </c>
      <c r="C87" s="240" t="s">
        <v>13</v>
      </c>
      <c r="D87" s="322">
        <f>_xlfn.XLOOKUP(A87,'PARA ENVÍO UNIFICADO (VANE)'!$A$4:$A$729,'PARA ENVÍO UNIFICADO (VANE)'!$D$4:$D$729,0,0)</f>
        <v>124.47</v>
      </c>
      <c r="E87" s="322">
        <f>_xlfn.XLOOKUP(A87,'PARA ENVÍO UNIFICADO (VANE)'!$A$4:$A$729,'PARA ENVÍO UNIFICADO (VANE)'!$E$4:$E$729,0,0)</f>
        <v>124.47</v>
      </c>
      <c r="F87" s="322">
        <f t="shared" si="2"/>
        <v>248.94</v>
      </c>
      <c r="G87" s="243">
        <v>307503</v>
      </c>
      <c r="H87" s="243">
        <f t="shared" si="3"/>
        <v>76549796.819999993</v>
      </c>
    </row>
    <row r="88" spans="1:8" s="9" customFormat="1" ht="35.1" customHeight="1" x14ac:dyDescent="0.25">
      <c r="A88" s="244" t="s">
        <v>1081</v>
      </c>
      <c r="B88" s="245" t="s">
        <v>1082</v>
      </c>
      <c r="C88" s="244"/>
      <c r="D88" s="244"/>
      <c r="E88" s="244"/>
      <c r="F88" s="322">
        <f t="shared" si="2"/>
        <v>0</v>
      </c>
      <c r="G88" s="303"/>
      <c r="H88" s="246"/>
    </row>
    <row r="89" spans="1:8" s="9" customFormat="1" ht="35.1" customHeight="1" x14ac:dyDescent="0.25">
      <c r="A89" s="255" t="s">
        <v>1083</v>
      </c>
      <c r="B89" s="87" t="s">
        <v>130</v>
      </c>
      <c r="C89" s="255" t="s">
        <v>13</v>
      </c>
      <c r="D89" s="322">
        <f>_xlfn.XLOOKUP(A89,'PARA ENVÍO UNIFICADO (VANE)'!$A$4:$A$729,'PARA ENVÍO UNIFICADO (VANE)'!$D$4:$D$729,0,0)</f>
        <v>179.21</v>
      </c>
      <c r="E89" s="322">
        <f>_xlfn.XLOOKUP(A89,'PARA ENVÍO UNIFICADO (VANE)'!$A$4:$A$729,'PARA ENVÍO UNIFICADO (VANE)'!$E$4:$E$729,0,0)</f>
        <v>0</v>
      </c>
      <c r="F89" s="322">
        <f t="shared" si="2"/>
        <v>179.21</v>
      </c>
      <c r="G89" s="243">
        <v>110927</v>
      </c>
      <c r="H89" s="243">
        <f t="shared" si="3"/>
        <v>19879227.670000002</v>
      </c>
    </row>
    <row r="90" spans="1:8" s="9" customFormat="1" ht="35.1" customHeight="1" x14ac:dyDescent="0.25">
      <c r="A90" s="255" t="s">
        <v>1084</v>
      </c>
      <c r="B90" s="87" t="s">
        <v>112</v>
      </c>
      <c r="C90" s="255" t="s">
        <v>30</v>
      </c>
      <c r="D90" s="322">
        <f>_xlfn.XLOOKUP(A90,'PARA ENVÍO UNIFICADO (VANE)'!$A$4:$A$729,'PARA ENVÍO UNIFICADO (VANE)'!$D$4:$D$729,0,0)</f>
        <v>1.45</v>
      </c>
      <c r="E90" s="322">
        <f>_xlfn.XLOOKUP(A90,'PARA ENVÍO UNIFICADO (VANE)'!$A$4:$A$729,'PARA ENVÍO UNIFICADO (VANE)'!$E$4:$E$729,0,0)</f>
        <v>0</v>
      </c>
      <c r="F90" s="322">
        <f t="shared" si="2"/>
        <v>1.45</v>
      </c>
      <c r="G90" s="243">
        <v>842176</v>
      </c>
      <c r="H90" s="243">
        <f t="shared" si="3"/>
        <v>1221155.2</v>
      </c>
    </row>
    <row r="91" spans="1:8" s="9" customFormat="1" ht="35.1" customHeight="1" x14ac:dyDescent="0.25">
      <c r="A91" s="255" t="s">
        <v>1085</v>
      </c>
      <c r="B91" s="87" t="s">
        <v>114</v>
      </c>
      <c r="C91" s="255" t="s">
        <v>30</v>
      </c>
      <c r="D91" s="322">
        <f>_xlfn.XLOOKUP(A91,'PARA ENVÍO UNIFICADO (VANE)'!$A$4:$A$729,'PARA ENVÍO UNIFICADO (VANE)'!$D$4:$D$729,0,0)</f>
        <v>31.54</v>
      </c>
      <c r="E91" s="322">
        <f>_xlfn.XLOOKUP(A91,'PARA ENVÍO UNIFICADO (VANE)'!$A$4:$A$729,'PARA ENVÍO UNIFICADO (VANE)'!$E$4:$E$729,0,0)</f>
        <v>0</v>
      </c>
      <c r="F91" s="322">
        <f t="shared" si="2"/>
        <v>31.54</v>
      </c>
      <c r="G91" s="243">
        <v>842176</v>
      </c>
      <c r="H91" s="243">
        <f t="shared" si="3"/>
        <v>26562231.039999999</v>
      </c>
    </row>
    <row r="92" spans="1:8" s="9" customFormat="1" ht="35.1" customHeight="1" x14ac:dyDescent="0.25">
      <c r="A92" s="255" t="s">
        <v>1086</v>
      </c>
      <c r="B92" s="87" t="s">
        <v>118</v>
      </c>
      <c r="C92" s="255" t="s">
        <v>30</v>
      </c>
      <c r="D92" s="322">
        <f>_xlfn.XLOOKUP(A92,'PARA ENVÍO UNIFICADO (VANE)'!$A$4:$A$729,'PARA ENVÍO UNIFICADO (VANE)'!$D$4:$D$729,0,0)</f>
        <v>69.08</v>
      </c>
      <c r="E92" s="322">
        <f>_xlfn.XLOOKUP(A92,'PARA ENVÍO UNIFICADO (VANE)'!$A$4:$A$729,'PARA ENVÍO UNIFICADO (VANE)'!$E$4:$E$729,0,0)</f>
        <v>0</v>
      </c>
      <c r="F92" s="322">
        <f t="shared" si="2"/>
        <v>69.08</v>
      </c>
      <c r="G92" s="243">
        <v>842176</v>
      </c>
      <c r="H92" s="243">
        <f t="shared" si="3"/>
        <v>58177518.079999998</v>
      </c>
    </row>
    <row r="93" spans="1:8" s="9" customFormat="1" ht="35.1" customHeight="1" x14ac:dyDescent="0.25">
      <c r="A93" s="255" t="s">
        <v>1087</v>
      </c>
      <c r="B93" s="87" t="s">
        <v>120</v>
      </c>
      <c r="C93" s="255" t="s">
        <v>13</v>
      </c>
      <c r="D93" s="322">
        <f>_xlfn.XLOOKUP(A93,'PARA ENVÍO UNIFICADO (VANE)'!$A$4:$A$729,'PARA ENVÍO UNIFICADO (VANE)'!$D$4:$D$729,0,0)</f>
        <v>276.55</v>
      </c>
      <c r="E93" s="322">
        <f>_xlfn.XLOOKUP(A93,'PARA ENVÍO UNIFICADO (VANE)'!$A$4:$A$729,'PARA ENVÍO UNIFICADO (VANE)'!$E$4:$E$729,0,0)</f>
        <v>0</v>
      </c>
      <c r="F93" s="322">
        <f t="shared" si="2"/>
        <v>276.55</v>
      </c>
      <c r="G93" s="243">
        <v>161791</v>
      </c>
      <c r="H93" s="243">
        <f t="shared" si="3"/>
        <v>44743301.049999997</v>
      </c>
    </row>
    <row r="94" spans="1:8" s="9" customFormat="1" ht="35.1" customHeight="1" x14ac:dyDescent="0.25">
      <c r="A94" s="255" t="s">
        <v>1088</v>
      </c>
      <c r="B94" s="87" t="s">
        <v>122</v>
      </c>
      <c r="C94" s="255" t="s">
        <v>13</v>
      </c>
      <c r="D94" s="322">
        <f>_xlfn.XLOOKUP(A94,'PARA ENVÍO UNIFICADO (VANE)'!$A$4:$A$729,'PARA ENVÍO UNIFICADO (VANE)'!$D$4:$D$729,0,0)</f>
        <v>132.12</v>
      </c>
      <c r="E94" s="322">
        <f>_xlfn.XLOOKUP(A94,'PARA ENVÍO UNIFICADO (VANE)'!$A$4:$A$729,'PARA ENVÍO UNIFICADO (VANE)'!$E$4:$E$729,0,0)</f>
        <v>0</v>
      </c>
      <c r="F94" s="322">
        <f t="shared" si="2"/>
        <v>132.12</v>
      </c>
      <c r="G94" s="243">
        <v>323580</v>
      </c>
      <c r="H94" s="243">
        <f t="shared" si="3"/>
        <v>42751389.600000001</v>
      </c>
    </row>
    <row r="95" spans="1:8" s="9" customFormat="1" ht="35.1" customHeight="1" x14ac:dyDescent="0.25">
      <c r="A95" s="244" t="s">
        <v>1089</v>
      </c>
      <c r="B95" s="245" t="s">
        <v>1090</v>
      </c>
      <c r="C95" s="244"/>
      <c r="D95" s="244"/>
      <c r="E95" s="244"/>
      <c r="F95" s="322">
        <f t="shared" si="2"/>
        <v>0</v>
      </c>
      <c r="G95" s="303"/>
      <c r="H95" s="246"/>
    </row>
    <row r="96" spans="1:8" s="9" customFormat="1" ht="35.1" customHeight="1" x14ac:dyDescent="0.25">
      <c r="A96" s="240" t="s">
        <v>1091</v>
      </c>
      <c r="B96" s="87" t="s">
        <v>130</v>
      </c>
      <c r="C96" s="240" t="s">
        <v>13</v>
      </c>
      <c r="D96" s="322">
        <f>_xlfn.XLOOKUP(A96,'PARA ENVÍO UNIFICADO (VANE)'!$A$4:$A$729,'PARA ENVÍO UNIFICADO (VANE)'!$D$4:$D$729,0,0)</f>
        <v>142.06</v>
      </c>
      <c r="E96" s="322">
        <f>_xlfn.XLOOKUP(A96,'PARA ENVÍO UNIFICADO (VANE)'!$A$4:$A$729,'PARA ENVÍO UNIFICADO (VANE)'!$E$4:$E$729,0,0)</f>
        <v>0</v>
      </c>
      <c r="F96" s="322">
        <f t="shared" si="2"/>
        <v>142.06</v>
      </c>
      <c r="G96" s="243">
        <v>110927</v>
      </c>
      <c r="H96" s="243">
        <f t="shared" si="3"/>
        <v>15758289.619999999</v>
      </c>
    </row>
    <row r="97" spans="1:8" s="9" customFormat="1" ht="35.1" customHeight="1" x14ac:dyDescent="0.25">
      <c r="A97" s="240" t="s">
        <v>1092</v>
      </c>
      <c r="B97" s="87" t="s">
        <v>112</v>
      </c>
      <c r="C97" s="240" t="s">
        <v>30</v>
      </c>
      <c r="D97" s="322">
        <f>_xlfn.XLOOKUP(A97,'PARA ENVÍO UNIFICADO (VANE)'!$A$4:$A$729,'PARA ENVÍO UNIFICADO (VANE)'!$D$4:$D$729,0,0)</f>
        <v>1.25</v>
      </c>
      <c r="E97" s="322">
        <f>_xlfn.XLOOKUP(A97,'PARA ENVÍO UNIFICADO (VANE)'!$A$4:$A$729,'PARA ENVÍO UNIFICADO (VANE)'!$E$4:$E$729,0,0)</f>
        <v>0</v>
      </c>
      <c r="F97" s="322">
        <f t="shared" si="2"/>
        <v>1.25</v>
      </c>
      <c r="G97" s="243">
        <v>842176</v>
      </c>
      <c r="H97" s="243">
        <f t="shared" si="3"/>
        <v>1052720</v>
      </c>
    </row>
    <row r="98" spans="1:8" s="9" customFormat="1" ht="35.1" customHeight="1" x14ac:dyDescent="0.25">
      <c r="A98" s="240" t="s">
        <v>1093</v>
      </c>
      <c r="B98" s="87" t="s">
        <v>114</v>
      </c>
      <c r="C98" s="240" t="s">
        <v>30</v>
      </c>
      <c r="D98" s="322">
        <f>_xlfn.XLOOKUP(A98,'PARA ENVÍO UNIFICADO (VANE)'!$A$4:$A$729,'PARA ENVÍO UNIFICADO (VANE)'!$D$4:$D$729,0,0)</f>
        <v>27.45</v>
      </c>
      <c r="E98" s="322">
        <f>_xlfn.XLOOKUP(A98,'PARA ENVÍO UNIFICADO (VANE)'!$A$4:$A$729,'PARA ENVÍO UNIFICADO (VANE)'!$E$4:$E$729,0,0)</f>
        <v>0</v>
      </c>
      <c r="F98" s="322">
        <f t="shared" si="2"/>
        <v>27.45</v>
      </c>
      <c r="G98" s="243">
        <v>842176</v>
      </c>
      <c r="H98" s="243">
        <f t="shared" si="3"/>
        <v>23117731.199999999</v>
      </c>
    </row>
    <row r="99" spans="1:8" s="9" customFormat="1" ht="35.1" customHeight="1" x14ac:dyDescent="0.25">
      <c r="A99" s="240" t="s">
        <v>1094</v>
      </c>
      <c r="B99" s="87" t="s">
        <v>118</v>
      </c>
      <c r="C99" s="240" t="s">
        <v>30</v>
      </c>
      <c r="D99" s="322">
        <f>_xlfn.XLOOKUP(A99,'PARA ENVÍO UNIFICADO (VANE)'!$A$4:$A$729,'PARA ENVÍO UNIFICADO (VANE)'!$D$4:$D$729,0,0)</f>
        <v>14.01</v>
      </c>
      <c r="E99" s="322">
        <f>_xlfn.XLOOKUP(A99,'PARA ENVÍO UNIFICADO (VANE)'!$A$4:$A$729,'PARA ENVÍO UNIFICADO (VANE)'!$E$4:$E$729,0,0)</f>
        <v>0</v>
      </c>
      <c r="F99" s="322">
        <f t="shared" si="2"/>
        <v>14.01</v>
      </c>
      <c r="G99" s="243">
        <v>842176</v>
      </c>
      <c r="H99" s="243">
        <f t="shared" si="3"/>
        <v>11798885.76</v>
      </c>
    </row>
    <row r="100" spans="1:8" s="9" customFormat="1" ht="35.1" customHeight="1" x14ac:dyDescent="0.25">
      <c r="A100" s="240" t="s">
        <v>1095</v>
      </c>
      <c r="B100" s="87" t="s">
        <v>120</v>
      </c>
      <c r="C100" s="240" t="s">
        <v>13</v>
      </c>
      <c r="D100" s="322">
        <f>_xlfn.XLOOKUP(A100,'PARA ENVÍO UNIFICADO (VANE)'!$A$4:$A$729,'PARA ENVÍO UNIFICADO (VANE)'!$D$4:$D$729,0,0)</f>
        <v>316.99</v>
      </c>
      <c r="E100" s="322">
        <f>_xlfn.XLOOKUP(A100,'PARA ENVÍO UNIFICADO (VANE)'!$A$4:$A$729,'PARA ENVÍO UNIFICADO (VANE)'!$E$4:$E$729,0,0)</f>
        <v>0</v>
      </c>
      <c r="F100" s="322">
        <f t="shared" si="2"/>
        <v>316.99</v>
      </c>
      <c r="G100" s="243">
        <v>161791</v>
      </c>
      <c r="H100" s="243">
        <f t="shared" si="3"/>
        <v>51286129.090000004</v>
      </c>
    </row>
    <row r="101" spans="1:8" s="9" customFormat="1" ht="35.1" customHeight="1" x14ac:dyDescent="0.25">
      <c r="A101" s="240" t="s">
        <v>1096</v>
      </c>
      <c r="B101" s="87" t="s">
        <v>122</v>
      </c>
      <c r="C101" s="240" t="s">
        <v>13</v>
      </c>
      <c r="D101" s="322">
        <f>_xlfn.XLOOKUP(A101,'PARA ENVÍO UNIFICADO (VANE)'!$A$4:$A$729,'PARA ENVÍO UNIFICADO (VANE)'!$D$4:$D$729,0,0)</f>
        <v>112.85</v>
      </c>
      <c r="E101" s="322">
        <f>_xlfn.XLOOKUP(A101,'PARA ENVÍO UNIFICADO (VANE)'!$A$4:$A$729,'PARA ENVÍO UNIFICADO (VANE)'!$E$4:$E$729,0,0)</f>
        <v>0</v>
      </c>
      <c r="F101" s="322">
        <f t="shared" si="2"/>
        <v>112.85</v>
      </c>
      <c r="G101" s="243">
        <v>323580</v>
      </c>
      <c r="H101" s="243">
        <f t="shared" si="3"/>
        <v>36516003</v>
      </c>
    </row>
    <row r="102" spans="1:8" s="9" customFormat="1" ht="35.1" customHeight="1" x14ac:dyDescent="0.25">
      <c r="A102" s="244" t="s">
        <v>1097</v>
      </c>
      <c r="B102" s="245" t="s">
        <v>1098</v>
      </c>
      <c r="C102" s="244"/>
      <c r="D102" s="244"/>
      <c r="E102" s="244"/>
      <c r="F102" s="322">
        <f t="shared" si="2"/>
        <v>0</v>
      </c>
      <c r="G102" s="303"/>
      <c r="H102" s="246"/>
    </row>
    <row r="103" spans="1:8" s="9" customFormat="1" ht="35.1" customHeight="1" x14ac:dyDescent="0.25">
      <c r="A103" s="240" t="s">
        <v>1099</v>
      </c>
      <c r="B103" s="241" t="s">
        <v>1100</v>
      </c>
      <c r="C103" s="240" t="s">
        <v>13</v>
      </c>
      <c r="D103" s="322">
        <f>_xlfn.XLOOKUP(A103,'PARA ENVÍO UNIFICADO (VANE)'!$A$4:$A$729,'PARA ENVÍO UNIFICADO (VANE)'!$D$4:$D$729,0,0)</f>
        <v>94.59</v>
      </c>
      <c r="E103" s="322">
        <f>_xlfn.XLOOKUP(A103,'PARA ENVÍO UNIFICADO (VANE)'!$A$4:$A$729,'PARA ENVÍO UNIFICADO (VANE)'!$E$4:$E$729,0,0)</f>
        <v>0</v>
      </c>
      <c r="F103" s="322">
        <f t="shared" si="2"/>
        <v>94.59</v>
      </c>
      <c r="G103" s="243">
        <v>55531</v>
      </c>
      <c r="H103" s="243">
        <f t="shared" si="3"/>
        <v>5252677.29</v>
      </c>
    </row>
    <row r="104" spans="1:8" s="9" customFormat="1" ht="35.1" customHeight="1" x14ac:dyDescent="0.25">
      <c r="A104" s="240" t="s">
        <v>1101</v>
      </c>
      <c r="B104" s="87" t="s">
        <v>112</v>
      </c>
      <c r="C104" s="240" t="s">
        <v>30</v>
      </c>
      <c r="D104" s="322">
        <f>_xlfn.XLOOKUP(A104,'PARA ENVÍO UNIFICADO (VANE)'!$A$4:$A$729,'PARA ENVÍO UNIFICADO (VANE)'!$D$4:$D$729,0,0)</f>
        <v>26.75</v>
      </c>
      <c r="E104" s="322">
        <f>_xlfn.XLOOKUP(A104,'PARA ENVÍO UNIFICADO (VANE)'!$A$4:$A$729,'PARA ENVÍO UNIFICADO (VANE)'!$E$4:$E$729,0,0)</f>
        <v>0</v>
      </c>
      <c r="F104" s="322">
        <f t="shared" si="2"/>
        <v>26.75</v>
      </c>
      <c r="G104" s="243">
        <v>842176</v>
      </c>
      <c r="H104" s="243">
        <f t="shared" si="3"/>
        <v>22528208</v>
      </c>
    </row>
    <row r="105" spans="1:8" s="9" customFormat="1" ht="35.1" customHeight="1" x14ac:dyDescent="0.25">
      <c r="A105" s="240" t="s">
        <v>1102</v>
      </c>
      <c r="B105" s="87" t="s">
        <v>114</v>
      </c>
      <c r="C105" s="240" t="s">
        <v>30</v>
      </c>
      <c r="D105" s="322">
        <f>_xlfn.XLOOKUP(A105,'PARA ENVÍO UNIFICADO (VANE)'!$A$4:$A$729,'PARA ENVÍO UNIFICADO (VANE)'!$D$4:$D$729,0,0)</f>
        <v>33.22</v>
      </c>
      <c r="E105" s="322">
        <f>_xlfn.XLOOKUP(A105,'PARA ENVÍO UNIFICADO (VANE)'!$A$4:$A$729,'PARA ENVÍO UNIFICADO (VANE)'!$E$4:$E$729,0,0)</f>
        <v>0</v>
      </c>
      <c r="F105" s="322">
        <f t="shared" si="2"/>
        <v>33.22</v>
      </c>
      <c r="G105" s="243">
        <v>842176</v>
      </c>
      <c r="H105" s="243">
        <f t="shared" si="3"/>
        <v>27977086.719999999</v>
      </c>
    </row>
    <row r="106" spans="1:8" s="9" customFormat="1" ht="35.1" customHeight="1" x14ac:dyDescent="0.25">
      <c r="A106" s="266">
        <v>6</v>
      </c>
      <c r="B106" s="267" t="s">
        <v>145</v>
      </c>
      <c r="C106" s="267"/>
      <c r="D106" s="267"/>
      <c r="E106" s="267"/>
      <c r="F106" s="322">
        <f t="shared" si="2"/>
        <v>0</v>
      </c>
      <c r="G106" s="306"/>
      <c r="H106" s="268"/>
    </row>
    <row r="107" spans="1:8" s="9" customFormat="1" ht="35.1" customHeight="1" x14ac:dyDescent="0.25">
      <c r="A107" s="244" t="s">
        <v>146</v>
      </c>
      <c r="B107" s="245" t="s">
        <v>147</v>
      </c>
      <c r="C107" s="244"/>
      <c r="D107" s="244"/>
      <c r="E107" s="244"/>
      <c r="F107" s="322">
        <f t="shared" si="2"/>
        <v>0</v>
      </c>
      <c r="G107" s="303"/>
      <c r="H107" s="246"/>
    </row>
    <row r="108" spans="1:8" s="9" customFormat="1" ht="35.1" customHeight="1" x14ac:dyDescent="0.25">
      <c r="A108" s="255" t="s">
        <v>148</v>
      </c>
      <c r="B108" s="254" t="s">
        <v>149</v>
      </c>
      <c r="C108" s="255" t="s">
        <v>13</v>
      </c>
      <c r="D108" s="322">
        <f>_xlfn.XLOOKUP(A108,'PARA ENVÍO UNIFICADO (VANE)'!$A$4:$A$729,'PARA ENVÍO UNIFICADO (VANE)'!$D$4:$D$729,0,0)</f>
        <v>0</v>
      </c>
      <c r="E108" s="322">
        <f>_xlfn.XLOOKUP(A108,'PARA ENVÍO UNIFICADO (VANE)'!$A$4:$A$729,'PARA ENVÍO UNIFICADO (VANE)'!$E$4:$E$729,0,0)</f>
        <v>457.19</v>
      </c>
      <c r="F108" s="322">
        <f t="shared" si="2"/>
        <v>457.19</v>
      </c>
      <c r="G108" s="243">
        <v>94327</v>
      </c>
      <c r="H108" s="243">
        <f t="shared" si="3"/>
        <v>43125361.130000003</v>
      </c>
    </row>
    <row r="109" spans="1:8" s="9" customFormat="1" ht="35.1" customHeight="1" x14ac:dyDescent="0.25">
      <c r="A109" s="255" t="s">
        <v>150</v>
      </c>
      <c r="B109" s="254" t="s">
        <v>151</v>
      </c>
      <c r="C109" s="255" t="s">
        <v>13</v>
      </c>
      <c r="D109" s="322">
        <f>_xlfn.XLOOKUP(A109,'PARA ENVÍO UNIFICADO (VANE)'!$A$4:$A$729,'PARA ENVÍO UNIFICADO (VANE)'!$D$4:$D$729,0,0)</f>
        <v>0</v>
      </c>
      <c r="E109" s="322">
        <f>_xlfn.XLOOKUP(A109,'PARA ENVÍO UNIFICADO (VANE)'!$A$4:$A$729,'PARA ENVÍO UNIFICADO (VANE)'!$E$4:$E$729,0,0)</f>
        <v>1963.08</v>
      </c>
      <c r="F109" s="322">
        <f t="shared" si="2"/>
        <v>1963.08</v>
      </c>
      <c r="G109" s="243">
        <v>8420</v>
      </c>
      <c r="H109" s="243">
        <f t="shared" si="3"/>
        <v>16529133.6</v>
      </c>
    </row>
    <row r="110" spans="1:8" s="9" customFormat="1" ht="35.1" customHeight="1" x14ac:dyDescent="0.25">
      <c r="A110" s="240" t="s">
        <v>152</v>
      </c>
      <c r="B110" s="241" t="s">
        <v>153</v>
      </c>
      <c r="C110" s="240" t="s">
        <v>13</v>
      </c>
      <c r="D110" s="322">
        <f>_xlfn.XLOOKUP(A110,'PARA ENVÍO UNIFICADO (VANE)'!$A$4:$A$729,'PARA ENVÍO UNIFICADO (VANE)'!$D$4:$D$729,0,0)</f>
        <v>0</v>
      </c>
      <c r="E110" s="322">
        <f>_xlfn.XLOOKUP(A110,'PARA ENVÍO UNIFICADO (VANE)'!$A$4:$A$729,'PARA ENVÍO UNIFICADO (VANE)'!$E$4:$E$729,0,0)</f>
        <v>1.4</v>
      </c>
      <c r="F110" s="322">
        <f t="shared" si="2"/>
        <v>1.4</v>
      </c>
      <c r="G110" s="243">
        <v>110969</v>
      </c>
      <c r="H110" s="243">
        <f t="shared" si="3"/>
        <v>155356.6</v>
      </c>
    </row>
    <row r="111" spans="1:8" s="9" customFormat="1" ht="35.1" customHeight="1" x14ac:dyDescent="0.25">
      <c r="A111" s="244" t="s">
        <v>154</v>
      </c>
      <c r="B111" s="256" t="s">
        <v>155</v>
      </c>
      <c r="C111" s="256"/>
      <c r="D111" s="244"/>
      <c r="E111" s="244"/>
      <c r="F111" s="322">
        <f t="shared" si="2"/>
        <v>0</v>
      </c>
      <c r="G111" s="303"/>
      <c r="H111" s="246"/>
    </row>
    <row r="112" spans="1:8" s="9" customFormat="1" ht="35.1" customHeight="1" x14ac:dyDescent="0.25">
      <c r="A112" s="255" t="s">
        <v>156</v>
      </c>
      <c r="B112" s="254" t="s">
        <v>157</v>
      </c>
      <c r="C112" s="255" t="s">
        <v>13</v>
      </c>
      <c r="D112" s="322">
        <f>_xlfn.XLOOKUP(A112,'PARA ENVÍO UNIFICADO (VANE)'!$A$4:$A$729,'PARA ENVÍO UNIFICADO (VANE)'!$D$4:$D$729,0,0)</f>
        <v>1832.0720000000001</v>
      </c>
      <c r="E112" s="322">
        <f>_xlfn.XLOOKUP(A112,'PARA ENVÍO UNIFICADO (VANE)'!$A$4:$A$729,'PARA ENVÍO UNIFICADO (VANE)'!$E$4:$E$729,0,0)</f>
        <v>45.8</v>
      </c>
      <c r="F112" s="322">
        <f t="shared" si="2"/>
        <v>1877.87</v>
      </c>
      <c r="G112" s="243">
        <v>94035</v>
      </c>
      <c r="H112" s="243">
        <f t="shared" si="3"/>
        <v>176585505.44999999</v>
      </c>
    </row>
    <row r="113" spans="1:8" s="9" customFormat="1" ht="35.1" customHeight="1" x14ac:dyDescent="0.25">
      <c r="A113" s="255" t="s">
        <v>158</v>
      </c>
      <c r="B113" s="254" t="s">
        <v>159</v>
      </c>
      <c r="C113" s="255" t="s">
        <v>13</v>
      </c>
      <c r="D113" s="322">
        <f>_xlfn.XLOOKUP(A113,'PARA ENVÍO UNIFICADO (VANE)'!$A$4:$A$729,'PARA ENVÍO UNIFICADO (VANE)'!$D$4:$D$729,0,0)</f>
        <v>183.66400000000002</v>
      </c>
      <c r="E113" s="322">
        <f>_xlfn.XLOOKUP(A113,'PARA ENVÍO UNIFICADO (VANE)'!$A$4:$A$729,'PARA ENVÍO UNIFICADO (VANE)'!$E$4:$E$729,0,0)</f>
        <v>4.59</v>
      </c>
      <c r="F113" s="322">
        <f t="shared" si="2"/>
        <v>188.25</v>
      </c>
      <c r="G113" s="243">
        <v>98762</v>
      </c>
      <c r="H113" s="243">
        <f t="shared" si="3"/>
        <v>18591946.5</v>
      </c>
    </row>
    <row r="114" spans="1:8" s="9" customFormat="1" ht="35.1" customHeight="1" x14ac:dyDescent="0.25">
      <c r="A114" s="244" t="s">
        <v>160</v>
      </c>
      <c r="B114" s="256" t="s">
        <v>161</v>
      </c>
      <c r="C114" s="256"/>
      <c r="D114" s="244"/>
      <c r="E114" s="244"/>
      <c r="F114" s="322">
        <f t="shared" si="2"/>
        <v>0</v>
      </c>
      <c r="G114" s="303"/>
      <c r="H114" s="246"/>
    </row>
    <row r="115" spans="1:8" s="9" customFormat="1" ht="35.1" customHeight="1" x14ac:dyDescent="0.25">
      <c r="A115" s="255" t="s">
        <v>162</v>
      </c>
      <c r="B115" s="254" t="s">
        <v>153</v>
      </c>
      <c r="C115" s="255" t="s">
        <v>13</v>
      </c>
      <c r="D115" s="322">
        <f>_xlfn.XLOOKUP(A115,'PARA ENVÍO UNIFICADO (VANE)'!$A$4:$A$729,'PARA ENVÍO UNIFICADO (VANE)'!$D$4:$D$729,0,0)</f>
        <v>513.95999999999992</v>
      </c>
      <c r="E115" s="322">
        <f>_xlfn.XLOOKUP(A115,'PARA ENVÍO UNIFICADO (VANE)'!$A$4:$A$729,'PARA ENVÍO UNIFICADO (VANE)'!$E$4:$E$729,0,0)</f>
        <v>718.89</v>
      </c>
      <c r="F115" s="322">
        <f t="shared" si="2"/>
        <v>1232.8499999999999</v>
      </c>
      <c r="G115" s="243">
        <v>110969</v>
      </c>
      <c r="H115" s="243">
        <f t="shared" si="3"/>
        <v>136808131.65000001</v>
      </c>
    </row>
    <row r="116" spans="1:8" s="9" customFormat="1" ht="35.1" customHeight="1" x14ac:dyDescent="0.25">
      <c r="A116" s="255" t="s">
        <v>163</v>
      </c>
      <c r="B116" s="254" t="s">
        <v>164</v>
      </c>
      <c r="C116" s="255" t="s">
        <v>13</v>
      </c>
      <c r="D116" s="322">
        <f>_xlfn.XLOOKUP(A116,'PARA ENVÍO UNIFICADO (VANE)'!$A$4:$A$729,'PARA ENVÍO UNIFICADO (VANE)'!$D$4:$D$729,0,0)</f>
        <v>230.83</v>
      </c>
      <c r="E116" s="322">
        <f>_xlfn.XLOOKUP(A116,'PARA ENVÍO UNIFICADO (VANE)'!$A$4:$A$729,'PARA ENVÍO UNIFICADO (VANE)'!$E$4:$E$729,0,0)</f>
        <v>576.27</v>
      </c>
      <c r="F116" s="322">
        <f t="shared" si="2"/>
        <v>807.1</v>
      </c>
      <c r="G116" s="243">
        <v>72415</v>
      </c>
      <c r="H116" s="243">
        <f t="shared" si="3"/>
        <v>58446146.5</v>
      </c>
    </row>
    <row r="117" spans="1:8" s="9" customFormat="1" ht="35.1" customHeight="1" x14ac:dyDescent="0.25">
      <c r="A117" s="255" t="s">
        <v>165</v>
      </c>
      <c r="B117" s="254" t="s">
        <v>166</v>
      </c>
      <c r="C117" s="255" t="s">
        <v>13</v>
      </c>
      <c r="D117" s="322">
        <f>_xlfn.XLOOKUP(A117,'PARA ENVÍO UNIFICADO (VANE)'!$A$4:$A$729,'PARA ENVÍO UNIFICADO (VANE)'!$D$4:$D$729,0,0)</f>
        <v>11.069999999999999</v>
      </c>
      <c r="E117" s="322">
        <f>_xlfn.XLOOKUP(A117,'PARA ENVÍO UNIFICADO (VANE)'!$A$4:$A$729,'PARA ENVÍO UNIFICADO (VANE)'!$E$4:$E$729,0,0)</f>
        <v>33.11</v>
      </c>
      <c r="F117" s="322">
        <f t="shared" si="2"/>
        <v>44.18</v>
      </c>
      <c r="G117" s="243">
        <v>48266</v>
      </c>
      <c r="H117" s="243">
        <f t="shared" si="3"/>
        <v>2132391.88</v>
      </c>
    </row>
    <row r="118" spans="1:8" s="9" customFormat="1" ht="35.1" customHeight="1" x14ac:dyDescent="0.25">
      <c r="A118" s="255" t="s">
        <v>167</v>
      </c>
      <c r="B118" s="254" t="s">
        <v>168</v>
      </c>
      <c r="C118" s="255" t="s">
        <v>13</v>
      </c>
      <c r="D118" s="322">
        <f>_xlfn.XLOOKUP(A118,'PARA ENVÍO UNIFICADO (VANE)'!$A$4:$A$729,'PARA ENVÍO UNIFICADO (VANE)'!$D$4:$D$729,0,0)</f>
        <v>12.31</v>
      </c>
      <c r="E118" s="322">
        <f>_xlfn.XLOOKUP(A118,'PARA ENVÍO UNIFICADO (VANE)'!$A$4:$A$729,'PARA ENVÍO UNIFICADO (VANE)'!$E$4:$E$729,0,0)</f>
        <v>297.04000000000002</v>
      </c>
      <c r="F118" s="322">
        <f t="shared" si="2"/>
        <v>309.35000000000002</v>
      </c>
      <c r="G118" s="243">
        <v>104672</v>
      </c>
      <c r="H118" s="243">
        <f t="shared" si="3"/>
        <v>32380283.199999999</v>
      </c>
    </row>
    <row r="119" spans="1:8" s="9" customFormat="1" ht="35.1" customHeight="1" x14ac:dyDescent="0.25">
      <c r="A119" s="255" t="s">
        <v>169</v>
      </c>
      <c r="B119" s="254" t="s">
        <v>159</v>
      </c>
      <c r="C119" s="255" t="s">
        <v>13</v>
      </c>
      <c r="D119" s="322">
        <f>_xlfn.XLOOKUP(A119,'PARA ENVÍO UNIFICADO (VANE)'!$A$4:$A$729,'PARA ENVÍO UNIFICADO (VANE)'!$D$4:$D$729,0,0)</f>
        <v>106.58</v>
      </c>
      <c r="E119" s="322">
        <f>_xlfn.XLOOKUP(A119,'PARA ENVÍO UNIFICADO (VANE)'!$A$4:$A$729,'PARA ENVÍO UNIFICADO (VANE)'!$E$4:$E$729,0,0)</f>
        <v>145.79</v>
      </c>
      <c r="F119" s="322">
        <f t="shared" si="2"/>
        <v>252.37</v>
      </c>
      <c r="G119" s="243">
        <v>95187</v>
      </c>
      <c r="H119" s="243">
        <f t="shared" si="3"/>
        <v>24022343.190000001</v>
      </c>
    </row>
    <row r="120" spans="1:8" s="9" customFormat="1" ht="35.1" customHeight="1" x14ac:dyDescent="0.25">
      <c r="A120" s="270" t="s">
        <v>170</v>
      </c>
      <c r="B120" s="271" t="s">
        <v>171</v>
      </c>
      <c r="C120" s="272"/>
      <c r="D120" s="307"/>
      <c r="E120" s="307"/>
      <c r="F120" s="322">
        <f t="shared" si="2"/>
        <v>0</v>
      </c>
      <c r="G120" s="307"/>
      <c r="H120" s="273"/>
    </row>
    <row r="121" spans="1:8" s="9" customFormat="1" ht="35.1" customHeight="1" x14ac:dyDescent="0.25">
      <c r="A121" s="255" t="s">
        <v>172</v>
      </c>
      <c r="B121" s="254" t="s">
        <v>153</v>
      </c>
      <c r="C121" s="255" t="s">
        <v>13</v>
      </c>
      <c r="D121" s="322">
        <f>_xlfn.XLOOKUP(A121,'PARA ENVÍO UNIFICADO (VANE)'!$A$4:$A$729,'PARA ENVÍO UNIFICADO (VANE)'!$D$4:$D$729,0,0)</f>
        <v>482.95999999999992</v>
      </c>
      <c r="E121" s="322">
        <f>_xlfn.XLOOKUP(A121,'PARA ENVÍO UNIFICADO (VANE)'!$A$4:$A$729,'PARA ENVÍO UNIFICADO (VANE)'!$E$4:$E$729,0,0)</f>
        <v>1039</v>
      </c>
      <c r="F121" s="322">
        <f t="shared" si="2"/>
        <v>1521.96</v>
      </c>
      <c r="G121" s="243">
        <v>110969</v>
      </c>
      <c r="H121" s="243">
        <f t="shared" si="3"/>
        <v>168890379.24000001</v>
      </c>
    </row>
    <row r="122" spans="1:8" s="9" customFormat="1" ht="35.1" customHeight="1" x14ac:dyDescent="0.25">
      <c r="A122" s="255" t="s">
        <v>173</v>
      </c>
      <c r="B122" s="254" t="s">
        <v>164</v>
      </c>
      <c r="C122" s="255" t="s">
        <v>13</v>
      </c>
      <c r="D122" s="322">
        <f>_xlfn.XLOOKUP(A122,'PARA ENVÍO UNIFICADO (VANE)'!$A$4:$A$729,'PARA ENVÍO UNIFICADO (VANE)'!$D$4:$D$729,0,0)</f>
        <v>80.070000000000007</v>
      </c>
      <c r="E122" s="322">
        <f>_xlfn.XLOOKUP(A122,'PARA ENVÍO UNIFICADO (VANE)'!$A$4:$A$729,'PARA ENVÍO UNIFICADO (VANE)'!$E$4:$E$729,0,0)</f>
        <v>190.12</v>
      </c>
      <c r="F122" s="322">
        <f t="shared" si="2"/>
        <v>270.19</v>
      </c>
      <c r="G122" s="243">
        <v>72415</v>
      </c>
      <c r="H122" s="243">
        <f t="shared" si="3"/>
        <v>19565808.850000001</v>
      </c>
    </row>
    <row r="123" spans="1:8" s="9" customFormat="1" ht="35.1" customHeight="1" x14ac:dyDescent="0.25">
      <c r="A123" s="255" t="s">
        <v>174</v>
      </c>
      <c r="B123" s="254" t="s">
        <v>159</v>
      </c>
      <c r="C123" s="255" t="s">
        <v>13</v>
      </c>
      <c r="D123" s="322">
        <f>_xlfn.XLOOKUP(A123,'PARA ENVÍO UNIFICADO (VANE)'!$A$4:$A$729,'PARA ENVÍO UNIFICADO (VANE)'!$D$4:$D$729,0,0)</f>
        <v>52.37</v>
      </c>
      <c r="E123" s="322">
        <f>_xlfn.XLOOKUP(A123,'PARA ENVÍO UNIFICADO (VANE)'!$A$4:$A$729,'PARA ENVÍO UNIFICADO (VANE)'!$E$4:$E$729,0,0)</f>
        <v>110.24</v>
      </c>
      <c r="F123" s="322">
        <f t="shared" si="2"/>
        <v>162.61000000000001</v>
      </c>
      <c r="G123" s="243">
        <v>95187</v>
      </c>
      <c r="H123" s="243">
        <f t="shared" si="3"/>
        <v>15478358.07</v>
      </c>
    </row>
    <row r="124" spans="1:8" s="9" customFormat="1" ht="35.1" customHeight="1" x14ac:dyDescent="0.25">
      <c r="A124" s="244" t="s">
        <v>1103</v>
      </c>
      <c r="B124" s="245" t="s">
        <v>1104</v>
      </c>
      <c r="C124" s="260"/>
      <c r="D124" s="244"/>
      <c r="E124" s="244"/>
      <c r="F124" s="322">
        <f t="shared" si="2"/>
        <v>0</v>
      </c>
      <c r="G124" s="303"/>
      <c r="H124" s="246"/>
    </row>
    <row r="125" spans="1:8" s="9" customFormat="1" ht="35.1" customHeight="1" x14ac:dyDescent="0.25">
      <c r="A125" s="255" t="s">
        <v>1105</v>
      </c>
      <c r="B125" s="254" t="s">
        <v>153</v>
      </c>
      <c r="C125" s="255" t="s">
        <v>13</v>
      </c>
      <c r="D125" s="322">
        <f>_xlfn.XLOOKUP(A125,'PARA ENVÍO UNIFICADO (VANE)'!$A$4:$A$729,'PARA ENVÍO UNIFICADO (VANE)'!$D$4:$D$729,0,0)</f>
        <v>1159.8800000000001</v>
      </c>
      <c r="E125" s="322">
        <f>_xlfn.XLOOKUP(A125,'PARA ENVÍO UNIFICADO (VANE)'!$A$4:$A$729,'PARA ENVÍO UNIFICADO (VANE)'!$E$4:$E$729,0,0)</f>
        <v>0</v>
      </c>
      <c r="F125" s="322">
        <f t="shared" si="2"/>
        <v>1159.8800000000001</v>
      </c>
      <c r="G125" s="243">
        <v>124643</v>
      </c>
      <c r="H125" s="243">
        <f t="shared" si="3"/>
        <v>144570922.84</v>
      </c>
    </row>
    <row r="126" spans="1:8" s="9" customFormat="1" ht="35.1" customHeight="1" x14ac:dyDescent="0.25">
      <c r="A126" s="255" t="s">
        <v>1106</v>
      </c>
      <c r="B126" s="254" t="s">
        <v>164</v>
      </c>
      <c r="C126" s="255" t="s">
        <v>13</v>
      </c>
      <c r="D126" s="322">
        <f>_xlfn.XLOOKUP(A126,'PARA ENVÍO UNIFICADO (VANE)'!$A$4:$A$729,'PARA ENVÍO UNIFICADO (VANE)'!$D$4:$D$729,0,0)</f>
        <v>53.48</v>
      </c>
      <c r="E126" s="322">
        <f>_xlfn.XLOOKUP(A126,'PARA ENVÍO UNIFICADO (VANE)'!$A$4:$A$729,'PARA ENVÍO UNIFICADO (VANE)'!$E$4:$E$729,0,0)</f>
        <v>0</v>
      </c>
      <c r="F126" s="322">
        <f t="shared" si="2"/>
        <v>53.48</v>
      </c>
      <c r="G126" s="243">
        <v>72415</v>
      </c>
      <c r="H126" s="243">
        <f t="shared" si="3"/>
        <v>3872754.2</v>
      </c>
    </row>
    <row r="127" spans="1:8" s="9" customFormat="1" ht="35.1" customHeight="1" x14ac:dyDescent="0.25">
      <c r="A127" s="255" t="s">
        <v>1107</v>
      </c>
      <c r="B127" s="254" t="s">
        <v>159</v>
      </c>
      <c r="C127" s="255" t="s">
        <v>13</v>
      </c>
      <c r="D127" s="322">
        <f>_xlfn.XLOOKUP(A127,'PARA ENVÍO UNIFICADO (VANE)'!$A$4:$A$729,'PARA ENVÍO UNIFICADO (VANE)'!$D$4:$D$729,0,0)</f>
        <v>9</v>
      </c>
      <c r="E127" s="322">
        <f>_xlfn.XLOOKUP(A127,'PARA ENVÍO UNIFICADO (VANE)'!$A$4:$A$729,'PARA ENVÍO UNIFICADO (VANE)'!$E$4:$E$729,0,0)</f>
        <v>0</v>
      </c>
      <c r="F127" s="322">
        <f t="shared" si="2"/>
        <v>9</v>
      </c>
      <c r="G127" s="243">
        <v>98762</v>
      </c>
      <c r="H127" s="243">
        <f t="shared" si="3"/>
        <v>888858</v>
      </c>
    </row>
    <row r="128" spans="1:8" s="9" customFormat="1" ht="35.1" customHeight="1" x14ac:dyDescent="0.25">
      <c r="A128" s="244" t="s">
        <v>1108</v>
      </c>
      <c r="B128" s="245" t="s">
        <v>1109</v>
      </c>
      <c r="C128" s="260"/>
      <c r="D128" s="244"/>
      <c r="E128" s="244"/>
      <c r="F128" s="322">
        <f t="shared" si="2"/>
        <v>0</v>
      </c>
      <c r="G128" s="303"/>
      <c r="H128" s="246"/>
    </row>
    <row r="129" spans="1:8" s="9" customFormat="1" ht="35.1" customHeight="1" x14ac:dyDescent="0.25">
      <c r="A129" s="255" t="s">
        <v>1110</v>
      </c>
      <c r="B129" s="254" t="s">
        <v>153</v>
      </c>
      <c r="C129" s="255" t="s">
        <v>13</v>
      </c>
      <c r="D129" s="322">
        <f>_xlfn.XLOOKUP(A129,'PARA ENVÍO UNIFICADO (VANE)'!$A$4:$A$729,'PARA ENVÍO UNIFICADO (VANE)'!$D$4:$D$729,0,0)</f>
        <v>949.13</v>
      </c>
      <c r="E129" s="322">
        <f>_xlfn.XLOOKUP(A129,'PARA ENVÍO UNIFICADO (VANE)'!$A$4:$A$729,'PARA ENVÍO UNIFICADO (VANE)'!$E$4:$E$729,0,0)</f>
        <v>0</v>
      </c>
      <c r="F129" s="322">
        <f t="shared" si="2"/>
        <v>949.13</v>
      </c>
      <c r="G129" s="243">
        <v>124643</v>
      </c>
      <c r="H129" s="243">
        <f t="shared" si="3"/>
        <v>118302410.59</v>
      </c>
    </row>
    <row r="130" spans="1:8" s="9" customFormat="1" ht="35.1" customHeight="1" x14ac:dyDescent="0.25">
      <c r="A130" s="255" t="s">
        <v>1111</v>
      </c>
      <c r="B130" s="254" t="s">
        <v>159</v>
      </c>
      <c r="C130" s="255" t="s">
        <v>13</v>
      </c>
      <c r="D130" s="322">
        <f>_xlfn.XLOOKUP(A130,'PARA ENVÍO UNIFICADO (VANE)'!$A$4:$A$729,'PARA ENVÍO UNIFICADO (VANE)'!$D$4:$D$729,0,0)</f>
        <v>56.54</v>
      </c>
      <c r="E130" s="322">
        <f>_xlfn.XLOOKUP(A130,'PARA ENVÍO UNIFICADO (VANE)'!$A$4:$A$729,'PARA ENVÍO UNIFICADO (VANE)'!$E$4:$E$729,0,0)</f>
        <v>0</v>
      </c>
      <c r="F130" s="322">
        <f t="shared" si="2"/>
        <v>56.54</v>
      </c>
      <c r="G130" s="243">
        <v>98762</v>
      </c>
      <c r="H130" s="243">
        <f t="shared" si="3"/>
        <v>5584003.4800000004</v>
      </c>
    </row>
    <row r="131" spans="1:8" s="9" customFormat="1" ht="35.1" customHeight="1" x14ac:dyDescent="0.25">
      <c r="A131" s="247">
        <v>7</v>
      </c>
      <c r="B131" s="248" t="s">
        <v>175</v>
      </c>
      <c r="C131" s="248"/>
      <c r="D131" s="248"/>
      <c r="E131" s="248"/>
      <c r="F131" s="322">
        <f t="shared" si="2"/>
        <v>0</v>
      </c>
      <c r="G131" s="308"/>
      <c r="H131" s="274"/>
    </row>
    <row r="132" spans="1:8" s="9" customFormat="1" ht="35.1" customHeight="1" x14ac:dyDescent="0.25">
      <c r="A132" s="244" t="s">
        <v>176</v>
      </c>
      <c r="B132" s="256" t="s">
        <v>177</v>
      </c>
      <c r="C132" s="256"/>
      <c r="D132" s="244"/>
      <c r="E132" s="244"/>
      <c r="F132" s="322">
        <f t="shared" si="2"/>
        <v>0</v>
      </c>
      <c r="G132" s="303"/>
      <c r="H132" s="246"/>
    </row>
    <row r="133" spans="1:8" s="9" customFormat="1" ht="35.1" customHeight="1" x14ac:dyDescent="0.25">
      <c r="A133" s="255" t="s">
        <v>178</v>
      </c>
      <c r="B133" s="254" t="s">
        <v>1112</v>
      </c>
      <c r="C133" s="240" t="s">
        <v>13</v>
      </c>
      <c r="D133" s="322">
        <f>_xlfn.XLOOKUP(A133,'PARA ENVÍO UNIFICADO (VANE)'!$A$4:$A$729,'PARA ENVÍO UNIFICADO (VANE)'!$D$4:$D$729,0,0)</f>
        <v>0</v>
      </c>
      <c r="E133" s="322">
        <f>_xlfn.XLOOKUP(A133,'PARA ENVÍO UNIFICADO (VANE)'!$A$4:$A$729,'PARA ENVÍO UNIFICADO (VANE)'!$E$4:$E$729,0,0)</f>
        <v>4.8600000000000003</v>
      </c>
      <c r="F133" s="322">
        <f t="shared" ref="F133:F196" si="4">ROUND(D133+E133,2)</f>
        <v>4.8600000000000003</v>
      </c>
      <c r="G133" s="243">
        <v>274296</v>
      </c>
      <c r="H133" s="243">
        <f>ROUND(+G133*F133,2)</f>
        <v>1333078.56</v>
      </c>
    </row>
    <row r="134" spans="1:8" s="9" customFormat="1" ht="35.1" customHeight="1" x14ac:dyDescent="0.25">
      <c r="A134" s="244" t="s">
        <v>180</v>
      </c>
      <c r="B134" s="245" t="s">
        <v>181</v>
      </c>
      <c r="C134" s="244"/>
      <c r="D134" s="244"/>
      <c r="E134" s="244"/>
      <c r="F134" s="322">
        <f t="shared" si="4"/>
        <v>0</v>
      </c>
      <c r="G134" s="303"/>
      <c r="H134" s="246"/>
    </row>
    <row r="135" spans="1:8" s="9" customFormat="1" ht="35.1" customHeight="1" x14ac:dyDescent="0.25">
      <c r="A135" s="255" t="s">
        <v>182</v>
      </c>
      <c r="B135" s="254" t="s">
        <v>183</v>
      </c>
      <c r="C135" s="240" t="s">
        <v>13</v>
      </c>
      <c r="D135" s="322">
        <f>_xlfn.XLOOKUP(A135,'PARA ENVÍO UNIFICADO (VANE)'!$A$4:$A$729,'PARA ENVÍO UNIFICADO (VANE)'!$D$4:$D$729,0,0)</f>
        <v>0</v>
      </c>
      <c r="E135" s="322">
        <f>_xlfn.XLOOKUP(A135,'PARA ENVÍO UNIFICADO (VANE)'!$A$4:$A$729,'PARA ENVÍO UNIFICADO (VANE)'!$E$4:$E$729,0,0)</f>
        <v>0.55000000000000004</v>
      </c>
      <c r="F135" s="322">
        <f t="shared" si="4"/>
        <v>0.55000000000000004</v>
      </c>
      <c r="G135" s="243">
        <v>274296</v>
      </c>
      <c r="H135" s="243">
        <f>ROUND(+G135*F135,2)</f>
        <v>150862.79999999999</v>
      </c>
    </row>
    <row r="136" spans="1:8" s="9" customFormat="1" ht="35.1" customHeight="1" x14ac:dyDescent="0.25">
      <c r="A136" s="255" t="s">
        <v>184</v>
      </c>
      <c r="B136" s="254" t="s">
        <v>1113</v>
      </c>
      <c r="C136" s="240" t="s">
        <v>13</v>
      </c>
      <c r="D136" s="322">
        <f>_xlfn.XLOOKUP(A136,'PARA ENVÍO UNIFICADO (VANE)'!$A$4:$A$729,'PARA ENVÍO UNIFICADO (VANE)'!$D$4:$D$729,0,0)</f>
        <v>0</v>
      </c>
      <c r="E136" s="322">
        <f>_xlfn.XLOOKUP(A136,'PARA ENVÍO UNIFICADO (VANE)'!$A$4:$A$729,'PARA ENVÍO UNIFICADO (VANE)'!$E$4:$E$729,0,0)</f>
        <v>0.36</v>
      </c>
      <c r="F136" s="322">
        <f t="shared" si="4"/>
        <v>0.36</v>
      </c>
      <c r="G136" s="243">
        <v>274296</v>
      </c>
      <c r="H136" s="243">
        <f>ROUND(+G136*F136,2)</f>
        <v>98746.559999999998</v>
      </c>
    </row>
    <row r="137" spans="1:8" s="9" customFormat="1" ht="35.1" customHeight="1" x14ac:dyDescent="0.25">
      <c r="A137" s="244" t="s">
        <v>186</v>
      </c>
      <c r="B137" s="245" t="s">
        <v>187</v>
      </c>
      <c r="C137" s="244"/>
      <c r="D137" s="244"/>
      <c r="E137" s="244"/>
      <c r="F137" s="322">
        <f t="shared" si="4"/>
        <v>0</v>
      </c>
      <c r="G137" s="303"/>
      <c r="H137" s="246"/>
    </row>
    <row r="138" spans="1:8" s="9" customFormat="1" ht="35.1" customHeight="1" x14ac:dyDescent="0.25">
      <c r="A138" s="255" t="s">
        <v>188</v>
      </c>
      <c r="B138" s="254" t="s">
        <v>189</v>
      </c>
      <c r="C138" s="240" t="s">
        <v>13</v>
      </c>
      <c r="D138" s="322">
        <f>_xlfn.XLOOKUP(A138,'PARA ENVÍO UNIFICADO (VANE)'!$A$4:$A$729,'PARA ENVÍO UNIFICADO (VANE)'!$D$4:$D$729,0,0)</f>
        <v>0</v>
      </c>
      <c r="E138" s="322">
        <f>_xlfn.XLOOKUP(A138,'PARA ENVÍO UNIFICADO (VANE)'!$A$4:$A$729,'PARA ENVÍO UNIFICADO (VANE)'!$E$4:$E$729,0,0)</f>
        <v>0.05</v>
      </c>
      <c r="F138" s="322">
        <f t="shared" si="4"/>
        <v>0.05</v>
      </c>
      <c r="G138" s="243">
        <v>274296</v>
      </c>
      <c r="H138" s="243">
        <f>ROUND(+G138*F138,2)</f>
        <v>13714.8</v>
      </c>
    </row>
    <row r="139" spans="1:8" s="9" customFormat="1" ht="35.1" customHeight="1" x14ac:dyDescent="0.25">
      <c r="A139" s="255" t="s">
        <v>190</v>
      </c>
      <c r="B139" s="254" t="s">
        <v>191</v>
      </c>
      <c r="C139" s="240" t="s">
        <v>13</v>
      </c>
      <c r="D139" s="322">
        <f>_xlfn.XLOOKUP(A139,'PARA ENVÍO UNIFICADO (VANE)'!$A$4:$A$729,'PARA ENVÍO UNIFICADO (VANE)'!$D$4:$D$729,0,0)</f>
        <v>0</v>
      </c>
      <c r="E139" s="322">
        <f>_xlfn.XLOOKUP(A139,'PARA ENVÍO UNIFICADO (VANE)'!$A$4:$A$729,'PARA ENVÍO UNIFICADO (VANE)'!$E$4:$E$729,0,0)</f>
        <v>0.32</v>
      </c>
      <c r="F139" s="322">
        <f t="shared" si="4"/>
        <v>0.32</v>
      </c>
      <c r="G139" s="243">
        <v>274296</v>
      </c>
      <c r="H139" s="243">
        <f>ROUND(+G139*F139,2)</f>
        <v>87774.720000000001</v>
      </c>
    </row>
    <row r="140" spans="1:8" s="9" customFormat="1" ht="35.1" customHeight="1" x14ac:dyDescent="0.25">
      <c r="A140" s="255" t="s">
        <v>192</v>
      </c>
      <c r="B140" s="254" t="s">
        <v>183</v>
      </c>
      <c r="C140" s="240" t="s">
        <v>13</v>
      </c>
      <c r="D140" s="322">
        <f>_xlfn.XLOOKUP(A140,'PARA ENVÍO UNIFICADO (VANE)'!$A$4:$A$729,'PARA ENVÍO UNIFICADO (VANE)'!$D$4:$D$729,0,0)</f>
        <v>0</v>
      </c>
      <c r="E140" s="322">
        <f>_xlfn.XLOOKUP(A140,'PARA ENVÍO UNIFICADO (VANE)'!$A$4:$A$729,'PARA ENVÍO UNIFICADO (VANE)'!$E$4:$E$729,0,0)</f>
        <v>0.48</v>
      </c>
      <c r="F140" s="322">
        <f t="shared" si="4"/>
        <v>0.48</v>
      </c>
      <c r="G140" s="243">
        <v>274296</v>
      </c>
      <c r="H140" s="243">
        <f>ROUND(+G140*F140,2)</f>
        <v>131662.07999999999</v>
      </c>
    </row>
    <row r="141" spans="1:8" s="9" customFormat="1" ht="35.1" customHeight="1" x14ac:dyDescent="0.25">
      <c r="A141" s="255" t="s">
        <v>193</v>
      </c>
      <c r="B141" s="254" t="s">
        <v>1114</v>
      </c>
      <c r="C141" s="240" t="s">
        <v>13</v>
      </c>
      <c r="D141" s="322">
        <f>_xlfn.XLOOKUP(A141,'PARA ENVÍO UNIFICADO (VANE)'!$A$4:$A$729,'PARA ENVÍO UNIFICADO (VANE)'!$D$4:$D$729,0,0)</f>
        <v>0</v>
      </c>
      <c r="E141" s="322">
        <f>_xlfn.XLOOKUP(A141,'PARA ENVÍO UNIFICADO (VANE)'!$A$4:$A$729,'PARA ENVÍO UNIFICADO (VANE)'!$E$4:$E$729,0,0)</f>
        <v>0.12</v>
      </c>
      <c r="F141" s="322">
        <f t="shared" si="4"/>
        <v>0.12</v>
      </c>
      <c r="G141" s="243">
        <v>274296</v>
      </c>
      <c r="H141" s="243">
        <f>ROUND(+G141*F141,2)</f>
        <v>32915.519999999997</v>
      </c>
    </row>
    <row r="142" spans="1:8" s="9" customFormat="1" ht="35.1" customHeight="1" x14ac:dyDescent="0.25">
      <c r="A142" s="255" t="s">
        <v>194</v>
      </c>
      <c r="B142" s="254" t="s">
        <v>195</v>
      </c>
      <c r="C142" s="240" t="s">
        <v>13</v>
      </c>
      <c r="D142" s="322">
        <f>_xlfn.XLOOKUP(A142,'PARA ENVÍO UNIFICADO (VANE)'!$A$4:$A$729,'PARA ENVÍO UNIFICADO (VANE)'!$D$4:$D$729,0,0)</f>
        <v>0</v>
      </c>
      <c r="E142" s="322">
        <f>_xlfn.XLOOKUP(A142,'PARA ENVÍO UNIFICADO (VANE)'!$A$4:$A$729,'PARA ENVÍO UNIFICADO (VANE)'!$E$4:$E$729,0,0)</f>
        <v>0.36</v>
      </c>
      <c r="F142" s="322">
        <f t="shared" si="4"/>
        <v>0.36</v>
      </c>
      <c r="G142" s="243">
        <v>274296</v>
      </c>
      <c r="H142" s="243">
        <f>ROUND(+G142*F142,2)</f>
        <v>98746.559999999998</v>
      </c>
    </row>
    <row r="143" spans="1:8" s="9" customFormat="1" ht="35.1" customHeight="1" x14ac:dyDescent="0.25">
      <c r="A143" s="244" t="s">
        <v>1115</v>
      </c>
      <c r="B143" s="245" t="s">
        <v>1116</v>
      </c>
      <c r="C143" s="244"/>
      <c r="D143" s="244"/>
      <c r="E143" s="244"/>
      <c r="F143" s="322">
        <f t="shared" si="4"/>
        <v>0</v>
      </c>
      <c r="G143" s="303"/>
      <c r="H143" s="246"/>
    </row>
    <row r="144" spans="1:8" s="9" customFormat="1" ht="35.1" customHeight="1" x14ac:dyDescent="0.25">
      <c r="A144" s="255" t="s">
        <v>1117</v>
      </c>
      <c r="B144" s="254" t="s">
        <v>189</v>
      </c>
      <c r="C144" s="240" t="s">
        <v>13</v>
      </c>
      <c r="D144" s="322">
        <f>_xlfn.XLOOKUP(A144,'PARA ENVÍO UNIFICADO (VANE)'!$A$4:$A$729,'PARA ENVÍO UNIFICADO (VANE)'!$D$4:$D$729,0,0)</f>
        <v>0.54</v>
      </c>
      <c r="E144" s="322">
        <f>_xlfn.XLOOKUP(A144,'PARA ENVÍO UNIFICADO (VANE)'!$A$4:$A$729,'PARA ENVÍO UNIFICADO (VANE)'!$E$4:$E$729,0,0)</f>
        <v>0</v>
      </c>
      <c r="F144" s="322">
        <f t="shared" si="4"/>
        <v>0.54</v>
      </c>
      <c r="G144" s="243">
        <v>274997</v>
      </c>
      <c r="H144" s="243">
        <f>ROUND(+G144*F144,2)</f>
        <v>148498.38</v>
      </c>
    </row>
    <row r="145" spans="1:8" s="9" customFormat="1" ht="35.1" customHeight="1" x14ac:dyDescent="0.25">
      <c r="A145" s="255" t="s">
        <v>1118</v>
      </c>
      <c r="B145" s="254" t="s">
        <v>191</v>
      </c>
      <c r="C145" s="240" t="s">
        <v>13</v>
      </c>
      <c r="D145" s="322">
        <f>_xlfn.XLOOKUP(A145,'PARA ENVÍO UNIFICADO (VANE)'!$A$4:$A$729,'PARA ENVÍO UNIFICADO (VANE)'!$D$4:$D$729,0,0)</f>
        <v>2.38</v>
      </c>
      <c r="E145" s="322">
        <f>_xlfn.XLOOKUP(A145,'PARA ENVÍO UNIFICADO (VANE)'!$A$4:$A$729,'PARA ENVÍO UNIFICADO (VANE)'!$E$4:$E$729,0,0)</f>
        <v>0</v>
      </c>
      <c r="F145" s="322">
        <f t="shared" si="4"/>
        <v>2.38</v>
      </c>
      <c r="G145" s="243">
        <v>274997</v>
      </c>
      <c r="H145" s="243">
        <f>ROUND(+G145*F145,2)</f>
        <v>654492.86</v>
      </c>
    </row>
    <row r="146" spans="1:8" s="9" customFormat="1" ht="35.1" customHeight="1" x14ac:dyDescent="0.25">
      <c r="A146" s="255" t="s">
        <v>1119</v>
      </c>
      <c r="B146" s="254" t="s">
        <v>183</v>
      </c>
      <c r="C146" s="240" t="s">
        <v>13</v>
      </c>
      <c r="D146" s="322">
        <f>_xlfn.XLOOKUP(A146,'PARA ENVÍO UNIFICADO (VANE)'!$A$4:$A$729,'PARA ENVÍO UNIFICADO (VANE)'!$D$4:$D$729,0,0)</f>
        <v>3.45</v>
      </c>
      <c r="E146" s="322">
        <f>_xlfn.XLOOKUP(A146,'PARA ENVÍO UNIFICADO (VANE)'!$A$4:$A$729,'PARA ENVÍO UNIFICADO (VANE)'!$E$4:$E$729,0,0)</f>
        <v>0</v>
      </c>
      <c r="F146" s="322">
        <f t="shared" si="4"/>
        <v>3.45</v>
      </c>
      <c r="G146" s="243">
        <v>274997</v>
      </c>
      <c r="H146" s="243">
        <f>ROUND(+G146*F146,2)</f>
        <v>948739.65</v>
      </c>
    </row>
    <row r="147" spans="1:8" s="9" customFormat="1" ht="35.1" customHeight="1" x14ac:dyDescent="0.25">
      <c r="A147" s="255" t="s">
        <v>1120</v>
      </c>
      <c r="B147" s="254" t="s">
        <v>195</v>
      </c>
      <c r="C147" s="240" t="s">
        <v>13</v>
      </c>
      <c r="D147" s="322">
        <f>_xlfn.XLOOKUP(A147,'PARA ENVÍO UNIFICADO (VANE)'!$A$4:$A$729,'PARA ENVÍO UNIFICADO (VANE)'!$D$4:$D$729,0,0)</f>
        <v>1.8</v>
      </c>
      <c r="E147" s="322">
        <f>_xlfn.XLOOKUP(A147,'PARA ENVÍO UNIFICADO (VANE)'!$A$4:$A$729,'PARA ENVÍO UNIFICADO (VANE)'!$E$4:$E$729,0,0)</f>
        <v>0</v>
      </c>
      <c r="F147" s="322">
        <f t="shared" si="4"/>
        <v>1.8</v>
      </c>
      <c r="G147" s="243">
        <v>274997</v>
      </c>
      <c r="H147" s="243">
        <f>ROUND(+G147*F147,2)</f>
        <v>494994.6</v>
      </c>
    </row>
    <row r="148" spans="1:8" s="9" customFormat="1" ht="35.1" customHeight="1" x14ac:dyDescent="0.25">
      <c r="A148" s="244" t="s">
        <v>1121</v>
      </c>
      <c r="B148" s="245" t="s">
        <v>1122</v>
      </c>
      <c r="C148" s="244"/>
      <c r="D148" s="244"/>
      <c r="E148" s="244"/>
      <c r="F148" s="322">
        <f t="shared" si="4"/>
        <v>0</v>
      </c>
      <c r="G148" s="303"/>
      <c r="H148" s="246"/>
    </row>
    <row r="149" spans="1:8" s="9" customFormat="1" ht="35.1" customHeight="1" x14ac:dyDescent="0.25">
      <c r="A149" s="255" t="s">
        <v>1123</v>
      </c>
      <c r="B149" s="254" t="s">
        <v>183</v>
      </c>
      <c r="C149" s="240" t="s">
        <v>13</v>
      </c>
      <c r="D149" s="322">
        <f>_xlfn.XLOOKUP(A149,'PARA ENVÍO UNIFICADO (VANE)'!$A$4:$A$729,'PARA ENVÍO UNIFICADO (VANE)'!$D$4:$D$729,0,0)</f>
        <v>3.45</v>
      </c>
      <c r="E149" s="322">
        <f>_xlfn.XLOOKUP(A149,'PARA ENVÍO UNIFICADO (VANE)'!$A$4:$A$729,'PARA ENVÍO UNIFICADO (VANE)'!$E$4:$E$729,0,0)</f>
        <v>0</v>
      </c>
      <c r="F149" s="322">
        <f t="shared" si="4"/>
        <v>3.45</v>
      </c>
      <c r="G149" s="243">
        <v>274997</v>
      </c>
      <c r="H149" s="243">
        <f>ROUND(+G149*F149,2)</f>
        <v>948739.65</v>
      </c>
    </row>
    <row r="150" spans="1:8" s="9" customFormat="1" ht="35.1" customHeight="1" x14ac:dyDescent="0.25">
      <c r="A150" s="247">
        <v>8</v>
      </c>
      <c r="B150" s="248" t="s">
        <v>196</v>
      </c>
      <c r="C150" s="248"/>
      <c r="D150" s="248"/>
      <c r="E150" s="248"/>
      <c r="F150" s="322">
        <f t="shared" si="4"/>
        <v>0</v>
      </c>
      <c r="G150" s="305"/>
      <c r="H150" s="249"/>
    </row>
    <row r="151" spans="1:8" s="9" customFormat="1" ht="35.1" customHeight="1" x14ac:dyDescent="0.25">
      <c r="A151" s="244" t="s">
        <v>197</v>
      </c>
      <c r="B151" s="245" t="s">
        <v>198</v>
      </c>
      <c r="C151" s="244"/>
      <c r="D151" s="244"/>
      <c r="E151" s="244"/>
      <c r="F151" s="322">
        <f t="shared" si="4"/>
        <v>0</v>
      </c>
      <c r="G151" s="303"/>
      <c r="H151" s="246"/>
    </row>
    <row r="152" spans="1:8" s="9" customFormat="1" ht="35.1" customHeight="1" x14ac:dyDescent="0.25">
      <c r="A152" s="255" t="s">
        <v>199</v>
      </c>
      <c r="B152" s="254" t="s">
        <v>200</v>
      </c>
      <c r="C152" s="240" t="s">
        <v>13</v>
      </c>
      <c r="D152" s="322">
        <f>_xlfn.XLOOKUP(A152,'PARA ENVÍO UNIFICADO (VANE)'!$A$4:$A$729,'PARA ENVÍO UNIFICADO (VANE)'!$D$4:$D$729,0,0)</f>
        <v>44.879999999999995</v>
      </c>
      <c r="E152" s="322">
        <f>_xlfn.XLOOKUP(A152,'PARA ENVÍO UNIFICADO (VANE)'!$A$4:$A$729,'PARA ENVÍO UNIFICADO (VANE)'!$E$4:$E$729,0,0)</f>
        <v>16.32</v>
      </c>
      <c r="F152" s="322">
        <f t="shared" si="4"/>
        <v>61.2</v>
      </c>
      <c r="G152" s="243">
        <v>319840</v>
      </c>
      <c r="H152" s="243">
        <f>ROUND(+G152*F152,2)</f>
        <v>19574208</v>
      </c>
    </row>
    <row r="153" spans="1:8" s="9" customFormat="1" ht="35.1" customHeight="1" x14ac:dyDescent="0.25">
      <c r="A153" s="255" t="s">
        <v>201</v>
      </c>
      <c r="B153" s="254" t="s">
        <v>202</v>
      </c>
      <c r="C153" s="240" t="s">
        <v>13</v>
      </c>
      <c r="D153" s="322">
        <f>_xlfn.XLOOKUP(A153,'PARA ENVÍO UNIFICADO (VANE)'!$A$4:$A$729,'PARA ENVÍO UNIFICADO (VANE)'!$D$4:$D$729,0,0)</f>
        <v>111.41999999999999</v>
      </c>
      <c r="E153" s="322">
        <f>_xlfn.XLOOKUP(A153,'PARA ENVÍO UNIFICADO (VANE)'!$A$4:$A$729,'PARA ENVÍO UNIFICADO (VANE)'!$E$4:$E$729,0,0)</f>
        <v>111.43</v>
      </c>
      <c r="F153" s="322">
        <f t="shared" si="4"/>
        <v>222.85</v>
      </c>
      <c r="G153" s="243">
        <v>362451</v>
      </c>
      <c r="H153" s="243">
        <f>ROUND(+G153*F153,2)</f>
        <v>80772205.349999994</v>
      </c>
    </row>
    <row r="154" spans="1:8" s="9" customFormat="1" ht="35.1" customHeight="1" x14ac:dyDescent="0.25">
      <c r="A154" s="255" t="s">
        <v>203</v>
      </c>
      <c r="B154" s="254" t="s">
        <v>204</v>
      </c>
      <c r="C154" s="240" t="s">
        <v>13</v>
      </c>
      <c r="D154" s="322">
        <f>_xlfn.XLOOKUP(A154,'PARA ENVÍO UNIFICADO (VANE)'!$A$4:$A$729,'PARA ENVÍO UNIFICADO (VANE)'!$D$4:$D$729,0,0)</f>
        <v>17.010000000000002</v>
      </c>
      <c r="E154" s="322">
        <f>_xlfn.XLOOKUP(A154,'PARA ENVÍO UNIFICADO (VANE)'!$A$4:$A$729,'PARA ENVÍO UNIFICADO (VANE)'!$E$4:$E$729,0,0)</f>
        <v>17.010000000000002</v>
      </c>
      <c r="F154" s="322">
        <f t="shared" si="4"/>
        <v>34.020000000000003</v>
      </c>
      <c r="G154" s="243">
        <v>379207</v>
      </c>
      <c r="H154" s="243">
        <f>ROUND(+G154*F154,2)</f>
        <v>12900622.140000001</v>
      </c>
    </row>
    <row r="155" spans="1:8" s="9" customFormat="1" ht="35.1" customHeight="1" x14ac:dyDescent="0.25">
      <c r="A155" s="255" t="s">
        <v>205</v>
      </c>
      <c r="B155" s="254" t="s">
        <v>206</v>
      </c>
      <c r="C155" s="240" t="s">
        <v>13</v>
      </c>
      <c r="D155" s="322">
        <f>_xlfn.XLOOKUP(A155,'PARA ENVÍO UNIFICADO (VANE)'!$A$4:$A$729,'PARA ENVÍO UNIFICADO (VANE)'!$D$4:$D$729,0,0)</f>
        <v>13.059999999999999</v>
      </c>
      <c r="E155" s="322">
        <f>_xlfn.XLOOKUP(A155,'PARA ENVÍO UNIFICADO (VANE)'!$A$4:$A$729,'PARA ENVÍO UNIFICADO (VANE)'!$E$4:$E$729,0,0)</f>
        <v>13.07</v>
      </c>
      <c r="F155" s="322">
        <f t="shared" si="4"/>
        <v>26.13</v>
      </c>
      <c r="G155" s="243">
        <v>379207</v>
      </c>
      <c r="H155" s="243">
        <f>ROUND(+G155*F155,2)</f>
        <v>9908678.9100000001</v>
      </c>
    </row>
    <row r="156" spans="1:8" s="9" customFormat="1" ht="35.1" customHeight="1" x14ac:dyDescent="0.25">
      <c r="A156" s="244" t="s">
        <v>207</v>
      </c>
      <c r="B156" s="245" t="s">
        <v>208</v>
      </c>
      <c r="C156" s="244"/>
      <c r="D156" s="244"/>
      <c r="E156" s="244"/>
      <c r="F156" s="322">
        <f t="shared" si="4"/>
        <v>0</v>
      </c>
      <c r="G156" s="303"/>
      <c r="H156" s="246"/>
    </row>
    <row r="157" spans="1:8" s="9" customFormat="1" ht="35.1" customHeight="1" x14ac:dyDescent="0.25">
      <c r="A157" s="255" t="s">
        <v>209</v>
      </c>
      <c r="B157" s="254" t="s">
        <v>210</v>
      </c>
      <c r="C157" s="240" t="s">
        <v>13</v>
      </c>
      <c r="D157" s="322">
        <f>_xlfn.XLOOKUP(A157,'PARA ENVÍO UNIFICADO (VANE)'!$A$4:$A$729,'PARA ENVÍO UNIFICADO (VANE)'!$D$4:$D$729,0,0)</f>
        <v>221.89</v>
      </c>
      <c r="E157" s="322">
        <f>_xlfn.XLOOKUP(A157,'PARA ENVÍO UNIFICADO (VANE)'!$A$4:$A$729,'PARA ENVÍO UNIFICADO (VANE)'!$E$4:$E$729,0,0)</f>
        <v>21.89</v>
      </c>
      <c r="F157" s="322">
        <f t="shared" si="4"/>
        <v>243.78</v>
      </c>
      <c r="G157" s="243">
        <v>253611</v>
      </c>
      <c r="H157" s="243">
        <f t="shared" ref="H157:H163" si="5">ROUND(+G157*F157,2)</f>
        <v>61825289.579999998</v>
      </c>
    </row>
    <row r="158" spans="1:8" s="9" customFormat="1" ht="35.1" customHeight="1" x14ac:dyDescent="0.25">
      <c r="A158" s="255" t="s">
        <v>211</v>
      </c>
      <c r="B158" s="254" t="s">
        <v>200</v>
      </c>
      <c r="C158" s="240" t="s">
        <v>13</v>
      </c>
      <c r="D158" s="322">
        <f>_xlfn.XLOOKUP(A158,'PARA ENVÍO UNIFICADO (VANE)'!$A$4:$A$729,'PARA ENVÍO UNIFICADO (VANE)'!$D$4:$D$729,0,0)</f>
        <v>13.48</v>
      </c>
      <c r="E158" s="322">
        <f>_xlfn.XLOOKUP(A158,'PARA ENVÍO UNIFICADO (VANE)'!$A$4:$A$729,'PARA ENVÍO UNIFICADO (VANE)'!$E$4:$E$729,0,0)</f>
        <v>13.48</v>
      </c>
      <c r="F158" s="322">
        <f t="shared" si="4"/>
        <v>26.96</v>
      </c>
      <c r="G158" s="243">
        <v>319840</v>
      </c>
      <c r="H158" s="243">
        <f t="shared" si="5"/>
        <v>8622886.4000000004</v>
      </c>
    </row>
    <row r="159" spans="1:8" s="9" customFormat="1" ht="35.1" customHeight="1" x14ac:dyDescent="0.25">
      <c r="A159" s="255" t="s">
        <v>212</v>
      </c>
      <c r="B159" s="254" t="s">
        <v>202</v>
      </c>
      <c r="C159" s="240" t="s">
        <v>13</v>
      </c>
      <c r="D159" s="322">
        <f>_xlfn.XLOOKUP(A159,'PARA ENVÍO UNIFICADO (VANE)'!$A$4:$A$729,'PARA ENVÍO UNIFICADO (VANE)'!$D$4:$D$729,0,0)</f>
        <v>29.999999999999996</v>
      </c>
      <c r="E159" s="322">
        <f>_xlfn.XLOOKUP(A159,'PARA ENVÍO UNIFICADO (VANE)'!$A$4:$A$729,'PARA ENVÍO UNIFICADO (VANE)'!$E$4:$E$729,0,0)</f>
        <v>30.01</v>
      </c>
      <c r="F159" s="322">
        <f t="shared" si="4"/>
        <v>60.01</v>
      </c>
      <c r="G159" s="243">
        <v>362451</v>
      </c>
      <c r="H159" s="243">
        <f t="shared" si="5"/>
        <v>21750684.510000002</v>
      </c>
    </row>
    <row r="160" spans="1:8" s="9" customFormat="1" ht="35.1" customHeight="1" x14ac:dyDescent="0.25">
      <c r="A160" s="255" t="s">
        <v>213</v>
      </c>
      <c r="B160" s="254" t="s">
        <v>214</v>
      </c>
      <c r="C160" s="240" t="s">
        <v>13</v>
      </c>
      <c r="D160" s="322">
        <f>_xlfn.XLOOKUP(A160,'PARA ENVÍO UNIFICADO (VANE)'!$A$4:$A$729,'PARA ENVÍO UNIFICADO (VANE)'!$D$4:$D$729,0,0)</f>
        <v>78.760000000000005</v>
      </c>
      <c r="E160" s="322">
        <f>_xlfn.XLOOKUP(A160,'PARA ENVÍO UNIFICADO (VANE)'!$A$4:$A$729,'PARA ENVÍO UNIFICADO (VANE)'!$E$4:$E$729,0,0)</f>
        <v>63.83</v>
      </c>
      <c r="F160" s="322">
        <f t="shared" si="4"/>
        <v>142.59</v>
      </c>
      <c r="G160" s="243">
        <v>362451</v>
      </c>
      <c r="H160" s="243">
        <f t="shared" si="5"/>
        <v>51681888.090000004</v>
      </c>
    </row>
    <row r="161" spans="1:8" s="9" customFormat="1" ht="35.1" customHeight="1" x14ac:dyDescent="0.25">
      <c r="A161" s="255" t="s">
        <v>215</v>
      </c>
      <c r="B161" s="254" t="s">
        <v>216</v>
      </c>
      <c r="C161" s="240" t="s">
        <v>13</v>
      </c>
      <c r="D161" s="322">
        <f>_xlfn.XLOOKUP(A161,'PARA ENVÍO UNIFICADO (VANE)'!$A$4:$A$729,'PARA ENVÍO UNIFICADO (VANE)'!$D$4:$D$729,0,0)</f>
        <v>78.989999999999995</v>
      </c>
      <c r="E161" s="322">
        <f>_xlfn.XLOOKUP(A161,'PARA ENVÍO UNIFICADO (VANE)'!$A$4:$A$729,'PARA ENVÍO UNIFICADO (VANE)'!$E$4:$E$729,0,0)</f>
        <v>7.99</v>
      </c>
      <c r="F161" s="322">
        <f t="shared" si="4"/>
        <v>86.98</v>
      </c>
      <c r="G161" s="243">
        <v>376284</v>
      </c>
      <c r="H161" s="243">
        <f t="shared" si="5"/>
        <v>32729182.32</v>
      </c>
    </row>
    <row r="162" spans="1:8" s="9" customFormat="1" ht="35.1" customHeight="1" x14ac:dyDescent="0.25">
      <c r="A162" s="255" t="s">
        <v>217</v>
      </c>
      <c r="B162" s="254" t="s">
        <v>218</v>
      </c>
      <c r="C162" s="240" t="s">
        <v>13</v>
      </c>
      <c r="D162" s="322">
        <f>_xlfn.XLOOKUP(A162,'PARA ENVÍO UNIFICADO (VANE)'!$A$4:$A$729,'PARA ENVÍO UNIFICADO (VANE)'!$D$4:$D$729,0,0)</f>
        <v>11.76</v>
      </c>
      <c r="E162" s="322">
        <f>_xlfn.XLOOKUP(A162,'PARA ENVÍO UNIFICADO (VANE)'!$A$4:$A$729,'PARA ENVÍO UNIFICADO (VANE)'!$E$4:$E$729,0,0)</f>
        <v>11.76</v>
      </c>
      <c r="F162" s="322">
        <f t="shared" si="4"/>
        <v>23.52</v>
      </c>
      <c r="G162" s="243">
        <v>379207</v>
      </c>
      <c r="H162" s="243">
        <f t="shared" si="5"/>
        <v>8918948.6400000006</v>
      </c>
    </row>
    <row r="163" spans="1:8" s="9" customFormat="1" ht="35.1" customHeight="1" x14ac:dyDescent="0.25">
      <c r="A163" s="255" t="s">
        <v>219</v>
      </c>
      <c r="B163" s="241" t="s">
        <v>220</v>
      </c>
      <c r="C163" s="240" t="s">
        <v>13</v>
      </c>
      <c r="D163" s="322">
        <f>_xlfn.XLOOKUP(A163,'PARA ENVÍO UNIFICADO (VANE)'!$A$4:$A$729,'PARA ENVÍO UNIFICADO (VANE)'!$D$4:$D$729,0,0)</f>
        <v>15.659999999999998</v>
      </c>
      <c r="E163" s="322">
        <f>_xlfn.XLOOKUP(A163,'PARA ENVÍO UNIFICADO (VANE)'!$A$4:$A$729,'PARA ENVÍO UNIFICADO (VANE)'!$E$4:$E$729,0,0)</f>
        <v>10.72</v>
      </c>
      <c r="F163" s="322">
        <f t="shared" si="4"/>
        <v>26.38</v>
      </c>
      <c r="G163" s="243">
        <v>422487</v>
      </c>
      <c r="H163" s="243">
        <f t="shared" si="5"/>
        <v>11145207.060000001</v>
      </c>
    </row>
    <row r="164" spans="1:8" s="9" customFormat="1" ht="35.1" customHeight="1" x14ac:dyDescent="0.25">
      <c r="A164" s="244" t="s">
        <v>1124</v>
      </c>
      <c r="B164" s="245" t="s">
        <v>1125</v>
      </c>
      <c r="C164" s="244"/>
      <c r="D164" s="244"/>
      <c r="E164" s="244"/>
      <c r="F164" s="322">
        <f t="shared" si="4"/>
        <v>0</v>
      </c>
      <c r="G164" s="303"/>
      <c r="H164" s="246"/>
    </row>
    <row r="165" spans="1:8" s="9" customFormat="1" ht="35.1" customHeight="1" x14ac:dyDescent="0.25">
      <c r="A165" s="255" t="s">
        <v>1126</v>
      </c>
      <c r="B165" s="254" t="s">
        <v>210</v>
      </c>
      <c r="C165" s="240" t="s">
        <v>13</v>
      </c>
      <c r="D165" s="322">
        <f>_xlfn.XLOOKUP(A165,'PARA ENVÍO UNIFICADO (VANE)'!$A$4:$A$729,'PARA ENVÍO UNIFICADO (VANE)'!$D$4:$D$729,0,0)</f>
        <v>181.07</v>
      </c>
      <c r="E165" s="322">
        <f>_xlfn.XLOOKUP(A165,'PARA ENVÍO UNIFICADO (VANE)'!$A$4:$A$729,'PARA ENVÍO UNIFICADO (VANE)'!$E$4:$E$729,0,0)</f>
        <v>0</v>
      </c>
      <c r="F165" s="322">
        <f t="shared" si="4"/>
        <v>181.07</v>
      </c>
      <c r="G165" s="243">
        <v>255936</v>
      </c>
      <c r="H165" s="243">
        <f t="shared" ref="H165:H170" si="6">ROUND(+G165*F165,2)</f>
        <v>46342331.520000003</v>
      </c>
    </row>
    <row r="166" spans="1:8" s="9" customFormat="1" ht="35.1" customHeight="1" x14ac:dyDescent="0.25">
      <c r="A166" s="255" t="s">
        <v>1127</v>
      </c>
      <c r="B166" s="254" t="s">
        <v>1128</v>
      </c>
      <c r="C166" s="240" t="s">
        <v>13</v>
      </c>
      <c r="D166" s="322">
        <f>_xlfn.XLOOKUP(A166,'PARA ENVÍO UNIFICADO (VANE)'!$A$4:$A$729,'PARA ENVÍO UNIFICADO (VANE)'!$D$4:$D$729,0,0)</f>
        <v>34.630000000000003</v>
      </c>
      <c r="E166" s="322">
        <f>_xlfn.XLOOKUP(A166,'PARA ENVÍO UNIFICADO (VANE)'!$A$4:$A$729,'PARA ENVÍO UNIFICADO (VANE)'!$E$4:$E$729,0,0)</f>
        <v>0</v>
      </c>
      <c r="F166" s="322">
        <f t="shared" si="4"/>
        <v>34.630000000000003</v>
      </c>
      <c r="G166" s="243">
        <v>319840</v>
      </c>
      <c r="H166" s="243">
        <f t="shared" si="6"/>
        <v>11076059.199999999</v>
      </c>
    </row>
    <row r="167" spans="1:8" s="9" customFormat="1" ht="35.1" customHeight="1" x14ac:dyDescent="0.25">
      <c r="A167" s="255" t="s">
        <v>1129</v>
      </c>
      <c r="B167" s="254" t="s">
        <v>202</v>
      </c>
      <c r="C167" s="240" t="s">
        <v>13</v>
      </c>
      <c r="D167" s="322">
        <f>_xlfn.XLOOKUP(A167,'PARA ENVÍO UNIFICADO (VANE)'!$A$4:$A$729,'PARA ENVÍO UNIFICADO (VANE)'!$D$4:$D$729,0,0)</f>
        <v>87.57</v>
      </c>
      <c r="E167" s="322">
        <f>_xlfn.XLOOKUP(A167,'PARA ENVÍO UNIFICADO (VANE)'!$A$4:$A$729,'PARA ENVÍO UNIFICADO (VANE)'!$E$4:$E$729,0,0)</f>
        <v>0</v>
      </c>
      <c r="F167" s="322">
        <f t="shared" si="4"/>
        <v>87.57</v>
      </c>
      <c r="G167" s="243">
        <v>362451</v>
      </c>
      <c r="H167" s="243">
        <f t="shared" si="6"/>
        <v>31739834.07</v>
      </c>
    </row>
    <row r="168" spans="1:8" s="9" customFormat="1" ht="35.1" customHeight="1" x14ac:dyDescent="0.25">
      <c r="A168" s="255" t="s">
        <v>1130</v>
      </c>
      <c r="B168" s="254" t="s">
        <v>214</v>
      </c>
      <c r="C168" s="240" t="s">
        <v>13</v>
      </c>
      <c r="D168" s="322">
        <f>_xlfn.XLOOKUP(A168,'PARA ENVÍO UNIFICADO (VANE)'!$A$4:$A$729,'PARA ENVÍO UNIFICADO (VANE)'!$D$4:$D$729,0,0)</f>
        <v>157.53</v>
      </c>
      <c r="E168" s="322">
        <f>_xlfn.XLOOKUP(A168,'PARA ENVÍO UNIFICADO (VANE)'!$A$4:$A$729,'PARA ENVÍO UNIFICADO (VANE)'!$E$4:$E$729,0,0)</f>
        <v>0</v>
      </c>
      <c r="F168" s="322">
        <f t="shared" si="4"/>
        <v>157.53</v>
      </c>
      <c r="G168" s="243">
        <v>362451</v>
      </c>
      <c r="H168" s="243">
        <f t="shared" si="6"/>
        <v>57096906.030000001</v>
      </c>
    </row>
    <row r="169" spans="1:8" s="9" customFormat="1" ht="35.1" customHeight="1" x14ac:dyDescent="0.25">
      <c r="A169" s="255" t="s">
        <v>1131</v>
      </c>
      <c r="B169" s="254" t="s">
        <v>204</v>
      </c>
      <c r="C169" s="240" t="s">
        <v>13</v>
      </c>
      <c r="D169" s="322">
        <f>_xlfn.XLOOKUP(A169,'PARA ENVÍO UNIFICADO (VANE)'!$A$4:$A$729,'PARA ENVÍO UNIFICADO (VANE)'!$D$4:$D$729,0,0)</f>
        <v>148.13999999999999</v>
      </c>
      <c r="E169" s="322">
        <f>_xlfn.XLOOKUP(A169,'PARA ENVÍO UNIFICADO (VANE)'!$A$4:$A$729,'PARA ENVÍO UNIFICADO (VANE)'!$E$4:$E$729,0,0)</f>
        <v>0</v>
      </c>
      <c r="F169" s="322">
        <f t="shared" si="4"/>
        <v>148.13999999999999</v>
      </c>
      <c r="G169" s="243">
        <v>379207</v>
      </c>
      <c r="H169" s="243">
        <f t="shared" si="6"/>
        <v>56175724.979999997</v>
      </c>
    </row>
    <row r="170" spans="1:8" s="9" customFormat="1" ht="35.1" customHeight="1" x14ac:dyDescent="0.25">
      <c r="A170" s="255" t="s">
        <v>1132</v>
      </c>
      <c r="B170" s="241" t="s">
        <v>1133</v>
      </c>
      <c r="C170" s="240" t="s">
        <v>13</v>
      </c>
      <c r="D170" s="322">
        <f>_xlfn.XLOOKUP(A170,'PARA ENVÍO UNIFICADO (VANE)'!$A$4:$A$729,'PARA ENVÍO UNIFICADO (VANE)'!$D$4:$D$729,0,0)</f>
        <v>31.33</v>
      </c>
      <c r="E170" s="322">
        <f>_xlfn.XLOOKUP(A170,'PARA ENVÍO UNIFICADO (VANE)'!$A$4:$A$729,'PARA ENVÍO UNIFICADO (VANE)'!$E$4:$E$729,0,0)</f>
        <v>0</v>
      </c>
      <c r="F170" s="322">
        <f t="shared" si="4"/>
        <v>31.33</v>
      </c>
      <c r="G170" s="243">
        <v>422487</v>
      </c>
      <c r="H170" s="243">
        <f t="shared" si="6"/>
        <v>13236517.710000001</v>
      </c>
    </row>
    <row r="171" spans="1:8" s="9" customFormat="1" ht="35.1" customHeight="1" x14ac:dyDescent="0.25">
      <c r="A171" s="244" t="s">
        <v>1134</v>
      </c>
      <c r="B171" s="245" t="s">
        <v>1135</v>
      </c>
      <c r="C171" s="244"/>
      <c r="D171" s="244"/>
      <c r="E171" s="244"/>
      <c r="F171" s="322">
        <f t="shared" si="4"/>
        <v>0</v>
      </c>
      <c r="G171" s="303"/>
      <c r="H171" s="246"/>
    </row>
    <row r="172" spans="1:8" s="9" customFormat="1" ht="35.1" customHeight="1" x14ac:dyDescent="0.25">
      <c r="A172" s="255" t="s">
        <v>1136</v>
      </c>
      <c r="B172" s="254" t="s">
        <v>210</v>
      </c>
      <c r="C172" s="240" t="s">
        <v>13</v>
      </c>
      <c r="D172" s="322">
        <f>_xlfn.XLOOKUP(A172,'PARA ENVÍO UNIFICADO (VANE)'!$A$4:$A$729,'PARA ENVÍO UNIFICADO (VANE)'!$D$4:$D$729,0,0)</f>
        <v>41.36</v>
      </c>
      <c r="E172" s="322">
        <f>_xlfn.XLOOKUP(A172,'PARA ENVÍO UNIFICADO (VANE)'!$A$4:$A$729,'PARA ENVÍO UNIFICADO (VANE)'!$E$4:$E$729,0,0)</f>
        <v>0</v>
      </c>
      <c r="F172" s="322">
        <f t="shared" si="4"/>
        <v>41.36</v>
      </c>
      <c r="G172" s="243">
        <v>255936</v>
      </c>
      <c r="H172" s="243">
        <f t="shared" ref="H172:H177" si="7">ROUND(+G172*F172,2)</f>
        <v>10585512.960000001</v>
      </c>
    </row>
    <row r="173" spans="1:8" s="9" customFormat="1" ht="35.1" customHeight="1" x14ac:dyDescent="0.25">
      <c r="A173" s="255" t="s">
        <v>1137</v>
      </c>
      <c r="B173" s="254" t="s">
        <v>1128</v>
      </c>
      <c r="C173" s="240" t="s">
        <v>13</v>
      </c>
      <c r="D173" s="322">
        <f>_xlfn.XLOOKUP(A173,'PARA ENVÍO UNIFICADO (VANE)'!$A$4:$A$729,'PARA ENVÍO UNIFICADO (VANE)'!$D$4:$D$729,0,0)</f>
        <v>124.89</v>
      </c>
      <c r="E173" s="322">
        <f>_xlfn.XLOOKUP(A173,'PARA ENVÍO UNIFICADO (VANE)'!$A$4:$A$729,'PARA ENVÍO UNIFICADO (VANE)'!$E$4:$E$729,0,0)</f>
        <v>0</v>
      </c>
      <c r="F173" s="322">
        <f t="shared" si="4"/>
        <v>124.89</v>
      </c>
      <c r="G173" s="243">
        <v>319840</v>
      </c>
      <c r="H173" s="243">
        <f t="shared" si="7"/>
        <v>39944817.600000001</v>
      </c>
    </row>
    <row r="174" spans="1:8" s="9" customFormat="1" ht="35.1" customHeight="1" x14ac:dyDescent="0.25">
      <c r="A174" s="255" t="s">
        <v>1138</v>
      </c>
      <c r="B174" s="254" t="s">
        <v>202</v>
      </c>
      <c r="C174" s="240" t="s">
        <v>13</v>
      </c>
      <c r="D174" s="322">
        <f>_xlfn.XLOOKUP(A174,'PARA ENVÍO UNIFICADO (VANE)'!$A$4:$A$729,'PARA ENVÍO UNIFICADO (VANE)'!$D$4:$D$729,0,0)</f>
        <v>82.95</v>
      </c>
      <c r="E174" s="322">
        <f>_xlfn.XLOOKUP(A174,'PARA ENVÍO UNIFICADO (VANE)'!$A$4:$A$729,'PARA ENVÍO UNIFICADO (VANE)'!$E$4:$E$729,0,0)</f>
        <v>0</v>
      </c>
      <c r="F174" s="322">
        <f t="shared" si="4"/>
        <v>82.95</v>
      </c>
      <c r="G174" s="243">
        <v>362451</v>
      </c>
      <c r="H174" s="243">
        <f t="shared" si="7"/>
        <v>30065310.449999999</v>
      </c>
    </row>
    <row r="175" spans="1:8" s="9" customFormat="1" ht="35.1" customHeight="1" x14ac:dyDescent="0.25">
      <c r="A175" s="240" t="s">
        <v>1139</v>
      </c>
      <c r="B175" s="241" t="s">
        <v>214</v>
      </c>
      <c r="C175" s="240" t="s">
        <v>13</v>
      </c>
      <c r="D175" s="322">
        <f>_xlfn.XLOOKUP(A175,'PARA ENVÍO UNIFICADO (VANE)'!$A$4:$A$729,'PARA ENVÍO UNIFICADO (VANE)'!$D$4:$D$729,0,0)</f>
        <v>157.53</v>
      </c>
      <c r="E175" s="322">
        <f>_xlfn.XLOOKUP(A175,'PARA ENVÍO UNIFICADO (VANE)'!$A$4:$A$729,'PARA ENVÍO UNIFICADO (VANE)'!$E$4:$E$729,0,0)</f>
        <v>0</v>
      </c>
      <c r="F175" s="322">
        <f t="shared" si="4"/>
        <v>157.53</v>
      </c>
      <c r="G175" s="243">
        <v>362451</v>
      </c>
      <c r="H175" s="243">
        <f t="shared" si="7"/>
        <v>57096906.030000001</v>
      </c>
    </row>
    <row r="176" spans="1:8" s="9" customFormat="1" ht="35.1" customHeight="1" x14ac:dyDescent="0.25">
      <c r="A176" s="240" t="s">
        <v>1140</v>
      </c>
      <c r="B176" s="241" t="s">
        <v>216</v>
      </c>
      <c r="C176" s="240" t="s">
        <v>13</v>
      </c>
      <c r="D176" s="322">
        <f>_xlfn.XLOOKUP(A176,'PARA ENVÍO UNIFICADO (VANE)'!$A$4:$A$729,'PARA ENVÍO UNIFICADO (VANE)'!$D$4:$D$729,0,0)</f>
        <v>84.61</v>
      </c>
      <c r="E176" s="322">
        <f>_xlfn.XLOOKUP(A176,'PARA ENVÍO UNIFICADO (VANE)'!$A$4:$A$729,'PARA ENVÍO UNIFICADO (VANE)'!$E$4:$E$729,0,0)</f>
        <v>0</v>
      </c>
      <c r="F176" s="322">
        <f t="shared" si="4"/>
        <v>84.61</v>
      </c>
      <c r="G176" s="243">
        <v>376284</v>
      </c>
      <c r="H176" s="243">
        <f t="shared" si="7"/>
        <v>31837389.239999998</v>
      </c>
    </row>
    <row r="177" spans="1:8" s="9" customFormat="1" ht="35.1" customHeight="1" x14ac:dyDescent="0.25">
      <c r="A177" s="240" t="s">
        <v>1141</v>
      </c>
      <c r="B177" s="241" t="s">
        <v>220</v>
      </c>
      <c r="C177" s="240" t="s">
        <v>13</v>
      </c>
      <c r="D177" s="322">
        <f>_xlfn.XLOOKUP(A177,'PARA ENVÍO UNIFICADO (VANE)'!$A$4:$A$729,'PARA ENVÍO UNIFICADO (VANE)'!$D$4:$D$729,0,0)</f>
        <v>31.96</v>
      </c>
      <c r="E177" s="322">
        <f>_xlfn.XLOOKUP(A177,'PARA ENVÍO UNIFICADO (VANE)'!$A$4:$A$729,'PARA ENVÍO UNIFICADO (VANE)'!$E$4:$E$729,0,0)</f>
        <v>0</v>
      </c>
      <c r="F177" s="322">
        <f t="shared" si="4"/>
        <v>31.96</v>
      </c>
      <c r="G177" s="243">
        <v>422487</v>
      </c>
      <c r="H177" s="243">
        <f t="shared" si="7"/>
        <v>13502684.52</v>
      </c>
    </row>
    <row r="178" spans="1:8" s="9" customFormat="1" ht="35.1" customHeight="1" x14ac:dyDescent="0.25">
      <c r="A178" s="247">
        <v>9</v>
      </c>
      <c r="B178" s="248" t="s">
        <v>221</v>
      </c>
      <c r="C178" s="248"/>
      <c r="D178" s="248"/>
      <c r="E178" s="248"/>
      <c r="F178" s="322">
        <f t="shared" si="4"/>
        <v>0</v>
      </c>
      <c r="G178" s="305"/>
      <c r="H178" s="249"/>
    </row>
    <row r="179" spans="1:8" s="9" customFormat="1" ht="35.1" customHeight="1" x14ac:dyDescent="0.25">
      <c r="A179" s="244" t="s">
        <v>222</v>
      </c>
      <c r="B179" s="245" t="s">
        <v>223</v>
      </c>
      <c r="C179" s="244"/>
      <c r="D179" s="244"/>
      <c r="E179" s="244"/>
      <c r="F179" s="322">
        <f t="shared" si="4"/>
        <v>0</v>
      </c>
      <c r="G179" s="303"/>
      <c r="H179" s="246"/>
    </row>
    <row r="180" spans="1:8" s="9" customFormat="1" ht="35.1" customHeight="1" x14ac:dyDescent="0.25">
      <c r="A180" s="255" t="s">
        <v>224</v>
      </c>
      <c r="B180" s="254" t="s">
        <v>225</v>
      </c>
      <c r="C180" s="240" t="s">
        <v>13</v>
      </c>
      <c r="D180" s="322">
        <f>_xlfn.XLOOKUP(A180,'PARA ENVÍO UNIFICADO (VANE)'!$A$4:$A$729,'PARA ENVÍO UNIFICADO (VANE)'!$D$4:$D$729,0,0)</f>
        <v>0</v>
      </c>
      <c r="E180" s="322">
        <f>_xlfn.XLOOKUP(A180,'PARA ENVÍO UNIFICADO (VANE)'!$A$4:$A$729,'PARA ENVÍO UNIFICADO (VANE)'!$E$4:$E$729,0,0)</f>
        <v>4.4000000000000004</v>
      </c>
      <c r="F180" s="322">
        <f t="shared" si="4"/>
        <v>4.4000000000000004</v>
      </c>
      <c r="G180" s="243">
        <v>1417231</v>
      </c>
      <c r="H180" s="243">
        <f>ROUND(+G180*F180,2)</f>
        <v>6235816.4000000004</v>
      </c>
    </row>
    <row r="181" spans="1:8" s="9" customFormat="1" ht="35.1" customHeight="1" x14ac:dyDescent="0.25">
      <c r="A181" s="255" t="s">
        <v>226</v>
      </c>
      <c r="B181" s="254" t="s">
        <v>227</v>
      </c>
      <c r="C181" s="240" t="s">
        <v>13</v>
      </c>
      <c r="D181" s="322">
        <f>_xlfn.XLOOKUP(A181,'PARA ENVÍO UNIFICADO (VANE)'!$A$4:$A$729,'PARA ENVÍO UNIFICADO (VANE)'!$D$4:$D$729,0,0)</f>
        <v>0</v>
      </c>
      <c r="E181" s="322">
        <f>_xlfn.XLOOKUP(A181,'PARA ENVÍO UNIFICADO (VANE)'!$A$4:$A$729,'PARA ENVÍO UNIFICADO (VANE)'!$E$4:$E$729,0,0)</f>
        <v>15.12</v>
      </c>
      <c r="F181" s="322">
        <f t="shared" si="4"/>
        <v>15.12</v>
      </c>
      <c r="G181" s="243">
        <v>134902</v>
      </c>
      <c r="H181" s="243">
        <f>ROUND(+G181*F181,2)</f>
        <v>2039718.24</v>
      </c>
    </row>
    <row r="182" spans="1:8" s="9" customFormat="1" ht="35.1" customHeight="1" x14ac:dyDescent="0.25">
      <c r="A182" s="255" t="s">
        <v>228</v>
      </c>
      <c r="B182" s="254" t="s">
        <v>229</v>
      </c>
      <c r="C182" s="240" t="s">
        <v>13</v>
      </c>
      <c r="D182" s="322">
        <f>_xlfn.XLOOKUP(A182,'PARA ENVÍO UNIFICADO (VANE)'!$A$4:$A$729,'PARA ENVÍO UNIFICADO (VANE)'!$D$4:$D$729,0,0)</f>
        <v>0</v>
      </c>
      <c r="E182" s="322">
        <f>_xlfn.XLOOKUP(A182,'PARA ENVÍO UNIFICADO (VANE)'!$A$4:$A$729,'PARA ENVÍO UNIFICADO (VANE)'!$E$4:$E$729,0,0)</f>
        <v>33.6</v>
      </c>
      <c r="F182" s="322">
        <f t="shared" si="4"/>
        <v>33.6</v>
      </c>
      <c r="G182" s="243">
        <v>158642</v>
      </c>
      <c r="H182" s="243">
        <f>ROUND(+G182*F182,2)</f>
        <v>5330371.2</v>
      </c>
    </row>
    <row r="183" spans="1:8" s="9" customFormat="1" ht="35.1" customHeight="1" x14ac:dyDescent="0.25">
      <c r="A183" s="255" t="s">
        <v>230</v>
      </c>
      <c r="B183" s="254" t="s">
        <v>1142</v>
      </c>
      <c r="C183" s="240" t="s">
        <v>13</v>
      </c>
      <c r="D183" s="322">
        <f>_xlfn.XLOOKUP(A183,'PARA ENVÍO UNIFICADO (VANE)'!$A$4:$A$729,'PARA ENVÍO UNIFICADO (VANE)'!$D$4:$D$729,0,0)</f>
        <v>0</v>
      </c>
      <c r="E183" s="322">
        <f>_xlfn.XLOOKUP(A183,'PARA ENVÍO UNIFICADO (VANE)'!$A$4:$A$729,'PARA ENVÍO UNIFICADO (VANE)'!$E$4:$E$729,0,0)</f>
        <v>15.84</v>
      </c>
      <c r="F183" s="322">
        <f t="shared" si="4"/>
        <v>15.84</v>
      </c>
      <c r="G183" s="243">
        <v>258643</v>
      </c>
      <c r="H183" s="243">
        <f>ROUND(+G183*F183,2)</f>
        <v>4096905.12</v>
      </c>
    </row>
    <row r="184" spans="1:8" s="9" customFormat="1" ht="35.1" customHeight="1" x14ac:dyDescent="0.25">
      <c r="A184" s="244" t="s">
        <v>232</v>
      </c>
      <c r="B184" s="245" t="s">
        <v>233</v>
      </c>
      <c r="C184" s="260"/>
      <c r="D184" s="244"/>
      <c r="E184" s="244"/>
      <c r="F184" s="322">
        <f t="shared" si="4"/>
        <v>0</v>
      </c>
      <c r="G184" s="303"/>
      <c r="H184" s="246"/>
    </row>
    <row r="185" spans="1:8" s="9" customFormat="1" ht="35.1" customHeight="1" x14ac:dyDescent="0.25">
      <c r="A185" s="255" t="s">
        <v>234</v>
      </c>
      <c r="B185" s="254" t="s">
        <v>225</v>
      </c>
      <c r="C185" s="240" t="s">
        <v>13</v>
      </c>
      <c r="D185" s="322">
        <f>_xlfn.XLOOKUP(A185,'PARA ENVÍO UNIFICADO (VANE)'!$A$4:$A$729,'PARA ENVÍO UNIFICADO (VANE)'!$D$4:$D$729,0,0)</f>
        <v>0</v>
      </c>
      <c r="E185" s="322">
        <f>_xlfn.XLOOKUP(A185,'PARA ENVÍO UNIFICADO (VANE)'!$A$4:$A$729,'PARA ENVÍO UNIFICADO (VANE)'!$E$4:$E$729,0,0)</f>
        <v>4.4000000000000004</v>
      </c>
      <c r="F185" s="322">
        <f t="shared" si="4"/>
        <v>4.4000000000000004</v>
      </c>
      <c r="G185" s="243">
        <v>1417231</v>
      </c>
      <c r="H185" s="243">
        <f t="shared" ref="H185:H191" si="8">ROUND(+G185*F185,2)</f>
        <v>6235816.4000000004</v>
      </c>
    </row>
    <row r="186" spans="1:8" s="9" customFormat="1" ht="35.1" customHeight="1" x14ac:dyDescent="0.25">
      <c r="A186" s="255" t="s">
        <v>235</v>
      </c>
      <c r="B186" s="254" t="s">
        <v>227</v>
      </c>
      <c r="C186" s="240" t="s">
        <v>13</v>
      </c>
      <c r="D186" s="322">
        <f>_xlfn.XLOOKUP(A186,'PARA ENVÍO UNIFICADO (VANE)'!$A$4:$A$729,'PARA ENVÍO UNIFICADO (VANE)'!$D$4:$D$729,0,0)</f>
        <v>0</v>
      </c>
      <c r="E186" s="322">
        <f>_xlfn.XLOOKUP(A186,'PARA ENVÍO UNIFICADO (VANE)'!$A$4:$A$729,'PARA ENVÍO UNIFICADO (VANE)'!$E$4:$E$729,0,0)</f>
        <v>12.96</v>
      </c>
      <c r="F186" s="322">
        <f t="shared" si="4"/>
        <v>12.96</v>
      </c>
      <c r="G186" s="243">
        <v>134902</v>
      </c>
      <c r="H186" s="243">
        <f t="shared" si="8"/>
        <v>1748329.92</v>
      </c>
    </row>
    <row r="187" spans="1:8" s="9" customFormat="1" ht="35.1" customHeight="1" x14ac:dyDescent="0.25">
      <c r="A187" s="255" t="s">
        <v>236</v>
      </c>
      <c r="B187" s="254" t="s">
        <v>237</v>
      </c>
      <c r="C187" s="240" t="s">
        <v>13</v>
      </c>
      <c r="D187" s="322">
        <f>_xlfn.XLOOKUP(A187,'PARA ENVÍO UNIFICADO (VANE)'!$A$4:$A$729,'PARA ENVÍO UNIFICADO (VANE)'!$D$4:$D$729,0,0)</f>
        <v>0</v>
      </c>
      <c r="E187" s="322">
        <f>_xlfn.XLOOKUP(A187,'PARA ENVÍO UNIFICADO (VANE)'!$A$4:$A$729,'PARA ENVÍO UNIFICADO (VANE)'!$E$4:$E$729,0,0)</f>
        <v>2.4</v>
      </c>
      <c r="F187" s="322">
        <f t="shared" si="4"/>
        <v>2.4</v>
      </c>
      <c r="G187" s="243">
        <v>750208</v>
      </c>
      <c r="H187" s="243">
        <f t="shared" si="8"/>
        <v>1800499.2</v>
      </c>
    </row>
    <row r="188" spans="1:8" s="9" customFormat="1" ht="35.1" customHeight="1" x14ac:dyDescent="0.25">
      <c r="A188" s="255" t="s">
        <v>238</v>
      </c>
      <c r="B188" s="254" t="s">
        <v>239</v>
      </c>
      <c r="C188" s="240" t="s">
        <v>13</v>
      </c>
      <c r="D188" s="322">
        <f>_xlfn.XLOOKUP(A188,'PARA ENVÍO UNIFICADO (VANE)'!$A$4:$A$729,'PARA ENVÍO UNIFICADO (VANE)'!$D$4:$D$729,0,0)</f>
        <v>0</v>
      </c>
      <c r="E188" s="322">
        <f>_xlfn.XLOOKUP(A188,'PARA ENVÍO UNIFICADO (VANE)'!$A$4:$A$729,'PARA ENVÍO UNIFICADO (VANE)'!$E$4:$E$729,0,0)</f>
        <v>12.96</v>
      </c>
      <c r="F188" s="322">
        <f t="shared" si="4"/>
        <v>12.96</v>
      </c>
      <c r="G188" s="243">
        <v>750208</v>
      </c>
      <c r="H188" s="243">
        <f t="shared" si="8"/>
        <v>9722695.6799999997</v>
      </c>
    </row>
    <row r="189" spans="1:8" s="9" customFormat="1" ht="35.1" customHeight="1" x14ac:dyDescent="0.25">
      <c r="A189" s="255" t="s">
        <v>240</v>
      </c>
      <c r="B189" s="254" t="s">
        <v>241</v>
      </c>
      <c r="C189" s="240" t="s">
        <v>13</v>
      </c>
      <c r="D189" s="322">
        <f>_xlfn.XLOOKUP(A189,'PARA ENVÍO UNIFICADO (VANE)'!$A$4:$A$729,'PARA ENVÍO UNIFICADO (VANE)'!$D$4:$D$729,0,0)</f>
        <v>0</v>
      </c>
      <c r="E189" s="322">
        <f>_xlfn.XLOOKUP(A189,'PARA ENVÍO UNIFICADO (VANE)'!$A$4:$A$729,'PARA ENVÍO UNIFICADO (VANE)'!$E$4:$E$729,0,0)</f>
        <v>5.76</v>
      </c>
      <c r="F189" s="322">
        <f t="shared" si="4"/>
        <v>5.76</v>
      </c>
      <c r="G189" s="243">
        <v>750208</v>
      </c>
      <c r="H189" s="243">
        <f t="shared" si="8"/>
        <v>4321198.0800000001</v>
      </c>
    </row>
    <row r="190" spans="1:8" s="9" customFormat="1" ht="35.1" customHeight="1" x14ac:dyDescent="0.25">
      <c r="A190" s="255" t="s">
        <v>242</v>
      </c>
      <c r="B190" s="254" t="s">
        <v>229</v>
      </c>
      <c r="C190" s="240" t="s">
        <v>13</v>
      </c>
      <c r="D190" s="322">
        <f>_xlfn.XLOOKUP(A190,'PARA ENVÍO UNIFICADO (VANE)'!$A$4:$A$729,'PARA ENVÍO UNIFICADO (VANE)'!$D$4:$D$729,0,0)</f>
        <v>0</v>
      </c>
      <c r="E190" s="322">
        <f>_xlfn.XLOOKUP(A190,'PARA ENVÍO UNIFICADO (VANE)'!$A$4:$A$729,'PARA ENVÍO UNIFICADO (VANE)'!$E$4:$E$729,0,0)</f>
        <v>4.8</v>
      </c>
      <c r="F190" s="322">
        <f t="shared" si="4"/>
        <v>4.8</v>
      </c>
      <c r="G190" s="243">
        <v>158642</v>
      </c>
      <c r="H190" s="243">
        <f t="shared" si="8"/>
        <v>761481.6</v>
      </c>
    </row>
    <row r="191" spans="1:8" s="9" customFormat="1" ht="35.1" customHeight="1" x14ac:dyDescent="0.25">
      <c r="A191" s="255" t="s">
        <v>243</v>
      </c>
      <c r="B191" s="254" t="s">
        <v>244</v>
      </c>
      <c r="C191" s="240" t="s">
        <v>13</v>
      </c>
      <c r="D191" s="322">
        <f>_xlfn.XLOOKUP(A191,'PARA ENVÍO UNIFICADO (VANE)'!$A$4:$A$729,'PARA ENVÍO UNIFICADO (VANE)'!$D$4:$D$729,0,0)</f>
        <v>0</v>
      </c>
      <c r="E191" s="322">
        <f>_xlfn.XLOOKUP(A191,'PARA ENVÍO UNIFICADO (VANE)'!$A$4:$A$729,'PARA ENVÍO UNIFICADO (VANE)'!$E$4:$E$729,0,0)</f>
        <v>24.8</v>
      </c>
      <c r="F191" s="322">
        <f t="shared" si="4"/>
        <v>24.8</v>
      </c>
      <c r="G191" s="243">
        <v>594607</v>
      </c>
      <c r="H191" s="243">
        <f t="shared" si="8"/>
        <v>14746253.6</v>
      </c>
    </row>
    <row r="192" spans="1:8" s="9" customFormat="1" ht="35.1" customHeight="1" x14ac:dyDescent="0.25">
      <c r="A192" s="244" t="s">
        <v>245</v>
      </c>
      <c r="B192" s="245" t="s">
        <v>246</v>
      </c>
      <c r="C192" s="244"/>
      <c r="D192" s="244"/>
      <c r="E192" s="244"/>
      <c r="F192" s="322">
        <f t="shared" si="4"/>
        <v>0</v>
      </c>
      <c r="G192" s="303"/>
      <c r="H192" s="246"/>
    </row>
    <row r="193" spans="1:8" s="9" customFormat="1" ht="35.1" customHeight="1" x14ac:dyDescent="0.25">
      <c r="A193" s="255" t="s">
        <v>247</v>
      </c>
      <c r="B193" s="254" t="s">
        <v>225</v>
      </c>
      <c r="C193" s="240" t="s">
        <v>13</v>
      </c>
      <c r="D193" s="322">
        <f>_xlfn.XLOOKUP(A193,'PARA ENVÍO UNIFICADO (VANE)'!$A$4:$A$729,'PARA ENVÍO UNIFICADO (VANE)'!$D$4:$D$729,0,0)</f>
        <v>2.2000000000000002</v>
      </c>
      <c r="E193" s="322">
        <f>_xlfn.XLOOKUP(A193,'PARA ENVÍO UNIFICADO (VANE)'!$A$4:$A$729,'PARA ENVÍO UNIFICADO (VANE)'!$E$4:$E$729,0,0)</f>
        <v>2.2000000000000002</v>
      </c>
      <c r="F193" s="322">
        <f t="shared" si="4"/>
        <v>4.4000000000000004</v>
      </c>
      <c r="G193" s="243">
        <v>1417231</v>
      </c>
      <c r="H193" s="243">
        <f t="shared" ref="H193:H198" si="9">ROUND(+G193*F193,2)</f>
        <v>6235816.4000000004</v>
      </c>
    </row>
    <row r="194" spans="1:8" s="9" customFormat="1" ht="35.1" customHeight="1" x14ac:dyDescent="0.25">
      <c r="A194" s="255" t="s">
        <v>248</v>
      </c>
      <c r="B194" s="254" t="s">
        <v>227</v>
      </c>
      <c r="C194" s="240" t="s">
        <v>13</v>
      </c>
      <c r="D194" s="322">
        <f>_xlfn.XLOOKUP(A194,'PARA ENVÍO UNIFICADO (VANE)'!$A$4:$A$729,'PARA ENVÍO UNIFICADO (VANE)'!$D$4:$D$729,0,0)</f>
        <v>2.16</v>
      </c>
      <c r="E194" s="322">
        <f>_xlfn.XLOOKUP(A194,'PARA ENVÍO UNIFICADO (VANE)'!$A$4:$A$729,'PARA ENVÍO UNIFICADO (VANE)'!$E$4:$E$729,0,0)</f>
        <v>2.16</v>
      </c>
      <c r="F194" s="322">
        <f t="shared" si="4"/>
        <v>4.32</v>
      </c>
      <c r="G194" s="243">
        <v>134902</v>
      </c>
      <c r="H194" s="243">
        <f t="shared" si="9"/>
        <v>582776.64</v>
      </c>
    </row>
    <row r="195" spans="1:8" s="9" customFormat="1" ht="35.1" customHeight="1" x14ac:dyDescent="0.25">
      <c r="A195" s="255" t="s">
        <v>249</v>
      </c>
      <c r="B195" s="254" t="s">
        <v>237</v>
      </c>
      <c r="C195" s="240" t="s">
        <v>13</v>
      </c>
      <c r="D195" s="322">
        <f>_xlfn.XLOOKUP(A195,'PARA ENVÍO UNIFICADO (VANE)'!$A$4:$A$729,'PARA ENVÍO UNIFICADO (VANE)'!$D$4:$D$729,0,0)</f>
        <v>4.8</v>
      </c>
      <c r="E195" s="322">
        <f>_xlfn.XLOOKUP(A195,'PARA ENVÍO UNIFICADO (VANE)'!$A$4:$A$729,'PARA ENVÍO UNIFICADO (VANE)'!$E$4:$E$729,0,0)</f>
        <v>4.8</v>
      </c>
      <c r="F195" s="322">
        <f t="shared" si="4"/>
        <v>9.6</v>
      </c>
      <c r="G195" s="243">
        <v>750208</v>
      </c>
      <c r="H195" s="243">
        <f t="shared" si="9"/>
        <v>7201996.7999999998</v>
      </c>
    </row>
    <row r="196" spans="1:8" s="9" customFormat="1" ht="35.1" customHeight="1" x14ac:dyDescent="0.25">
      <c r="A196" s="255" t="s">
        <v>250</v>
      </c>
      <c r="B196" s="254" t="s">
        <v>239</v>
      </c>
      <c r="C196" s="240" t="s">
        <v>13</v>
      </c>
      <c r="D196" s="322">
        <f>_xlfn.XLOOKUP(A196,'PARA ENVÍO UNIFICADO (VANE)'!$A$4:$A$729,'PARA ENVÍO UNIFICADO (VANE)'!$D$4:$D$729,0,0)</f>
        <v>2.16</v>
      </c>
      <c r="E196" s="322">
        <f>_xlfn.XLOOKUP(A196,'PARA ENVÍO UNIFICADO (VANE)'!$A$4:$A$729,'PARA ENVÍO UNIFICADO (VANE)'!$E$4:$E$729,0,0)</f>
        <v>2.16</v>
      </c>
      <c r="F196" s="322">
        <f t="shared" si="4"/>
        <v>4.32</v>
      </c>
      <c r="G196" s="243">
        <v>750208</v>
      </c>
      <c r="H196" s="243">
        <f t="shared" si="9"/>
        <v>3240898.5600000001</v>
      </c>
    </row>
    <row r="197" spans="1:8" s="9" customFormat="1" ht="35.1" customHeight="1" x14ac:dyDescent="0.25">
      <c r="A197" s="255" t="s">
        <v>251</v>
      </c>
      <c r="B197" s="254" t="s">
        <v>241</v>
      </c>
      <c r="C197" s="240" t="s">
        <v>13</v>
      </c>
      <c r="D197" s="322">
        <f>_xlfn.XLOOKUP(A197,'PARA ENVÍO UNIFICADO (VANE)'!$A$4:$A$729,'PARA ENVÍO UNIFICADO (VANE)'!$D$4:$D$729,0,0)</f>
        <v>2.88</v>
      </c>
      <c r="E197" s="322">
        <f>_xlfn.XLOOKUP(A197,'PARA ENVÍO UNIFICADO (VANE)'!$A$4:$A$729,'PARA ENVÍO UNIFICADO (VANE)'!$E$4:$E$729,0,0)</f>
        <v>2.88</v>
      </c>
      <c r="F197" s="322">
        <f t="shared" ref="F197:F260" si="10">ROUND(D197+E197,2)</f>
        <v>5.76</v>
      </c>
      <c r="G197" s="243">
        <v>750208</v>
      </c>
      <c r="H197" s="243">
        <f t="shared" si="9"/>
        <v>4321198.0800000001</v>
      </c>
    </row>
    <row r="198" spans="1:8" s="9" customFormat="1" ht="35.1" customHeight="1" x14ac:dyDescent="0.25">
      <c r="A198" s="255" t="s">
        <v>252</v>
      </c>
      <c r="B198" s="254" t="s">
        <v>244</v>
      </c>
      <c r="C198" s="240" t="s">
        <v>13</v>
      </c>
      <c r="D198" s="322">
        <f>_xlfn.XLOOKUP(A198,'PARA ENVÍO UNIFICADO (VANE)'!$A$4:$A$729,'PARA ENVÍO UNIFICADO (VANE)'!$D$4:$D$729,0,0)</f>
        <v>14.3</v>
      </c>
      <c r="E198" s="322">
        <f>_xlfn.XLOOKUP(A198,'PARA ENVÍO UNIFICADO (VANE)'!$A$4:$A$729,'PARA ENVÍO UNIFICADO (VANE)'!$E$4:$E$729,0,0)</f>
        <v>14.21</v>
      </c>
      <c r="F198" s="322">
        <f t="shared" si="10"/>
        <v>28.51</v>
      </c>
      <c r="G198" s="243">
        <v>594607</v>
      </c>
      <c r="H198" s="243">
        <f t="shared" si="9"/>
        <v>16952245.57</v>
      </c>
    </row>
    <row r="199" spans="1:8" s="9" customFormat="1" ht="35.1" customHeight="1" x14ac:dyDescent="0.25">
      <c r="A199" s="244" t="s">
        <v>1143</v>
      </c>
      <c r="B199" s="245" t="s">
        <v>1144</v>
      </c>
      <c r="C199" s="244"/>
      <c r="D199" s="244"/>
      <c r="E199" s="244"/>
      <c r="F199" s="322">
        <f t="shared" si="10"/>
        <v>0</v>
      </c>
      <c r="G199" s="303"/>
      <c r="H199" s="246"/>
    </row>
    <row r="200" spans="1:8" s="9" customFormat="1" ht="35.1" customHeight="1" x14ac:dyDescent="0.25">
      <c r="A200" s="255" t="s">
        <v>1145</v>
      </c>
      <c r="B200" s="254" t="s">
        <v>225</v>
      </c>
      <c r="C200" s="240" t="s">
        <v>13</v>
      </c>
      <c r="D200" s="322">
        <f>_xlfn.XLOOKUP(A200,'PARA ENVÍO UNIFICADO (VANE)'!$A$4:$A$729,'PARA ENVÍO UNIFICADO (VANE)'!$D$4:$D$729,0,0)</f>
        <v>4.4000000000000004</v>
      </c>
      <c r="E200" s="322">
        <f>_xlfn.XLOOKUP(A200,'PARA ENVÍO UNIFICADO (VANE)'!$A$4:$A$729,'PARA ENVÍO UNIFICADO (VANE)'!$E$4:$E$729,0,0)</f>
        <v>0</v>
      </c>
      <c r="F200" s="322">
        <f t="shared" si="10"/>
        <v>4.4000000000000004</v>
      </c>
      <c r="G200" s="243">
        <v>1417231</v>
      </c>
      <c r="H200" s="243">
        <f t="shared" ref="H200:H205" si="11">ROUND(+G200*F200,2)</f>
        <v>6235816.4000000004</v>
      </c>
    </row>
    <row r="201" spans="1:8" s="9" customFormat="1" ht="35.1" customHeight="1" x14ac:dyDescent="0.25">
      <c r="A201" s="255" t="s">
        <v>1146</v>
      </c>
      <c r="B201" s="254" t="s">
        <v>227</v>
      </c>
      <c r="C201" s="240" t="s">
        <v>13</v>
      </c>
      <c r="D201" s="322">
        <f>_xlfn.XLOOKUP(A201,'PARA ENVÍO UNIFICADO (VANE)'!$A$4:$A$729,'PARA ENVÍO UNIFICADO (VANE)'!$D$4:$D$729,0,0)</f>
        <v>4.32</v>
      </c>
      <c r="E201" s="322">
        <f>_xlfn.XLOOKUP(A201,'PARA ENVÍO UNIFICADO (VANE)'!$A$4:$A$729,'PARA ENVÍO UNIFICADO (VANE)'!$E$4:$E$729,0,0)</f>
        <v>0</v>
      </c>
      <c r="F201" s="322">
        <f t="shared" si="10"/>
        <v>4.32</v>
      </c>
      <c r="G201" s="243">
        <v>134902</v>
      </c>
      <c r="H201" s="243">
        <f t="shared" si="11"/>
        <v>582776.64</v>
      </c>
    </row>
    <row r="202" spans="1:8" s="9" customFormat="1" ht="35.1" customHeight="1" x14ac:dyDescent="0.25">
      <c r="A202" s="255" t="s">
        <v>1147</v>
      </c>
      <c r="B202" s="254" t="s">
        <v>237</v>
      </c>
      <c r="C202" s="240" t="s">
        <v>13</v>
      </c>
      <c r="D202" s="322">
        <f>_xlfn.XLOOKUP(A202,'PARA ENVÍO UNIFICADO (VANE)'!$A$4:$A$729,'PARA ENVÍO UNIFICADO (VANE)'!$D$4:$D$729,0,0)</f>
        <v>7.2</v>
      </c>
      <c r="E202" s="322">
        <f>_xlfn.XLOOKUP(A202,'PARA ENVÍO UNIFICADO (VANE)'!$A$4:$A$729,'PARA ENVÍO UNIFICADO (VANE)'!$E$4:$E$729,0,0)</f>
        <v>0</v>
      </c>
      <c r="F202" s="322">
        <f t="shared" si="10"/>
        <v>7.2</v>
      </c>
      <c r="G202" s="243">
        <v>750208</v>
      </c>
      <c r="H202" s="243">
        <f t="shared" si="11"/>
        <v>5401497.5999999996</v>
      </c>
    </row>
    <row r="203" spans="1:8" s="9" customFormat="1" ht="35.1" customHeight="1" x14ac:dyDescent="0.25">
      <c r="A203" s="255" t="s">
        <v>1148</v>
      </c>
      <c r="B203" s="254" t="s">
        <v>239</v>
      </c>
      <c r="C203" s="240" t="s">
        <v>13</v>
      </c>
      <c r="D203" s="322">
        <f>_xlfn.XLOOKUP(A203,'PARA ENVÍO UNIFICADO (VANE)'!$A$4:$A$729,'PARA ENVÍO UNIFICADO (VANE)'!$D$4:$D$729,0,0)</f>
        <v>2.16</v>
      </c>
      <c r="E203" s="322">
        <f>_xlfn.XLOOKUP(A203,'PARA ENVÍO UNIFICADO (VANE)'!$A$4:$A$729,'PARA ENVÍO UNIFICADO (VANE)'!$E$4:$E$729,0,0)</f>
        <v>0</v>
      </c>
      <c r="F203" s="322">
        <f t="shared" si="10"/>
        <v>2.16</v>
      </c>
      <c r="G203" s="243">
        <v>750208</v>
      </c>
      <c r="H203" s="243">
        <f t="shared" si="11"/>
        <v>1620449.28</v>
      </c>
    </row>
    <row r="204" spans="1:8" s="9" customFormat="1" ht="35.1" customHeight="1" x14ac:dyDescent="0.25">
      <c r="A204" s="255" t="s">
        <v>1149</v>
      </c>
      <c r="B204" s="254" t="s">
        <v>241</v>
      </c>
      <c r="C204" s="240" t="s">
        <v>13</v>
      </c>
      <c r="D204" s="322">
        <f>_xlfn.XLOOKUP(A204,'PARA ENVÍO UNIFICADO (VANE)'!$A$4:$A$729,'PARA ENVÍO UNIFICADO (VANE)'!$D$4:$D$729,0,0)</f>
        <v>5.76</v>
      </c>
      <c r="E204" s="322">
        <f>_xlfn.XLOOKUP(A204,'PARA ENVÍO UNIFICADO (VANE)'!$A$4:$A$729,'PARA ENVÍO UNIFICADO (VANE)'!$E$4:$E$729,0,0)</f>
        <v>0</v>
      </c>
      <c r="F204" s="322">
        <f t="shared" si="10"/>
        <v>5.76</v>
      </c>
      <c r="G204" s="243">
        <v>750208</v>
      </c>
      <c r="H204" s="243">
        <f t="shared" si="11"/>
        <v>4321198.0800000001</v>
      </c>
    </row>
    <row r="205" spans="1:8" s="9" customFormat="1" ht="35.1" customHeight="1" x14ac:dyDescent="0.25">
      <c r="A205" s="255" t="s">
        <v>1150</v>
      </c>
      <c r="B205" s="254" t="s">
        <v>244</v>
      </c>
      <c r="C205" s="240" t="s">
        <v>13</v>
      </c>
      <c r="D205" s="322">
        <f>_xlfn.XLOOKUP(A205,'PARA ENVÍO UNIFICADO (VANE)'!$A$4:$A$729,'PARA ENVÍO UNIFICADO (VANE)'!$D$4:$D$729,0,0)</f>
        <v>24.12</v>
      </c>
      <c r="E205" s="322">
        <f>_xlfn.XLOOKUP(A205,'PARA ENVÍO UNIFICADO (VANE)'!$A$4:$A$729,'PARA ENVÍO UNIFICADO (VANE)'!$E$4:$E$729,0,0)</f>
        <v>0</v>
      </c>
      <c r="F205" s="322">
        <f t="shared" si="10"/>
        <v>24.12</v>
      </c>
      <c r="G205" s="243">
        <v>594607</v>
      </c>
      <c r="H205" s="243">
        <f t="shared" si="11"/>
        <v>14341920.84</v>
      </c>
    </row>
    <row r="206" spans="1:8" s="9" customFormat="1" ht="35.1" customHeight="1" x14ac:dyDescent="0.25">
      <c r="A206" s="244" t="s">
        <v>1151</v>
      </c>
      <c r="B206" s="245" t="s">
        <v>1152</v>
      </c>
      <c r="C206" s="244"/>
      <c r="D206" s="244"/>
      <c r="E206" s="244"/>
      <c r="F206" s="322">
        <f t="shared" si="10"/>
        <v>0</v>
      </c>
      <c r="G206" s="303"/>
      <c r="H206" s="246"/>
    </row>
    <row r="207" spans="1:8" s="9" customFormat="1" ht="35.1" customHeight="1" x14ac:dyDescent="0.25">
      <c r="A207" s="255" t="s">
        <v>1153</v>
      </c>
      <c r="B207" s="254" t="s">
        <v>225</v>
      </c>
      <c r="C207" s="240" t="s">
        <v>13</v>
      </c>
      <c r="D207" s="322">
        <f>_xlfn.XLOOKUP(A207,'PARA ENVÍO UNIFICADO (VANE)'!$A$4:$A$729,'PARA ENVÍO UNIFICADO (VANE)'!$D$4:$D$729,0,0)</f>
        <v>4.4000000000000004</v>
      </c>
      <c r="E207" s="322">
        <f>_xlfn.XLOOKUP(A207,'PARA ENVÍO UNIFICADO (VANE)'!$A$4:$A$729,'PARA ENVÍO UNIFICADO (VANE)'!$E$4:$E$729,0,0)</f>
        <v>0</v>
      </c>
      <c r="F207" s="322">
        <f t="shared" si="10"/>
        <v>4.4000000000000004</v>
      </c>
      <c r="G207" s="243">
        <v>1417231</v>
      </c>
      <c r="H207" s="243">
        <f t="shared" ref="H207:H214" si="12">ROUND(+G207*F207,2)</f>
        <v>6235816.4000000004</v>
      </c>
    </row>
    <row r="208" spans="1:8" s="9" customFormat="1" ht="35.1" customHeight="1" x14ac:dyDescent="0.25">
      <c r="A208" s="255" t="s">
        <v>1154</v>
      </c>
      <c r="B208" s="254" t="s">
        <v>227</v>
      </c>
      <c r="C208" s="240" t="s">
        <v>13</v>
      </c>
      <c r="D208" s="322">
        <f>_xlfn.XLOOKUP(A208,'PARA ENVÍO UNIFICADO (VANE)'!$A$4:$A$729,'PARA ENVÍO UNIFICADO (VANE)'!$D$4:$D$729,0,0)</f>
        <v>4.32</v>
      </c>
      <c r="E208" s="322">
        <f>_xlfn.XLOOKUP(A208,'PARA ENVÍO UNIFICADO (VANE)'!$A$4:$A$729,'PARA ENVÍO UNIFICADO (VANE)'!$E$4:$E$729,0,0)</f>
        <v>0</v>
      </c>
      <c r="F208" s="322">
        <f t="shared" si="10"/>
        <v>4.32</v>
      </c>
      <c r="G208" s="243">
        <v>134902</v>
      </c>
      <c r="H208" s="243">
        <f t="shared" si="12"/>
        <v>582776.64</v>
      </c>
    </row>
    <row r="209" spans="1:8" s="9" customFormat="1" ht="35.1" customHeight="1" x14ac:dyDescent="0.25">
      <c r="A209" s="255" t="s">
        <v>1155</v>
      </c>
      <c r="B209" s="254" t="s">
        <v>237</v>
      </c>
      <c r="C209" s="240" t="s">
        <v>13</v>
      </c>
      <c r="D209" s="322">
        <f>_xlfn.XLOOKUP(A209,'PARA ENVÍO UNIFICADO (VANE)'!$A$4:$A$729,'PARA ENVÍO UNIFICADO (VANE)'!$D$4:$D$729,0,0)</f>
        <v>4.8</v>
      </c>
      <c r="E209" s="322">
        <f>_xlfn.XLOOKUP(A209,'PARA ENVÍO UNIFICADO (VANE)'!$A$4:$A$729,'PARA ENVÍO UNIFICADO (VANE)'!$E$4:$E$729,0,0)</f>
        <v>0</v>
      </c>
      <c r="F209" s="322">
        <f t="shared" si="10"/>
        <v>4.8</v>
      </c>
      <c r="G209" s="243">
        <v>750208</v>
      </c>
      <c r="H209" s="243">
        <f t="shared" si="12"/>
        <v>3600998.3999999999</v>
      </c>
    </row>
    <row r="210" spans="1:8" s="9" customFormat="1" ht="35.1" customHeight="1" x14ac:dyDescent="0.25">
      <c r="A210" s="255" t="s">
        <v>1156</v>
      </c>
      <c r="B210" s="254" t="s">
        <v>239</v>
      </c>
      <c r="C210" s="240" t="s">
        <v>13</v>
      </c>
      <c r="D210" s="322">
        <f>_xlfn.XLOOKUP(A210,'PARA ENVÍO UNIFICADO (VANE)'!$A$4:$A$729,'PARA ENVÍO UNIFICADO (VANE)'!$D$4:$D$729,0,0)</f>
        <v>2.16</v>
      </c>
      <c r="E210" s="322">
        <f>_xlfn.XLOOKUP(A210,'PARA ENVÍO UNIFICADO (VANE)'!$A$4:$A$729,'PARA ENVÍO UNIFICADO (VANE)'!$E$4:$E$729,0,0)</f>
        <v>0</v>
      </c>
      <c r="F210" s="322">
        <f t="shared" si="10"/>
        <v>2.16</v>
      </c>
      <c r="G210" s="243">
        <v>750208</v>
      </c>
      <c r="H210" s="243">
        <f t="shared" si="12"/>
        <v>1620449.28</v>
      </c>
    </row>
    <row r="211" spans="1:8" s="9" customFormat="1" ht="35.1" customHeight="1" x14ac:dyDescent="0.25">
      <c r="A211" s="255" t="s">
        <v>1157</v>
      </c>
      <c r="B211" s="254" t="s">
        <v>241</v>
      </c>
      <c r="C211" s="240" t="s">
        <v>13</v>
      </c>
      <c r="D211" s="322">
        <f>_xlfn.XLOOKUP(A211,'PARA ENVÍO UNIFICADO (VANE)'!$A$4:$A$729,'PARA ENVÍO UNIFICADO (VANE)'!$D$4:$D$729,0,0)</f>
        <v>3.84</v>
      </c>
      <c r="E211" s="322">
        <f>_xlfn.XLOOKUP(A211,'PARA ENVÍO UNIFICADO (VANE)'!$A$4:$A$729,'PARA ENVÍO UNIFICADO (VANE)'!$E$4:$E$729,0,0)</f>
        <v>0</v>
      </c>
      <c r="F211" s="322">
        <f t="shared" si="10"/>
        <v>3.84</v>
      </c>
      <c r="G211" s="243">
        <v>750208</v>
      </c>
      <c r="H211" s="243">
        <f t="shared" si="12"/>
        <v>2880798.7200000002</v>
      </c>
    </row>
    <row r="212" spans="1:8" s="9" customFormat="1" ht="35.1" customHeight="1" x14ac:dyDescent="0.25">
      <c r="A212" s="255" t="s">
        <v>1158</v>
      </c>
      <c r="B212" s="254" t="s">
        <v>1159</v>
      </c>
      <c r="C212" s="240" t="s">
        <v>13</v>
      </c>
      <c r="D212" s="322">
        <f>_xlfn.XLOOKUP(A212,'PARA ENVÍO UNIFICADO (VANE)'!$A$4:$A$729,'PARA ENVÍO UNIFICADO (VANE)'!$D$4:$D$729,0,0)</f>
        <v>3.36</v>
      </c>
      <c r="E212" s="322">
        <f>_xlfn.XLOOKUP(A212,'PARA ENVÍO UNIFICADO (VANE)'!$A$4:$A$729,'PARA ENVÍO UNIFICADO (VANE)'!$E$4:$E$729,0,0)</f>
        <v>0</v>
      </c>
      <c r="F212" s="322">
        <f t="shared" si="10"/>
        <v>3.36</v>
      </c>
      <c r="G212" s="243">
        <v>750208</v>
      </c>
      <c r="H212" s="243">
        <f t="shared" si="12"/>
        <v>2520698.8799999999</v>
      </c>
    </row>
    <row r="213" spans="1:8" s="9" customFormat="1" ht="35.1" customHeight="1" x14ac:dyDescent="0.25">
      <c r="A213" s="255" t="s">
        <v>1160</v>
      </c>
      <c r="B213" s="254" t="s">
        <v>229</v>
      </c>
      <c r="C213" s="240" t="s">
        <v>13</v>
      </c>
      <c r="D213" s="322">
        <f>_xlfn.XLOOKUP(A213,'PARA ENVÍO UNIFICADO (VANE)'!$A$4:$A$729,'PARA ENVÍO UNIFICADO (VANE)'!$D$4:$D$729,0,0)</f>
        <v>4.8</v>
      </c>
      <c r="E213" s="322">
        <f>_xlfn.XLOOKUP(A213,'PARA ENVÍO UNIFICADO (VANE)'!$A$4:$A$729,'PARA ENVÍO UNIFICADO (VANE)'!$E$4:$E$729,0,0)</f>
        <v>0</v>
      </c>
      <c r="F213" s="322">
        <f t="shared" si="10"/>
        <v>4.8</v>
      </c>
      <c r="G213" s="243">
        <v>750208</v>
      </c>
      <c r="H213" s="243">
        <f t="shared" si="12"/>
        <v>3600998.3999999999</v>
      </c>
    </row>
    <row r="214" spans="1:8" s="9" customFormat="1" ht="35.1" customHeight="1" x14ac:dyDescent="0.25">
      <c r="A214" s="255" t="s">
        <v>1161</v>
      </c>
      <c r="B214" s="254" t="s">
        <v>244</v>
      </c>
      <c r="C214" s="240" t="s">
        <v>13</v>
      </c>
      <c r="D214" s="322">
        <f>_xlfn.XLOOKUP(A214,'PARA ENVÍO UNIFICADO (VANE)'!$A$4:$A$729,'PARA ENVÍO UNIFICADO (VANE)'!$D$4:$D$729,0,0)</f>
        <v>24.89</v>
      </c>
      <c r="E214" s="322">
        <f>_xlfn.XLOOKUP(A214,'PARA ENVÍO UNIFICADO (VANE)'!$A$4:$A$729,'PARA ENVÍO UNIFICADO (VANE)'!$E$4:$E$729,0,0)</f>
        <v>0</v>
      </c>
      <c r="F214" s="322">
        <f t="shared" si="10"/>
        <v>24.89</v>
      </c>
      <c r="G214" s="243">
        <v>594607</v>
      </c>
      <c r="H214" s="243">
        <f t="shared" si="12"/>
        <v>14799768.23</v>
      </c>
    </row>
    <row r="215" spans="1:8" s="9" customFormat="1" ht="35.1" customHeight="1" x14ac:dyDescent="0.25">
      <c r="A215" s="244" t="s">
        <v>1162</v>
      </c>
      <c r="B215" s="245" t="s">
        <v>1163</v>
      </c>
      <c r="C215" s="244"/>
      <c r="D215" s="244"/>
      <c r="E215" s="244"/>
      <c r="F215" s="322">
        <f t="shared" si="10"/>
        <v>0</v>
      </c>
      <c r="G215" s="303"/>
      <c r="H215" s="246"/>
    </row>
    <row r="216" spans="1:8" s="9" customFormat="1" ht="35.1" customHeight="1" x14ac:dyDescent="0.25">
      <c r="A216" s="255" t="s">
        <v>1164</v>
      </c>
      <c r="B216" s="254" t="s">
        <v>225</v>
      </c>
      <c r="C216" s="240" t="s">
        <v>13</v>
      </c>
      <c r="D216" s="322">
        <f>_xlfn.XLOOKUP(A216,'PARA ENVÍO UNIFICADO (VANE)'!$A$4:$A$729,'PARA ENVÍO UNIFICADO (VANE)'!$D$4:$D$729,0,0)</f>
        <v>2.2000000000000002</v>
      </c>
      <c r="E216" s="322">
        <f>_xlfn.XLOOKUP(A216,'PARA ENVÍO UNIFICADO (VANE)'!$A$4:$A$729,'PARA ENVÍO UNIFICADO (VANE)'!$E$4:$E$729,0,0)</f>
        <v>0</v>
      </c>
      <c r="F216" s="322">
        <f t="shared" si="10"/>
        <v>2.2000000000000002</v>
      </c>
      <c r="G216" s="243">
        <v>1417231</v>
      </c>
      <c r="H216" s="243">
        <f>ROUND(+G216*F216,2)</f>
        <v>3117908.2</v>
      </c>
    </row>
    <row r="217" spans="1:8" s="9" customFormat="1" ht="35.1" customHeight="1" x14ac:dyDescent="0.25">
      <c r="A217" s="266">
        <v>10</v>
      </c>
      <c r="B217" s="267" t="s">
        <v>253</v>
      </c>
      <c r="C217" s="267"/>
      <c r="D217" s="267"/>
      <c r="E217" s="267"/>
      <c r="F217" s="322">
        <f t="shared" si="10"/>
        <v>0</v>
      </c>
      <c r="G217" s="306"/>
      <c r="H217" s="268"/>
    </row>
    <row r="218" spans="1:8" s="9" customFormat="1" ht="35.1" customHeight="1" x14ac:dyDescent="0.25">
      <c r="A218" s="275" t="s">
        <v>1165</v>
      </c>
      <c r="B218" s="245" t="s">
        <v>1166</v>
      </c>
      <c r="C218" s="244"/>
      <c r="D218" s="244"/>
      <c r="E218" s="244"/>
      <c r="F218" s="322">
        <f t="shared" si="10"/>
        <v>0</v>
      </c>
      <c r="G218" s="303"/>
      <c r="H218" s="246"/>
    </row>
    <row r="219" spans="1:8" s="9" customFormat="1" ht="35.1" customHeight="1" x14ac:dyDescent="0.25">
      <c r="A219" s="255" t="s">
        <v>1167</v>
      </c>
      <c r="B219" s="254" t="s">
        <v>1168</v>
      </c>
      <c r="C219" s="255" t="s">
        <v>16</v>
      </c>
      <c r="D219" s="322">
        <f>_xlfn.XLOOKUP(A219,'PARA ENVÍO UNIFICADO (VANE)'!$A$4:$A$729,'PARA ENVÍO UNIFICADO (VANE)'!$D$4:$D$729,0,0)</f>
        <v>2</v>
      </c>
      <c r="E219" s="322">
        <f>_xlfn.XLOOKUP(A219,'PARA ENVÍO UNIFICADO (VANE)'!$A$4:$A$729,'PARA ENVÍO UNIFICADO (VANE)'!$E$4:$E$729,0,0)</f>
        <v>0</v>
      </c>
      <c r="F219" s="322">
        <f t="shared" si="10"/>
        <v>2</v>
      </c>
      <c r="G219" s="243">
        <v>137187139</v>
      </c>
      <c r="H219" s="243">
        <f>ROUND(+G219*F219,2)</f>
        <v>274374278</v>
      </c>
    </row>
    <row r="220" spans="1:8" s="9" customFormat="1" ht="35.1" customHeight="1" x14ac:dyDescent="0.25">
      <c r="A220" s="276" t="s">
        <v>254</v>
      </c>
      <c r="B220" s="245" t="s">
        <v>255</v>
      </c>
      <c r="C220" s="244"/>
      <c r="D220" s="244"/>
      <c r="E220" s="244"/>
      <c r="F220" s="322">
        <f t="shared" si="10"/>
        <v>0</v>
      </c>
      <c r="G220" s="303"/>
      <c r="H220" s="246"/>
    </row>
    <row r="221" spans="1:8" s="9" customFormat="1" ht="35.1" customHeight="1" x14ac:dyDescent="0.25">
      <c r="A221" s="240" t="s">
        <v>256</v>
      </c>
      <c r="B221" s="254" t="s">
        <v>257</v>
      </c>
      <c r="C221" s="255" t="s">
        <v>94</v>
      </c>
      <c r="D221" s="322">
        <f>_xlfn.XLOOKUP(A221,'PARA ENVÍO UNIFICADO (VANE)'!$A$4:$A$729,'PARA ENVÍO UNIFICADO (VANE)'!$D$4:$D$729,0,0)</f>
        <v>288.39999999999998</v>
      </c>
      <c r="E221" s="322">
        <f>_xlfn.XLOOKUP(A221,'PARA ENVÍO UNIFICADO (VANE)'!$A$4:$A$729,'PARA ENVÍO UNIFICADO (VANE)'!$E$4:$E$729,0,0)</f>
        <v>106</v>
      </c>
      <c r="F221" s="322">
        <f t="shared" si="10"/>
        <v>394.4</v>
      </c>
      <c r="G221" s="243">
        <v>648864</v>
      </c>
      <c r="H221" s="243">
        <f>ROUND(+G221*F221,2)</f>
        <v>255911961.59999999</v>
      </c>
    </row>
    <row r="222" spans="1:8" s="9" customFormat="1" ht="35.1" customHeight="1" x14ac:dyDescent="0.25">
      <c r="A222" s="240" t="s">
        <v>258</v>
      </c>
      <c r="B222" s="254" t="s">
        <v>259</v>
      </c>
      <c r="C222" s="255" t="s">
        <v>94</v>
      </c>
      <c r="D222" s="322">
        <f>_xlfn.XLOOKUP(A222,'PARA ENVÍO UNIFICADO (VANE)'!$A$4:$A$729,'PARA ENVÍO UNIFICADO (VANE)'!$D$4:$D$729,0,0)</f>
        <v>44.13</v>
      </c>
      <c r="E222" s="322">
        <f>_xlfn.XLOOKUP(A222,'PARA ENVÍO UNIFICADO (VANE)'!$A$4:$A$729,'PARA ENVÍO UNIFICADO (VANE)'!$E$4:$E$729,0,0)</f>
        <v>16</v>
      </c>
      <c r="F222" s="322">
        <f t="shared" si="10"/>
        <v>60.13</v>
      </c>
      <c r="G222" s="243">
        <v>260332</v>
      </c>
      <c r="H222" s="243">
        <f>ROUND(+G222*F222,2)</f>
        <v>15653763.16</v>
      </c>
    </row>
    <row r="223" spans="1:8" s="9" customFormat="1" ht="35.1" customHeight="1" x14ac:dyDescent="0.25">
      <c r="A223" s="276" t="s">
        <v>260</v>
      </c>
      <c r="B223" s="256" t="s">
        <v>261</v>
      </c>
      <c r="C223" s="256"/>
      <c r="D223" s="244"/>
      <c r="E223" s="244"/>
      <c r="F223" s="322">
        <f t="shared" si="10"/>
        <v>0</v>
      </c>
      <c r="G223" s="303"/>
      <c r="H223" s="246"/>
    </row>
    <row r="224" spans="1:8" s="9" customFormat="1" ht="35.1" customHeight="1" x14ac:dyDescent="0.25">
      <c r="A224" s="240" t="s">
        <v>262</v>
      </c>
      <c r="B224" s="254" t="s">
        <v>263</v>
      </c>
      <c r="C224" s="255" t="s">
        <v>13</v>
      </c>
      <c r="D224" s="322">
        <f>_xlfn.XLOOKUP(A224,'PARA ENVÍO UNIFICADO (VANE)'!$A$4:$A$729,'PARA ENVÍO UNIFICADO (VANE)'!$D$4:$D$729,0,0)</f>
        <v>83.5</v>
      </c>
      <c r="E224" s="322">
        <f>_xlfn.XLOOKUP(A224,'PARA ENVÍO UNIFICADO (VANE)'!$A$4:$A$729,'PARA ENVÍO UNIFICADO (VANE)'!$E$4:$E$729,0,0)</f>
        <v>83.5</v>
      </c>
      <c r="F224" s="322">
        <f t="shared" si="10"/>
        <v>167</v>
      </c>
      <c r="G224" s="243">
        <v>624440</v>
      </c>
      <c r="H224" s="243">
        <f>ROUND(+G224*F224,2)</f>
        <v>104281480</v>
      </c>
    </row>
    <row r="225" spans="1:8" s="9" customFormat="1" ht="35.1" customHeight="1" x14ac:dyDescent="0.25">
      <c r="A225" s="266">
        <v>11</v>
      </c>
      <c r="B225" s="267" t="s">
        <v>1169</v>
      </c>
      <c r="C225" s="268"/>
      <c r="D225" s="267"/>
      <c r="E225" s="267"/>
      <c r="F225" s="322">
        <f t="shared" si="10"/>
        <v>0</v>
      </c>
      <c r="G225" s="306"/>
      <c r="H225" s="268"/>
    </row>
    <row r="226" spans="1:8" s="9" customFormat="1" ht="35.1" customHeight="1" x14ac:dyDescent="0.25">
      <c r="A226" s="244" t="s">
        <v>1170</v>
      </c>
      <c r="B226" s="245" t="s">
        <v>10</v>
      </c>
      <c r="C226" s="244"/>
      <c r="D226" s="244"/>
      <c r="E226" s="244"/>
      <c r="F226" s="322">
        <f t="shared" si="10"/>
        <v>0</v>
      </c>
      <c r="G226" s="303"/>
      <c r="H226" s="246"/>
    </row>
    <row r="227" spans="1:8" s="9" customFormat="1" ht="35.1" customHeight="1" x14ac:dyDescent="0.25">
      <c r="A227" s="255" t="s">
        <v>1171</v>
      </c>
      <c r="B227" s="254" t="s">
        <v>1050</v>
      </c>
      <c r="C227" s="255" t="s">
        <v>13</v>
      </c>
      <c r="D227" s="322">
        <f>_xlfn.XLOOKUP(A227,'PARA ENVÍO UNIFICADO (VANE)'!$A$4:$A$729,'PARA ENVÍO UNIFICADO (VANE)'!$D$4:$D$729,0,0)</f>
        <v>745.71560000000011</v>
      </c>
      <c r="E227" s="322">
        <f>_xlfn.XLOOKUP(A227,'PARA ENVÍO UNIFICADO (VANE)'!$A$4:$A$729,'PARA ENVÍO UNIFICADO (VANE)'!$E$4:$E$729,0,0)</f>
        <v>0</v>
      </c>
      <c r="F227" s="322">
        <f t="shared" si="10"/>
        <v>745.72</v>
      </c>
      <c r="G227" s="243">
        <v>3555</v>
      </c>
      <c r="H227" s="243">
        <f>ROUND(+G227*F227,2)</f>
        <v>2651034.6</v>
      </c>
    </row>
    <row r="228" spans="1:8" s="9" customFormat="1" ht="35.1" customHeight="1" x14ac:dyDescent="0.25">
      <c r="A228" s="255" t="s">
        <v>1172</v>
      </c>
      <c r="B228" s="254" t="s">
        <v>12</v>
      </c>
      <c r="C228" s="255" t="s">
        <v>13</v>
      </c>
      <c r="D228" s="322">
        <f>_xlfn.XLOOKUP(A228,'PARA ENVÍO UNIFICADO (VANE)'!$A$4:$A$729,'PARA ENVÍO UNIFICADO (VANE)'!$D$4:$D$729,0,0)</f>
        <v>745.71560000000011</v>
      </c>
      <c r="E228" s="322">
        <f>_xlfn.XLOOKUP(A228,'PARA ENVÍO UNIFICADO (VANE)'!$A$4:$A$729,'PARA ENVÍO UNIFICADO (VANE)'!$E$4:$E$729,0,0)</f>
        <v>0</v>
      </c>
      <c r="F228" s="322">
        <f t="shared" si="10"/>
        <v>745.72</v>
      </c>
      <c r="G228" s="243">
        <v>27093</v>
      </c>
      <c r="H228" s="243">
        <f>ROUND(+G228*F228,2)</f>
        <v>20203791.960000001</v>
      </c>
    </row>
    <row r="229" spans="1:8" s="9" customFormat="1" ht="35.1" customHeight="1" x14ac:dyDescent="0.25">
      <c r="A229" s="255" t="s">
        <v>1173</v>
      </c>
      <c r="B229" s="254" t="s">
        <v>1052</v>
      </c>
      <c r="C229" s="255" t="s">
        <v>94</v>
      </c>
      <c r="D229" s="322">
        <f>_xlfn.XLOOKUP(A229,'PARA ENVÍO UNIFICADO (VANE)'!$A$4:$A$729,'PARA ENVÍO UNIFICADO (VANE)'!$D$4:$D$729,0,0)</f>
        <v>110.98</v>
      </c>
      <c r="E229" s="322">
        <f>_xlfn.XLOOKUP(A229,'PARA ENVÍO UNIFICADO (VANE)'!$A$4:$A$729,'PARA ENVÍO UNIFICADO (VANE)'!$E$4:$E$729,0,0)</f>
        <v>0</v>
      </c>
      <c r="F229" s="322">
        <f t="shared" si="10"/>
        <v>110.98</v>
      </c>
      <c r="G229" s="243">
        <v>34420</v>
      </c>
      <c r="H229" s="243">
        <f>ROUND(+G229*F229,2)</f>
        <v>3819931.6</v>
      </c>
    </row>
    <row r="230" spans="1:8" s="9" customFormat="1" ht="35.1" customHeight="1" x14ac:dyDescent="0.25">
      <c r="A230" s="244" t="s">
        <v>1174</v>
      </c>
      <c r="B230" s="245" t="s">
        <v>18</v>
      </c>
      <c r="C230" s="244"/>
      <c r="D230" s="244"/>
      <c r="E230" s="244"/>
      <c r="F230" s="322">
        <f t="shared" si="10"/>
        <v>0</v>
      </c>
      <c r="G230" s="303"/>
      <c r="H230" s="246"/>
    </row>
    <row r="231" spans="1:8" s="9" customFormat="1" ht="35.1" customHeight="1" x14ac:dyDescent="0.25">
      <c r="A231" s="255" t="s">
        <v>1175</v>
      </c>
      <c r="B231" s="254" t="s">
        <v>1176</v>
      </c>
      <c r="C231" s="255" t="s">
        <v>16</v>
      </c>
      <c r="D231" s="322">
        <f>_xlfn.XLOOKUP(A231,'PARA ENVÍO UNIFICADO (VANE)'!$A$4:$A$729,'PARA ENVÍO UNIFICADO (VANE)'!$D$4:$D$729,0,0)</f>
        <v>1</v>
      </c>
      <c r="E231" s="322">
        <f>_xlfn.XLOOKUP(A231,'PARA ENVÍO UNIFICADO (VANE)'!$A$4:$A$729,'PARA ENVÍO UNIFICADO (VANE)'!$E$4:$E$729,0,0)</f>
        <v>0</v>
      </c>
      <c r="F231" s="322">
        <f t="shared" si="10"/>
        <v>1</v>
      </c>
      <c r="G231" s="243">
        <v>563857</v>
      </c>
      <c r="H231" s="243">
        <f>ROUND(+G231*F231,2)</f>
        <v>563857</v>
      </c>
    </row>
    <row r="232" spans="1:8" s="9" customFormat="1" ht="35.1" customHeight="1" x14ac:dyDescent="0.25">
      <c r="A232" s="255" t="s">
        <v>1177</v>
      </c>
      <c r="B232" s="254" t="s">
        <v>1178</v>
      </c>
      <c r="C232" s="255" t="s">
        <v>16</v>
      </c>
      <c r="D232" s="322">
        <f>_xlfn.XLOOKUP(A232,'PARA ENVÍO UNIFICADO (VANE)'!$A$4:$A$729,'PARA ENVÍO UNIFICADO (VANE)'!$D$4:$D$729,0,0)</f>
        <v>1</v>
      </c>
      <c r="E232" s="322">
        <f>_xlfn.XLOOKUP(A232,'PARA ENVÍO UNIFICADO (VANE)'!$A$4:$A$729,'PARA ENVÍO UNIFICADO (VANE)'!$E$4:$E$729,0,0)</f>
        <v>0</v>
      </c>
      <c r="F232" s="322">
        <f t="shared" si="10"/>
        <v>1</v>
      </c>
      <c r="G232" s="243">
        <v>4041000</v>
      </c>
      <c r="H232" s="243">
        <f>ROUND(+G232*F232,2)</f>
        <v>4041000</v>
      </c>
    </row>
    <row r="233" spans="1:8" s="9" customFormat="1" ht="35.1" customHeight="1" x14ac:dyDescent="0.25">
      <c r="A233" s="244" t="s">
        <v>1179</v>
      </c>
      <c r="B233" s="245" t="s">
        <v>20</v>
      </c>
      <c r="C233" s="246"/>
      <c r="D233" s="244"/>
      <c r="E233" s="244"/>
      <c r="F233" s="322">
        <f t="shared" si="10"/>
        <v>0</v>
      </c>
      <c r="G233" s="303"/>
      <c r="H233" s="246"/>
    </row>
    <row r="234" spans="1:8" s="9" customFormat="1" ht="35.1" customHeight="1" x14ac:dyDescent="0.25">
      <c r="A234" s="255" t="s">
        <v>1180</v>
      </c>
      <c r="B234" s="241" t="s">
        <v>1421</v>
      </c>
      <c r="C234" s="255" t="s">
        <v>1182</v>
      </c>
      <c r="D234" s="322">
        <f>_xlfn.XLOOKUP(A234,'PARA ENVÍO UNIFICADO (VANE)'!$A$4:$A$729,'PARA ENVÍO UNIFICADO (VANE)'!$D$4:$D$729,0,0)</f>
        <v>1</v>
      </c>
      <c r="E234" s="322">
        <f>_xlfn.XLOOKUP(A234,'PARA ENVÍO UNIFICADO (VANE)'!$A$4:$A$729,'PARA ENVÍO UNIFICADO (VANE)'!$E$4:$E$729,0,0)</f>
        <v>0</v>
      </c>
      <c r="F234" s="322">
        <f t="shared" si="10"/>
        <v>1</v>
      </c>
      <c r="G234" s="243">
        <v>1976190</v>
      </c>
      <c r="H234" s="243">
        <f>ROUND(+G234*F234,2)</f>
        <v>1976190</v>
      </c>
    </row>
    <row r="235" spans="1:8" s="9" customFormat="1" ht="35.1" customHeight="1" x14ac:dyDescent="0.25">
      <c r="A235" s="244" t="s">
        <v>1183</v>
      </c>
      <c r="B235" s="245" t="s">
        <v>1184</v>
      </c>
      <c r="C235" s="246"/>
      <c r="D235" s="244"/>
      <c r="E235" s="244"/>
      <c r="F235" s="322">
        <f t="shared" si="10"/>
        <v>0</v>
      </c>
      <c r="G235" s="303"/>
      <c r="H235" s="246"/>
    </row>
    <row r="236" spans="1:8" s="9" customFormat="1" ht="35.1" customHeight="1" x14ac:dyDescent="0.25">
      <c r="A236" s="240" t="s">
        <v>1185</v>
      </c>
      <c r="B236" s="241" t="s">
        <v>1186</v>
      </c>
      <c r="C236" s="240" t="s">
        <v>30</v>
      </c>
      <c r="D236" s="322">
        <f>_xlfn.XLOOKUP(A236,'PARA ENVÍO UNIFICADO (VANE)'!$A$4:$A$729,'PARA ENVÍO UNIFICADO (VANE)'!$D$4:$D$729,0,0)</f>
        <v>79.201499999999996</v>
      </c>
      <c r="E236" s="322">
        <f>_xlfn.XLOOKUP(A236,'PARA ENVÍO UNIFICADO (VANE)'!$A$4:$A$729,'PARA ENVÍO UNIFICADO (VANE)'!$E$4:$E$729,0,0)</f>
        <v>0</v>
      </c>
      <c r="F236" s="322">
        <f t="shared" si="10"/>
        <v>79.2</v>
      </c>
      <c r="G236" s="243">
        <v>32449</v>
      </c>
      <c r="H236" s="243">
        <f>ROUND(+G236*F236,2)</f>
        <v>2569960.7999999998</v>
      </c>
    </row>
    <row r="237" spans="1:8" s="9" customFormat="1" ht="35.1" customHeight="1" x14ac:dyDescent="0.25">
      <c r="A237" s="240" t="s">
        <v>1187</v>
      </c>
      <c r="B237" s="251" t="s">
        <v>1188</v>
      </c>
      <c r="C237" s="240" t="s">
        <v>30</v>
      </c>
      <c r="D237" s="322">
        <f>_xlfn.XLOOKUP(A237,'PARA ENVÍO UNIFICADO (VANE)'!$A$4:$A$729,'PARA ENVÍO UNIFICADO (VANE)'!$D$4:$D$729,0,0)</f>
        <v>110</v>
      </c>
      <c r="E237" s="322">
        <f>_xlfn.XLOOKUP(A237,'PARA ENVÍO UNIFICADO (VANE)'!$A$4:$A$729,'PARA ENVÍO UNIFICADO (VANE)'!$E$4:$E$729,0,0)</f>
        <v>0</v>
      </c>
      <c r="F237" s="322">
        <f t="shared" si="10"/>
        <v>110</v>
      </c>
      <c r="G237" s="243">
        <v>147410</v>
      </c>
      <c r="H237" s="243">
        <f>ROUND(+G237*F237,2)</f>
        <v>16215100</v>
      </c>
    </row>
    <row r="238" spans="1:8" s="9" customFormat="1" ht="35.1" customHeight="1" x14ac:dyDescent="0.25">
      <c r="A238" s="240" t="s">
        <v>1189</v>
      </c>
      <c r="B238" s="254" t="s">
        <v>422</v>
      </c>
      <c r="C238" s="240" t="s">
        <v>30</v>
      </c>
      <c r="D238" s="322">
        <f>_xlfn.XLOOKUP(A238,'PARA ENVÍO UNIFICADO (VANE)'!$A$4:$A$729,'PARA ENVÍO UNIFICADO (VANE)'!$D$4:$D$729,0,0)</f>
        <v>64.790000000000006</v>
      </c>
      <c r="E238" s="322">
        <f>_xlfn.XLOOKUP(A238,'PARA ENVÍO UNIFICADO (VANE)'!$A$4:$A$729,'PARA ENVÍO UNIFICADO (VANE)'!$E$4:$E$729,0,0)</f>
        <v>0</v>
      </c>
      <c r="F238" s="322">
        <f t="shared" si="10"/>
        <v>64.790000000000006</v>
      </c>
      <c r="G238" s="243">
        <v>77514</v>
      </c>
      <c r="H238" s="243">
        <f>ROUND(+G238*F238,2)</f>
        <v>5022132.0599999996</v>
      </c>
    </row>
    <row r="239" spans="1:8" s="9" customFormat="1" ht="35.1" customHeight="1" x14ac:dyDescent="0.25">
      <c r="A239" s="240" t="s">
        <v>1190</v>
      </c>
      <c r="B239" s="241" t="s">
        <v>1191</v>
      </c>
      <c r="C239" s="240" t="s">
        <v>30</v>
      </c>
      <c r="D239" s="322">
        <f>_xlfn.XLOOKUP(A239,'PARA ENVÍO UNIFICADO (VANE)'!$A$4:$A$729,'PARA ENVÍO UNIFICADO (VANE)'!$D$4:$D$729,0,0)</f>
        <v>2</v>
      </c>
      <c r="E239" s="322">
        <f>_xlfn.XLOOKUP(A239,'PARA ENVÍO UNIFICADO (VANE)'!$A$4:$A$729,'PARA ENVÍO UNIFICADO (VANE)'!$E$4:$E$729,0,0)</f>
        <v>0</v>
      </c>
      <c r="F239" s="322">
        <f t="shared" si="10"/>
        <v>2</v>
      </c>
      <c r="G239" s="243">
        <v>532168</v>
      </c>
      <c r="H239" s="243">
        <f>ROUND(+G239*F239,2)</f>
        <v>1064336</v>
      </c>
    </row>
    <row r="240" spans="1:8" s="9" customFormat="1" ht="35.1" customHeight="1" x14ac:dyDescent="0.25">
      <c r="A240" s="240" t="s">
        <v>1192</v>
      </c>
      <c r="B240" s="241" t="s">
        <v>1193</v>
      </c>
      <c r="C240" s="240" t="s">
        <v>30</v>
      </c>
      <c r="D240" s="322">
        <f>_xlfn.XLOOKUP(A240,'PARA ENVÍO UNIFICADO (VANE)'!$A$4:$A$729,'PARA ENVÍO UNIFICADO (VANE)'!$D$4:$D$729,0,0)</f>
        <v>139.05000000000001</v>
      </c>
      <c r="E240" s="322">
        <f>_xlfn.XLOOKUP(A240,'PARA ENVÍO UNIFICADO (VANE)'!$A$4:$A$729,'PARA ENVÍO UNIFICADO (VANE)'!$E$4:$E$729,0,0)</f>
        <v>0</v>
      </c>
      <c r="F240" s="322">
        <f t="shared" si="10"/>
        <v>139.05000000000001</v>
      </c>
      <c r="G240" s="243">
        <v>35210</v>
      </c>
      <c r="H240" s="243">
        <f>ROUND(+G240*F240,2)</f>
        <v>4895950.5</v>
      </c>
    </row>
    <row r="241" spans="1:8" s="9" customFormat="1" ht="35.1" customHeight="1" x14ac:dyDescent="0.25">
      <c r="A241" s="265" t="s">
        <v>1194</v>
      </c>
      <c r="B241" s="245" t="s">
        <v>1195</v>
      </c>
      <c r="C241" s="256"/>
      <c r="D241" s="244"/>
      <c r="E241" s="244"/>
      <c r="F241" s="322">
        <f t="shared" si="10"/>
        <v>0</v>
      </c>
      <c r="G241" s="303"/>
      <c r="H241" s="246"/>
    </row>
    <row r="242" spans="1:8" s="9" customFormat="1" ht="35.1" customHeight="1" x14ac:dyDescent="0.25">
      <c r="A242" s="240" t="s">
        <v>1196</v>
      </c>
      <c r="B242" s="251" t="s">
        <v>1197</v>
      </c>
      <c r="C242" s="240" t="s">
        <v>13</v>
      </c>
      <c r="D242" s="322">
        <f>_xlfn.XLOOKUP(A242,'PARA ENVÍO UNIFICADO (VANE)'!$A$4:$A$729,'PARA ENVÍO UNIFICADO (VANE)'!$D$4:$D$729,0,0)</f>
        <v>185.11</v>
      </c>
      <c r="E242" s="322">
        <f>_xlfn.XLOOKUP(A242,'PARA ENVÍO UNIFICADO (VANE)'!$A$4:$A$729,'PARA ENVÍO UNIFICADO (VANE)'!$E$4:$E$729,0,0)</f>
        <v>0</v>
      </c>
      <c r="F242" s="322">
        <f t="shared" si="10"/>
        <v>185.11</v>
      </c>
      <c r="G242" s="243">
        <v>79722</v>
      </c>
      <c r="H242" s="243">
        <f>ROUND(+G242*F242,2)</f>
        <v>14757339.42</v>
      </c>
    </row>
    <row r="243" spans="1:8" s="9" customFormat="1" ht="35.1" customHeight="1" x14ac:dyDescent="0.25">
      <c r="A243" s="240" t="s">
        <v>1198</v>
      </c>
      <c r="B243" s="241" t="s">
        <v>1199</v>
      </c>
      <c r="C243" s="240" t="s">
        <v>94</v>
      </c>
      <c r="D243" s="322">
        <f>_xlfn.XLOOKUP(A243,'PARA ENVÍO UNIFICADO (VANE)'!$A$4:$A$729,'PARA ENVÍO UNIFICADO (VANE)'!$D$4:$D$729,0,0)</f>
        <v>72.05</v>
      </c>
      <c r="E243" s="322">
        <f>_xlfn.XLOOKUP(A243,'PARA ENVÍO UNIFICADO (VANE)'!$A$4:$A$729,'PARA ENVÍO UNIFICADO (VANE)'!$E$4:$E$729,0,0)</f>
        <v>0</v>
      </c>
      <c r="F243" s="322">
        <f t="shared" si="10"/>
        <v>72.05</v>
      </c>
      <c r="G243" s="243">
        <v>47413</v>
      </c>
      <c r="H243" s="243">
        <f>ROUND(+G243*F243,2)</f>
        <v>3416106.65</v>
      </c>
    </row>
    <row r="244" spans="1:8" s="9" customFormat="1" ht="35.1" customHeight="1" x14ac:dyDescent="0.25">
      <c r="A244" s="240" t="s">
        <v>1200</v>
      </c>
      <c r="B244" s="241" t="s">
        <v>1201</v>
      </c>
      <c r="C244" s="240" t="s">
        <v>94</v>
      </c>
      <c r="D244" s="322">
        <f>_xlfn.XLOOKUP(A244,'PARA ENVÍO UNIFICADO (VANE)'!$A$4:$A$729,'PARA ENVÍO UNIFICADO (VANE)'!$D$4:$D$729,0,0)</f>
        <v>303.41000000000003</v>
      </c>
      <c r="E244" s="322">
        <f>_xlfn.XLOOKUP(A244,'PARA ENVÍO UNIFICADO (VANE)'!$A$4:$A$729,'PARA ENVÍO UNIFICADO (VANE)'!$E$4:$E$729,0,0)</f>
        <v>0</v>
      </c>
      <c r="F244" s="322">
        <f t="shared" si="10"/>
        <v>303.41000000000003</v>
      </c>
      <c r="G244" s="243">
        <v>72468</v>
      </c>
      <c r="H244" s="243">
        <f>ROUND(+G244*F244,2)</f>
        <v>21987515.879999999</v>
      </c>
    </row>
    <row r="245" spans="1:8" s="9" customFormat="1" ht="35.1" customHeight="1" x14ac:dyDescent="0.25">
      <c r="A245" s="240" t="s">
        <v>1202</v>
      </c>
      <c r="B245" s="241" t="s">
        <v>1203</v>
      </c>
      <c r="C245" s="240" t="s">
        <v>13</v>
      </c>
      <c r="D245" s="322">
        <f>_xlfn.XLOOKUP(A245,'PARA ENVÍO UNIFICADO (VANE)'!$A$4:$A$729,'PARA ENVÍO UNIFICADO (VANE)'!$D$4:$D$729,0,0)</f>
        <v>433</v>
      </c>
      <c r="E245" s="322">
        <f>_xlfn.XLOOKUP(A245,'PARA ENVÍO UNIFICADO (VANE)'!$A$4:$A$729,'PARA ENVÍO UNIFICADO (VANE)'!$E$4:$E$729,0,0)</f>
        <v>0</v>
      </c>
      <c r="F245" s="322">
        <f t="shared" si="10"/>
        <v>433</v>
      </c>
      <c r="G245" s="243">
        <v>16029</v>
      </c>
      <c r="H245" s="243">
        <f>ROUND(+G245*F245,2)</f>
        <v>6940557</v>
      </c>
    </row>
    <row r="246" spans="1:8" s="9" customFormat="1" ht="35.1" customHeight="1" x14ac:dyDescent="0.25">
      <c r="A246" s="244" t="s">
        <v>1204</v>
      </c>
      <c r="B246" s="245" t="s">
        <v>1205</v>
      </c>
      <c r="C246" s="244"/>
      <c r="D246" s="244"/>
      <c r="E246" s="244"/>
      <c r="F246" s="322">
        <f t="shared" si="10"/>
        <v>0</v>
      </c>
      <c r="G246" s="303"/>
      <c r="H246" s="246"/>
    </row>
    <row r="247" spans="1:8" s="9" customFormat="1" ht="35.1" customHeight="1" x14ac:dyDescent="0.25">
      <c r="A247" s="255" t="s">
        <v>1206</v>
      </c>
      <c r="B247" s="241" t="s">
        <v>1207</v>
      </c>
      <c r="C247" s="240" t="s">
        <v>16</v>
      </c>
      <c r="D247" s="322">
        <f>_xlfn.XLOOKUP(A247,'PARA ENVÍO UNIFICADO (VANE)'!$A$4:$A$729,'PARA ENVÍO UNIFICADO (VANE)'!$D$4:$D$729,0,0)</f>
        <v>4</v>
      </c>
      <c r="E247" s="322">
        <f>_xlfn.XLOOKUP(A247,'PARA ENVÍO UNIFICADO (VANE)'!$A$4:$A$729,'PARA ENVÍO UNIFICADO (VANE)'!$E$4:$E$729,0,0)</f>
        <v>0</v>
      </c>
      <c r="F247" s="322">
        <f t="shared" si="10"/>
        <v>4</v>
      </c>
      <c r="G247" s="243">
        <v>790611</v>
      </c>
      <c r="H247" s="243">
        <f t="shared" ref="H247:H252" si="13">ROUND(+G247*F247,2)</f>
        <v>3162444</v>
      </c>
    </row>
    <row r="248" spans="1:8" s="9" customFormat="1" ht="35.1" customHeight="1" x14ac:dyDescent="0.25">
      <c r="A248" s="255" t="s">
        <v>1208</v>
      </c>
      <c r="B248" s="241" t="s">
        <v>1209</v>
      </c>
      <c r="C248" s="240" t="s">
        <v>16</v>
      </c>
      <c r="D248" s="322">
        <f>_xlfn.XLOOKUP(A248,'PARA ENVÍO UNIFICADO (VANE)'!$A$4:$A$729,'PARA ENVÍO UNIFICADO (VANE)'!$D$4:$D$729,0,0)</f>
        <v>6</v>
      </c>
      <c r="E248" s="322">
        <f>_xlfn.XLOOKUP(A248,'PARA ENVÍO UNIFICADO (VANE)'!$A$4:$A$729,'PARA ENVÍO UNIFICADO (VANE)'!$E$4:$E$729,0,0)</f>
        <v>0</v>
      </c>
      <c r="F248" s="322">
        <f t="shared" si="10"/>
        <v>6</v>
      </c>
      <c r="G248" s="243">
        <v>395332</v>
      </c>
      <c r="H248" s="243">
        <f t="shared" si="13"/>
        <v>2371992</v>
      </c>
    </row>
    <row r="249" spans="1:8" s="9" customFormat="1" ht="35.1" customHeight="1" x14ac:dyDescent="0.25">
      <c r="A249" s="255" t="s">
        <v>1210</v>
      </c>
      <c r="B249" s="241" t="s">
        <v>1211</v>
      </c>
      <c r="C249" s="240" t="s">
        <v>16</v>
      </c>
      <c r="D249" s="322">
        <f>_xlfn.XLOOKUP(A249,'PARA ENVÍO UNIFICADO (VANE)'!$A$4:$A$729,'PARA ENVÍO UNIFICADO (VANE)'!$D$4:$D$729,0,0)</f>
        <v>1</v>
      </c>
      <c r="E249" s="322">
        <f>_xlfn.XLOOKUP(A249,'PARA ENVÍO UNIFICADO (VANE)'!$A$4:$A$729,'PARA ENVÍO UNIFICADO (VANE)'!$E$4:$E$729,0,0)</f>
        <v>0</v>
      </c>
      <c r="F249" s="322">
        <f t="shared" si="10"/>
        <v>1</v>
      </c>
      <c r="G249" s="243">
        <v>9881750</v>
      </c>
      <c r="H249" s="243">
        <f t="shared" si="13"/>
        <v>9881750</v>
      </c>
    </row>
    <row r="250" spans="1:8" s="9" customFormat="1" ht="35.1" customHeight="1" x14ac:dyDescent="0.25">
      <c r="A250" s="255" t="s">
        <v>1212</v>
      </c>
      <c r="B250" s="254" t="s">
        <v>1213</v>
      </c>
      <c r="C250" s="240" t="s">
        <v>16</v>
      </c>
      <c r="D250" s="322">
        <f>_xlfn.XLOOKUP(A250,'PARA ENVÍO UNIFICADO (VANE)'!$A$4:$A$729,'PARA ENVÍO UNIFICADO (VANE)'!$D$4:$D$729,0,0)</f>
        <v>3</v>
      </c>
      <c r="E250" s="322">
        <f>_xlfn.XLOOKUP(A250,'PARA ENVÍO UNIFICADO (VANE)'!$A$4:$A$729,'PARA ENVÍO UNIFICADO (VANE)'!$E$4:$E$729,0,0)</f>
        <v>0</v>
      </c>
      <c r="F250" s="322">
        <f t="shared" si="10"/>
        <v>3</v>
      </c>
      <c r="G250" s="243">
        <v>237578</v>
      </c>
      <c r="H250" s="243">
        <f t="shared" si="13"/>
        <v>712734</v>
      </c>
    </row>
    <row r="251" spans="1:8" s="9" customFormat="1" ht="35.1" customHeight="1" x14ac:dyDescent="0.25">
      <c r="A251" s="255" t="s">
        <v>1214</v>
      </c>
      <c r="B251" s="254" t="s">
        <v>1215</v>
      </c>
      <c r="C251" s="240" t="s">
        <v>16</v>
      </c>
      <c r="D251" s="322">
        <f>_xlfn.XLOOKUP(A251,'PARA ENVÍO UNIFICADO (VANE)'!$A$4:$A$729,'PARA ENVÍO UNIFICADO (VANE)'!$D$4:$D$729,0,0)</f>
        <v>3</v>
      </c>
      <c r="E251" s="322">
        <f>_xlfn.XLOOKUP(A251,'PARA ENVÍO UNIFICADO (VANE)'!$A$4:$A$729,'PARA ENVÍO UNIFICADO (VANE)'!$E$4:$E$729,0,0)</f>
        <v>0</v>
      </c>
      <c r="F251" s="322">
        <f t="shared" si="10"/>
        <v>3</v>
      </c>
      <c r="G251" s="243">
        <v>329530</v>
      </c>
      <c r="H251" s="243">
        <f t="shared" si="13"/>
        <v>988590</v>
      </c>
    </row>
    <row r="252" spans="1:8" s="9" customFormat="1" ht="35.1" customHeight="1" x14ac:dyDescent="0.25">
      <c r="A252" s="255" t="s">
        <v>1216</v>
      </c>
      <c r="B252" s="254" t="s">
        <v>1217</v>
      </c>
      <c r="C252" s="240" t="s">
        <v>16</v>
      </c>
      <c r="D252" s="322">
        <f>_xlfn.XLOOKUP(A252,'PARA ENVÍO UNIFICADO (VANE)'!$A$4:$A$729,'PARA ENVÍO UNIFICADO (VANE)'!$D$4:$D$729,0,0)</f>
        <v>1</v>
      </c>
      <c r="E252" s="322">
        <f>_xlfn.XLOOKUP(A252,'PARA ENVÍO UNIFICADO (VANE)'!$A$4:$A$729,'PARA ENVÍO UNIFICADO (VANE)'!$E$4:$E$729,0,0)</f>
        <v>0</v>
      </c>
      <c r="F252" s="322">
        <f t="shared" si="10"/>
        <v>1</v>
      </c>
      <c r="G252" s="243">
        <v>395403</v>
      </c>
      <c r="H252" s="243">
        <f t="shared" si="13"/>
        <v>395403</v>
      </c>
    </row>
    <row r="253" spans="1:8" s="9" customFormat="1" ht="35.1" customHeight="1" x14ac:dyDescent="0.25">
      <c r="A253" s="244" t="s">
        <v>1218</v>
      </c>
      <c r="B253" s="245" t="s">
        <v>1219</v>
      </c>
      <c r="C253" s="244"/>
      <c r="D253" s="244"/>
      <c r="E253" s="244"/>
      <c r="F253" s="322">
        <f t="shared" si="10"/>
        <v>0</v>
      </c>
      <c r="G253" s="303"/>
      <c r="H253" s="246"/>
    </row>
    <row r="254" spans="1:8" s="9" customFormat="1" ht="35.1" customHeight="1" x14ac:dyDescent="0.25">
      <c r="A254" s="240" t="s">
        <v>1220</v>
      </c>
      <c r="B254" s="241" t="s">
        <v>1221</v>
      </c>
      <c r="C254" s="240" t="s">
        <v>16</v>
      </c>
      <c r="D254" s="322">
        <f>_xlfn.XLOOKUP(A254,'PARA ENVÍO UNIFICADO (VANE)'!$A$4:$A$729,'PARA ENVÍO UNIFICADO (VANE)'!$D$4:$D$729,0,0)</f>
        <v>8</v>
      </c>
      <c r="E254" s="322">
        <f>_xlfn.XLOOKUP(A254,'PARA ENVÍO UNIFICADO (VANE)'!$A$4:$A$729,'PARA ENVÍO UNIFICADO (VANE)'!$E$4:$E$729,0,0)</f>
        <v>0</v>
      </c>
      <c r="F254" s="322">
        <f t="shared" si="10"/>
        <v>8</v>
      </c>
      <c r="G254" s="243">
        <v>3300179</v>
      </c>
      <c r="H254" s="243">
        <f>ROUND(+G254*F254,2)</f>
        <v>26401432</v>
      </c>
    </row>
    <row r="255" spans="1:8" s="9" customFormat="1" ht="35.1" customHeight="1" x14ac:dyDescent="0.25">
      <c r="A255" s="266">
        <v>12</v>
      </c>
      <c r="B255" s="267" t="s">
        <v>264</v>
      </c>
      <c r="C255" s="267"/>
      <c r="D255" s="267"/>
      <c r="E255" s="267"/>
      <c r="F255" s="322">
        <f t="shared" si="10"/>
        <v>0</v>
      </c>
      <c r="G255" s="306"/>
      <c r="H255" s="268"/>
    </row>
    <row r="256" spans="1:8" s="9" customFormat="1" ht="35.1" customHeight="1" x14ac:dyDescent="0.25">
      <c r="A256" s="277" t="s">
        <v>265</v>
      </c>
      <c r="B256" s="278" t="s">
        <v>266</v>
      </c>
      <c r="C256" s="256"/>
      <c r="D256" s="244"/>
      <c r="E256" s="244"/>
      <c r="F256" s="322">
        <f t="shared" si="10"/>
        <v>0</v>
      </c>
      <c r="G256" s="303"/>
      <c r="H256" s="246"/>
    </row>
    <row r="257" spans="1:8" s="9" customFormat="1" ht="35.1" customHeight="1" x14ac:dyDescent="0.25">
      <c r="A257" s="279" t="s">
        <v>267</v>
      </c>
      <c r="B257" s="254" t="s">
        <v>268</v>
      </c>
      <c r="C257" s="255" t="s">
        <v>269</v>
      </c>
      <c r="D257" s="322">
        <f>_xlfn.XLOOKUP(A257,'PARA ENVÍO UNIFICADO (VANE)'!$A$4:$A$729,'PARA ENVÍO UNIFICADO (VANE)'!$D$4:$D$729,0,0)</f>
        <v>121</v>
      </c>
      <c r="E257" s="322">
        <f>_xlfn.XLOOKUP(A257,'PARA ENVÍO UNIFICADO (VANE)'!$A$4:$A$729,'PARA ENVÍO UNIFICADO (VANE)'!$E$4:$E$729,0,0)</f>
        <v>45</v>
      </c>
      <c r="F257" s="322">
        <f t="shared" si="10"/>
        <v>166</v>
      </c>
      <c r="G257" s="243">
        <v>12999</v>
      </c>
      <c r="H257" s="243">
        <f t="shared" ref="H257:H305" si="14">ROUND(+G257*F257,2)</f>
        <v>2157834</v>
      </c>
    </row>
    <row r="258" spans="1:8" s="9" customFormat="1" ht="35.1" customHeight="1" x14ac:dyDescent="0.25">
      <c r="A258" s="279" t="s">
        <v>270</v>
      </c>
      <c r="B258" s="254" t="s">
        <v>271</v>
      </c>
      <c r="C258" s="255" t="s">
        <v>269</v>
      </c>
      <c r="D258" s="322">
        <f>_xlfn.XLOOKUP(A258,'PARA ENVÍO UNIFICADO (VANE)'!$A$4:$A$729,'PARA ENVÍO UNIFICADO (VANE)'!$D$4:$D$729,0,0)</f>
        <v>49</v>
      </c>
      <c r="E258" s="322">
        <f>_xlfn.XLOOKUP(A258,'PARA ENVÍO UNIFICADO (VANE)'!$A$4:$A$729,'PARA ENVÍO UNIFICADO (VANE)'!$E$4:$E$729,0,0)</f>
        <v>18</v>
      </c>
      <c r="F258" s="322">
        <f t="shared" si="10"/>
        <v>67</v>
      </c>
      <c r="G258" s="243">
        <v>19342</v>
      </c>
      <c r="H258" s="243">
        <f t="shared" si="14"/>
        <v>1295914</v>
      </c>
    </row>
    <row r="259" spans="1:8" s="9" customFormat="1" ht="35.1" customHeight="1" x14ac:dyDescent="0.25">
      <c r="A259" s="279" t="s">
        <v>272</v>
      </c>
      <c r="B259" s="254" t="s">
        <v>273</v>
      </c>
      <c r="C259" s="255" t="s">
        <v>269</v>
      </c>
      <c r="D259" s="322">
        <f>_xlfn.XLOOKUP(A259,'PARA ENVÍO UNIFICADO (VANE)'!$A$4:$A$729,'PARA ENVÍO UNIFICADO (VANE)'!$D$4:$D$729,0,0)</f>
        <v>40</v>
      </c>
      <c r="E259" s="322">
        <f>_xlfn.XLOOKUP(A259,'PARA ENVÍO UNIFICADO (VANE)'!$A$4:$A$729,'PARA ENVÍO UNIFICADO (VANE)'!$E$4:$E$729,0,0)</f>
        <v>15</v>
      </c>
      <c r="F259" s="322">
        <f t="shared" si="10"/>
        <v>55</v>
      </c>
      <c r="G259" s="243">
        <v>20509</v>
      </c>
      <c r="H259" s="243">
        <f t="shared" si="14"/>
        <v>1127995</v>
      </c>
    </row>
    <row r="260" spans="1:8" s="9" customFormat="1" ht="35.1" customHeight="1" x14ac:dyDescent="0.25">
      <c r="A260" s="279" t="s">
        <v>274</v>
      </c>
      <c r="B260" s="254" t="s">
        <v>275</v>
      </c>
      <c r="C260" s="255" t="s">
        <v>269</v>
      </c>
      <c r="D260" s="322">
        <f>_xlfn.XLOOKUP(A260,'PARA ENVÍO UNIFICADO (VANE)'!$A$4:$A$729,'PARA ENVÍO UNIFICADO (VANE)'!$D$4:$D$729,0,0)</f>
        <v>64</v>
      </c>
      <c r="E260" s="322">
        <f>_xlfn.XLOOKUP(A260,'PARA ENVÍO UNIFICADO (VANE)'!$A$4:$A$729,'PARA ENVÍO UNIFICADO (VANE)'!$E$4:$E$729,0,0)</f>
        <v>23</v>
      </c>
      <c r="F260" s="322">
        <f t="shared" si="10"/>
        <v>87</v>
      </c>
      <c r="G260" s="243">
        <v>21787</v>
      </c>
      <c r="H260" s="243">
        <f t="shared" si="14"/>
        <v>1895469</v>
      </c>
    </row>
    <row r="261" spans="1:8" s="9" customFormat="1" ht="35.1" customHeight="1" x14ac:dyDescent="0.25">
      <c r="A261" s="279" t="s">
        <v>276</v>
      </c>
      <c r="B261" s="254" t="s">
        <v>277</v>
      </c>
      <c r="C261" s="255" t="s">
        <v>269</v>
      </c>
      <c r="D261" s="322">
        <f>_xlfn.XLOOKUP(A261,'PARA ENVÍO UNIFICADO (VANE)'!$A$4:$A$729,'PARA ENVÍO UNIFICADO (VANE)'!$D$4:$D$729,0,0)</f>
        <v>57</v>
      </c>
      <c r="E261" s="322">
        <f>_xlfn.XLOOKUP(A261,'PARA ENVÍO UNIFICADO (VANE)'!$A$4:$A$729,'PARA ENVÍO UNIFICADO (VANE)'!$E$4:$E$729,0,0)</f>
        <v>21</v>
      </c>
      <c r="F261" s="322">
        <f t="shared" ref="F261:F324" si="15">ROUND(D261+E261,2)</f>
        <v>78</v>
      </c>
      <c r="G261" s="243">
        <v>28005</v>
      </c>
      <c r="H261" s="243">
        <f t="shared" si="14"/>
        <v>2184390</v>
      </c>
    </row>
    <row r="262" spans="1:8" s="9" customFormat="1" ht="35.1" customHeight="1" x14ac:dyDescent="0.25">
      <c r="A262" s="279" t="s">
        <v>278</v>
      </c>
      <c r="B262" s="254" t="s">
        <v>279</v>
      </c>
      <c r="C262" s="255" t="s">
        <v>269</v>
      </c>
      <c r="D262" s="322">
        <f>_xlfn.XLOOKUP(A262,'PARA ENVÍO UNIFICADO (VANE)'!$A$4:$A$729,'PARA ENVÍO UNIFICADO (VANE)'!$D$4:$D$729,0,0)</f>
        <v>90</v>
      </c>
      <c r="E262" s="322">
        <f>_xlfn.XLOOKUP(A262,'PARA ENVÍO UNIFICADO (VANE)'!$A$4:$A$729,'PARA ENVÍO UNIFICADO (VANE)'!$E$4:$E$729,0,0)</f>
        <v>33</v>
      </c>
      <c r="F262" s="322">
        <f t="shared" si="15"/>
        <v>123</v>
      </c>
      <c r="G262" s="243">
        <v>40094</v>
      </c>
      <c r="H262" s="243">
        <f t="shared" si="14"/>
        <v>4931562</v>
      </c>
    </row>
    <row r="263" spans="1:8" s="9" customFormat="1" ht="35.1" customHeight="1" x14ac:dyDescent="0.25">
      <c r="A263" s="279" t="s">
        <v>280</v>
      </c>
      <c r="B263" s="254" t="s">
        <v>281</v>
      </c>
      <c r="C263" s="255" t="s">
        <v>269</v>
      </c>
      <c r="D263" s="322">
        <f>_xlfn.XLOOKUP(A263,'PARA ENVÍO UNIFICADO (VANE)'!$A$4:$A$729,'PARA ENVÍO UNIFICADO (VANE)'!$D$4:$D$729,0,0)</f>
        <v>18</v>
      </c>
      <c r="E263" s="322">
        <f>_xlfn.XLOOKUP(A263,'PARA ENVÍO UNIFICADO (VANE)'!$A$4:$A$729,'PARA ENVÍO UNIFICADO (VANE)'!$E$4:$E$729,0,0)</f>
        <v>7</v>
      </c>
      <c r="F263" s="322">
        <f t="shared" si="15"/>
        <v>25</v>
      </c>
      <c r="G263" s="243">
        <v>54119</v>
      </c>
      <c r="H263" s="243">
        <f t="shared" si="14"/>
        <v>1352975</v>
      </c>
    </row>
    <row r="264" spans="1:8" s="9" customFormat="1" ht="35.1" customHeight="1" x14ac:dyDescent="0.25">
      <c r="A264" s="279" t="s">
        <v>282</v>
      </c>
      <c r="B264" s="254" t="s">
        <v>283</v>
      </c>
      <c r="C264" s="255" t="s">
        <v>1422</v>
      </c>
      <c r="D264" s="322">
        <f>_xlfn.XLOOKUP(A264,'PARA ENVÍO UNIFICADO (VANE)'!$A$4:$A$729,'PARA ENVÍO UNIFICADO (VANE)'!$D$4:$D$729,0,0)</f>
        <v>105</v>
      </c>
      <c r="E264" s="322">
        <f>_xlfn.XLOOKUP(A264,'PARA ENVÍO UNIFICADO (VANE)'!$A$4:$A$729,'PARA ENVÍO UNIFICADO (VANE)'!$E$4:$E$729,0,0)</f>
        <v>39</v>
      </c>
      <c r="F264" s="322">
        <f t="shared" si="15"/>
        <v>144</v>
      </c>
      <c r="G264" s="243">
        <v>3365</v>
      </c>
      <c r="H264" s="243">
        <f t="shared" si="14"/>
        <v>484560</v>
      </c>
    </row>
    <row r="265" spans="1:8" s="9" customFormat="1" ht="35.1" customHeight="1" x14ac:dyDescent="0.25">
      <c r="A265" s="279" t="s">
        <v>285</v>
      </c>
      <c r="B265" s="254" t="s">
        <v>286</v>
      </c>
      <c r="C265" s="255" t="s">
        <v>1422</v>
      </c>
      <c r="D265" s="322">
        <f>_xlfn.XLOOKUP(A265,'PARA ENVÍO UNIFICADO (VANE)'!$A$4:$A$729,'PARA ENVÍO UNIFICADO (VANE)'!$D$4:$D$729,0,0)</f>
        <v>38</v>
      </c>
      <c r="E265" s="322">
        <f>_xlfn.XLOOKUP(A265,'PARA ENVÍO UNIFICADO (VANE)'!$A$4:$A$729,'PARA ENVÍO UNIFICADO (VANE)'!$E$4:$E$729,0,0)</f>
        <v>14</v>
      </c>
      <c r="F265" s="322">
        <f t="shared" si="15"/>
        <v>52</v>
      </c>
      <c r="G265" s="243">
        <v>3995</v>
      </c>
      <c r="H265" s="243">
        <f t="shared" si="14"/>
        <v>207740</v>
      </c>
    </row>
    <row r="266" spans="1:8" s="9" customFormat="1" ht="35.1" customHeight="1" x14ac:dyDescent="0.25">
      <c r="A266" s="279" t="s">
        <v>287</v>
      </c>
      <c r="B266" s="254" t="s">
        <v>288</v>
      </c>
      <c r="C266" s="255" t="s">
        <v>1422</v>
      </c>
      <c r="D266" s="322">
        <f>_xlfn.XLOOKUP(A266,'PARA ENVÍO UNIFICADO (VANE)'!$A$4:$A$729,'PARA ENVÍO UNIFICADO (VANE)'!$D$4:$D$729,0,0)</f>
        <v>30</v>
      </c>
      <c r="E266" s="322">
        <f>_xlfn.XLOOKUP(A266,'PARA ENVÍO UNIFICADO (VANE)'!$A$4:$A$729,'PARA ENVÍO UNIFICADO (VANE)'!$E$4:$E$729,0,0)</f>
        <v>11</v>
      </c>
      <c r="F266" s="322">
        <f t="shared" si="15"/>
        <v>41</v>
      </c>
      <c r="G266" s="243">
        <v>4719</v>
      </c>
      <c r="H266" s="243">
        <f t="shared" si="14"/>
        <v>193479</v>
      </c>
    </row>
    <row r="267" spans="1:8" s="9" customFormat="1" ht="35.1" customHeight="1" x14ac:dyDescent="0.25">
      <c r="A267" s="279" t="s">
        <v>289</v>
      </c>
      <c r="B267" s="254" t="s">
        <v>290</v>
      </c>
      <c r="C267" s="255" t="s">
        <v>1422</v>
      </c>
      <c r="D267" s="322">
        <f>_xlfn.XLOOKUP(A267,'PARA ENVÍO UNIFICADO (VANE)'!$A$4:$A$729,'PARA ENVÍO UNIFICADO (VANE)'!$D$4:$D$729,0,0)</f>
        <v>96</v>
      </c>
      <c r="E267" s="322">
        <f>_xlfn.XLOOKUP(A267,'PARA ENVÍO UNIFICADO (VANE)'!$A$4:$A$729,'PARA ENVÍO UNIFICADO (VANE)'!$E$4:$E$729,0,0)</f>
        <v>35</v>
      </c>
      <c r="F267" s="322">
        <f t="shared" si="15"/>
        <v>131</v>
      </c>
      <c r="G267" s="243">
        <v>7451</v>
      </c>
      <c r="H267" s="243">
        <f t="shared" si="14"/>
        <v>976081</v>
      </c>
    </row>
    <row r="268" spans="1:8" s="9" customFormat="1" ht="35.1" customHeight="1" x14ac:dyDescent="0.25">
      <c r="A268" s="279" t="s">
        <v>291</v>
      </c>
      <c r="B268" s="254" t="s">
        <v>292</v>
      </c>
      <c r="C268" s="255" t="s">
        <v>1422</v>
      </c>
      <c r="D268" s="322">
        <f>_xlfn.XLOOKUP(A268,'PARA ENVÍO UNIFICADO (VANE)'!$A$4:$A$729,'PARA ENVÍO UNIFICADO (VANE)'!$D$4:$D$729,0,0)</f>
        <v>82</v>
      </c>
      <c r="E268" s="322">
        <f>_xlfn.XLOOKUP(A268,'PARA ENVÍO UNIFICADO (VANE)'!$A$4:$A$729,'PARA ENVÍO UNIFICADO (VANE)'!$E$4:$E$729,0,0)</f>
        <v>30</v>
      </c>
      <c r="F268" s="322">
        <f t="shared" si="15"/>
        <v>112</v>
      </c>
      <c r="G268" s="243">
        <v>9186</v>
      </c>
      <c r="H268" s="243">
        <f t="shared" si="14"/>
        <v>1028832</v>
      </c>
    </row>
    <row r="269" spans="1:8" s="9" customFormat="1" ht="35.1" customHeight="1" x14ac:dyDescent="0.25">
      <c r="A269" s="279" t="s">
        <v>293</v>
      </c>
      <c r="B269" s="254" t="s">
        <v>294</v>
      </c>
      <c r="C269" s="255" t="s">
        <v>1422</v>
      </c>
      <c r="D269" s="322">
        <f>_xlfn.XLOOKUP(A269,'PARA ENVÍO UNIFICADO (VANE)'!$A$4:$A$729,'PARA ENVÍO UNIFICADO (VANE)'!$D$4:$D$729,0,0)</f>
        <v>55</v>
      </c>
      <c r="E269" s="322">
        <f>_xlfn.XLOOKUP(A269,'PARA ENVÍO UNIFICADO (VANE)'!$A$4:$A$729,'PARA ENVÍO UNIFICADO (VANE)'!$E$4:$E$729,0,0)</f>
        <v>21</v>
      </c>
      <c r="F269" s="322">
        <f t="shared" si="15"/>
        <v>76</v>
      </c>
      <c r="G269" s="243">
        <v>12520</v>
      </c>
      <c r="H269" s="243">
        <f t="shared" si="14"/>
        <v>951520</v>
      </c>
    </row>
    <row r="270" spans="1:8" s="9" customFormat="1" ht="35.1" customHeight="1" x14ac:dyDescent="0.25">
      <c r="A270" s="279" t="s">
        <v>295</v>
      </c>
      <c r="B270" s="254" t="s">
        <v>296</v>
      </c>
      <c r="C270" s="255" t="s">
        <v>1422</v>
      </c>
      <c r="D270" s="322">
        <f>_xlfn.XLOOKUP(A270,'PARA ENVÍO UNIFICADO (VANE)'!$A$4:$A$729,'PARA ENVÍO UNIFICADO (VANE)'!$D$4:$D$729,0,0)</f>
        <v>12</v>
      </c>
      <c r="E270" s="322">
        <f>_xlfn.XLOOKUP(A270,'PARA ENVÍO UNIFICADO (VANE)'!$A$4:$A$729,'PARA ENVÍO UNIFICADO (VANE)'!$E$4:$E$729,0,0)</f>
        <v>4</v>
      </c>
      <c r="F270" s="322">
        <f t="shared" si="15"/>
        <v>16</v>
      </c>
      <c r="G270" s="243">
        <v>30468</v>
      </c>
      <c r="H270" s="243">
        <f t="shared" si="14"/>
        <v>487488</v>
      </c>
    </row>
    <row r="271" spans="1:8" s="9" customFormat="1" ht="35.1" customHeight="1" x14ac:dyDescent="0.25">
      <c r="A271" s="279" t="s">
        <v>297</v>
      </c>
      <c r="B271" s="254" t="s">
        <v>298</v>
      </c>
      <c r="C271" s="255" t="s">
        <v>1422</v>
      </c>
      <c r="D271" s="322">
        <f>_xlfn.XLOOKUP(A271,'PARA ENVÍO UNIFICADO (VANE)'!$A$4:$A$729,'PARA ENVÍO UNIFICADO (VANE)'!$D$4:$D$729,0,0)</f>
        <v>49</v>
      </c>
      <c r="E271" s="322">
        <f>_xlfn.XLOOKUP(A271,'PARA ENVÍO UNIFICADO (VANE)'!$A$4:$A$729,'PARA ENVÍO UNIFICADO (VANE)'!$E$4:$E$729,0,0)</f>
        <v>18</v>
      </c>
      <c r="F271" s="322">
        <f t="shared" si="15"/>
        <v>67</v>
      </c>
      <c r="G271" s="243">
        <v>1748</v>
      </c>
      <c r="H271" s="243">
        <f t="shared" si="14"/>
        <v>117116</v>
      </c>
    </row>
    <row r="272" spans="1:8" s="9" customFormat="1" ht="35.1" customHeight="1" x14ac:dyDescent="0.25">
      <c r="A272" s="279" t="s">
        <v>299</v>
      </c>
      <c r="B272" s="254" t="s">
        <v>300</v>
      </c>
      <c r="C272" s="255" t="s">
        <v>1422</v>
      </c>
      <c r="D272" s="322">
        <f>_xlfn.XLOOKUP(A272,'PARA ENVÍO UNIFICADO (VANE)'!$A$4:$A$729,'PARA ENVÍO UNIFICADO (VANE)'!$D$4:$D$729,0,0)</f>
        <v>18</v>
      </c>
      <c r="E272" s="322">
        <f>_xlfn.XLOOKUP(A272,'PARA ENVÍO UNIFICADO (VANE)'!$A$4:$A$729,'PARA ENVÍO UNIFICADO (VANE)'!$E$4:$E$729,0,0)</f>
        <v>6</v>
      </c>
      <c r="F272" s="322">
        <f t="shared" si="15"/>
        <v>24</v>
      </c>
      <c r="G272" s="243">
        <v>2347</v>
      </c>
      <c r="H272" s="243">
        <f t="shared" si="14"/>
        <v>56328</v>
      </c>
    </row>
    <row r="273" spans="1:8" s="9" customFormat="1" ht="35.1" customHeight="1" x14ac:dyDescent="0.25">
      <c r="A273" s="279" t="s">
        <v>301</v>
      </c>
      <c r="B273" s="254" t="s">
        <v>302</v>
      </c>
      <c r="C273" s="255" t="s">
        <v>1422</v>
      </c>
      <c r="D273" s="322">
        <f>_xlfn.XLOOKUP(A273,'PARA ENVÍO UNIFICADO (VANE)'!$A$4:$A$729,'PARA ENVÍO UNIFICADO (VANE)'!$D$4:$D$729,0,0)</f>
        <v>18</v>
      </c>
      <c r="E273" s="322">
        <f>_xlfn.XLOOKUP(A273,'PARA ENVÍO UNIFICADO (VANE)'!$A$4:$A$729,'PARA ENVÍO UNIFICADO (VANE)'!$E$4:$E$729,0,0)</f>
        <v>6</v>
      </c>
      <c r="F273" s="322">
        <f t="shared" si="15"/>
        <v>24</v>
      </c>
      <c r="G273" s="243">
        <v>2831</v>
      </c>
      <c r="H273" s="243">
        <f t="shared" si="14"/>
        <v>67944</v>
      </c>
    </row>
    <row r="274" spans="1:8" s="9" customFormat="1" ht="35.1" customHeight="1" x14ac:dyDescent="0.25">
      <c r="A274" s="279" t="s">
        <v>303</v>
      </c>
      <c r="B274" s="254" t="s">
        <v>304</v>
      </c>
      <c r="C274" s="255" t="s">
        <v>1422</v>
      </c>
      <c r="D274" s="322">
        <f>_xlfn.XLOOKUP(A274,'PARA ENVÍO UNIFICADO (VANE)'!$A$4:$A$729,'PARA ENVÍO UNIFICADO (VANE)'!$D$4:$D$729,0,0)</f>
        <v>26</v>
      </c>
      <c r="E274" s="322">
        <f>_xlfn.XLOOKUP(A274,'PARA ENVÍO UNIFICADO (VANE)'!$A$4:$A$729,'PARA ENVÍO UNIFICADO (VANE)'!$E$4:$E$729,0,0)</f>
        <v>10</v>
      </c>
      <c r="F274" s="322">
        <f t="shared" si="15"/>
        <v>36</v>
      </c>
      <c r="G274" s="243">
        <v>3211</v>
      </c>
      <c r="H274" s="243">
        <f t="shared" si="14"/>
        <v>115596</v>
      </c>
    </row>
    <row r="275" spans="1:8" s="9" customFormat="1" ht="35.1" customHeight="1" x14ac:dyDescent="0.25">
      <c r="A275" s="279" t="s">
        <v>305</v>
      </c>
      <c r="B275" s="280" t="s">
        <v>306</v>
      </c>
      <c r="C275" s="255" t="s">
        <v>1422</v>
      </c>
      <c r="D275" s="322">
        <f>_xlfn.XLOOKUP(A275,'PARA ENVÍO UNIFICADO (VANE)'!$A$4:$A$729,'PARA ENVÍO UNIFICADO (VANE)'!$D$4:$D$729,0,0)</f>
        <v>24</v>
      </c>
      <c r="E275" s="322">
        <f>_xlfn.XLOOKUP(A275,'PARA ENVÍO UNIFICADO (VANE)'!$A$4:$A$729,'PARA ENVÍO UNIFICADO (VANE)'!$E$4:$E$729,0,0)</f>
        <v>9</v>
      </c>
      <c r="F275" s="322">
        <f t="shared" si="15"/>
        <v>33</v>
      </c>
      <c r="G275" s="243">
        <v>3888</v>
      </c>
      <c r="H275" s="243">
        <f t="shared" si="14"/>
        <v>128304</v>
      </c>
    </row>
    <row r="276" spans="1:8" s="9" customFormat="1" ht="35.1" customHeight="1" x14ac:dyDescent="0.25">
      <c r="A276" s="279" t="s">
        <v>307</v>
      </c>
      <c r="B276" s="254" t="s">
        <v>308</v>
      </c>
      <c r="C276" s="255" t="s">
        <v>1422</v>
      </c>
      <c r="D276" s="322">
        <f>_xlfn.XLOOKUP(A276,'PARA ENVÍO UNIFICADO (VANE)'!$A$4:$A$729,'PARA ENVÍO UNIFICADO (VANE)'!$D$4:$D$729,0,0)</f>
        <v>31</v>
      </c>
      <c r="E276" s="322">
        <f>_xlfn.XLOOKUP(A276,'PARA ENVÍO UNIFICADO (VANE)'!$A$4:$A$729,'PARA ENVÍO UNIFICADO (VANE)'!$E$4:$E$729,0,0)</f>
        <v>11</v>
      </c>
      <c r="F276" s="322">
        <f t="shared" si="15"/>
        <v>42</v>
      </c>
      <c r="G276" s="243">
        <v>5009</v>
      </c>
      <c r="H276" s="243">
        <f t="shared" si="14"/>
        <v>210378</v>
      </c>
    </row>
    <row r="277" spans="1:8" s="9" customFormat="1" ht="35.1" customHeight="1" x14ac:dyDescent="0.25">
      <c r="A277" s="279" t="s">
        <v>309</v>
      </c>
      <c r="B277" s="254" t="s">
        <v>310</v>
      </c>
      <c r="C277" s="255" t="s">
        <v>1422</v>
      </c>
      <c r="D277" s="322">
        <f>_xlfn.XLOOKUP(A277,'PARA ENVÍO UNIFICADO (VANE)'!$A$4:$A$729,'PARA ENVÍO UNIFICADO (VANE)'!$D$4:$D$729,0,0)</f>
        <v>7</v>
      </c>
      <c r="E277" s="322">
        <f>_xlfn.XLOOKUP(A277,'PARA ENVÍO UNIFICADO (VANE)'!$A$4:$A$729,'PARA ENVÍO UNIFICADO (VANE)'!$E$4:$E$729,0,0)</f>
        <v>3</v>
      </c>
      <c r="F277" s="322">
        <f t="shared" si="15"/>
        <v>10</v>
      </c>
      <c r="G277" s="243">
        <v>5788</v>
      </c>
      <c r="H277" s="243">
        <f t="shared" si="14"/>
        <v>57880</v>
      </c>
    </row>
    <row r="278" spans="1:8" s="9" customFormat="1" ht="35.1" customHeight="1" x14ac:dyDescent="0.25">
      <c r="A278" s="279" t="s">
        <v>311</v>
      </c>
      <c r="B278" s="254" t="s">
        <v>312</v>
      </c>
      <c r="C278" s="255" t="s">
        <v>1422</v>
      </c>
      <c r="D278" s="322">
        <f>_xlfn.XLOOKUP(A278,'PARA ENVÍO UNIFICADO (VANE)'!$A$4:$A$729,'PARA ENVÍO UNIFICADO (VANE)'!$D$4:$D$729,0,0)</f>
        <v>41</v>
      </c>
      <c r="E278" s="322">
        <f>_xlfn.XLOOKUP(A278,'PARA ENVÍO UNIFICADO (VANE)'!$A$4:$A$729,'PARA ENVÍO UNIFICADO (VANE)'!$E$4:$E$729,0,0)</f>
        <v>15</v>
      </c>
      <c r="F278" s="322">
        <f t="shared" si="15"/>
        <v>56</v>
      </c>
      <c r="G278" s="243">
        <v>65865</v>
      </c>
      <c r="H278" s="243">
        <f t="shared" si="14"/>
        <v>3688440</v>
      </c>
    </row>
    <row r="279" spans="1:8" s="9" customFormat="1" ht="35.1" customHeight="1" x14ac:dyDescent="0.25">
      <c r="A279" s="279" t="s">
        <v>313</v>
      </c>
      <c r="B279" s="254" t="s">
        <v>314</v>
      </c>
      <c r="C279" s="255" t="s">
        <v>1422</v>
      </c>
      <c r="D279" s="322">
        <f>_xlfn.XLOOKUP(A279,'PARA ENVÍO UNIFICADO (VANE)'!$A$4:$A$729,'PARA ENVÍO UNIFICADO (VANE)'!$D$4:$D$729,0,0)</f>
        <v>14</v>
      </c>
      <c r="E279" s="322">
        <f>_xlfn.XLOOKUP(A279,'PARA ENVÍO UNIFICADO (VANE)'!$A$4:$A$729,'PARA ENVÍO UNIFICADO (VANE)'!$E$4:$E$729,0,0)</f>
        <v>5</v>
      </c>
      <c r="F279" s="322">
        <f t="shared" si="15"/>
        <v>19</v>
      </c>
      <c r="G279" s="243">
        <v>70178</v>
      </c>
      <c r="H279" s="243">
        <f t="shared" si="14"/>
        <v>1333382</v>
      </c>
    </row>
    <row r="280" spans="1:8" s="9" customFormat="1" ht="35.1" customHeight="1" x14ac:dyDescent="0.25">
      <c r="A280" s="279" t="s">
        <v>315</v>
      </c>
      <c r="B280" s="254" t="s">
        <v>316</v>
      </c>
      <c r="C280" s="255" t="s">
        <v>1422</v>
      </c>
      <c r="D280" s="322">
        <f>_xlfn.XLOOKUP(A280,'PARA ENVÍO UNIFICADO (VANE)'!$A$4:$A$729,'PARA ENVÍO UNIFICADO (VANE)'!$D$4:$D$729,0,0)</f>
        <v>39</v>
      </c>
      <c r="E280" s="322">
        <f>_xlfn.XLOOKUP(A280,'PARA ENVÍO UNIFICADO (VANE)'!$A$4:$A$729,'PARA ENVÍO UNIFICADO (VANE)'!$E$4:$E$729,0,0)</f>
        <v>15</v>
      </c>
      <c r="F280" s="322">
        <f t="shared" si="15"/>
        <v>54</v>
      </c>
      <c r="G280" s="243">
        <v>99924</v>
      </c>
      <c r="H280" s="243">
        <f t="shared" si="14"/>
        <v>5395896</v>
      </c>
    </row>
    <row r="281" spans="1:8" s="9" customFormat="1" ht="35.1" customHeight="1" x14ac:dyDescent="0.25">
      <c r="A281" s="279" t="s">
        <v>317</v>
      </c>
      <c r="B281" s="254" t="s">
        <v>318</v>
      </c>
      <c r="C281" s="255" t="s">
        <v>1422</v>
      </c>
      <c r="D281" s="322">
        <f>_xlfn.XLOOKUP(A281,'PARA ENVÍO UNIFICADO (VANE)'!$A$4:$A$729,'PARA ENVÍO UNIFICADO (VANE)'!$D$4:$D$729,0,0)</f>
        <v>12</v>
      </c>
      <c r="E281" s="322">
        <f>_xlfn.XLOOKUP(A281,'PARA ENVÍO UNIFICADO (VANE)'!$A$4:$A$729,'PARA ENVÍO UNIFICADO (VANE)'!$E$4:$E$729,0,0)</f>
        <v>5</v>
      </c>
      <c r="F281" s="322">
        <f t="shared" si="15"/>
        <v>17</v>
      </c>
      <c r="G281" s="243">
        <v>64927</v>
      </c>
      <c r="H281" s="243">
        <f t="shared" si="14"/>
        <v>1103759</v>
      </c>
    </row>
    <row r="282" spans="1:8" s="9" customFormat="1" ht="35.1" customHeight="1" x14ac:dyDescent="0.25">
      <c r="A282" s="279" t="s">
        <v>319</v>
      </c>
      <c r="B282" s="254" t="s">
        <v>320</v>
      </c>
      <c r="C282" s="255" t="s">
        <v>1422</v>
      </c>
      <c r="D282" s="322">
        <f>_xlfn.XLOOKUP(A282,'PARA ENVÍO UNIFICADO (VANE)'!$A$4:$A$729,'PARA ENVÍO UNIFICADO (VANE)'!$D$4:$D$729,0,0)</f>
        <v>6</v>
      </c>
      <c r="E282" s="322">
        <f>_xlfn.XLOOKUP(A282,'PARA ENVÍO UNIFICADO (VANE)'!$A$4:$A$729,'PARA ENVÍO UNIFICADO (VANE)'!$E$4:$E$729,0,0)</f>
        <v>2</v>
      </c>
      <c r="F282" s="322">
        <f t="shared" si="15"/>
        <v>8</v>
      </c>
      <c r="G282" s="243">
        <v>168268</v>
      </c>
      <c r="H282" s="243">
        <f t="shared" si="14"/>
        <v>1346144</v>
      </c>
    </row>
    <row r="283" spans="1:8" s="9" customFormat="1" ht="35.1" customHeight="1" x14ac:dyDescent="0.25">
      <c r="A283" s="279" t="s">
        <v>321</v>
      </c>
      <c r="B283" s="254" t="s">
        <v>322</v>
      </c>
      <c r="C283" s="255" t="s">
        <v>1422</v>
      </c>
      <c r="D283" s="322">
        <f>_xlfn.XLOOKUP(A283,'PARA ENVÍO UNIFICADO (VANE)'!$A$4:$A$729,'PARA ENVÍO UNIFICADO (VANE)'!$D$4:$D$729,0,0)</f>
        <v>6</v>
      </c>
      <c r="E283" s="322">
        <f>_xlfn.XLOOKUP(A283,'PARA ENVÍO UNIFICADO (VANE)'!$A$4:$A$729,'PARA ENVÍO UNIFICADO (VANE)'!$E$4:$E$729,0,0)</f>
        <v>2</v>
      </c>
      <c r="F283" s="322">
        <f t="shared" si="15"/>
        <v>8</v>
      </c>
      <c r="G283" s="243">
        <v>228433</v>
      </c>
      <c r="H283" s="243">
        <f t="shared" si="14"/>
        <v>1827464</v>
      </c>
    </row>
    <row r="284" spans="1:8" s="9" customFormat="1" ht="35.1" customHeight="1" x14ac:dyDescent="0.25">
      <c r="A284" s="279" t="s">
        <v>323</v>
      </c>
      <c r="B284" s="254" t="s">
        <v>324</v>
      </c>
      <c r="C284" s="255" t="s">
        <v>1422</v>
      </c>
      <c r="D284" s="322">
        <f>_xlfn.XLOOKUP(A284,'PARA ENVÍO UNIFICADO (VANE)'!$A$4:$A$729,'PARA ENVÍO UNIFICADO (VANE)'!$D$4:$D$729,0,0)</f>
        <v>0</v>
      </c>
      <c r="E284" s="322">
        <f>_xlfn.XLOOKUP(A284,'PARA ENVÍO UNIFICADO (VANE)'!$A$4:$A$729,'PARA ENVÍO UNIFICADO (VANE)'!$E$4:$E$729,0,0)</f>
        <v>2</v>
      </c>
      <c r="F284" s="322">
        <f t="shared" si="15"/>
        <v>2</v>
      </c>
      <c r="G284" s="243">
        <v>111201</v>
      </c>
      <c r="H284" s="243">
        <f t="shared" si="14"/>
        <v>222402</v>
      </c>
    </row>
    <row r="285" spans="1:8" s="9" customFormat="1" ht="35.1" customHeight="1" x14ac:dyDescent="0.25">
      <c r="A285" s="279" t="s">
        <v>325</v>
      </c>
      <c r="B285" s="254" t="s">
        <v>326</v>
      </c>
      <c r="C285" s="255" t="s">
        <v>1422</v>
      </c>
      <c r="D285" s="322">
        <f>_xlfn.XLOOKUP(A285,'PARA ENVÍO UNIFICADO (VANE)'!$A$4:$A$729,'PARA ENVÍO UNIFICADO (VANE)'!$D$4:$D$729,0,0)</f>
        <v>0</v>
      </c>
      <c r="E285" s="322">
        <f>_xlfn.XLOOKUP(A285,'PARA ENVÍO UNIFICADO (VANE)'!$A$4:$A$729,'PARA ENVÍO UNIFICADO (VANE)'!$E$4:$E$729,0,0)</f>
        <v>1</v>
      </c>
      <c r="F285" s="322">
        <f t="shared" si="15"/>
        <v>1</v>
      </c>
      <c r="G285" s="243">
        <v>173889</v>
      </c>
      <c r="H285" s="243">
        <f t="shared" si="14"/>
        <v>173889</v>
      </c>
    </row>
    <row r="286" spans="1:8" s="9" customFormat="1" ht="35.1" customHeight="1" x14ac:dyDescent="0.25">
      <c r="A286" s="283" t="s">
        <v>327</v>
      </c>
      <c r="B286" s="256" t="s">
        <v>328</v>
      </c>
      <c r="C286" s="256"/>
      <c r="D286" s="244"/>
      <c r="E286" s="244"/>
      <c r="F286" s="322">
        <f t="shared" si="15"/>
        <v>0</v>
      </c>
      <c r="G286" s="303"/>
      <c r="H286" s="246"/>
    </row>
    <row r="287" spans="1:8" s="9" customFormat="1" ht="35.1" customHeight="1" x14ac:dyDescent="0.25">
      <c r="A287" s="240" t="s">
        <v>329</v>
      </c>
      <c r="B287" s="284" t="s">
        <v>330</v>
      </c>
      <c r="C287" s="255" t="s">
        <v>269</v>
      </c>
      <c r="D287" s="322">
        <f>_xlfn.XLOOKUP(A287,'PARA ENVÍO UNIFICADO (VANE)'!$A$4:$A$729,'PARA ENVÍO UNIFICADO (VANE)'!$D$4:$D$729,0,0)</f>
        <v>34</v>
      </c>
      <c r="E287" s="322">
        <f>_xlfn.XLOOKUP(A287,'PARA ENVÍO UNIFICADO (VANE)'!$A$4:$A$729,'PARA ENVÍO UNIFICADO (VANE)'!$E$4:$E$729,0,0)</f>
        <v>12</v>
      </c>
      <c r="F287" s="322">
        <f t="shared" si="15"/>
        <v>46</v>
      </c>
      <c r="G287" s="243">
        <v>25180</v>
      </c>
      <c r="H287" s="243">
        <f t="shared" si="14"/>
        <v>1158280</v>
      </c>
    </row>
    <row r="288" spans="1:8" s="9" customFormat="1" ht="35.1" customHeight="1" x14ac:dyDescent="0.25">
      <c r="A288" s="240" t="s">
        <v>331</v>
      </c>
      <c r="B288" s="254" t="s">
        <v>332</v>
      </c>
      <c r="C288" s="255" t="s">
        <v>269</v>
      </c>
      <c r="D288" s="322">
        <f>_xlfn.XLOOKUP(A288,'PARA ENVÍO UNIFICADO (VANE)'!$A$4:$A$729,'PARA ENVÍO UNIFICADO (VANE)'!$D$4:$D$729,0,0)</f>
        <v>157</v>
      </c>
      <c r="E288" s="322">
        <f>_xlfn.XLOOKUP(A288,'PARA ENVÍO UNIFICADO (VANE)'!$A$4:$A$729,'PARA ENVÍO UNIFICADO (VANE)'!$E$4:$E$729,0,0)</f>
        <v>58</v>
      </c>
      <c r="F288" s="322">
        <f t="shared" si="15"/>
        <v>215</v>
      </c>
      <c r="G288" s="243">
        <v>37056</v>
      </c>
      <c r="H288" s="243">
        <f t="shared" si="14"/>
        <v>7967040</v>
      </c>
    </row>
    <row r="289" spans="1:8" s="9" customFormat="1" ht="35.1" customHeight="1" x14ac:dyDescent="0.25">
      <c r="A289" s="240" t="s">
        <v>333</v>
      </c>
      <c r="B289" s="254" t="s">
        <v>334</v>
      </c>
      <c r="C289" s="255" t="s">
        <v>269</v>
      </c>
      <c r="D289" s="322">
        <f>_xlfn.XLOOKUP(A289,'PARA ENVÍO UNIFICADO (VANE)'!$A$4:$A$729,'PARA ENVÍO UNIFICADO (VANE)'!$D$4:$D$729,0,0)</f>
        <v>272</v>
      </c>
      <c r="E289" s="322">
        <f>_xlfn.XLOOKUP(A289,'PARA ENVÍO UNIFICADO (VANE)'!$A$4:$A$729,'PARA ENVÍO UNIFICADO (VANE)'!$E$4:$E$729,0,0)</f>
        <v>101</v>
      </c>
      <c r="F289" s="322">
        <f t="shared" si="15"/>
        <v>373</v>
      </c>
      <c r="G289" s="243">
        <v>52865</v>
      </c>
      <c r="H289" s="243">
        <f t="shared" si="14"/>
        <v>19718645</v>
      </c>
    </row>
    <row r="290" spans="1:8" s="9" customFormat="1" ht="35.1" customHeight="1" x14ac:dyDescent="0.25">
      <c r="A290" s="240" t="s">
        <v>335</v>
      </c>
      <c r="B290" s="254" t="s">
        <v>336</v>
      </c>
      <c r="C290" s="255" t="s">
        <v>269</v>
      </c>
      <c r="D290" s="322">
        <f>_xlfn.XLOOKUP(A290,'PARA ENVÍO UNIFICADO (VANE)'!$A$4:$A$729,'PARA ENVÍO UNIFICADO (VANE)'!$D$4:$D$729,0,0)</f>
        <v>72</v>
      </c>
      <c r="E290" s="322">
        <f>_xlfn.XLOOKUP(A290,'PARA ENVÍO UNIFICADO (VANE)'!$A$4:$A$729,'PARA ENVÍO UNIFICADO (VANE)'!$E$4:$E$729,0,0)</f>
        <v>26</v>
      </c>
      <c r="F290" s="322">
        <f t="shared" si="15"/>
        <v>98</v>
      </c>
      <c r="G290" s="243">
        <v>21912</v>
      </c>
      <c r="H290" s="243">
        <f t="shared" si="14"/>
        <v>2147376</v>
      </c>
    </row>
    <row r="291" spans="1:8" s="9" customFormat="1" ht="35.1" customHeight="1" x14ac:dyDescent="0.25">
      <c r="A291" s="240" t="s">
        <v>337</v>
      </c>
      <c r="B291" s="254" t="s">
        <v>338</v>
      </c>
      <c r="C291" s="255" t="s">
        <v>269</v>
      </c>
      <c r="D291" s="322">
        <f>_xlfn.XLOOKUP(A291,'PARA ENVÍO UNIFICADO (VANE)'!$A$4:$A$729,'PARA ENVÍO UNIFICADO (VANE)'!$D$4:$D$729,0,0)</f>
        <v>97</v>
      </c>
      <c r="E291" s="322">
        <f>_xlfn.XLOOKUP(A291,'PARA ENVÍO UNIFICADO (VANE)'!$A$4:$A$729,'PARA ENVÍO UNIFICADO (VANE)'!$E$4:$E$729,0,0)</f>
        <v>36</v>
      </c>
      <c r="F291" s="322">
        <f t="shared" si="15"/>
        <v>133</v>
      </c>
      <c r="G291" s="243">
        <v>32577</v>
      </c>
      <c r="H291" s="243">
        <f t="shared" si="14"/>
        <v>4332741</v>
      </c>
    </row>
    <row r="292" spans="1:8" s="9" customFormat="1" ht="35.1" customHeight="1" x14ac:dyDescent="0.25">
      <c r="A292" s="240" t="s">
        <v>339</v>
      </c>
      <c r="B292" s="254" t="s">
        <v>340</v>
      </c>
      <c r="C292" s="255" t="s">
        <v>1422</v>
      </c>
      <c r="D292" s="322">
        <f>_xlfn.XLOOKUP(A292,'PARA ENVÍO UNIFICADO (VANE)'!$A$4:$A$729,'PARA ENVÍO UNIFICADO (VANE)'!$D$4:$D$729,0,0)</f>
        <v>122</v>
      </c>
      <c r="E292" s="322">
        <f>_xlfn.XLOOKUP(A292,'PARA ENVÍO UNIFICADO (VANE)'!$A$4:$A$729,'PARA ENVÍO UNIFICADO (VANE)'!$E$4:$E$729,0,0)</f>
        <v>45</v>
      </c>
      <c r="F292" s="322">
        <f t="shared" si="15"/>
        <v>167</v>
      </c>
      <c r="G292" s="243">
        <v>7704</v>
      </c>
      <c r="H292" s="243">
        <f t="shared" si="14"/>
        <v>1286568</v>
      </c>
    </row>
    <row r="293" spans="1:8" s="9" customFormat="1" ht="35.1" customHeight="1" x14ac:dyDescent="0.25">
      <c r="A293" s="240" t="s">
        <v>341</v>
      </c>
      <c r="B293" s="254" t="s">
        <v>342</v>
      </c>
      <c r="C293" s="255" t="s">
        <v>1422</v>
      </c>
      <c r="D293" s="322">
        <f>_xlfn.XLOOKUP(A293,'PARA ENVÍO UNIFICADO (VANE)'!$A$4:$A$729,'PARA ENVÍO UNIFICADO (VANE)'!$D$4:$D$729,0,0)</f>
        <v>161</v>
      </c>
      <c r="E293" s="322">
        <f>_xlfn.XLOOKUP(A293,'PARA ENVÍO UNIFICADO (VANE)'!$A$4:$A$729,'PARA ENVÍO UNIFICADO (VANE)'!$E$4:$E$729,0,0)</f>
        <v>60</v>
      </c>
      <c r="F293" s="322">
        <f t="shared" si="15"/>
        <v>221</v>
      </c>
      <c r="G293" s="243">
        <v>10973</v>
      </c>
      <c r="H293" s="243">
        <f t="shared" si="14"/>
        <v>2425033</v>
      </c>
    </row>
    <row r="294" spans="1:8" s="9" customFormat="1" ht="35.1" customHeight="1" x14ac:dyDescent="0.25">
      <c r="A294" s="240" t="s">
        <v>343</v>
      </c>
      <c r="B294" s="254" t="s">
        <v>344</v>
      </c>
      <c r="C294" s="255" t="s">
        <v>1422</v>
      </c>
      <c r="D294" s="322">
        <f>_xlfn.XLOOKUP(A294,'PARA ENVÍO UNIFICADO (VANE)'!$A$4:$A$729,'PARA ENVÍO UNIFICADO (VANE)'!$D$4:$D$729,0,0)</f>
        <v>288</v>
      </c>
      <c r="E294" s="322">
        <f>_xlfn.XLOOKUP(A294,'PARA ENVÍO UNIFICADO (VANE)'!$A$4:$A$729,'PARA ENVÍO UNIFICADO (VANE)'!$E$4:$E$729,0,0)</f>
        <v>106</v>
      </c>
      <c r="F294" s="322">
        <f t="shared" si="15"/>
        <v>394</v>
      </c>
      <c r="G294" s="243">
        <v>16126</v>
      </c>
      <c r="H294" s="243">
        <f t="shared" si="14"/>
        <v>6353644</v>
      </c>
    </row>
    <row r="295" spans="1:8" s="9" customFormat="1" ht="35.1" customHeight="1" x14ac:dyDescent="0.25">
      <c r="A295" s="240" t="s">
        <v>345</v>
      </c>
      <c r="B295" s="254" t="s">
        <v>346</v>
      </c>
      <c r="C295" s="255" t="s">
        <v>1422</v>
      </c>
      <c r="D295" s="322">
        <f>_xlfn.XLOOKUP(A295,'PARA ENVÍO UNIFICADO (VANE)'!$A$4:$A$729,'PARA ENVÍO UNIFICADO (VANE)'!$D$4:$D$729,0,0)</f>
        <v>14</v>
      </c>
      <c r="E295" s="322">
        <f>_xlfn.XLOOKUP(A295,'PARA ENVÍO UNIFICADO (VANE)'!$A$4:$A$729,'PARA ENVÍO UNIFICADO (VANE)'!$E$4:$E$729,0,0)</f>
        <v>5</v>
      </c>
      <c r="F295" s="322">
        <f t="shared" si="15"/>
        <v>19</v>
      </c>
      <c r="G295" s="243">
        <v>5009</v>
      </c>
      <c r="H295" s="243">
        <f t="shared" si="14"/>
        <v>95171</v>
      </c>
    </row>
    <row r="296" spans="1:8" s="9" customFormat="1" ht="35.1" customHeight="1" x14ac:dyDescent="0.25">
      <c r="A296" s="240" t="s">
        <v>347</v>
      </c>
      <c r="B296" s="254" t="s">
        <v>348</v>
      </c>
      <c r="C296" s="255" t="s">
        <v>1422</v>
      </c>
      <c r="D296" s="322">
        <f>_xlfn.XLOOKUP(A296,'PARA ENVÍO UNIFICADO (VANE)'!$A$4:$A$729,'PARA ENVÍO UNIFICADO (VANE)'!$D$4:$D$729,0,0)</f>
        <v>64</v>
      </c>
      <c r="E296" s="322">
        <f>_xlfn.XLOOKUP(A296,'PARA ENVÍO UNIFICADO (VANE)'!$A$4:$A$729,'PARA ENVÍO UNIFICADO (VANE)'!$E$4:$E$729,0,0)</f>
        <v>23</v>
      </c>
      <c r="F296" s="322">
        <f t="shared" si="15"/>
        <v>87</v>
      </c>
      <c r="G296" s="243">
        <v>6370</v>
      </c>
      <c r="H296" s="243">
        <f t="shared" si="14"/>
        <v>554190</v>
      </c>
    </row>
    <row r="297" spans="1:8" s="9" customFormat="1" ht="35.1" customHeight="1" x14ac:dyDescent="0.25">
      <c r="A297" s="240" t="s">
        <v>349</v>
      </c>
      <c r="B297" s="254" t="s">
        <v>350</v>
      </c>
      <c r="C297" s="255" t="s">
        <v>1422</v>
      </c>
      <c r="D297" s="322">
        <f>_xlfn.XLOOKUP(A297,'PARA ENVÍO UNIFICADO (VANE)'!$A$4:$A$729,'PARA ENVÍO UNIFICADO (VANE)'!$D$4:$D$729,0,0)</f>
        <v>101</v>
      </c>
      <c r="E297" s="322">
        <f>_xlfn.XLOOKUP(A297,'PARA ENVÍO UNIFICADO (VANE)'!$A$4:$A$729,'PARA ENVÍO UNIFICADO (VANE)'!$E$4:$E$729,0,0)</f>
        <v>38</v>
      </c>
      <c r="F297" s="322">
        <f t="shared" si="15"/>
        <v>139</v>
      </c>
      <c r="G297" s="243">
        <v>12643</v>
      </c>
      <c r="H297" s="243">
        <f t="shared" si="14"/>
        <v>1757377</v>
      </c>
    </row>
    <row r="298" spans="1:8" s="9" customFormat="1" ht="35.1" customHeight="1" x14ac:dyDescent="0.25">
      <c r="A298" s="240" t="s">
        <v>351</v>
      </c>
      <c r="B298" s="254" t="s">
        <v>352</v>
      </c>
      <c r="C298" s="255" t="s">
        <v>1422</v>
      </c>
      <c r="D298" s="322">
        <f>_xlfn.XLOOKUP(A298,'PARA ENVÍO UNIFICADO (VANE)'!$A$4:$A$729,'PARA ENVÍO UNIFICADO (VANE)'!$D$4:$D$729,0,0)</f>
        <v>36</v>
      </c>
      <c r="E298" s="322">
        <f>_xlfn.XLOOKUP(A298,'PARA ENVÍO UNIFICADO (VANE)'!$A$4:$A$729,'PARA ENVÍO UNIFICADO (VANE)'!$E$4:$E$729,0,0)</f>
        <v>14</v>
      </c>
      <c r="F298" s="322">
        <f t="shared" si="15"/>
        <v>50</v>
      </c>
      <c r="G298" s="243">
        <v>42439</v>
      </c>
      <c r="H298" s="243">
        <f t="shared" si="14"/>
        <v>2121950</v>
      </c>
    </row>
    <row r="299" spans="1:8" s="9" customFormat="1" ht="35.1" customHeight="1" x14ac:dyDescent="0.25">
      <c r="A299" s="240" t="s">
        <v>353</v>
      </c>
      <c r="B299" s="254" t="s">
        <v>354</v>
      </c>
      <c r="C299" s="255" t="s">
        <v>1422</v>
      </c>
      <c r="D299" s="322">
        <f>_xlfn.XLOOKUP(A299,'PARA ENVÍO UNIFICADO (VANE)'!$A$4:$A$729,'PARA ENVÍO UNIFICADO (VANE)'!$D$4:$D$729,0,0)</f>
        <v>23</v>
      </c>
      <c r="E299" s="322">
        <f>_xlfn.XLOOKUP(A299,'PARA ENVÍO UNIFICADO (VANE)'!$A$4:$A$729,'PARA ENVÍO UNIFICADO (VANE)'!$E$4:$E$729,0,0)</f>
        <v>9</v>
      </c>
      <c r="F299" s="322">
        <f t="shared" si="15"/>
        <v>32</v>
      </c>
      <c r="G299" s="243">
        <v>51297</v>
      </c>
      <c r="H299" s="243">
        <f t="shared" si="14"/>
        <v>1641504</v>
      </c>
    </row>
    <row r="300" spans="1:8" s="9" customFormat="1" ht="35.1" customHeight="1" x14ac:dyDescent="0.25">
      <c r="A300" s="240" t="s">
        <v>355</v>
      </c>
      <c r="B300" s="254" t="s">
        <v>356</v>
      </c>
      <c r="C300" s="255" t="s">
        <v>1422</v>
      </c>
      <c r="D300" s="322">
        <f>_xlfn.XLOOKUP(A300,'PARA ENVÍO UNIFICADO (VANE)'!$A$4:$A$729,'PARA ENVÍO UNIFICADO (VANE)'!$D$4:$D$729,0,0)</f>
        <v>42</v>
      </c>
      <c r="E300" s="322">
        <f>_xlfn.XLOOKUP(A300,'PARA ENVÍO UNIFICADO (VANE)'!$A$4:$A$729,'PARA ENVÍO UNIFICADO (VANE)'!$E$4:$E$729,0,0)</f>
        <v>16</v>
      </c>
      <c r="F300" s="322">
        <f t="shared" si="15"/>
        <v>58</v>
      </c>
      <c r="G300" s="243">
        <v>63040</v>
      </c>
      <c r="H300" s="243">
        <f t="shared" si="14"/>
        <v>3656320</v>
      </c>
    </row>
    <row r="301" spans="1:8" s="9" customFormat="1" ht="35.1" customHeight="1" x14ac:dyDescent="0.25">
      <c r="A301" s="240" t="s">
        <v>357</v>
      </c>
      <c r="B301" s="254" t="s">
        <v>358</v>
      </c>
      <c r="C301" s="255" t="s">
        <v>1422</v>
      </c>
      <c r="D301" s="322">
        <f>_xlfn.XLOOKUP(A301,'PARA ENVÍO UNIFICADO (VANE)'!$A$4:$A$729,'PARA ENVÍO UNIFICADO (VANE)'!$D$4:$D$729,0,0)</f>
        <v>1</v>
      </c>
      <c r="E301" s="322">
        <f>_xlfn.XLOOKUP(A301,'PARA ENVÍO UNIFICADO (VANE)'!$A$4:$A$729,'PARA ENVÍO UNIFICADO (VANE)'!$E$4:$E$729,0,0)</f>
        <v>1</v>
      </c>
      <c r="F301" s="322">
        <f t="shared" si="15"/>
        <v>2</v>
      </c>
      <c r="G301" s="243">
        <v>556137</v>
      </c>
      <c r="H301" s="243">
        <f t="shared" si="14"/>
        <v>1112274</v>
      </c>
    </row>
    <row r="302" spans="1:8" s="9" customFormat="1" ht="35.1" customHeight="1" x14ac:dyDescent="0.25">
      <c r="A302" s="240" t="s">
        <v>359</v>
      </c>
      <c r="B302" s="254" t="s">
        <v>360</v>
      </c>
      <c r="C302" s="255" t="s">
        <v>269</v>
      </c>
      <c r="D302" s="322">
        <f>_xlfn.XLOOKUP(A302,'PARA ENVÍO UNIFICADO (VANE)'!$A$4:$A$729,'PARA ENVÍO UNIFICADO (VANE)'!$D$4:$D$729,0,0)</f>
        <v>29</v>
      </c>
      <c r="E302" s="322">
        <f>_xlfn.XLOOKUP(A302,'PARA ENVÍO UNIFICADO (VANE)'!$A$4:$A$729,'PARA ENVÍO UNIFICADO (VANE)'!$E$4:$E$729,0,0)</f>
        <v>11</v>
      </c>
      <c r="F302" s="322">
        <f t="shared" si="15"/>
        <v>40</v>
      </c>
      <c r="G302" s="243">
        <v>46966</v>
      </c>
      <c r="H302" s="243">
        <f t="shared" si="14"/>
        <v>1878640</v>
      </c>
    </row>
    <row r="303" spans="1:8" s="9" customFormat="1" ht="35.1" customHeight="1" x14ac:dyDescent="0.25">
      <c r="A303" s="240" t="s">
        <v>361</v>
      </c>
      <c r="B303" s="254" t="s">
        <v>362</v>
      </c>
      <c r="C303" s="255" t="s">
        <v>269</v>
      </c>
      <c r="D303" s="322">
        <f>_xlfn.XLOOKUP(A303,'PARA ENVÍO UNIFICADO (VANE)'!$A$4:$A$729,'PARA ENVÍO UNIFICADO (VANE)'!$D$4:$D$729,0,0)</f>
        <v>7</v>
      </c>
      <c r="E303" s="322">
        <f>_xlfn.XLOOKUP(A303,'PARA ENVÍO UNIFICADO (VANE)'!$A$4:$A$729,'PARA ENVÍO UNIFICADO (VANE)'!$E$4:$E$729,0,0)</f>
        <v>3</v>
      </c>
      <c r="F303" s="322">
        <f t="shared" si="15"/>
        <v>10</v>
      </c>
      <c r="G303" s="243">
        <v>65586</v>
      </c>
      <c r="H303" s="243">
        <f t="shared" si="14"/>
        <v>655860</v>
      </c>
    </row>
    <row r="304" spans="1:8" s="9" customFormat="1" ht="35.1" customHeight="1" x14ac:dyDescent="0.25">
      <c r="A304" s="240" t="s">
        <v>363</v>
      </c>
      <c r="B304" s="254" t="s">
        <v>364</v>
      </c>
      <c r="C304" s="255" t="s">
        <v>269</v>
      </c>
      <c r="D304" s="322">
        <f>_xlfn.XLOOKUP(A304,'PARA ENVÍO UNIFICADO (VANE)'!$A$4:$A$729,'PARA ENVÍO UNIFICADO (VANE)'!$D$4:$D$729,0,0)</f>
        <v>29</v>
      </c>
      <c r="E304" s="322">
        <f>_xlfn.XLOOKUP(A304,'PARA ENVÍO UNIFICADO (VANE)'!$A$4:$A$729,'PARA ENVÍO UNIFICADO (VANE)'!$E$4:$E$729,0,0)</f>
        <v>11</v>
      </c>
      <c r="F304" s="322">
        <f t="shared" si="15"/>
        <v>40</v>
      </c>
      <c r="G304" s="243">
        <v>99646</v>
      </c>
      <c r="H304" s="243">
        <f t="shared" si="14"/>
        <v>3985840</v>
      </c>
    </row>
    <row r="305" spans="1:8" s="9" customFormat="1" ht="35.1" customHeight="1" x14ac:dyDescent="0.25">
      <c r="A305" s="240" t="s">
        <v>365</v>
      </c>
      <c r="B305" s="254" t="s">
        <v>366</v>
      </c>
      <c r="C305" s="255" t="s">
        <v>1422</v>
      </c>
      <c r="D305" s="322">
        <f>_xlfn.XLOOKUP(A305,'PARA ENVÍO UNIFICADO (VANE)'!$A$4:$A$729,'PARA ENVÍO UNIFICADO (VANE)'!$D$4:$D$729,0,0)</f>
        <v>15</v>
      </c>
      <c r="E305" s="322">
        <f>_xlfn.XLOOKUP(A305,'PARA ENVÍO UNIFICADO (VANE)'!$A$4:$A$729,'PARA ENVÍO UNIFICADO (VANE)'!$E$4:$E$729,0,0)</f>
        <v>5</v>
      </c>
      <c r="F305" s="322">
        <f t="shared" si="15"/>
        <v>20</v>
      </c>
      <c r="G305" s="243">
        <v>80246</v>
      </c>
      <c r="H305" s="243">
        <f t="shared" si="14"/>
        <v>1604920</v>
      </c>
    </row>
    <row r="306" spans="1:8" s="9" customFormat="1" ht="35.1" customHeight="1" x14ac:dyDescent="0.25">
      <c r="A306" s="283" t="s">
        <v>367</v>
      </c>
      <c r="B306" s="256" t="s">
        <v>368</v>
      </c>
      <c r="C306" s="256" t="s">
        <v>369</v>
      </c>
      <c r="D306" s="244"/>
      <c r="E306" s="244"/>
      <c r="F306" s="322">
        <f t="shared" si="15"/>
        <v>0</v>
      </c>
      <c r="G306" s="303"/>
      <c r="H306" s="246"/>
    </row>
    <row r="307" spans="1:8" s="9" customFormat="1" ht="35.1" customHeight="1" x14ac:dyDescent="0.25">
      <c r="A307" s="255" t="s">
        <v>370</v>
      </c>
      <c r="B307" s="87" t="s">
        <v>371</v>
      </c>
      <c r="C307" s="255" t="s">
        <v>1422</v>
      </c>
      <c r="D307" s="322">
        <f>_xlfn.XLOOKUP(A307,'PARA ENVÍO UNIFICADO (VANE)'!$A$4:$A$729,'PARA ENVÍO UNIFICADO (VANE)'!$D$4:$D$729,0,0)</f>
        <v>24</v>
      </c>
      <c r="E307" s="322">
        <f>_xlfn.XLOOKUP(A307,'PARA ENVÍO UNIFICADO (VANE)'!$A$4:$A$729,'PARA ENVÍO UNIFICADO (VANE)'!$E$4:$E$729,0,0)</f>
        <v>28</v>
      </c>
      <c r="F307" s="322">
        <f t="shared" si="15"/>
        <v>52</v>
      </c>
      <c r="G307" s="243">
        <v>1134023</v>
      </c>
      <c r="H307" s="243">
        <f t="shared" ref="H307:H314" si="16">ROUND(+G307*F307,2)</f>
        <v>58969196</v>
      </c>
    </row>
    <row r="308" spans="1:8" s="9" customFormat="1" ht="35.1" customHeight="1" x14ac:dyDescent="0.25">
      <c r="A308" s="255" t="s">
        <v>372</v>
      </c>
      <c r="B308" s="87" t="s">
        <v>373</v>
      </c>
      <c r="C308" s="255" t="s">
        <v>1422</v>
      </c>
      <c r="D308" s="322">
        <f>_xlfn.XLOOKUP(A308,'PARA ENVÍO UNIFICADO (VANE)'!$A$4:$A$729,'PARA ENVÍO UNIFICADO (VANE)'!$D$4:$D$729,0,0)</f>
        <v>4</v>
      </c>
      <c r="E308" s="322">
        <f>_xlfn.XLOOKUP(A308,'PARA ENVÍO UNIFICADO (VANE)'!$A$4:$A$729,'PARA ENVÍO UNIFICADO (VANE)'!$E$4:$E$729,0,0)</f>
        <v>4</v>
      </c>
      <c r="F308" s="322">
        <f t="shared" si="15"/>
        <v>8</v>
      </c>
      <c r="G308" s="243">
        <v>687128</v>
      </c>
      <c r="H308" s="243">
        <f t="shared" si="16"/>
        <v>5497024</v>
      </c>
    </row>
    <row r="309" spans="1:8" s="9" customFormat="1" ht="35.1" customHeight="1" x14ac:dyDescent="0.25">
      <c r="A309" s="255" t="s">
        <v>375</v>
      </c>
      <c r="B309" s="87" t="s">
        <v>376</v>
      </c>
      <c r="C309" s="255" t="s">
        <v>1422</v>
      </c>
      <c r="D309" s="322">
        <f>_xlfn.XLOOKUP(A309,'PARA ENVÍO UNIFICADO (VANE)'!$A$4:$A$729,'PARA ENVÍO UNIFICADO (VANE)'!$D$4:$D$729,0,0)</f>
        <v>9</v>
      </c>
      <c r="E309" s="322">
        <f>_xlfn.XLOOKUP(A309,'PARA ENVÍO UNIFICADO (VANE)'!$A$4:$A$729,'PARA ENVÍO UNIFICADO (VANE)'!$E$4:$E$729,0,0)</f>
        <v>12</v>
      </c>
      <c r="F309" s="322">
        <f t="shared" si="15"/>
        <v>21</v>
      </c>
      <c r="G309" s="243">
        <v>777032</v>
      </c>
      <c r="H309" s="243">
        <f t="shared" si="16"/>
        <v>16317672</v>
      </c>
    </row>
    <row r="310" spans="1:8" s="9" customFormat="1" ht="35.1" customHeight="1" x14ac:dyDescent="0.25">
      <c r="A310" s="255" t="s">
        <v>377</v>
      </c>
      <c r="B310" s="241" t="s">
        <v>378</v>
      </c>
      <c r="C310" s="255" t="s">
        <v>94</v>
      </c>
      <c r="D310" s="322">
        <f>_xlfn.XLOOKUP(A310,'PARA ENVÍO UNIFICADO (VANE)'!$A$4:$A$729,'PARA ENVÍO UNIFICADO (VANE)'!$D$4:$D$729,0,0)</f>
        <v>13</v>
      </c>
      <c r="E310" s="322">
        <f>_xlfn.XLOOKUP(A310,'PARA ENVÍO UNIFICADO (VANE)'!$A$4:$A$729,'PARA ENVÍO UNIFICADO (VANE)'!$E$4:$E$729,0,0)</f>
        <v>14</v>
      </c>
      <c r="F310" s="322">
        <f t="shared" si="15"/>
        <v>27</v>
      </c>
      <c r="G310" s="243">
        <v>223678</v>
      </c>
      <c r="H310" s="243">
        <f t="shared" si="16"/>
        <v>6039306</v>
      </c>
    </row>
    <row r="311" spans="1:8" s="9" customFormat="1" ht="35.1" customHeight="1" x14ac:dyDescent="0.25">
      <c r="A311" s="255" t="s">
        <v>379</v>
      </c>
      <c r="B311" s="87" t="s">
        <v>380</v>
      </c>
      <c r="C311" s="255" t="s">
        <v>1422</v>
      </c>
      <c r="D311" s="322">
        <f>_xlfn.XLOOKUP(A311,'PARA ENVÍO UNIFICADO (VANE)'!$A$4:$A$729,'PARA ENVÍO UNIFICADO (VANE)'!$D$4:$D$729,0,0)</f>
        <v>18</v>
      </c>
      <c r="E311" s="322">
        <f>_xlfn.XLOOKUP(A311,'PARA ENVÍO UNIFICADO (VANE)'!$A$4:$A$729,'PARA ENVÍO UNIFICADO (VANE)'!$E$4:$E$729,0,0)</f>
        <v>20</v>
      </c>
      <c r="F311" s="322">
        <f t="shared" si="15"/>
        <v>38</v>
      </c>
      <c r="G311" s="243">
        <v>603870</v>
      </c>
      <c r="H311" s="243">
        <f t="shared" si="16"/>
        <v>22947060</v>
      </c>
    </row>
    <row r="312" spans="1:8" s="9" customFormat="1" ht="35.1" customHeight="1" x14ac:dyDescent="0.25">
      <c r="A312" s="255" t="s">
        <v>381</v>
      </c>
      <c r="B312" s="87" t="s">
        <v>382</v>
      </c>
      <c r="C312" s="255" t="s">
        <v>1422</v>
      </c>
      <c r="D312" s="322">
        <f>_xlfn.XLOOKUP(A312,'PARA ENVÍO UNIFICADO (VANE)'!$A$4:$A$729,'PARA ENVÍO UNIFICADO (VANE)'!$D$4:$D$729,0,0)</f>
        <v>3</v>
      </c>
      <c r="E312" s="322">
        <f>_xlfn.XLOOKUP(A312,'PARA ENVÍO UNIFICADO (VANE)'!$A$4:$A$729,'PARA ENVÍO UNIFICADO (VANE)'!$E$4:$E$729,0,0)</f>
        <v>3</v>
      </c>
      <c r="F312" s="322">
        <f t="shared" si="15"/>
        <v>6</v>
      </c>
      <c r="G312" s="243">
        <v>571131</v>
      </c>
      <c r="H312" s="243">
        <f t="shared" si="16"/>
        <v>3426786</v>
      </c>
    </row>
    <row r="313" spans="1:8" s="9" customFormat="1" ht="35.1" customHeight="1" x14ac:dyDescent="0.25">
      <c r="A313" s="255" t="s">
        <v>383</v>
      </c>
      <c r="B313" s="241" t="s">
        <v>384</v>
      </c>
      <c r="C313" s="255" t="s">
        <v>13</v>
      </c>
      <c r="D313" s="322">
        <f>_xlfn.XLOOKUP(A313,'PARA ENVÍO UNIFICADO (VANE)'!$A$4:$A$729,'PARA ENVÍO UNIFICADO (VANE)'!$D$4:$D$729,0,0)</f>
        <v>11</v>
      </c>
      <c r="E313" s="322">
        <f>_xlfn.XLOOKUP(A313,'PARA ENVÍO UNIFICADO (VANE)'!$A$4:$A$729,'PARA ENVÍO UNIFICADO (VANE)'!$E$4:$E$729,0,0)</f>
        <v>12</v>
      </c>
      <c r="F313" s="322">
        <f t="shared" si="15"/>
        <v>23</v>
      </c>
      <c r="G313" s="243">
        <v>93168</v>
      </c>
      <c r="H313" s="243">
        <f t="shared" si="16"/>
        <v>2142864</v>
      </c>
    </row>
    <row r="314" spans="1:8" s="9" customFormat="1" ht="35.1" customHeight="1" x14ac:dyDescent="0.25">
      <c r="A314" s="255" t="s">
        <v>385</v>
      </c>
      <c r="B314" s="241" t="s">
        <v>386</v>
      </c>
      <c r="C314" s="255" t="s">
        <v>1422</v>
      </c>
      <c r="D314" s="322">
        <f>_xlfn.XLOOKUP(A314,'PARA ENVÍO UNIFICADO (VANE)'!$A$4:$A$729,'PARA ENVÍO UNIFICADO (VANE)'!$D$4:$D$729,0,0)</f>
        <v>1</v>
      </c>
      <c r="E314" s="322">
        <f>_xlfn.XLOOKUP(A314,'PARA ENVÍO UNIFICADO (VANE)'!$A$4:$A$729,'PARA ENVÍO UNIFICADO (VANE)'!$E$4:$E$729,0,0)</f>
        <v>2</v>
      </c>
      <c r="F314" s="322">
        <f t="shared" si="15"/>
        <v>3</v>
      </c>
      <c r="G314" s="243">
        <v>45253</v>
      </c>
      <c r="H314" s="243">
        <f t="shared" si="16"/>
        <v>135759</v>
      </c>
    </row>
    <row r="315" spans="1:8" s="9" customFormat="1" ht="35.1" customHeight="1" x14ac:dyDescent="0.25">
      <c r="A315" s="283" t="s">
        <v>387</v>
      </c>
      <c r="B315" s="256" t="s">
        <v>388</v>
      </c>
      <c r="C315" s="256"/>
      <c r="D315" s="244"/>
      <c r="E315" s="244"/>
      <c r="F315" s="322">
        <f t="shared" si="15"/>
        <v>0</v>
      </c>
      <c r="G315" s="303"/>
      <c r="H315" s="246"/>
    </row>
    <row r="316" spans="1:8" s="9" customFormat="1" ht="35.1" customHeight="1" x14ac:dyDescent="0.25">
      <c r="A316" s="255" t="s">
        <v>389</v>
      </c>
      <c r="B316" s="254" t="s">
        <v>390</v>
      </c>
      <c r="C316" s="255" t="s">
        <v>269</v>
      </c>
      <c r="D316" s="322">
        <f>_xlfn.XLOOKUP(A316,'PARA ENVÍO UNIFICADO (VANE)'!$A$4:$A$729,'PARA ENVÍO UNIFICADO (VANE)'!$D$4:$D$729,0,0)</f>
        <v>248</v>
      </c>
      <c r="E316" s="322">
        <f>_xlfn.XLOOKUP(A316,'PARA ENVÍO UNIFICADO (VANE)'!$A$4:$A$729,'PARA ENVÍO UNIFICADO (VANE)'!$E$4:$E$729,0,0)</f>
        <v>92</v>
      </c>
      <c r="F316" s="322">
        <f t="shared" si="15"/>
        <v>340</v>
      </c>
      <c r="G316" s="243">
        <v>37056</v>
      </c>
      <c r="H316" s="243">
        <f t="shared" ref="H316:H329" si="17">ROUND(+G316*F316,2)</f>
        <v>12599040</v>
      </c>
    </row>
    <row r="317" spans="1:8" s="9" customFormat="1" ht="35.1" customHeight="1" x14ac:dyDescent="0.25">
      <c r="A317" s="255" t="s">
        <v>391</v>
      </c>
      <c r="B317" s="241" t="s">
        <v>392</v>
      </c>
      <c r="C317" s="240" t="s">
        <v>269</v>
      </c>
      <c r="D317" s="322">
        <f>_xlfn.XLOOKUP(A317,'PARA ENVÍO UNIFICADO (VANE)'!$A$4:$A$729,'PARA ENVÍO UNIFICADO (VANE)'!$D$4:$D$729,0,0)</f>
        <v>122</v>
      </c>
      <c r="E317" s="322">
        <f>_xlfn.XLOOKUP(A317,'PARA ENVÍO UNIFICADO (VANE)'!$A$4:$A$729,'PARA ENVÍO UNIFICADO (VANE)'!$E$4:$E$729,0,0)</f>
        <v>45</v>
      </c>
      <c r="F317" s="322">
        <f t="shared" si="15"/>
        <v>167</v>
      </c>
      <c r="G317" s="243">
        <v>52865</v>
      </c>
      <c r="H317" s="243">
        <f t="shared" si="17"/>
        <v>8828455</v>
      </c>
    </row>
    <row r="318" spans="1:8" s="9" customFormat="1" ht="35.1" customHeight="1" x14ac:dyDescent="0.25">
      <c r="A318" s="255" t="s">
        <v>393</v>
      </c>
      <c r="B318" s="241" t="s">
        <v>394</v>
      </c>
      <c r="C318" s="240" t="s">
        <v>269</v>
      </c>
      <c r="D318" s="322">
        <f>_xlfn.XLOOKUP(A318,'PARA ENVÍO UNIFICADO (VANE)'!$A$4:$A$729,'PARA ENVÍO UNIFICADO (VANE)'!$D$4:$D$729,0,0)</f>
        <v>161</v>
      </c>
      <c r="E318" s="322">
        <f>_xlfn.XLOOKUP(A318,'PARA ENVÍO UNIFICADO (VANE)'!$A$4:$A$729,'PARA ENVÍO UNIFICADO (VANE)'!$E$4:$E$729,0,0)</f>
        <v>60</v>
      </c>
      <c r="F318" s="322">
        <f t="shared" si="15"/>
        <v>221</v>
      </c>
      <c r="G318" s="243">
        <v>95536</v>
      </c>
      <c r="H318" s="243">
        <f t="shared" si="17"/>
        <v>21113456</v>
      </c>
    </row>
    <row r="319" spans="1:8" s="9" customFormat="1" ht="35.1" customHeight="1" x14ac:dyDescent="0.25">
      <c r="A319" s="255" t="s">
        <v>395</v>
      </c>
      <c r="B319" s="241" t="s">
        <v>396</v>
      </c>
      <c r="C319" s="255" t="s">
        <v>16</v>
      </c>
      <c r="D319" s="322">
        <f>_xlfn.XLOOKUP(A319,'PARA ENVÍO UNIFICADO (VANE)'!$A$4:$A$729,'PARA ENVÍO UNIFICADO (VANE)'!$D$4:$D$729,0,0)</f>
        <v>101</v>
      </c>
      <c r="E319" s="322">
        <f>_xlfn.XLOOKUP(A319,'PARA ENVÍO UNIFICADO (VANE)'!$A$4:$A$729,'PARA ENVÍO UNIFICADO (VANE)'!$E$4:$E$729,0,0)</f>
        <v>38</v>
      </c>
      <c r="F319" s="322">
        <f t="shared" si="15"/>
        <v>139</v>
      </c>
      <c r="G319" s="243">
        <v>10973</v>
      </c>
      <c r="H319" s="243">
        <f t="shared" si="17"/>
        <v>1525247</v>
      </c>
    </row>
    <row r="320" spans="1:8" s="9" customFormat="1" ht="35.1" customHeight="1" x14ac:dyDescent="0.25">
      <c r="A320" s="255" t="s">
        <v>397</v>
      </c>
      <c r="B320" s="285" t="s">
        <v>398</v>
      </c>
      <c r="C320" s="255" t="s">
        <v>16</v>
      </c>
      <c r="D320" s="322">
        <f>_xlfn.XLOOKUP(A320,'PARA ENVÍO UNIFICADO (VANE)'!$A$4:$A$729,'PARA ENVÍO UNIFICADO (VANE)'!$D$4:$D$729,0,0)</f>
        <v>58</v>
      </c>
      <c r="E320" s="322">
        <f>_xlfn.XLOOKUP(A320,'PARA ENVÍO UNIFICADO (VANE)'!$A$4:$A$729,'PARA ENVÍO UNIFICADO (VANE)'!$E$4:$E$729,0,0)</f>
        <v>21</v>
      </c>
      <c r="F320" s="322">
        <f t="shared" si="15"/>
        <v>79</v>
      </c>
      <c r="G320" s="243">
        <v>16126</v>
      </c>
      <c r="H320" s="243">
        <f t="shared" si="17"/>
        <v>1273954</v>
      </c>
    </row>
    <row r="321" spans="1:8" s="9" customFormat="1" ht="35.1" customHeight="1" x14ac:dyDescent="0.25">
      <c r="A321" s="255" t="s">
        <v>399</v>
      </c>
      <c r="B321" s="241" t="s">
        <v>400</v>
      </c>
      <c r="C321" s="255" t="s">
        <v>16</v>
      </c>
      <c r="D321" s="322">
        <f>_xlfn.XLOOKUP(A321,'PARA ENVÍO UNIFICADO (VANE)'!$A$4:$A$729,'PARA ENVÍO UNIFICADO (VANE)'!$D$4:$D$729,0,0)</f>
        <v>68</v>
      </c>
      <c r="E321" s="322">
        <f>_xlfn.XLOOKUP(A321,'PARA ENVÍO UNIFICADO (VANE)'!$A$4:$A$729,'PARA ENVÍO UNIFICADO (VANE)'!$E$4:$E$729,0,0)</f>
        <v>25</v>
      </c>
      <c r="F321" s="322">
        <f t="shared" si="15"/>
        <v>93</v>
      </c>
      <c r="G321" s="243">
        <v>76849</v>
      </c>
      <c r="H321" s="243">
        <f t="shared" si="17"/>
        <v>7146957</v>
      </c>
    </row>
    <row r="322" spans="1:8" s="9" customFormat="1" ht="35.1" customHeight="1" x14ac:dyDescent="0.25">
      <c r="A322" s="255" t="s">
        <v>401</v>
      </c>
      <c r="B322" s="241" t="s">
        <v>402</v>
      </c>
      <c r="C322" s="240" t="s">
        <v>269</v>
      </c>
      <c r="D322" s="322">
        <f>_xlfn.XLOOKUP(A322,'PARA ENVÍO UNIFICADO (VANE)'!$A$4:$A$729,'PARA ENVÍO UNIFICADO (VANE)'!$D$4:$D$729,0,0)</f>
        <v>31</v>
      </c>
      <c r="E322" s="322">
        <f>_xlfn.XLOOKUP(A322,'PARA ENVÍO UNIFICADO (VANE)'!$A$4:$A$729,'PARA ENVÍO UNIFICADO (VANE)'!$E$4:$E$729,0,0)</f>
        <v>12</v>
      </c>
      <c r="F322" s="322">
        <f t="shared" si="15"/>
        <v>43</v>
      </c>
      <c r="G322" s="243">
        <v>51297</v>
      </c>
      <c r="H322" s="243">
        <f t="shared" si="17"/>
        <v>2205771</v>
      </c>
    </row>
    <row r="323" spans="1:8" s="9" customFormat="1" ht="35.1" customHeight="1" x14ac:dyDescent="0.25">
      <c r="A323" s="255" t="s">
        <v>403</v>
      </c>
      <c r="B323" s="241" t="s">
        <v>404</v>
      </c>
      <c r="C323" s="240" t="s">
        <v>269</v>
      </c>
      <c r="D323" s="322">
        <f>_xlfn.XLOOKUP(A323,'PARA ENVÍO UNIFICADO (VANE)'!$A$4:$A$729,'PARA ENVÍO UNIFICADO (VANE)'!$D$4:$D$729,0,0)</f>
        <v>23</v>
      </c>
      <c r="E323" s="322">
        <f>_xlfn.XLOOKUP(A323,'PARA ENVÍO UNIFICADO (VANE)'!$A$4:$A$729,'PARA ENVÍO UNIFICADO (VANE)'!$E$4:$E$729,0,0)</f>
        <v>8</v>
      </c>
      <c r="F323" s="322">
        <f t="shared" si="15"/>
        <v>31</v>
      </c>
      <c r="G323" s="243">
        <v>63040</v>
      </c>
      <c r="H323" s="243">
        <f t="shared" si="17"/>
        <v>1954240</v>
      </c>
    </row>
    <row r="324" spans="1:8" s="9" customFormat="1" ht="35.1" customHeight="1" x14ac:dyDescent="0.25">
      <c r="A324" s="255" t="s">
        <v>405</v>
      </c>
      <c r="B324" s="241" t="s">
        <v>406</v>
      </c>
      <c r="C324" s="240" t="s">
        <v>269</v>
      </c>
      <c r="D324" s="322">
        <f>_xlfn.XLOOKUP(A324,'PARA ENVÍO UNIFICADO (VANE)'!$A$4:$A$729,'PARA ENVÍO UNIFICADO (VANE)'!$D$4:$D$729,0,0)</f>
        <v>0</v>
      </c>
      <c r="E324" s="322">
        <f>_xlfn.XLOOKUP(A324,'PARA ENVÍO UNIFICADO (VANE)'!$A$4:$A$729,'PARA ENVÍO UNIFICADO (VANE)'!$E$4:$E$729,0,0)</f>
        <v>50</v>
      </c>
      <c r="F324" s="322">
        <f t="shared" si="15"/>
        <v>50</v>
      </c>
      <c r="G324" s="243">
        <v>54906</v>
      </c>
      <c r="H324" s="243">
        <f t="shared" si="17"/>
        <v>2745300</v>
      </c>
    </row>
    <row r="325" spans="1:8" s="9" customFormat="1" ht="35.1" customHeight="1" x14ac:dyDescent="0.25">
      <c r="A325" s="255" t="s">
        <v>407</v>
      </c>
      <c r="B325" s="241" t="s">
        <v>408</v>
      </c>
      <c r="C325" s="240" t="s">
        <v>269</v>
      </c>
      <c r="D325" s="322">
        <f>_xlfn.XLOOKUP(A325,'PARA ENVÍO UNIFICADO (VANE)'!$A$4:$A$729,'PARA ENVÍO UNIFICADO (VANE)'!$D$4:$D$729,0,0)</f>
        <v>0</v>
      </c>
      <c r="E325" s="322">
        <f>_xlfn.XLOOKUP(A325,'PARA ENVÍO UNIFICADO (VANE)'!$A$4:$A$729,'PARA ENVÍO UNIFICADO (VANE)'!$E$4:$E$729,0,0)</f>
        <v>30</v>
      </c>
      <c r="F325" s="322">
        <f t="shared" ref="F325:F388" si="18">ROUND(D325+E325,2)</f>
        <v>30</v>
      </c>
      <c r="G325" s="243">
        <v>28625</v>
      </c>
      <c r="H325" s="243">
        <f t="shared" si="17"/>
        <v>858750</v>
      </c>
    </row>
    <row r="326" spans="1:8" s="9" customFormat="1" ht="35.1" customHeight="1" x14ac:dyDescent="0.25">
      <c r="A326" s="255" t="s">
        <v>409</v>
      </c>
      <c r="B326" s="241" t="s">
        <v>410</v>
      </c>
      <c r="C326" s="240" t="s">
        <v>269</v>
      </c>
      <c r="D326" s="322">
        <f>_xlfn.XLOOKUP(A326,'PARA ENVÍO UNIFICADO (VANE)'!$A$4:$A$729,'PARA ENVÍO UNIFICADO (VANE)'!$D$4:$D$729,0,0)</f>
        <v>0</v>
      </c>
      <c r="E326" s="322">
        <f>_xlfn.XLOOKUP(A326,'PARA ENVÍO UNIFICADO (VANE)'!$A$4:$A$729,'PARA ENVÍO UNIFICADO (VANE)'!$E$4:$E$729,0,0)</f>
        <v>15</v>
      </c>
      <c r="F326" s="322">
        <f t="shared" si="18"/>
        <v>15</v>
      </c>
      <c r="G326" s="243">
        <v>35178</v>
      </c>
      <c r="H326" s="243">
        <f t="shared" si="17"/>
        <v>527670</v>
      </c>
    </row>
    <row r="327" spans="1:8" s="9" customFormat="1" ht="35.1" customHeight="1" x14ac:dyDescent="0.25">
      <c r="A327" s="255" t="s">
        <v>411</v>
      </c>
      <c r="B327" s="241" t="s">
        <v>412</v>
      </c>
      <c r="C327" s="240" t="s">
        <v>269</v>
      </c>
      <c r="D327" s="322">
        <f>_xlfn.XLOOKUP(A327,'PARA ENVÍO UNIFICADO (VANE)'!$A$4:$A$729,'PARA ENVÍO UNIFICADO (VANE)'!$D$4:$D$729,0,0)</f>
        <v>0</v>
      </c>
      <c r="E327" s="322">
        <f>_xlfn.XLOOKUP(A327,'PARA ENVÍO UNIFICADO (VANE)'!$A$4:$A$729,'PARA ENVÍO UNIFICADO (VANE)'!$E$4:$E$729,0,0)</f>
        <v>70</v>
      </c>
      <c r="F327" s="322">
        <f t="shared" si="18"/>
        <v>70</v>
      </c>
      <c r="G327" s="243">
        <v>46966</v>
      </c>
      <c r="H327" s="243">
        <f t="shared" si="17"/>
        <v>3287620</v>
      </c>
    </row>
    <row r="328" spans="1:8" s="9" customFormat="1" ht="35.1" customHeight="1" x14ac:dyDescent="0.25">
      <c r="A328" s="255" t="s">
        <v>413</v>
      </c>
      <c r="B328" s="241" t="s">
        <v>414</v>
      </c>
      <c r="C328" s="240" t="s">
        <v>269</v>
      </c>
      <c r="D328" s="322">
        <f>_xlfn.XLOOKUP(A328,'PARA ENVÍO UNIFICADO (VANE)'!$A$4:$A$729,'PARA ENVÍO UNIFICADO (VANE)'!$D$4:$D$729,0,0)</f>
        <v>0</v>
      </c>
      <c r="E328" s="322">
        <f>_xlfn.XLOOKUP(A328,'PARA ENVÍO UNIFICADO (VANE)'!$A$4:$A$729,'PARA ENVÍO UNIFICADO (VANE)'!$E$4:$E$729,0,0)</f>
        <v>20</v>
      </c>
      <c r="F328" s="322">
        <f t="shared" si="18"/>
        <v>20</v>
      </c>
      <c r="G328" s="243">
        <v>81938</v>
      </c>
      <c r="H328" s="243">
        <f t="shared" si="17"/>
        <v>1638760</v>
      </c>
    </row>
    <row r="329" spans="1:8" s="9" customFormat="1" ht="35.1" customHeight="1" x14ac:dyDescent="0.25">
      <c r="A329" s="255" t="s">
        <v>415</v>
      </c>
      <c r="B329" s="241" t="s">
        <v>358</v>
      </c>
      <c r="C329" s="240" t="s">
        <v>1422</v>
      </c>
      <c r="D329" s="322">
        <f>_xlfn.XLOOKUP(A329,'PARA ENVÍO UNIFICADO (VANE)'!$A$4:$A$729,'PARA ENVÍO UNIFICADO (VANE)'!$D$4:$D$729,0,0)</f>
        <v>0</v>
      </c>
      <c r="E329" s="322">
        <f>_xlfn.XLOOKUP(A329,'PARA ENVÍO UNIFICADO (VANE)'!$A$4:$A$729,'PARA ENVÍO UNIFICADO (VANE)'!$E$4:$E$729,0,0)</f>
        <v>4</v>
      </c>
      <c r="F329" s="322">
        <f t="shared" si="18"/>
        <v>4</v>
      </c>
      <c r="G329" s="243">
        <v>556137</v>
      </c>
      <c r="H329" s="243">
        <f t="shared" si="17"/>
        <v>2224548</v>
      </c>
    </row>
    <row r="330" spans="1:8" s="9" customFormat="1" ht="35.1" customHeight="1" x14ac:dyDescent="0.25">
      <c r="A330" s="283" t="s">
        <v>416</v>
      </c>
      <c r="B330" s="256" t="s">
        <v>417</v>
      </c>
      <c r="C330" s="256" t="s">
        <v>369</v>
      </c>
      <c r="D330" s="244"/>
      <c r="E330" s="244"/>
      <c r="F330" s="322">
        <f t="shared" si="18"/>
        <v>0</v>
      </c>
      <c r="G330" s="303"/>
      <c r="H330" s="246"/>
    </row>
    <row r="331" spans="1:8" s="9" customFormat="1" ht="35.1" customHeight="1" x14ac:dyDescent="0.25">
      <c r="A331" s="240" t="s">
        <v>418</v>
      </c>
      <c r="B331" s="241" t="s">
        <v>1222</v>
      </c>
      <c r="C331" s="240" t="s">
        <v>420</v>
      </c>
      <c r="D331" s="322">
        <f>_xlfn.XLOOKUP(A331,'PARA ENVÍO UNIFICADO (VANE)'!$A$4:$A$729,'PARA ENVÍO UNIFICADO (VANE)'!$D$4:$D$729,0,0)</f>
        <v>0</v>
      </c>
      <c r="E331" s="322">
        <f>_xlfn.XLOOKUP(A331,'PARA ENVÍO UNIFICADO (VANE)'!$A$4:$A$729,'PARA ENVÍO UNIFICADO (VANE)'!$E$4:$E$729,0,0)</f>
        <v>94</v>
      </c>
      <c r="F331" s="322">
        <f t="shared" si="18"/>
        <v>94</v>
      </c>
      <c r="G331" s="243">
        <v>40990</v>
      </c>
      <c r="H331" s="243">
        <f>ROUND(+G331*F331,2)</f>
        <v>3853060</v>
      </c>
    </row>
    <row r="332" spans="1:8" s="9" customFormat="1" ht="35.1" customHeight="1" x14ac:dyDescent="0.25">
      <c r="A332" s="240" t="s">
        <v>421</v>
      </c>
      <c r="B332" s="241" t="s">
        <v>422</v>
      </c>
      <c r="C332" s="240" t="s">
        <v>420</v>
      </c>
      <c r="D332" s="322">
        <f>_xlfn.XLOOKUP(A332,'PARA ENVÍO UNIFICADO (VANE)'!$A$4:$A$729,'PARA ENVÍO UNIFICADO (VANE)'!$D$4:$D$729,0,0)</f>
        <v>0</v>
      </c>
      <c r="E332" s="322">
        <f>_xlfn.XLOOKUP(A332,'PARA ENVÍO UNIFICADO (VANE)'!$A$4:$A$729,'PARA ENVÍO UNIFICADO (VANE)'!$E$4:$E$729,0,0)</f>
        <v>28</v>
      </c>
      <c r="F332" s="322">
        <f t="shared" si="18"/>
        <v>28</v>
      </c>
      <c r="G332" s="243">
        <v>77514</v>
      </c>
      <c r="H332" s="243">
        <f>ROUND(+G332*F332,2)</f>
        <v>2170392</v>
      </c>
    </row>
    <row r="333" spans="1:8" s="9" customFormat="1" ht="35.1" customHeight="1" x14ac:dyDescent="0.25">
      <c r="A333" s="240" t="s">
        <v>423</v>
      </c>
      <c r="B333" s="241" t="s">
        <v>36</v>
      </c>
      <c r="C333" s="240" t="s">
        <v>420</v>
      </c>
      <c r="D333" s="322">
        <f>_xlfn.XLOOKUP(A333,'PARA ENVÍO UNIFICADO (VANE)'!$A$4:$A$729,'PARA ENVÍO UNIFICADO (VANE)'!$D$4:$D$729,0,0)</f>
        <v>0</v>
      </c>
      <c r="E333" s="322">
        <f>_xlfn.XLOOKUP(A333,'PARA ENVÍO UNIFICADO (VANE)'!$A$4:$A$729,'PARA ENVÍO UNIFICADO (VANE)'!$E$4:$E$729,0,0)</f>
        <v>28</v>
      </c>
      <c r="F333" s="322">
        <f t="shared" si="18"/>
        <v>28</v>
      </c>
      <c r="G333" s="243">
        <v>64537</v>
      </c>
      <c r="H333" s="243">
        <f>ROUND(+G333*F333,2)</f>
        <v>1807036</v>
      </c>
    </row>
    <row r="334" spans="1:8" s="9" customFormat="1" ht="35.1" customHeight="1" x14ac:dyDescent="0.25">
      <c r="A334" s="240" t="s">
        <v>424</v>
      </c>
      <c r="B334" s="241" t="s">
        <v>425</v>
      </c>
      <c r="C334" s="240" t="s">
        <v>420</v>
      </c>
      <c r="D334" s="322">
        <f>_xlfn.XLOOKUP(A334,'PARA ENVÍO UNIFICADO (VANE)'!$A$4:$A$729,'PARA ENVÍO UNIFICADO (VANE)'!$D$4:$D$729,0,0)</f>
        <v>0</v>
      </c>
      <c r="E334" s="322">
        <f>_xlfn.XLOOKUP(A334,'PARA ENVÍO UNIFICADO (VANE)'!$A$4:$A$729,'PARA ENVÍO UNIFICADO (VANE)'!$E$4:$E$729,0,0)</f>
        <v>37</v>
      </c>
      <c r="F334" s="322">
        <f t="shared" si="18"/>
        <v>37</v>
      </c>
      <c r="G334" s="243">
        <v>12819</v>
      </c>
      <c r="H334" s="243">
        <f>ROUND(+G334*F334,2)</f>
        <v>474303</v>
      </c>
    </row>
    <row r="335" spans="1:8" s="9" customFormat="1" ht="35.1" customHeight="1" x14ac:dyDescent="0.25">
      <c r="A335" s="283" t="s">
        <v>426</v>
      </c>
      <c r="B335" s="256" t="s">
        <v>427</v>
      </c>
      <c r="C335" s="256" t="s">
        <v>369</v>
      </c>
      <c r="D335" s="244"/>
      <c r="E335" s="244"/>
      <c r="F335" s="322">
        <f t="shared" si="18"/>
        <v>0</v>
      </c>
      <c r="G335" s="303"/>
      <c r="H335" s="246"/>
    </row>
    <row r="336" spans="1:8" s="9" customFormat="1" ht="35.1" customHeight="1" x14ac:dyDescent="0.25">
      <c r="A336" s="240" t="s">
        <v>428</v>
      </c>
      <c r="B336" s="241" t="s">
        <v>1223</v>
      </c>
      <c r="C336" s="255" t="s">
        <v>16</v>
      </c>
      <c r="D336" s="322">
        <f>_xlfn.XLOOKUP(A336,'PARA ENVÍO UNIFICADO (VANE)'!$A$4:$A$729,'PARA ENVÍO UNIFICADO (VANE)'!$D$4:$D$729,0,0)</f>
        <v>0</v>
      </c>
      <c r="E336" s="322">
        <f>_xlfn.XLOOKUP(A336,'PARA ENVÍO UNIFICADO (VANE)'!$A$4:$A$729,'PARA ENVÍO UNIFICADO (VANE)'!$E$4:$E$729,0,0)</f>
        <v>1</v>
      </c>
      <c r="F336" s="322">
        <f t="shared" si="18"/>
        <v>1</v>
      </c>
      <c r="G336" s="243">
        <v>35859926</v>
      </c>
      <c r="H336" s="243">
        <f>ROUND(+G336*F336,2)</f>
        <v>35859926</v>
      </c>
    </row>
    <row r="337" spans="1:8" s="9" customFormat="1" ht="35.1" customHeight="1" x14ac:dyDescent="0.25">
      <c r="A337" s="240" t="s">
        <v>430</v>
      </c>
      <c r="B337" s="241" t="s">
        <v>1224</v>
      </c>
      <c r="C337" s="255" t="s">
        <v>16</v>
      </c>
      <c r="D337" s="322">
        <f>_xlfn.XLOOKUP(A337,'PARA ENVÍO UNIFICADO (VANE)'!$A$4:$A$729,'PARA ENVÍO UNIFICADO (VANE)'!$D$4:$D$729,0,0)</f>
        <v>0</v>
      </c>
      <c r="E337" s="322">
        <f>_xlfn.XLOOKUP(A337,'PARA ENVÍO UNIFICADO (VANE)'!$A$4:$A$729,'PARA ENVÍO UNIFICADO (VANE)'!$E$4:$E$729,0,0)</f>
        <v>1</v>
      </c>
      <c r="F337" s="322">
        <f t="shared" si="18"/>
        <v>1</v>
      </c>
      <c r="G337" s="243">
        <v>98214761</v>
      </c>
      <c r="H337" s="243">
        <f>ROUND(+G337*F337,2)</f>
        <v>98214761</v>
      </c>
    </row>
    <row r="338" spans="1:8" s="9" customFormat="1" ht="35.1" customHeight="1" x14ac:dyDescent="0.25">
      <c r="A338" s="255" t="s">
        <v>432</v>
      </c>
      <c r="B338" s="241" t="s">
        <v>433</v>
      </c>
      <c r="C338" s="255" t="s">
        <v>16</v>
      </c>
      <c r="D338" s="322">
        <f>_xlfn.XLOOKUP(A338,'PARA ENVÍO UNIFICADO (VANE)'!$A$4:$A$729,'PARA ENVÍO UNIFICADO (VANE)'!$D$4:$D$729,0,0)</f>
        <v>0</v>
      </c>
      <c r="E338" s="322">
        <f>_xlfn.XLOOKUP(A338,'PARA ENVÍO UNIFICADO (VANE)'!$A$4:$A$729,'PARA ENVÍO UNIFICADO (VANE)'!$E$4:$E$729,0,0)</f>
        <v>1</v>
      </c>
      <c r="F338" s="322">
        <f t="shared" si="18"/>
        <v>1</v>
      </c>
      <c r="G338" s="243">
        <v>14455163</v>
      </c>
      <c r="H338" s="243">
        <f>ROUND(+G338*F338,2)</f>
        <v>14455163</v>
      </c>
    </row>
    <row r="339" spans="1:8" s="9" customFormat="1" ht="35.1" customHeight="1" x14ac:dyDescent="0.25">
      <c r="A339" s="247">
        <v>13</v>
      </c>
      <c r="B339" s="248" t="s">
        <v>434</v>
      </c>
      <c r="C339" s="248"/>
      <c r="D339" s="248"/>
      <c r="E339" s="248"/>
      <c r="F339" s="322">
        <f t="shared" si="18"/>
        <v>0</v>
      </c>
      <c r="G339" s="305"/>
      <c r="H339" s="249"/>
    </row>
    <row r="340" spans="1:8" s="9" customFormat="1" ht="35.1" customHeight="1" x14ac:dyDescent="0.25">
      <c r="A340" s="286" t="s">
        <v>435</v>
      </c>
      <c r="B340" s="287" t="s">
        <v>436</v>
      </c>
      <c r="C340" s="287"/>
      <c r="D340" s="309"/>
      <c r="E340" s="309"/>
      <c r="F340" s="322">
        <f t="shared" si="18"/>
        <v>0</v>
      </c>
      <c r="G340" s="309"/>
      <c r="H340" s="288"/>
    </row>
    <row r="341" spans="1:8" s="9" customFormat="1" ht="35.1" customHeight="1" x14ac:dyDescent="0.25">
      <c r="A341" s="255" t="s">
        <v>437</v>
      </c>
      <c r="B341" s="254" t="s">
        <v>438</v>
      </c>
      <c r="C341" s="255" t="s">
        <v>269</v>
      </c>
      <c r="D341" s="322">
        <f>_xlfn.XLOOKUP(A341,'PARA ENVÍO UNIFICADO (VANE)'!$A$4:$A$729,'PARA ENVÍO UNIFICADO (VANE)'!$D$4:$D$729,0,0)</f>
        <v>694</v>
      </c>
      <c r="E341" s="322">
        <f>_xlfn.XLOOKUP(A341,'PARA ENVÍO UNIFICADO (VANE)'!$A$4:$A$729,'PARA ENVÍO UNIFICADO (VANE)'!$E$4:$E$729,0,0)</f>
        <v>257</v>
      </c>
      <c r="F341" s="322">
        <f t="shared" si="18"/>
        <v>951</v>
      </c>
      <c r="G341" s="243">
        <v>24951</v>
      </c>
      <c r="H341" s="243">
        <f t="shared" ref="H341:H353" si="19">ROUND(+G341*F341,2)</f>
        <v>23728401</v>
      </c>
    </row>
    <row r="342" spans="1:8" s="9" customFormat="1" ht="35.1" customHeight="1" x14ac:dyDescent="0.25">
      <c r="A342" s="255" t="s">
        <v>439</v>
      </c>
      <c r="B342" s="254" t="s">
        <v>440</v>
      </c>
      <c r="C342" s="255" t="s">
        <v>269</v>
      </c>
      <c r="D342" s="322">
        <f>_xlfn.XLOOKUP(A342,'PARA ENVÍO UNIFICADO (VANE)'!$A$4:$A$729,'PARA ENVÍO UNIFICADO (VANE)'!$D$4:$D$729,0,0)</f>
        <v>350</v>
      </c>
      <c r="E342" s="322">
        <f>_xlfn.XLOOKUP(A342,'PARA ENVÍO UNIFICADO (VANE)'!$A$4:$A$729,'PARA ENVÍO UNIFICADO (VANE)'!$E$4:$E$729,0,0)</f>
        <v>129</v>
      </c>
      <c r="F342" s="322">
        <f t="shared" si="18"/>
        <v>479</v>
      </c>
      <c r="G342" s="243">
        <v>53442</v>
      </c>
      <c r="H342" s="243">
        <f t="shared" si="19"/>
        <v>25598718</v>
      </c>
    </row>
    <row r="343" spans="1:8" s="9" customFormat="1" ht="35.1" customHeight="1" x14ac:dyDescent="0.25">
      <c r="A343" s="255" t="s">
        <v>441</v>
      </c>
      <c r="B343" s="254" t="s">
        <v>442</v>
      </c>
      <c r="C343" s="255" t="s">
        <v>269</v>
      </c>
      <c r="D343" s="322">
        <f>_xlfn.XLOOKUP(A343,'PARA ENVÍO UNIFICADO (VANE)'!$A$4:$A$729,'PARA ENVÍO UNIFICADO (VANE)'!$D$4:$D$729,0,0)</f>
        <v>301</v>
      </c>
      <c r="E343" s="322">
        <f>_xlfn.XLOOKUP(A343,'PARA ENVÍO UNIFICADO (VANE)'!$A$4:$A$729,'PARA ENVÍO UNIFICADO (VANE)'!$E$4:$E$729,0,0)</f>
        <v>112</v>
      </c>
      <c r="F343" s="322">
        <f t="shared" si="18"/>
        <v>413</v>
      </c>
      <c r="G343" s="243">
        <v>99572</v>
      </c>
      <c r="H343" s="243">
        <f t="shared" si="19"/>
        <v>41123236</v>
      </c>
    </row>
    <row r="344" spans="1:8" s="9" customFormat="1" ht="35.1" customHeight="1" x14ac:dyDescent="0.25">
      <c r="A344" s="255" t="s">
        <v>443</v>
      </c>
      <c r="B344" s="254" t="s">
        <v>444</v>
      </c>
      <c r="C344" s="255" t="s">
        <v>269</v>
      </c>
      <c r="D344" s="322">
        <f>_xlfn.XLOOKUP(A344,'PARA ENVÍO UNIFICADO (VANE)'!$A$4:$A$729,'PARA ENVÍO UNIFICADO (VANE)'!$D$4:$D$729,0,0)</f>
        <v>44</v>
      </c>
      <c r="E344" s="322">
        <f>_xlfn.XLOOKUP(A344,'PARA ENVÍO UNIFICADO (VANE)'!$A$4:$A$729,'PARA ENVÍO UNIFICADO (VANE)'!$E$4:$E$729,0,0)</f>
        <v>16</v>
      </c>
      <c r="F344" s="322">
        <f t="shared" si="18"/>
        <v>60</v>
      </c>
      <c r="G344" s="243">
        <v>140507</v>
      </c>
      <c r="H344" s="243">
        <f t="shared" si="19"/>
        <v>8430420</v>
      </c>
    </row>
    <row r="345" spans="1:8" s="9" customFormat="1" ht="35.1" customHeight="1" x14ac:dyDescent="0.25">
      <c r="A345" s="255" t="s">
        <v>445</v>
      </c>
      <c r="B345" s="254" t="s">
        <v>446</v>
      </c>
      <c r="C345" s="255" t="s">
        <v>1422</v>
      </c>
      <c r="D345" s="322">
        <f>_xlfn.XLOOKUP(A345,'PARA ENVÍO UNIFICADO (VANE)'!$A$4:$A$729,'PARA ENVÍO UNIFICADO (VANE)'!$D$4:$D$729,0,0)</f>
        <v>256</v>
      </c>
      <c r="E345" s="322">
        <f>_xlfn.XLOOKUP(A345,'PARA ENVÍO UNIFICADO (VANE)'!$A$4:$A$729,'PARA ENVÍO UNIFICADO (VANE)'!$E$4:$E$729,0,0)</f>
        <v>95</v>
      </c>
      <c r="F345" s="322">
        <f t="shared" si="18"/>
        <v>351</v>
      </c>
      <c r="G345" s="243">
        <v>8405</v>
      </c>
      <c r="H345" s="243">
        <f t="shared" si="19"/>
        <v>2950155</v>
      </c>
    </row>
    <row r="346" spans="1:8" s="9" customFormat="1" ht="35.1" customHeight="1" x14ac:dyDescent="0.25">
      <c r="A346" s="255" t="s">
        <v>447</v>
      </c>
      <c r="B346" s="254" t="s">
        <v>448</v>
      </c>
      <c r="C346" s="255" t="s">
        <v>1422</v>
      </c>
      <c r="D346" s="322">
        <f>_xlfn.XLOOKUP(A346,'PARA ENVÍO UNIFICADO (VANE)'!$A$4:$A$729,'PARA ENVÍO UNIFICADO (VANE)'!$D$4:$D$729,0,0)</f>
        <v>95</v>
      </c>
      <c r="E346" s="322">
        <f>_xlfn.XLOOKUP(A346,'PARA ENVÍO UNIFICADO (VANE)'!$A$4:$A$729,'PARA ENVÍO UNIFICADO (VANE)'!$E$4:$E$729,0,0)</f>
        <v>35</v>
      </c>
      <c r="F346" s="322">
        <f t="shared" si="18"/>
        <v>130</v>
      </c>
      <c r="G346" s="243">
        <v>18288</v>
      </c>
      <c r="H346" s="243">
        <f t="shared" si="19"/>
        <v>2377440</v>
      </c>
    </row>
    <row r="347" spans="1:8" s="9" customFormat="1" ht="35.1" customHeight="1" x14ac:dyDescent="0.25">
      <c r="A347" s="255" t="s">
        <v>449</v>
      </c>
      <c r="B347" s="254" t="s">
        <v>450</v>
      </c>
      <c r="C347" s="255" t="s">
        <v>1422</v>
      </c>
      <c r="D347" s="322">
        <f>_xlfn.XLOOKUP(A347,'PARA ENVÍO UNIFICADO (VANE)'!$A$4:$A$729,'PARA ENVÍO UNIFICADO (VANE)'!$D$4:$D$729,0,0)</f>
        <v>128</v>
      </c>
      <c r="E347" s="322">
        <f>_xlfn.XLOOKUP(A347,'PARA ENVÍO UNIFICADO (VANE)'!$A$4:$A$729,'PARA ENVÍO UNIFICADO (VANE)'!$E$4:$E$729,0,0)</f>
        <v>48</v>
      </c>
      <c r="F347" s="322">
        <f t="shared" si="18"/>
        <v>176</v>
      </c>
      <c r="G347" s="243">
        <v>28316</v>
      </c>
      <c r="H347" s="243">
        <f t="shared" si="19"/>
        <v>4983616</v>
      </c>
    </row>
    <row r="348" spans="1:8" s="9" customFormat="1" ht="35.1" customHeight="1" x14ac:dyDescent="0.25">
      <c r="A348" s="255" t="s">
        <v>451</v>
      </c>
      <c r="B348" s="254" t="s">
        <v>452</v>
      </c>
      <c r="C348" s="255" t="s">
        <v>1422</v>
      </c>
      <c r="D348" s="322">
        <f>_xlfn.XLOOKUP(A348,'PARA ENVÍO UNIFICADO (VANE)'!$A$4:$A$729,'PARA ENVÍO UNIFICADO (VANE)'!$D$4:$D$729,0,0)</f>
        <v>19</v>
      </c>
      <c r="E348" s="322">
        <f>_xlfn.XLOOKUP(A348,'PARA ENVÍO UNIFICADO (VANE)'!$A$4:$A$729,'PARA ENVÍO UNIFICADO (VANE)'!$E$4:$E$729,0,0)</f>
        <v>7</v>
      </c>
      <c r="F348" s="322">
        <f t="shared" si="18"/>
        <v>26</v>
      </c>
      <c r="G348" s="243">
        <v>44248</v>
      </c>
      <c r="H348" s="243">
        <f t="shared" si="19"/>
        <v>1150448</v>
      </c>
    </row>
    <row r="349" spans="1:8" s="9" customFormat="1" ht="35.1" customHeight="1" x14ac:dyDescent="0.25">
      <c r="A349" s="255" t="s">
        <v>453</v>
      </c>
      <c r="B349" s="254" t="s">
        <v>454</v>
      </c>
      <c r="C349" s="255" t="s">
        <v>1422</v>
      </c>
      <c r="D349" s="322">
        <f>_xlfn.XLOOKUP(A349,'PARA ENVÍO UNIFICADO (VANE)'!$A$4:$A$729,'PARA ENVÍO UNIFICADO (VANE)'!$D$4:$D$729,0,0)</f>
        <v>55</v>
      </c>
      <c r="E349" s="322">
        <f>_xlfn.XLOOKUP(A349,'PARA ENVÍO UNIFICADO (VANE)'!$A$4:$A$729,'PARA ENVÍO UNIFICADO (VANE)'!$E$4:$E$729,0,0)</f>
        <v>21</v>
      </c>
      <c r="F349" s="322">
        <f t="shared" si="18"/>
        <v>76</v>
      </c>
      <c r="G349" s="243">
        <v>8532</v>
      </c>
      <c r="H349" s="243">
        <f t="shared" si="19"/>
        <v>648432</v>
      </c>
    </row>
    <row r="350" spans="1:8" s="9" customFormat="1" ht="35.1" customHeight="1" x14ac:dyDescent="0.25">
      <c r="A350" s="255" t="s">
        <v>455</v>
      </c>
      <c r="B350" s="254" t="s">
        <v>456</v>
      </c>
      <c r="C350" s="255" t="s">
        <v>1422</v>
      </c>
      <c r="D350" s="322">
        <f>_xlfn.XLOOKUP(A350,'PARA ENVÍO UNIFICADO (VANE)'!$A$4:$A$729,'PARA ENVÍO UNIFICADO (VANE)'!$D$4:$D$729,0,0)</f>
        <v>58</v>
      </c>
      <c r="E350" s="322">
        <f>_xlfn.XLOOKUP(A350,'PARA ENVÍO UNIFICADO (VANE)'!$A$4:$A$729,'PARA ENVÍO UNIFICADO (VANE)'!$E$4:$E$729,0,0)</f>
        <v>22</v>
      </c>
      <c r="F350" s="322">
        <f t="shared" si="18"/>
        <v>80</v>
      </c>
      <c r="G350" s="243">
        <v>11325</v>
      </c>
      <c r="H350" s="243">
        <f t="shared" si="19"/>
        <v>906000</v>
      </c>
    </row>
    <row r="351" spans="1:8" s="9" customFormat="1" ht="35.1" customHeight="1" x14ac:dyDescent="0.25">
      <c r="A351" s="255" t="s">
        <v>457</v>
      </c>
      <c r="B351" s="254" t="s">
        <v>458</v>
      </c>
      <c r="C351" s="255" t="s">
        <v>1422</v>
      </c>
      <c r="D351" s="322">
        <f>_xlfn.XLOOKUP(A351,'PARA ENVÍO UNIFICADO (VANE)'!$A$4:$A$729,'PARA ENVÍO UNIFICADO (VANE)'!$D$4:$D$729,0,0)</f>
        <v>9</v>
      </c>
      <c r="E351" s="322">
        <f>_xlfn.XLOOKUP(A351,'PARA ENVÍO UNIFICADO (VANE)'!$A$4:$A$729,'PARA ENVÍO UNIFICADO (VANE)'!$E$4:$E$729,0,0)</f>
        <v>3</v>
      </c>
      <c r="F351" s="322">
        <f t="shared" si="18"/>
        <v>12</v>
      </c>
      <c r="G351" s="243">
        <v>14011</v>
      </c>
      <c r="H351" s="243">
        <f t="shared" si="19"/>
        <v>168132</v>
      </c>
    </row>
    <row r="352" spans="1:8" s="9" customFormat="1" ht="35.1" customHeight="1" x14ac:dyDescent="0.25">
      <c r="A352" s="255" t="s">
        <v>459</v>
      </c>
      <c r="B352" s="254" t="s">
        <v>460</v>
      </c>
      <c r="C352" s="255" t="s">
        <v>269</v>
      </c>
      <c r="D352" s="322">
        <f>_xlfn.XLOOKUP(A352,'PARA ENVÍO UNIFICADO (VANE)'!$A$4:$A$729,'PARA ENVÍO UNIFICADO (VANE)'!$D$4:$D$729,0,0)</f>
        <v>602</v>
      </c>
      <c r="E352" s="322">
        <f>_xlfn.XLOOKUP(A352,'PARA ENVÍO UNIFICADO (VANE)'!$A$4:$A$729,'PARA ENVÍO UNIFICADO (VANE)'!$E$4:$E$729,0,0)</f>
        <v>222</v>
      </c>
      <c r="F352" s="322">
        <f t="shared" si="18"/>
        <v>824</v>
      </c>
      <c r="G352" s="243">
        <v>6038</v>
      </c>
      <c r="H352" s="243">
        <f t="shared" si="19"/>
        <v>4975312</v>
      </c>
    </row>
    <row r="353" spans="1:8" s="9" customFormat="1" ht="35.1" customHeight="1" x14ac:dyDescent="0.25">
      <c r="A353" s="255" t="s">
        <v>461</v>
      </c>
      <c r="B353" s="254" t="s">
        <v>462</v>
      </c>
      <c r="C353" s="255" t="s">
        <v>269</v>
      </c>
      <c r="D353" s="322">
        <f>_xlfn.XLOOKUP(A353,'PARA ENVÍO UNIFICADO (VANE)'!$A$4:$A$729,'PARA ENVÍO UNIFICADO (VANE)'!$D$4:$D$729,0,0)</f>
        <v>107</v>
      </c>
      <c r="E353" s="322">
        <f>_xlfn.XLOOKUP(A353,'PARA ENVÍO UNIFICADO (VANE)'!$A$4:$A$729,'PARA ENVÍO UNIFICADO (VANE)'!$E$4:$E$729,0,0)</f>
        <v>40</v>
      </c>
      <c r="F353" s="322">
        <f t="shared" si="18"/>
        <v>147</v>
      </c>
      <c r="G353" s="243">
        <v>10269</v>
      </c>
      <c r="H353" s="243">
        <f t="shared" si="19"/>
        <v>1509543</v>
      </c>
    </row>
    <row r="354" spans="1:8" s="9" customFormat="1" ht="35.1" customHeight="1" x14ac:dyDescent="0.25">
      <c r="A354" s="286" t="s">
        <v>463</v>
      </c>
      <c r="B354" s="287" t="s">
        <v>464</v>
      </c>
      <c r="C354" s="287"/>
      <c r="D354" s="244"/>
      <c r="E354" s="244"/>
      <c r="F354" s="322">
        <f t="shared" si="18"/>
        <v>0</v>
      </c>
      <c r="G354" s="309"/>
      <c r="H354" s="288"/>
    </row>
    <row r="355" spans="1:8" s="9" customFormat="1" ht="35.1" customHeight="1" x14ac:dyDescent="0.25">
      <c r="A355" s="255" t="s">
        <v>465</v>
      </c>
      <c r="B355" s="254" t="s">
        <v>466</v>
      </c>
      <c r="C355" s="255" t="s">
        <v>1422</v>
      </c>
      <c r="D355" s="322">
        <f>_xlfn.XLOOKUP(A355,'PARA ENVÍO UNIFICADO (VANE)'!$A$4:$A$729,'PARA ENVÍO UNIFICADO (VANE)'!$D$4:$D$729,0,0)</f>
        <v>276</v>
      </c>
      <c r="E355" s="322">
        <f>_xlfn.XLOOKUP(A355,'PARA ENVÍO UNIFICADO (VANE)'!$A$4:$A$729,'PARA ENVÍO UNIFICADO (VANE)'!$E$4:$E$729,0,0)</f>
        <v>102</v>
      </c>
      <c r="F355" s="322">
        <f t="shared" si="18"/>
        <v>378</v>
      </c>
      <c r="G355" s="243">
        <v>60880</v>
      </c>
      <c r="H355" s="243">
        <f t="shared" ref="H355:H369" si="20">ROUND(+G355*F355,2)</f>
        <v>23012640</v>
      </c>
    </row>
    <row r="356" spans="1:8" s="9" customFormat="1" ht="35.1" customHeight="1" x14ac:dyDescent="0.25">
      <c r="A356" s="255" t="s">
        <v>467</v>
      </c>
      <c r="B356" s="254" t="s">
        <v>468</v>
      </c>
      <c r="C356" s="255" t="s">
        <v>1422</v>
      </c>
      <c r="D356" s="322">
        <f>_xlfn.XLOOKUP(A356,'PARA ENVÍO UNIFICADO (VANE)'!$A$4:$A$729,'PARA ENVÍO UNIFICADO (VANE)'!$D$4:$D$729,0,0)</f>
        <v>38</v>
      </c>
      <c r="E356" s="322">
        <f>_xlfn.XLOOKUP(A356,'PARA ENVÍO UNIFICADO (VANE)'!$A$4:$A$729,'PARA ENVÍO UNIFICADO (VANE)'!$E$4:$E$729,0,0)</f>
        <v>14</v>
      </c>
      <c r="F356" s="322">
        <f t="shared" si="18"/>
        <v>52</v>
      </c>
      <c r="G356" s="243">
        <v>39891</v>
      </c>
      <c r="H356" s="243">
        <f t="shared" si="20"/>
        <v>2074332</v>
      </c>
    </row>
    <row r="357" spans="1:8" s="9" customFormat="1" ht="35.1" customHeight="1" x14ac:dyDescent="0.25">
      <c r="A357" s="255" t="s">
        <v>469</v>
      </c>
      <c r="B357" s="254" t="s">
        <v>470</v>
      </c>
      <c r="C357" s="255" t="s">
        <v>1422</v>
      </c>
      <c r="D357" s="322">
        <f>_xlfn.XLOOKUP(A357,'PARA ENVÍO UNIFICADO (VANE)'!$A$4:$A$729,'PARA ENVÍO UNIFICADO (VANE)'!$D$4:$D$729,0,0)</f>
        <v>27</v>
      </c>
      <c r="E357" s="322">
        <f>_xlfn.XLOOKUP(A357,'PARA ENVÍO UNIFICADO (VANE)'!$A$4:$A$729,'PARA ENVÍO UNIFICADO (VANE)'!$E$4:$E$729,0,0)</f>
        <v>10</v>
      </c>
      <c r="F357" s="322">
        <f t="shared" si="18"/>
        <v>37</v>
      </c>
      <c r="G357" s="243">
        <v>131639</v>
      </c>
      <c r="H357" s="243">
        <f t="shared" si="20"/>
        <v>4870643</v>
      </c>
    </row>
    <row r="358" spans="1:8" s="9" customFormat="1" ht="35.1" customHeight="1" x14ac:dyDescent="0.25">
      <c r="A358" s="255" t="s">
        <v>471</v>
      </c>
      <c r="B358" s="254" t="s">
        <v>472</v>
      </c>
      <c r="C358" s="255" t="s">
        <v>1422</v>
      </c>
      <c r="D358" s="322">
        <f>_xlfn.XLOOKUP(A358,'PARA ENVÍO UNIFICADO (VANE)'!$A$4:$A$729,'PARA ENVÍO UNIFICADO (VANE)'!$D$4:$D$729,0,0)</f>
        <v>341</v>
      </c>
      <c r="E358" s="322">
        <f>_xlfn.XLOOKUP(A358,'PARA ENVÍO UNIFICADO (VANE)'!$A$4:$A$729,'PARA ENVÍO UNIFICADO (VANE)'!$E$4:$E$729,0,0)</f>
        <v>126</v>
      </c>
      <c r="F358" s="322">
        <f t="shared" si="18"/>
        <v>467</v>
      </c>
      <c r="G358" s="243">
        <v>48051</v>
      </c>
      <c r="H358" s="243">
        <f t="shared" si="20"/>
        <v>22439817</v>
      </c>
    </row>
    <row r="359" spans="1:8" s="9" customFormat="1" ht="35.1" customHeight="1" x14ac:dyDescent="0.25">
      <c r="A359" s="255" t="s">
        <v>473</v>
      </c>
      <c r="B359" s="254" t="s">
        <v>474</v>
      </c>
      <c r="C359" s="255" t="s">
        <v>1422</v>
      </c>
      <c r="D359" s="322">
        <f>_xlfn.XLOOKUP(A359,'PARA ENVÍO UNIFICADO (VANE)'!$A$4:$A$729,'PARA ENVÍO UNIFICADO (VANE)'!$D$4:$D$729,0,0)</f>
        <v>2</v>
      </c>
      <c r="E359" s="322">
        <f>_xlfn.XLOOKUP(A359,'PARA ENVÍO UNIFICADO (VANE)'!$A$4:$A$729,'PARA ENVÍO UNIFICADO (VANE)'!$E$4:$E$729,0,0)</f>
        <v>3</v>
      </c>
      <c r="F359" s="322">
        <f t="shared" si="18"/>
        <v>5</v>
      </c>
      <c r="G359" s="243">
        <v>4291257</v>
      </c>
      <c r="H359" s="243">
        <f t="shared" si="20"/>
        <v>21456285</v>
      </c>
    </row>
    <row r="360" spans="1:8" s="9" customFormat="1" ht="35.1" customHeight="1" x14ac:dyDescent="0.25">
      <c r="A360" s="255" t="s">
        <v>475</v>
      </c>
      <c r="B360" s="254" t="s">
        <v>476</v>
      </c>
      <c r="C360" s="255" t="s">
        <v>1422</v>
      </c>
      <c r="D360" s="322">
        <f>_xlfn.XLOOKUP(A360,'PARA ENVÍO UNIFICADO (VANE)'!$A$4:$A$729,'PARA ENVÍO UNIFICADO (VANE)'!$D$4:$D$729,0,0)</f>
        <v>7</v>
      </c>
      <c r="E360" s="322">
        <f>_xlfn.XLOOKUP(A360,'PARA ENVÍO UNIFICADO (VANE)'!$A$4:$A$729,'PARA ENVÍO UNIFICADO (VANE)'!$E$4:$E$729,0,0)</f>
        <v>3</v>
      </c>
      <c r="F360" s="322">
        <f t="shared" si="18"/>
        <v>10</v>
      </c>
      <c r="G360" s="243">
        <v>82150</v>
      </c>
      <c r="H360" s="243">
        <f t="shared" si="20"/>
        <v>821500</v>
      </c>
    </row>
    <row r="361" spans="1:8" s="9" customFormat="1" ht="35.1" customHeight="1" x14ac:dyDescent="0.25">
      <c r="A361" s="255" t="s">
        <v>477</v>
      </c>
      <c r="B361" s="254" t="s">
        <v>478</v>
      </c>
      <c r="C361" s="255" t="s">
        <v>1422</v>
      </c>
      <c r="D361" s="322">
        <f>_xlfn.XLOOKUP(A361,'PARA ENVÍO UNIFICADO (VANE)'!$A$4:$A$729,'PARA ENVÍO UNIFICADO (VANE)'!$D$4:$D$729,0,0)</f>
        <v>1</v>
      </c>
      <c r="E361" s="322">
        <f>_xlfn.XLOOKUP(A361,'PARA ENVÍO UNIFICADO (VANE)'!$A$4:$A$729,'PARA ENVÍO UNIFICADO (VANE)'!$E$4:$E$729,0,0)</f>
        <v>1</v>
      </c>
      <c r="F361" s="322">
        <f t="shared" si="18"/>
        <v>2</v>
      </c>
      <c r="G361" s="243">
        <v>1524289</v>
      </c>
      <c r="H361" s="243">
        <f t="shared" si="20"/>
        <v>3048578</v>
      </c>
    </row>
    <row r="362" spans="1:8" s="9" customFormat="1" ht="35.1" customHeight="1" x14ac:dyDescent="0.25">
      <c r="A362" s="255" t="s">
        <v>479</v>
      </c>
      <c r="B362" s="254" t="s">
        <v>480</v>
      </c>
      <c r="C362" s="255" t="s">
        <v>1422</v>
      </c>
      <c r="D362" s="322">
        <f>_xlfn.XLOOKUP(A362,'PARA ENVÍO UNIFICADO (VANE)'!$A$4:$A$729,'PARA ENVÍO UNIFICADO (VANE)'!$D$4:$D$729,0,0)</f>
        <v>0</v>
      </c>
      <c r="E362" s="322">
        <f>_xlfn.XLOOKUP(A362,'PARA ENVÍO UNIFICADO (VANE)'!$A$4:$A$729,'PARA ENVÍO UNIFICADO (VANE)'!$E$4:$E$729,0,0)</f>
        <v>1</v>
      </c>
      <c r="F362" s="322">
        <f t="shared" si="18"/>
        <v>1</v>
      </c>
      <c r="G362" s="243">
        <v>5512716</v>
      </c>
      <c r="H362" s="243">
        <f t="shared" si="20"/>
        <v>5512716</v>
      </c>
    </row>
    <row r="363" spans="1:8" s="9" customFormat="1" ht="35.1" customHeight="1" x14ac:dyDescent="0.25">
      <c r="A363" s="255" t="s">
        <v>481</v>
      </c>
      <c r="B363" s="254" t="s">
        <v>482</v>
      </c>
      <c r="C363" s="255" t="s">
        <v>1422</v>
      </c>
      <c r="D363" s="322">
        <f>_xlfn.XLOOKUP(A363,'PARA ENVÍO UNIFICADO (VANE)'!$A$4:$A$729,'PARA ENVÍO UNIFICADO (VANE)'!$D$4:$D$729,0,0)</f>
        <v>0</v>
      </c>
      <c r="E363" s="322">
        <f>_xlfn.XLOOKUP(A363,'PARA ENVÍO UNIFICADO (VANE)'!$A$4:$A$729,'PARA ENVÍO UNIFICADO (VANE)'!$E$4:$E$729,0,0)</f>
        <v>1</v>
      </c>
      <c r="F363" s="322">
        <f t="shared" si="18"/>
        <v>1</v>
      </c>
      <c r="G363" s="243">
        <v>440410</v>
      </c>
      <c r="H363" s="243">
        <f t="shared" si="20"/>
        <v>440410</v>
      </c>
    </row>
    <row r="364" spans="1:8" s="9" customFormat="1" ht="35.1" customHeight="1" x14ac:dyDescent="0.25">
      <c r="A364" s="255" t="s">
        <v>483</v>
      </c>
      <c r="B364" s="254" t="s">
        <v>484</v>
      </c>
      <c r="C364" s="255" t="s">
        <v>1422</v>
      </c>
      <c r="D364" s="322">
        <f>_xlfn.XLOOKUP(A364,'PARA ENVÍO UNIFICADO (VANE)'!$A$4:$A$729,'PARA ENVÍO UNIFICADO (VANE)'!$D$4:$D$729,0,0)</f>
        <v>0</v>
      </c>
      <c r="E364" s="322">
        <f>_xlfn.XLOOKUP(A364,'PARA ENVÍO UNIFICADO (VANE)'!$A$4:$A$729,'PARA ENVÍO UNIFICADO (VANE)'!$E$4:$E$729,0,0)</f>
        <v>1</v>
      </c>
      <c r="F364" s="322">
        <f t="shared" si="18"/>
        <v>1</v>
      </c>
      <c r="G364" s="243">
        <v>1584366</v>
      </c>
      <c r="H364" s="243">
        <f t="shared" si="20"/>
        <v>1584366</v>
      </c>
    </row>
    <row r="365" spans="1:8" s="9" customFormat="1" ht="35.1" customHeight="1" x14ac:dyDescent="0.25">
      <c r="A365" s="255" t="s">
        <v>485</v>
      </c>
      <c r="B365" s="254" t="s">
        <v>486</v>
      </c>
      <c r="C365" s="255" t="s">
        <v>1422</v>
      </c>
      <c r="D365" s="322">
        <f>_xlfn.XLOOKUP(A365,'PARA ENVÍO UNIFICADO (VANE)'!$A$4:$A$729,'PARA ENVÍO UNIFICADO (VANE)'!$D$4:$D$729,0,0)</f>
        <v>15</v>
      </c>
      <c r="E365" s="322">
        <f>_xlfn.XLOOKUP(A365,'PARA ENVÍO UNIFICADO (VANE)'!$A$4:$A$729,'PARA ENVÍO UNIFICADO (VANE)'!$E$4:$E$729,0,0)</f>
        <v>5</v>
      </c>
      <c r="F365" s="322">
        <f t="shared" si="18"/>
        <v>20</v>
      </c>
      <c r="G365" s="243">
        <v>143318</v>
      </c>
      <c r="H365" s="243">
        <f t="shared" si="20"/>
        <v>2866360</v>
      </c>
    </row>
    <row r="366" spans="1:8" s="9" customFormat="1" ht="35.1" customHeight="1" x14ac:dyDescent="0.25">
      <c r="A366" s="255" t="s">
        <v>487</v>
      </c>
      <c r="B366" s="254" t="s">
        <v>488</v>
      </c>
      <c r="C366" s="255" t="s">
        <v>1422</v>
      </c>
      <c r="D366" s="322">
        <f>_xlfn.XLOOKUP(A366,'PARA ENVÍO UNIFICADO (VANE)'!$A$4:$A$729,'PARA ENVÍO UNIFICADO (VANE)'!$D$4:$D$729,0,0)</f>
        <v>2</v>
      </c>
      <c r="E366" s="322">
        <f>_xlfn.XLOOKUP(A366,'PARA ENVÍO UNIFICADO (VANE)'!$A$4:$A$729,'PARA ENVÍO UNIFICADO (VANE)'!$E$4:$E$729,0,0)</f>
        <v>1</v>
      </c>
      <c r="F366" s="322">
        <f t="shared" si="18"/>
        <v>3</v>
      </c>
      <c r="G366" s="243">
        <v>288238</v>
      </c>
      <c r="H366" s="243">
        <f t="shared" si="20"/>
        <v>864714</v>
      </c>
    </row>
    <row r="367" spans="1:8" s="9" customFormat="1" ht="35.1" customHeight="1" x14ac:dyDescent="0.25">
      <c r="A367" s="255" t="s">
        <v>489</v>
      </c>
      <c r="B367" s="254" t="s">
        <v>490</v>
      </c>
      <c r="C367" s="255" t="s">
        <v>1422</v>
      </c>
      <c r="D367" s="322">
        <f>_xlfn.XLOOKUP(A367,'PARA ENVÍO UNIFICADO (VANE)'!$A$4:$A$729,'PARA ENVÍO UNIFICADO (VANE)'!$D$4:$D$729,0,0)</f>
        <v>32</v>
      </c>
      <c r="E367" s="322">
        <f>_xlfn.XLOOKUP(A367,'PARA ENVÍO UNIFICADO (VANE)'!$A$4:$A$729,'PARA ENVÍO UNIFICADO (VANE)'!$E$4:$E$729,0,0)</f>
        <v>12</v>
      </c>
      <c r="F367" s="322">
        <f t="shared" si="18"/>
        <v>44</v>
      </c>
      <c r="G367" s="243">
        <v>123260</v>
      </c>
      <c r="H367" s="243">
        <f t="shared" si="20"/>
        <v>5423440</v>
      </c>
    </row>
    <row r="368" spans="1:8" s="9" customFormat="1" ht="35.1" customHeight="1" x14ac:dyDescent="0.25">
      <c r="A368" s="255" t="s">
        <v>491</v>
      </c>
      <c r="B368" s="254" t="s">
        <v>492</v>
      </c>
      <c r="C368" s="255" t="s">
        <v>1422</v>
      </c>
      <c r="D368" s="322">
        <f>_xlfn.XLOOKUP(A368,'PARA ENVÍO UNIFICADO (VANE)'!$A$4:$A$729,'PARA ENVÍO UNIFICADO (VANE)'!$D$4:$D$729,0,0)</f>
        <v>27</v>
      </c>
      <c r="E368" s="322">
        <f>_xlfn.XLOOKUP(A368,'PARA ENVÍO UNIFICADO (VANE)'!$A$4:$A$729,'PARA ENVÍO UNIFICADO (VANE)'!$E$4:$E$729,0,0)</f>
        <v>10</v>
      </c>
      <c r="F368" s="322">
        <f t="shared" si="18"/>
        <v>37</v>
      </c>
      <c r="G368" s="243">
        <v>129848</v>
      </c>
      <c r="H368" s="243">
        <f t="shared" si="20"/>
        <v>4804376</v>
      </c>
    </row>
    <row r="369" spans="1:8" s="9" customFormat="1" ht="35.1" customHeight="1" x14ac:dyDescent="0.25">
      <c r="A369" s="255" t="s">
        <v>493</v>
      </c>
      <c r="B369" s="254" t="s">
        <v>494</v>
      </c>
      <c r="C369" s="255" t="s">
        <v>1422</v>
      </c>
      <c r="D369" s="322">
        <f>_xlfn.XLOOKUP(A369,'PARA ENVÍO UNIFICADO (VANE)'!$A$4:$A$729,'PARA ENVÍO UNIFICADO (VANE)'!$D$4:$D$729,0,0)</f>
        <v>6</v>
      </c>
      <c r="E369" s="322">
        <f>_xlfn.XLOOKUP(A369,'PARA ENVÍO UNIFICADO (VANE)'!$A$4:$A$729,'PARA ENVÍO UNIFICADO (VANE)'!$E$4:$E$729,0,0)</f>
        <v>2</v>
      </c>
      <c r="F369" s="322">
        <f t="shared" si="18"/>
        <v>8</v>
      </c>
      <c r="G369" s="243">
        <v>1646911</v>
      </c>
      <c r="H369" s="243">
        <f t="shared" si="20"/>
        <v>13175288</v>
      </c>
    </row>
    <row r="370" spans="1:8" s="9" customFormat="1" ht="35.1" customHeight="1" x14ac:dyDescent="0.25">
      <c r="A370" s="266">
        <v>14</v>
      </c>
      <c r="B370" s="267" t="s">
        <v>495</v>
      </c>
      <c r="C370" s="267"/>
      <c r="D370" s="267"/>
      <c r="E370" s="267"/>
      <c r="F370" s="322">
        <f t="shared" si="18"/>
        <v>0</v>
      </c>
      <c r="G370" s="306"/>
      <c r="H370" s="268"/>
    </row>
    <row r="371" spans="1:8" s="9" customFormat="1" ht="35.1" customHeight="1" x14ac:dyDescent="0.25">
      <c r="A371" s="283" t="s">
        <v>496</v>
      </c>
      <c r="B371" s="278" t="s">
        <v>497</v>
      </c>
      <c r="C371" s="256"/>
      <c r="D371" s="244"/>
      <c r="E371" s="244"/>
      <c r="F371" s="322">
        <f t="shared" si="18"/>
        <v>0</v>
      </c>
      <c r="G371" s="303"/>
      <c r="H371" s="246"/>
    </row>
    <row r="372" spans="1:8" s="9" customFormat="1" ht="35.1" customHeight="1" x14ac:dyDescent="0.25">
      <c r="A372" s="255" t="s">
        <v>498</v>
      </c>
      <c r="B372" s="87" t="s">
        <v>499</v>
      </c>
      <c r="C372" s="255" t="s">
        <v>16</v>
      </c>
      <c r="D372" s="322">
        <f>_xlfn.XLOOKUP(A372,'PARA ENVÍO UNIFICADO (VANE)'!$A$4:$A$729,'PARA ENVÍO UNIFICADO (VANE)'!$D$4:$D$729,0,0)</f>
        <v>153</v>
      </c>
      <c r="E372" s="322">
        <f>_xlfn.XLOOKUP(A372,'PARA ENVÍO UNIFICADO (VANE)'!$A$4:$A$729,'PARA ENVÍO UNIFICADO (VANE)'!$E$4:$E$729,0,0)</f>
        <v>57</v>
      </c>
      <c r="F372" s="322">
        <f t="shared" si="18"/>
        <v>210</v>
      </c>
      <c r="G372" s="243">
        <v>85196</v>
      </c>
      <c r="H372" s="243">
        <f t="shared" ref="H372:H387" si="21">ROUND(+G372*F372,2)</f>
        <v>17891160</v>
      </c>
    </row>
    <row r="373" spans="1:8" s="9" customFormat="1" ht="35.1" customHeight="1" x14ac:dyDescent="0.25">
      <c r="A373" s="255" t="s">
        <v>500</v>
      </c>
      <c r="B373" s="87" t="s">
        <v>501</v>
      </c>
      <c r="C373" s="255" t="s">
        <v>16</v>
      </c>
      <c r="D373" s="322">
        <f>_xlfn.XLOOKUP(A373,'PARA ENVÍO UNIFICADO (VANE)'!$A$4:$A$729,'PARA ENVÍO UNIFICADO (VANE)'!$D$4:$D$729,0,0)</f>
        <v>82</v>
      </c>
      <c r="E373" s="322">
        <f>_xlfn.XLOOKUP(A373,'PARA ENVÍO UNIFICADO (VANE)'!$A$4:$A$729,'PARA ENVÍO UNIFICADO (VANE)'!$E$4:$E$729,0,0)</f>
        <v>30</v>
      </c>
      <c r="F373" s="322">
        <f t="shared" si="18"/>
        <v>112</v>
      </c>
      <c r="G373" s="243">
        <v>77072</v>
      </c>
      <c r="H373" s="243">
        <f t="shared" si="21"/>
        <v>8632064</v>
      </c>
    </row>
    <row r="374" spans="1:8" s="9" customFormat="1" ht="35.1" customHeight="1" x14ac:dyDescent="0.25">
      <c r="A374" s="255" t="s">
        <v>502</v>
      </c>
      <c r="B374" s="254" t="s">
        <v>503</v>
      </c>
      <c r="C374" s="255" t="s">
        <v>16</v>
      </c>
      <c r="D374" s="322">
        <f>_xlfn.XLOOKUP(A374,'PARA ENVÍO UNIFICADO (VANE)'!$A$4:$A$729,'PARA ENVÍO UNIFICADO (VANE)'!$D$4:$D$729,0,0)</f>
        <v>121</v>
      </c>
      <c r="E374" s="322">
        <f>_xlfn.XLOOKUP(A374,'PARA ENVÍO UNIFICADO (VANE)'!$A$4:$A$729,'PARA ENVÍO UNIFICADO (VANE)'!$E$4:$E$729,0,0)</f>
        <v>45</v>
      </c>
      <c r="F374" s="322">
        <f t="shared" si="18"/>
        <v>166</v>
      </c>
      <c r="G374" s="243">
        <v>72264</v>
      </c>
      <c r="H374" s="243">
        <f t="shared" si="21"/>
        <v>11995824</v>
      </c>
    </row>
    <row r="375" spans="1:8" s="9" customFormat="1" ht="35.1" customHeight="1" x14ac:dyDescent="0.25">
      <c r="A375" s="255" t="s">
        <v>504</v>
      </c>
      <c r="B375" s="254" t="s">
        <v>505</v>
      </c>
      <c r="C375" s="255" t="s">
        <v>16</v>
      </c>
      <c r="D375" s="322">
        <f>_xlfn.XLOOKUP(A375,'PARA ENVÍO UNIFICADO (VANE)'!$A$4:$A$729,'PARA ENVÍO UNIFICADO (VANE)'!$D$4:$D$729,0,0)</f>
        <v>50</v>
      </c>
      <c r="E375" s="322">
        <f>_xlfn.XLOOKUP(A375,'PARA ENVÍO UNIFICADO (VANE)'!$A$4:$A$729,'PARA ENVÍO UNIFICADO (VANE)'!$E$4:$E$729,0,0)</f>
        <v>19</v>
      </c>
      <c r="F375" s="322">
        <f t="shared" si="18"/>
        <v>69</v>
      </c>
      <c r="G375" s="243">
        <v>72264</v>
      </c>
      <c r="H375" s="243">
        <f t="shared" si="21"/>
        <v>4986216</v>
      </c>
    </row>
    <row r="376" spans="1:8" s="9" customFormat="1" ht="35.1" customHeight="1" x14ac:dyDescent="0.25">
      <c r="A376" s="255" t="s">
        <v>506</v>
      </c>
      <c r="B376" s="254" t="s">
        <v>507</v>
      </c>
      <c r="C376" s="255" t="s">
        <v>16</v>
      </c>
      <c r="D376" s="322">
        <f>_xlfn.XLOOKUP(A376,'PARA ENVÍO UNIFICADO (VANE)'!$A$4:$A$729,'PARA ENVÍO UNIFICADO (VANE)'!$D$4:$D$729,0,0)</f>
        <v>184</v>
      </c>
      <c r="E376" s="322">
        <f>_xlfn.XLOOKUP(A376,'PARA ENVÍO UNIFICADO (VANE)'!$A$4:$A$729,'PARA ENVÍO UNIFICADO (VANE)'!$E$4:$E$729,0,0)</f>
        <v>68</v>
      </c>
      <c r="F376" s="322">
        <f t="shared" si="18"/>
        <v>252</v>
      </c>
      <c r="G376" s="243">
        <v>72264</v>
      </c>
      <c r="H376" s="243">
        <f t="shared" si="21"/>
        <v>18210528</v>
      </c>
    </row>
    <row r="377" spans="1:8" s="9" customFormat="1" ht="35.1" customHeight="1" x14ac:dyDescent="0.25">
      <c r="A377" s="255" t="s">
        <v>508</v>
      </c>
      <c r="B377" s="254" t="s">
        <v>509</v>
      </c>
      <c r="C377" s="255" t="s">
        <v>16</v>
      </c>
      <c r="D377" s="322">
        <f>_xlfn.XLOOKUP(A377,'PARA ENVÍO UNIFICADO (VANE)'!$A$4:$A$729,'PARA ENVÍO UNIFICADO (VANE)'!$D$4:$D$729,0,0)</f>
        <v>6</v>
      </c>
      <c r="E377" s="322">
        <f>_xlfn.XLOOKUP(A377,'PARA ENVÍO UNIFICADO (VANE)'!$A$4:$A$729,'PARA ENVÍO UNIFICADO (VANE)'!$E$4:$E$729,0,0)</f>
        <v>2</v>
      </c>
      <c r="F377" s="322">
        <f t="shared" si="18"/>
        <v>8</v>
      </c>
      <c r="G377" s="243">
        <v>69983</v>
      </c>
      <c r="H377" s="243">
        <f t="shared" si="21"/>
        <v>559864</v>
      </c>
    </row>
    <row r="378" spans="1:8" s="9" customFormat="1" ht="35.1" customHeight="1" x14ac:dyDescent="0.25">
      <c r="A378" s="255" t="s">
        <v>510</v>
      </c>
      <c r="B378" s="254" t="s">
        <v>511</v>
      </c>
      <c r="C378" s="255" t="s">
        <v>16</v>
      </c>
      <c r="D378" s="322">
        <f>_xlfn.XLOOKUP(A378,'PARA ENVÍO UNIFICADO (VANE)'!$A$4:$A$729,'PARA ENVÍO UNIFICADO (VANE)'!$D$4:$D$729,0,0)</f>
        <v>6</v>
      </c>
      <c r="E378" s="322">
        <f>_xlfn.XLOOKUP(A378,'PARA ENVÍO UNIFICADO (VANE)'!$A$4:$A$729,'PARA ENVÍO UNIFICADO (VANE)'!$E$4:$E$729,0,0)</f>
        <v>2</v>
      </c>
      <c r="F378" s="322">
        <f t="shared" si="18"/>
        <v>8</v>
      </c>
      <c r="G378" s="243">
        <v>76723</v>
      </c>
      <c r="H378" s="243">
        <f t="shared" si="21"/>
        <v>613784</v>
      </c>
    </row>
    <row r="379" spans="1:8" s="9" customFormat="1" ht="35.1" customHeight="1" x14ac:dyDescent="0.25">
      <c r="A379" s="255" t="s">
        <v>512</v>
      </c>
      <c r="B379" s="254" t="s">
        <v>513</v>
      </c>
      <c r="C379" s="255" t="s">
        <v>16</v>
      </c>
      <c r="D379" s="322">
        <f>_xlfn.XLOOKUP(A379,'PARA ENVÍO UNIFICADO (VANE)'!$A$4:$A$729,'PARA ENVÍO UNIFICADO (VANE)'!$D$4:$D$729,0,0)</f>
        <v>67</v>
      </c>
      <c r="E379" s="322">
        <f>_xlfn.XLOOKUP(A379,'PARA ENVÍO UNIFICADO (VANE)'!$A$4:$A$729,'PARA ENVÍO UNIFICADO (VANE)'!$E$4:$E$729,0,0)</f>
        <v>25</v>
      </c>
      <c r="F379" s="322">
        <f t="shared" si="18"/>
        <v>92</v>
      </c>
      <c r="G379" s="243">
        <v>76723</v>
      </c>
      <c r="H379" s="243">
        <f t="shared" si="21"/>
        <v>7058516</v>
      </c>
    </row>
    <row r="380" spans="1:8" s="9" customFormat="1" ht="35.1" customHeight="1" x14ac:dyDescent="0.25">
      <c r="A380" s="255" t="s">
        <v>514</v>
      </c>
      <c r="B380" s="254" t="s">
        <v>515</v>
      </c>
      <c r="C380" s="255" t="s">
        <v>16</v>
      </c>
      <c r="D380" s="322">
        <f>_xlfn.XLOOKUP(A380,'PARA ENVÍO UNIFICADO (VANE)'!$A$4:$A$729,'PARA ENVÍO UNIFICADO (VANE)'!$D$4:$D$729,0,0)</f>
        <v>10</v>
      </c>
      <c r="E380" s="322">
        <f>_xlfn.XLOOKUP(A380,'PARA ENVÍO UNIFICADO (VANE)'!$A$4:$A$729,'PARA ENVÍO UNIFICADO (VANE)'!$E$4:$E$729,0,0)</f>
        <v>4</v>
      </c>
      <c r="F380" s="322">
        <f t="shared" si="18"/>
        <v>14</v>
      </c>
      <c r="G380" s="243">
        <v>76723</v>
      </c>
      <c r="H380" s="243">
        <f t="shared" si="21"/>
        <v>1074122</v>
      </c>
    </row>
    <row r="381" spans="1:8" s="9" customFormat="1" ht="35.1" customHeight="1" x14ac:dyDescent="0.25">
      <c r="A381" s="255" t="s">
        <v>516</v>
      </c>
      <c r="B381" s="87" t="s">
        <v>517</v>
      </c>
      <c r="C381" s="255" t="s">
        <v>16</v>
      </c>
      <c r="D381" s="322">
        <f>_xlfn.XLOOKUP(A381,'PARA ENVÍO UNIFICADO (VANE)'!$A$4:$A$729,'PARA ENVÍO UNIFICADO (VANE)'!$D$4:$D$729,0,0)</f>
        <v>42</v>
      </c>
      <c r="E381" s="322">
        <f>_xlfn.XLOOKUP(A381,'PARA ENVÍO UNIFICADO (VANE)'!$A$4:$A$729,'PARA ENVÍO UNIFICADO (VANE)'!$E$4:$E$729,0,0)</f>
        <v>16</v>
      </c>
      <c r="F381" s="322">
        <f t="shared" si="18"/>
        <v>58</v>
      </c>
      <c r="G381" s="243">
        <v>82051</v>
      </c>
      <c r="H381" s="243">
        <f t="shared" si="21"/>
        <v>4758958</v>
      </c>
    </row>
    <row r="382" spans="1:8" s="9" customFormat="1" ht="35.1" customHeight="1" x14ac:dyDescent="0.25">
      <c r="A382" s="255" t="s">
        <v>518</v>
      </c>
      <c r="B382" s="87" t="s">
        <v>519</v>
      </c>
      <c r="C382" s="255" t="s">
        <v>16</v>
      </c>
      <c r="D382" s="322">
        <f>_xlfn.XLOOKUP(A382,'PARA ENVÍO UNIFICADO (VANE)'!$A$4:$A$729,'PARA ENVÍO UNIFICADO (VANE)'!$D$4:$D$729,0,0)</f>
        <v>18</v>
      </c>
      <c r="E382" s="322">
        <f>_xlfn.XLOOKUP(A382,'PARA ENVÍO UNIFICADO (VANE)'!$A$4:$A$729,'PARA ENVÍO UNIFICADO (VANE)'!$E$4:$E$729,0,0)</f>
        <v>6</v>
      </c>
      <c r="F382" s="322">
        <f t="shared" si="18"/>
        <v>24</v>
      </c>
      <c r="G382" s="243">
        <v>88968</v>
      </c>
      <c r="H382" s="243">
        <f t="shared" si="21"/>
        <v>2135232</v>
      </c>
    </row>
    <row r="383" spans="1:8" s="9" customFormat="1" ht="35.1" customHeight="1" x14ac:dyDescent="0.25">
      <c r="A383" s="255" t="s">
        <v>520</v>
      </c>
      <c r="B383" s="87" t="s">
        <v>521</v>
      </c>
      <c r="C383" s="255" t="s">
        <v>16</v>
      </c>
      <c r="D383" s="322">
        <f>_xlfn.XLOOKUP(A383,'PARA ENVÍO UNIFICADO (VANE)'!$A$4:$A$729,'PARA ENVÍO UNIFICADO (VANE)'!$D$4:$D$729,0,0)</f>
        <v>6</v>
      </c>
      <c r="E383" s="322">
        <f>_xlfn.XLOOKUP(A383,'PARA ENVÍO UNIFICADO (VANE)'!$A$4:$A$729,'PARA ENVÍO UNIFICADO (VANE)'!$E$4:$E$729,0,0)</f>
        <v>2</v>
      </c>
      <c r="F383" s="322">
        <f t="shared" si="18"/>
        <v>8</v>
      </c>
      <c r="G383" s="243">
        <v>90830</v>
      </c>
      <c r="H383" s="243">
        <f t="shared" si="21"/>
        <v>726640</v>
      </c>
    </row>
    <row r="384" spans="1:8" s="9" customFormat="1" ht="35.1" customHeight="1" x14ac:dyDescent="0.25">
      <c r="A384" s="255" t="s">
        <v>522</v>
      </c>
      <c r="B384" s="87" t="s">
        <v>523</v>
      </c>
      <c r="C384" s="255" t="s">
        <v>16</v>
      </c>
      <c r="D384" s="322">
        <f>_xlfn.XLOOKUP(A384,'PARA ENVÍO UNIFICADO (VANE)'!$A$4:$A$729,'PARA ENVÍO UNIFICADO (VANE)'!$D$4:$D$729,0,0)</f>
        <v>4</v>
      </c>
      <c r="E384" s="322">
        <f>_xlfn.XLOOKUP(A384,'PARA ENVÍO UNIFICADO (VANE)'!$A$4:$A$729,'PARA ENVÍO UNIFICADO (VANE)'!$E$4:$E$729,0,0)</f>
        <v>2</v>
      </c>
      <c r="F384" s="322">
        <f t="shared" si="18"/>
        <v>6</v>
      </c>
      <c r="G384" s="243">
        <v>99247</v>
      </c>
      <c r="H384" s="243">
        <f t="shared" si="21"/>
        <v>595482</v>
      </c>
    </row>
    <row r="385" spans="1:8" s="9" customFormat="1" ht="35.1" customHeight="1" x14ac:dyDescent="0.25">
      <c r="A385" s="255" t="s">
        <v>524</v>
      </c>
      <c r="B385" s="254" t="s">
        <v>525</v>
      </c>
      <c r="C385" s="255" t="s">
        <v>16</v>
      </c>
      <c r="D385" s="322">
        <f>_xlfn.XLOOKUP(A385,'PARA ENVÍO UNIFICADO (VANE)'!$A$4:$A$729,'PARA ENVÍO UNIFICADO (VANE)'!$D$4:$D$729,0,0)</f>
        <v>12</v>
      </c>
      <c r="E385" s="322">
        <f>_xlfn.XLOOKUP(A385,'PARA ENVÍO UNIFICADO (VANE)'!$A$4:$A$729,'PARA ENVÍO UNIFICADO (VANE)'!$E$4:$E$729,0,0)</f>
        <v>5</v>
      </c>
      <c r="F385" s="322">
        <f t="shared" si="18"/>
        <v>17</v>
      </c>
      <c r="G385" s="243">
        <v>93144</v>
      </c>
      <c r="H385" s="243">
        <f t="shared" si="21"/>
        <v>1583448</v>
      </c>
    </row>
    <row r="386" spans="1:8" s="9" customFormat="1" ht="35.1" customHeight="1" x14ac:dyDescent="0.25">
      <c r="A386" s="255" t="s">
        <v>526</v>
      </c>
      <c r="B386" s="254" t="s">
        <v>527</v>
      </c>
      <c r="C386" s="255" t="s">
        <v>16</v>
      </c>
      <c r="D386" s="322">
        <f>_xlfn.XLOOKUP(A386,'PARA ENVÍO UNIFICADO (VANE)'!$A$4:$A$729,'PARA ENVÍO UNIFICADO (VANE)'!$D$4:$D$729,0,0)</f>
        <v>4</v>
      </c>
      <c r="E386" s="322">
        <f>_xlfn.XLOOKUP(A386,'PARA ENVÍO UNIFICADO (VANE)'!$A$4:$A$729,'PARA ENVÍO UNIFICADO (VANE)'!$E$4:$E$729,0,0)</f>
        <v>1</v>
      </c>
      <c r="F386" s="322">
        <f t="shared" si="18"/>
        <v>5</v>
      </c>
      <c r="G386" s="243">
        <v>105026</v>
      </c>
      <c r="H386" s="243">
        <f t="shared" si="21"/>
        <v>525130</v>
      </c>
    </row>
    <row r="387" spans="1:8" s="9" customFormat="1" ht="35.1" customHeight="1" x14ac:dyDescent="0.25">
      <c r="A387" s="255" t="s">
        <v>528</v>
      </c>
      <c r="B387" s="254" t="s">
        <v>529</v>
      </c>
      <c r="C387" s="255" t="s">
        <v>269</v>
      </c>
      <c r="D387" s="322">
        <f>_xlfn.XLOOKUP(A387,'PARA ENVÍO UNIFICADO (VANE)'!$A$4:$A$729,'PARA ENVÍO UNIFICADO (VANE)'!$D$4:$D$729,0,0)</f>
        <v>474</v>
      </c>
      <c r="E387" s="322">
        <f>_xlfn.XLOOKUP(A387,'PARA ENVÍO UNIFICADO (VANE)'!$A$4:$A$729,'PARA ENVÍO UNIFICADO (VANE)'!$E$4:$E$729,0,0)</f>
        <v>176</v>
      </c>
      <c r="F387" s="322">
        <f t="shared" si="18"/>
        <v>650</v>
      </c>
      <c r="G387" s="243">
        <v>1748</v>
      </c>
      <c r="H387" s="243">
        <f t="shared" si="21"/>
        <v>1136200</v>
      </c>
    </row>
    <row r="388" spans="1:8" s="9" customFormat="1" ht="35.1" customHeight="1" x14ac:dyDescent="0.25">
      <c r="A388" s="283" t="s">
        <v>530</v>
      </c>
      <c r="B388" s="256" t="s">
        <v>531</v>
      </c>
      <c r="C388" s="256"/>
      <c r="D388" s="244"/>
      <c r="E388" s="244"/>
      <c r="F388" s="322">
        <f t="shared" si="18"/>
        <v>0</v>
      </c>
      <c r="G388" s="303"/>
      <c r="H388" s="246"/>
    </row>
    <row r="389" spans="1:8" s="9" customFormat="1" ht="35.1" customHeight="1" x14ac:dyDescent="0.25">
      <c r="A389" s="255" t="s">
        <v>532</v>
      </c>
      <c r="B389" s="254" t="s">
        <v>533</v>
      </c>
      <c r="C389" s="255" t="s">
        <v>1422</v>
      </c>
      <c r="D389" s="322">
        <f>_xlfn.XLOOKUP(A389,'PARA ENVÍO UNIFICADO (VANE)'!$A$4:$A$729,'PARA ENVÍO UNIFICADO (VANE)'!$D$4:$D$729,0,0)</f>
        <v>264</v>
      </c>
      <c r="E389" s="322">
        <f>_xlfn.XLOOKUP(A389,'PARA ENVÍO UNIFICADO (VANE)'!$A$4:$A$729,'PARA ENVÍO UNIFICADO (VANE)'!$E$4:$E$729,0,0)</f>
        <v>97</v>
      </c>
      <c r="F389" s="322">
        <f t="shared" ref="F389:F452" si="22">ROUND(D389+E389,2)</f>
        <v>361</v>
      </c>
      <c r="G389" s="243">
        <v>84631</v>
      </c>
      <c r="H389" s="243">
        <f>ROUND(+G389*F389,2)</f>
        <v>30551791</v>
      </c>
    </row>
    <row r="390" spans="1:8" s="9" customFormat="1" ht="35.1" customHeight="1" x14ac:dyDescent="0.25">
      <c r="A390" s="255" t="s">
        <v>534</v>
      </c>
      <c r="B390" s="254" t="s">
        <v>535</v>
      </c>
      <c r="C390" s="255" t="s">
        <v>1422</v>
      </c>
      <c r="D390" s="322">
        <f>_xlfn.XLOOKUP(A390,'PARA ENVÍO UNIFICADO (VANE)'!$A$4:$A$729,'PARA ENVÍO UNIFICADO (VANE)'!$D$4:$D$729,0,0)</f>
        <v>5</v>
      </c>
      <c r="E390" s="322">
        <f>_xlfn.XLOOKUP(A390,'PARA ENVÍO UNIFICADO (VANE)'!$A$4:$A$729,'PARA ENVÍO UNIFICADO (VANE)'!$E$4:$E$729,0,0)</f>
        <v>2</v>
      </c>
      <c r="F390" s="322">
        <f t="shared" si="22"/>
        <v>7</v>
      </c>
      <c r="G390" s="243">
        <v>114408</v>
      </c>
      <c r="H390" s="243">
        <f>ROUND(+G390*F390,2)</f>
        <v>800856</v>
      </c>
    </row>
    <row r="391" spans="1:8" s="9" customFormat="1" ht="35.1" customHeight="1" x14ac:dyDescent="0.25">
      <c r="A391" s="255" t="s">
        <v>536</v>
      </c>
      <c r="B391" s="254" t="s">
        <v>537</v>
      </c>
      <c r="C391" s="255" t="s">
        <v>1422</v>
      </c>
      <c r="D391" s="322">
        <f>_xlfn.XLOOKUP(A391,'PARA ENVÍO UNIFICADO (VANE)'!$A$4:$A$729,'PARA ENVÍO UNIFICADO (VANE)'!$D$4:$D$729,0,0)</f>
        <v>18</v>
      </c>
      <c r="E391" s="322">
        <f>_xlfn.XLOOKUP(A391,'PARA ENVÍO UNIFICADO (VANE)'!$A$4:$A$729,'PARA ENVÍO UNIFICADO (VANE)'!$E$4:$E$729,0,0)</f>
        <v>7</v>
      </c>
      <c r="F391" s="322">
        <f t="shared" si="22"/>
        <v>25</v>
      </c>
      <c r="G391" s="243">
        <v>85646</v>
      </c>
      <c r="H391" s="243">
        <f>ROUND(+G391*F391,2)</f>
        <v>2141150</v>
      </c>
    </row>
    <row r="392" spans="1:8" s="9" customFormat="1" ht="35.1" customHeight="1" x14ac:dyDescent="0.25">
      <c r="A392" s="255" t="s">
        <v>538</v>
      </c>
      <c r="B392" s="87" t="s">
        <v>539</v>
      </c>
      <c r="C392" s="255" t="s">
        <v>1422</v>
      </c>
      <c r="D392" s="322">
        <f>_xlfn.XLOOKUP(A392,'PARA ENVÍO UNIFICADO (VANE)'!$A$4:$A$729,'PARA ENVÍO UNIFICADO (VANE)'!$D$4:$D$729,0,0)</f>
        <v>3</v>
      </c>
      <c r="E392" s="322">
        <f>_xlfn.XLOOKUP(A392,'PARA ENVÍO UNIFICADO (VANE)'!$A$4:$A$729,'PARA ENVÍO UNIFICADO (VANE)'!$E$4:$E$729,0,0)</f>
        <v>1</v>
      </c>
      <c r="F392" s="322">
        <f t="shared" si="22"/>
        <v>4</v>
      </c>
      <c r="G392" s="243">
        <v>103776</v>
      </c>
      <c r="H392" s="243">
        <f>ROUND(+G392*F392,2)</f>
        <v>415104</v>
      </c>
    </row>
    <row r="393" spans="1:8" s="9" customFormat="1" ht="35.1" customHeight="1" x14ac:dyDescent="0.25">
      <c r="A393" s="255" t="s">
        <v>540</v>
      </c>
      <c r="B393" s="254" t="s">
        <v>541</v>
      </c>
      <c r="C393" s="255" t="s">
        <v>269</v>
      </c>
      <c r="D393" s="322">
        <f>_xlfn.XLOOKUP(A393,'PARA ENVÍO UNIFICADO (VANE)'!$A$4:$A$729,'PARA ENVÍO UNIFICADO (VANE)'!$D$4:$D$729,0,0)</f>
        <v>985</v>
      </c>
      <c r="E393" s="322">
        <f>_xlfn.XLOOKUP(A393,'PARA ENVÍO UNIFICADO (VANE)'!$A$4:$A$729,'PARA ENVÍO UNIFICADO (VANE)'!$E$4:$E$729,0,0)</f>
        <v>365</v>
      </c>
      <c r="F393" s="322">
        <f t="shared" si="22"/>
        <v>1350</v>
      </c>
      <c r="G393" s="243">
        <v>1748</v>
      </c>
      <c r="H393" s="243">
        <f>ROUND(+G393*F393,2)</f>
        <v>2359800</v>
      </c>
    </row>
    <row r="394" spans="1:8" s="9" customFormat="1" ht="35.1" customHeight="1" x14ac:dyDescent="0.25">
      <c r="A394" s="283" t="s">
        <v>542</v>
      </c>
      <c r="B394" s="256" t="s">
        <v>543</v>
      </c>
      <c r="C394" s="256"/>
      <c r="D394" s="244"/>
      <c r="E394" s="244"/>
      <c r="F394" s="322">
        <f t="shared" si="22"/>
        <v>0</v>
      </c>
      <c r="G394" s="303"/>
      <c r="H394" s="246"/>
    </row>
    <row r="395" spans="1:8" s="9" customFormat="1" ht="35.1" customHeight="1" x14ac:dyDescent="0.25">
      <c r="A395" s="255" t="s">
        <v>544</v>
      </c>
      <c r="B395" s="87" t="s">
        <v>545</v>
      </c>
      <c r="C395" s="255" t="s">
        <v>16</v>
      </c>
      <c r="D395" s="322">
        <f>_xlfn.XLOOKUP(A395,'PARA ENVÍO UNIFICADO (VANE)'!$A$4:$A$729,'PARA ENVÍO UNIFICADO (VANE)'!$D$4:$D$729,0,0)</f>
        <v>39</v>
      </c>
      <c r="E395" s="322">
        <f>_xlfn.XLOOKUP(A395,'PARA ENVÍO UNIFICADO (VANE)'!$A$4:$A$729,'PARA ENVÍO UNIFICADO (VANE)'!$E$4:$E$729,0,0)</f>
        <v>15</v>
      </c>
      <c r="F395" s="322">
        <f t="shared" si="22"/>
        <v>54</v>
      </c>
      <c r="G395" s="243">
        <v>125189</v>
      </c>
      <c r="H395" s="243">
        <f>ROUND(+G395*F395,2)</f>
        <v>6760206</v>
      </c>
    </row>
    <row r="396" spans="1:8" s="9" customFormat="1" ht="35.1" customHeight="1" x14ac:dyDescent="0.25">
      <c r="A396" s="255" t="s">
        <v>546</v>
      </c>
      <c r="B396" s="87" t="s">
        <v>547</v>
      </c>
      <c r="C396" s="255" t="s">
        <v>16</v>
      </c>
      <c r="D396" s="322">
        <f>_xlfn.XLOOKUP(A396,'PARA ENVÍO UNIFICADO (VANE)'!$A$4:$A$729,'PARA ENVÍO UNIFICADO (VANE)'!$D$4:$D$729,0,0)</f>
        <v>80</v>
      </c>
      <c r="E396" s="322">
        <f>_xlfn.XLOOKUP(A396,'PARA ENVÍO UNIFICADO (VANE)'!$A$4:$A$729,'PARA ENVÍO UNIFICADO (VANE)'!$E$4:$E$729,0,0)</f>
        <v>29</v>
      </c>
      <c r="F396" s="322">
        <f t="shared" si="22"/>
        <v>109</v>
      </c>
      <c r="G396" s="243">
        <v>115393</v>
      </c>
      <c r="H396" s="243">
        <f>ROUND(+G396*F396,2)</f>
        <v>12577837</v>
      </c>
    </row>
    <row r="397" spans="1:8" s="9" customFormat="1" ht="35.1" customHeight="1" x14ac:dyDescent="0.25">
      <c r="A397" s="255" t="s">
        <v>548</v>
      </c>
      <c r="B397" s="87" t="s">
        <v>549</v>
      </c>
      <c r="C397" s="255" t="s">
        <v>269</v>
      </c>
      <c r="D397" s="322">
        <f>_xlfn.XLOOKUP(A397,'PARA ENVÍO UNIFICADO (VANE)'!$A$4:$A$729,'PARA ENVÍO UNIFICADO (VANE)'!$D$4:$D$729,0,0)</f>
        <v>36</v>
      </c>
      <c r="E397" s="322">
        <f>_xlfn.XLOOKUP(A397,'PARA ENVÍO UNIFICADO (VANE)'!$A$4:$A$729,'PARA ENVÍO UNIFICADO (VANE)'!$E$4:$E$729,0,0)</f>
        <v>14</v>
      </c>
      <c r="F397" s="322">
        <f t="shared" si="22"/>
        <v>50</v>
      </c>
      <c r="G397" s="243">
        <v>11721</v>
      </c>
      <c r="H397" s="243">
        <f>ROUND(+G397*F397,2)</f>
        <v>586050</v>
      </c>
    </row>
    <row r="398" spans="1:8" s="9" customFormat="1" ht="35.1" customHeight="1" x14ac:dyDescent="0.25">
      <c r="A398" s="255" t="s">
        <v>550</v>
      </c>
      <c r="B398" s="87" t="s">
        <v>551</v>
      </c>
      <c r="C398" s="255" t="s">
        <v>269</v>
      </c>
      <c r="D398" s="322">
        <f>_xlfn.XLOOKUP(A398,'PARA ENVÍO UNIFICADO (VANE)'!$A$4:$A$729,'PARA ENVÍO UNIFICADO (VANE)'!$D$4:$D$729,0,0)</f>
        <v>1496</v>
      </c>
      <c r="E398" s="322">
        <f>_xlfn.XLOOKUP(A398,'PARA ENVÍO UNIFICADO (VANE)'!$A$4:$A$729,'PARA ENVÍO UNIFICADO (VANE)'!$E$4:$E$729,0,0)</f>
        <v>554</v>
      </c>
      <c r="F398" s="322">
        <f t="shared" si="22"/>
        <v>2050</v>
      </c>
      <c r="G398" s="243">
        <v>1748</v>
      </c>
      <c r="H398" s="243">
        <f>ROUND(+G398*F398,2)</f>
        <v>3583400</v>
      </c>
    </row>
    <row r="399" spans="1:8" s="9" customFormat="1" ht="35.1" customHeight="1" x14ac:dyDescent="0.25">
      <c r="A399" s="266">
        <v>15</v>
      </c>
      <c r="B399" s="267" t="s">
        <v>552</v>
      </c>
      <c r="C399" s="267"/>
      <c r="D399" s="267"/>
      <c r="E399" s="267"/>
      <c r="F399" s="322">
        <f t="shared" si="22"/>
        <v>0</v>
      </c>
      <c r="G399" s="306"/>
      <c r="H399" s="268"/>
    </row>
    <row r="400" spans="1:8" s="9" customFormat="1" ht="35.1" customHeight="1" x14ac:dyDescent="0.25">
      <c r="A400" s="289" t="s">
        <v>553</v>
      </c>
      <c r="B400" s="256" t="s">
        <v>554</v>
      </c>
      <c r="C400" s="256"/>
      <c r="D400" s="244"/>
      <c r="E400" s="244"/>
      <c r="F400" s="322">
        <f t="shared" si="22"/>
        <v>0</v>
      </c>
      <c r="G400" s="303"/>
      <c r="H400" s="246"/>
    </row>
    <row r="401" spans="1:8" s="9" customFormat="1" ht="35.1" customHeight="1" x14ac:dyDescent="0.25">
      <c r="A401" s="255" t="s">
        <v>555</v>
      </c>
      <c r="B401" s="87" t="s">
        <v>556</v>
      </c>
      <c r="C401" s="255" t="s">
        <v>269</v>
      </c>
      <c r="D401" s="322">
        <f>_xlfn.XLOOKUP(A401,'PARA ENVÍO UNIFICADO (VANE)'!$A$4:$A$729,'PARA ENVÍO UNIFICADO (VANE)'!$D$4:$D$729,0,0)</f>
        <v>194</v>
      </c>
      <c r="E401" s="322">
        <f>_xlfn.XLOOKUP(A401,'PARA ENVÍO UNIFICADO (VANE)'!$A$4:$A$729,'PARA ENVÍO UNIFICADO (VANE)'!$E$4:$E$729,0,0)</f>
        <v>72</v>
      </c>
      <c r="F401" s="322">
        <f t="shared" si="22"/>
        <v>266</v>
      </c>
      <c r="G401" s="243">
        <v>107979</v>
      </c>
      <c r="H401" s="243">
        <f t="shared" ref="H401:H406" si="23">ROUND(+G401*F401,2)</f>
        <v>28722414</v>
      </c>
    </row>
    <row r="402" spans="1:8" s="9" customFormat="1" ht="35.1" customHeight="1" x14ac:dyDescent="0.25">
      <c r="A402" s="255" t="s">
        <v>557</v>
      </c>
      <c r="B402" s="254" t="s">
        <v>558</v>
      </c>
      <c r="C402" s="255" t="s">
        <v>1422</v>
      </c>
      <c r="D402" s="322">
        <f>_xlfn.XLOOKUP(A402,'PARA ENVÍO UNIFICADO (VANE)'!$A$4:$A$729,'PARA ENVÍO UNIFICADO (VANE)'!$D$4:$D$729,0,0)</f>
        <v>8</v>
      </c>
      <c r="E402" s="322">
        <f>_xlfn.XLOOKUP(A402,'PARA ENVÍO UNIFICADO (VANE)'!$A$4:$A$729,'PARA ENVÍO UNIFICADO (VANE)'!$E$4:$E$729,0,0)</f>
        <v>3</v>
      </c>
      <c r="F402" s="322">
        <f t="shared" si="22"/>
        <v>11</v>
      </c>
      <c r="G402" s="243">
        <v>138654</v>
      </c>
      <c r="H402" s="243">
        <f t="shared" si="23"/>
        <v>1525194</v>
      </c>
    </row>
    <row r="403" spans="1:8" s="9" customFormat="1" ht="35.1" customHeight="1" x14ac:dyDescent="0.25">
      <c r="A403" s="255" t="s">
        <v>559</v>
      </c>
      <c r="B403" s="254" t="s">
        <v>560</v>
      </c>
      <c r="C403" s="255" t="s">
        <v>1422</v>
      </c>
      <c r="D403" s="322">
        <f>_xlfn.XLOOKUP(A403,'PARA ENVÍO UNIFICADO (VANE)'!$A$4:$A$729,'PARA ENVÍO UNIFICADO (VANE)'!$D$4:$D$729,0,0)</f>
        <v>91</v>
      </c>
      <c r="E403" s="322">
        <f>_xlfn.XLOOKUP(A403,'PARA ENVÍO UNIFICADO (VANE)'!$A$4:$A$729,'PARA ENVÍO UNIFICADO (VANE)'!$E$4:$E$729,0,0)</f>
        <v>34</v>
      </c>
      <c r="F403" s="322">
        <f t="shared" si="22"/>
        <v>125</v>
      </c>
      <c r="G403" s="243">
        <v>30752</v>
      </c>
      <c r="H403" s="243">
        <f t="shared" si="23"/>
        <v>3844000</v>
      </c>
    </row>
    <row r="404" spans="1:8" s="9" customFormat="1" ht="35.1" customHeight="1" x14ac:dyDescent="0.25">
      <c r="A404" s="255" t="s">
        <v>561</v>
      </c>
      <c r="B404" s="87" t="s">
        <v>562</v>
      </c>
      <c r="C404" s="255" t="s">
        <v>269</v>
      </c>
      <c r="D404" s="322">
        <f>_xlfn.XLOOKUP(A404,'PARA ENVÍO UNIFICADO (VANE)'!$A$4:$A$729,'PARA ENVÍO UNIFICADO (VANE)'!$D$4:$D$729,0,0)</f>
        <v>67</v>
      </c>
      <c r="E404" s="322">
        <f>_xlfn.XLOOKUP(A404,'PARA ENVÍO UNIFICADO (VANE)'!$A$4:$A$729,'PARA ENVÍO UNIFICADO (VANE)'!$E$4:$E$729,0,0)</f>
        <v>25</v>
      </c>
      <c r="F404" s="322">
        <f t="shared" si="22"/>
        <v>92</v>
      </c>
      <c r="G404" s="243">
        <v>201005</v>
      </c>
      <c r="H404" s="243">
        <f t="shared" si="23"/>
        <v>18492460</v>
      </c>
    </row>
    <row r="405" spans="1:8" s="9" customFormat="1" ht="35.1" customHeight="1" x14ac:dyDescent="0.25">
      <c r="A405" s="255" t="s">
        <v>563</v>
      </c>
      <c r="B405" s="254" t="s">
        <v>564</v>
      </c>
      <c r="C405" s="255" t="s">
        <v>1422</v>
      </c>
      <c r="D405" s="322">
        <f>_xlfn.XLOOKUP(A405,'PARA ENVÍO UNIFICADO (VANE)'!$A$4:$A$729,'PARA ENVÍO UNIFICADO (VANE)'!$D$4:$D$729,0,0)</f>
        <v>2</v>
      </c>
      <c r="E405" s="322">
        <f>_xlfn.XLOOKUP(A405,'PARA ENVÍO UNIFICADO (VANE)'!$A$4:$A$729,'PARA ENVÍO UNIFICADO (VANE)'!$E$4:$E$729,0,0)</f>
        <v>1</v>
      </c>
      <c r="F405" s="322">
        <f t="shared" si="22"/>
        <v>3</v>
      </c>
      <c r="G405" s="243">
        <v>166382</v>
      </c>
      <c r="H405" s="243">
        <f t="shared" si="23"/>
        <v>499146</v>
      </c>
    </row>
    <row r="406" spans="1:8" s="9" customFormat="1" ht="35.1" customHeight="1" x14ac:dyDescent="0.25">
      <c r="A406" s="255" t="s">
        <v>565</v>
      </c>
      <c r="B406" s="254" t="s">
        <v>566</v>
      </c>
      <c r="C406" s="255" t="s">
        <v>1422</v>
      </c>
      <c r="D406" s="322">
        <f>_xlfn.XLOOKUP(A406,'PARA ENVÍO UNIFICADO (VANE)'!$A$4:$A$729,'PARA ENVÍO UNIFICADO (VANE)'!$D$4:$D$729,0,0)</f>
        <v>34</v>
      </c>
      <c r="E406" s="322">
        <f>_xlfn.XLOOKUP(A406,'PARA ENVÍO UNIFICADO (VANE)'!$A$4:$A$729,'PARA ENVÍO UNIFICADO (VANE)'!$E$4:$E$729,0,0)</f>
        <v>12</v>
      </c>
      <c r="F406" s="322">
        <f t="shared" si="22"/>
        <v>46</v>
      </c>
      <c r="G406" s="243">
        <v>30752</v>
      </c>
      <c r="H406" s="243">
        <f t="shared" si="23"/>
        <v>1414592</v>
      </c>
    </row>
    <row r="407" spans="1:8" s="9" customFormat="1" ht="35.1" customHeight="1" x14ac:dyDescent="0.25">
      <c r="A407" s="289" t="s">
        <v>567</v>
      </c>
      <c r="B407" s="256" t="s">
        <v>568</v>
      </c>
      <c r="C407" s="256"/>
      <c r="D407" s="244"/>
      <c r="E407" s="244"/>
      <c r="F407" s="322">
        <f t="shared" si="22"/>
        <v>0</v>
      </c>
      <c r="G407" s="303"/>
      <c r="H407" s="246"/>
    </row>
    <row r="408" spans="1:8" s="9" customFormat="1" ht="35.1" customHeight="1" x14ac:dyDescent="0.25">
      <c r="A408" s="255" t="s">
        <v>569</v>
      </c>
      <c r="B408" s="254" t="s">
        <v>570</v>
      </c>
      <c r="C408" s="255" t="s">
        <v>269</v>
      </c>
      <c r="D408" s="322">
        <f>_xlfn.XLOOKUP(A408,'PARA ENVÍO UNIFICADO (VANE)'!$A$4:$A$729,'PARA ENVÍO UNIFICADO (VANE)'!$D$4:$D$729,0,0)</f>
        <v>182</v>
      </c>
      <c r="E408" s="322">
        <f>_xlfn.XLOOKUP(A408,'PARA ENVÍO UNIFICADO (VANE)'!$A$4:$A$729,'PARA ENVÍO UNIFICADO (VANE)'!$E$4:$E$729,0,0)</f>
        <v>68</v>
      </c>
      <c r="F408" s="322">
        <f t="shared" si="22"/>
        <v>250</v>
      </c>
      <c r="G408" s="243">
        <v>30603</v>
      </c>
      <c r="H408" s="243">
        <f>ROUND(+G408*F408,2)</f>
        <v>7650750</v>
      </c>
    </row>
    <row r="409" spans="1:8" s="9" customFormat="1" ht="35.1" customHeight="1" x14ac:dyDescent="0.25">
      <c r="A409" s="255" t="s">
        <v>571</v>
      </c>
      <c r="B409" s="254" t="s">
        <v>572</v>
      </c>
      <c r="C409" s="255" t="s">
        <v>16</v>
      </c>
      <c r="D409" s="322">
        <f>_xlfn.XLOOKUP(A409,'PARA ENVÍO UNIFICADO (VANE)'!$A$4:$A$729,'PARA ENVÍO UNIFICADO (VANE)'!$D$4:$D$729,0,0)</f>
        <v>80</v>
      </c>
      <c r="E409" s="322">
        <f>_xlfn.XLOOKUP(A409,'PARA ENVÍO UNIFICADO (VANE)'!$A$4:$A$729,'PARA ENVÍO UNIFICADO (VANE)'!$E$4:$E$729,0,0)</f>
        <v>29</v>
      </c>
      <c r="F409" s="322">
        <f t="shared" si="22"/>
        <v>109</v>
      </c>
      <c r="G409" s="243">
        <v>23878</v>
      </c>
      <c r="H409" s="243">
        <f>ROUND(+G409*F409,2)</f>
        <v>2602702</v>
      </c>
    </row>
    <row r="410" spans="1:8" s="9" customFormat="1" ht="35.1" customHeight="1" x14ac:dyDescent="0.25">
      <c r="A410" s="289" t="s">
        <v>573</v>
      </c>
      <c r="B410" s="256" t="s">
        <v>574</v>
      </c>
      <c r="C410" s="256"/>
      <c r="D410" s="244"/>
      <c r="E410" s="244"/>
      <c r="F410" s="322">
        <f t="shared" si="22"/>
        <v>0</v>
      </c>
      <c r="G410" s="303"/>
      <c r="H410" s="246"/>
    </row>
    <row r="411" spans="1:8" s="9" customFormat="1" ht="35.1" customHeight="1" x14ac:dyDescent="0.25">
      <c r="A411" s="255" t="s">
        <v>575</v>
      </c>
      <c r="B411" s="254" t="s">
        <v>576</v>
      </c>
      <c r="C411" s="255" t="s">
        <v>16</v>
      </c>
      <c r="D411" s="322">
        <f>_xlfn.XLOOKUP(A411,'PARA ENVÍO UNIFICADO (VANE)'!$A$4:$A$729,'PARA ENVÍO UNIFICADO (VANE)'!$D$4:$D$729,0,0)</f>
        <v>0</v>
      </c>
      <c r="E411" s="322">
        <f>_xlfn.XLOOKUP(A411,'PARA ENVÍO UNIFICADO (VANE)'!$A$4:$A$729,'PARA ENVÍO UNIFICADO (VANE)'!$E$4:$E$729,0,0)</f>
        <v>1</v>
      </c>
      <c r="F411" s="322">
        <f t="shared" si="22"/>
        <v>1</v>
      </c>
      <c r="G411" s="243">
        <v>73526124</v>
      </c>
      <c r="H411" s="243">
        <f t="shared" ref="H411:H420" si="24">ROUND(+G411*F411,2)</f>
        <v>73526124</v>
      </c>
    </row>
    <row r="412" spans="1:8" s="9" customFormat="1" ht="35.1" customHeight="1" x14ac:dyDescent="0.25">
      <c r="A412" s="255" t="s">
        <v>577</v>
      </c>
      <c r="B412" s="254" t="s">
        <v>578</v>
      </c>
      <c r="C412" s="255" t="s">
        <v>16</v>
      </c>
      <c r="D412" s="322">
        <f>_xlfn.XLOOKUP(A412,'PARA ENVÍO UNIFICADO (VANE)'!$A$4:$A$729,'PARA ENVÍO UNIFICADO (VANE)'!$D$4:$D$729,0,0)</f>
        <v>0</v>
      </c>
      <c r="E412" s="322">
        <f>_xlfn.XLOOKUP(A412,'PARA ENVÍO UNIFICADO (VANE)'!$A$4:$A$729,'PARA ENVÍO UNIFICADO (VANE)'!$E$4:$E$729,0,0)</f>
        <v>1</v>
      </c>
      <c r="F412" s="322">
        <f t="shared" si="22"/>
        <v>1</v>
      </c>
      <c r="G412" s="243">
        <v>5443884</v>
      </c>
      <c r="H412" s="243">
        <f t="shared" si="24"/>
        <v>5443884</v>
      </c>
    </row>
    <row r="413" spans="1:8" s="9" customFormat="1" ht="35.1" customHeight="1" x14ac:dyDescent="0.25">
      <c r="A413" s="255" t="s">
        <v>579</v>
      </c>
      <c r="B413" s="254" t="s">
        <v>580</v>
      </c>
      <c r="C413" s="255" t="s">
        <v>16</v>
      </c>
      <c r="D413" s="322">
        <f>_xlfn.XLOOKUP(A413,'PARA ENVÍO UNIFICADO (VANE)'!$A$4:$A$729,'PARA ENVÍO UNIFICADO (VANE)'!$D$4:$D$729,0,0)</f>
        <v>0</v>
      </c>
      <c r="E413" s="322">
        <f>_xlfn.XLOOKUP(A413,'PARA ENVÍO UNIFICADO (VANE)'!$A$4:$A$729,'PARA ENVÍO UNIFICADO (VANE)'!$E$4:$E$729,0,0)</f>
        <v>1</v>
      </c>
      <c r="F413" s="322">
        <f t="shared" si="22"/>
        <v>1</v>
      </c>
      <c r="G413" s="243">
        <v>202604</v>
      </c>
      <c r="H413" s="243">
        <f t="shared" si="24"/>
        <v>202604</v>
      </c>
    </row>
    <row r="414" spans="1:8" s="9" customFormat="1" ht="35.1" customHeight="1" x14ac:dyDescent="0.25">
      <c r="A414" s="255" t="s">
        <v>581</v>
      </c>
      <c r="B414" s="254" t="s">
        <v>1225</v>
      </c>
      <c r="C414" s="255" t="s">
        <v>16</v>
      </c>
      <c r="D414" s="322">
        <f>_xlfn.XLOOKUP(A414,'PARA ENVÍO UNIFICADO (VANE)'!$A$4:$A$729,'PARA ENVÍO UNIFICADO (VANE)'!$D$4:$D$729,0,0)</f>
        <v>0</v>
      </c>
      <c r="E414" s="322">
        <f>_xlfn.XLOOKUP(A414,'PARA ENVÍO UNIFICADO (VANE)'!$A$4:$A$729,'PARA ENVÍO UNIFICADO (VANE)'!$E$4:$E$729,0,0)</f>
        <v>1</v>
      </c>
      <c r="F414" s="322">
        <f t="shared" si="22"/>
        <v>1</v>
      </c>
      <c r="G414" s="243">
        <v>165116</v>
      </c>
      <c r="H414" s="243">
        <f t="shared" si="24"/>
        <v>165116</v>
      </c>
    </row>
    <row r="415" spans="1:8" s="9" customFormat="1" ht="35.1" customHeight="1" x14ac:dyDescent="0.25">
      <c r="A415" s="255" t="s">
        <v>583</v>
      </c>
      <c r="B415" s="254" t="s">
        <v>584</v>
      </c>
      <c r="C415" s="255" t="s">
        <v>16</v>
      </c>
      <c r="D415" s="322">
        <f>_xlfn.XLOOKUP(A415,'PARA ENVÍO UNIFICADO (VANE)'!$A$4:$A$729,'PARA ENVÍO UNIFICADO (VANE)'!$D$4:$D$729,0,0)</f>
        <v>0</v>
      </c>
      <c r="E415" s="322">
        <f>_xlfn.XLOOKUP(A415,'PARA ENVÍO UNIFICADO (VANE)'!$A$4:$A$729,'PARA ENVÍO UNIFICADO (VANE)'!$E$4:$E$729,0,0)</f>
        <v>1</v>
      </c>
      <c r="F415" s="322">
        <f t="shared" si="22"/>
        <v>1</v>
      </c>
      <c r="G415" s="243">
        <v>332818</v>
      </c>
      <c r="H415" s="243">
        <f t="shared" si="24"/>
        <v>332818</v>
      </c>
    </row>
    <row r="416" spans="1:8" s="9" customFormat="1" ht="35.1" customHeight="1" x14ac:dyDescent="0.25">
      <c r="A416" s="255" t="s">
        <v>585</v>
      </c>
      <c r="B416" s="254" t="s">
        <v>586</v>
      </c>
      <c r="C416" s="255" t="s">
        <v>16</v>
      </c>
      <c r="D416" s="322">
        <f>_xlfn.XLOOKUP(A416,'PARA ENVÍO UNIFICADO (VANE)'!$A$4:$A$729,'PARA ENVÍO UNIFICADO (VANE)'!$D$4:$D$729,0,0)</f>
        <v>0</v>
      </c>
      <c r="E416" s="322">
        <f>_xlfn.XLOOKUP(A416,'PARA ENVÍO UNIFICADO (VANE)'!$A$4:$A$729,'PARA ENVÍO UNIFICADO (VANE)'!$E$4:$E$729,0,0)</f>
        <v>1</v>
      </c>
      <c r="F416" s="322">
        <f t="shared" si="22"/>
        <v>1</v>
      </c>
      <c r="G416" s="243">
        <v>405750</v>
      </c>
      <c r="H416" s="243">
        <f t="shared" si="24"/>
        <v>405750</v>
      </c>
    </row>
    <row r="417" spans="1:8" s="9" customFormat="1" ht="35.1" customHeight="1" x14ac:dyDescent="0.25">
      <c r="A417" s="255" t="s">
        <v>587</v>
      </c>
      <c r="B417" s="254" t="s">
        <v>1226</v>
      </c>
      <c r="C417" s="255" t="s">
        <v>16</v>
      </c>
      <c r="D417" s="322">
        <f>_xlfn.XLOOKUP(A417,'PARA ENVÍO UNIFICADO (VANE)'!$A$4:$A$729,'PARA ENVÍO UNIFICADO (VANE)'!$D$4:$D$729,0,0)</f>
        <v>0</v>
      </c>
      <c r="E417" s="322">
        <f>_xlfn.XLOOKUP(A417,'PARA ENVÍO UNIFICADO (VANE)'!$A$4:$A$729,'PARA ENVÍO UNIFICADO (VANE)'!$E$4:$E$729,0,0)</f>
        <v>1</v>
      </c>
      <c r="F417" s="322">
        <f t="shared" si="22"/>
        <v>1</v>
      </c>
      <c r="G417" s="243">
        <v>297041</v>
      </c>
      <c r="H417" s="243">
        <f t="shared" si="24"/>
        <v>297041</v>
      </c>
    </row>
    <row r="418" spans="1:8" s="9" customFormat="1" ht="35.1" customHeight="1" x14ac:dyDescent="0.25">
      <c r="A418" s="255" t="s">
        <v>589</v>
      </c>
      <c r="B418" s="254" t="s">
        <v>590</v>
      </c>
      <c r="C418" s="255" t="s">
        <v>16</v>
      </c>
      <c r="D418" s="322">
        <f>_xlfn.XLOOKUP(A418,'PARA ENVÍO UNIFICADO (VANE)'!$A$4:$A$729,'PARA ENVÍO UNIFICADO (VANE)'!$D$4:$D$729,0,0)</f>
        <v>1</v>
      </c>
      <c r="E418" s="322">
        <f>_xlfn.XLOOKUP(A418,'PARA ENVÍO UNIFICADO (VANE)'!$A$4:$A$729,'PARA ENVÍO UNIFICADO (VANE)'!$E$4:$E$729,0,0)</f>
        <v>1</v>
      </c>
      <c r="F418" s="322">
        <f t="shared" si="22"/>
        <v>2</v>
      </c>
      <c r="G418" s="243">
        <v>599021</v>
      </c>
      <c r="H418" s="243">
        <f t="shared" si="24"/>
        <v>1198042</v>
      </c>
    </row>
    <row r="419" spans="1:8" s="9" customFormat="1" ht="35.1" customHeight="1" x14ac:dyDescent="0.25">
      <c r="A419" s="255" t="s">
        <v>591</v>
      </c>
      <c r="B419" s="254" t="s">
        <v>1227</v>
      </c>
      <c r="C419" s="255" t="s">
        <v>16</v>
      </c>
      <c r="D419" s="322">
        <f>_xlfn.XLOOKUP(A419,'PARA ENVÍO UNIFICADO (VANE)'!$A$4:$A$729,'PARA ENVÍO UNIFICADO (VANE)'!$D$4:$D$729,0,0)</f>
        <v>0</v>
      </c>
      <c r="E419" s="322">
        <f>_xlfn.XLOOKUP(A419,'PARA ENVÍO UNIFICADO (VANE)'!$A$4:$A$729,'PARA ENVÍO UNIFICADO (VANE)'!$E$4:$E$729,0,0)</f>
        <v>1</v>
      </c>
      <c r="F419" s="322">
        <f t="shared" si="22"/>
        <v>1</v>
      </c>
      <c r="G419" s="243">
        <v>19225447</v>
      </c>
      <c r="H419" s="243">
        <f t="shared" si="24"/>
        <v>19225447</v>
      </c>
    </row>
    <row r="420" spans="1:8" s="9" customFormat="1" ht="35.1" customHeight="1" x14ac:dyDescent="0.25">
      <c r="A420" s="255" t="s">
        <v>593</v>
      </c>
      <c r="B420" s="254" t="s">
        <v>594</v>
      </c>
      <c r="C420" s="255" t="s">
        <v>16</v>
      </c>
      <c r="D420" s="322">
        <f>_xlfn.XLOOKUP(A420,'PARA ENVÍO UNIFICADO (VANE)'!$A$4:$A$729,'PARA ENVÍO UNIFICADO (VANE)'!$D$4:$D$729,0,0)</f>
        <v>2</v>
      </c>
      <c r="E420" s="322">
        <f>_xlfn.XLOOKUP(A420,'PARA ENVÍO UNIFICADO (VANE)'!$A$4:$A$729,'PARA ENVÍO UNIFICADO (VANE)'!$E$4:$E$729,0,0)</f>
        <v>1</v>
      </c>
      <c r="F420" s="322">
        <f t="shared" si="22"/>
        <v>3</v>
      </c>
      <c r="G420" s="243">
        <v>1528030</v>
      </c>
      <c r="H420" s="243">
        <f t="shared" si="24"/>
        <v>4584090</v>
      </c>
    </row>
    <row r="421" spans="1:8" s="9" customFormat="1" ht="35.1" customHeight="1" x14ac:dyDescent="0.25">
      <c r="A421" s="289" t="s">
        <v>595</v>
      </c>
      <c r="B421" s="256" t="s">
        <v>596</v>
      </c>
      <c r="C421" s="256"/>
      <c r="D421" s="244"/>
      <c r="E421" s="244"/>
      <c r="F421" s="322">
        <f t="shared" si="22"/>
        <v>0</v>
      </c>
      <c r="G421" s="303"/>
      <c r="H421" s="246"/>
    </row>
    <row r="422" spans="1:8" s="9" customFormat="1" ht="35.1" customHeight="1" x14ac:dyDescent="0.25">
      <c r="A422" s="255" t="s">
        <v>597</v>
      </c>
      <c r="B422" s="254" t="s">
        <v>598</v>
      </c>
      <c r="C422" s="255" t="s">
        <v>269</v>
      </c>
      <c r="D422" s="322">
        <f>_xlfn.XLOOKUP(A422,'PARA ENVÍO UNIFICADO (VANE)'!$A$4:$A$729,'PARA ENVÍO UNIFICADO (VANE)'!$D$4:$D$729,0,0)</f>
        <v>0</v>
      </c>
      <c r="E422" s="322">
        <f>_xlfn.XLOOKUP(A422,'PARA ENVÍO UNIFICADO (VANE)'!$A$4:$A$729,'PARA ENVÍO UNIFICADO (VANE)'!$E$4:$E$729,0,0)</f>
        <v>20</v>
      </c>
      <c r="F422" s="322">
        <f t="shared" si="22"/>
        <v>20</v>
      </c>
      <c r="G422" s="243">
        <v>322883</v>
      </c>
      <c r="H422" s="243">
        <f>ROUND(+G422*F422,2)</f>
        <v>6457660</v>
      </c>
    </row>
    <row r="423" spans="1:8" s="9" customFormat="1" ht="35.1" customHeight="1" x14ac:dyDescent="0.25">
      <c r="A423" s="255" t="s">
        <v>599</v>
      </c>
      <c r="B423" s="254" t="s">
        <v>1228</v>
      </c>
      <c r="C423" s="255" t="s">
        <v>269</v>
      </c>
      <c r="D423" s="322">
        <f>_xlfn.XLOOKUP(A423,'PARA ENVÍO UNIFICADO (VANE)'!$A$4:$A$729,'PARA ENVÍO UNIFICADO (VANE)'!$D$4:$D$729,0,0)</f>
        <v>0</v>
      </c>
      <c r="E423" s="322">
        <f>_xlfn.XLOOKUP(A423,'PARA ENVÍO UNIFICADO (VANE)'!$A$4:$A$729,'PARA ENVÍO UNIFICADO (VANE)'!$E$4:$E$729,0,0)</f>
        <v>6</v>
      </c>
      <c r="F423" s="322">
        <f t="shared" si="22"/>
        <v>6</v>
      </c>
      <c r="G423" s="243">
        <v>1191705</v>
      </c>
      <c r="H423" s="243">
        <f>ROUND(+G423*F423,2)</f>
        <v>7150230</v>
      </c>
    </row>
    <row r="424" spans="1:8" s="9" customFormat="1" ht="35.1" customHeight="1" x14ac:dyDescent="0.25">
      <c r="A424" s="255" t="s">
        <v>601</v>
      </c>
      <c r="B424" s="254" t="s">
        <v>1229</v>
      </c>
      <c r="C424" s="255" t="s">
        <v>269</v>
      </c>
      <c r="D424" s="322">
        <f>_xlfn.XLOOKUP(A424,'PARA ENVÍO UNIFICADO (VANE)'!$A$4:$A$729,'PARA ENVÍO UNIFICADO (VANE)'!$D$4:$D$729,0,0)</f>
        <v>0</v>
      </c>
      <c r="E424" s="322">
        <f>_xlfn.XLOOKUP(A424,'PARA ENVÍO UNIFICADO (VANE)'!$A$4:$A$729,'PARA ENVÍO UNIFICADO (VANE)'!$E$4:$E$729,0,0)</f>
        <v>5</v>
      </c>
      <c r="F424" s="322">
        <f t="shared" si="22"/>
        <v>5</v>
      </c>
      <c r="G424" s="243">
        <v>1253733</v>
      </c>
      <c r="H424" s="243">
        <f>ROUND(+G424*F424,2)</f>
        <v>6268665</v>
      </c>
    </row>
    <row r="425" spans="1:8" s="9" customFormat="1" ht="35.1" customHeight="1" x14ac:dyDescent="0.25">
      <c r="A425" s="289" t="s">
        <v>603</v>
      </c>
      <c r="B425" s="256" t="s">
        <v>596</v>
      </c>
      <c r="C425" s="256"/>
      <c r="D425" s="244"/>
      <c r="E425" s="244"/>
      <c r="F425" s="322">
        <f t="shared" si="22"/>
        <v>0</v>
      </c>
      <c r="G425" s="303"/>
      <c r="H425" s="246"/>
    </row>
    <row r="426" spans="1:8" s="9" customFormat="1" ht="35.1" customHeight="1" x14ac:dyDescent="0.25">
      <c r="A426" s="255" t="s">
        <v>604</v>
      </c>
      <c r="B426" s="254" t="s">
        <v>605</v>
      </c>
      <c r="C426" s="255" t="s">
        <v>269</v>
      </c>
      <c r="D426" s="322">
        <f>_xlfn.XLOOKUP(A426,'PARA ENVÍO UNIFICADO (VANE)'!$A$4:$A$729,'PARA ENVÍO UNIFICADO (VANE)'!$D$4:$D$729,0,0)</f>
        <v>0</v>
      </c>
      <c r="E426" s="322">
        <f>_xlfn.XLOOKUP(A426,'PARA ENVÍO UNIFICADO (VANE)'!$A$4:$A$729,'PARA ENVÍO UNIFICADO (VANE)'!$E$4:$E$729,0,0)</f>
        <v>8</v>
      </c>
      <c r="F426" s="322">
        <f t="shared" si="22"/>
        <v>8</v>
      </c>
      <c r="G426" s="243">
        <v>195760</v>
      </c>
      <c r="H426" s="243">
        <f t="shared" ref="H426:H441" si="25">ROUND(+G426*F426,2)</f>
        <v>1566080</v>
      </c>
    </row>
    <row r="427" spans="1:8" s="9" customFormat="1" ht="35.1" customHeight="1" x14ac:dyDescent="0.25">
      <c r="A427" s="255" t="s">
        <v>606</v>
      </c>
      <c r="B427" s="254" t="s">
        <v>607</v>
      </c>
      <c r="C427" s="255" t="s">
        <v>269</v>
      </c>
      <c r="D427" s="322">
        <f>_xlfn.XLOOKUP(A427,'PARA ENVÍO UNIFICADO (VANE)'!$A$4:$A$729,'PARA ENVÍO UNIFICADO (VANE)'!$D$4:$D$729,0,0)</f>
        <v>0</v>
      </c>
      <c r="E427" s="322">
        <f>_xlfn.XLOOKUP(A427,'PARA ENVÍO UNIFICADO (VANE)'!$A$4:$A$729,'PARA ENVÍO UNIFICADO (VANE)'!$E$4:$E$729,0,0)</f>
        <v>52</v>
      </c>
      <c r="F427" s="322">
        <f t="shared" si="22"/>
        <v>52</v>
      </c>
      <c r="G427" s="243">
        <v>62878</v>
      </c>
      <c r="H427" s="243">
        <f t="shared" si="25"/>
        <v>3269656</v>
      </c>
    </row>
    <row r="428" spans="1:8" s="9" customFormat="1" ht="35.1" customHeight="1" x14ac:dyDescent="0.25">
      <c r="A428" s="255" t="s">
        <v>608</v>
      </c>
      <c r="B428" s="254" t="s">
        <v>609</v>
      </c>
      <c r="C428" s="255" t="s">
        <v>269</v>
      </c>
      <c r="D428" s="322">
        <f>_xlfn.XLOOKUP(A428,'PARA ENVÍO UNIFICADO (VANE)'!$A$4:$A$729,'PARA ENVÍO UNIFICADO (VANE)'!$D$4:$D$729,0,0)</f>
        <v>0</v>
      </c>
      <c r="E428" s="322">
        <f>_xlfn.XLOOKUP(A428,'PARA ENVÍO UNIFICADO (VANE)'!$A$4:$A$729,'PARA ENVÍO UNIFICADO (VANE)'!$E$4:$E$729,0,0)</f>
        <v>106</v>
      </c>
      <c r="F428" s="322">
        <f t="shared" si="22"/>
        <v>106</v>
      </c>
      <c r="G428" s="243">
        <v>62878</v>
      </c>
      <c r="H428" s="243">
        <f t="shared" si="25"/>
        <v>6665068</v>
      </c>
    </row>
    <row r="429" spans="1:8" s="9" customFormat="1" ht="35.1" customHeight="1" x14ac:dyDescent="0.25">
      <c r="A429" s="255" t="s">
        <v>610</v>
      </c>
      <c r="B429" s="254" t="s">
        <v>611</v>
      </c>
      <c r="C429" s="255" t="s">
        <v>269</v>
      </c>
      <c r="D429" s="322">
        <f>_xlfn.XLOOKUP(A429,'PARA ENVÍO UNIFICADO (VANE)'!$A$4:$A$729,'PARA ENVÍO UNIFICADO (VANE)'!$D$4:$D$729,0,0)</f>
        <v>0</v>
      </c>
      <c r="E429" s="322">
        <f>_xlfn.XLOOKUP(A429,'PARA ENVÍO UNIFICADO (VANE)'!$A$4:$A$729,'PARA ENVÍO UNIFICADO (VANE)'!$E$4:$E$729,0,0)</f>
        <v>5</v>
      </c>
      <c r="F429" s="322">
        <f t="shared" si="22"/>
        <v>5</v>
      </c>
      <c r="G429" s="243">
        <v>367601</v>
      </c>
      <c r="H429" s="243">
        <f t="shared" si="25"/>
        <v>1838005</v>
      </c>
    </row>
    <row r="430" spans="1:8" s="9" customFormat="1" ht="35.1" customHeight="1" x14ac:dyDescent="0.25">
      <c r="A430" s="255" t="s">
        <v>612</v>
      </c>
      <c r="B430" s="254" t="s">
        <v>613</v>
      </c>
      <c r="C430" s="255" t="s">
        <v>269</v>
      </c>
      <c r="D430" s="322">
        <f>_xlfn.XLOOKUP(A430,'PARA ENVÍO UNIFICADO (VANE)'!$A$4:$A$729,'PARA ENVÍO UNIFICADO (VANE)'!$D$4:$D$729,0,0)</f>
        <v>0</v>
      </c>
      <c r="E430" s="322">
        <f>_xlfn.XLOOKUP(A430,'PARA ENVÍO UNIFICADO (VANE)'!$A$4:$A$729,'PARA ENVÍO UNIFICADO (VANE)'!$E$4:$E$729,0,0)</f>
        <v>6</v>
      </c>
      <c r="F430" s="322">
        <f t="shared" si="22"/>
        <v>6</v>
      </c>
      <c r="G430" s="243">
        <v>62878</v>
      </c>
      <c r="H430" s="243">
        <f t="shared" si="25"/>
        <v>377268</v>
      </c>
    </row>
    <row r="431" spans="1:8" s="9" customFormat="1" ht="35.1" customHeight="1" x14ac:dyDescent="0.25">
      <c r="A431" s="255" t="s">
        <v>614</v>
      </c>
      <c r="B431" s="254" t="s">
        <v>615</v>
      </c>
      <c r="C431" s="255" t="s">
        <v>269</v>
      </c>
      <c r="D431" s="322">
        <f>_xlfn.XLOOKUP(A431,'PARA ENVÍO UNIFICADO (VANE)'!$A$4:$A$729,'PARA ENVÍO UNIFICADO (VANE)'!$D$4:$D$729,0,0)</f>
        <v>0</v>
      </c>
      <c r="E431" s="322">
        <f>_xlfn.XLOOKUP(A431,'PARA ENVÍO UNIFICADO (VANE)'!$A$4:$A$729,'PARA ENVÍO UNIFICADO (VANE)'!$E$4:$E$729,0,0)</f>
        <v>60</v>
      </c>
      <c r="F431" s="322">
        <f t="shared" si="22"/>
        <v>60</v>
      </c>
      <c r="G431" s="243">
        <v>132053</v>
      </c>
      <c r="H431" s="243">
        <f t="shared" si="25"/>
        <v>7923180</v>
      </c>
    </row>
    <row r="432" spans="1:8" s="9" customFormat="1" ht="35.1" customHeight="1" x14ac:dyDescent="0.25">
      <c r="A432" s="255" t="s">
        <v>616</v>
      </c>
      <c r="B432" s="254" t="s">
        <v>617</v>
      </c>
      <c r="C432" s="255" t="s">
        <v>269</v>
      </c>
      <c r="D432" s="322">
        <f>_xlfn.XLOOKUP(A432,'PARA ENVÍO UNIFICADO (VANE)'!$A$4:$A$729,'PARA ENVÍO UNIFICADO (VANE)'!$D$4:$D$729,0,0)</f>
        <v>0</v>
      </c>
      <c r="E432" s="322">
        <f>_xlfn.XLOOKUP(A432,'PARA ENVÍO UNIFICADO (VANE)'!$A$4:$A$729,'PARA ENVÍO UNIFICADO (VANE)'!$E$4:$E$729,0,0)</f>
        <v>64</v>
      </c>
      <c r="F432" s="322">
        <f t="shared" si="22"/>
        <v>64</v>
      </c>
      <c r="G432" s="243">
        <v>195436</v>
      </c>
      <c r="H432" s="243">
        <f t="shared" si="25"/>
        <v>12507904</v>
      </c>
    </row>
    <row r="433" spans="1:8" s="9" customFormat="1" ht="35.1" customHeight="1" x14ac:dyDescent="0.25">
      <c r="A433" s="255" t="s">
        <v>618</v>
      </c>
      <c r="B433" s="254" t="s">
        <v>619</v>
      </c>
      <c r="C433" s="255" t="s">
        <v>269</v>
      </c>
      <c r="D433" s="322">
        <f>_xlfn.XLOOKUP(A433,'PARA ENVÍO UNIFICADO (VANE)'!$A$4:$A$729,'PARA ENVÍO UNIFICADO (VANE)'!$D$4:$D$729,0,0)</f>
        <v>0</v>
      </c>
      <c r="E433" s="322">
        <f>_xlfn.XLOOKUP(A433,'PARA ENVÍO UNIFICADO (VANE)'!$A$4:$A$729,'PARA ENVÍO UNIFICADO (VANE)'!$E$4:$E$729,0,0)</f>
        <v>68</v>
      </c>
      <c r="F433" s="322">
        <f t="shared" si="22"/>
        <v>68</v>
      </c>
      <c r="G433" s="243">
        <v>195436</v>
      </c>
      <c r="H433" s="243">
        <f t="shared" si="25"/>
        <v>13289648</v>
      </c>
    </row>
    <row r="434" spans="1:8" s="9" customFormat="1" ht="35.1" customHeight="1" x14ac:dyDescent="0.25">
      <c r="A434" s="255" t="s">
        <v>620</v>
      </c>
      <c r="B434" s="254" t="s">
        <v>621</v>
      </c>
      <c r="C434" s="255" t="s">
        <v>269</v>
      </c>
      <c r="D434" s="322">
        <f>_xlfn.XLOOKUP(A434,'PARA ENVÍO UNIFICADO (VANE)'!$A$4:$A$729,'PARA ENVÍO UNIFICADO (VANE)'!$D$4:$D$729,0,0)</f>
        <v>0</v>
      </c>
      <c r="E434" s="322">
        <f>_xlfn.XLOOKUP(A434,'PARA ENVÍO UNIFICADO (VANE)'!$A$4:$A$729,'PARA ENVÍO UNIFICADO (VANE)'!$E$4:$E$729,0,0)</f>
        <v>72</v>
      </c>
      <c r="F434" s="322">
        <f t="shared" si="22"/>
        <v>72</v>
      </c>
      <c r="G434" s="243">
        <v>195436</v>
      </c>
      <c r="H434" s="243">
        <f t="shared" si="25"/>
        <v>14071392</v>
      </c>
    </row>
    <row r="435" spans="1:8" s="9" customFormat="1" ht="35.1" customHeight="1" x14ac:dyDescent="0.25">
      <c r="A435" s="255" t="s">
        <v>622</v>
      </c>
      <c r="B435" s="254" t="s">
        <v>623</v>
      </c>
      <c r="C435" s="255" t="s">
        <v>269</v>
      </c>
      <c r="D435" s="322">
        <f>_xlfn.XLOOKUP(A435,'PARA ENVÍO UNIFICADO (VANE)'!$A$4:$A$729,'PARA ENVÍO UNIFICADO (VANE)'!$D$4:$D$729,0,0)</f>
        <v>0</v>
      </c>
      <c r="E435" s="322">
        <f>_xlfn.XLOOKUP(A435,'PARA ENVÍO UNIFICADO (VANE)'!$A$4:$A$729,'PARA ENVÍO UNIFICADO (VANE)'!$E$4:$E$729,0,0)</f>
        <v>60</v>
      </c>
      <c r="F435" s="322">
        <f t="shared" si="22"/>
        <v>60</v>
      </c>
      <c r="G435" s="243">
        <v>175265</v>
      </c>
      <c r="H435" s="243">
        <f t="shared" si="25"/>
        <v>10515900</v>
      </c>
    </row>
    <row r="436" spans="1:8" s="9" customFormat="1" ht="35.1" customHeight="1" x14ac:dyDescent="0.25">
      <c r="A436" s="255" t="s">
        <v>624</v>
      </c>
      <c r="B436" s="254" t="s">
        <v>625</v>
      </c>
      <c r="C436" s="255" t="s">
        <v>269</v>
      </c>
      <c r="D436" s="322">
        <f>_xlfn.XLOOKUP(A436,'PARA ENVÍO UNIFICADO (VANE)'!$A$4:$A$729,'PARA ENVÍO UNIFICADO (VANE)'!$D$4:$D$729,0,0)</f>
        <v>0</v>
      </c>
      <c r="E436" s="322">
        <f>_xlfn.XLOOKUP(A436,'PARA ENVÍO UNIFICADO (VANE)'!$A$4:$A$729,'PARA ENVÍO UNIFICADO (VANE)'!$E$4:$E$729,0,0)</f>
        <v>7</v>
      </c>
      <c r="F436" s="322">
        <f t="shared" si="22"/>
        <v>7</v>
      </c>
      <c r="G436" s="243">
        <v>102265</v>
      </c>
      <c r="H436" s="243">
        <f t="shared" si="25"/>
        <v>715855</v>
      </c>
    </row>
    <row r="437" spans="1:8" s="9" customFormat="1" ht="35.1" customHeight="1" x14ac:dyDescent="0.25">
      <c r="A437" s="255" t="s">
        <v>1230</v>
      </c>
      <c r="B437" s="254" t="s">
        <v>1231</v>
      </c>
      <c r="C437" s="255" t="s">
        <v>269</v>
      </c>
      <c r="D437" s="322">
        <f>_xlfn.XLOOKUP(A437,'PARA ENVÍO UNIFICADO (VANE)'!$A$4:$A$729,'PARA ENVÍO UNIFICADO (VANE)'!$D$4:$D$729,0,0)</f>
        <v>72</v>
      </c>
      <c r="E437" s="322">
        <f>_xlfn.XLOOKUP(A437,'PARA ENVÍO UNIFICADO (VANE)'!$A$4:$A$729,'PARA ENVÍO UNIFICADO (VANE)'!$E$4:$E$729,0,0)</f>
        <v>0</v>
      </c>
      <c r="F437" s="322">
        <f t="shared" si="22"/>
        <v>72</v>
      </c>
      <c r="G437" s="243">
        <v>175338</v>
      </c>
      <c r="H437" s="243">
        <f t="shared" si="25"/>
        <v>12624336</v>
      </c>
    </row>
    <row r="438" spans="1:8" s="9" customFormat="1" ht="35.1" customHeight="1" x14ac:dyDescent="0.25">
      <c r="A438" s="255" t="s">
        <v>1232</v>
      </c>
      <c r="B438" s="254" t="s">
        <v>1233</v>
      </c>
      <c r="C438" s="255" t="s">
        <v>269</v>
      </c>
      <c r="D438" s="322">
        <f>_xlfn.XLOOKUP(A438,'PARA ENVÍO UNIFICADO (VANE)'!$A$4:$A$729,'PARA ENVÍO UNIFICADO (VANE)'!$D$4:$D$729,0,0)</f>
        <v>7</v>
      </c>
      <c r="E438" s="322">
        <f>_xlfn.XLOOKUP(A438,'PARA ENVÍO UNIFICADO (VANE)'!$A$4:$A$729,'PARA ENVÍO UNIFICADO (VANE)'!$E$4:$E$729,0,0)</f>
        <v>0</v>
      </c>
      <c r="F438" s="322">
        <f t="shared" si="22"/>
        <v>7</v>
      </c>
      <c r="G438" s="243">
        <v>102265</v>
      </c>
      <c r="H438" s="243">
        <f t="shared" si="25"/>
        <v>715855</v>
      </c>
    </row>
    <row r="439" spans="1:8" s="9" customFormat="1" ht="35.1" customHeight="1" x14ac:dyDescent="0.25">
      <c r="A439" s="255" t="s">
        <v>1234</v>
      </c>
      <c r="B439" s="254" t="s">
        <v>1235</v>
      </c>
      <c r="C439" s="255" t="s">
        <v>269</v>
      </c>
      <c r="D439" s="322">
        <f>_xlfn.XLOOKUP(A439,'PARA ENVÍO UNIFICADO (VANE)'!$A$4:$A$729,'PARA ENVÍO UNIFICADO (VANE)'!$D$4:$D$729,0,0)</f>
        <v>76</v>
      </c>
      <c r="E439" s="322">
        <f>_xlfn.XLOOKUP(A439,'PARA ENVÍO UNIFICADO (VANE)'!$A$4:$A$729,'PARA ENVÍO UNIFICADO (VANE)'!$E$4:$E$729,0,0)</f>
        <v>0</v>
      </c>
      <c r="F439" s="322">
        <f t="shared" si="22"/>
        <v>76</v>
      </c>
      <c r="G439" s="243">
        <v>486251</v>
      </c>
      <c r="H439" s="243">
        <f t="shared" si="25"/>
        <v>36955076</v>
      </c>
    </row>
    <row r="440" spans="1:8" s="9" customFormat="1" ht="35.1" customHeight="1" x14ac:dyDescent="0.25">
      <c r="A440" s="255" t="s">
        <v>1236</v>
      </c>
      <c r="B440" s="254" t="s">
        <v>1237</v>
      </c>
      <c r="C440" s="255" t="s">
        <v>269</v>
      </c>
      <c r="D440" s="322">
        <f>_xlfn.XLOOKUP(A440,'PARA ENVÍO UNIFICADO (VANE)'!$A$4:$A$729,'PARA ENVÍO UNIFICADO (VANE)'!$D$4:$D$729,0,0)</f>
        <v>76</v>
      </c>
      <c r="E440" s="322">
        <f>_xlfn.XLOOKUP(A440,'PARA ENVÍO UNIFICADO (VANE)'!$A$4:$A$729,'PARA ENVÍO UNIFICADO (VANE)'!$E$4:$E$729,0,0)</f>
        <v>0</v>
      </c>
      <c r="F440" s="322">
        <f t="shared" si="22"/>
        <v>76</v>
      </c>
      <c r="G440" s="243">
        <v>486251</v>
      </c>
      <c r="H440" s="243">
        <f t="shared" si="25"/>
        <v>36955076</v>
      </c>
    </row>
    <row r="441" spans="1:8" s="9" customFormat="1" ht="35.1" customHeight="1" x14ac:dyDescent="0.25">
      <c r="A441" s="255" t="s">
        <v>626</v>
      </c>
      <c r="B441" s="254" t="s">
        <v>1238</v>
      </c>
      <c r="C441" s="255" t="s">
        <v>269</v>
      </c>
      <c r="D441" s="322">
        <f>_xlfn.XLOOKUP(A441,'PARA ENVÍO UNIFICADO (VANE)'!$A$4:$A$729,'PARA ENVÍO UNIFICADO (VANE)'!$D$4:$D$729,0,0)</f>
        <v>0</v>
      </c>
      <c r="E441" s="322">
        <f>_xlfn.XLOOKUP(A441,'PARA ENVÍO UNIFICADO (VANE)'!$A$4:$A$729,'PARA ENVÍO UNIFICADO (VANE)'!$E$4:$E$729,0,0)</f>
        <v>102</v>
      </c>
      <c r="F441" s="322">
        <f t="shared" si="22"/>
        <v>102</v>
      </c>
      <c r="G441" s="243">
        <v>166577</v>
      </c>
      <c r="H441" s="243">
        <f t="shared" si="25"/>
        <v>16990854</v>
      </c>
    </row>
    <row r="442" spans="1:8" s="9" customFormat="1" ht="35.1" customHeight="1" x14ac:dyDescent="0.25">
      <c r="A442" s="289" t="s">
        <v>628</v>
      </c>
      <c r="B442" s="256" t="s">
        <v>629</v>
      </c>
      <c r="C442" s="256"/>
      <c r="D442" s="244"/>
      <c r="E442" s="244"/>
      <c r="F442" s="322">
        <f t="shared" si="22"/>
        <v>0</v>
      </c>
      <c r="G442" s="303"/>
      <c r="H442" s="246"/>
    </row>
    <row r="443" spans="1:8" s="9" customFormat="1" ht="35.1" customHeight="1" x14ac:dyDescent="0.25">
      <c r="A443" s="255" t="s">
        <v>630</v>
      </c>
      <c r="B443" s="254" t="s">
        <v>631</v>
      </c>
      <c r="C443" s="255" t="s">
        <v>269</v>
      </c>
      <c r="D443" s="322">
        <f>_xlfn.XLOOKUP(A443,'PARA ENVÍO UNIFICADO (VANE)'!$A$4:$A$729,'PARA ENVÍO UNIFICADO (VANE)'!$D$4:$D$729,0,0)</f>
        <v>0</v>
      </c>
      <c r="E443" s="322">
        <f>_xlfn.XLOOKUP(A443,'PARA ENVÍO UNIFICADO (VANE)'!$A$4:$A$729,'PARA ENVÍO UNIFICADO (VANE)'!$E$4:$E$729,0,0)</f>
        <v>50</v>
      </c>
      <c r="F443" s="322">
        <f t="shared" si="22"/>
        <v>50</v>
      </c>
      <c r="G443" s="243">
        <v>37279</v>
      </c>
      <c r="H443" s="243">
        <f>ROUND(+G443*F443,2)</f>
        <v>1863950</v>
      </c>
    </row>
    <row r="444" spans="1:8" s="9" customFormat="1" ht="35.1" customHeight="1" x14ac:dyDescent="0.25">
      <c r="A444" s="255" t="s">
        <v>632</v>
      </c>
      <c r="B444" s="254" t="s">
        <v>1239</v>
      </c>
      <c r="C444" s="255" t="s">
        <v>269</v>
      </c>
      <c r="D444" s="322">
        <f>_xlfn.XLOOKUP(A444,'PARA ENVÍO UNIFICADO (VANE)'!$A$4:$A$729,'PARA ENVÍO UNIFICADO (VANE)'!$D$4:$D$729,0,0)</f>
        <v>0</v>
      </c>
      <c r="E444" s="322">
        <f>_xlfn.XLOOKUP(A444,'PARA ENVÍO UNIFICADO (VANE)'!$A$4:$A$729,'PARA ENVÍO UNIFICADO (VANE)'!$E$4:$E$729,0,0)</f>
        <v>100</v>
      </c>
      <c r="F444" s="322">
        <f t="shared" si="22"/>
        <v>100</v>
      </c>
      <c r="G444" s="243">
        <v>67515</v>
      </c>
      <c r="H444" s="243">
        <f>ROUND(+G444*F444,2)</f>
        <v>6751500</v>
      </c>
    </row>
    <row r="445" spans="1:8" s="9" customFormat="1" ht="39.950000000000003" customHeight="1" x14ac:dyDescent="0.25">
      <c r="A445" s="289" t="s">
        <v>634</v>
      </c>
      <c r="B445" s="256" t="s">
        <v>635</v>
      </c>
      <c r="C445" s="256"/>
      <c r="D445" s="244"/>
      <c r="E445" s="244"/>
      <c r="F445" s="322">
        <f t="shared" si="22"/>
        <v>0</v>
      </c>
      <c r="G445" s="303"/>
      <c r="H445" s="246"/>
    </row>
    <row r="446" spans="1:8" s="9" customFormat="1" ht="39.950000000000003" customHeight="1" x14ac:dyDescent="0.25">
      <c r="A446" s="255" t="s">
        <v>636</v>
      </c>
      <c r="B446" s="254" t="s">
        <v>637</v>
      </c>
      <c r="C446" s="255" t="s">
        <v>16</v>
      </c>
      <c r="D446" s="322">
        <f>_xlfn.XLOOKUP(A446,'PARA ENVÍO UNIFICADO (VANE)'!$A$4:$A$729,'PARA ENVÍO UNIFICADO (VANE)'!$D$4:$D$729,0,0)</f>
        <v>0</v>
      </c>
      <c r="E446" s="322">
        <f>_xlfn.XLOOKUP(A446,'PARA ENVÍO UNIFICADO (VANE)'!$A$4:$A$729,'PARA ENVÍO UNIFICADO (VANE)'!$E$4:$E$729,0,0)</f>
        <v>1</v>
      </c>
      <c r="F446" s="322">
        <f t="shared" si="22"/>
        <v>1</v>
      </c>
      <c r="G446" s="243">
        <v>871878</v>
      </c>
      <c r="H446" s="243">
        <f t="shared" ref="H446:H452" si="26">ROUND(+G446*F446,2)</f>
        <v>871878</v>
      </c>
    </row>
    <row r="447" spans="1:8" s="9" customFormat="1" ht="39.950000000000003" customHeight="1" x14ac:dyDescent="0.25">
      <c r="A447" s="255" t="s">
        <v>638</v>
      </c>
      <c r="B447" s="254" t="s">
        <v>639</v>
      </c>
      <c r="C447" s="255" t="s">
        <v>16</v>
      </c>
      <c r="D447" s="322">
        <f>_xlfn.XLOOKUP(A447,'PARA ENVÍO UNIFICADO (VANE)'!$A$4:$A$729,'PARA ENVÍO UNIFICADO (VANE)'!$D$4:$D$729,0,0)</f>
        <v>0</v>
      </c>
      <c r="E447" s="322">
        <f>_xlfn.XLOOKUP(A447,'PARA ENVÍO UNIFICADO (VANE)'!$A$4:$A$729,'PARA ENVÍO UNIFICADO (VANE)'!$E$4:$E$729,0,0)</f>
        <v>1</v>
      </c>
      <c r="F447" s="322">
        <f t="shared" si="22"/>
        <v>1</v>
      </c>
      <c r="G447" s="243">
        <v>700334</v>
      </c>
      <c r="H447" s="243">
        <f t="shared" si="26"/>
        <v>700334</v>
      </c>
    </row>
    <row r="448" spans="1:8" s="9" customFormat="1" ht="39.950000000000003" customHeight="1" x14ac:dyDescent="0.25">
      <c r="A448" s="255" t="s">
        <v>640</v>
      </c>
      <c r="B448" s="254" t="s">
        <v>641</v>
      </c>
      <c r="C448" s="255" t="s">
        <v>16</v>
      </c>
      <c r="D448" s="322">
        <f>_xlfn.XLOOKUP(A448,'PARA ENVÍO UNIFICADO (VANE)'!$A$4:$A$729,'PARA ENVÍO UNIFICADO (VANE)'!$D$4:$D$729,0,0)</f>
        <v>0</v>
      </c>
      <c r="E448" s="322">
        <f>_xlfn.XLOOKUP(A448,'PARA ENVÍO UNIFICADO (VANE)'!$A$4:$A$729,'PARA ENVÍO UNIFICADO (VANE)'!$E$4:$E$729,0,0)</f>
        <v>3</v>
      </c>
      <c r="F448" s="322">
        <f t="shared" si="22"/>
        <v>3</v>
      </c>
      <c r="G448" s="243">
        <v>703736</v>
      </c>
      <c r="H448" s="243">
        <f t="shared" si="26"/>
        <v>2111208</v>
      </c>
    </row>
    <row r="449" spans="1:8" s="9" customFormat="1" ht="39.950000000000003" customHeight="1" x14ac:dyDescent="0.25">
      <c r="A449" s="255" t="s">
        <v>642</v>
      </c>
      <c r="B449" s="254" t="s">
        <v>643</v>
      </c>
      <c r="C449" s="255" t="s">
        <v>16</v>
      </c>
      <c r="D449" s="322">
        <f>_xlfn.XLOOKUP(A449,'PARA ENVÍO UNIFICADO (VANE)'!$A$4:$A$729,'PARA ENVÍO UNIFICADO (VANE)'!$D$4:$D$729,0,0)</f>
        <v>0</v>
      </c>
      <c r="E449" s="322">
        <f>_xlfn.XLOOKUP(A449,'PARA ENVÍO UNIFICADO (VANE)'!$A$4:$A$729,'PARA ENVÍO UNIFICADO (VANE)'!$E$4:$E$729,0,0)</f>
        <v>3</v>
      </c>
      <c r="F449" s="322">
        <f t="shared" si="22"/>
        <v>3</v>
      </c>
      <c r="G449" s="243">
        <v>987858</v>
      </c>
      <c r="H449" s="243">
        <f t="shared" si="26"/>
        <v>2963574</v>
      </c>
    </row>
    <row r="450" spans="1:8" s="9" customFormat="1" ht="39.950000000000003" customHeight="1" x14ac:dyDescent="0.25">
      <c r="A450" s="255" t="s">
        <v>644</v>
      </c>
      <c r="B450" s="87" t="s">
        <v>645</v>
      </c>
      <c r="C450" s="255" t="s">
        <v>16</v>
      </c>
      <c r="D450" s="322">
        <f>_xlfn.XLOOKUP(A450,'PARA ENVÍO UNIFICADO (VANE)'!$A$4:$A$729,'PARA ENVÍO UNIFICADO (VANE)'!$D$4:$D$729,0,0)</f>
        <v>51</v>
      </c>
      <c r="E450" s="322">
        <f>_xlfn.XLOOKUP(A450,'PARA ENVÍO UNIFICADO (VANE)'!$A$4:$A$729,'PARA ENVÍO UNIFICADO (VANE)'!$E$4:$E$729,0,0)</f>
        <v>19</v>
      </c>
      <c r="F450" s="322">
        <f t="shared" si="22"/>
        <v>70</v>
      </c>
      <c r="G450" s="243">
        <v>21079</v>
      </c>
      <c r="H450" s="243">
        <f t="shared" si="26"/>
        <v>1475530</v>
      </c>
    </row>
    <row r="451" spans="1:8" s="9" customFormat="1" ht="39.950000000000003" customHeight="1" x14ac:dyDescent="0.25">
      <c r="A451" s="255" t="s">
        <v>646</v>
      </c>
      <c r="B451" s="87" t="s">
        <v>647</v>
      </c>
      <c r="C451" s="255" t="s">
        <v>16</v>
      </c>
      <c r="D451" s="322">
        <f>_xlfn.XLOOKUP(A451,'PARA ENVÍO UNIFICADO (VANE)'!$A$4:$A$729,'PARA ENVÍO UNIFICADO (VANE)'!$D$4:$D$729,0,0)</f>
        <v>36</v>
      </c>
      <c r="E451" s="322">
        <f>_xlfn.XLOOKUP(A451,'PARA ENVÍO UNIFICADO (VANE)'!$A$4:$A$729,'PARA ENVÍO UNIFICADO (VANE)'!$E$4:$E$729,0,0)</f>
        <v>14</v>
      </c>
      <c r="F451" s="322">
        <f t="shared" si="22"/>
        <v>50</v>
      </c>
      <c r="G451" s="243">
        <v>21079</v>
      </c>
      <c r="H451" s="243">
        <f t="shared" si="26"/>
        <v>1053950</v>
      </c>
    </row>
    <row r="452" spans="1:8" s="9" customFormat="1" ht="39.950000000000003" customHeight="1" x14ac:dyDescent="0.25">
      <c r="A452" s="255" t="s">
        <v>648</v>
      </c>
      <c r="B452" s="87" t="s">
        <v>649</v>
      </c>
      <c r="C452" s="255" t="s">
        <v>16</v>
      </c>
      <c r="D452" s="322">
        <f>_xlfn.XLOOKUP(A452,'PARA ENVÍO UNIFICADO (VANE)'!$A$4:$A$729,'PARA ENVÍO UNIFICADO (VANE)'!$D$4:$D$729,0,0)</f>
        <v>4</v>
      </c>
      <c r="E452" s="322">
        <f>_xlfn.XLOOKUP(A452,'PARA ENVÍO UNIFICADO (VANE)'!$A$4:$A$729,'PARA ENVÍO UNIFICADO (VANE)'!$E$4:$E$729,0,0)</f>
        <v>2</v>
      </c>
      <c r="F452" s="322">
        <f t="shared" si="22"/>
        <v>6</v>
      </c>
      <c r="G452" s="243">
        <v>59521</v>
      </c>
      <c r="H452" s="243">
        <f t="shared" si="26"/>
        <v>357126</v>
      </c>
    </row>
    <row r="453" spans="1:8" s="9" customFormat="1" ht="39.950000000000003" customHeight="1" x14ac:dyDescent="0.25">
      <c r="A453" s="289" t="s">
        <v>650</v>
      </c>
      <c r="B453" s="256" t="s">
        <v>1240</v>
      </c>
      <c r="C453" s="256"/>
      <c r="D453" s="303"/>
      <c r="E453" s="303"/>
      <c r="F453" s="322">
        <f t="shared" ref="F453:F516" si="27">ROUND(D453+E453,2)</f>
        <v>0</v>
      </c>
      <c r="G453" s="310"/>
      <c r="H453" s="256"/>
    </row>
    <row r="454" spans="1:8" s="9" customFormat="1" ht="39.950000000000003" customHeight="1" x14ac:dyDescent="0.25">
      <c r="A454" s="255" t="s">
        <v>652</v>
      </c>
      <c r="B454" s="254" t="s">
        <v>1241</v>
      </c>
      <c r="C454" s="255" t="s">
        <v>16</v>
      </c>
      <c r="D454" s="322">
        <f>_xlfn.XLOOKUP(A454,'PARA ENVÍO UNIFICADO (VANE)'!$A$4:$A$729,'PARA ENVÍO UNIFICADO (VANE)'!$D$4:$D$729,0,0)</f>
        <v>0</v>
      </c>
      <c r="E454" s="322">
        <f>_xlfn.XLOOKUP(A454,'PARA ENVÍO UNIFICADO (VANE)'!$A$4:$A$729,'PARA ENVÍO UNIFICADO (VANE)'!$E$4:$E$729,0,0)</f>
        <v>1</v>
      </c>
      <c r="F454" s="322">
        <f t="shared" si="27"/>
        <v>1</v>
      </c>
      <c r="G454" s="243">
        <v>597053</v>
      </c>
      <c r="H454" s="243">
        <f>ROUND(+G454*F454,2)</f>
        <v>597053</v>
      </c>
    </row>
    <row r="455" spans="1:8" s="9" customFormat="1" ht="39.950000000000003" customHeight="1" x14ac:dyDescent="0.25">
      <c r="A455" s="289" t="s">
        <v>654</v>
      </c>
      <c r="B455" s="256" t="s">
        <v>655</v>
      </c>
      <c r="C455" s="256"/>
      <c r="D455" s="303"/>
      <c r="E455" s="303"/>
      <c r="F455" s="322">
        <f t="shared" si="27"/>
        <v>0</v>
      </c>
      <c r="G455" s="310"/>
      <c r="H455" s="256"/>
    </row>
    <row r="456" spans="1:8" s="9" customFormat="1" ht="39.950000000000003" customHeight="1" x14ac:dyDescent="0.25">
      <c r="A456" s="255" t="s">
        <v>656</v>
      </c>
      <c r="B456" s="254" t="s">
        <v>1242</v>
      </c>
      <c r="C456" s="255" t="s">
        <v>16</v>
      </c>
      <c r="D456" s="322">
        <f>_xlfn.XLOOKUP(A456,'PARA ENVÍO UNIFICADO (VANE)'!$A$4:$A$729,'PARA ENVÍO UNIFICADO (VANE)'!$D$4:$D$729,0,0)</f>
        <v>0</v>
      </c>
      <c r="E456" s="322">
        <f>_xlfn.XLOOKUP(A456,'PARA ENVÍO UNIFICADO (VANE)'!$A$4:$A$729,'PARA ENVÍO UNIFICADO (VANE)'!$E$4:$E$729,0,0)</f>
        <v>1</v>
      </c>
      <c r="F456" s="322">
        <f t="shared" si="27"/>
        <v>1</v>
      </c>
      <c r="G456" s="243">
        <v>16180184</v>
      </c>
      <c r="H456" s="243">
        <f>ROUND(+G456*F456,2)</f>
        <v>16180184</v>
      </c>
    </row>
    <row r="457" spans="1:8" s="9" customFormat="1" ht="39.950000000000003" customHeight="1" x14ac:dyDescent="0.25">
      <c r="A457" s="255" t="s">
        <v>658</v>
      </c>
      <c r="B457" s="87" t="s">
        <v>659</v>
      </c>
      <c r="C457" s="255" t="s">
        <v>16</v>
      </c>
      <c r="D457" s="322">
        <f>_xlfn.XLOOKUP(A457,'PARA ENVÍO UNIFICADO (VANE)'!$A$4:$A$729,'PARA ENVÍO UNIFICADO (VANE)'!$D$4:$D$729,0,0)</f>
        <v>1</v>
      </c>
      <c r="E457" s="322">
        <f>_xlfn.XLOOKUP(A457,'PARA ENVÍO UNIFICADO (VANE)'!$A$4:$A$729,'PARA ENVÍO UNIFICADO (VANE)'!$E$4:$E$729,0,0)</f>
        <v>1</v>
      </c>
      <c r="F457" s="322">
        <f t="shared" si="27"/>
        <v>2</v>
      </c>
      <c r="G457" s="243">
        <v>12227805</v>
      </c>
      <c r="H457" s="243">
        <f>ROUND(+G457*F457,2)</f>
        <v>24455610</v>
      </c>
    </row>
    <row r="458" spans="1:8" s="9" customFormat="1" ht="39.950000000000003" customHeight="1" x14ac:dyDescent="0.25">
      <c r="A458" s="255" t="s">
        <v>660</v>
      </c>
      <c r="B458" s="254" t="s">
        <v>1243</v>
      </c>
      <c r="C458" s="255" t="s">
        <v>16</v>
      </c>
      <c r="D458" s="322">
        <f>_xlfn.XLOOKUP(A458,'PARA ENVÍO UNIFICADO (VANE)'!$A$4:$A$729,'PARA ENVÍO UNIFICADO (VANE)'!$D$4:$D$729,0,0)</f>
        <v>0</v>
      </c>
      <c r="E458" s="322">
        <f>_xlfn.XLOOKUP(A458,'PARA ENVÍO UNIFICADO (VANE)'!$A$4:$A$729,'PARA ENVÍO UNIFICADO (VANE)'!$E$4:$E$729,0,0)</f>
        <v>1</v>
      </c>
      <c r="F458" s="322">
        <f t="shared" si="27"/>
        <v>1</v>
      </c>
      <c r="G458" s="243">
        <v>14203994</v>
      </c>
      <c r="H458" s="243">
        <f>ROUND(+G458*F458,2)</f>
        <v>14203994</v>
      </c>
    </row>
    <row r="459" spans="1:8" s="9" customFormat="1" ht="39.950000000000003" customHeight="1" x14ac:dyDescent="0.25">
      <c r="A459" s="290" t="s">
        <v>662</v>
      </c>
      <c r="B459" s="256" t="s">
        <v>663</v>
      </c>
      <c r="C459" s="256"/>
      <c r="D459" s="244"/>
      <c r="E459" s="244"/>
      <c r="F459" s="322">
        <f t="shared" si="27"/>
        <v>0</v>
      </c>
      <c r="G459" s="303"/>
      <c r="H459" s="246"/>
    </row>
    <row r="460" spans="1:8" s="9" customFormat="1" ht="35.1" customHeight="1" x14ac:dyDescent="0.25">
      <c r="A460" s="255" t="s">
        <v>664</v>
      </c>
      <c r="B460" s="254" t="s">
        <v>665</v>
      </c>
      <c r="C460" s="255" t="s">
        <v>269</v>
      </c>
      <c r="D460" s="322">
        <f>_xlfn.XLOOKUP(A460,'PARA ENVÍO UNIFICADO (VANE)'!$A$4:$A$729,'PARA ENVÍO UNIFICADO (VANE)'!$D$4:$D$729,0,0)</f>
        <v>0</v>
      </c>
      <c r="E460" s="322">
        <f>_xlfn.XLOOKUP(A460,'PARA ENVÍO UNIFICADO (VANE)'!$A$4:$A$729,'PARA ENVÍO UNIFICADO (VANE)'!$E$4:$E$729,0,0)</f>
        <v>35</v>
      </c>
      <c r="F460" s="322">
        <f t="shared" si="27"/>
        <v>35</v>
      </c>
      <c r="G460" s="243">
        <v>25031</v>
      </c>
      <c r="H460" s="243">
        <f>ROUND(+G460*F460,2)</f>
        <v>876085</v>
      </c>
    </row>
    <row r="461" spans="1:8" s="9" customFormat="1" ht="35.1" customHeight="1" x14ac:dyDescent="0.25">
      <c r="A461" s="255" t="s">
        <v>666</v>
      </c>
      <c r="B461" s="254" t="s">
        <v>1244</v>
      </c>
      <c r="C461" s="292" t="s">
        <v>16</v>
      </c>
      <c r="D461" s="322">
        <f>_xlfn.XLOOKUP(A461,'PARA ENVÍO UNIFICADO (VANE)'!$A$4:$A$729,'PARA ENVÍO UNIFICADO (VANE)'!$D$4:$D$729,0,0)</f>
        <v>0</v>
      </c>
      <c r="E461" s="322">
        <f>_xlfn.XLOOKUP(A461,'PARA ENVÍO UNIFICADO (VANE)'!$A$4:$A$729,'PARA ENVÍO UNIFICADO (VANE)'!$E$4:$E$729,0,0)</f>
        <v>6</v>
      </c>
      <c r="F461" s="322">
        <f t="shared" si="27"/>
        <v>6</v>
      </c>
      <c r="G461" s="243">
        <v>130889</v>
      </c>
      <c r="H461" s="243">
        <f>ROUND(+G461*F461,2)</f>
        <v>785334</v>
      </c>
    </row>
    <row r="462" spans="1:8" s="9" customFormat="1" ht="35.1" customHeight="1" x14ac:dyDescent="0.25">
      <c r="A462" s="255" t="s">
        <v>668</v>
      </c>
      <c r="B462" s="254" t="s">
        <v>1245</v>
      </c>
      <c r="C462" s="292" t="s">
        <v>16</v>
      </c>
      <c r="D462" s="322">
        <f>_xlfn.XLOOKUP(A462,'PARA ENVÍO UNIFICADO (VANE)'!$A$4:$A$729,'PARA ENVÍO UNIFICADO (VANE)'!$D$4:$D$729,0,0)</f>
        <v>0</v>
      </c>
      <c r="E462" s="322">
        <f>_xlfn.XLOOKUP(A462,'PARA ENVÍO UNIFICADO (VANE)'!$A$4:$A$729,'PARA ENVÍO UNIFICADO (VANE)'!$E$4:$E$729,0,0)</f>
        <v>6</v>
      </c>
      <c r="F462" s="322">
        <f t="shared" si="27"/>
        <v>6</v>
      </c>
      <c r="G462" s="243">
        <v>135495</v>
      </c>
      <c r="H462" s="243">
        <f>ROUND(+G462*F462,2)</f>
        <v>812970</v>
      </c>
    </row>
    <row r="463" spans="1:8" s="9" customFormat="1" ht="35.1" customHeight="1" x14ac:dyDescent="0.25">
      <c r="A463" s="255" t="s">
        <v>670</v>
      </c>
      <c r="B463" s="254" t="s">
        <v>1246</v>
      </c>
      <c r="C463" s="292" t="s">
        <v>16</v>
      </c>
      <c r="D463" s="322">
        <f>_xlfn.XLOOKUP(A463,'PARA ENVÍO UNIFICADO (VANE)'!$A$4:$A$729,'PARA ENVÍO UNIFICADO (VANE)'!$D$4:$D$729,0,0)</f>
        <v>0</v>
      </c>
      <c r="E463" s="322">
        <f>_xlfn.XLOOKUP(A463,'PARA ENVÍO UNIFICADO (VANE)'!$A$4:$A$729,'PARA ENVÍO UNIFICADO (VANE)'!$E$4:$E$729,0,0)</f>
        <v>2</v>
      </c>
      <c r="F463" s="322">
        <f t="shared" si="27"/>
        <v>2</v>
      </c>
      <c r="G463" s="243">
        <v>135495</v>
      </c>
      <c r="H463" s="243">
        <f>ROUND(+G463*F463,2)</f>
        <v>270990</v>
      </c>
    </row>
    <row r="464" spans="1:8" s="9" customFormat="1" ht="35.1" customHeight="1" x14ac:dyDescent="0.25">
      <c r="A464" s="255" t="s">
        <v>672</v>
      </c>
      <c r="B464" s="291" t="s">
        <v>1247</v>
      </c>
      <c r="C464" s="292" t="s">
        <v>16</v>
      </c>
      <c r="D464" s="322">
        <f>_xlfn.XLOOKUP(A464,'PARA ENVÍO UNIFICADO (VANE)'!$A$4:$A$729,'PARA ENVÍO UNIFICADO (VANE)'!$D$4:$D$729,0,0)</f>
        <v>0</v>
      </c>
      <c r="E464" s="322">
        <f>_xlfn.XLOOKUP(A464,'PARA ENVÍO UNIFICADO (VANE)'!$A$4:$A$729,'PARA ENVÍO UNIFICADO (VANE)'!$E$4:$E$729,0,0)</f>
        <v>6</v>
      </c>
      <c r="F464" s="322">
        <f t="shared" si="27"/>
        <v>6</v>
      </c>
      <c r="G464" s="243">
        <v>171131</v>
      </c>
      <c r="H464" s="243">
        <f>ROUND(+G464*F464,2)</f>
        <v>1026786</v>
      </c>
    </row>
    <row r="465" spans="1:8" s="9" customFormat="1" ht="35.1" customHeight="1" x14ac:dyDescent="0.25">
      <c r="A465" s="290" t="s">
        <v>674</v>
      </c>
      <c r="B465" s="256" t="s">
        <v>675</v>
      </c>
      <c r="C465" s="256"/>
      <c r="D465" s="244"/>
      <c r="E465" s="244"/>
      <c r="F465" s="322">
        <f t="shared" si="27"/>
        <v>0</v>
      </c>
      <c r="G465" s="303"/>
      <c r="H465" s="246"/>
    </row>
    <row r="466" spans="1:8" s="9" customFormat="1" ht="35.1" customHeight="1" x14ac:dyDescent="0.25">
      <c r="A466" s="255" t="s">
        <v>676</v>
      </c>
      <c r="B466" s="254" t="s">
        <v>677</v>
      </c>
      <c r="C466" s="255" t="s">
        <v>269</v>
      </c>
      <c r="D466" s="322">
        <f>_xlfn.XLOOKUP(A466,'PARA ENVÍO UNIFICADO (VANE)'!$A$4:$A$729,'PARA ENVÍO UNIFICADO (VANE)'!$D$4:$D$729,0,0)</f>
        <v>0</v>
      </c>
      <c r="E466" s="322">
        <f>_xlfn.XLOOKUP(A466,'PARA ENVÍO UNIFICADO (VANE)'!$A$4:$A$729,'PARA ENVÍO UNIFICADO (VANE)'!$E$4:$E$729,0,0)</f>
        <v>10</v>
      </c>
      <c r="F466" s="322">
        <f t="shared" si="27"/>
        <v>10</v>
      </c>
      <c r="G466" s="243">
        <v>7377</v>
      </c>
      <c r="H466" s="243">
        <f>ROUND(+G466*F466,2)</f>
        <v>73770</v>
      </c>
    </row>
    <row r="467" spans="1:8" s="9" customFormat="1" ht="35.1" customHeight="1" x14ac:dyDescent="0.25">
      <c r="A467" s="255" t="s">
        <v>678</v>
      </c>
      <c r="B467" s="254" t="s">
        <v>679</v>
      </c>
      <c r="C467" s="292" t="s">
        <v>16</v>
      </c>
      <c r="D467" s="322">
        <f>_xlfn.XLOOKUP(A467,'PARA ENVÍO UNIFICADO (VANE)'!$A$4:$A$729,'PARA ENVÍO UNIFICADO (VANE)'!$D$4:$D$729,0,0)</f>
        <v>0</v>
      </c>
      <c r="E467" s="322">
        <f>_xlfn.XLOOKUP(A467,'PARA ENVÍO UNIFICADO (VANE)'!$A$4:$A$729,'PARA ENVÍO UNIFICADO (VANE)'!$E$4:$E$729,0,0)</f>
        <v>1</v>
      </c>
      <c r="F467" s="322">
        <f t="shared" si="27"/>
        <v>1</v>
      </c>
      <c r="G467" s="243">
        <v>130889</v>
      </c>
      <c r="H467" s="243">
        <f>ROUND(+G467*F467,2)</f>
        <v>130889</v>
      </c>
    </row>
    <row r="468" spans="1:8" s="9" customFormat="1" ht="35.1" customHeight="1" x14ac:dyDescent="0.25">
      <c r="A468" s="255" t="s">
        <v>680</v>
      </c>
      <c r="B468" s="254" t="s">
        <v>681</v>
      </c>
      <c r="C468" s="292" t="s">
        <v>16</v>
      </c>
      <c r="D468" s="322">
        <f>_xlfn.XLOOKUP(A468,'PARA ENVÍO UNIFICADO (VANE)'!$A$4:$A$729,'PARA ENVÍO UNIFICADO (VANE)'!$D$4:$D$729,0,0)</f>
        <v>0</v>
      </c>
      <c r="E468" s="322">
        <f>_xlfn.XLOOKUP(A468,'PARA ENVÍO UNIFICADO (VANE)'!$A$4:$A$729,'PARA ENVÍO UNIFICADO (VANE)'!$E$4:$E$729,0,0)</f>
        <v>1</v>
      </c>
      <c r="F468" s="322">
        <f t="shared" si="27"/>
        <v>1</v>
      </c>
      <c r="G468" s="243">
        <v>135495</v>
      </c>
      <c r="H468" s="243">
        <f>ROUND(+G468*F468,2)</f>
        <v>135495</v>
      </c>
    </row>
    <row r="469" spans="1:8" s="9" customFormat="1" ht="35.1" customHeight="1" x14ac:dyDescent="0.25">
      <c r="A469" s="255" t="s">
        <v>682</v>
      </c>
      <c r="B469" s="254" t="s">
        <v>1248</v>
      </c>
      <c r="C469" s="292" t="s">
        <v>16</v>
      </c>
      <c r="D469" s="322">
        <f>_xlfn.XLOOKUP(A469,'PARA ENVÍO UNIFICADO (VANE)'!$A$4:$A$729,'PARA ENVÍO UNIFICADO (VANE)'!$D$4:$D$729,0,0)</f>
        <v>0</v>
      </c>
      <c r="E469" s="322">
        <f>_xlfn.XLOOKUP(A469,'PARA ENVÍO UNIFICADO (VANE)'!$A$4:$A$729,'PARA ENVÍO UNIFICADO (VANE)'!$E$4:$E$729,0,0)</f>
        <v>2</v>
      </c>
      <c r="F469" s="322">
        <f t="shared" si="27"/>
        <v>2</v>
      </c>
      <c r="G469" s="243">
        <v>135495</v>
      </c>
      <c r="H469" s="243">
        <f>ROUND(+G469*F469,2)</f>
        <v>270990</v>
      </c>
    </row>
    <row r="470" spans="1:8" s="9" customFormat="1" ht="39.950000000000003" customHeight="1" x14ac:dyDescent="0.25">
      <c r="A470" s="255" t="s">
        <v>684</v>
      </c>
      <c r="B470" s="254" t="s">
        <v>1247</v>
      </c>
      <c r="C470" s="292" t="s">
        <v>16</v>
      </c>
      <c r="D470" s="322">
        <f>_xlfn.XLOOKUP(A470,'PARA ENVÍO UNIFICADO (VANE)'!$A$4:$A$729,'PARA ENVÍO UNIFICADO (VANE)'!$D$4:$D$729,0,0)</f>
        <v>0</v>
      </c>
      <c r="E470" s="322">
        <f>_xlfn.XLOOKUP(A470,'PARA ENVÍO UNIFICADO (VANE)'!$A$4:$A$729,'PARA ENVÍO UNIFICADO (VANE)'!$E$4:$E$729,0,0)</f>
        <v>1</v>
      </c>
      <c r="F470" s="322">
        <f t="shared" si="27"/>
        <v>1</v>
      </c>
      <c r="G470" s="243">
        <v>171131</v>
      </c>
      <c r="H470" s="243">
        <f>ROUND(+G470*F470,2)</f>
        <v>171131</v>
      </c>
    </row>
    <row r="471" spans="1:8" s="9" customFormat="1" ht="35.1" customHeight="1" x14ac:dyDescent="0.25">
      <c r="A471" s="290" t="s">
        <v>685</v>
      </c>
      <c r="B471" s="256" t="s">
        <v>686</v>
      </c>
      <c r="C471" s="256"/>
      <c r="D471" s="244"/>
      <c r="E471" s="244"/>
      <c r="F471" s="322">
        <f t="shared" si="27"/>
        <v>0</v>
      </c>
      <c r="G471" s="310"/>
      <c r="H471" s="256"/>
    </row>
    <row r="472" spans="1:8" s="9" customFormat="1" ht="35.1" customHeight="1" x14ac:dyDescent="0.25">
      <c r="A472" s="255" t="s">
        <v>687</v>
      </c>
      <c r="B472" s="254" t="s">
        <v>665</v>
      </c>
      <c r="C472" s="255" t="s">
        <v>269</v>
      </c>
      <c r="D472" s="322">
        <f>_xlfn.XLOOKUP(A472,'PARA ENVÍO UNIFICADO (VANE)'!$A$4:$A$729,'PARA ENVÍO UNIFICADO (VANE)'!$D$4:$D$729,0,0)</f>
        <v>0</v>
      </c>
      <c r="E472" s="322">
        <f>_xlfn.XLOOKUP(A472,'PARA ENVÍO UNIFICADO (VANE)'!$A$4:$A$729,'PARA ENVÍO UNIFICADO (VANE)'!$E$4:$E$729,0,0)</f>
        <v>8</v>
      </c>
      <c r="F472" s="322">
        <f t="shared" si="27"/>
        <v>8</v>
      </c>
      <c r="G472" s="243">
        <v>25031</v>
      </c>
      <c r="H472" s="243">
        <f>ROUND(+G472*F472,2)</f>
        <v>200248</v>
      </c>
    </row>
    <row r="473" spans="1:8" s="9" customFormat="1" ht="57" customHeight="1" x14ac:dyDescent="0.25">
      <c r="A473" s="255" t="s">
        <v>688</v>
      </c>
      <c r="B473" s="254" t="s">
        <v>1249</v>
      </c>
      <c r="C473" s="255" t="s">
        <v>16</v>
      </c>
      <c r="D473" s="322">
        <f>_xlfn.XLOOKUP(A473,'PARA ENVÍO UNIFICADO (VANE)'!$A$4:$A$729,'PARA ENVÍO UNIFICADO (VANE)'!$D$4:$D$729,0,0)</f>
        <v>0</v>
      </c>
      <c r="E473" s="322">
        <f>_xlfn.XLOOKUP(A473,'PARA ENVÍO UNIFICADO (VANE)'!$A$4:$A$729,'PARA ENVÍO UNIFICADO (VANE)'!$E$4:$E$729,0,0)</f>
        <v>1</v>
      </c>
      <c r="F473" s="322">
        <f t="shared" si="27"/>
        <v>1</v>
      </c>
      <c r="G473" s="243">
        <v>725857</v>
      </c>
      <c r="H473" s="243">
        <f>ROUND(+G473*F473,2)</f>
        <v>725857</v>
      </c>
    </row>
    <row r="474" spans="1:8" s="9" customFormat="1" ht="35.1" customHeight="1" x14ac:dyDescent="0.25">
      <c r="A474" s="244" t="s">
        <v>690</v>
      </c>
      <c r="B474" s="256" t="s">
        <v>691</v>
      </c>
      <c r="C474" s="256"/>
      <c r="D474" s="244"/>
      <c r="E474" s="244"/>
      <c r="F474" s="322">
        <f t="shared" si="27"/>
        <v>0</v>
      </c>
      <c r="G474" s="310"/>
      <c r="H474" s="256"/>
    </row>
    <row r="475" spans="1:8" s="9" customFormat="1" ht="35.1" customHeight="1" x14ac:dyDescent="0.25">
      <c r="A475" s="255" t="s">
        <v>692</v>
      </c>
      <c r="B475" s="254" t="s">
        <v>693</v>
      </c>
      <c r="C475" s="255" t="s">
        <v>269</v>
      </c>
      <c r="D475" s="322">
        <f>_xlfn.XLOOKUP(A475,'PARA ENVÍO UNIFICADO (VANE)'!$A$4:$A$729,'PARA ENVÍO UNIFICADO (VANE)'!$D$4:$D$729,0,0)</f>
        <v>0</v>
      </c>
      <c r="E475" s="322">
        <f>_xlfn.XLOOKUP(A475,'PARA ENVÍO UNIFICADO (VANE)'!$A$4:$A$729,'PARA ENVÍO UNIFICADO (VANE)'!$E$4:$E$729,0,0)</f>
        <v>65</v>
      </c>
      <c r="F475" s="322">
        <f t="shared" si="27"/>
        <v>65</v>
      </c>
      <c r="G475" s="243">
        <v>4876</v>
      </c>
      <c r="H475" s="243">
        <f t="shared" ref="H475:H484" si="28">ROUND(+G475*F475,2)</f>
        <v>316940</v>
      </c>
    </row>
    <row r="476" spans="1:8" s="9" customFormat="1" ht="35.1" customHeight="1" x14ac:dyDescent="0.25">
      <c r="A476" s="255" t="s">
        <v>694</v>
      </c>
      <c r="B476" s="254" t="s">
        <v>695</v>
      </c>
      <c r="C476" s="255" t="s">
        <v>269</v>
      </c>
      <c r="D476" s="322">
        <f>_xlfn.XLOOKUP(A476,'PARA ENVÍO UNIFICADO (VANE)'!$A$4:$A$729,'PARA ENVÍO UNIFICADO (VANE)'!$D$4:$D$729,0,0)</f>
        <v>0</v>
      </c>
      <c r="E476" s="322">
        <f>_xlfn.XLOOKUP(A476,'PARA ENVÍO UNIFICADO (VANE)'!$A$4:$A$729,'PARA ENVÍO UNIFICADO (VANE)'!$E$4:$E$729,0,0)</f>
        <v>69</v>
      </c>
      <c r="F476" s="322">
        <f t="shared" si="27"/>
        <v>69</v>
      </c>
      <c r="G476" s="243">
        <v>15151</v>
      </c>
      <c r="H476" s="243">
        <f t="shared" si="28"/>
        <v>1045419</v>
      </c>
    </row>
    <row r="477" spans="1:8" s="9" customFormat="1" ht="35.1" customHeight="1" x14ac:dyDescent="0.25">
      <c r="A477" s="255" t="s">
        <v>696</v>
      </c>
      <c r="B477" s="254" t="s">
        <v>697</v>
      </c>
      <c r="C477" s="255" t="s">
        <v>269</v>
      </c>
      <c r="D477" s="322">
        <f>_xlfn.XLOOKUP(A477,'PARA ENVÍO UNIFICADO (VANE)'!$A$4:$A$729,'PARA ENVÍO UNIFICADO (VANE)'!$D$4:$D$729,0,0)</f>
        <v>0</v>
      </c>
      <c r="E477" s="322">
        <f>_xlfn.XLOOKUP(A477,'PARA ENVÍO UNIFICADO (VANE)'!$A$4:$A$729,'PARA ENVÍO UNIFICADO (VANE)'!$E$4:$E$729,0,0)</f>
        <v>244</v>
      </c>
      <c r="F477" s="322">
        <f t="shared" si="27"/>
        <v>244</v>
      </c>
      <c r="G477" s="243">
        <v>5534</v>
      </c>
      <c r="H477" s="243">
        <f t="shared" si="28"/>
        <v>1350296</v>
      </c>
    </row>
    <row r="478" spans="1:8" s="9" customFormat="1" ht="35.1" customHeight="1" x14ac:dyDescent="0.25">
      <c r="A478" s="255" t="s">
        <v>698</v>
      </c>
      <c r="B478" s="254" t="s">
        <v>1250</v>
      </c>
      <c r="C478" s="255" t="s">
        <v>269</v>
      </c>
      <c r="D478" s="322">
        <f>_xlfn.XLOOKUP(A478,'PARA ENVÍO UNIFICADO (VANE)'!$A$4:$A$729,'PARA ENVÍO UNIFICADO (VANE)'!$D$4:$D$729,0,0)</f>
        <v>0</v>
      </c>
      <c r="E478" s="322">
        <f>_xlfn.XLOOKUP(A478,'PARA ENVÍO UNIFICADO (VANE)'!$A$4:$A$729,'PARA ENVÍO UNIFICADO (VANE)'!$E$4:$E$729,0,0)</f>
        <v>190</v>
      </c>
      <c r="F478" s="322">
        <f t="shared" si="27"/>
        <v>190</v>
      </c>
      <c r="G478" s="243">
        <v>15151</v>
      </c>
      <c r="H478" s="243">
        <f t="shared" si="28"/>
        <v>2878690</v>
      </c>
    </row>
    <row r="479" spans="1:8" s="9" customFormat="1" ht="54" customHeight="1" x14ac:dyDescent="0.25">
      <c r="A479" s="255" t="s">
        <v>700</v>
      </c>
      <c r="B479" s="254" t="s">
        <v>1251</v>
      </c>
      <c r="C479" s="255" t="s">
        <v>16</v>
      </c>
      <c r="D479" s="322">
        <f>_xlfn.XLOOKUP(A479,'PARA ENVÍO UNIFICADO (VANE)'!$A$4:$A$729,'PARA ENVÍO UNIFICADO (VANE)'!$D$4:$D$729,0,0)</f>
        <v>0</v>
      </c>
      <c r="E479" s="322">
        <f>_xlfn.XLOOKUP(A479,'PARA ENVÍO UNIFICADO (VANE)'!$A$4:$A$729,'PARA ENVÍO UNIFICADO (VANE)'!$E$4:$E$729,0,0)</f>
        <v>14</v>
      </c>
      <c r="F479" s="322">
        <f t="shared" si="27"/>
        <v>14</v>
      </c>
      <c r="G479" s="243">
        <v>219354</v>
      </c>
      <c r="H479" s="243">
        <f t="shared" si="28"/>
        <v>3070956</v>
      </c>
    </row>
    <row r="480" spans="1:8" s="9" customFormat="1" ht="35.1" customHeight="1" x14ac:dyDescent="0.25">
      <c r="A480" s="255" t="s">
        <v>702</v>
      </c>
      <c r="B480" s="254" t="s">
        <v>703</v>
      </c>
      <c r="C480" s="255" t="s">
        <v>16</v>
      </c>
      <c r="D480" s="322">
        <f>_xlfn.XLOOKUP(A480,'PARA ENVÍO UNIFICADO (VANE)'!$A$4:$A$729,'PARA ENVÍO UNIFICADO (VANE)'!$D$4:$D$729,0,0)</f>
        <v>0</v>
      </c>
      <c r="E480" s="322">
        <f>_xlfn.XLOOKUP(A480,'PARA ENVÍO UNIFICADO (VANE)'!$A$4:$A$729,'PARA ENVÍO UNIFICADO (VANE)'!$E$4:$E$729,0,0)</f>
        <v>86</v>
      </c>
      <c r="F480" s="322">
        <f t="shared" si="27"/>
        <v>86</v>
      </c>
      <c r="G480" s="243">
        <v>21649</v>
      </c>
      <c r="H480" s="243">
        <f t="shared" si="28"/>
        <v>1861814</v>
      </c>
    </row>
    <row r="481" spans="1:8" s="9" customFormat="1" ht="35.1" customHeight="1" x14ac:dyDescent="0.25">
      <c r="A481" s="255" t="s">
        <v>704</v>
      </c>
      <c r="B481" s="254" t="s">
        <v>705</v>
      </c>
      <c r="C481" s="255" t="s">
        <v>16</v>
      </c>
      <c r="D481" s="322">
        <f>_xlfn.XLOOKUP(A481,'PARA ENVÍO UNIFICADO (VANE)'!$A$4:$A$729,'PARA ENVÍO UNIFICADO (VANE)'!$D$4:$D$729,0,0)</f>
        <v>0</v>
      </c>
      <c r="E481" s="322">
        <f>_xlfn.XLOOKUP(A481,'PARA ENVÍO UNIFICADO (VANE)'!$A$4:$A$729,'PARA ENVÍO UNIFICADO (VANE)'!$E$4:$E$729,0,0)</f>
        <v>4</v>
      </c>
      <c r="F481" s="322">
        <f t="shared" si="27"/>
        <v>4</v>
      </c>
      <c r="G481" s="243">
        <v>26864</v>
      </c>
      <c r="H481" s="243">
        <f t="shared" si="28"/>
        <v>107456</v>
      </c>
    </row>
    <row r="482" spans="1:8" s="9" customFormat="1" ht="35.1" customHeight="1" x14ac:dyDescent="0.25">
      <c r="A482" s="255" t="s">
        <v>706</v>
      </c>
      <c r="B482" s="254" t="s">
        <v>707</v>
      </c>
      <c r="C482" s="255" t="s">
        <v>16</v>
      </c>
      <c r="D482" s="322">
        <f>_xlfn.XLOOKUP(A482,'PARA ENVÍO UNIFICADO (VANE)'!$A$4:$A$729,'PARA ENVÍO UNIFICADO (VANE)'!$D$4:$D$729,0,0)</f>
        <v>0</v>
      </c>
      <c r="E482" s="322">
        <f>_xlfn.XLOOKUP(A482,'PARA ENVÍO UNIFICADO (VANE)'!$A$4:$A$729,'PARA ENVÍO UNIFICADO (VANE)'!$E$4:$E$729,0,0)</f>
        <v>4</v>
      </c>
      <c r="F482" s="322">
        <f t="shared" si="27"/>
        <v>4</v>
      </c>
      <c r="G482" s="243">
        <v>220459</v>
      </c>
      <c r="H482" s="243">
        <f t="shared" si="28"/>
        <v>881836</v>
      </c>
    </row>
    <row r="483" spans="1:8" s="9" customFormat="1" ht="35.1" customHeight="1" x14ac:dyDescent="0.25">
      <c r="A483" s="255" t="s">
        <v>708</v>
      </c>
      <c r="B483" s="254" t="s">
        <v>709</v>
      </c>
      <c r="C483" s="255" t="s">
        <v>16</v>
      </c>
      <c r="D483" s="322">
        <f>_xlfn.XLOOKUP(A483,'PARA ENVÍO UNIFICADO (VANE)'!$A$4:$A$729,'PARA ENVÍO UNIFICADO (VANE)'!$D$4:$D$729,0,0)</f>
        <v>0</v>
      </c>
      <c r="E483" s="322">
        <f>_xlfn.XLOOKUP(A483,'PARA ENVÍO UNIFICADO (VANE)'!$A$4:$A$729,'PARA ENVÍO UNIFICADO (VANE)'!$E$4:$E$729,0,0)</f>
        <v>4</v>
      </c>
      <c r="F483" s="322">
        <f t="shared" si="27"/>
        <v>4</v>
      </c>
      <c r="G483" s="243">
        <v>135495</v>
      </c>
      <c r="H483" s="243">
        <f t="shared" si="28"/>
        <v>541980</v>
      </c>
    </row>
    <row r="484" spans="1:8" s="9" customFormat="1" ht="35.1" customHeight="1" x14ac:dyDescent="0.25">
      <c r="A484" s="255" t="s">
        <v>710</v>
      </c>
      <c r="B484" s="254" t="s">
        <v>1252</v>
      </c>
      <c r="C484" s="255" t="s">
        <v>16</v>
      </c>
      <c r="D484" s="322">
        <f>_xlfn.XLOOKUP(A484,'PARA ENVÍO UNIFICADO (VANE)'!$A$4:$A$729,'PARA ENVÍO UNIFICADO (VANE)'!$D$4:$D$729,0,0)</f>
        <v>0</v>
      </c>
      <c r="E484" s="322">
        <f>_xlfn.XLOOKUP(A484,'PARA ENVÍO UNIFICADO (VANE)'!$A$4:$A$729,'PARA ENVÍO UNIFICADO (VANE)'!$E$4:$E$729,0,0)</f>
        <v>4</v>
      </c>
      <c r="F484" s="322">
        <f t="shared" si="27"/>
        <v>4</v>
      </c>
      <c r="G484" s="243">
        <v>269435</v>
      </c>
      <c r="H484" s="243">
        <f t="shared" si="28"/>
        <v>1077740</v>
      </c>
    </row>
    <row r="485" spans="1:8" s="9" customFormat="1" ht="35.1" customHeight="1" x14ac:dyDescent="0.25">
      <c r="A485" s="244" t="s">
        <v>1253</v>
      </c>
      <c r="B485" s="256" t="s">
        <v>1254</v>
      </c>
      <c r="C485" s="256"/>
      <c r="D485" s="244"/>
      <c r="E485" s="244"/>
      <c r="F485" s="322">
        <f t="shared" si="27"/>
        <v>0</v>
      </c>
      <c r="G485" s="303"/>
      <c r="H485" s="246"/>
    </row>
    <row r="486" spans="1:8" s="9" customFormat="1" ht="108.75" customHeight="1" x14ac:dyDescent="0.25">
      <c r="A486" s="255" t="s">
        <v>1255</v>
      </c>
      <c r="B486" s="254" t="s">
        <v>1256</v>
      </c>
      <c r="C486" s="255" t="s">
        <v>16</v>
      </c>
      <c r="D486" s="322">
        <f>_xlfn.XLOOKUP(A486,'PARA ENVÍO UNIFICADO (VANE)'!$A$4:$A$729,'PARA ENVÍO UNIFICADO (VANE)'!$D$4:$D$729,0,0)</f>
        <v>1</v>
      </c>
      <c r="E486" s="322">
        <f>_xlfn.XLOOKUP(A486,'PARA ENVÍO UNIFICADO (VANE)'!$A$4:$A$729,'PARA ENVÍO UNIFICADO (VANE)'!$E$4:$E$729,0,0)</f>
        <v>0</v>
      </c>
      <c r="F486" s="322">
        <f t="shared" si="27"/>
        <v>1</v>
      </c>
      <c r="G486" s="243">
        <v>211450356</v>
      </c>
      <c r="H486" s="243">
        <f t="shared" ref="H486:H497" si="29">ROUND(+G486*F486,2)</f>
        <v>211450356</v>
      </c>
    </row>
    <row r="487" spans="1:8" s="9" customFormat="1" ht="35.1" customHeight="1" x14ac:dyDescent="0.25">
      <c r="A487" s="255" t="s">
        <v>1257</v>
      </c>
      <c r="B487" s="254" t="s">
        <v>1258</v>
      </c>
      <c r="C487" s="255" t="s">
        <v>16</v>
      </c>
      <c r="D487" s="322">
        <f>_xlfn.XLOOKUP(A487,'PARA ENVÍO UNIFICADO (VANE)'!$A$4:$A$729,'PARA ENVÍO UNIFICADO (VANE)'!$D$4:$D$729,0,0)</f>
        <v>1</v>
      </c>
      <c r="E487" s="322">
        <f>_xlfn.XLOOKUP(A487,'PARA ENVÍO UNIFICADO (VANE)'!$A$4:$A$729,'PARA ENVÍO UNIFICADO (VANE)'!$E$4:$E$729,0,0)</f>
        <v>0</v>
      </c>
      <c r="F487" s="322">
        <f t="shared" si="27"/>
        <v>1</v>
      </c>
      <c r="G487" s="243">
        <v>1028290</v>
      </c>
      <c r="H487" s="243">
        <f t="shared" si="29"/>
        <v>1028290</v>
      </c>
    </row>
    <row r="488" spans="1:8" s="9" customFormat="1" ht="35.1" customHeight="1" x14ac:dyDescent="0.25">
      <c r="A488" s="255" t="s">
        <v>1259</v>
      </c>
      <c r="B488" s="254" t="s">
        <v>1260</v>
      </c>
      <c r="C488" s="255" t="s">
        <v>16</v>
      </c>
      <c r="D488" s="322">
        <f>_xlfn.XLOOKUP(A488,'PARA ENVÍO UNIFICADO (VANE)'!$A$4:$A$729,'PARA ENVÍO UNIFICADO (VANE)'!$D$4:$D$729,0,0)</f>
        <v>4</v>
      </c>
      <c r="E488" s="322">
        <f>_xlfn.XLOOKUP(A488,'PARA ENVÍO UNIFICADO (VANE)'!$A$4:$A$729,'PARA ENVÍO UNIFICADO (VANE)'!$E$4:$E$729,0,0)</f>
        <v>0</v>
      </c>
      <c r="F488" s="322">
        <f t="shared" si="27"/>
        <v>4</v>
      </c>
      <c r="G488" s="243">
        <v>192597</v>
      </c>
      <c r="H488" s="243">
        <f t="shared" si="29"/>
        <v>770388</v>
      </c>
    </row>
    <row r="489" spans="1:8" s="9" customFormat="1" ht="50.25" customHeight="1" x14ac:dyDescent="0.25">
      <c r="A489" s="255" t="s">
        <v>1261</v>
      </c>
      <c r="B489" s="254" t="s">
        <v>1262</v>
      </c>
      <c r="C489" s="255" t="s">
        <v>16</v>
      </c>
      <c r="D489" s="322">
        <f>_xlfn.XLOOKUP(A489,'PARA ENVÍO UNIFICADO (VANE)'!$A$4:$A$729,'PARA ENVÍO UNIFICADO (VANE)'!$D$4:$D$729,0,0)</f>
        <v>1</v>
      </c>
      <c r="E489" s="322">
        <f>_xlfn.XLOOKUP(A489,'PARA ENVÍO UNIFICADO (VANE)'!$A$4:$A$729,'PARA ENVÍO UNIFICADO (VANE)'!$E$4:$E$729,0,0)</f>
        <v>0</v>
      </c>
      <c r="F489" s="322">
        <f t="shared" si="27"/>
        <v>1</v>
      </c>
      <c r="G489" s="243">
        <v>1585520</v>
      </c>
      <c r="H489" s="243">
        <f t="shared" si="29"/>
        <v>1585520</v>
      </c>
    </row>
    <row r="490" spans="1:8" s="9" customFormat="1" ht="35.1" customHeight="1" x14ac:dyDescent="0.25">
      <c r="A490" s="255" t="s">
        <v>1263</v>
      </c>
      <c r="B490" s="254" t="s">
        <v>1264</v>
      </c>
      <c r="C490" s="255" t="s">
        <v>16</v>
      </c>
      <c r="D490" s="322">
        <f>_xlfn.XLOOKUP(A490,'PARA ENVÍO UNIFICADO (VANE)'!$A$4:$A$729,'PARA ENVÍO UNIFICADO (VANE)'!$D$4:$D$729,0,0)</f>
        <v>1</v>
      </c>
      <c r="E490" s="322">
        <f>_xlfn.XLOOKUP(A490,'PARA ENVÍO UNIFICADO (VANE)'!$A$4:$A$729,'PARA ENVÍO UNIFICADO (VANE)'!$E$4:$E$729,0,0)</f>
        <v>0</v>
      </c>
      <c r="F490" s="322">
        <f t="shared" si="27"/>
        <v>1</v>
      </c>
      <c r="G490" s="243">
        <v>798978</v>
      </c>
      <c r="H490" s="243">
        <f t="shared" si="29"/>
        <v>798978</v>
      </c>
    </row>
    <row r="491" spans="1:8" s="9" customFormat="1" ht="35.1" customHeight="1" x14ac:dyDescent="0.25">
      <c r="A491" s="255" t="s">
        <v>1265</v>
      </c>
      <c r="B491" s="254" t="s">
        <v>1266</v>
      </c>
      <c r="C491" s="255" t="s">
        <v>16</v>
      </c>
      <c r="D491" s="322">
        <f>_xlfn.XLOOKUP(A491,'PARA ENVÍO UNIFICADO (VANE)'!$A$4:$A$729,'PARA ENVÍO UNIFICADO (VANE)'!$D$4:$D$729,0,0)</f>
        <v>1</v>
      </c>
      <c r="E491" s="322">
        <f>_xlfn.XLOOKUP(A491,'PARA ENVÍO UNIFICADO (VANE)'!$A$4:$A$729,'PARA ENVÍO UNIFICADO (VANE)'!$E$4:$E$729,0,0)</f>
        <v>0</v>
      </c>
      <c r="F491" s="322">
        <f t="shared" si="27"/>
        <v>1</v>
      </c>
      <c r="G491" s="243">
        <v>1512010</v>
      </c>
      <c r="H491" s="243">
        <f t="shared" si="29"/>
        <v>1512010</v>
      </c>
    </row>
    <row r="492" spans="1:8" s="9" customFormat="1" ht="42.75" customHeight="1" x14ac:dyDescent="0.25">
      <c r="A492" s="255" t="s">
        <v>1267</v>
      </c>
      <c r="B492" s="254" t="s">
        <v>1268</v>
      </c>
      <c r="C492" s="255" t="s">
        <v>269</v>
      </c>
      <c r="D492" s="322">
        <f>_xlfn.XLOOKUP(A492,'PARA ENVÍO UNIFICADO (VANE)'!$A$4:$A$729,'PARA ENVÍO UNIFICADO (VANE)'!$D$4:$D$729,0,0)</f>
        <v>8</v>
      </c>
      <c r="E492" s="322">
        <f>_xlfn.XLOOKUP(A492,'PARA ENVÍO UNIFICADO (VANE)'!$A$4:$A$729,'PARA ENVÍO UNIFICADO (VANE)'!$E$4:$E$729,0,0)</f>
        <v>0</v>
      </c>
      <c r="F492" s="322">
        <f t="shared" si="27"/>
        <v>8</v>
      </c>
      <c r="G492" s="243">
        <v>224164</v>
      </c>
      <c r="H492" s="243">
        <f t="shared" si="29"/>
        <v>1793312</v>
      </c>
    </row>
    <row r="493" spans="1:8" s="9" customFormat="1" ht="35.1" customHeight="1" x14ac:dyDescent="0.25">
      <c r="A493" s="255" t="s">
        <v>1269</v>
      </c>
      <c r="B493" s="254" t="s">
        <v>1270</v>
      </c>
      <c r="C493" s="255" t="s">
        <v>16</v>
      </c>
      <c r="D493" s="322">
        <f>_xlfn.XLOOKUP(A493,'PARA ENVÍO UNIFICADO (VANE)'!$A$4:$A$729,'PARA ENVÍO UNIFICADO (VANE)'!$D$4:$D$729,0,0)</f>
        <v>2</v>
      </c>
      <c r="E493" s="322">
        <f>_xlfn.XLOOKUP(A493,'PARA ENVÍO UNIFICADO (VANE)'!$A$4:$A$729,'PARA ENVÍO UNIFICADO (VANE)'!$E$4:$E$729,0,0)</f>
        <v>0</v>
      </c>
      <c r="F493" s="322">
        <f t="shared" si="27"/>
        <v>2</v>
      </c>
      <c r="G493" s="243">
        <v>224164</v>
      </c>
      <c r="H493" s="243">
        <f t="shared" si="29"/>
        <v>448328</v>
      </c>
    </row>
    <row r="494" spans="1:8" s="9" customFormat="1" ht="35.1" customHeight="1" x14ac:dyDescent="0.25">
      <c r="A494" s="255" t="s">
        <v>1271</v>
      </c>
      <c r="B494" s="254" t="s">
        <v>1272</v>
      </c>
      <c r="C494" s="255" t="s">
        <v>16</v>
      </c>
      <c r="D494" s="322">
        <f>_xlfn.XLOOKUP(A494,'PARA ENVÍO UNIFICADO (VANE)'!$A$4:$A$729,'PARA ENVÍO UNIFICADO (VANE)'!$D$4:$D$729,0,0)</f>
        <v>1</v>
      </c>
      <c r="E494" s="322">
        <f>_xlfn.XLOOKUP(A494,'PARA ENVÍO UNIFICADO (VANE)'!$A$4:$A$729,'PARA ENVÍO UNIFICADO (VANE)'!$E$4:$E$729,0,0)</f>
        <v>0</v>
      </c>
      <c r="F494" s="322">
        <f t="shared" si="27"/>
        <v>1</v>
      </c>
      <c r="G494" s="243">
        <v>504920</v>
      </c>
      <c r="H494" s="243">
        <f t="shared" si="29"/>
        <v>504920</v>
      </c>
    </row>
    <row r="495" spans="1:8" s="9" customFormat="1" ht="37.5" customHeight="1" x14ac:dyDescent="0.25">
      <c r="A495" s="255" t="s">
        <v>1273</v>
      </c>
      <c r="B495" s="254" t="s">
        <v>1274</v>
      </c>
      <c r="C495" s="255" t="s">
        <v>16</v>
      </c>
      <c r="D495" s="322">
        <f>_xlfn.XLOOKUP(A495,'PARA ENVÍO UNIFICADO (VANE)'!$A$4:$A$729,'PARA ENVÍO UNIFICADO (VANE)'!$D$4:$D$729,0,0)</f>
        <v>1</v>
      </c>
      <c r="E495" s="322">
        <f>_xlfn.XLOOKUP(A495,'PARA ENVÍO UNIFICADO (VANE)'!$A$4:$A$729,'PARA ENVÍO UNIFICADO (VANE)'!$E$4:$E$729,0,0)</f>
        <v>0</v>
      </c>
      <c r="F495" s="322">
        <f t="shared" si="27"/>
        <v>1</v>
      </c>
      <c r="G495" s="243">
        <v>460203</v>
      </c>
      <c r="H495" s="243">
        <f t="shared" si="29"/>
        <v>460203</v>
      </c>
    </row>
    <row r="496" spans="1:8" s="9" customFormat="1" ht="35.1" customHeight="1" x14ac:dyDescent="0.25">
      <c r="A496" s="255" t="s">
        <v>1275</v>
      </c>
      <c r="B496" s="254" t="s">
        <v>1276</v>
      </c>
      <c r="C496" s="255" t="s">
        <v>269</v>
      </c>
      <c r="D496" s="322">
        <f>_xlfn.XLOOKUP(A496,'PARA ENVÍO UNIFICADO (VANE)'!$A$4:$A$729,'PARA ENVÍO UNIFICADO (VANE)'!$D$4:$D$729,0,0)</f>
        <v>8</v>
      </c>
      <c r="E496" s="322">
        <f>_xlfn.XLOOKUP(A496,'PARA ENVÍO UNIFICADO (VANE)'!$A$4:$A$729,'PARA ENVÍO UNIFICADO (VANE)'!$E$4:$E$729,0,0)</f>
        <v>0</v>
      </c>
      <c r="F496" s="322">
        <f t="shared" si="27"/>
        <v>8</v>
      </c>
      <c r="G496" s="243">
        <v>112871</v>
      </c>
      <c r="H496" s="243">
        <f t="shared" si="29"/>
        <v>902968</v>
      </c>
    </row>
    <row r="497" spans="1:8" s="9" customFormat="1" ht="35.1" customHeight="1" x14ac:dyDescent="0.25">
      <c r="A497" s="255" t="s">
        <v>1277</v>
      </c>
      <c r="B497" s="254" t="s">
        <v>1278</v>
      </c>
      <c r="C497" s="255" t="s">
        <v>269</v>
      </c>
      <c r="D497" s="322">
        <f>_xlfn.XLOOKUP(A497,'PARA ENVÍO UNIFICADO (VANE)'!$A$4:$A$729,'PARA ENVÍO UNIFICADO (VANE)'!$D$4:$D$729,0,0)</f>
        <v>2</v>
      </c>
      <c r="E497" s="322">
        <f>_xlfn.XLOOKUP(A497,'PARA ENVÍO UNIFICADO (VANE)'!$A$4:$A$729,'PARA ENVÍO UNIFICADO (VANE)'!$E$4:$E$729,0,0)</f>
        <v>0</v>
      </c>
      <c r="F497" s="322">
        <f t="shared" si="27"/>
        <v>2</v>
      </c>
      <c r="G497" s="243">
        <v>112871</v>
      </c>
      <c r="H497" s="243">
        <f t="shared" si="29"/>
        <v>225742</v>
      </c>
    </row>
    <row r="498" spans="1:8" s="9" customFormat="1" ht="35.1" customHeight="1" x14ac:dyDescent="0.25">
      <c r="A498" s="244" t="s">
        <v>1279</v>
      </c>
      <c r="B498" s="245" t="s">
        <v>1280</v>
      </c>
      <c r="C498" s="256"/>
      <c r="D498" s="303"/>
      <c r="E498" s="303"/>
      <c r="F498" s="322">
        <f t="shared" si="27"/>
        <v>0</v>
      </c>
      <c r="G498" s="303"/>
      <c r="H498" s="246"/>
    </row>
    <row r="499" spans="1:8" s="9" customFormat="1" ht="35.1" customHeight="1" x14ac:dyDescent="0.25">
      <c r="A499" s="255" t="s">
        <v>1281</v>
      </c>
      <c r="B499" s="254" t="s">
        <v>1282</v>
      </c>
      <c r="C499" s="255" t="s">
        <v>16</v>
      </c>
      <c r="D499" s="322">
        <f>_xlfn.XLOOKUP(A499,'PARA ENVÍO UNIFICADO (VANE)'!$A$4:$A$729,'PARA ENVÍO UNIFICADO (VANE)'!$D$4:$D$729,0,0)</f>
        <v>1</v>
      </c>
      <c r="E499" s="322">
        <f>_xlfn.XLOOKUP(A499,'PARA ENVÍO UNIFICADO (VANE)'!$A$4:$A$729,'PARA ENVÍO UNIFICADO (VANE)'!$E$4:$E$729,0,0)</f>
        <v>0</v>
      </c>
      <c r="F499" s="322">
        <f t="shared" si="27"/>
        <v>1</v>
      </c>
      <c r="G499" s="243">
        <v>23811571</v>
      </c>
      <c r="H499" s="243">
        <f>ROUND(+G499*F499,2)</f>
        <v>23811571</v>
      </c>
    </row>
    <row r="500" spans="1:8" s="9" customFormat="1" ht="39.950000000000003" customHeight="1" x14ac:dyDescent="0.25">
      <c r="A500" s="244" t="s">
        <v>1283</v>
      </c>
      <c r="B500" s="245" t="s">
        <v>1284</v>
      </c>
      <c r="C500" s="256"/>
      <c r="D500" s="303"/>
      <c r="E500" s="303"/>
      <c r="F500" s="322">
        <f t="shared" si="27"/>
        <v>0</v>
      </c>
      <c r="G500" s="303"/>
      <c r="H500" s="246"/>
    </row>
    <row r="501" spans="1:8" s="9" customFormat="1" ht="39.950000000000003" customHeight="1" x14ac:dyDescent="0.25">
      <c r="A501" s="255" t="s">
        <v>1285</v>
      </c>
      <c r="B501" s="254" t="s">
        <v>1286</v>
      </c>
      <c r="C501" s="255" t="s">
        <v>16</v>
      </c>
      <c r="D501" s="322">
        <f>_xlfn.XLOOKUP(A501,'PARA ENVÍO UNIFICADO (VANE)'!$A$4:$A$729,'PARA ENVÍO UNIFICADO (VANE)'!$D$4:$D$729,0,0)</f>
        <v>1</v>
      </c>
      <c r="E501" s="322">
        <f>_xlfn.XLOOKUP(A501,'PARA ENVÍO UNIFICADO (VANE)'!$A$4:$A$729,'PARA ENVÍO UNIFICADO (VANE)'!$E$4:$E$729,0,0)</f>
        <v>0</v>
      </c>
      <c r="F501" s="322">
        <f t="shared" si="27"/>
        <v>1</v>
      </c>
      <c r="G501" s="243">
        <v>2327032</v>
      </c>
      <c r="H501" s="243">
        <f>ROUND(+G501*F501,2)</f>
        <v>2327032</v>
      </c>
    </row>
    <row r="502" spans="1:8" s="9" customFormat="1" ht="39.950000000000003" customHeight="1" x14ac:dyDescent="0.25">
      <c r="A502" s="255" t="s">
        <v>1287</v>
      </c>
      <c r="B502" s="254" t="s">
        <v>1288</v>
      </c>
      <c r="C502" s="255" t="s">
        <v>269</v>
      </c>
      <c r="D502" s="322">
        <f>_xlfn.XLOOKUP(A502,'PARA ENVÍO UNIFICADO (VANE)'!$A$4:$A$729,'PARA ENVÍO UNIFICADO (VANE)'!$D$4:$D$729,0,0)</f>
        <v>10</v>
      </c>
      <c r="E502" s="322">
        <f>_xlfn.XLOOKUP(A502,'PARA ENVÍO UNIFICADO (VANE)'!$A$4:$A$729,'PARA ENVÍO UNIFICADO (VANE)'!$E$4:$E$729,0,0)</f>
        <v>0</v>
      </c>
      <c r="F502" s="322">
        <f t="shared" si="27"/>
        <v>10</v>
      </c>
      <c r="G502" s="243">
        <v>103302</v>
      </c>
      <c r="H502" s="243">
        <f>ROUND(+G502*F502,2)</f>
        <v>1033020</v>
      </c>
    </row>
    <row r="503" spans="1:8" s="9" customFormat="1" ht="39.950000000000003" customHeight="1" x14ac:dyDescent="0.25">
      <c r="A503" s="255" t="s">
        <v>1289</v>
      </c>
      <c r="B503" s="254" t="s">
        <v>1290</v>
      </c>
      <c r="C503" s="255" t="s">
        <v>269</v>
      </c>
      <c r="D503" s="322">
        <f>_xlfn.XLOOKUP(A503,'PARA ENVÍO UNIFICADO (VANE)'!$A$4:$A$729,'PARA ENVÍO UNIFICADO (VANE)'!$D$4:$D$729,0,0)</f>
        <v>5</v>
      </c>
      <c r="E503" s="322">
        <f>_xlfn.XLOOKUP(A503,'PARA ENVÍO UNIFICADO (VANE)'!$A$4:$A$729,'PARA ENVÍO UNIFICADO (VANE)'!$E$4:$E$729,0,0)</f>
        <v>0</v>
      </c>
      <c r="F503" s="322">
        <f t="shared" si="27"/>
        <v>5</v>
      </c>
      <c r="G503" s="243">
        <v>188987</v>
      </c>
      <c r="H503" s="243">
        <f>ROUND(+G503*F503,2)</f>
        <v>944935</v>
      </c>
    </row>
    <row r="504" spans="1:8" s="9" customFormat="1" ht="39.950000000000003" customHeight="1" x14ac:dyDescent="0.25">
      <c r="A504" s="255" t="s">
        <v>1291</v>
      </c>
      <c r="B504" s="254" t="s">
        <v>1292</v>
      </c>
      <c r="C504" s="255" t="s">
        <v>269</v>
      </c>
      <c r="D504" s="322">
        <f>_xlfn.XLOOKUP(A504,'PARA ENVÍO UNIFICADO (VANE)'!$A$4:$A$729,'PARA ENVÍO UNIFICADO (VANE)'!$D$4:$D$729,0,0)</f>
        <v>5</v>
      </c>
      <c r="E504" s="322">
        <f>_xlfn.XLOOKUP(A504,'PARA ENVÍO UNIFICADO (VANE)'!$A$4:$A$729,'PARA ENVÍO UNIFICADO (VANE)'!$E$4:$E$729,0,0)</f>
        <v>0</v>
      </c>
      <c r="F504" s="322">
        <f t="shared" si="27"/>
        <v>5</v>
      </c>
      <c r="G504" s="243">
        <v>188987</v>
      </c>
      <c r="H504" s="243">
        <f>ROUND(+G504*F504,2)</f>
        <v>944935</v>
      </c>
    </row>
    <row r="505" spans="1:8" s="9" customFormat="1" ht="35.1" customHeight="1" x14ac:dyDescent="0.25">
      <c r="A505" s="255" t="s">
        <v>1293</v>
      </c>
      <c r="B505" s="254" t="s">
        <v>1294</v>
      </c>
      <c r="C505" s="255" t="s">
        <v>1423</v>
      </c>
      <c r="D505" s="322">
        <f>_xlfn.XLOOKUP(A505,'PARA ENVÍO UNIFICADO (VANE)'!$A$4:$A$729,'PARA ENVÍO UNIFICADO (VANE)'!$D$4:$D$729,0,0)</f>
        <v>200</v>
      </c>
      <c r="E505" s="322">
        <f>_xlfn.XLOOKUP(A505,'PARA ENVÍO UNIFICADO (VANE)'!$A$4:$A$729,'PARA ENVÍO UNIFICADO (VANE)'!$E$4:$E$729,0,0)</f>
        <v>0</v>
      </c>
      <c r="F505" s="322">
        <f t="shared" si="27"/>
        <v>200</v>
      </c>
      <c r="G505" s="243">
        <v>9990</v>
      </c>
      <c r="H505" s="243">
        <f>ROUND(+G505*F505,2)</f>
        <v>1998000</v>
      </c>
    </row>
    <row r="506" spans="1:8" s="9" customFormat="1" ht="35.1" customHeight="1" x14ac:dyDescent="0.25">
      <c r="A506" s="293">
        <v>16</v>
      </c>
      <c r="B506" s="294" t="s">
        <v>712</v>
      </c>
      <c r="C506" s="267"/>
      <c r="D506" s="325"/>
      <c r="E506" s="325"/>
      <c r="F506" s="322">
        <f t="shared" si="27"/>
        <v>0</v>
      </c>
      <c r="G506" s="306"/>
      <c r="H506" s="268"/>
    </row>
    <row r="507" spans="1:8" s="9" customFormat="1" ht="35.1" customHeight="1" x14ac:dyDescent="0.25">
      <c r="A507" s="244" t="s">
        <v>713</v>
      </c>
      <c r="B507" s="256" t="s">
        <v>714</v>
      </c>
      <c r="C507" s="256"/>
      <c r="D507" s="244"/>
      <c r="E507" s="244"/>
      <c r="F507" s="322">
        <f t="shared" si="27"/>
        <v>0</v>
      </c>
      <c r="G507" s="303"/>
      <c r="H507" s="246"/>
    </row>
    <row r="508" spans="1:8" s="9" customFormat="1" ht="35.1" customHeight="1" x14ac:dyDescent="0.25">
      <c r="A508" s="255" t="s">
        <v>715</v>
      </c>
      <c r="B508" s="87" t="s">
        <v>716</v>
      </c>
      <c r="C508" s="255" t="s">
        <v>16</v>
      </c>
      <c r="D508" s="322">
        <f>_xlfn.XLOOKUP(A508,'PARA ENVÍO UNIFICADO (VANE)'!$A$4:$A$729,'PARA ENVÍO UNIFICADO (VANE)'!$D$4:$D$729,0,0)</f>
        <v>153</v>
      </c>
      <c r="E508" s="322">
        <f>_xlfn.XLOOKUP(A508,'PARA ENVÍO UNIFICADO (VANE)'!$A$4:$A$729,'PARA ENVÍO UNIFICADO (VANE)'!$E$4:$E$729,0,0)</f>
        <v>57</v>
      </c>
      <c r="F508" s="322">
        <f t="shared" si="27"/>
        <v>210</v>
      </c>
      <c r="G508" s="243">
        <v>132419</v>
      </c>
      <c r="H508" s="243">
        <f t="shared" ref="H508:H516" si="30">ROUND(+G508*F508,2)</f>
        <v>27807990</v>
      </c>
    </row>
    <row r="509" spans="1:8" s="9" customFormat="1" ht="35.1" customHeight="1" x14ac:dyDescent="0.25">
      <c r="A509" s="255" t="s">
        <v>717</v>
      </c>
      <c r="B509" s="87" t="s">
        <v>718</v>
      </c>
      <c r="C509" s="255" t="s">
        <v>16</v>
      </c>
      <c r="D509" s="322">
        <f>_xlfn.XLOOKUP(A509,'PARA ENVÍO UNIFICADO (VANE)'!$A$4:$A$729,'PARA ENVÍO UNIFICADO (VANE)'!$D$4:$D$729,0,0)</f>
        <v>82</v>
      </c>
      <c r="E509" s="322">
        <f>_xlfn.XLOOKUP(A509,'PARA ENVÍO UNIFICADO (VANE)'!$A$4:$A$729,'PARA ENVÍO UNIFICADO (VANE)'!$E$4:$E$729,0,0)</f>
        <v>30</v>
      </c>
      <c r="F509" s="322">
        <f t="shared" si="27"/>
        <v>112</v>
      </c>
      <c r="G509" s="243">
        <v>214137</v>
      </c>
      <c r="H509" s="243">
        <f t="shared" si="30"/>
        <v>23983344</v>
      </c>
    </row>
    <row r="510" spans="1:8" s="9" customFormat="1" ht="35.1" customHeight="1" x14ac:dyDescent="0.25">
      <c r="A510" s="255" t="s">
        <v>719</v>
      </c>
      <c r="B510" s="254" t="s">
        <v>720</v>
      </c>
      <c r="C510" s="255" t="s">
        <v>16</v>
      </c>
      <c r="D510" s="322">
        <f>_xlfn.XLOOKUP(A510,'PARA ENVÍO UNIFICADO (VANE)'!$A$4:$A$729,'PARA ENVÍO UNIFICADO (VANE)'!$D$4:$D$729,0,0)</f>
        <v>121</v>
      </c>
      <c r="E510" s="322">
        <f>_xlfn.XLOOKUP(A510,'PARA ENVÍO UNIFICADO (VANE)'!$A$4:$A$729,'PARA ENVÍO UNIFICADO (VANE)'!$E$4:$E$729,0,0)</f>
        <v>45</v>
      </c>
      <c r="F510" s="322">
        <f t="shared" si="27"/>
        <v>166</v>
      </c>
      <c r="G510" s="243">
        <v>195814</v>
      </c>
      <c r="H510" s="243">
        <f t="shared" si="30"/>
        <v>32505124</v>
      </c>
    </row>
    <row r="511" spans="1:8" s="9" customFormat="1" ht="35.1" customHeight="1" x14ac:dyDescent="0.25">
      <c r="A511" s="255" t="s">
        <v>721</v>
      </c>
      <c r="B511" s="254" t="s">
        <v>722</v>
      </c>
      <c r="C511" s="255" t="s">
        <v>16</v>
      </c>
      <c r="D511" s="322">
        <f>_xlfn.XLOOKUP(A511,'PARA ENVÍO UNIFICADO (VANE)'!$A$4:$A$729,'PARA ENVÍO UNIFICADO (VANE)'!$D$4:$D$729,0,0)</f>
        <v>50</v>
      </c>
      <c r="E511" s="322">
        <f>_xlfn.XLOOKUP(A511,'PARA ENVÍO UNIFICADO (VANE)'!$A$4:$A$729,'PARA ENVÍO UNIFICADO (VANE)'!$E$4:$E$729,0,0)</f>
        <v>19</v>
      </c>
      <c r="F511" s="322">
        <f t="shared" si="27"/>
        <v>69</v>
      </c>
      <c r="G511" s="243">
        <v>144433</v>
      </c>
      <c r="H511" s="243">
        <f t="shared" si="30"/>
        <v>9965877</v>
      </c>
    </row>
    <row r="512" spans="1:8" s="9" customFormat="1" ht="35.1" customHeight="1" x14ac:dyDescent="0.25">
      <c r="A512" s="255" t="s">
        <v>723</v>
      </c>
      <c r="B512" s="254" t="s">
        <v>724</v>
      </c>
      <c r="C512" s="255" t="s">
        <v>16</v>
      </c>
      <c r="D512" s="322">
        <f>_xlfn.XLOOKUP(A512,'PARA ENVÍO UNIFICADO (VANE)'!$A$4:$A$729,'PARA ENVÍO UNIFICADO (VANE)'!$D$4:$D$729,0,0)</f>
        <v>184</v>
      </c>
      <c r="E512" s="322">
        <f>_xlfn.XLOOKUP(A512,'PARA ENVÍO UNIFICADO (VANE)'!$A$4:$A$729,'PARA ENVÍO UNIFICADO (VANE)'!$E$4:$E$729,0,0)</f>
        <v>68</v>
      </c>
      <c r="F512" s="322">
        <f t="shared" si="27"/>
        <v>252</v>
      </c>
      <c r="G512" s="243">
        <v>232703</v>
      </c>
      <c r="H512" s="243">
        <f t="shared" si="30"/>
        <v>58641156</v>
      </c>
    </row>
    <row r="513" spans="1:8" s="9" customFormat="1" ht="35.1" customHeight="1" x14ac:dyDescent="0.25">
      <c r="A513" s="255" t="s">
        <v>725</v>
      </c>
      <c r="B513" s="254" t="s">
        <v>726</v>
      </c>
      <c r="C513" s="255" t="s">
        <v>16</v>
      </c>
      <c r="D513" s="322">
        <f>_xlfn.XLOOKUP(A513,'PARA ENVÍO UNIFICADO (VANE)'!$A$4:$A$729,'PARA ENVÍO UNIFICADO (VANE)'!$D$4:$D$729,0,0)</f>
        <v>6</v>
      </c>
      <c r="E513" s="322">
        <f>_xlfn.XLOOKUP(A513,'PARA ENVÍO UNIFICADO (VANE)'!$A$4:$A$729,'PARA ENVÍO UNIFICADO (VANE)'!$E$4:$E$729,0,0)</f>
        <v>2</v>
      </c>
      <c r="F513" s="322">
        <f t="shared" si="27"/>
        <v>8</v>
      </c>
      <c r="G513" s="243">
        <v>277466</v>
      </c>
      <c r="H513" s="243">
        <f t="shared" si="30"/>
        <v>2219728</v>
      </c>
    </row>
    <row r="514" spans="1:8" s="9" customFormat="1" ht="35.1" customHeight="1" x14ac:dyDescent="0.25">
      <c r="A514" s="255" t="s">
        <v>727</v>
      </c>
      <c r="B514" s="254" t="s">
        <v>728</v>
      </c>
      <c r="C514" s="255" t="s">
        <v>16</v>
      </c>
      <c r="D514" s="322">
        <f>_xlfn.XLOOKUP(A514,'PARA ENVÍO UNIFICADO (VANE)'!$A$4:$A$729,'PARA ENVÍO UNIFICADO (VANE)'!$D$4:$D$729,0,0)</f>
        <v>6</v>
      </c>
      <c r="E514" s="322">
        <f>_xlfn.XLOOKUP(A514,'PARA ENVÍO UNIFICADO (VANE)'!$A$4:$A$729,'PARA ENVÍO UNIFICADO (VANE)'!$E$4:$E$729,0,0)</f>
        <v>2</v>
      </c>
      <c r="F514" s="322">
        <f t="shared" si="27"/>
        <v>8</v>
      </c>
      <c r="G514" s="243">
        <v>205006</v>
      </c>
      <c r="H514" s="243">
        <f t="shared" si="30"/>
        <v>1640048</v>
      </c>
    </row>
    <row r="515" spans="1:8" s="9" customFormat="1" ht="35.1" customHeight="1" x14ac:dyDescent="0.25">
      <c r="A515" s="255" t="s">
        <v>729</v>
      </c>
      <c r="B515" s="291" t="s">
        <v>730</v>
      </c>
      <c r="C515" s="255" t="s">
        <v>16</v>
      </c>
      <c r="D515" s="322">
        <f>_xlfn.XLOOKUP(A515,'PARA ENVÍO UNIFICADO (VANE)'!$A$4:$A$729,'PARA ENVÍO UNIFICADO (VANE)'!$D$4:$D$729,0,0)</f>
        <v>67</v>
      </c>
      <c r="E515" s="322">
        <f>_xlfn.XLOOKUP(A515,'PARA ENVÍO UNIFICADO (VANE)'!$A$4:$A$729,'PARA ENVÍO UNIFICADO (VANE)'!$E$4:$E$729,0,0)</f>
        <v>25</v>
      </c>
      <c r="F515" s="322">
        <f t="shared" si="27"/>
        <v>92</v>
      </c>
      <c r="G515" s="243">
        <v>99609</v>
      </c>
      <c r="H515" s="243">
        <f t="shared" si="30"/>
        <v>9164028</v>
      </c>
    </row>
    <row r="516" spans="1:8" s="9" customFormat="1" ht="35.1" customHeight="1" x14ac:dyDescent="0.25">
      <c r="A516" s="255" t="s">
        <v>731</v>
      </c>
      <c r="B516" s="254" t="s">
        <v>732</v>
      </c>
      <c r="C516" s="255" t="s">
        <v>16</v>
      </c>
      <c r="D516" s="322">
        <f>_xlfn.XLOOKUP(A516,'PARA ENVÍO UNIFICADO (VANE)'!$A$4:$A$729,'PARA ENVÍO UNIFICADO (VANE)'!$D$4:$D$729,0,0)</f>
        <v>10</v>
      </c>
      <c r="E516" s="322">
        <f>_xlfn.XLOOKUP(A516,'PARA ENVÍO UNIFICADO (VANE)'!$A$4:$A$729,'PARA ENVÍO UNIFICADO (VANE)'!$E$4:$E$729,0,0)</f>
        <v>4</v>
      </c>
      <c r="F516" s="322">
        <f t="shared" si="27"/>
        <v>14</v>
      </c>
      <c r="G516" s="243">
        <v>79847</v>
      </c>
      <c r="H516" s="243">
        <f t="shared" si="30"/>
        <v>1117858</v>
      </c>
    </row>
    <row r="517" spans="1:8" s="9" customFormat="1" ht="35.1" customHeight="1" x14ac:dyDescent="0.25">
      <c r="A517" s="266">
        <v>17</v>
      </c>
      <c r="B517" s="267" t="s">
        <v>733</v>
      </c>
      <c r="C517" s="267"/>
      <c r="D517" s="322">
        <f>_xlfn.XLOOKUP(A517,'PARA ENVÍO UNIFICADO (VANE)'!$A$4:$A$729,'PARA ENVÍO UNIFICADO (VANE)'!$D$4:$D$729,0,0)</f>
        <v>0</v>
      </c>
      <c r="E517" s="322">
        <f>_xlfn.XLOOKUP(A517,'PARA ENVÍO UNIFICADO (VANE)'!$A$4:$A$729,'PARA ENVÍO UNIFICADO (VANE)'!$E$4:$E$729,0,0)</f>
        <v>0</v>
      </c>
      <c r="F517" s="322">
        <f t="shared" ref="F517:F580" si="31">ROUND(D517+E517,2)</f>
        <v>0</v>
      </c>
      <c r="G517" s="306"/>
      <c r="H517" s="268"/>
    </row>
    <row r="518" spans="1:8" s="9" customFormat="1" ht="35.1" customHeight="1" x14ac:dyDescent="0.25">
      <c r="A518" s="244" t="s">
        <v>1295</v>
      </c>
      <c r="B518" s="256" t="s">
        <v>1296</v>
      </c>
      <c r="C518" s="256"/>
      <c r="D518" s="322">
        <f>_xlfn.XLOOKUP(A518,'PARA ENVÍO UNIFICADO (VANE)'!$A$4:$A$729,'PARA ENVÍO UNIFICADO (VANE)'!$D$4:$D$729,0,0)</f>
        <v>0</v>
      </c>
      <c r="E518" s="322">
        <f>_xlfn.XLOOKUP(A518,'PARA ENVÍO UNIFICADO (VANE)'!$A$4:$A$729,'PARA ENVÍO UNIFICADO (VANE)'!$E$4:$E$729,0,0)</f>
        <v>0</v>
      </c>
      <c r="F518" s="322">
        <f t="shared" si="31"/>
        <v>0</v>
      </c>
      <c r="G518" s="303"/>
      <c r="H518" s="246"/>
    </row>
    <row r="519" spans="1:8" s="9" customFormat="1" ht="35.1" customHeight="1" x14ac:dyDescent="0.25">
      <c r="A519" s="255" t="s">
        <v>1297</v>
      </c>
      <c r="B519" s="254" t="s">
        <v>1298</v>
      </c>
      <c r="C519" s="240" t="s">
        <v>16</v>
      </c>
      <c r="D519" s="322">
        <f>_xlfn.XLOOKUP(A519,'PARA ENVÍO UNIFICADO (VANE)'!$A$4:$A$729,'PARA ENVÍO UNIFICADO (VANE)'!$D$4:$D$729,0,0)</f>
        <v>1</v>
      </c>
      <c r="E519" s="322">
        <f>_xlfn.XLOOKUP(A519,'PARA ENVÍO UNIFICADO (VANE)'!$A$4:$A$729,'PARA ENVÍO UNIFICADO (VANE)'!$E$4:$E$729,0,0)</f>
        <v>0</v>
      </c>
      <c r="F519" s="322">
        <f t="shared" si="31"/>
        <v>1</v>
      </c>
      <c r="G519" s="243">
        <v>246291164</v>
      </c>
      <c r="H519" s="243">
        <f t="shared" ref="H519:H533" si="32">ROUND(+G519*F519,2)</f>
        <v>246291164</v>
      </c>
    </row>
    <row r="520" spans="1:8" s="9" customFormat="1" ht="35.1" customHeight="1" x14ac:dyDescent="0.25">
      <c r="A520" s="255" t="s">
        <v>1299</v>
      </c>
      <c r="B520" s="254" t="s">
        <v>1300</v>
      </c>
      <c r="C520" s="240" t="s">
        <v>16</v>
      </c>
      <c r="D520" s="322">
        <f>_xlfn.XLOOKUP(A520,'PARA ENVÍO UNIFICADO (VANE)'!$A$4:$A$729,'PARA ENVÍO UNIFICADO (VANE)'!$D$4:$D$729,0,0)</f>
        <v>1</v>
      </c>
      <c r="E520" s="322">
        <f>_xlfn.XLOOKUP(A520,'PARA ENVÍO UNIFICADO (VANE)'!$A$4:$A$729,'PARA ENVÍO UNIFICADO (VANE)'!$E$4:$E$729,0,0)</f>
        <v>0</v>
      </c>
      <c r="F520" s="322">
        <f t="shared" si="31"/>
        <v>1</v>
      </c>
      <c r="G520" s="243">
        <v>197545150</v>
      </c>
      <c r="H520" s="243">
        <f t="shared" si="32"/>
        <v>197545150</v>
      </c>
    </row>
    <row r="521" spans="1:8" s="9" customFormat="1" ht="35.1" customHeight="1" x14ac:dyDescent="0.25">
      <c r="A521" s="255" t="s">
        <v>1301</v>
      </c>
      <c r="B521" s="241" t="s">
        <v>1424</v>
      </c>
      <c r="C521" s="240" t="s">
        <v>16</v>
      </c>
      <c r="D521" s="322">
        <f>_xlfn.XLOOKUP(A521,'PARA ENVÍO UNIFICADO (VANE)'!$A$4:$A$729,'PARA ENVÍO UNIFICADO (VANE)'!$D$4:$D$729,0,0)</f>
        <v>2</v>
      </c>
      <c r="E521" s="322">
        <f>_xlfn.XLOOKUP(A521,'PARA ENVÍO UNIFICADO (VANE)'!$A$4:$A$729,'PARA ENVÍO UNIFICADO (VANE)'!$E$4:$E$729,0,0)</f>
        <v>0</v>
      </c>
      <c r="F521" s="322">
        <f t="shared" si="31"/>
        <v>2</v>
      </c>
      <c r="G521" s="243">
        <v>856442</v>
      </c>
      <c r="H521" s="243">
        <f t="shared" si="32"/>
        <v>1712884</v>
      </c>
    </row>
    <row r="522" spans="1:8" s="9" customFormat="1" ht="35.1" customHeight="1" x14ac:dyDescent="0.25">
      <c r="A522" s="255" t="s">
        <v>1303</v>
      </c>
      <c r="B522" s="254" t="s">
        <v>1304</v>
      </c>
      <c r="C522" s="240" t="s">
        <v>16</v>
      </c>
      <c r="D522" s="322">
        <f>_xlfn.XLOOKUP(A522,'PARA ENVÍO UNIFICADO (VANE)'!$A$4:$A$729,'PARA ENVÍO UNIFICADO (VANE)'!$D$4:$D$729,0,0)</f>
        <v>9</v>
      </c>
      <c r="E522" s="322">
        <f>_xlfn.XLOOKUP(A522,'PARA ENVÍO UNIFICADO (VANE)'!$A$4:$A$729,'PARA ENVÍO UNIFICADO (VANE)'!$E$4:$E$729,0,0)</f>
        <v>0</v>
      </c>
      <c r="F522" s="322">
        <f t="shared" si="31"/>
        <v>9</v>
      </c>
      <c r="G522" s="243">
        <v>3292279</v>
      </c>
      <c r="H522" s="243">
        <f t="shared" si="32"/>
        <v>29630511</v>
      </c>
    </row>
    <row r="523" spans="1:8" s="9" customFormat="1" ht="35.1" customHeight="1" x14ac:dyDescent="0.25">
      <c r="A523" s="255" t="s">
        <v>1305</v>
      </c>
      <c r="B523" s="254" t="s">
        <v>1306</v>
      </c>
      <c r="C523" s="240" t="s">
        <v>16</v>
      </c>
      <c r="D523" s="322">
        <f>_xlfn.XLOOKUP(A523,'PARA ENVÍO UNIFICADO (VANE)'!$A$4:$A$729,'PARA ENVÍO UNIFICADO (VANE)'!$D$4:$D$729,0,0)</f>
        <v>16</v>
      </c>
      <c r="E523" s="322">
        <f>_xlfn.XLOOKUP(A523,'PARA ENVÍO UNIFICADO (VANE)'!$A$4:$A$729,'PARA ENVÍO UNIFICADO (VANE)'!$E$4:$E$729,0,0)</f>
        <v>0</v>
      </c>
      <c r="F523" s="322">
        <f t="shared" si="31"/>
        <v>16</v>
      </c>
      <c r="G523" s="243">
        <v>2238311</v>
      </c>
      <c r="H523" s="243">
        <f t="shared" si="32"/>
        <v>35812976</v>
      </c>
    </row>
    <row r="524" spans="1:8" s="9" customFormat="1" ht="35.1" customHeight="1" x14ac:dyDescent="0.25">
      <c r="A524" s="255" t="s">
        <v>1307</v>
      </c>
      <c r="B524" s="254" t="s">
        <v>1308</v>
      </c>
      <c r="C524" s="240" t="s">
        <v>16</v>
      </c>
      <c r="D524" s="322">
        <f>_xlfn.XLOOKUP(A524,'PARA ENVÍO UNIFICADO (VANE)'!$A$4:$A$729,'PARA ENVÍO UNIFICADO (VANE)'!$D$4:$D$729,0,0)</f>
        <v>1</v>
      </c>
      <c r="E524" s="322">
        <f>_xlfn.XLOOKUP(A524,'PARA ENVÍO UNIFICADO (VANE)'!$A$4:$A$729,'PARA ENVÍO UNIFICADO (VANE)'!$E$4:$E$729,0,0)</f>
        <v>0</v>
      </c>
      <c r="F524" s="322">
        <f t="shared" si="31"/>
        <v>1</v>
      </c>
      <c r="G524" s="243">
        <v>2106565</v>
      </c>
      <c r="H524" s="243">
        <f t="shared" si="32"/>
        <v>2106565</v>
      </c>
    </row>
    <row r="525" spans="1:8" s="9" customFormat="1" ht="35.1" customHeight="1" x14ac:dyDescent="0.25">
      <c r="A525" s="255" t="s">
        <v>1309</v>
      </c>
      <c r="B525" s="254" t="s">
        <v>1310</v>
      </c>
      <c r="C525" s="240" t="s">
        <v>16</v>
      </c>
      <c r="D525" s="322">
        <f>_xlfn.XLOOKUP(A525,'PARA ENVÍO UNIFICADO (VANE)'!$A$4:$A$729,'PARA ENVÍO UNIFICADO (VANE)'!$D$4:$D$729,0,0)</f>
        <v>1</v>
      </c>
      <c r="E525" s="322">
        <f>_xlfn.XLOOKUP(A525,'PARA ENVÍO UNIFICADO (VANE)'!$A$4:$A$729,'PARA ENVÍO UNIFICADO (VANE)'!$E$4:$E$729,0,0)</f>
        <v>0</v>
      </c>
      <c r="F525" s="322">
        <f t="shared" si="31"/>
        <v>1</v>
      </c>
      <c r="G525" s="243">
        <v>1974819</v>
      </c>
      <c r="H525" s="243">
        <f t="shared" si="32"/>
        <v>1974819</v>
      </c>
    </row>
    <row r="526" spans="1:8" s="9" customFormat="1" ht="35.1" customHeight="1" x14ac:dyDescent="0.25">
      <c r="A526" s="255" t="s">
        <v>1311</v>
      </c>
      <c r="B526" s="254" t="s">
        <v>1312</v>
      </c>
      <c r="C526" s="240" t="s">
        <v>16</v>
      </c>
      <c r="D526" s="322">
        <f>_xlfn.XLOOKUP(A526,'PARA ENVÍO UNIFICADO (VANE)'!$A$4:$A$729,'PARA ENVÍO UNIFICADO (VANE)'!$D$4:$D$729,0,0)</f>
        <v>3</v>
      </c>
      <c r="E526" s="322">
        <f>_xlfn.XLOOKUP(A526,'PARA ENVÍO UNIFICADO (VANE)'!$A$4:$A$729,'PARA ENVÍO UNIFICADO (VANE)'!$E$4:$E$729,0,0)</f>
        <v>0</v>
      </c>
      <c r="F526" s="322">
        <f t="shared" si="31"/>
        <v>3</v>
      </c>
      <c r="G526" s="243">
        <v>1184343</v>
      </c>
      <c r="H526" s="243">
        <f t="shared" si="32"/>
        <v>3553029</v>
      </c>
    </row>
    <row r="527" spans="1:8" s="9" customFormat="1" ht="35.1" customHeight="1" x14ac:dyDescent="0.25">
      <c r="A527" s="255" t="s">
        <v>1313</v>
      </c>
      <c r="B527" s="254" t="s">
        <v>1314</v>
      </c>
      <c r="C527" s="240" t="s">
        <v>16</v>
      </c>
      <c r="D527" s="322">
        <f>_xlfn.XLOOKUP(A527,'PARA ENVÍO UNIFICADO (VANE)'!$A$4:$A$729,'PARA ENVÍO UNIFICADO (VANE)'!$D$4:$D$729,0,0)</f>
        <v>3</v>
      </c>
      <c r="E527" s="322">
        <f>_xlfn.XLOOKUP(A527,'PARA ENVÍO UNIFICADO (VANE)'!$A$4:$A$729,'PARA ENVÍO UNIFICADO (VANE)'!$E$4:$E$729,0,0)</f>
        <v>0</v>
      </c>
      <c r="F527" s="322">
        <f t="shared" si="31"/>
        <v>3</v>
      </c>
      <c r="G527" s="243">
        <v>1566406</v>
      </c>
      <c r="H527" s="243">
        <f t="shared" si="32"/>
        <v>4699218</v>
      </c>
    </row>
    <row r="528" spans="1:8" s="9" customFormat="1" ht="35.1" customHeight="1" x14ac:dyDescent="0.25">
      <c r="A528" s="255" t="s">
        <v>1315</v>
      </c>
      <c r="B528" s="254" t="s">
        <v>1316</v>
      </c>
      <c r="C528" s="240" t="s">
        <v>16</v>
      </c>
      <c r="D528" s="322">
        <f>_xlfn.XLOOKUP(A528,'PARA ENVÍO UNIFICADO (VANE)'!$A$4:$A$729,'PARA ENVÍO UNIFICADO (VANE)'!$D$4:$D$729,0,0)</f>
        <v>1</v>
      </c>
      <c r="E528" s="322">
        <f>_xlfn.XLOOKUP(A528,'PARA ENVÍO UNIFICADO (VANE)'!$A$4:$A$729,'PARA ENVÍO UNIFICADO (VANE)'!$E$4:$E$729,0,0)</f>
        <v>0</v>
      </c>
      <c r="F528" s="322">
        <f t="shared" si="31"/>
        <v>1</v>
      </c>
      <c r="G528" s="243">
        <v>1691564</v>
      </c>
      <c r="H528" s="243">
        <f t="shared" si="32"/>
        <v>1691564</v>
      </c>
    </row>
    <row r="529" spans="1:8" s="9" customFormat="1" ht="35.1" customHeight="1" x14ac:dyDescent="0.25">
      <c r="A529" s="255" t="s">
        <v>1317</v>
      </c>
      <c r="B529" s="254" t="s">
        <v>1318</v>
      </c>
      <c r="C529" s="240" t="s">
        <v>16</v>
      </c>
      <c r="D529" s="322">
        <f>_xlfn.XLOOKUP(A529,'PARA ENVÍO UNIFICADO (VANE)'!$A$4:$A$729,'PARA ENVÍO UNIFICADO (VANE)'!$D$4:$D$729,0,0)</f>
        <v>1</v>
      </c>
      <c r="E529" s="322">
        <f>_xlfn.XLOOKUP(A529,'PARA ENVÍO UNIFICADO (VANE)'!$A$4:$A$729,'PARA ENVÍO UNIFICADO (VANE)'!$E$4:$E$729,0,0)</f>
        <v>0</v>
      </c>
      <c r="F529" s="322">
        <f t="shared" si="31"/>
        <v>1</v>
      </c>
      <c r="G529" s="243">
        <v>1843073</v>
      </c>
      <c r="H529" s="243">
        <f t="shared" si="32"/>
        <v>1843073</v>
      </c>
    </row>
    <row r="530" spans="1:8" s="9" customFormat="1" ht="35.1" customHeight="1" x14ac:dyDescent="0.25">
      <c r="A530" s="255" t="s">
        <v>1319</v>
      </c>
      <c r="B530" s="254" t="s">
        <v>1320</v>
      </c>
      <c r="C530" s="240" t="s">
        <v>16</v>
      </c>
      <c r="D530" s="322">
        <f>_xlfn.XLOOKUP(A530,'PARA ENVÍO UNIFICADO (VANE)'!$A$4:$A$729,'PARA ENVÍO UNIFICADO (VANE)'!$D$4:$D$729,0,0)</f>
        <v>2</v>
      </c>
      <c r="E530" s="322">
        <f>_xlfn.XLOOKUP(A530,'PARA ENVÍO UNIFICADO (VANE)'!$A$4:$A$729,'PARA ENVÍO UNIFICADO (VANE)'!$E$4:$E$729,0,0)</f>
        <v>0</v>
      </c>
      <c r="F530" s="322">
        <f t="shared" si="31"/>
        <v>2</v>
      </c>
      <c r="G530" s="243">
        <v>10144815</v>
      </c>
      <c r="H530" s="243">
        <f t="shared" si="32"/>
        <v>20289630</v>
      </c>
    </row>
    <row r="531" spans="1:8" s="9" customFormat="1" ht="35.1" customHeight="1" x14ac:dyDescent="0.25">
      <c r="A531" s="255" t="s">
        <v>1321</v>
      </c>
      <c r="B531" s="254" t="s">
        <v>1322</v>
      </c>
      <c r="C531" s="240" t="s">
        <v>16</v>
      </c>
      <c r="D531" s="322">
        <f>_xlfn.XLOOKUP(A531,'PARA ENVÍO UNIFICADO (VANE)'!$A$4:$A$729,'PARA ENVÍO UNIFICADO (VANE)'!$D$4:$D$729,0,0)</f>
        <v>1</v>
      </c>
      <c r="E531" s="322">
        <f>_xlfn.XLOOKUP(A531,'PARA ENVÍO UNIFICADO (VANE)'!$A$4:$A$729,'PARA ENVÍO UNIFICADO (VANE)'!$E$4:$E$729,0,0)</f>
        <v>0</v>
      </c>
      <c r="F531" s="322">
        <f t="shared" si="31"/>
        <v>1</v>
      </c>
      <c r="G531" s="243">
        <v>16336970</v>
      </c>
      <c r="H531" s="243">
        <f t="shared" si="32"/>
        <v>16336970</v>
      </c>
    </row>
    <row r="532" spans="1:8" s="9" customFormat="1" ht="35.1" customHeight="1" x14ac:dyDescent="0.25">
      <c r="A532" s="255" t="s">
        <v>1323</v>
      </c>
      <c r="B532" s="254" t="s">
        <v>1324</v>
      </c>
      <c r="C532" s="240" t="s">
        <v>16</v>
      </c>
      <c r="D532" s="322">
        <f>_xlfn.XLOOKUP(A532,'PARA ENVÍO UNIFICADO (VANE)'!$A$4:$A$729,'PARA ENVÍO UNIFICADO (VANE)'!$D$4:$D$729,0,0)</f>
        <v>4</v>
      </c>
      <c r="E532" s="322">
        <f>_xlfn.XLOOKUP(A532,'PARA ENVÍO UNIFICADO (VANE)'!$A$4:$A$729,'PARA ENVÍO UNIFICADO (VANE)'!$E$4:$E$729,0,0)</f>
        <v>0</v>
      </c>
      <c r="F532" s="322">
        <f t="shared" si="31"/>
        <v>4</v>
      </c>
      <c r="G532" s="243">
        <v>6806986</v>
      </c>
      <c r="H532" s="243">
        <f t="shared" si="32"/>
        <v>27227944</v>
      </c>
    </row>
    <row r="533" spans="1:8" s="9" customFormat="1" ht="35.1" customHeight="1" x14ac:dyDescent="0.25">
      <c r="A533" s="255" t="s">
        <v>1325</v>
      </c>
      <c r="B533" s="254" t="s">
        <v>1326</v>
      </c>
      <c r="C533" s="240" t="s">
        <v>16</v>
      </c>
      <c r="D533" s="322">
        <f>_xlfn.XLOOKUP(A533,'PARA ENVÍO UNIFICADO (VANE)'!$A$4:$A$729,'PARA ENVÍO UNIFICADO (VANE)'!$D$4:$D$729,0,0)</f>
        <v>2</v>
      </c>
      <c r="E533" s="322">
        <f>_xlfn.XLOOKUP(A533,'PARA ENVÍO UNIFICADO (VANE)'!$A$4:$A$729,'PARA ENVÍO UNIFICADO (VANE)'!$E$4:$E$729,0,0)</f>
        <v>0</v>
      </c>
      <c r="F533" s="322">
        <f t="shared" si="31"/>
        <v>2</v>
      </c>
      <c r="G533" s="243">
        <v>23820382</v>
      </c>
      <c r="H533" s="243">
        <f t="shared" si="32"/>
        <v>47640764</v>
      </c>
    </row>
    <row r="534" spans="1:8" s="9" customFormat="1" ht="35.1" customHeight="1" x14ac:dyDescent="0.25">
      <c r="A534" s="244" t="s">
        <v>734</v>
      </c>
      <c r="B534" s="256" t="s">
        <v>735</v>
      </c>
      <c r="C534" s="256"/>
      <c r="D534" s="244"/>
      <c r="E534" s="244"/>
      <c r="F534" s="322">
        <f t="shared" si="31"/>
        <v>0</v>
      </c>
      <c r="G534" s="303"/>
      <c r="H534" s="246"/>
    </row>
    <row r="535" spans="1:8" s="9" customFormat="1" ht="35.1" customHeight="1" x14ac:dyDescent="0.25">
      <c r="A535" s="255" t="s">
        <v>736</v>
      </c>
      <c r="B535" s="254" t="s">
        <v>737</v>
      </c>
      <c r="C535" s="240" t="s">
        <v>94</v>
      </c>
      <c r="D535" s="322">
        <f>_xlfn.XLOOKUP(A535,'PARA ENVÍO UNIFICADO (VANE)'!$A$4:$A$729,'PARA ENVÍO UNIFICADO (VANE)'!$D$4:$D$729,0,0)</f>
        <v>45</v>
      </c>
      <c r="E535" s="322">
        <f>_xlfn.XLOOKUP(A535,'PARA ENVÍO UNIFICADO (VANE)'!$A$4:$A$729,'PARA ENVÍO UNIFICADO (VANE)'!$E$4:$E$729,0,0)</f>
        <v>17</v>
      </c>
      <c r="F535" s="322">
        <f t="shared" si="31"/>
        <v>62</v>
      </c>
      <c r="G535" s="243">
        <v>73508</v>
      </c>
      <c r="H535" s="243">
        <f t="shared" ref="H535:H542" si="33">ROUND(+G535*F535,2)</f>
        <v>4557496</v>
      </c>
    </row>
    <row r="536" spans="1:8" s="9" customFormat="1" ht="35.1" customHeight="1" x14ac:dyDescent="0.25">
      <c r="A536" s="255" t="s">
        <v>738</v>
      </c>
      <c r="B536" s="254" t="s">
        <v>739</v>
      </c>
      <c r="C536" s="240" t="s">
        <v>94</v>
      </c>
      <c r="D536" s="322">
        <f>_xlfn.XLOOKUP(A536,'PARA ENVÍO UNIFICADO (VANE)'!$A$4:$A$729,'PARA ENVÍO UNIFICADO (VANE)'!$D$4:$D$729,0,0)</f>
        <v>24</v>
      </c>
      <c r="E536" s="322">
        <f>_xlfn.XLOOKUP(A536,'PARA ENVÍO UNIFICADO (VANE)'!$A$4:$A$729,'PARA ENVÍO UNIFICADO (VANE)'!$E$4:$E$729,0,0)</f>
        <v>9</v>
      </c>
      <c r="F536" s="322">
        <f t="shared" si="31"/>
        <v>33</v>
      </c>
      <c r="G536" s="243">
        <v>47798</v>
      </c>
      <c r="H536" s="243">
        <f t="shared" si="33"/>
        <v>1577334</v>
      </c>
    </row>
    <row r="537" spans="1:8" s="9" customFormat="1" ht="35.1" customHeight="1" x14ac:dyDescent="0.25">
      <c r="A537" s="255" t="s">
        <v>740</v>
      </c>
      <c r="B537" s="254" t="s">
        <v>741</v>
      </c>
      <c r="C537" s="240" t="s">
        <v>94</v>
      </c>
      <c r="D537" s="322">
        <f>_xlfn.XLOOKUP(A537,'PARA ENVÍO UNIFICADO (VANE)'!$A$4:$A$729,'PARA ENVÍO UNIFICADO (VANE)'!$D$4:$D$729,0,0)</f>
        <v>64</v>
      </c>
      <c r="E537" s="322">
        <f>_xlfn.XLOOKUP(A537,'PARA ENVÍO UNIFICADO (VANE)'!$A$4:$A$729,'PARA ENVÍO UNIFICADO (VANE)'!$E$4:$E$729,0,0)</f>
        <v>24</v>
      </c>
      <c r="F537" s="322">
        <f t="shared" si="31"/>
        <v>88</v>
      </c>
      <c r="G537" s="243">
        <v>35622</v>
      </c>
      <c r="H537" s="243">
        <f t="shared" si="33"/>
        <v>3134736</v>
      </c>
    </row>
    <row r="538" spans="1:8" s="9" customFormat="1" ht="35.1" customHeight="1" x14ac:dyDescent="0.25">
      <c r="A538" s="255" t="s">
        <v>742</v>
      </c>
      <c r="B538" s="254" t="s">
        <v>743</v>
      </c>
      <c r="C538" s="240" t="s">
        <v>94</v>
      </c>
      <c r="D538" s="322">
        <f>_xlfn.XLOOKUP(A538,'PARA ENVÍO UNIFICADO (VANE)'!$A$4:$A$729,'PARA ENVÍO UNIFICADO (VANE)'!$D$4:$D$729,0,0)</f>
        <v>185.4</v>
      </c>
      <c r="E538" s="322">
        <f>_xlfn.XLOOKUP(A538,'PARA ENVÍO UNIFICADO (VANE)'!$A$4:$A$729,'PARA ENVÍO UNIFICADO (VANE)'!$E$4:$E$729,0,0)</f>
        <v>68</v>
      </c>
      <c r="F538" s="322">
        <f t="shared" si="31"/>
        <v>253.4</v>
      </c>
      <c r="G538" s="243">
        <v>24250</v>
      </c>
      <c r="H538" s="243">
        <f t="shared" si="33"/>
        <v>6144950</v>
      </c>
    </row>
    <row r="539" spans="1:8" s="9" customFormat="1" ht="35.1" customHeight="1" x14ac:dyDescent="0.25">
      <c r="A539" s="255" t="s">
        <v>744</v>
      </c>
      <c r="B539" s="254" t="s">
        <v>745</v>
      </c>
      <c r="C539" s="240" t="s">
        <v>94</v>
      </c>
      <c r="D539" s="322">
        <f>_xlfn.XLOOKUP(A539,'PARA ENVÍO UNIFICADO (VANE)'!$A$4:$A$729,'PARA ENVÍO UNIFICADO (VANE)'!$D$4:$D$729,0,0)</f>
        <v>106.80000000000001</v>
      </c>
      <c r="E539" s="322">
        <f>_xlfn.XLOOKUP(A539,'PARA ENVÍO UNIFICADO (VANE)'!$A$4:$A$729,'PARA ENVÍO UNIFICADO (VANE)'!$E$4:$E$729,0,0)</f>
        <v>40</v>
      </c>
      <c r="F539" s="322">
        <f t="shared" si="31"/>
        <v>146.80000000000001</v>
      </c>
      <c r="G539" s="243">
        <v>17669</v>
      </c>
      <c r="H539" s="243">
        <f t="shared" si="33"/>
        <v>2593809.2000000002</v>
      </c>
    </row>
    <row r="540" spans="1:8" s="9" customFormat="1" ht="35.1" customHeight="1" x14ac:dyDescent="0.25">
      <c r="A540" s="255" t="s">
        <v>746</v>
      </c>
      <c r="B540" s="254" t="s">
        <v>747</v>
      </c>
      <c r="C540" s="240" t="s">
        <v>94</v>
      </c>
      <c r="D540" s="322">
        <f>_xlfn.XLOOKUP(A540,'PARA ENVÍO UNIFICADO (VANE)'!$A$4:$A$729,'PARA ENVÍO UNIFICADO (VANE)'!$D$4:$D$729,0,0)</f>
        <v>165.6</v>
      </c>
      <c r="E540" s="322">
        <f>_xlfn.XLOOKUP(A540,'PARA ENVÍO UNIFICADO (VANE)'!$A$4:$A$729,'PARA ENVÍO UNIFICADO (VANE)'!$E$4:$E$729,0,0)</f>
        <v>61</v>
      </c>
      <c r="F540" s="322">
        <f t="shared" si="31"/>
        <v>226.6</v>
      </c>
      <c r="G540" s="243">
        <v>15032</v>
      </c>
      <c r="H540" s="243">
        <f t="shared" si="33"/>
        <v>3406251.2</v>
      </c>
    </row>
    <row r="541" spans="1:8" s="9" customFormat="1" ht="35.1" customHeight="1" x14ac:dyDescent="0.25">
      <c r="A541" s="255" t="s">
        <v>748</v>
      </c>
      <c r="B541" s="254" t="s">
        <v>749</v>
      </c>
      <c r="C541" s="240" t="s">
        <v>94</v>
      </c>
      <c r="D541" s="322">
        <f>_xlfn.XLOOKUP(A541,'PARA ENVÍO UNIFICADO (VANE)'!$A$4:$A$729,'PARA ENVÍO UNIFICADO (VANE)'!$D$4:$D$729,0,0)</f>
        <v>28.799999999999997</v>
      </c>
      <c r="E541" s="322">
        <f>_xlfn.XLOOKUP(A541,'PARA ENVÍO UNIFICADO (VANE)'!$A$4:$A$729,'PARA ENVÍO UNIFICADO (VANE)'!$E$4:$E$729,0,0)</f>
        <v>10</v>
      </c>
      <c r="F541" s="322">
        <f t="shared" si="31"/>
        <v>38.799999999999997</v>
      </c>
      <c r="G541" s="243">
        <v>10998</v>
      </c>
      <c r="H541" s="243">
        <f t="shared" si="33"/>
        <v>426722.4</v>
      </c>
    </row>
    <row r="542" spans="1:8" s="9" customFormat="1" ht="35.1" customHeight="1" x14ac:dyDescent="0.25">
      <c r="A542" s="255" t="s">
        <v>750</v>
      </c>
      <c r="B542" s="254" t="s">
        <v>751</v>
      </c>
      <c r="C542" s="240" t="s">
        <v>94</v>
      </c>
      <c r="D542" s="322">
        <f>_xlfn.XLOOKUP(A542,'PARA ENVÍO UNIFICADO (VANE)'!$A$4:$A$729,'PARA ENVÍO UNIFICADO (VANE)'!$D$4:$D$729,0,0)</f>
        <v>32</v>
      </c>
      <c r="E542" s="322">
        <f>_xlfn.XLOOKUP(A542,'PARA ENVÍO UNIFICADO (VANE)'!$A$4:$A$729,'PARA ENVÍO UNIFICADO (VANE)'!$E$4:$E$729,0,0)</f>
        <v>12</v>
      </c>
      <c r="F542" s="322">
        <f t="shared" si="31"/>
        <v>44</v>
      </c>
      <c r="G542" s="243">
        <v>9661</v>
      </c>
      <c r="H542" s="243">
        <f t="shared" si="33"/>
        <v>425084</v>
      </c>
    </row>
    <row r="543" spans="1:8" s="9" customFormat="1" ht="35.1" customHeight="1" x14ac:dyDescent="0.25">
      <c r="A543" s="244" t="s">
        <v>752</v>
      </c>
      <c r="B543" s="256" t="s">
        <v>1327</v>
      </c>
      <c r="C543" s="256"/>
      <c r="D543" s="244"/>
      <c r="E543" s="244"/>
      <c r="F543" s="322">
        <f t="shared" si="31"/>
        <v>0</v>
      </c>
      <c r="G543" s="303"/>
      <c r="H543" s="246"/>
    </row>
    <row r="544" spans="1:8" s="9" customFormat="1" ht="35.1" customHeight="1" x14ac:dyDescent="0.25">
      <c r="A544" s="240" t="s">
        <v>754</v>
      </c>
      <c r="B544" s="254" t="s">
        <v>755</v>
      </c>
      <c r="C544" s="240" t="s">
        <v>94</v>
      </c>
      <c r="D544" s="322">
        <f>_xlfn.XLOOKUP(A544,'PARA ENVÍO UNIFICADO (VANE)'!$A$4:$A$729,'PARA ENVÍO UNIFICADO (VANE)'!$D$4:$D$729,0,0)</f>
        <v>45</v>
      </c>
      <c r="E544" s="322">
        <f>_xlfn.XLOOKUP(A544,'PARA ENVÍO UNIFICADO (VANE)'!$A$4:$A$729,'PARA ENVÍO UNIFICADO (VANE)'!$E$4:$E$729,0,0)</f>
        <v>17</v>
      </c>
      <c r="F544" s="322">
        <f t="shared" si="31"/>
        <v>62</v>
      </c>
      <c r="G544" s="243">
        <v>42439</v>
      </c>
      <c r="H544" s="243">
        <f t="shared" ref="H544:H551" si="34">ROUND(+G544*F544,2)</f>
        <v>2631218</v>
      </c>
    </row>
    <row r="545" spans="1:8" s="9" customFormat="1" ht="35.1" customHeight="1" x14ac:dyDescent="0.25">
      <c r="A545" s="240" t="s">
        <v>756</v>
      </c>
      <c r="B545" s="87" t="s">
        <v>757</v>
      </c>
      <c r="C545" s="240" t="s">
        <v>94</v>
      </c>
      <c r="D545" s="322">
        <f>_xlfn.XLOOKUP(A545,'PARA ENVÍO UNIFICADO (VANE)'!$A$4:$A$729,'PARA ENVÍO UNIFICADO (VANE)'!$D$4:$D$729,0,0)</f>
        <v>24</v>
      </c>
      <c r="E545" s="322">
        <f>_xlfn.XLOOKUP(A545,'PARA ENVÍO UNIFICADO (VANE)'!$A$4:$A$729,'PARA ENVÍO UNIFICADO (VANE)'!$E$4:$E$729,0,0)</f>
        <v>9</v>
      </c>
      <c r="F545" s="322">
        <f t="shared" si="31"/>
        <v>33</v>
      </c>
      <c r="G545" s="243">
        <v>38123</v>
      </c>
      <c r="H545" s="243">
        <f t="shared" si="34"/>
        <v>1258059</v>
      </c>
    </row>
    <row r="546" spans="1:8" s="9" customFormat="1" ht="35.1" customHeight="1" x14ac:dyDescent="0.25">
      <c r="A546" s="255" t="s">
        <v>758</v>
      </c>
      <c r="B546" s="254" t="s">
        <v>759</v>
      </c>
      <c r="C546" s="240" t="s">
        <v>94</v>
      </c>
      <c r="D546" s="322">
        <f>_xlfn.XLOOKUP(A546,'PARA ENVÍO UNIFICADO (VANE)'!$A$4:$A$729,'PARA ENVÍO UNIFICADO (VANE)'!$D$4:$D$729,0,0)</f>
        <v>64</v>
      </c>
      <c r="E546" s="322">
        <f>_xlfn.XLOOKUP(A546,'PARA ENVÍO UNIFICADO (VANE)'!$A$4:$A$729,'PARA ENVÍO UNIFICADO (VANE)'!$E$4:$E$729,0,0)</f>
        <v>24</v>
      </c>
      <c r="F546" s="322">
        <f t="shared" si="31"/>
        <v>88</v>
      </c>
      <c r="G546" s="243">
        <v>29232</v>
      </c>
      <c r="H546" s="243">
        <f t="shared" si="34"/>
        <v>2572416</v>
      </c>
    </row>
    <row r="547" spans="1:8" s="9" customFormat="1" ht="35.1" customHeight="1" x14ac:dyDescent="0.25">
      <c r="A547" s="255" t="s">
        <v>760</v>
      </c>
      <c r="B547" s="254" t="s">
        <v>761</v>
      </c>
      <c r="C547" s="240" t="s">
        <v>94</v>
      </c>
      <c r="D547" s="322">
        <f>_xlfn.XLOOKUP(A547,'PARA ENVÍO UNIFICADO (VANE)'!$A$4:$A$729,'PARA ENVÍO UNIFICADO (VANE)'!$D$4:$D$729,0,0)</f>
        <v>185.4</v>
      </c>
      <c r="E547" s="322">
        <f>_xlfn.XLOOKUP(A547,'PARA ENVÍO UNIFICADO (VANE)'!$A$4:$A$729,'PARA ENVÍO UNIFICADO (VANE)'!$E$4:$E$729,0,0)</f>
        <v>68</v>
      </c>
      <c r="F547" s="322">
        <f t="shared" si="31"/>
        <v>253.4</v>
      </c>
      <c r="G547" s="243">
        <v>23058</v>
      </c>
      <c r="H547" s="243">
        <f t="shared" si="34"/>
        <v>5842897.2000000002</v>
      </c>
    </row>
    <row r="548" spans="1:8" s="9" customFormat="1" ht="35.1" customHeight="1" x14ac:dyDescent="0.25">
      <c r="A548" s="255" t="s">
        <v>762</v>
      </c>
      <c r="B548" s="87" t="s">
        <v>763</v>
      </c>
      <c r="C548" s="240" t="s">
        <v>94</v>
      </c>
      <c r="D548" s="322">
        <f>_xlfn.XLOOKUP(A548,'PARA ENVÍO UNIFICADO (VANE)'!$A$4:$A$729,'PARA ENVÍO UNIFICADO (VANE)'!$D$4:$D$729,0,0)</f>
        <v>106.80000000000001</v>
      </c>
      <c r="E548" s="322">
        <f>_xlfn.XLOOKUP(A548,'PARA ENVÍO UNIFICADO (VANE)'!$A$4:$A$729,'PARA ENVÍO UNIFICADO (VANE)'!$E$4:$E$729,0,0)</f>
        <v>40</v>
      </c>
      <c r="F548" s="322">
        <f t="shared" si="31"/>
        <v>146.80000000000001</v>
      </c>
      <c r="G548" s="243">
        <v>17390</v>
      </c>
      <c r="H548" s="243">
        <f t="shared" si="34"/>
        <v>2552852</v>
      </c>
    </row>
    <row r="549" spans="1:8" s="9" customFormat="1" ht="35.1" customHeight="1" x14ac:dyDescent="0.25">
      <c r="A549" s="255" t="s">
        <v>764</v>
      </c>
      <c r="B549" s="87" t="s">
        <v>765</v>
      </c>
      <c r="C549" s="240" t="s">
        <v>94</v>
      </c>
      <c r="D549" s="322">
        <f>_xlfn.XLOOKUP(A549,'PARA ENVÍO UNIFICADO (VANE)'!$A$4:$A$729,'PARA ENVÍO UNIFICADO (VANE)'!$D$4:$D$729,0,0)</f>
        <v>165.6</v>
      </c>
      <c r="E549" s="322">
        <f>_xlfn.XLOOKUP(A549,'PARA ENVÍO UNIFICADO (VANE)'!$A$4:$A$729,'PARA ENVÍO UNIFICADO (VANE)'!$E$4:$E$729,0,0)</f>
        <v>61</v>
      </c>
      <c r="F549" s="322">
        <f t="shared" si="31"/>
        <v>226.6</v>
      </c>
      <c r="G549" s="243">
        <v>14914</v>
      </c>
      <c r="H549" s="243">
        <f t="shared" si="34"/>
        <v>3379512.4</v>
      </c>
    </row>
    <row r="550" spans="1:8" s="9" customFormat="1" ht="35.1" customHeight="1" x14ac:dyDescent="0.25">
      <c r="A550" s="255" t="s">
        <v>766</v>
      </c>
      <c r="B550" s="254" t="s">
        <v>767</v>
      </c>
      <c r="C550" s="240" t="s">
        <v>94</v>
      </c>
      <c r="D550" s="322">
        <f>_xlfn.XLOOKUP(A550,'PARA ENVÍO UNIFICADO (VANE)'!$A$4:$A$729,'PARA ENVÍO UNIFICADO (VANE)'!$D$4:$D$729,0,0)</f>
        <v>28.799999999999997</v>
      </c>
      <c r="E550" s="322">
        <f>_xlfn.XLOOKUP(A550,'PARA ENVÍO UNIFICADO (VANE)'!$A$4:$A$729,'PARA ENVÍO UNIFICADO (VANE)'!$E$4:$E$729,0,0)</f>
        <v>10</v>
      </c>
      <c r="F550" s="322">
        <f t="shared" si="31"/>
        <v>38.799999999999997</v>
      </c>
      <c r="G550" s="243">
        <v>10869</v>
      </c>
      <c r="H550" s="243">
        <f t="shared" si="34"/>
        <v>421717.2</v>
      </c>
    </row>
    <row r="551" spans="1:8" s="9" customFormat="1" ht="35.1" customHeight="1" x14ac:dyDescent="0.25">
      <c r="A551" s="255" t="s">
        <v>768</v>
      </c>
      <c r="B551" s="254" t="s">
        <v>769</v>
      </c>
      <c r="C551" s="240" t="s">
        <v>94</v>
      </c>
      <c r="D551" s="322">
        <f>_xlfn.XLOOKUP(A551,'PARA ENVÍO UNIFICADO (VANE)'!$A$4:$A$729,'PARA ENVÍO UNIFICADO (VANE)'!$D$4:$D$729,0,0)</f>
        <v>32</v>
      </c>
      <c r="E551" s="322">
        <f>_xlfn.XLOOKUP(A551,'PARA ENVÍO UNIFICADO (VANE)'!$A$4:$A$729,'PARA ENVÍO UNIFICADO (VANE)'!$E$4:$E$729,0,0)</f>
        <v>12</v>
      </c>
      <c r="F551" s="322">
        <f t="shared" si="31"/>
        <v>44</v>
      </c>
      <c r="G551" s="243">
        <v>9486</v>
      </c>
      <c r="H551" s="243">
        <f t="shared" si="34"/>
        <v>417384</v>
      </c>
    </row>
    <row r="552" spans="1:8" s="9" customFormat="1" ht="35.1" customHeight="1" x14ac:dyDescent="0.25">
      <c r="A552" s="244" t="s">
        <v>770</v>
      </c>
      <c r="B552" s="256" t="s">
        <v>1328</v>
      </c>
      <c r="C552" s="256"/>
      <c r="D552" s="244"/>
      <c r="E552" s="244"/>
      <c r="F552" s="322">
        <f t="shared" si="31"/>
        <v>0</v>
      </c>
      <c r="G552" s="303"/>
      <c r="H552" s="246"/>
    </row>
    <row r="553" spans="1:8" s="9" customFormat="1" ht="35.1" customHeight="1" x14ac:dyDescent="0.25">
      <c r="A553" s="255" t="s">
        <v>772</v>
      </c>
      <c r="B553" s="254" t="s">
        <v>773</v>
      </c>
      <c r="C553" s="240" t="s">
        <v>16</v>
      </c>
      <c r="D553" s="322">
        <f>_xlfn.XLOOKUP(A553,'PARA ENVÍO UNIFICADO (VANE)'!$A$4:$A$729,'PARA ENVÍO UNIFICADO (VANE)'!$D$4:$D$729,0,0)</f>
        <v>3</v>
      </c>
      <c r="E553" s="322">
        <f>_xlfn.XLOOKUP(A553,'PARA ENVÍO UNIFICADO (VANE)'!$A$4:$A$729,'PARA ENVÍO UNIFICADO (VANE)'!$E$4:$E$729,0,0)</f>
        <v>1</v>
      </c>
      <c r="F553" s="322">
        <f t="shared" si="31"/>
        <v>4</v>
      </c>
      <c r="G553" s="243">
        <v>295890</v>
      </c>
      <c r="H553" s="243">
        <f t="shared" ref="H553:H589" si="35">ROUND(+G553*F553,2)</f>
        <v>1183560</v>
      </c>
    </row>
    <row r="554" spans="1:8" s="9" customFormat="1" ht="35.1" customHeight="1" x14ac:dyDescent="0.25">
      <c r="A554" s="255" t="s">
        <v>774</v>
      </c>
      <c r="B554" s="254" t="s">
        <v>775</v>
      </c>
      <c r="C554" s="240" t="s">
        <v>16</v>
      </c>
      <c r="D554" s="322">
        <f>_xlfn.XLOOKUP(A554,'PARA ENVÍO UNIFICADO (VANE)'!$A$4:$A$729,'PARA ENVÍO UNIFICADO (VANE)'!$D$4:$D$729,0,0)</f>
        <v>3</v>
      </c>
      <c r="E554" s="322">
        <f>_xlfn.XLOOKUP(A554,'PARA ENVÍO UNIFICADO (VANE)'!$A$4:$A$729,'PARA ENVÍO UNIFICADO (VANE)'!$E$4:$E$729,0,0)</f>
        <v>1</v>
      </c>
      <c r="F554" s="322">
        <f t="shared" si="31"/>
        <v>4</v>
      </c>
      <c r="G554" s="243">
        <v>569349</v>
      </c>
      <c r="H554" s="243">
        <f t="shared" si="35"/>
        <v>2277396</v>
      </c>
    </row>
    <row r="555" spans="1:8" s="9" customFormat="1" ht="35.1" customHeight="1" x14ac:dyDescent="0.25">
      <c r="A555" s="255" t="s">
        <v>776</v>
      </c>
      <c r="B555" s="254" t="s">
        <v>777</v>
      </c>
      <c r="C555" s="240" t="s">
        <v>16</v>
      </c>
      <c r="D555" s="322">
        <f>_xlfn.XLOOKUP(A555,'PARA ENVÍO UNIFICADO (VANE)'!$A$4:$A$729,'PARA ENVÍO UNIFICADO (VANE)'!$D$4:$D$729,0,0)</f>
        <v>3</v>
      </c>
      <c r="E555" s="322">
        <f>_xlfn.XLOOKUP(A555,'PARA ENVÍO UNIFICADO (VANE)'!$A$4:$A$729,'PARA ENVÍO UNIFICADO (VANE)'!$E$4:$E$729,0,0)</f>
        <v>1</v>
      </c>
      <c r="F555" s="322">
        <f t="shared" si="31"/>
        <v>4</v>
      </c>
      <c r="G555" s="243">
        <v>200461</v>
      </c>
      <c r="H555" s="243">
        <f t="shared" si="35"/>
        <v>801844</v>
      </c>
    </row>
    <row r="556" spans="1:8" s="9" customFormat="1" ht="35.1" customHeight="1" x14ac:dyDescent="0.25">
      <c r="A556" s="255" t="s">
        <v>778</v>
      </c>
      <c r="B556" s="254" t="s">
        <v>779</v>
      </c>
      <c r="C556" s="240" t="s">
        <v>16</v>
      </c>
      <c r="D556" s="322">
        <f>_xlfn.XLOOKUP(A556,'PARA ENVÍO UNIFICADO (VANE)'!$A$4:$A$729,'PARA ENVÍO UNIFICADO (VANE)'!$D$4:$D$729,0,0)</f>
        <v>1</v>
      </c>
      <c r="E556" s="322">
        <f>_xlfn.XLOOKUP(A556,'PARA ENVÍO UNIFICADO (VANE)'!$A$4:$A$729,'PARA ENVÍO UNIFICADO (VANE)'!$E$4:$E$729,0,0)</f>
        <v>1</v>
      </c>
      <c r="F556" s="322">
        <f t="shared" si="31"/>
        <v>2</v>
      </c>
      <c r="G556" s="243">
        <v>463953</v>
      </c>
      <c r="H556" s="243">
        <f t="shared" si="35"/>
        <v>927906</v>
      </c>
    </row>
    <row r="557" spans="1:8" s="9" customFormat="1" ht="35.1" customHeight="1" x14ac:dyDescent="0.25">
      <c r="A557" s="255" t="s">
        <v>780</v>
      </c>
      <c r="B557" s="254" t="s">
        <v>781</v>
      </c>
      <c r="C557" s="240" t="s">
        <v>16</v>
      </c>
      <c r="D557" s="322">
        <f>_xlfn.XLOOKUP(A557,'PARA ENVÍO UNIFICADO (VANE)'!$A$4:$A$729,'PARA ENVÍO UNIFICADO (VANE)'!$D$4:$D$729,0,0)</f>
        <v>3</v>
      </c>
      <c r="E557" s="322">
        <f>_xlfn.XLOOKUP(A557,'PARA ENVÍO UNIFICADO (VANE)'!$A$4:$A$729,'PARA ENVÍO UNIFICADO (VANE)'!$E$4:$E$729,0,0)</f>
        <v>1</v>
      </c>
      <c r="F557" s="322">
        <f t="shared" si="31"/>
        <v>4</v>
      </c>
      <c r="G557" s="243">
        <v>2393894</v>
      </c>
      <c r="H557" s="243">
        <f t="shared" si="35"/>
        <v>9575576</v>
      </c>
    </row>
    <row r="558" spans="1:8" s="9" customFormat="1" ht="35.1" customHeight="1" x14ac:dyDescent="0.25">
      <c r="A558" s="255" t="s">
        <v>782</v>
      </c>
      <c r="B558" s="254" t="s">
        <v>783</v>
      </c>
      <c r="C558" s="240" t="s">
        <v>16</v>
      </c>
      <c r="D558" s="322">
        <f>_xlfn.XLOOKUP(A558,'PARA ENVÍO UNIFICADO (VANE)'!$A$4:$A$729,'PARA ENVÍO UNIFICADO (VANE)'!$D$4:$D$729,0,0)</f>
        <v>3</v>
      </c>
      <c r="E558" s="322">
        <f>_xlfn.XLOOKUP(A558,'PARA ENVÍO UNIFICADO (VANE)'!$A$4:$A$729,'PARA ENVÍO UNIFICADO (VANE)'!$E$4:$E$729,0,0)</f>
        <v>1</v>
      </c>
      <c r="F558" s="322">
        <f t="shared" si="31"/>
        <v>4</v>
      </c>
      <c r="G558" s="243">
        <v>2393894</v>
      </c>
      <c r="H558" s="243">
        <f t="shared" si="35"/>
        <v>9575576</v>
      </c>
    </row>
    <row r="559" spans="1:8" s="9" customFormat="1" ht="35.1" customHeight="1" x14ac:dyDescent="0.25">
      <c r="A559" s="255" t="s">
        <v>784</v>
      </c>
      <c r="B559" s="254" t="s">
        <v>785</v>
      </c>
      <c r="C559" s="240" t="s">
        <v>16</v>
      </c>
      <c r="D559" s="322">
        <f>_xlfn.XLOOKUP(A559,'PARA ENVÍO UNIFICADO (VANE)'!$A$4:$A$729,'PARA ENVÍO UNIFICADO (VANE)'!$D$4:$D$729,0,0)</f>
        <v>1</v>
      </c>
      <c r="E559" s="322">
        <f>_xlfn.XLOOKUP(A559,'PARA ENVÍO UNIFICADO (VANE)'!$A$4:$A$729,'PARA ENVÍO UNIFICADO (VANE)'!$E$4:$E$729,0,0)</f>
        <v>1</v>
      </c>
      <c r="F559" s="322">
        <f t="shared" si="31"/>
        <v>2</v>
      </c>
      <c r="G559" s="243">
        <v>1264836</v>
      </c>
      <c r="H559" s="243">
        <f t="shared" si="35"/>
        <v>2529672</v>
      </c>
    </row>
    <row r="560" spans="1:8" s="9" customFormat="1" ht="35.1" customHeight="1" x14ac:dyDescent="0.25">
      <c r="A560" s="255" t="s">
        <v>786</v>
      </c>
      <c r="B560" s="254" t="s">
        <v>787</v>
      </c>
      <c r="C560" s="240" t="s">
        <v>16</v>
      </c>
      <c r="D560" s="322">
        <f>_xlfn.XLOOKUP(A560,'PARA ENVÍO UNIFICADO (VANE)'!$A$4:$A$729,'PARA ENVÍO UNIFICADO (VANE)'!$D$4:$D$729,0,0)</f>
        <v>0</v>
      </c>
      <c r="E560" s="322">
        <f>_xlfn.XLOOKUP(A560,'PARA ENVÍO UNIFICADO (VANE)'!$A$4:$A$729,'PARA ENVÍO UNIFICADO (VANE)'!$E$4:$E$729,0,0)</f>
        <v>1</v>
      </c>
      <c r="F560" s="322">
        <f t="shared" si="31"/>
        <v>1</v>
      </c>
      <c r="G560" s="243">
        <v>372432</v>
      </c>
      <c r="H560" s="243">
        <f t="shared" si="35"/>
        <v>372432</v>
      </c>
    </row>
    <row r="561" spans="1:10" s="9" customFormat="1" ht="35.1" customHeight="1" x14ac:dyDescent="0.25">
      <c r="A561" s="255" t="s">
        <v>788</v>
      </c>
      <c r="B561" s="254" t="s">
        <v>789</v>
      </c>
      <c r="C561" s="240" t="s">
        <v>16</v>
      </c>
      <c r="D561" s="322">
        <f>_xlfn.XLOOKUP(A561,'PARA ENVÍO UNIFICADO (VANE)'!$A$4:$A$729,'PARA ENVÍO UNIFICADO (VANE)'!$D$4:$D$729,0,0)</f>
        <v>0</v>
      </c>
      <c r="E561" s="322">
        <f>_xlfn.XLOOKUP(A561,'PARA ENVÍO UNIFICADO (VANE)'!$A$4:$A$729,'PARA ENVÍO UNIFICADO (VANE)'!$E$4:$E$729,0,0)</f>
        <v>1</v>
      </c>
      <c r="F561" s="322">
        <f t="shared" si="31"/>
        <v>1</v>
      </c>
      <c r="G561" s="243">
        <v>520645</v>
      </c>
      <c r="H561" s="243">
        <f t="shared" si="35"/>
        <v>520645</v>
      </c>
    </row>
    <row r="562" spans="1:10" s="9" customFormat="1" ht="35.1" customHeight="1" x14ac:dyDescent="0.25">
      <c r="A562" s="255" t="s">
        <v>790</v>
      </c>
      <c r="B562" s="254" t="s">
        <v>791</v>
      </c>
      <c r="C562" s="240" t="s">
        <v>16</v>
      </c>
      <c r="D562" s="322">
        <f>_xlfn.XLOOKUP(A562,'PARA ENVÍO UNIFICADO (VANE)'!$A$4:$A$729,'PARA ENVÍO UNIFICADO (VANE)'!$D$4:$D$729,0,0)</f>
        <v>5</v>
      </c>
      <c r="E562" s="322">
        <f>_xlfn.XLOOKUP(A562,'PARA ENVÍO UNIFICADO (VANE)'!$A$4:$A$729,'PARA ENVÍO UNIFICADO (VANE)'!$E$4:$E$729,0,0)</f>
        <v>2</v>
      </c>
      <c r="F562" s="322">
        <f t="shared" si="31"/>
        <v>7</v>
      </c>
      <c r="G562" s="243">
        <v>330932</v>
      </c>
      <c r="H562" s="243">
        <f t="shared" si="35"/>
        <v>2316524</v>
      </c>
    </row>
    <row r="563" spans="1:10" s="9" customFormat="1" ht="35.1" customHeight="1" x14ac:dyDescent="0.25">
      <c r="A563" s="255" t="s">
        <v>792</v>
      </c>
      <c r="B563" s="254" t="s">
        <v>793</v>
      </c>
      <c r="C563" s="240" t="s">
        <v>16</v>
      </c>
      <c r="D563" s="322">
        <f>_xlfn.XLOOKUP(A563,'PARA ENVÍO UNIFICADO (VANE)'!$A$4:$A$729,'PARA ENVÍO UNIFICADO (VANE)'!$D$4:$D$729,0,0)</f>
        <v>5</v>
      </c>
      <c r="E563" s="322">
        <f>_xlfn.XLOOKUP(A563,'PARA ENVÍO UNIFICADO (VANE)'!$A$4:$A$729,'PARA ENVÍO UNIFICADO (VANE)'!$E$4:$E$729,0,0)</f>
        <v>2</v>
      </c>
      <c r="F563" s="322">
        <f t="shared" si="31"/>
        <v>7</v>
      </c>
      <c r="G563" s="243">
        <v>466894</v>
      </c>
      <c r="H563" s="243">
        <f t="shared" si="35"/>
        <v>3268258</v>
      </c>
    </row>
    <row r="564" spans="1:10" s="9" customFormat="1" ht="35.1" customHeight="1" x14ac:dyDescent="0.25">
      <c r="A564" s="255" t="s">
        <v>794</v>
      </c>
      <c r="B564" s="254" t="s">
        <v>795</v>
      </c>
      <c r="C564" s="240" t="s">
        <v>16</v>
      </c>
      <c r="D564" s="322">
        <f>_xlfn.XLOOKUP(A564,'PARA ENVÍO UNIFICADO (VANE)'!$A$4:$A$729,'PARA ENVÍO UNIFICADO (VANE)'!$D$4:$D$729,0,0)</f>
        <v>1</v>
      </c>
      <c r="E564" s="322">
        <f>_xlfn.XLOOKUP(A564,'PARA ENVÍO UNIFICADO (VANE)'!$A$4:$A$729,'PARA ENVÍO UNIFICADO (VANE)'!$E$4:$E$729,0,0)</f>
        <v>1</v>
      </c>
      <c r="F564" s="322">
        <f t="shared" si="31"/>
        <v>2</v>
      </c>
      <c r="G564" s="243">
        <v>244769</v>
      </c>
      <c r="H564" s="243">
        <f t="shared" si="35"/>
        <v>489538</v>
      </c>
    </row>
    <row r="565" spans="1:10" s="9" customFormat="1" ht="35.1" customHeight="1" x14ac:dyDescent="0.25">
      <c r="A565" s="255" t="s">
        <v>796</v>
      </c>
      <c r="B565" s="254" t="s">
        <v>797</v>
      </c>
      <c r="C565" s="240" t="s">
        <v>16</v>
      </c>
      <c r="D565" s="322">
        <f>_xlfn.XLOOKUP(A565,'PARA ENVÍO UNIFICADO (VANE)'!$A$4:$A$729,'PARA ENVÍO UNIFICADO (VANE)'!$D$4:$D$729,0,0)</f>
        <v>1</v>
      </c>
      <c r="E565" s="322">
        <f>_xlfn.XLOOKUP(A565,'PARA ENVÍO UNIFICADO (VANE)'!$A$4:$A$729,'PARA ENVÍO UNIFICADO (VANE)'!$E$4:$E$729,0,0)</f>
        <v>1</v>
      </c>
      <c r="F565" s="322">
        <f t="shared" si="31"/>
        <v>2</v>
      </c>
      <c r="G565" s="243">
        <v>266786</v>
      </c>
      <c r="H565" s="243">
        <f t="shared" si="35"/>
        <v>533572</v>
      </c>
    </row>
    <row r="566" spans="1:10" s="9" customFormat="1" ht="35.1" customHeight="1" x14ac:dyDescent="0.25">
      <c r="A566" s="255" t="s">
        <v>1329</v>
      </c>
      <c r="B566" s="254" t="s">
        <v>1330</v>
      </c>
      <c r="C566" s="240" t="s">
        <v>16</v>
      </c>
      <c r="D566" s="322">
        <f>_xlfn.XLOOKUP(A566,'PARA ENVÍO UNIFICADO (VANE)'!$A$4:$A$729,'PARA ENVÍO UNIFICADO (VANE)'!$D$4:$D$729,0,0)</f>
        <v>2</v>
      </c>
      <c r="E566" s="322">
        <f>_xlfn.XLOOKUP(A566,'PARA ENVÍO UNIFICADO (VANE)'!$A$4:$A$729,'PARA ENVÍO UNIFICADO (VANE)'!$E$4:$E$729,0,0)</f>
        <v>0</v>
      </c>
      <c r="F566" s="322">
        <f t="shared" si="31"/>
        <v>2</v>
      </c>
      <c r="G566" s="243">
        <v>128701</v>
      </c>
      <c r="H566" s="243">
        <f t="shared" si="35"/>
        <v>257402</v>
      </c>
    </row>
    <row r="567" spans="1:10" s="9" customFormat="1" ht="35.1" customHeight="1" x14ac:dyDescent="0.25">
      <c r="A567" s="255" t="s">
        <v>1331</v>
      </c>
      <c r="B567" s="254" t="s">
        <v>1332</v>
      </c>
      <c r="C567" s="240" t="s">
        <v>16</v>
      </c>
      <c r="D567" s="322">
        <f>_xlfn.XLOOKUP(A567,'PARA ENVÍO UNIFICADO (VANE)'!$A$4:$A$729,'PARA ENVÍO UNIFICADO (VANE)'!$D$4:$D$729,0,0)</f>
        <v>2</v>
      </c>
      <c r="E567" s="322">
        <f>_xlfn.XLOOKUP(A567,'PARA ENVÍO UNIFICADO (VANE)'!$A$4:$A$729,'PARA ENVÍO UNIFICADO (VANE)'!$E$4:$E$729,0,0)</f>
        <v>0</v>
      </c>
      <c r="F567" s="322">
        <f t="shared" si="31"/>
        <v>2</v>
      </c>
      <c r="G567" s="243">
        <v>164931</v>
      </c>
      <c r="H567" s="243">
        <f t="shared" si="35"/>
        <v>329862</v>
      </c>
    </row>
    <row r="568" spans="1:10" s="9" customFormat="1" ht="35.1" customHeight="1" x14ac:dyDescent="0.25">
      <c r="A568" s="255" t="s">
        <v>798</v>
      </c>
      <c r="B568" s="254" t="s">
        <v>799</v>
      </c>
      <c r="C568" s="240" t="s">
        <v>16</v>
      </c>
      <c r="D568" s="322">
        <f>_xlfn.XLOOKUP(A568,'PARA ENVÍO UNIFICADO (VANE)'!$A$4:$A$729,'PARA ENVÍO UNIFICADO (VANE)'!$D$4:$D$729,0,0)</f>
        <v>1</v>
      </c>
      <c r="E568" s="322">
        <f>_xlfn.XLOOKUP(A568,'PARA ENVÍO UNIFICADO (VANE)'!$A$4:$A$729,'PARA ENVÍO UNIFICADO (VANE)'!$E$4:$E$729,0,0)</f>
        <v>1</v>
      </c>
      <c r="F568" s="322">
        <f t="shared" si="31"/>
        <v>2</v>
      </c>
      <c r="G568" s="243">
        <v>599693</v>
      </c>
      <c r="H568" s="243">
        <f t="shared" si="35"/>
        <v>1199386</v>
      </c>
    </row>
    <row r="569" spans="1:10" s="9" customFormat="1" ht="35.1" customHeight="1" x14ac:dyDescent="0.25">
      <c r="A569" s="255" t="s">
        <v>800</v>
      </c>
      <c r="B569" s="254" t="s">
        <v>801</v>
      </c>
      <c r="C569" s="240" t="s">
        <v>16</v>
      </c>
      <c r="D569" s="322">
        <f>_xlfn.XLOOKUP(A569,'PARA ENVÍO UNIFICADO (VANE)'!$A$4:$A$729,'PARA ENVÍO UNIFICADO (VANE)'!$D$4:$D$729,0,0)</f>
        <v>1</v>
      </c>
      <c r="E569" s="322">
        <f>_xlfn.XLOOKUP(A569,'PARA ENVÍO UNIFICADO (VANE)'!$A$4:$A$729,'PARA ENVÍO UNIFICADO (VANE)'!$E$4:$E$729,0,0)</f>
        <v>1</v>
      </c>
      <c r="F569" s="322">
        <f t="shared" si="31"/>
        <v>2</v>
      </c>
      <c r="G569" s="243">
        <v>3295154</v>
      </c>
      <c r="H569" s="243">
        <f t="shared" si="35"/>
        <v>6590308</v>
      </c>
    </row>
    <row r="570" spans="1:10" s="9" customFormat="1" ht="35.1" customHeight="1" x14ac:dyDescent="0.25">
      <c r="A570" s="255" t="s">
        <v>802</v>
      </c>
      <c r="B570" s="254" t="s">
        <v>803</v>
      </c>
      <c r="C570" s="240" t="s">
        <v>16</v>
      </c>
      <c r="D570" s="322">
        <f>_xlfn.XLOOKUP(A570,'PARA ENVÍO UNIFICADO (VANE)'!$A$4:$A$729,'PARA ENVÍO UNIFICADO (VANE)'!$D$4:$D$729,0,0)</f>
        <v>2</v>
      </c>
      <c r="E570" s="322">
        <f>_xlfn.XLOOKUP(A570,'PARA ENVÍO UNIFICADO (VANE)'!$A$4:$A$729,'PARA ENVÍO UNIFICADO (VANE)'!$E$4:$E$729,0,0)</f>
        <v>2</v>
      </c>
      <c r="F570" s="322">
        <f t="shared" si="31"/>
        <v>4</v>
      </c>
      <c r="G570" s="243">
        <v>1031722</v>
      </c>
      <c r="H570" s="243">
        <f t="shared" si="35"/>
        <v>4126888</v>
      </c>
    </row>
    <row r="571" spans="1:10" s="9" customFormat="1" ht="35.1" customHeight="1" x14ac:dyDescent="0.25">
      <c r="A571" s="255" t="s">
        <v>804</v>
      </c>
      <c r="B571" s="254" t="s">
        <v>805</v>
      </c>
      <c r="C571" s="240" t="s">
        <v>16</v>
      </c>
      <c r="D571" s="322">
        <f>_xlfn.XLOOKUP(A571,'PARA ENVÍO UNIFICADO (VANE)'!$A$4:$A$729,'PARA ENVÍO UNIFICADO (VANE)'!$D$4:$D$729,0,0)</f>
        <v>2</v>
      </c>
      <c r="E571" s="322">
        <f>_xlfn.XLOOKUP(A571,'PARA ENVÍO UNIFICADO (VANE)'!$A$4:$A$729,'PARA ENVÍO UNIFICADO (VANE)'!$E$4:$E$729,0,0)</f>
        <v>2</v>
      </c>
      <c r="F571" s="322">
        <f t="shared" si="31"/>
        <v>4</v>
      </c>
      <c r="G571" s="243">
        <v>985438</v>
      </c>
      <c r="H571" s="243">
        <f t="shared" si="35"/>
        <v>3941752</v>
      </c>
    </row>
    <row r="572" spans="1:10" s="9" customFormat="1" ht="35.1" customHeight="1" x14ac:dyDescent="0.25">
      <c r="A572" s="255" t="s">
        <v>806</v>
      </c>
      <c r="B572" s="254" t="s">
        <v>807</v>
      </c>
      <c r="C572" s="240" t="s">
        <v>16</v>
      </c>
      <c r="D572" s="322">
        <f>_xlfn.XLOOKUP(A572,'PARA ENVÍO UNIFICADO (VANE)'!$A$4:$A$729,'PARA ENVÍO UNIFICADO (VANE)'!$D$4:$D$729,0,0)</f>
        <v>0</v>
      </c>
      <c r="E572" s="322">
        <f>_xlfn.XLOOKUP(A572,'PARA ENVÍO UNIFICADO (VANE)'!$A$4:$A$729,'PARA ENVÍO UNIFICADO (VANE)'!$E$4:$E$729,0,0)</f>
        <v>1</v>
      </c>
      <c r="F572" s="322">
        <f t="shared" si="31"/>
        <v>1</v>
      </c>
      <c r="G572" s="333">
        <v>255594</v>
      </c>
      <c r="H572" s="243">
        <f t="shared" si="35"/>
        <v>255594</v>
      </c>
    </row>
    <row r="573" spans="1:10" s="9" customFormat="1" ht="35.1" customHeight="1" x14ac:dyDescent="0.25">
      <c r="A573" s="255" t="s">
        <v>808</v>
      </c>
      <c r="B573" s="254" t="s">
        <v>809</v>
      </c>
      <c r="C573" s="240" t="s">
        <v>16</v>
      </c>
      <c r="D573" s="322">
        <f>_xlfn.XLOOKUP(A573,'PARA ENVÍO UNIFICADO (VANE)'!$A$4:$A$729,'PARA ENVÍO UNIFICADO (VANE)'!$D$4:$D$729,0,0)</f>
        <v>0</v>
      </c>
      <c r="E573" s="322">
        <f>_xlfn.XLOOKUP(A573,'PARA ENVÍO UNIFICADO (VANE)'!$A$4:$A$729,'PARA ENVÍO UNIFICADO (VANE)'!$E$4:$E$729,0,0)</f>
        <v>1</v>
      </c>
      <c r="F573" s="322">
        <f t="shared" si="31"/>
        <v>1</v>
      </c>
      <c r="G573" s="333">
        <v>285474.44</v>
      </c>
      <c r="H573" s="243">
        <f t="shared" si="35"/>
        <v>285474.44</v>
      </c>
      <c r="J573" s="119"/>
    </row>
    <row r="574" spans="1:10" s="9" customFormat="1" ht="35.1" customHeight="1" x14ac:dyDescent="0.25">
      <c r="A574" s="255" t="s">
        <v>810</v>
      </c>
      <c r="B574" s="87" t="s">
        <v>811</v>
      </c>
      <c r="C574" s="240" t="s">
        <v>16</v>
      </c>
      <c r="D574" s="322">
        <f>_xlfn.XLOOKUP(A574,'PARA ENVÍO UNIFICADO (VANE)'!$A$4:$A$729,'PARA ENVÍO UNIFICADO (VANE)'!$D$4:$D$729,0,0)</f>
        <v>17</v>
      </c>
      <c r="E574" s="322">
        <f>_xlfn.XLOOKUP(A574,'PARA ENVÍO UNIFICADO (VANE)'!$A$4:$A$729,'PARA ENVÍO UNIFICADO (VANE)'!$E$4:$E$729,0,0)</f>
        <v>6</v>
      </c>
      <c r="F574" s="322">
        <f t="shared" si="31"/>
        <v>23</v>
      </c>
      <c r="G574" s="243">
        <v>220223</v>
      </c>
      <c r="H574" s="243">
        <f t="shared" si="35"/>
        <v>5065129</v>
      </c>
    </row>
    <row r="575" spans="1:10" s="9" customFormat="1" ht="35.1" customHeight="1" x14ac:dyDescent="0.25">
      <c r="A575" s="255" t="s">
        <v>812</v>
      </c>
      <c r="B575" s="87" t="s">
        <v>813</v>
      </c>
      <c r="C575" s="240" t="s">
        <v>16</v>
      </c>
      <c r="D575" s="322">
        <f>_xlfn.XLOOKUP(A575,'PARA ENVÍO UNIFICADO (VANE)'!$A$4:$A$729,'PARA ENVÍO UNIFICADO (VANE)'!$D$4:$D$729,0,0)</f>
        <v>17</v>
      </c>
      <c r="E575" s="322">
        <f>_xlfn.XLOOKUP(A575,'PARA ENVÍO UNIFICADO (VANE)'!$A$4:$A$729,'PARA ENVÍO UNIFICADO (VANE)'!$E$4:$E$729,0,0)</f>
        <v>6</v>
      </c>
      <c r="F575" s="322">
        <f t="shared" si="31"/>
        <v>23</v>
      </c>
      <c r="G575" s="243">
        <v>332470</v>
      </c>
      <c r="H575" s="243">
        <f t="shared" si="35"/>
        <v>7646810</v>
      </c>
    </row>
    <row r="576" spans="1:10" s="9" customFormat="1" ht="35.1" customHeight="1" x14ac:dyDescent="0.25">
      <c r="A576" s="255" t="s">
        <v>814</v>
      </c>
      <c r="B576" s="87" t="s">
        <v>815</v>
      </c>
      <c r="C576" s="240" t="s">
        <v>16</v>
      </c>
      <c r="D576" s="322">
        <f>_xlfn.XLOOKUP(A576,'PARA ENVÍO UNIFICADO (VANE)'!$A$4:$A$729,'PARA ENVÍO UNIFICADO (VANE)'!$D$4:$D$729,0,0)</f>
        <v>1</v>
      </c>
      <c r="E576" s="322">
        <f>_xlfn.XLOOKUP(A576,'PARA ENVÍO UNIFICADO (VANE)'!$A$4:$A$729,'PARA ENVÍO UNIFICADO (VANE)'!$E$4:$E$729,0,0)</f>
        <v>1</v>
      </c>
      <c r="F576" s="322">
        <f t="shared" si="31"/>
        <v>2</v>
      </c>
      <c r="G576" s="243">
        <v>239984</v>
      </c>
      <c r="H576" s="243">
        <f t="shared" si="35"/>
        <v>479968</v>
      </c>
    </row>
    <row r="577" spans="1:8" s="9" customFormat="1" ht="35.1" customHeight="1" x14ac:dyDescent="0.25">
      <c r="A577" s="255" t="s">
        <v>816</v>
      </c>
      <c r="B577" s="87" t="s">
        <v>817</v>
      </c>
      <c r="C577" s="240" t="s">
        <v>16</v>
      </c>
      <c r="D577" s="322">
        <f>_xlfn.XLOOKUP(A577,'PARA ENVÍO UNIFICADO (VANE)'!$A$4:$A$729,'PARA ENVÍO UNIFICADO (VANE)'!$D$4:$D$729,0,0)</f>
        <v>1</v>
      </c>
      <c r="E577" s="322">
        <f>_xlfn.XLOOKUP(A577,'PARA ENVÍO UNIFICADO (VANE)'!$A$4:$A$729,'PARA ENVÍO UNIFICADO (VANE)'!$E$4:$E$729,0,0)</f>
        <v>1</v>
      </c>
      <c r="F577" s="322">
        <f t="shared" si="31"/>
        <v>2</v>
      </c>
      <c r="G577" s="243">
        <v>345381</v>
      </c>
      <c r="H577" s="243">
        <f t="shared" si="35"/>
        <v>690762</v>
      </c>
    </row>
    <row r="578" spans="1:8" s="9" customFormat="1" ht="35.1" customHeight="1" x14ac:dyDescent="0.25">
      <c r="A578" s="255" t="s">
        <v>818</v>
      </c>
      <c r="B578" s="87" t="s">
        <v>819</v>
      </c>
      <c r="C578" s="240" t="s">
        <v>16</v>
      </c>
      <c r="D578" s="322">
        <f>_xlfn.XLOOKUP(A578,'PARA ENVÍO UNIFICADO (VANE)'!$A$4:$A$729,'PARA ENVÍO UNIFICADO (VANE)'!$D$4:$D$729,0,0)</f>
        <v>2</v>
      </c>
      <c r="E578" s="322">
        <f>_xlfn.XLOOKUP(A578,'PARA ENVÍO UNIFICADO (VANE)'!$A$4:$A$729,'PARA ENVÍO UNIFICADO (VANE)'!$E$4:$E$729,0,0)</f>
        <v>2</v>
      </c>
      <c r="F578" s="322">
        <f t="shared" si="31"/>
        <v>4</v>
      </c>
      <c r="G578" s="243">
        <v>160937</v>
      </c>
      <c r="H578" s="243">
        <f t="shared" si="35"/>
        <v>643748</v>
      </c>
    </row>
    <row r="579" spans="1:8" s="9" customFormat="1" ht="35.1" customHeight="1" x14ac:dyDescent="0.25">
      <c r="A579" s="255" t="s">
        <v>820</v>
      </c>
      <c r="B579" s="254" t="s">
        <v>821</v>
      </c>
      <c r="C579" s="240" t="s">
        <v>16</v>
      </c>
      <c r="D579" s="322">
        <f>_xlfn.XLOOKUP(A579,'PARA ENVÍO UNIFICADO (VANE)'!$A$4:$A$729,'PARA ENVÍO UNIFICADO (VANE)'!$D$4:$D$729,0,0)</f>
        <v>2</v>
      </c>
      <c r="E579" s="322">
        <f>_xlfn.XLOOKUP(A579,'PARA ENVÍO UNIFICADO (VANE)'!$A$4:$A$729,'PARA ENVÍO UNIFICADO (VANE)'!$E$4:$E$729,0,0)</f>
        <v>2</v>
      </c>
      <c r="F579" s="322">
        <f t="shared" si="31"/>
        <v>4</v>
      </c>
      <c r="G579" s="243">
        <v>200461</v>
      </c>
      <c r="H579" s="243">
        <f t="shared" si="35"/>
        <v>801844</v>
      </c>
    </row>
    <row r="580" spans="1:8" s="9" customFormat="1" ht="35.1" customHeight="1" x14ac:dyDescent="0.25">
      <c r="A580" s="255" t="s">
        <v>822</v>
      </c>
      <c r="B580" s="87" t="s">
        <v>823</v>
      </c>
      <c r="C580" s="240" t="s">
        <v>16</v>
      </c>
      <c r="D580" s="322">
        <f>_xlfn.XLOOKUP(A580,'PARA ENVÍO UNIFICADO (VANE)'!$A$4:$A$729,'PARA ENVÍO UNIFICADO (VANE)'!$D$4:$D$729,0,0)</f>
        <v>4</v>
      </c>
      <c r="E580" s="322">
        <f>_xlfn.XLOOKUP(A580,'PARA ENVÍO UNIFICADO (VANE)'!$A$4:$A$729,'PARA ENVÍO UNIFICADO (VANE)'!$E$4:$E$729,0,0)</f>
        <v>4</v>
      </c>
      <c r="F580" s="322">
        <f t="shared" si="31"/>
        <v>8</v>
      </c>
      <c r="G580" s="243">
        <v>128701</v>
      </c>
      <c r="H580" s="243">
        <f t="shared" si="35"/>
        <v>1029608</v>
      </c>
    </row>
    <row r="581" spans="1:8" s="9" customFormat="1" ht="35.1" customHeight="1" x14ac:dyDescent="0.25">
      <c r="A581" s="255" t="s">
        <v>824</v>
      </c>
      <c r="B581" s="254" t="s">
        <v>825</v>
      </c>
      <c r="C581" s="240" t="s">
        <v>16</v>
      </c>
      <c r="D581" s="322">
        <f>_xlfn.XLOOKUP(A581,'PARA ENVÍO UNIFICADO (VANE)'!$A$4:$A$729,'PARA ENVÍO UNIFICADO (VANE)'!$D$4:$D$729,0,0)</f>
        <v>4</v>
      </c>
      <c r="E581" s="322">
        <f>_xlfn.XLOOKUP(A581,'PARA ENVÍO UNIFICADO (VANE)'!$A$4:$A$729,'PARA ENVÍO UNIFICADO (VANE)'!$E$4:$E$729,0,0)</f>
        <v>4</v>
      </c>
      <c r="F581" s="322">
        <f t="shared" ref="F581:F644" si="36">ROUND(D581+E581,2)</f>
        <v>8</v>
      </c>
      <c r="G581" s="243">
        <v>164931</v>
      </c>
      <c r="H581" s="243">
        <f t="shared" si="35"/>
        <v>1319448</v>
      </c>
    </row>
    <row r="582" spans="1:8" s="9" customFormat="1" ht="35.1" customHeight="1" x14ac:dyDescent="0.25">
      <c r="A582" s="255" t="s">
        <v>826</v>
      </c>
      <c r="B582" s="254" t="s">
        <v>827</v>
      </c>
      <c r="C582" s="240" t="s">
        <v>16</v>
      </c>
      <c r="D582" s="322">
        <f>_xlfn.XLOOKUP(A582,'PARA ENVÍO UNIFICADO (VANE)'!$A$4:$A$729,'PARA ENVÍO UNIFICADO (VANE)'!$D$4:$D$729,0,0)</f>
        <v>6</v>
      </c>
      <c r="E582" s="322">
        <f>_xlfn.XLOOKUP(A582,'PARA ENVÍO UNIFICADO (VANE)'!$A$4:$A$729,'PARA ENVÍO UNIFICADO (VANE)'!$E$4:$E$729,0,0)</f>
        <v>2</v>
      </c>
      <c r="F582" s="322">
        <f t="shared" si="36"/>
        <v>8</v>
      </c>
      <c r="G582" s="243">
        <v>200461</v>
      </c>
      <c r="H582" s="243">
        <f t="shared" si="35"/>
        <v>1603688</v>
      </c>
    </row>
    <row r="583" spans="1:8" s="9" customFormat="1" ht="35.1" customHeight="1" x14ac:dyDescent="0.25">
      <c r="A583" s="255" t="s">
        <v>828</v>
      </c>
      <c r="B583" s="254" t="s">
        <v>829</v>
      </c>
      <c r="C583" s="240" t="s">
        <v>16</v>
      </c>
      <c r="D583" s="322">
        <f>_xlfn.XLOOKUP(A583,'PARA ENVÍO UNIFICADO (VANE)'!$A$4:$A$729,'PARA ENVÍO UNIFICADO (VANE)'!$D$4:$D$729,0,0)</f>
        <v>22</v>
      </c>
      <c r="E583" s="322">
        <f>_xlfn.XLOOKUP(A583,'PARA ENVÍO UNIFICADO (VANE)'!$A$4:$A$729,'PARA ENVÍO UNIFICADO (VANE)'!$E$4:$E$729,0,0)</f>
        <v>8</v>
      </c>
      <c r="F583" s="322">
        <f t="shared" si="36"/>
        <v>30</v>
      </c>
      <c r="G583" s="243">
        <v>332207</v>
      </c>
      <c r="H583" s="243">
        <f t="shared" si="35"/>
        <v>9966210</v>
      </c>
    </row>
    <row r="584" spans="1:8" s="9" customFormat="1" ht="35.1" customHeight="1" x14ac:dyDescent="0.25">
      <c r="A584" s="255" t="s">
        <v>830</v>
      </c>
      <c r="B584" s="254" t="s">
        <v>831</v>
      </c>
      <c r="C584" s="240" t="s">
        <v>16</v>
      </c>
      <c r="D584" s="322">
        <f>_xlfn.XLOOKUP(A584,'PARA ENVÍO UNIFICADO (VANE)'!$A$4:$A$729,'PARA ENVÍO UNIFICADO (VANE)'!$D$4:$D$729,0,0)</f>
        <v>6</v>
      </c>
      <c r="E584" s="322">
        <f>_xlfn.XLOOKUP(A584,'PARA ENVÍO UNIFICADO (VANE)'!$A$4:$A$729,'PARA ENVÍO UNIFICADO (VANE)'!$E$4:$E$729,0,0)</f>
        <v>2</v>
      </c>
      <c r="F584" s="322">
        <f t="shared" si="36"/>
        <v>8</v>
      </c>
      <c r="G584" s="243">
        <v>253159</v>
      </c>
      <c r="H584" s="243">
        <f t="shared" si="35"/>
        <v>2025272</v>
      </c>
    </row>
    <row r="585" spans="1:8" s="9" customFormat="1" ht="35.1" customHeight="1" x14ac:dyDescent="0.25">
      <c r="A585" s="255" t="s">
        <v>832</v>
      </c>
      <c r="B585" s="254" t="s">
        <v>833</v>
      </c>
      <c r="C585" s="240" t="s">
        <v>16</v>
      </c>
      <c r="D585" s="322">
        <f>_xlfn.XLOOKUP(A585,'PARA ENVÍO UNIFICADO (VANE)'!$A$4:$A$729,'PARA ENVÍO UNIFICADO (VANE)'!$D$4:$D$729,0,0)</f>
        <v>0</v>
      </c>
      <c r="E585" s="322">
        <f>_xlfn.XLOOKUP(A585,'PARA ENVÍO UNIFICADO (VANE)'!$A$4:$A$729,'PARA ENVÍO UNIFICADO (VANE)'!$E$4:$E$729,0,0)</f>
        <v>1</v>
      </c>
      <c r="F585" s="322">
        <f t="shared" si="36"/>
        <v>1</v>
      </c>
      <c r="G585" s="243">
        <v>839429</v>
      </c>
      <c r="H585" s="243">
        <f t="shared" si="35"/>
        <v>839429</v>
      </c>
    </row>
    <row r="586" spans="1:8" s="9" customFormat="1" ht="35.1" customHeight="1" x14ac:dyDescent="0.25">
      <c r="A586" s="255" t="s">
        <v>834</v>
      </c>
      <c r="B586" s="87" t="s">
        <v>835</v>
      </c>
      <c r="C586" s="240" t="s">
        <v>16</v>
      </c>
      <c r="D586" s="322">
        <f>_xlfn.XLOOKUP(A586,'PARA ENVÍO UNIFICADO (VANE)'!$A$4:$A$729,'PARA ENVÍO UNIFICADO (VANE)'!$D$4:$D$729,0,0)</f>
        <v>2</v>
      </c>
      <c r="E586" s="322">
        <f>_xlfn.XLOOKUP(A586,'PARA ENVÍO UNIFICADO (VANE)'!$A$4:$A$729,'PARA ENVÍO UNIFICADO (VANE)'!$E$4:$E$729,0,0)</f>
        <v>1</v>
      </c>
      <c r="F586" s="322">
        <f t="shared" si="36"/>
        <v>3</v>
      </c>
      <c r="G586" s="243">
        <v>839429</v>
      </c>
      <c r="H586" s="243">
        <f t="shared" si="35"/>
        <v>2518287</v>
      </c>
    </row>
    <row r="587" spans="1:8" s="9" customFormat="1" ht="35.1" customHeight="1" x14ac:dyDescent="0.25">
      <c r="A587" s="255" t="s">
        <v>836</v>
      </c>
      <c r="B587" s="87" t="s">
        <v>837</v>
      </c>
      <c r="C587" s="240" t="s">
        <v>16</v>
      </c>
      <c r="D587" s="322">
        <f>_xlfn.XLOOKUP(A587,'PARA ENVÍO UNIFICADO (VANE)'!$A$4:$A$729,'PARA ENVÍO UNIFICADO (VANE)'!$D$4:$D$729,0,0)</f>
        <v>0</v>
      </c>
      <c r="E587" s="322">
        <f>_xlfn.XLOOKUP(A587,'PARA ENVÍO UNIFICADO (VANE)'!$A$4:$A$729,'PARA ENVÍO UNIFICADO (VANE)'!$E$4:$E$729,0,0)</f>
        <v>1</v>
      </c>
      <c r="F587" s="322">
        <f t="shared" si="36"/>
        <v>1</v>
      </c>
      <c r="G587" s="243">
        <v>839429</v>
      </c>
      <c r="H587" s="243">
        <f t="shared" si="35"/>
        <v>839429</v>
      </c>
    </row>
    <row r="588" spans="1:8" s="9" customFormat="1" ht="35.1" customHeight="1" x14ac:dyDescent="0.25">
      <c r="A588" s="255" t="s">
        <v>838</v>
      </c>
      <c r="B588" s="87" t="s">
        <v>839</v>
      </c>
      <c r="C588" s="240" t="s">
        <v>16</v>
      </c>
      <c r="D588" s="322">
        <f>_xlfn.XLOOKUP(A588,'PARA ENVÍO UNIFICADO (VANE)'!$A$4:$A$729,'PARA ENVÍO UNIFICADO (VANE)'!$D$4:$D$729,0,0)</f>
        <v>15</v>
      </c>
      <c r="E588" s="322">
        <f>_xlfn.XLOOKUP(A588,'PARA ENVÍO UNIFICADO (VANE)'!$A$4:$A$729,'PARA ENVÍO UNIFICADO (VANE)'!$E$4:$E$729,0,0)</f>
        <v>5</v>
      </c>
      <c r="F588" s="322">
        <f t="shared" si="36"/>
        <v>20</v>
      </c>
      <c r="G588" s="243">
        <v>740619</v>
      </c>
      <c r="H588" s="243">
        <f t="shared" si="35"/>
        <v>14812380</v>
      </c>
    </row>
    <row r="589" spans="1:8" s="9" customFormat="1" ht="35.1" customHeight="1" x14ac:dyDescent="0.25">
      <c r="A589" s="255" t="s">
        <v>840</v>
      </c>
      <c r="B589" s="254" t="s">
        <v>841</v>
      </c>
      <c r="C589" s="240" t="s">
        <v>16</v>
      </c>
      <c r="D589" s="322">
        <f>_xlfn.XLOOKUP(A589,'PARA ENVÍO UNIFICADO (VANE)'!$A$4:$A$729,'PARA ENVÍO UNIFICADO (VANE)'!$D$4:$D$729,0,0)</f>
        <v>0</v>
      </c>
      <c r="E589" s="322">
        <f>_xlfn.XLOOKUP(A589,'PARA ENVÍO UNIFICADO (VANE)'!$A$4:$A$729,'PARA ENVÍO UNIFICADO (VANE)'!$E$4:$E$729,0,0)</f>
        <v>1</v>
      </c>
      <c r="F589" s="322">
        <f t="shared" si="36"/>
        <v>1</v>
      </c>
      <c r="G589" s="243">
        <v>597280</v>
      </c>
      <c r="H589" s="243">
        <f t="shared" si="35"/>
        <v>597280</v>
      </c>
    </row>
    <row r="590" spans="1:8" s="9" customFormat="1" ht="35.1" customHeight="1" x14ac:dyDescent="0.25">
      <c r="A590" s="244" t="s">
        <v>842</v>
      </c>
      <c r="B590" s="256" t="s">
        <v>843</v>
      </c>
      <c r="C590" s="256"/>
      <c r="D590" s="244"/>
      <c r="E590" s="244"/>
      <c r="F590" s="322">
        <f t="shared" si="36"/>
        <v>0</v>
      </c>
      <c r="G590" s="303"/>
      <c r="H590" s="246"/>
    </row>
    <row r="591" spans="1:8" s="9" customFormat="1" ht="35.1" customHeight="1" x14ac:dyDescent="0.25">
      <c r="A591" s="255" t="s">
        <v>844</v>
      </c>
      <c r="B591" s="254" t="s">
        <v>845</v>
      </c>
      <c r="C591" s="295" t="s">
        <v>13</v>
      </c>
      <c r="D591" s="322">
        <f>_xlfn.XLOOKUP(A591,'PARA ENVÍO UNIFICADO (VANE)'!$A$4:$A$729,'PARA ENVÍO UNIFICADO (VANE)'!$D$4:$D$729,0,0)</f>
        <v>77</v>
      </c>
      <c r="E591" s="322">
        <f>_xlfn.XLOOKUP(A591,'PARA ENVÍO UNIFICADO (VANE)'!$A$4:$A$729,'PARA ENVÍO UNIFICADO (VANE)'!$E$4:$E$729,0,0)</f>
        <v>28</v>
      </c>
      <c r="F591" s="322">
        <f t="shared" si="36"/>
        <v>105</v>
      </c>
      <c r="G591" s="243">
        <v>65432</v>
      </c>
      <c r="H591" s="243">
        <f t="shared" ref="H591:H596" si="37">ROUND(+G591*F591,2)</f>
        <v>6870360</v>
      </c>
    </row>
    <row r="592" spans="1:8" s="9" customFormat="1" ht="35.1" customHeight="1" x14ac:dyDescent="0.25">
      <c r="A592" s="255" t="s">
        <v>846</v>
      </c>
      <c r="B592" s="254" t="s">
        <v>847</v>
      </c>
      <c r="C592" s="295" t="s">
        <v>13</v>
      </c>
      <c r="D592" s="322">
        <f>_xlfn.XLOOKUP(A592,'PARA ENVÍO UNIFICADO (VANE)'!$A$4:$A$729,'PARA ENVÍO UNIFICADO (VANE)'!$D$4:$D$729,0,0)</f>
        <v>540</v>
      </c>
      <c r="E592" s="322">
        <f>_xlfn.XLOOKUP(A592,'PARA ENVÍO UNIFICADO (VANE)'!$A$4:$A$729,'PARA ENVÍO UNIFICADO (VANE)'!$E$4:$E$729,0,0)</f>
        <v>200</v>
      </c>
      <c r="F592" s="322">
        <f t="shared" si="36"/>
        <v>740</v>
      </c>
      <c r="G592" s="243">
        <v>71969</v>
      </c>
      <c r="H592" s="243">
        <f t="shared" si="37"/>
        <v>53257060</v>
      </c>
    </row>
    <row r="593" spans="1:8" s="9" customFormat="1" ht="35.1" customHeight="1" x14ac:dyDescent="0.25">
      <c r="A593" s="255" t="s">
        <v>848</v>
      </c>
      <c r="B593" s="254" t="s">
        <v>849</v>
      </c>
      <c r="C593" s="295" t="s">
        <v>13</v>
      </c>
      <c r="D593" s="322">
        <f>_xlfn.XLOOKUP(A593,'PARA ENVÍO UNIFICADO (VANE)'!$A$4:$A$729,'PARA ENVÍO UNIFICADO (VANE)'!$D$4:$D$729,0,0)</f>
        <v>617</v>
      </c>
      <c r="E593" s="322">
        <f>_xlfn.XLOOKUP(A593,'PARA ENVÍO UNIFICADO (VANE)'!$A$4:$A$729,'PARA ENVÍO UNIFICADO (VANE)'!$E$4:$E$729,0,0)</f>
        <v>228</v>
      </c>
      <c r="F593" s="322">
        <f t="shared" si="36"/>
        <v>845</v>
      </c>
      <c r="G593" s="243">
        <v>19953</v>
      </c>
      <c r="H593" s="243">
        <f t="shared" si="37"/>
        <v>16860285</v>
      </c>
    </row>
    <row r="594" spans="1:8" s="9" customFormat="1" ht="35.1" customHeight="1" x14ac:dyDescent="0.25">
      <c r="A594" s="255" t="s">
        <v>850</v>
      </c>
      <c r="B594" s="254" t="s">
        <v>851</v>
      </c>
      <c r="C594" s="295" t="s">
        <v>13</v>
      </c>
      <c r="D594" s="322">
        <f>_xlfn.XLOOKUP(A594,'PARA ENVÍO UNIFICADO (VANE)'!$A$4:$A$729,'PARA ENVÍO UNIFICADO (VANE)'!$D$4:$D$729,0,0)</f>
        <v>150</v>
      </c>
      <c r="E594" s="322">
        <f>_xlfn.XLOOKUP(A594,'PARA ENVÍO UNIFICADO (VANE)'!$A$4:$A$729,'PARA ENVÍO UNIFICADO (VANE)'!$E$4:$E$729,0,0)</f>
        <v>55</v>
      </c>
      <c r="F594" s="322">
        <f t="shared" si="36"/>
        <v>205</v>
      </c>
      <c r="G594" s="243">
        <v>78556</v>
      </c>
      <c r="H594" s="243">
        <f t="shared" si="37"/>
        <v>16103980</v>
      </c>
    </row>
    <row r="595" spans="1:8" s="9" customFormat="1" ht="35.1" customHeight="1" x14ac:dyDescent="0.25">
      <c r="A595" s="255" t="s">
        <v>852</v>
      </c>
      <c r="B595" s="254" t="s">
        <v>853</v>
      </c>
      <c r="C595" s="295" t="s">
        <v>13</v>
      </c>
      <c r="D595" s="322">
        <f>_xlfn.XLOOKUP(A595,'PARA ENVÍO UNIFICADO (VANE)'!$A$4:$A$729,'PARA ENVÍO UNIFICADO (VANE)'!$D$4:$D$729,0,0)</f>
        <v>150</v>
      </c>
      <c r="E595" s="322">
        <f>_xlfn.XLOOKUP(A595,'PARA ENVÍO UNIFICADO (VANE)'!$A$4:$A$729,'PARA ENVÍO UNIFICADO (VANE)'!$E$4:$E$729,0,0)</f>
        <v>55</v>
      </c>
      <c r="F595" s="322">
        <f t="shared" si="36"/>
        <v>205</v>
      </c>
      <c r="G595" s="243">
        <v>19953</v>
      </c>
      <c r="H595" s="243">
        <f t="shared" si="37"/>
        <v>4090365</v>
      </c>
    </row>
    <row r="596" spans="1:8" s="9" customFormat="1" ht="35.1" customHeight="1" x14ac:dyDescent="0.25">
      <c r="A596" s="255" t="s">
        <v>854</v>
      </c>
      <c r="B596" s="254" t="s">
        <v>855</v>
      </c>
      <c r="C596" s="240" t="s">
        <v>16</v>
      </c>
      <c r="D596" s="322">
        <f>_xlfn.XLOOKUP(A596,'PARA ENVÍO UNIFICADO (VANE)'!$A$4:$A$729,'PARA ENVÍO UNIFICADO (VANE)'!$D$4:$D$729,0,0)</f>
        <v>24</v>
      </c>
      <c r="E596" s="322">
        <f>_xlfn.XLOOKUP(A596,'PARA ENVÍO UNIFICADO (VANE)'!$A$4:$A$729,'PARA ENVÍO UNIFICADO (VANE)'!$E$4:$E$729,0,0)</f>
        <v>9</v>
      </c>
      <c r="F596" s="322">
        <f t="shared" si="36"/>
        <v>33</v>
      </c>
      <c r="G596" s="243">
        <v>34246</v>
      </c>
      <c r="H596" s="243">
        <f t="shared" si="37"/>
        <v>1130118</v>
      </c>
    </row>
    <row r="597" spans="1:8" s="9" customFormat="1" ht="35.1" customHeight="1" x14ac:dyDescent="0.25">
      <c r="A597" s="244" t="s">
        <v>856</v>
      </c>
      <c r="B597" s="245" t="s">
        <v>857</v>
      </c>
      <c r="C597" s="260"/>
      <c r="D597" s="244"/>
      <c r="E597" s="244"/>
      <c r="F597" s="322">
        <f t="shared" si="36"/>
        <v>0</v>
      </c>
      <c r="G597" s="303"/>
      <c r="H597" s="246"/>
    </row>
    <row r="598" spans="1:8" s="9" customFormat="1" ht="35.1" customHeight="1" x14ac:dyDescent="0.25">
      <c r="A598" s="240" t="s">
        <v>858</v>
      </c>
      <c r="B598" s="254" t="s">
        <v>859</v>
      </c>
      <c r="C598" s="240" t="s">
        <v>16</v>
      </c>
      <c r="D598" s="322">
        <f>_xlfn.XLOOKUP(A598,'PARA ENVÍO UNIFICADO (VANE)'!$A$4:$A$729,'PARA ENVÍO UNIFICADO (VANE)'!$D$4:$D$729,0,0)</f>
        <v>82</v>
      </c>
      <c r="E598" s="322">
        <f>_xlfn.XLOOKUP(A598,'PARA ENVÍO UNIFICADO (VANE)'!$A$4:$A$729,'PARA ENVÍO UNIFICADO (VANE)'!$E$4:$E$729,0,0)</f>
        <v>30</v>
      </c>
      <c r="F598" s="322">
        <f t="shared" si="36"/>
        <v>112</v>
      </c>
      <c r="G598" s="243">
        <v>161298</v>
      </c>
      <c r="H598" s="243">
        <f t="shared" ref="H598:H611" si="38">ROUND(+G598*F598,2)</f>
        <v>18065376</v>
      </c>
    </row>
    <row r="599" spans="1:8" s="9" customFormat="1" ht="35.1" customHeight="1" x14ac:dyDescent="0.25">
      <c r="A599" s="240" t="s">
        <v>860</v>
      </c>
      <c r="B599" s="254" t="s">
        <v>861</v>
      </c>
      <c r="C599" s="240" t="s">
        <v>16</v>
      </c>
      <c r="D599" s="322">
        <f>_xlfn.XLOOKUP(A599,'PARA ENVÍO UNIFICADO (VANE)'!$A$4:$A$729,'PARA ENVÍO UNIFICADO (VANE)'!$D$4:$D$729,0,0)</f>
        <v>4</v>
      </c>
      <c r="E599" s="322">
        <f>_xlfn.XLOOKUP(A599,'PARA ENVÍO UNIFICADO (VANE)'!$A$4:$A$729,'PARA ENVÍO UNIFICADO (VANE)'!$E$4:$E$729,0,0)</f>
        <v>2</v>
      </c>
      <c r="F599" s="322">
        <f t="shared" si="36"/>
        <v>6</v>
      </c>
      <c r="G599" s="243">
        <v>112552</v>
      </c>
      <c r="H599" s="243">
        <f t="shared" si="38"/>
        <v>675312</v>
      </c>
    </row>
    <row r="600" spans="1:8" s="9" customFormat="1" ht="35.1" customHeight="1" x14ac:dyDescent="0.25">
      <c r="A600" s="240" t="s">
        <v>862</v>
      </c>
      <c r="B600" s="254" t="s">
        <v>863</v>
      </c>
      <c r="C600" s="240" t="s">
        <v>16</v>
      </c>
      <c r="D600" s="322">
        <f>_xlfn.XLOOKUP(A600,'PARA ENVÍO UNIFICADO (VANE)'!$A$4:$A$729,'PARA ENVÍO UNIFICADO (VANE)'!$D$4:$D$729,0,0)</f>
        <v>4</v>
      </c>
      <c r="E600" s="322">
        <f>_xlfn.XLOOKUP(A600,'PARA ENVÍO UNIFICADO (VANE)'!$A$4:$A$729,'PARA ENVÍO UNIFICADO (VANE)'!$E$4:$E$729,0,0)</f>
        <v>1</v>
      </c>
      <c r="F600" s="322">
        <f t="shared" si="36"/>
        <v>5</v>
      </c>
      <c r="G600" s="243">
        <v>237711</v>
      </c>
      <c r="H600" s="243">
        <f t="shared" si="38"/>
        <v>1188555</v>
      </c>
    </row>
    <row r="601" spans="1:8" s="9" customFormat="1" ht="35.1" customHeight="1" x14ac:dyDescent="0.25">
      <c r="A601" s="240" t="s">
        <v>864</v>
      </c>
      <c r="B601" s="87" t="s">
        <v>865</v>
      </c>
      <c r="C601" s="240" t="s">
        <v>16</v>
      </c>
      <c r="D601" s="322">
        <f>_xlfn.XLOOKUP(A601,'PARA ENVÍO UNIFICADO (VANE)'!$A$4:$A$729,'PARA ENVÍO UNIFICADO (VANE)'!$D$4:$D$729,0,0)</f>
        <v>2</v>
      </c>
      <c r="E601" s="322">
        <f>_xlfn.XLOOKUP(A601,'PARA ENVÍO UNIFICADO (VANE)'!$A$4:$A$729,'PARA ENVÍO UNIFICADO (VANE)'!$E$4:$E$729,0,0)</f>
        <v>1</v>
      </c>
      <c r="F601" s="322">
        <f t="shared" si="36"/>
        <v>3</v>
      </c>
      <c r="G601" s="243">
        <v>59853</v>
      </c>
      <c r="H601" s="243">
        <f t="shared" si="38"/>
        <v>179559</v>
      </c>
    </row>
    <row r="602" spans="1:8" s="9" customFormat="1" ht="35.1" customHeight="1" x14ac:dyDescent="0.25">
      <c r="A602" s="240" t="s">
        <v>866</v>
      </c>
      <c r="B602" s="254" t="s">
        <v>867</v>
      </c>
      <c r="C602" s="240" t="s">
        <v>16</v>
      </c>
      <c r="D602" s="322">
        <f>_xlfn.XLOOKUP(A602,'PARA ENVÍO UNIFICADO (VANE)'!$A$4:$A$729,'PARA ENVÍO UNIFICADO (VANE)'!$D$4:$D$729,0,0)</f>
        <v>12</v>
      </c>
      <c r="E602" s="322">
        <f>_xlfn.XLOOKUP(A602,'PARA ENVÍO UNIFICADO (VANE)'!$A$4:$A$729,'PARA ENVÍO UNIFICADO (VANE)'!$E$4:$E$729,0,0)</f>
        <v>4</v>
      </c>
      <c r="F602" s="322">
        <f t="shared" si="36"/>
        <v>16</v>
      </c>
      <c r="G602" s="243">
        <v>224536</v>
      </c>
      <c r="H602" s="243">
        <f t="shared" si="38"/>
        <v>3592576</v>
      </c>
    </row>
    <row r="603" spans="1:8" s="9" customFormat="1" ht="35.1" customHeight="1" x14ac:dyDescent="0.25">
      <c r="A603" s="240" t="s">
        <v>868</v>
      </c>
      <c r="B603" s="254" t="s">
        <v>869</v>
      </c>
      <c r="C603" s="240" t="s">
        <v>16</v>
      </c>
      <c r="D603" s="322">
        <f>_xlfn.XLOOKUP(A603,'PARA ENVÍO UNIFICADO (VANE)'!$A$4:$A$729,'PARA ENVÍO UNIFICADO (VANE)'!$D$4:$D$729,0,0)</f>
        <v>8</v>
      </c>
      <c r="E603" s="322">
        <f>_xlfn.XLOOKUP(A603,'PARA ENVÍO UNIFICADO (VANE)'!$A$4:$A$729,'PARA ENVÍO UNIFICADO (VANE)'!$E$4:$E$729,0,0)</f>
        <v>3</v>
      </c>
      <c r="F603" s="322">
        <f t="shared" si="36"/>
        <v>11</v>
      </c>
      <c r="G603" s="243">
        <v>237711</v>
      </c>
      <c r="H603" s="243">
        <f t="shared" si="38"/>
        <v>2614821</v>
      </c>
    </row>
    <row r="604" spans="1:8" s="9" customFormat="1" ht="35.1" customHeight="1" x14ac:dyDescent="0.25">
      <c r="A604" s="240" t="s">
        <v>870</v>
      </c>
      <c r="B604" s="87" t="s">
        <v>871</v>
      </c>
      <c r="C604" s="240" t="s">
        <v>16</v>
      </c>
      <c r="D604" s="322">
        <f>_xlfn.XLOOKUP(A604,'PARA ENVÍO UNIFICADO (VANE)'!$A$4:$A$729,'PARA ENVÍO UNIFICADO (VANE)'!$D$4:$D$729,0,0)</f>
        <v>1</v>
      </c>
      <c r="E604" s="322">
        <f>_xlfn.XLOOKUP(A604,'PARA ENVÍO UNIFICADO (VANE)'!$A$4:$A$729,'PARA ENVÍO UNIFICADO (VANE)'!$E$4:$E$729,0,0)</f>
        <v>1</v>
      </c>
      <c r="F604" s="322">
        <f t="shared" si="36"/>
        <v>2</v>
      </c>
      <c r="G604" s="243">
        <v>511742</v>
      </c>
      <c r="H604" s="243">
        <f t="shared" si="38"/>
        <v>1023484</v>
      </c>
    </row>
    <row r="605" spans="1:8" s="9" customFormat="1" ht="35.1" customHeight="1" x14ac:dyDescent="0.25">
      <c r="A605" s="240" t="s">
        <v>872</v>
      </c>
      <c r="B605" s="87" t="s">
        <v>873</v>
      </c>
      <c r="C605" s="240" t="s">
        <v>16</v>
      </c>
      <c r="D605" s="322">
        <f>_xlfn.XLOOKUP(A605,'PARA ENVÍO UNIFICADO (VANE)'!$A$4:$A$729,'PARA ENVÍO UNIFICADO (VANE)'!$D$4:$D$729,0,0)</f>
        <v>3</v>
      </c>
      <c r="E605" s="322">
        <f>_xlfn.XLOOKUP(A605,'PARA ENVÍO UNIFICADO (VANE)'!$A$4:$A$729,'PARA ENVÍO UNIFICADO (VANE)'!$E$4:$E$729,0,0)</f>
        <v>1</v>
      </c>
      <c r="F605" s="322">
        <f t="shared" si="36"/>
        <v>4</v>
      </c>
      <c r="G605" s="243">
        <v>455091</v>
      </c>
      <c r="H605" s="243">
        <f t="shared" si="38"/>
        <v>1820364</v>
      </c>
    </row>
    <row r="606" spans="1:8" s="9" customFormat="1" ht="35.1" customHeight="1" x14ac:dyDescent="0.25">
      <c r="A606" s="240" t="s">
        <v>874</v>
      </c>
      <c r="B606" s="254" t="s">
        <v>875</v>
      </c>
      <c r="C606" s="240" t="s">
        <v>16</v>
      </c>
      <c r="D606" s="322">
        <f>_xlfn.XLOOKUP(A606,'PARA ENVÍO UNIFICADO (VANE)'!$A$4:$A$729,'PARA ENVÍO UNIFICADO (VANE)'!$D$4:$D$729,0,0)</f>
        <v>0</v>
      </c>
      <c r="E606" s="322">
        <f>_xlfn.XLOOKUP(A606,'PARA ENVÍO UNIFICADO (VANE)'!$A$4:$A$729,'PARA ENVÍO UNIFICADO (VANE)'!$E$4:$E$729,0,0)</f>
        <v>1</v>
      </c>
      <c r="F606" s="322">
        <f t="shared" si="36"/>
        <v>1</v>
      </c>
      <c r="G606" s="243">
        <v>24282</v>
      </c>
      <c r="H606" s="243">
        <f t="shared" si="38"/>
        <v>24282</v>
      </c>
    </row>
    <row r="607" spans="1:8" s="9" customFormat="1" ht="35.1" customHeight="1" x14ac:dyDescent="0.25">
      <c r="A607" s="240" t="s">
        <v>876</v>
      </c>
      <c r="B607" s="254" t="s">
        <v>877</v>
      </c>
      <c r="C607" s="240" t="s">
        <v>16</v>
      </c>
      <c r="D607" s="322">
        <f>_xlfn.XLOOKUP(A607,'PARA ENVÍO UNIFICADO (VANE)'!$A$4:$A$729,'PARA ENVÍO UNIFICADO (VANE)'!$D$4:$D$729,0,0)</f>
        <v>0</v>
      </c>
      <c r="E607" s="322">
        <f>_xlfn.XLOOKUP(A607,'PARA ENVÍO UNIFICADO (VANE)'!$A$4:$A$729,'PARA ENVÍO UNIFICADO (VANE)'!$E$4:$E$729,0,0)</f>
        <v>1</v>
      </c>
      <c r="F607" s="322">
        <f t="shared" si="36"/>
        <v>1</v>
      </c>
      <c r="G607" s="243">
        <v>33504</v>
      </c>
      <c r="H607" s="243">
        <f t="shared" si="38"/>
        <v>33504</v>
      </c>
    </row>
    <row r="608" spans="1:8" s="9" customFormat="1" ht="35.1" customHeight="1" x14ac:dyDescent="0.25">
      <c r="A608" s="240" t="s">
        <v>878</v>
      </c>
      <c r="B608" s="254" t="s">
        <v>879</v>
      </c>
      <c r="C608" s="240" t="s">
        <v>16</v>
      </c>
      <c r="D608" s="322">
        <f>_xlfn.XLOOKUP(A608,'PARA ENVÍO UNIFICADO (VANE)'!$A$4:$A$729,'PARA ENVÍO UNIFICADO (VANE)'!$D$4:$D$729,0,0)</f>
        <v>16</v>
      </c>
      <c r="E608" s="322">
        <f>_xlfn.XLOOKUP(A608,'PARA ENVÍO UNIFICADO (VANE)'!$A$4:$A$729,'PARA ENVÍO UNIFICADO (VANE)'!$E$4:$E$729,0,0)</f>
        <v>6</v>
      </c>
      <c r="F608" s="322">
        <f t="shared" si="36"/>
        <v>22</v>
      </c>
      <c r="G608" s="243">
        <v>46679</v>
      </c>
      <c r="H608" s="243">
        <f t="shared" si="38"/>
        <v>1026938</v>
      </c>
    </row>
    <row r="609" spans="1:8" s="9" customFormat="1" ht="35.1" customHeight="1" x14ac:dyDescent="0.25">
      <c r="A609" s="240" t="s">
        <v>880</v>
      </c>
      <c r="B609" s="254" t="s">
        <v>881</v>
      </c>
      <c r="C609" s="240" t="s">
        <v>16</v>
      </c>
      <c r="D609" s="322">
        <f>_xlfn.XLOOKUP(A609,'PARA ENVÍO UNIFICADO (VANE)'!$A$4:$A$729,'PARA ENVÍO UNIFICADO (VANE)'!$D$4:$D$729,0,0)</f>
        <v>2</v>
      </c>
      <c r="E609" s="322">
        <f>_xlfn.XLOOKUP(A609,'PARA ENVÍO UNIFICADO (VANE)'!$A$4:$A$729,'PARA ENVÍO UNIFICADO (VANE)'!$E$4:$E$729,0,0)</f>
        <v>1</v>
      </c>
      <c r="F609" s="322">
        <f t="shared" si="36"/>
        <v>3</v>
      </c>
      <c r="G609" s="243">
        <v>59853</v>
      </c>
      <c r="H609" s="243">
        <f t="shared" si="38"/>
        <v>179559</v>
      </c>
    </row>
    <row r="610" spans="1:8" s="9" customFormat="1" ht="35.1" customHeight="1" x14ac:dyDescent="0.25">
      <c r="A610" s="240" t="s">
        <v>882</v>
      </c>
      <c r="B610" s="254" t="s">
        <v>1333</v>
      </c>
      <c r="C610" s="240" t="s">
        <v>16</v>
      </c>
      <c r="D610" s="322">
        <f>_xlfn.XLOOKUP(A610,'PARA ENVÍO UNIFICADO (VANE)'!$A$4:$A$729,'PARA ENVÍO UNIFICADO (VANE)'!$D$4:$D$729,0,0)</f>
        <v>0</v>
      </c>
      <c r="E610" s="322">
        <f>_xlfn.XLOOKUP(A610,'PARA ENVÍO UNIFICADO (VANE)'!$A$4:$A$729,'PARA ENVÍO UNIFICADO (VANE)'!$E$4:$E$729,0,0)</f>
        <v>1</v>
      </c>
      <c r="F610" s="322">
        <f t="shared" si="36"/>
        <v>1</v>
      </c>
      <c r="G610" s="243">
        <v>593425</v>
      </c>
      <c r="H610" s="243">
        <f t="shared" si="38"/>
        <v>593425</v>
      </c>
    </row>
    <row r="611" spans="1:8" s="9" customFormat="1" ht="35.1" customHeight="1" x14ac:dyDescent="0.25">
      <c r="A611" s="240" t="s">
        <v>884</v>
      </c>
      <c r="B611" s="254" t="s">
        <v>1334</v>
      </c>
      <c r="C611" s="240" t="s">
        <v>16</v>
      </c>
      <c r="D611" s="322">
        <f>_xlfn.XLOOKUP(A611,'PARA ENVÍO UNIFICADO (VANE)'!$A$4:$A$729,'PARA ENVÍO UNIFICADO (VANE)'!$D$4:$D$729,0,0)</f>
        <v>0</v>
      </c>
      <c r="E611" s="322">
        <f>_xlfn.XLOOKUP(A611,'PARA ENVÍO UNIFICADO (VANE)'!$A$4:$A$729,'PARA ENVÍO UNIFICADO (VANE)'!$E$4:$E$729,0,0)</f>
        <v>1</v>
      </c>
      <c r="F611" s="322">
        <f t="shared" si="36"/>
        <v>1</v>
      </c>
      <c r="G611" s="243">
        <v>685079</v>
      </c>
      <c r="H611" s="243">
        <f t="shared" si="38"/>
        <v>685079</v>
      </c>
    </row>
    <row r="612" spans="1:8" s="9" customFormat="1" ht="35.1" customHeight="1" x14ac:dyDescent="0.25">
      <c r="A612" s="244" t="s">
        <v>886</v>
      </c>
      <c r="B612" s="256" t="s">
        <v>887</v>
      </c>
      <c r="C612" s="256"/>
      <c r="D612" s="244"/>
      <c r="E612" s="244"/>
      <c r="F612" s="322">
        <f t="shared" si="36"/>
        <v>0</v>
      </c>
      <c r="G612" s="303"/>
      <c r="H612" s="246"/>
    </row>
    <row r="613" spans="1:8" s="9" customFormat="1" ht="35.1" customHeight="1" x14ac:dyDescent="0.25">
      <c r="A613" s="255" t="s">
        <v>1335</v>
      </c>
      <c r="B613" s="254" t="s">
        <v>1336</v>
      </c>
      <c r="C613" s="240" t="s">
        <v>16</v>
      </c>
      <c r="D613" s="322">
        <f>_xlfn.XLOOKUP(A613,'PARA ENVÍO UNIFICADO (VANE)'!$A$4:$A$729,'PARA ENVÍO UNIFICADO (VANE)'!$D$4:$D$729,0,0)</f>
        <v>1</v>
      </c>
      <c r="E613" s="322">
        <f>_xlfn.XLOOKUP(A613,'PARA ENVÍO UNIFICADO (VANE)'!$A$4:$A$729,'PARA ENVÍO UNIFICADO (VANE)'!$E$4:$E$729,0,0)</f>
        <v>0</v>
      </c>
      <c r="F613" s="322">
        <f t="shared" si="36"/>
        <v>1</v>
      </c>
      <c r="G613" s="243">
        <v>11528426</v>
      </c>
      <c r="H613" s="243">
        <f>ROUND(+G613*F613,2)</f>
        <v>11528426</v>
      </c>
    </row>
    <row r="614" spans="1:8" s="9" customFormat="1" ht="35.1" customHeight="1" x14ac:dyDescent="0.25">
      <c r="A614" s="255" t="s">
        <v>1337</v>
      </c>
      <c r="B614" s="254" t="s">
        <v>1338</v>
      </c>
      <c r="C614" s="240" t="s">
        <v>16</v>
      </c>
      <c r="D614" s="322">
        <f>_xlfn.XLOOKUP(A614,'PARA ENVÍO UNIFICADO (VANE)'!$A$4:$A$729,'PARA ENVÍO UNIFICADO (VANE)'!$D$4:$D$729,0,0)</f>
        <v>1</v>
      </c>
      <c r="E614" s="322">
        <f>_xlfn.XLOOKUP(A614,'PARA ENVÍO UNIFICADO (VANE)'!$A$4:$A$729,'PARA ENVÍO UNIFICADO (VANE)'!$E$4:$E$729,0,0)</f>
        <v>0</v>
      </c>
      <c r="F614" s="322">
        <f t="shared" si="36"/>
        <v>1</v>
      </c>
      <c r="G614" s="243">
        <v>9947474</v>
      </c>
      <c r="H614" s="243">
        <f>ROUND(+G614*F614,2)</f>
        <v>9947474</v>
      </c>
    </row>
    <row r="615" spans="1:8" s="9" customFormat="1" ht="35.1" customHeight="1" x14ac:dyDescent="0.25">
      <c r="A615" s="255" t="s">
        <v>888</v>
      </c>
      <c r="B615" s="254" t="s">
        <v>851</v>
      </c>
      <c r="C615" s="295" t="s">
        <v>13</v>
      </c>
      <c r="D615" s="322">
        <f>_xlfn.XLOOKUP(A615,'PARA ENVÍO UNIFICADO (VANE)'!$A$4:$A$729,'PARA ENVÍO UNIFICADO (VANE)'!$D$4:$D$729,0,0)</f>
        <v>88</v>
      </c>
      <c r="E615" s="322">
        <f>_xlfn.XLOOKUP(A615,'PARA ENVÍO UNIFICADO (VANE)'!$A$4:$A$729,'PARA ENVÍO UNIFICADO (VANE)'!$E$4:$E$729,0,0)</f>
        <v>32</v>
      </c>
      <c r="F615" s="322">
        <f t="shared" si="36"/>
        <v>120</v>
      </c>
      <c r="G615" s="243">
        <v>92310</v>
      </c>
      <c r="H615" s="243">
        <f>ROUND(+G615*F615,2)</f>
        <v>11077200</v>
      </c>
    </row>
    <row r="616" spans="1:8" s="9" customFormat="1" ht="35.1" customHeight="1" x14ac:dyDescent="0.25">
      <c r="A616" s="255" t="s">
        <v>889</v>
      </c>
      <c r="B616" s="254" t="s">
        <v>890</v>
      </c>
      <c r="C616" s="295" t="s">
        <v>13</v>
      </c>
      <c r="D616" s="322">
        <f>_xlfn.XLOOKUP(A616,'PARA ENVÍO UNIFICADO (VANE)'!$A$4:$A$729,'PARA ENVÍO UNIFICADO (VANE)'!$D$4:$D$729,0,0)</f>
        <v>191</v>
      </c>
      <c r="E616" s="322">
        <f>_xlfn.XLOOKUP(A616,'PARA ENVÍO UNIFICADO (VANE)'!$A$4:$A$729,'PARA ENVÍO UNIFICADO (VANE)'!$E$4:$E$729,0,0)</f>
        <v>71</v>
      </c>
      <c r="F616" s="322">
        <f t="shared" si="36"/>
        <v>262</v>
      </c>
      <c r="G616" s="243">
        <v>85724</v>
      </c>
      <c r="H616" s="243">
        <f>ROUND(+G616*F616,2)</f>
        <v>22459688</v>
      </c>
    </row>
    <row r="617" spans="1:8" s="9" customFormat="1" ht="35.1" customHeight="1" x14ac:dyDescent="0.25">
      <c r="A617" s="255" t="s">
        <v>891</v>
      </c>
      <c r="B617" s="254" t="s">
        <v>892</v>
      </c>
      <c r="C617" s="240" t="s">
        <v>16</v>
      </c>
      <c r="D617" s="322">
        <f>_xlfn.XLOOKUP(A617,'PARA ENVÍO UNIFICADO (VANE)'!$A$4:$A$729,'PARA ENVÍO UNIFICADO (VANE)'!$D$4:$D$729,0,0)</f>
        <v>2</v>
      </c>
      <c r="E617" s="322">
        <f>_xlfn.XLOOKUP(A617,'PARA ENVÍO UNIFICADO (VANE)'!$A$4:$A$729,'PARA ENVÍO UNIFICADO (VANE)'!$E$4:$E$729,0,0)</f>
        <v>1</v>
      </c>
      <c r="F617" s="322">
        <f t="shared" si="36"/>
        <v>3</v>
      </c>
      <c r="G617" s="243">
        <v>511153</v>
      </c>
      <c r="H617" s="243">
        <f>ROUND(+G617*F617,2)</f>
        <v>1533459</v>
      </c>
    </row>
    <row r="618" spans="1:8" s="9" customFormat="1" ht="35.1" customHeight="1" x14ac:dyDescent="0.25">
      <c r="A618" s="244" t="s">
        <v>893</v>
      </c>
      <c r="B618" s="256" t="s">
        <v>894</v>
      </c>
      <c r="C618" s="256"/>
      <c r="D618" s="244"/>
      <c r="E618" s="244"/>
      <c r="F618" s="322">
        <f t="shared" si="36"/>
        <v>0</v>
      </c>
      <c r="G618" s="303"/>
      <c r="H618" s="246"/>
    </row>
    <row r="619" spans="1:8" s="9" customFormat="1" ht="35.1" customHeight="1" x14ac:dyDescent="0.25">
      <c r="A619" s="240" t="s">
        <v>1339</v>
      </c>
      <c r="B619" s="254" t="s">
        <v>1340</v>
      </c>
      <c r="C619" s="240" t="s">
        <v>16</v>
      </c>
      <c r="D619" s="322">
        <f>_xlfn.XLOOKUP(A619,'PARA ENVÍO UNIFICADO (VANE)'!$A$4:$A$729,'PARA ENVÍO UNIFICADO (VANE)'!$D$4:$D$729,0,0)</f>
        <v>2</v>
      </c>
      <c r="E619" s="322">
        <f>_xlfn.XLOOKUP(A619,'PARA ENVÍO UNIFICADO (VANE)'!$A$4:$A$729,'PARA ENVÍO UNIFICADO (VANE)'!$E$4:$E$729,0,0)</f>
        <v>0</v>
      </c>
      <c r="F619" s="322">
        <f t="shared" si="36"/>
        <v>2</v>
      </c>
      <c r="G619" s="243">
        <v>11900822</v>
      </c>
      <c r="H619" s="243">
        <f t="shared" ref="H619:H629" si="39">ROUND(+G619*F619,2)</f>
        <v>23801644</v>
      </c>
    </row>
    <row r="620" spans="1:8" s="9" customFormat="1" ht="35.1" customHeight="1" x14ac:dyDescent="0.25">
      <c r="A620" s="240" t="s">
        <v>895</v>
      </c>
      <c r="B620" s="254" t="s">
        <v>896</v>
      </c>
      <c r="C620" s="240" t="s">
        <v>16</v>
      </c>
      <c r="D620" s="322">
        <f>_xlfn.XLOOKUP(A620,'PARA ENVÍO UNIFICADO (VANE)'!$A$4:$A$729,'PARA ENVÍO UNIFICADO (VANE)'!$D$4:$D$729,0,0)</f>
        <v>1</v>
      </c>
      <c r="E620" s="322">
        <f>_xlfn.XLOOKUP(A620,'PARA ENVÍO UNIFICADO (VANE)'!$A$4:$A$729,'PARA ENVÍO UNIFICADO (VANE)'!$E$4:$E$729,0,0)</f>
        <v>1</v>
      </c>
      <c r="F620" s="322">
        <f t="shared" si="36"/>
        <v>2</v>
      </c>
      <c r="G620" s="243">
        <v>2028785</v>
      </c>
      <c r="H620" s="243">
        <f t="shared" si="39"/>
        <v>4057570</v>
      </c>
    </row>
    <row r="621" spans="1:8" s="9" customFormat="1" ht="35.1" customHeight="1" x14ac:dyDescent="0.25">
      <c r="A621" s="240" t="s">
        <v>897</v>
      </c>
      <c r="B621" s="254" t="s">
        <v>898</v>
      </c>
      <c r="C621" s="240" t="s">
        <v>16</v>
      </c>
      <c r="D621" s="322">
        <f>_xlfn.XLOOKUP(A621,'PARA ENVÍO UNIFICADO (VANE)'!$A$4:$A$729,'PARA ENVÍO UNIFICADO (VANE)'!$D$4:$D$729,0,0)</f>
        <v>2</v>
      </c>
      <c r="E621" s="322">
        <f>_xlfn.XLOOKUP(A621,'PARA ENVÍO UNIFICADO (VANE)'!$A$4:$A$729,'PARA ENVÍO UNIFICADO (VANE)'!$E$4:$E$729,0,0)</f>
        <v>2</v>
      </c>
      <c r="F621" s="322">
        <f t="shared" si="36"/>
        <v>4</v>
      </c>
      <c r="G621" s="243">
        <v>1238360</v>
      </c>
      <c r="H621" s="243">
        <f t="shared" si="39"/>
        <v>4953440</v>
      </c>
    </row>
    <row r="622" spans="1:8" s="9" customFormat="1" ht="35.1" customHeight="1" x14ac:dyDescent="0.25">
      <c r="A622" s="240" t="s">
        <v>899</v>
      </c>
      <c r="B622" s="254" t="s">
        <v>900</v>
      </c>
      <c r="C622" s="240" t="s">
        <v>16</v>
      </c>
      <c r="D622" s="322">
        <f>_xlfn.XLOOKUP(A622,'PARA ENVÍO UNIFICADO (VANE)'!$A$4:$A$729,'PARA ENVÍO UNIFICADO (VANE)'!$D$4:$D$729,0,0)</f>
        <v>1</v>
      </c>
      <c r="E622" s="322">
        <f>_xlfn.XLOOKUP(A622,'PARA ENVÍO UNIFICADO (VANE)'!$A$4:$A$729,'PARA ENVÍO UNIFICADO (VANE)'!$E$4:$E$729,0,0)</f>
        <v>1</v>
      </c>
      <c r="F622" s="322">
        <f t="shared" si="36"/>
        <v>2</v>
      </c>
      <c r="G622" s="243">
        <v>889891</v>
      </c>
      <c r="H622" s="243">
        <f t="shared" si="39"/>
        <v>1779782</v>
      </c>
    </row>
    <row r="623" spans="1:8" s="9" customFormat="1" ht="35.1" customHeight="1" x14ac:dyDescent="0.25">
      <c r="A623" s="240" t="s">
        <v>901</v>
      </c>
      <c r="B623" s="254" t="s">
        <v>902</v>
      </c>
      <c r="C623" s="240" t="s">
        <v>16</v>
      </c>
      <c r="D623" s="322">
        <f>_xlfn.XLOOKUP(A623,'PARA ENVÍO UNIFICADO (VANE)'!$A$4:$A$729,'PARA ENVÍO UNIFICADO (VANE)'!$D$4:$D$729,0,0)</f>
        <v>2</v>
      </c>
      <c r="E623" s="322">
        <f>_xlfn.XLOOKUP(A623,'PARA ENVÍO UNIFICADO (VANE)'!$A$4:$A$729,'PARA ENVÍO UNIFICADO (VANE)'!$E$4:$E$729,0,0)</f>
        <v>1</v>
      </c>
      <c r="F623" s="322">
        <f t="shared" si="36"/>
        <v>3</v>
      </c>
      <c r="G623" s="243">
        <v>889891</v>
      </c>
      <c r="H623" s="243">
        <f t="shared" si="39"/>
        <v>2669673</v>
      </c>
    </row>
    <row r="624" spans="1:8" s="9" customFormat="1" ht="35.1" customHeight="1" x14ac:dyDescent="0.25">
      <c r="A624" s="240" t="s">
        <v>1341</v>
      </c>
      <c r="B624" s="254" t="s">
        <v>1342</v>
      </c>
      <c r="C624" s="240" t="s">
        <v>16</v>
      </c>
      <c r="D624" s="322">
        <f>_xlfn.XLOOKUP(A624,'PARA ENVÍO UNIFICADO (VANE)'!$A$4:$A$729,'PARA ENVÍO UNIFICADO (VANE)'!$D$4:$D$729,0,0)</f>
        <v>2</v>
      </c>
      <c r="E624" s="322">
        <f>_xlfn.XLOOKUP(A624,'PARA ENVÍO UNIFICADO (VANE)'!$A$4:$A$729,'PARA ENVÍO UNIFICADO (VANE)'!$E$4:$E$729,0,0)</f>
        <v>0</v>
      </c>
      <c r="F624" s="322">
        <f t="shared" si="36"/>
        <v>2</v>
      </c>
      <c r="G624" s="243">
        <v>3385820</v>
      </c>
      <c r="H624" s="243">
        <f t="shared" si="39"/>
        <v>6771640</v>
      </c>
    </row>
    <row r="625" spans="1:8" s="9" customFormat="1" ht="35.1" customHeight="1" x14ac:dyDescent="0.25">
      <c r="A625" s="240" t="s">
        <v>1343</v>
      </c>
      <c r="B625" s="254" t="s">
        <v>1344</v>
      </c>
      <c r="C625" s="240" t="s">
        <v>16</v>
      </c>
      <c r="D625" s="322">
        <f>_xlfn.XLOOKUP(A625,'PARA ENVÍO UNIFICADO (VANE)'!$A$4:$A$729,'PARA ENVÍO UNIFICADO (VANE)'!$D$4:$D$729,0,0)</f>
        <v>2</v>
      </c>
      <c r="E625" s="322">
        <f>_xlfn.XLOOKUP(A625,'PARA ENVÍO UNIFICADO (VANE)'!$A$4:$A$729,'PARA ENVÍO UNIFICADO (VANE)'!$E$4:$E$729,0,0)</f>
        <v>0</v>
      </c>
      <c r="F625" s="322">
        <f t="shared" si="36"/>
        <v>2</v>
      </c>
      <c r="G625" s="243">
        <v>5954779</v>
      </c>
      <c r="H625" s="243">
        <f t="shared" si="39"/>
        <v>11909558</v>
      </c>
    </row>
    <row r="626" spans="1:8" s="9" customFormat="1" ht="35.1" customHeight="1" x14ac:dyDescent="0.25">
      <c r="A626" s="240" t="s">
        <v>1345</v>
      </c>
      <c r="B626" s="254" t="s">
        <v>1346</v>
      </c>
      <c r="C626" s="240" t="s">
        <v>16</v>
      </c>
      <c r="D626" s="322">
        <f>_xlfn.XLOOKUP(A626,'PARA ENVÍO UNIFICADO (VANE)'!$A$4:$A$729,'PARA ENVÍO UNIFICADO (VANE)'!$D$4:$D$729,0,0)</f>
        <v>2</v>
      </c>
      <c r="E626" s="322">
        <f>_xlfn.XLOOKUP(A626,'PARA ENVÍO UNIFICADO (VANE)'!$A$4:$A$729,'PARA ENVÍO UNIFICADO (VANE)'!$E$4:$E$729,0,0)</f>
        <v>0</v>
      </c>
      <c r="F626" s="322">
        <f t="shared" si="36"/>
        <v>2</v>
      </c>
      <c r="G626" s="243">
        <v>2028785</v>
      </c>
      <c r="H626" s="243">
        <f t="shared" si="39"/>
        <v>4057570</v>
      </c>
    </row>
    <row r="627" spans="1:8" s="9" customFormat="1" ht="35.1" customHeight="1" x14ac:dyDescent="0.25">
      <c r="A627" s="240" t="s">
        <v>903</v>
      </c>
      <c r="B627" s="254" t="s">
        <v>904</v>
      </c>
      <c r="C627" s="240" t="s">
        <v>16</v>
      </c>
      <c r="D627" s="322">
        <f>_xlfn.XLOOKUP(A627,'PARA ENVÍO UNIFICADO (VANE)'!$A$4:$A$729,'PARA ENVÍO UNIFICADO (VANE)'!$D$4:$D$729,0,0)</f>
        <v>3</v>
      </c>
      <c r="E627" s="322">
        <f>_xlfn.XLOOKUP(A627,'PARA ENVÍO UNIFICADO (VANE)'!$A$4:$A$729,'PARA ENVÍO UNIFICADO (VANE)'!$E$4:$E$729,0,0)</f>
        <v>2</v>
      </c>
      <c r="F627" s="322">
        <f t="shared" si="36"/>
        <v>5</v>
      </c>
      <c r="G627" s="243">
        <v>1132946</v>
      </c>
      <c r="H627" s="243">
        <f t="shared" si="39"/>
        <v>5664730</v>
      </c>
    </row>
    <row r="628" spans="1:8" s="9" customFormat="1" ht="35.1" customHeight="1" x14ac:dyDescent="0.25">
      <c r="A628" s="240" t="s">
        <v>905</v>
      </c>
      <c r="B628" s="254" t="s">
        <v>906</v>
      </c>
      <c r="C628" s="240" t="s">
        <v>16</v>
      </c>
      <c r="D628" s="322">
        <f>_xlfn.XLOOKUP(A628,'PARA ENVÍO UNIFICADO (VANE)'!$A$4:$A$729,'PARA ENVÍO UNIFICADO (VANE)'!$D$4:$D$729,0,0)</f>
        <v>2</v>
      </c>
      <c r="E628" s="322">
        <f>_xlfn.XLOOKUP(A628,'PARA ENVÍO UNIFICADO (VANE)'!$A$4:$A$729,'PARA ENVÍO UNIFICADO (VANE)'!$E$4:$E$729,0,0)</f>
        <v>2</v>
      </c>
      <c r="F628" s="322">
        <f t="shared" si="36"/>
        <v>4</v>
      </c>
      <c r="G628" s="243">
        <v>339884</v>
      </c>
      <c r="H628" s="243">
        <f t="shared" si="39"/>
        <v>1359536</v>
      </c>
    </row>
    <row r="629" spans="1:8" s="9" customFormat="1" ht="35.1" customHeight="1" x14ac:dyDescent="0.25">
      <c r="A629" s="240" t="s">
        <v>1347</v>
      </c>
      <c r="B629" s="254" t="s">
        <v>1348</v>
      </c>
      <c r="C629" s="240" t="s">
        <v>16</v>
      </c>
      <c r="D629" s="322">
        <f>_xlfn.XLOOKUP(A629,'PARA ENVÍO UNIFICADO (VANE)'!$A$4:$A$729,'PARA ENVÍO UNIFICADO (VANE)'!$D$4:$D$729,0,0)</f>
        <v>2</v>
      </c>
      <c r="E629" s="322">
        <f>_xlfn.XLOOKUP(A629,'PARA ENVÍO UNIFICADO (VANE)'!$A$4:$A$729,'PARA ENVÍO UNIFICADO (VANE)'!$E$4:$E$729,0,0)</f>
        <v>0</v>
      </c>
      <c r="F629" s="322">
        <f t="shared" si="36"/>
        <v>2</v>
      </c>
      <c r="G629" s="243">
        <v>2028785</v>
      </c>
      <c r="H629" s="243">
        <f t="shared" si="39"/>
        <v>4057570</v>
      </c>
    </row>
    <row r="630" spans="1:8" s="9" customFormat="1" ht="35.1" customHeight="1" x14ac:dyDescent="0.25">
      <c r="A630" s="266">
        <v>18</v>
      </c>
      <c r="B630" s="267" t="s">
        <v>907</v>
      </c>
      <c r="C630" s="267"/>
      <c r="D630" s="267"/>
      <c r="E630" s="267"/>
      <c r="F630" s="322">
        <f t="shared" si="36"/>
        <v>0</v>
      </c>
      <c r="G630" s="306"/>
      <c r="H630" s="268"/>
    </row>
    <row r="631" spans="1:8" s="9" customFormat="1" ht="35.1" customHeight="1" x14ac:dyDescent="0.25">
      <c r="A631" s="244" t="s">
        <v>908</v>
      </c>
      <c r="B631" s="256" t="s">
        <v>909</v>
      </c>
      <c r="C631" s="256"/>
      <c r="D631" s="244"/>
      <c r="E631" s="244"/>
      <c r="F631" s="322">
        <f t="shared" si="36"/>
        <v>0</v>
      </c>
      <c r="G631" s="303"/>
      <c r="H631" s="246"/>
    </row>
    <row r="632" spans="1:8" s="9" customFormat="1" ht="35.1" customHeight="1" x14ac:dyDescent="0.25">
      <c r="A632" s="255" t="s">
        <v>910</v>
      </c>
      <c r="B632" s="284" t="s">
        <v>911</v>
      </c>
      <c r="C632" s="240" t="s">
        <v>16</v>
      </c>
      <c r="D632" s="322">
        <f>_xlfn.XLOOKUP(A632,'PARA ENVÍO UNIFICADO (VANE)'!$A$4:$A$729,'PARA ENVÍO UNIFICADO (VANE)'!$D$4:$D$729,0,0)</f>
        <v>172</v>
      </c>
      <c r="E632" s="322">
        <f>_xlfn.XLOOKUP(A632,'PARA ENVÍO UNIFICADO (VANE)'!$A$4:$A$729,'PARA ENVÍO UNIFICADO (VANE)'!$E$4:$E$729,0,0)</f>
        <v>64</v>
      </c>
      <c r="F632" s="322">
        <f t="shared" si="36"/>
        <v>236</v>
      </c>
      <c r="G632" s="243">
        <v>38552</v>
      </c>
      <c r="H632" s="243">
        <f>ROUND(+G632*F632,2)</f>
        <v>9098272</v>
      </c>
    </row>
    <row r="633" spans="1:8" s="9" customFormat="1" ht="35.1" customHeight="1" x14ac:dyDescent="0.25">
      <c r="A633" s="255" t="s">
        <v>912</v>
      </c>
      <c r="B633" s="254" t="s">
        <v>913</v>
      </c>
      <c r="C633" s="240" t="s">
        <v>16</v>
      </c>
      <c r="D633" s="322">
        <f>_xlfn.XLOOKUP(A633,'PARA ENVÍO UNIFICADO (VANE)'!$A$4:$A$729,'PARA ENVÍO UNIFICADO (VANE)'!$D$4:$D$729,0,0)</f>
        <v>38</v>
      </c>
      <c r="E633" s="322">
        <f>_xlfn.XLOOKUP(A633,'PARA ENVÍO UNIFICADO (VANE)'!$A$4:$A$729,'PARA ENVÍO UNIFICADO (VANE)'!$E$4:$E$729,0,0)</f>
        <v>14</v>
      </c>
      <c r="F633" s="322">
        <f t="shared" si="36"/>
        <v>52</v>
      </c>
      <c r="G633" s="243">
        <v>38552</v>
      </c>
      <c r="H633" s="243">
        <f>ROUND(+G633*F633,2)</f>
        <v>2004704</v>
      </c>
    </row>
    <row r="634" spans="1:8" s="9" customFormat="1" ht="35.1" customHeight="1" x14ac:dyDescent="0.25">
      <c r="A634" s="255" t="s">
        <v>914</v>
      </c>
      <c r="B634" s="254" t="s">
        <v>915</v>
      </c>
      <c r="C634" s="240" t="s">
        <v>16</v>
      </c>
      <c r="D634" s="322">
        <f>_xlfn.XLOOKUP(A634,'PARA ENVÍO UNIFICADO (VANE)'!$A$4:$A$729,'PARA ENVÍO UNIFICADO (VANE)'!$D$4:$D$729,0,0)</f>
        <v>172</v>
      </c>
      <c r="E634" s="322">
        <f>_xlfn.XLOOKUP(A634,'PARA ENVÍO UNIFICADO (VANE)'!$A$4:$A$729,'PARA ENVÍO UNIFICADO (VANE)'!$E$4:$E$729,0,0)</f>
        <v>64</v>
      </c>
      <c r="F634" s="322">
        <f t="shared" si="36"/>
        <v>236</v>
      </c>
      <c r="G634" s="243">
        <v>10176</v>
      </c>
      <c r="H634" s="243">
        <f>ROUND(+G634*F634,2)</f>
        <v>2401536</v>
      </c>
    </row>
    <row r="635" spans="1:8" s="9" customFormat="1" ht="35.1" customHeight="1" x14ac:dyDescent="0.25">
      <c r="A635" s="255" t="s">
        <v>916</v>
      </c>
      <c r="B635" s="254" t="s">
        <v>917</v>
      </c>
      <c r="C635" s="240" t="s">
        <v>16</v>
      </c>
      <c r="D635" s="322">
        <f>_xlfn.XLOOKUP(A635,'PARA ENVÍO UNIFICADO (VANE)'!$A$4:$A$729,'PARA ENVÍO UNIFICADO (VANE)'!$D$4:$D$729,0,0)</f>
        <v>172</v>
      </c>
      <c r="E635" s="322">
        <f>_xlfn.XLOOKUP(A635,'PARA ENVÍO UNIFICADO (VANE)'!$A$4:$A$729,'PARA ENVÍO UNIFICADO (VANE)'!$E$4:$E$729,0,0)</f>
        <v>64</v>
      </c>
      <c r="F635" s="322">
        <f t="shared" si="36"/>
        <v>236</v>
      </c>
      <c r="G635" s="243">
        <v>46374</v>
      </c>
      <c r="H635" s="243">
        <f>ROUND(+G635*F635,2)</f>
        <v>10944264</v>
      </c>
    </row>
    <row r="636" spans="1:8" s="9" customFormat="1" ht="35.1" customHeight="1" x14ac:dyDescent="0.25">
      <c r="A636" s="244" t="s">
        <v>918</v>
      </c>
      <c r="B636" s="256" t="s">
        <v>919</v>
      </c>
      <c r="C636" s="256"/>
      <c r="D636" s="244"/>
      <c r="E636" s="244"/>
      <c r="F636" s="322">
        <f t="shared" si="36"/>
        <v>0</v>
      </c>
      <c r="G636" s="303"/>
      <c r="H636" s="246"/>
    </row>
    <row r="637" spans="1:8" s="9" customFormat="1" ht="35.1" customHeight="1" x14ac:dyDescent="0.25">
      <c r="A637" s="255" t="s">
        <v>920</v>
      </c>
      <c r="B637" s="254" t="s">
        <v>921</v>
      </c>
      <c r="C637" s="240" t="s">
        <v>94</v>
      </c>
      <c r="D637" s="322">
        <f>_xlfn.XLOOKUP(A637,'PARA ENVÍO UNIFICADO (VANE)'!$A$4:$A$729,'PARA ENVÍO UNIFICADO (VANE)'!$D$4:$D$729,0,0)</f>
        <v>11247</v>
      </c>
      <c r="E637" s="322">
        <f>_xlfn.XLOOKUP(A637,'PARA ENVÍO UNIFICADO (VANE)'!$A$4:$A$729,'PARA ENVÍO UNIFICADO (VANE)'!$E$4:$E$729,0,0)</f>
        <v>1765</v>
      </c>
      <c r="F637" s="322">
        <f t="shared" si="36"/>
        <v>13012</v>
      </c>
      <c r="G637" s="243">
        <v>4618</v>
      </c>
      <c r="H637" s="243">
        <f>ROUND(+G637*F637,2)</f>
        <v>60089416</v>
      </c>
    </row>
    <row r="638" spans="1:8" s="9" customFormat="1" ht="35.1" customHeight="1" x14ac:dyDescent="0.25">
      <c r="A638" s="244" t="s">
        <v>922</v>
      </c>
      <c r="B638" s="256" t="s">
        <v>923</v>
      </c>
      <c r="C638" s="256"/>
      <c r="D638" s="244"/>
      <c r="E638" s="244"/>
      <c r="F638" s="322">
        <f t="shared" si="36"/>
        <v>0</v>
      </c>
      <c r="G638" s="303"/>
      <c r="H638" s="246"/>
    </row>
    <row r="639" spans="1:8" s="9" customFormat="1" ht="35.1" customHeight="1" x14ac:dyDescent="0.25">
      <c r="A639" s="255" t="s">
        <v>924</v>
      </c>
      <c r="B639" s="254" t="s">
        <v>925</v>
      </c>
      <c r="C639" s="240" t="s">
        <v>16</v>
      </c>
      <c r="D639" s="322">
        <f>_xlfn.XLOOKUP(A639,'PARA ENVÍO UNIFICADO (VANE)'!$A$4:$A$729,'PARA ENVÍO UNIFICADO (VANE)'!$D$4:$D$729,0,0)</f>
        <v>9</v>
      </c>
      <c r="E639" s="322">
        <f>_xlfn.XLOOKUP(A639,'PARA ENVÍO UNIFICADO (VANE)'!$A$4:$A$729,'PARA ENVÍO UNIFICADO (VANE)'!$E$4:$E$729,0,0)</f>
        <v>4</v>
      </c>
      <c r="F639" s="322">
        <f t="shared" si="36"/>
        <v>13</v>
      </c>
      <c r="G639" s="243">
        <v>275478</v>
      </c>
      <c r="H639" s="243">
        <f t="shared" ref="H639:H644" si="40">ROUND(+G639*F639,2)</f>
        <v>3581214</v>
      </c>
    </row>
    <row r="640" spans="1:8" s="9" customFormat="1" ht="35.1" customHeight="1" x14ac:dyDescent="0.25">
      <c r="A640" s="255" t="s">
        <v>926</v>
      </c>
      <c r="B640" s="254" t="s">
        <v>927</v>
      </c>
      <c r="C640" s="240" t="s">
        <v>16</v>
      </c>
      <c r="D640" s="322">
        <f>_xlfn.XLOOKUP(A640,'PARA ENVÍO UNIFICADO (VANE)'!$A$4:$A$729,'PARA ENVÍO UNIFICADO (VANE)'!$D$4:$D$729,0,0)</f>
        <v>172</v>
      </c>
      <c r="E640" s="322">
        <f>_xlfn.XLOOKUP(A640,'PARA ENVÍO UNIFICADO (VANE)'!$A$4:$A$729,'PARA ENVÍO UNIFICADO (VANE)'!$E$4:$E$729,0,0)</f>
        <v>64</v>
      </c>
      <c r="F640" s="322">
        <f t="shared" si="36"/>
        <v>236</v>
      </c>
      <c r="G640" s="243">
        <v>38554</v>
      </c>
      <c r="H640" s="243">
        <f t="shared" si="40"/>
        <v>9098744</v>
      </c>
    </row>
    <row r="641" spans="1:8" s="9" customFormat="1" ht="35.1" customHeight="1" x14ac:dyDescent="0.25">
      <c r="A641" s="255" t="s">
        <v>928</v>
      </c>
      <c r="B641" s="254" t="s">
        <v>929</v>
      </c>
      <c r="C641" s="240" t="s">
        <v>16</v>
      </c>
      <c r="D641" s="322">
        <f>_xlfn.XLOOKUP(A641,'PARA ENVÍO UNIFICADO (VANE)'!$A$4:$A$729,'PARA ENVÍO UNIFICADO (VANE)'!$D$4:$D$729,0,0)</f>
        <v>38</v>
      </c>
      <c r="E641" s="322">
        <f>_xlfn.XLOOKUP(A641,'PARA ENVÍO UNIFICADO (VANE)'!$A$4:$A$729,'PARA ENVÍO UNIFICADO (VANE)'!$E$4:$E$729,0,0)</f>
        <v>14</v>
      </c>
      <c r="F641" s="322">
        <f t="shared" si="36"/>
        <v>52</v>
      </c>
      <c r="G641" s="243">
        <v>38554</v>
      </c>
      <c r="H641" s="243">
        <f t="shared" si="40"/>
        <v>2004808</v>
      </c>
    </row>
    <row r="642" spans="1:8" s="9" customFormat="1" ht="35.1" customHeight="1" x14ac:dyDescent="0.25">
      <c r="A642" s="255" t="s">
        <v>930</v>
      </c>
      <c r="B642" s="254" t="s">
        <v>931</v>
      </c>
      <c r="C642" s="240" t="s">
        <v>16</v>
      </c>
      <c r="D642" s="322">
        <f>_xlfn.XLOOKUP(A642,'PARA ENVÍO UNIFICADO (VANE)'!$A$4:$A$729,'PARA ENVÍO UNIFICADO (VANE)'!$D$4:$D$729,0,0)</f>
        <v>172</v>
      </c>
      <c r="E642" s="322">
        <f>_xlfn.XLOOKUP(A642,'PARA ENVÍO UNIFICADO (VANE)'!$A$4:$A$729,'PARA ENVÍO UNIFICADO (VANE)'!$E$4:$E$729,0,0)</f>
        <v>64</v>
      </c>
      <c r="F642" s="322">
        <f t="shared" si="36"/>
        <v>236</v>
      </c>
      <c r="G642" s="243">
        <v>49451</v>
      </c>
      <c r="H642" s="243">
        <f t="shared" si="40"/>
        <v>11670436</v>
      </c>
    </row>
    <row r="643" spans="1:8" s="9" customFormat="1" ht="35.1" customHeight="1" x14ac:dyDescent="0.25">
      <c r="A643" s="255" t="s">
        <v>932</v>
      </c>
      <c r="B643" s="254" t="s">
        <v>933</v>
      </c>
      <c r="C643" s="240" t="s">
        <v>16</v>
      </c>
      <c r="D643" s="322">
        <f>_xlfn.XLOOKUP(A643,'PARA ENVÍO UNIFICADO (VANE)'!$A$4:$A$729,'PARA ENVÍO UNIFICADO (VANE)'!$D$4:$D$729,0,0)</f>
        <v>38</v>
      </c>
      <c r="E643" s="322">
        <f>_xlfn.XLOOKUP(A643,'PARA ENVÍO UNIFICADO (VANE)'!$A$4:$A$729,'PARA ENVÍO UNIFICADO (VANE)'!$E$4:$E$729,0,0)</f>
        <v>14</v>
      </c>
      <c r="F643" s="322">
        <f t="shared" si="36"/>
        <v>52</v>
      </c>
      <c r="G643" s="243">
        <v>49451</v>
      </c>
      <c r="H643" s="243">
        <f t="shared" si="40"/>
        <v>2571452</v>
      </c>
    </row>
    <row r="644" spans="1:8" s="9" customFormat="1" ht="35.1" customHeight="1" x14ac:dyDescent="0.25">
      <c r="A644" s="255" t="s">
        <v>934</v>
      </c>
      <c r="B644" s="254" t="s">
        <v>935</v>
      </c>
      <c r="C644" s="240" t="s">
        <v>16</v>
      </c>
      <c r="D644" s="322">
        <f>_xlfn.XLOOKUP(A644,'PARA ENVÍO UNIFICADO (VANE)'!$A$4:$A$729,'PARA ENVÍO UNIFICADO (VANE)'!$D$4:$D$729,0,0)</f>
        <v>9</v>
      </c>
      <c r="E644" s="322">
        <f>_xlfn.XLOOKUP(A644,'PARA ENVÍO UNIFICADO (VANE)'!$A$4:$A$729,'PARA ENVÍO UNIFICADO (VANE)'!$E$4:$E$729,0,0)</f>
        <v>4</v>
      </c>
      <c r="F644" s="322">
        <f t="shared" si="36"/>
        <v>13</v>
      </c>
      <c r="G644" s="243">
        <v>257112</v>
      </c>
      <c r="H644" s="243">
        <f t="shared" si="40"/>
        <v>3342456</v>
      </c>
    </row>
    <row r="645" spans="1:8" s="9" customFormat="1" ht="35.1" customHeight="1" x14ac:dyDescent="0.25">
      <c r="A645" s="244" t="s">
        <v>936</v>
      </c>
      <c r="B645" s="245" t="s">
        <v>937</v>
      </c>
      <c r="C645" s="244"/>
      <c r="D645" s="244"/>
      <c r="E645" s="244"/>
      <c r="F645" s="322">
        <f t="shared" ref="F645:F708" si="41">ROUND(D645+E645,2)</f>
        <v>0</v>
      </c>
      <c r="G645" s="303"/>
      <c r="H645" s="246"/>
    </row>
    <row r="646" spans="1:8" s="9" customFormat="1" ht="35.1" customHeight="1" x14ac:dyDescent="0.25">
      <c r="A646" s="255" t="s">
        <v>938</v>
      </c>
      <c r="B646" s="254" t="s">
        <v>939</v>
      </c>
      <c r="C646" s="240" t="s">
        <v>16</v>
      </c>
      <c r="D646" s="322">
        <f>_xlfn.XLOOKUP(A646,'PARA ENVÍO UNIFICADO (VANE)'!$A$4:$A$729,'PARA ENVÍO UNIFICADO (VANE)'!$D$4:$D$729,0,0)</f>
        <v>1</v>
      </c>
      <c r="E646" s="322">
        <f>_xlfn.XLOOKUP(A646,'PARA ENVÍO UNIFICADO (VANE)'!$A$4:$A$729,'PARA ENVÍO UNIFICADO (VANE)'!$E$4:$E$729,0,0)</f>
        <v>1</v>
      </c>
      <c r="F646" s="322">
        <f t="shared" si="41"/>
        <v>2</v>
      </c>
      <c r="G646" s="243">
        <v>596595</v>
      </c>
      <c r="H646" s="243">
        <f>ROUND(+G646*F646,2)</f>
        <v>1193190</v>
      </c>
    </row>
    <row r="647" spans="1:8" s="9" customFormat="1" ht="35.1" customHeight="1" x14ac:dyDescent="0.25">
      <c r="A647" s="255" t="s">
        <v>940</v>
      </c>
      <c r="B647" s="254" t="s">
        <v>941</v>
      </c>
      <c r="C647" s="240" t="s">
        <v>16</v>
      </c>
      <c r="D647" s="322">
        <f>_xlfn.XLOOKUP(A647,'PARA ENVÍO UNIFICADO (VANE)'!$A$4:$A$729,'PARA ENVÍO UNIFICADO (VANE)'!$D$4:$D$729,0,0)</f>
        <v>38</v>
      </c>
      <c r="E647" s="322">
        <f>_xlfn.XLOOKUP(A647,'PARA ENVÍO UNIFICADO (VANE)'!$A$4:$A$729,'PARA ENVÍO UNIFICADO (VANE)'!$E$4:$E$729,0,0)</f>
        <v>14</v>
      </c>
      <c r="F647" s="322">
        <f t="shared" si="41"/>
        <v>52</v>
      </c>
      <c r="G647" s="243">
        <v>36237</v>
      </c>
      <c r="H647" s="243">
        <f>ROUND(+G647*F647,2)</f>
        <v>1884324</v>
      </c>
    </row>
    <row r="648" spans="1:8" s="9" customFormat="1" ht="35.1" customHeight="1" x14ac:dyDescent="0.25">
      <c r="A648" s="255" t="s">
        <v>942</v>
      </c>
      <c r="B648" s="254" t="s">
        <v>935</v>
      </c>
      <c r="C648" s="240" t="s">
        <v>16</v>
      </c>
      <c r="D648" s="322">
        <f>_xlfn.XLOOKUP(A648,'PARA ENVÍO UNIFICADO (VANE)'!$A$4:$A$729,'PARA ENVÍO UNIFICADO (VANE)'!$D$4:$D$729,0,0)</f>
        <v>1</v>
      </c>
      <c r="E648" s="322">
        <f>_xlfn.XLOOKUP(A648,'PARA ENVÍO UNIFICADO (VANE)'!$A$4:$A$729,'PARA ENVÍO UNIFICADO (VANE)'!$E$4:$E$729,0,0)</f>
        <v>1</v>
      </c>
      <c r="F648" s="322">
        <f t="shared" si="41"/>
        <v>2</v>
      </c>
      <c r="G648" s="243">
        <v>257112</v>
      </c>
      <c r="H648" s="243">
        <f>ROUND(+G648*F648,2)</f>
        <v>514224</v>
      </c>
    </row>
    <row r="649" spans="1:8" s="9" customFormat="1" ht="35.1" customHeight="1" x14ac:dyDescent="0.25">
      <c r="A649" s="244" t="s">
        <v>943</v>
      </c>
      <c r="B649" s="245" t="s">
        <v>944</v>
      </c>
      <c r="C649" s="260"/>
      <c r="D649" s="244"/>
      <c r="E649" s="244"/>
      <c r="F649" s="322">
        <f t="shared" si="41"/>
        <v>0</v>
      </c>
      <c r="G649" s="303"/>
      <c r="H649" s="246"/>
    </row>
    <row r="650" spans="1:8" s="9" customFormat="1" ht="35.1" customHeight="1" x14ac:dyDescent="0.25">
      <c r="A650" s="255" t="s">
        <v>945</v>
      </c>
      <c r="B650" s="254" t="s">
        <v>946</v>
      </c>
      <c r="C650" s="240" t="s">
        <v>94</v>
      </c>
      <c r="D650" s="322">
        <f>_xlfn.XLOOKUP(A650,'PARA ENVÍO UNIFICADO (VANE)'!$A$4:$A$729,'PARA ENVÍO UNIFICADO (VANE)'!$D$4:$D$729,0,0)</f>
        <v>32</v>
      </c>
      <c r="E650" s="322">
        <f>_xlfn.XLOOKUP(A650,'PARA ENVÍO UNIFICADO (VANE)'!$A$4:$A$729,'PARA ENVÍO UNIFICADO (VANE)'!$E$4:$E$729,0,0)</f>
        <v>12</v>
      </c>
      <c r="F650" s="322">
        <f t="shared" si="41"/>
        <v>44</v>
      </c>
      <c r="G650" s="243">
        <v>20102</v>
      </c>
      <c r="H650" s="243">
        <f>ROUND(+G650*F650,2)</f>
        <v>884488</v>
      </c>
    </row>
    <row r="651" spans="1:8" s="9" customFormat="1" ht="35.1" customHeight="1" x14ac:dyDescent="0.25">
      <c r="A651" s="255" t="s">
        <v>947</v>
      </c>
      <c r="B651" s="254" t="s">
        <v>948</v>
      </c>
      <c r="C651" s="240" t="s">
        <v>16</v>
      </c>
      <c r="D651" s="322">
        <f>_xlfn.XLOOKUP(A651,'PARA ENVÍO UNIFICADO (VANE)'!$A$4:$A$729,'PARA ENVÍO UNIFICADO (VANE)'!$D$4:$D$729,0,0)</f>
        <v>2</v>
      </c>
      <c r="E651" s="322">
        <f>_xlfn.XLOOKUP(A651,'PARA ENVÍO UNIFICADO (VANE)'!$A$4:$A$729,'PARA ENVÍO UNIFICADO (VANE)'!$E$4:$E$729,0,0)</f>
        <v>2</v>
      </c>
      <c r="F651" s="322">
        <f t="shared" si="41"/>
        <v>4</v>
      </c>
      <c r="G651" s="243">
        <v>724697</v>
      </c>
      <c r="H651" s="243">
        <f>ROUND(+G651*F651,2)</f>
        <v>2898788</v>
      </c>
    </row>
    <row r="652" spans="1:8" s="9" customFormat="1" ht="35.1" customHeight="1" x14ac:dyDescent="0.25">
      <c r="A652" s="255" t="s">
        <v>949</v>
      </c>
      <c r="B652" s="254" t="s">
        <v>950</v>
      </c>
      <c r="C652" s="240" t="s">
        <v>16</v>
      </c>
      <c r="D652" s="322">
        <f>_xlfn.XLOOKUP(A652,'PARA ENVÍO UNIFICADO (VANE)'!$A$4:$A$729,'PARA ENVÍO UNIFICADO (VANE)'!$D$4:$D$729,0,0)</f>
        <v>2</v>
      </c>
      <c r="E652" s="322">
        <f>_xlfn.XLOOKUP(A652,'PARA ENVÍO UNIFICADO (VANE)'!$A$4:$A$729,'PARA ENVÍO UNIFICADO (VANE)'!$E$4:$E$729,0,0)</f>
        <v>2</v>
      </c>
      <c r="F652" s="322">
        <f t="shared" si="41"/>
        <v>4</v>
      </c>
      <c r="G652" s="243">
        <v>257112</v>
      </c>
      <c r="H652" s="243">
        <f>ROUND(+G652*F652,2)</f>
        <v>1028448</v>
      </c>
    </row>
    <row r="653" spans="1:8" s="9" customFormat="1" ht="35.1" customHeight="1" x14ac:dyDescent="0.25">
      <c r="A653" s="244" t="s">
        <v>951</v>
      </c>
      <c r="B653" s="245" t="s">
        <v>952</v>
      </c>
      <c r="C653" s="260"/>
      <c r="D653" s="244"/>
      <c r="E653" s="244"/>
      <c r="F653" s="322">
        <f t="shared" si="41"/>
        <v>0</v>
      </c>
      <c r="G653" s="303"/>
      <c r="H653" s="246"/>
    </row>
    <row r="654" spans="1:8" s="9" customFormat="1" ht="35.1" customHeight="1" x14ac:dyDescent="0.25">
      <c r="A654" s="255" t="s">
        <v>953</v>
      </c>
      <c r="B654" s="254" t="s">
        <v>954</v>
      </c>
      <c r="C654" s="240" t="s">
        <v>16</v>
      </c>
      <c r="D654" s="322">
        <f>_xlfn.XLOOKUP(A654,'PARA ENVÍO UNIFICADO (VANE)'!$A$4:$A$729,'PARA ENVÍO UNIFICADO (VANE)'!$D$4:$D$729,0,0)</f>
        <v>3</v>
      </c>
      <c r="E654" s="322">
        <f>_xlfn.XLOOKUP(A654,'PARA ENVÍO UNIFICADO (VANE)'!$A$4:$A$729,'PARA ENVÍO UNIFICADO (VANE)'!$E$4:$E$729,0,0)</f>
        <v>1</v>
      </c>
      <c r="F654" s="322">
        <f t="shared" si="41"/>
        <v>4</v>
      </c>
      <c r="G654" s="243">
        <v>4619597</v>
      </c>
      <c r="H654" s="243">
        <f t="shared" ref="H654:H665" si="42">ROUND(+G654*F654,2)</f>
        <v>18478388</v>
      </c>
    </row>
    <row r="655" spans="1:8" s="9" customFormat="1" ht="35.1" customHeight="1" x14ac:dyDescent="0.25">
      <c r="A655" s="255" t="s">
        <v>955</v>
      </c>
      <c r="B655" s="254" t="s">
        <v>956</v>
      </c>
      <c r="C655" s="240" t="s">
        <v>16</v>
      </c>
      <c r="D655" s="322">
        <f>_xlfn.XLOOKUP(A655,'PARA ENVÍO UNIFICADO (VANE)'!$A$4:$A$729,'PARA ENVÍO UNIFICADO (VANE)'!$D$4:$D$729,0,0)</f>
        <v>6</v>
      </c>
      <c r="E655" s="322">
        <f>_xlfn.XLOOKUP(A655,'PARA ENVÍO UNIFICADO (VANE)'!$A$4:$A$729,'PARA ENVÍO UNIFICADO (VANE)'!$E$4:$E$729,0,0)</f>
        <v>2</v>
      </c>
      <c r="F655" s="322">
        <f t="shared" si="41"/>
        <v>8</v>
      </c>
      <c r="G655" s="243">
        <v>593668</v>
      </c>
      <c r="H655" s="243">
        <f t="shared" si="42"/>
        <v>4749344</v>
      </c>
    </row>
    <row r="656" spans="1:8" s="9" customFormat="1" ht="35.1" customHeight="1" x14ac:dyDescent="0.25">
      <c r="A656" s="255" t="s">
        <v>957</v>
      </c>
      <c r="B656" s="254" t="s">
        <v>958</v>
      </c>
      <c r="C656" s="240" t="s">
        <v>16</v>
      </c>
      <c r="D656" s="322">
        <f>_xlfn.XLOOKUP(A656,'PARA ENVÍO UNIFICADO (VANE)'!$A$4:$A$729,'PARA ENVÍO UNIFICADO (VANE)'!$D$4:$D$729,0,0)</f>
        <v>3</v>
      </c>
      <c r="E656" s="322">
        <f>_xlfn.XLOOKUP(A656,'PARA ENVÍO UNIFICADO (VANE)'!$A$4:$A$729,'PARA ENVÍO UNIFICADO (VANE)'!$E$4:$E$729,0,0)</f>
        <v>1</v>
      </c>
      <c r="F656" s="322">
        <f t="shared" si="41"/>
        <v>4</v>
      </c>
      <c r="G656" s="243">
        <v>514115</v>
      </c>
      <c r="H656" s="243">
        <f t="shared" si="42"/>
        <v>2056460</v>
      </c>
    </row>
    <row r="657" spans="1:8" s="9" customFormat="1" ht="35.1" customHeight="1" x14ac:dyDescent="0.25">
      <c r="A657" s="255" t="s">
        <v>959</v>
      </c>
      <c r="B657" s="254" t="s">
        <v>960</v>
      </c>
      <c r="C657" s="240" t="s">
        <v>94</v>
      </c>
      <c r="D657" s="322">
        <f>_xlfn.XLOOKUP(A657,'PARA ENVÍO UNIFICADO (VANE)'!$A$4:$A$729,'PARA ENVÍO UNIFICADO (VANE)'!$D$4:$D$729,0,0)</f>
        <v>29</v>
      </c>
      <c r="E657" s="322">
        <f>_xlfn.XLOOKUP(A657,'PARA ENVÍO UNIFICADO (VANE)'!$A$4:$A$729,'PARA ENVÍO UNIFICADO (VANE)'!$E$4:$E$729,0,0)</f>
        <v>11</v>
      </c>
      <c r="F657" s="322">
        <f t="shared" si="41"/>
        <v>40</v>
      </c>
      <c r="G657" s="243">
        <v>4749</v>
      </c>
      <c r="H657" s="243">
        <f t="shared" si="42"/>
        <v>189960</v>
      </c>
    </row>
    <row r="658" spans="1:8" s="9" customFormat="1" ht="35.1" customHeight="1" x14ac:dyDescent="0.25">
      <c r="A658" s="255" t="s">
        <v>961</v>
      </c>
      <c r="B658" s="254" t="s">
        <v>962</v>
      </c>
      <c r="C658" s="255" t="s">
        <v>94</v>
      </c>
      <c r="D658" s="322">
        <f>_xlfn.XLOOKUP(A658,'PARA ENVÍO UNIFICADO (VANE)'!$A$4:$A$729,'PARA ENVÍO UNIFICADO (VANE)'!$D$4:$D$729,0,0)</f>
        <v>316</v>
      </c>
      <c r="E658" s="322">
        <f>_xlfn.XLOOKUP(A658,'PARA ENVÍO UNIFICADO (VANE)'!$A$4:$A$729,'PARA ENVÍO UNIFICADO (VANE)'!$E$4:$E$729,0,0)</f>
        <v>230</v>
      </c>
      <c r="F658" s="322">
        <f t="shared" si="41"/>
        <v>546</v>
      </c>
      <c r="G658" s="243">
        <v>158168</v>
      </c>
      <c r="H658" s="243">
        <f t="shared" si="42"/>
        <v>86359728</v>
      </c>
    </row>
    <row r="659" spans="1:8" s="9" customFormat="1" ht="35.1" customHeight="1" x14ac:dyDescent="0.25">
      <c r="A659" s="255" t="s">
        <v>963</v>
      </c>
      <c r="B659" s="254" t="s">
        <v>964</v>
      </c>
      <c r="C659" s="240" t="s">
        <v>94</v>
      </c>
      <c r="D659" s="322">
        <f>_xlfn.XLOOKUP(A659,'PARA ENVÍO UNIFICADO (VANE)'!$A$4:$A$729,'PARA ENVÍO UNIFICADO (VANE)'!$D$4:$D$729,0,0)</f>
        <v>245</v>
      </c>
      <c r="E659" s="322">
        <f>_xlfn.XLOOKUP(A659,'PARA ENVÍO UNIFICADO (VANE)'!$A$4:$A$729,'PARA ENVÍO UNIFICADO (VANE)'!$E$4:$E$729,0,0)</f>
        <v>91</v>
      </c>
      <c r="F659" s="322">
        <f t="shared" si="41"/>
        <v>336</v>
      </c>
      <c r="G659" s="243">
        <v>37475</v>
      </c>
      <c r="H659" s="243">
        <f t="shared" si="42"/>
        <v>12591600</v>
      </c>
    </row>
    <row r="660" spans="1:8" s="9" customFormat="1" ht="35.1" customHeight="1" x14ac:dyDescent="0.25">
      <c r="A660" s="255" t="s">
        <v>965</v>
      </c>
      <c r="B660" s="254" t="s">
        <v>966</v>
      </c>
      <c r="C660" s="240" t="s">
        <v>94</v>
      </c>
      <c r="D660" s="322">
        <f>_xlfn.XLOOKUP(A660,'PARA ENVÍO UNIFICADO (VANE)'!$A$4:$A$729,'PARA ENVÍO UNIFICADO (VANE)'!$D$4:$D$729,0,0)</f>
        <v>64</v>
      </c>
      <c r="E660" s="322">
        <f>_xlfn.XLOOKUP(A660,'PARA ENVÍO UNIFICADO (VANE)'!$A$4:$A$729,'PARA ENVÍO UNIFICADO (VANE)'!$E$4:$E$729,0,0)</f>
        <v>23</v>
      </c>
      <c r="F660" s="322">
        <f t="shared" si="41"/>
        <v>87</v>
      </c>
      <c r="G660" s="243">
        <v>20696</v>
      </c>
      <c r="H660" s="243">
        <f t="shared" si="42"/>
        <v>1800552</v>
      </c>
    </row>
    <row r="661" spans="1:8" s="9" customFormat="1" ht="35.1" customHeight="1" x14ac:dyDescent="0.25">
      <c r="A661" s="255" t="s">
        <v>967</v>
      </c>
      <c r="B661" s="254" t="s">
        <v>968</v>
      </c>
      <c r="C661" s="240" t="s">
        <v>94</v>
      </c>
      <c r="D661" s="322">
        <f>_xlfn.XLOOKUP(A661,'PARA ENVÍO UNIFICADO (VANE)'!$A$4:$A$729,'PARA ENVÍO UNIFICADO (VANE)'!$D$4:$D$729,0,0)</f>
        <v>166</v>
      </c>
      <c r="E661" s="322">
        <f>_xlfn.XLOOKUP(A661,'PARA ENVÍO UNIFICADO (VANE)'!$A$4:$A$729,'PARA ENVÍO UNIFICADO (VANE)'!$E$4:$E$729,0,0)</f>
        <v>61</v>
      </c>
      <c r="F661" s="322">
        <f t="shared" si="41"/>
        <v>227</v>
      </c>
      <c r="G661" s="243">
        <v>16448</v>
      </c>
      <c r="H661" s="243">
        <f t="shared" si="42"/>
        <v>3733696</v>
      </c>
    </row>
    <row r="662" spans="1:8" s="9" customFormat="1" ht="35.1" customHeight="1" x14ac:dyDescent="0.25">
      <c r="A662" s="255" t="s">
        <v>969</v>
      </c>
      <c r="B662" s="254" t="s">
        <v>970</v>
      </c>
      <c r="C662" s="240" t="s">
        <v>94</v>
      </c>
      <c r="D662" s="322">
        <f>_xlfn.XLOOKUP(A662,'PARA ENVÍO UNIFICADO (VANE)'!$A$4:$A$729,'PARA ENVÍO UNIFICADO (VANE)'!$D$4:$D$729,0,0)</f>
        <v>22</v>
      </c>
      <c r="E662" s="322">
        <f>_xlfn.XLOOKUP(A662,'PARA ENVÍO UNIFICADO (VANE)'!$A$4:$A$729,'PARA ENVÍO UNIFICADO (VANE)'!$E$4:$E$729,0,0)</f>
        <v>8</v>
      </c>
      <c r="F662" s="322">
        <f t="shared" si="41"/>
        <v>30</v>
      </c>
      <c r="G662" s="243">
        <v>6061</v>
      </c>
      <c r="H662" s="243">
        <f t="shared" si="42"/>
        <v>181830</v>
      </c>
    </row>
    <row r="663" spans="1:8" s="9" customFormat="1" ht="35.1" customHeight="1" x14ac:dyDescent="0.25">
      <c r="A663" s="255" t="s">
        <v>971</v>
      </c>
      <c r="B663" s="254" t="s">
        <v>972</v>
      </c>
      <c r="C663" s="240" t="s">
        <v>94</v>
      </c>
      <c r="D663" s="322">
        <f>_xlfn.XLOOKUP(A663,'PARA ENVÍO UNIFICADO (VANE)'!$A$4:$A$729,'PARA ENVÍO UNIFICADO (VANE)'!$D$4:$D$729,0,0)</f>
        <v>84</v>
      </c>
      <c r="E663" s="322">
        <f>_xlfn.XLOOKUP(A663,'PARA ENVÍO UNIFICADO (VANE)'!$A$4:$A$729,'PARA ENVÍO UNIFICADO (VANE)'!$E$4:$E$729,0,0)</f>
        <v>31</v>
      </c>
      <c r="F663" s="322">
        <f t="shared" si="41"/>
        <v>115</v>
      </c>
      <c r="G663" s="243">
        <v>4876</v>
      </c>
      <c r="H663" s="243">
        <f t="shared" si="42"/>
        <v>560740</v>
      </c>
    </row>
    <row r="664" spans="1:8" s="9" customFormat="1" ht="35.1" customHeight="1" x14ac:dyDescent="0.25">
      <c r="A664" s="255" t="s">
        <v>973</v>
      </c>
      <c r="B664" s="254" t="s">
        <v>974</v>
      </c>
      <c r="C664" s="240" t="s">
        <v>16</v>
      </c>
      <c r="D664" s="322">
        <f>_xlfn.XLOOKUP(A664,'PARA ENVÍO UNIFICADO (VANE)'!$A$4:$A$729,'PARA ENVÍO UNIFICADO (VANE)'!$D$4:$D$729,0,0)</f>
        <v>2</v>
      </c>
      <c r="E664" s="322">
        <f>_xlfn.XLOOKUP(A664,'PARA ENVÍO UNIFICADO (VANE)'!$A$4:$A$729,'PARA ENVÍO UNIFICADO (VANE)'!$E$4:$E$729,0,0)</f>
        <v>4</v>
      </c>
      <c r="F664" s="322">
        <f t="shared" si="41"/>
        <v>6</v>
      </c>
      <c r="G664" s="243">
        <v>790806</v>
      </c>
      <c r="H664" s="243">
        <f t="shared" si="42"/>
        <v>4744836</v>
      </c>
    </row>
    <row r="665" spans="1:8" s="9" customFormat="1" ht="35.1" customHeight="1" x14ac:dyDescent="0.25">
      <c r="A665" s="255" t="s">
        <v>975</v>
      </c>
      <c r="B665" s="254" t="s">
        <v>976</v>
      </c>
      <c r="C665" s="240" t="s">
        <v>16</v>
      </c>
      <c r="D665" s="322">
        <f>_xlfn.XLOOKUP(A665,'PARA ENVÍO UNIFICADO (VANE)'!$A$4:$A$729,'PARA ENVÍO UNIFICADO (VANE)'!$D$4:$D$729,0,0)</f>
        <v>4</v>
      </c>
      <c r="E665" s="322">
        <f>_xlfn.XLOOKUP(A665,'PARA ENVÍO UNIFICADO (VANE)'!$A$4:$A$729,'PARA ENVÍO UNIFICADO (VANE)'!$E$4:$E$729,0,0)</f>
        <v>4</v>
      </c>
      <c r="F665" s="322">
        <f t="shared" si="41"/>
        <v>8</v>
      </c>
      <c r="G665" s="243">
        <v>13258</v>
      </c>
      <c r="H665" s="243">
        <f t="shared" si="42"/>
        <v>106064</v>
      </c>
    </row>
    <row r="666" spans="1:8" s="9" customFormat="1" ht="35.1" customHeight="1" x14ac:dyDescent="0.25">
      <c r="A666" s="244" t="s">
        <v>977</v>
      </c>
      <c r="B666" s="256" t="s">
        <v>978</v>
      </c>
      <c r="C666" s="256"/>
      <c r="D666" s="244"/>
      <c r="E666" s="244"/>
      <c r="F666" s="322">
        <f t="shared" si="41"/>
        <v>0</v>
      </c>
      <c r="G666" s="303"/>
      <c r="H666" s="246"/>
    </row>
    <row r="667" spans="1:8" s="9" customFormat="1" ht="35.1" customHeight="1" x14ac:dyDescent="0.25">
      <c r="A667" s="255" t="s">
        <v>979</v>
      </c>
      <c r="B667" s="254" t="s">
        <v>980</v>
      </c>
      <c r="C667" s="240" t="s">
        <v>16</v>
      </c>
      <c r="D667" s="322">
        <f>_xlfn.XLOOKUP(A667,'PARA ENVÍO UNIFICADO (VANE)'!$A$4:$A$729,'PARA ENVÍO UNIFICADO (VANE)'!$D$4:$D$729,0,0)</f>
        <v>2</v>
      </c>
      <c r="E667" s="322">
        <f>_xlfn.XLOOKUP(A667,'PARA ENVÍO UNIFICADO (VANE)'!$A$4:$A$729,'PARA ENVÍO UNIFICADO (VANE)'!$E$4:$E$729,0,0)</f>
        <v>2</v>
      </c>
      <c r="F667" s="322">
        <f t="shared" si="41"/>
        <v>4</v>
      </c>
      <c r="G667" s="243">
        <v>65873</v>
      </c>
      <c r="H667" s="243">
        <f>ROUND(+G667*F667,2)</f>
        <v>263492</v>
      </c>
    </row>
    <row r="668" spans="1:8" s="9" customFormat="1" ht="35.1" customHeight="1" x14ac:dyDescent="0.25">
      <c r="A668" s="255" t="s">
        <v>981</v>
      </c>
      <c r="B668" s="254" t="s">
        <v>982</v>
      </c>
      <c r="C668" s="240" t="s">
        <v>94</v>
      </c>
      <c r="D668" s="322">
        <f>_xlfn.XLOOKUP(A668,'PARA ENVÍO UNIFICADO (VANE)'!$A$4:$A$729,'PARA ENVÍO UNIFICADO (VANE)'!$D$4:$D$729,0,0)</f>
        <v>2</v>
      </c>
      <c r="E668" s="322">
        <f>_xlfn.XLOOKUP(A668,'PARA ENVÍO UNIFICADO (VANE)'!$A$4:$A$729,'PARA ENVÍO UNIFICADO (VANE)'!$E$4:$E$729,0,0)</f>
        <v>2</v>
      </c>
      <c r="F668" s="322">
        <f t="shared" si="41"/>
        <v>4</v>
      </c>
      <c r="G668" s="243">
        <v>6635</v>
      </c>
      <c r="H668" s="243">
        <f>ROUND(+G668*F668,2)</f>
        <v>26540</v>
      </c>
    </row>
    <row r="669" spans="1:8" s="9" customFormat="1" ht="35.1" customHeight="1" x14ac:dyDescent="0.25">
      <c r="A669" s="255" t="s">
        <v>983</v>
      </c>
      <c r="B669" s="254" t="s">
        <v>984</v>
      </c>
      <c r="C669" s="240" t="s">
        <v>94</v>
      </c>
      <c r="D669" s="322">
        <f>_xlfn.XLOOKUP(A669,'PARA ENVÍO UNIFICADO (VANE)'!$A$4:$A$729,'PARA ENVÍO UNIFICADO (VANE)'!$D$4:$D$729,0,0)</f>
        <v>2</v>
      </c>
      <c r="E669" s="322">
        <f>_xlfn.XLOOKUP(A669,'PARA ENVÍO UNIFICADO (VANE)'!$A$4:$A$729,'PARA ENVÍO UNIFICADO (VANE)'!$E$4:$E$729,0,0)</f>
        <v>2</v>
      </c>
      <c r="F669" s="322">
        <f t="shared" si="41"/>
        <v>4</v>
      </c>
      <c r="G669" s="243">
        <v>6635</v>
      </c>
      <c r="H669" s="243">
        <f>ROUND(+G669*F669,2)</f>
        <v>26540</v>
      </c>
    </row>
    <row r="670" spans="1:8" s="9" customFormat="1" ht="35.1" customHeight="1" x14ac:dyDescent="0.25">
      <c r="A670" s="255" t="s">
        <v>985</v>
      </c>
      <c r="B670" s="254" t="s">
        <v>986</v>
      </c>
      <c r="C670" s="240" t="s">
        <v>16</v>
      </c>
      <c r="D670" s="322">
        <f>_xlfn.XLOOKUP(A670,'PARA ENVÍO UNIFICADO (VANE)'!$A$4:$A$729,'PARA ENVÍO UNIFICADO (VANE)'!$D$4:$D$729,0,0)</f>
        <v>2</v>
      </c>
      <c r="E670" s="322">
        <f>_xlfn.XLOOKUP(A670,'PARA ENVÍO UNIFICADO (VANE)'!$A$4:$A$729,'PARA ENVÍO UNIFICADO (VANE)'!$E$4:$E$729,0,0)</f>
        <v>2</v>
      </c>
      <c r="F670" s="322">
        <f t="shared" si="41"/>
        <v>4</v>
      </c>
      <c r="G670" s="243">
        <v>649052</v>
      </c>
      <c r="H670" s="243">
        <f>ROUND(+G670*F670,2)</f>
        <v>2596208</v>
      </c>
    </row>
    <row r="671" spans="1:8" s="9" customFormat="1" ht="35.1" customHeight="1" x14ac:dyDescent="0.25">
      <c r="A671" s="244" t="s">
        <v>987</v>
      </c>
      <c r="B671" s="256" t="s">
        <v>988</v>
      </c>
      <c r="C671" s="256"/>
      <c r="D671" s="244"/>
      <c r="E671" s="244"/>
      <c r="F671" s="322">
        <f t="shared" si="41"/>
        <v>0</v>
      </c>
      <c r="G671" s="303"/>
      <c r="H671" s="246"/>
    </row>
    <row r="672" spans="1:8" s="9" customFormat="1" ht="35.1" customHeight="1" x14ac:dyDescent="0.25">
      <c r="A672" s="240" t="s">
        <v>989</v>
      </c>
      <c r="B672" s="254" t="s">
        <v>990</v>
      </c>
      <c r="C672" s="240" t="s">
        <v>16</v>
      </c>
      <c r="D672" s="322">
        <f>_xlfn.XLOOKUP(A672,'PARA ENVÍO UNIFICADO (VANE)'!$A$4:$A$729,'PARA ENVÍO UNIFICADO (VANE)'!$D$4:$D$729,0,0)</f>
        <v>13</v>
      </c>
      <c r="E672" s="322">
        <f>_xlfn.XLOOKUP(A672,'PARA ENVÍO UNIFICADO (VANE)'!$A$4:$A$729,'PARA ENVÍO UNIFICADO (VANE)'!$E$4:$E$729,0,0)</f>
        <v>1</v>
      </c>
      <c r="F672" s="322">
        <f t="shared" si="41"/>
        <v>14</v>
      </c>
      <c r="G672" s="243">
        <v>7531688</v>
      </c>
      <c r="H672" s="243">
        <f>ROUND(+G672*F672,2)</f>
        <v>105443632</v>
      </c>
    </row>
    <row r="673" spans="1:8" s="9" customFormat="1" ht="35.1" customHeight="1" x14ac:dyDescent="0.25">
      <c r="A673" s="240" t="s">
        <v>991</v>
      </c>
      <c r="B673" s="254" t="s">
        <v>992</v>
      </c>
      <c r="C673" s="240" t="s">
        <v>16</v>
      </c>
      <c r="D673" s="322">
        <f>_xlfn.XLOOKUP(A673,'PARA ENVÍO UNIFICADO (VANE)'!$A$4:$A$729,'PARA ENVÍO UNIFICADO (VANE)'!$D$4:$D$729,0,0)</f>
        <v>0</v>
      </c>
      <c r="E673" s="322">
        <f>_xlfn.XLOOKUP(A673,'PARA ENVÍO UNIFICADO (VANE)'!$A$4:$A$729,'PARA ENVÍO UNIFICADO (VANE)'!$E$4:$E$729,0,0)</f>
        <v>1</v>
      </c>
      <c r="F673" s="322">
        <f t="shared" si="41"/>
        <v>1</v>
      </c>
      <c r="G673" s="243">
        <v>863097</v>
      </c>
      <c r="H673" s="243">
        <f>ROUND(+G673*F673,2)</f>
        <v>863097</v>
      </c>
    </row>
    <row r="674" spans="1:8" s="9" customFormat="1" ht="35.1" customHeight="1" x14ac:dyDescent="0.25">
      <c r="A674" s="266">
        <v>19</v>
      </c>
      <c r="B674" s="267" t="s">
        <v>993</v>
      </c>
      <c r="C674" s="267"/>
      <c r="D674" s="267"/>
      <c r="E674" s="267"/>
      <c r="F674" s="322">
        <f t="shared" si="41"/>
        <v>0</v>
      </c>
      <c r="G674" s="306"/>
      <c r="H674" s="268"/>
    </row>
    <row r="675" spans="1:8" s="9" customFormat="1" ht="35.1" customHeight="1" x14ac:dyDescent="0.25">
      <c r="A675" s="296" t="s">
        <v>1349</v>
      </c>
      <c r="B675" s="297" t="s">
        <v>1350</v>
      </c>
      <c r="C675" s="298"/>
      <c r="D675" s="244"/>
      <c r="E675" s="244"/>
      <c r="F675" s="322">
        <f t="shared" si="41"/>
        <v>0</v>
      </c>
      <c r="G675" s="303"/>
      <c r="H675" s="246"/>
    </row>
    <row r="676" spans="1:8" s="9" customFormat="1" ht="35.1" customHeight="1" x14ac:dyDescent="0.25">
      <c r="A676" s="255" t="s">
        <v>1351</v>
      </c>
      <c r="B676" s="254" t="s">
        <v>1352</v>
      </c>
      <c r="C676" s="240" t="s">
        <v>16</v>
      </c>
      <c r="D676" s="322">
        <f>_xlfn.XLOOKUP(A676,'PARA ENVÍO UNIFICADO (VANE)'!$A$4:$A$729,'PARA ENVÍO UNIFICADO (VANE)'!$D$4:$D$729,0,0)</f>
        <v>10</v>
      </c>
      <c r="E676" s="322">
        <f>_xlfn.XLOOKUP(A676,'PARA ENVÍO UNIFICADO (VANE)'!$A$4:$A$729,'PARA ENVÍO UNIFICADO (VANE)'!$E$4:$E$729,0,0)</f>
        <v>0</v>
      </c>
      <c r="F676" s="322">
        <f t="shared" si="41"/>
        <v>10</v>
      </c>
      <c r="G676" s="243">
        <v>1292800</v>
      </c>
      <c r="H676" s="243">
        <f t="shared" ref="H676:H682" si="43">ROUND(+G676*F676,2)</f>
        <v>12928000</v>
      </c>
    </row>
    <row r="677" spans="1:8" s="9" customFormat="1" ht="35.1" customHeight="1" x14ac:dyDescent="0.25">
      <c r="A677" s="255" t="s">
        <v>1353</v>
      </c>
      <c r="B677" s="254" t="s">
        <v>1354</v>
      </c>
      <c r="C677" s="240" t="s">
        <v>16</v>
      </c>
      <c r="D677" s="322">
        <f>_xlfn.XLOOKUP(A677,'PARA ENVÍO UNIFICADO (VANE)'!$A$4:$A$729,'PARA ENVÍO UNIFICADO (VANE)'!$D$4:$D$729,0,0)</f>
        <v>19</v>
      </c>
      <c r="E677" s="322">
        <f>_xlfn.XLOOKUP(A677,'PARA ENVÍO UNIFICADO (VANE)'!$A$4:$A$729,'PARA ENVÍO UNIFICADO (VANE)'!$E$4:$E$729,0,0)</f>
        <v>0</v>
      </c>
      <c r="F677" s="322">
        <f t="shared" si="41"/>
        <v>19</v>
      </c>
      <c r="G677" s="243">
        <v>1753911</v>
      </c>
      <c r="H677" s="243">
        <f t="shared" si="43"/>
        <v>33324309</v>
      </c>
    </row>
    <row r="678" spans="1:8" s="9" customFormat="1" ht="35.1" customHeight="1" x14ac:dyDescent="0.25">
      <c r="A678" s="255" t="s">
        <v>1355</v>
      </c>
      <c r="B678" s="254" t="s">
        <v>1356</v>
      </c>
      <c r="C678" s="240" t="s">
        <v>16</v>
      </c>
      <c r="D678" s="322">
        <f>_xlfn.XLOOKUP(A678,'PARA ENVÍO UNIFICADO (VANE)'!$A$4:$A$729,'PARA ENVÍO UNIFICADO (VANE)'!$D$4:$D$729,0,0)</f>
        <v>2</v>
      </c>
      <c r="E678" s="322">
        <f>_xlfn.XLOOKUP(A678,'PARA ENVÍO UNIFICADO (VANE)'!$A$4:$A$729,'PARA ENVÍO UNIFICADO (VANE)'!$E$4:$E$729,0,0)</f>
        <v>0</v>
      </c>
      <c r="F678" s="322">
        <f t="shared" si="41"/>
        <v>2</v>
      </c>
      <c r="G678" s="243">
        <v>3775110</v>
      </c>
      <c r="H678" s="243">
        <f t="shared" si="43"/>
        <v>7550220</v>
      </c>
    </row>
    <row r="679" spans="1:8" s="9" customFormat="1" ht="35.1" customHeight="1" x14ac:dyDescent="0.25">
      <c r="A679" s="255" t="s">
        <v>1357</v>
      </c>
      <c r="B679" s="254" t="s">
        <v>1358</v>
      </c>
      <c r="C679" s="240" t="s">
        <v>16</v>
      </c>
      <c r="D679" s="322">
        <f>_xlfn.XLOOKUP(A679,'PARA ENVÍO UNIFICADO (VANE)'!$A$4:$A$729,'PARA ENVÍO UNIFICADO (VANE)'!$D$4:$D$729,0,0)</f>
        <v>29</v>
      </c>
      <c r="E679" s="322">
        <f>_xlfn.XLOOKUP(A679,'PARA ENVÍO UNIFICADO (VANE)'!$A$4:$A$729,'PARA ENVÍO UNIFICADO (VANE)'!$E$4:$E$729,0,0)</f>
        <v>0</v>
      </c>
      <c r="F679" s="322">
        <f t="shared" si="41"/>
        <v>29</v>
      </c>
      <c r="G679" s="243">
        <v>369744</v>
      </c>
      <c r="H679" s="243">
        <f t="shared" si="43"/>
        <v>10722576</v>
      </c>
    </row>
    <row r="680" spans="1:8" s="9" customFormat="1" ht="35.1" customHeight="1" x14ac:dyDescent="0.25">
      <c r="A680" s="255" t="s">
        <v>1359</v>
      </c>
      <c r="B680" s="254" t="s">
        <v>1360</v>
      </c>
      <c r="C680" s="240" t="s">
        <v>16</v>
      </c>
      <c r="D680" s="322">
        <f>_xlfn.XLOOKUP(A680,'PARA ENVÍO UNIFICADO (VANE)'!$A$4:$A$729,'PARA ENVÍO UNIFICADO (VANE)'!$D$4:$D$729,0,0)</f>
        <v>2</v>
      </c>
      <c r="E680" s="322">
        <f>_xlfn.XLOOKUP(A680,'PARA ENVÍO UNIFICADO (VANE)'!$A$4:$A$729,'PARA ENVÍO UNIFICADO (VANE)'!$E$4:$E$729,0,0)</f>
        <v>0</v>
      </c>
      <c r="F680" s="322">
        <f t="shared" si="41"/>
        <v>2</v>
      </c>
      <c r="G680" s="243">
        <v>8601134</v>
      </c>
      <c r="H680" s="243">
        <f t="shared" si="43"/>
        <v>17202268</v>
      </c>
    </row>
    <row r="681" spans="1:8" s="9" customFormat="1" ht="35.1" customHeight="1" x14ac:dyDescent="0.25">
      <c r="A681" s="255" t="s">
        <v>1361</v>
      </c>
      <c r="B681" s="254" t="s">
        <v>1362</v>
      </c>
      <c r="C681" s="240" t="s">
        <v>16</v>
      </c>
      <c r="D681" s="322">
        <f>_xlfn.XLOOKUP(A681,'PARA ENVÍO UNIFICADO (VANE)'!$A$4:$A$729,'PARA ENVÍO UNIFICADO (VANE)'!$D$4:$D$729,0,0)</f>
        <v>2</v>
      </c>
      <c r="E681" s="322">
        <f>_xlfn.XLOOKUP(A681,'PARA ENVÍO UNIFICADO (VANE)'!$A$4:$A$729,'PARA ENVÍO UNIFICADO (VANE)'!$E$4:$E$729,0,0)</f>
        <v>0</v>
      </c>
      <c r="F681" s="322">
        <f t="shared" si="41"/>
        <v>2</v>
      </c>
      <c r="G681" s="243">
        <v>9150233</v>
      </c>
      <c r="H681" s="243">
        <f t="shared" si="43"/>
        <v>18300466</v>
      </c>
    </row>
    <row r="682" spans="1:8" s="9" customFormat="1" ht="35.1" customHeight="1" x14ac:dyDescent="0.25">
      <c r="A682" s="255" t="s">
        <v>1363</v>
      </c>
      <c r="B682" s="241" t="s">
        <v>1425</v>
      </c>
      <c r="C682" s="240" t="s">
        <v>1182</v>
      </c>
      <c r="D682" s="322">
        <f>_xlfn.XLOOKUP(A682,'PARA ENVÍO UNIFICADO (VANE)'!$A$4:$A$729,'PARA ENVÍO UNIFICADO (VANE)'!$D$4:$D$729,0,0)</f>
        <v>1</v>
      </c>
      <c r="E682" s="322">
        <f>_xlfn.XLOOKUP(A682,'PARA ENVÍO UNIFICADO (VANE)'!$A$4:$A$729,'PARA ENVÍO UNIFICADO (VANE)'!$E$4:$E$729,0,0)</f>
        <v>0</v>
      </c>
      <c r="F682" s="322">
        <f t="shared" si="41"/>
        <v>1</v>
      </c>
      <c r="G682" s="243">
        <v>2929767</v>
      </c>
      <c r="H682" s="243">
        <f t="shared" si="43"/>
        <v>2929767</v>
      </c>
    </row>
    <row r="683" spans="1:8" s="9" customFormat="1" ht="35.1" customHeight="1" x14ac:dyDescent="0.25">
      <c r="A683" s="244" t="s">
        <v>1365</v>
      </c>
      <c r="B683" s="245" t="s">
        <v>1366</v>
      </c>
      <c r="C683" s="260"/>
      <c r="D683" s="244"/>
      <c r="E683" s="244"/>
      <c r="F683" s="322">
        <f t="shared" si="41"/>
        <v>0</v>
      </c>
      <c r="G683" s="303"/>
      <c r="H683" s="246"/>
    </row>
    <row r="684" spans="1:8" s="9" customFormat="1" ht="35.1" customHeight="1" x14ac:dyDescent="0.25">
      <c r="A684" s="255" t="s">
        <v>1367</v>
      </c>
      <c r="B684" s="254" t="s">
        <v>1368</v>
      </c>
      <c r="C684" s="240" t="s">
        <v>16</v>
      </c>
      <c r="D684" s="322">
        <f>_xlfn.XLOOKUP(A684,'PARA ENVÍO UNIFICADO (VANE)'!$A$4:$A$729,'PARA ENVÍO UNIFICADO (VANE)'!$D$4:$D$729,0,0)</f>
        <v>19</v>
      </c>
      <c r="E684" s="322">
        <f>_xlfn.XLOOKUP(A684,'PARA ENVÍO UNIFICADO (VANE)'!$A$4:$A$729,'PARA ENVÍO UNIFICADO (VANE)'!$E$4:$E$729,0,0)</f>
        <v>0</v>
      </c>
      <c r="F684" s="322">
        <f t="shared" si="41"/>
        <v>19</v>
      </c>
      <c r="G684" s="243">
        <v>237553</v>
      </c>
      <c r="H684" s="243">
        <f t="shared" ref="H684:H693" si="44">ROUND(+G684*F684,2)</f>
        <v>4513507</v>
      </c>
    </row>
    <row r="685" spans="1:8" s="9" customFormat="1" ht="35.1" customHeight="1" x14ac:dyDescent="0.25">
      <c r="A685" s="255" t="s">
        <v>1369</v>
      </c>
      <c r="B685" s="254" t="s">
        <v>1370</v>
      </c>
      <c r="C685" s="240" t="s">
        <v>16</v>
      </c>
      <c r="D685" s="322">
        <f>_xlfn.XLOOKUP(A685,'PARA ENVÍO UNIFICADO (VANE)'!$A$4:$A$729,'PARA ENVÍO UNIFICADO (VANE)'!$D$4:$D$729,0,0)</f>
        <v>16</v>
      </c>
      <c r="E685" s="322">
        <f>_xlfn.XLOOKUP(A685,'PARA ENVÍO UNIFICADO (VANE)'!$A$4:$A$729,'PARA ENVÍO UNIFICADO (VANE)'!$E$4:$E$729,0,0)</f>
        <v>0</v>
      </c>
      <c r="F685" s="322">
        <f t="shared" si="41"/>
        <v>16</v>
      </c>
      <c r="G685" s="243">
        <v>1739096</v>
      </c>
      <c r="H685" s="243">
        <f t="shared" si="44"/>
        <v>27825536</v>
      </c>
    </row>
    <row r="686" spans="1:8" s="9" customFormat="1" ht="35.1" customHeight="1" x14ac:dyDescent="0.25">
      <c r="A686" s="255" t="s">
        <v>1371</v>
      </c>
      <c r="B686" s="254" t="s">
        <v>1372</v>
      </c>
      <c r="C686" s="240" t="s">
        <v>16</v>
      </c>
      <c r="D686" s="322">
        <f>_xlfn.XLOOKUP(A686,'PARA ENVÍO UNIFICADO (VANE)'!$A$4:$A$729,'PARA ENVÍO UNIFICADO (VANE)'!$D$4:$D$729,0,0)</f>
        <v>18</v>
      </c>
      <c r="E686" s="322">
        <f>_xlfn.XLOOKUP(A686,'PARA ENVÍO UNIFICADO (VANE)'!$A$4:$A$729,'PARA ENVÍO UNIFICADO (VANE)'!$E$4:$E$729,0,0)</f>
        <v>0</v>
      </c>
      <c r="F686" s="322">
        <f t="shared" si="41"/>
        <v>18</v>
      </c>
      <c r="G686" s="243">
        <v>367714</v>
      </c>
      <c r="H686" s="243">
        <f t="shared" si="44"/>
        <v>6618852</v>
      </c>
    </row>
    <row r="687" spans="1:8" s="9" customFormat="1" ht="35.1" customHeight="1" x14ac:dyDescent="0.25">
      <c r="A687" s="255" t="s">
        <v>1373</v>
      </c>
      <c r="B687" s="254" t="s">
        <v>1374</v>
      </c>
      <c r="C687" s="240" t="s">
        <v>16</v>
      </c>
      <c r="D687" s="322">
        <f>_xlfn.XLOOKUP(A687,'PARA ENVÍO UNIFICADO (VANE)'!$A$4:$A$729,'PARA ENVÍO UNIFICADO (VANE)'!$D$4:$D$729,0,0)</f>
        <v>20</v>
      </c>
      <c r="E687" s="322">
        <f>_xlfn.XLOOKUP(A687,'PARA ENVÍO UNIFICADO (VANE)'!$A$4:$A$729,'PARA ENVÍO UNIFICADO (VANE)'!$E$4:$E$729,0,0)</f>
        <v>0</v>
      </c>
      <c r="F687" s="322">
        <f t="shared" si="41"/>
        <v>20</v>
      </c>
      <c r="G687" s="243">
        <v>460673</v>
      </c>
      <c r="H687" s="243">
        <f t="shared" si="44"/>
        <v>9213460</v>
      </c>
    </row>
    <row r="688" spans="1:8" s="9" customFormat="1" ht="35.1" customHeight="1" x14ac:dyDescent="0.25">
      <c r="A688" s="255" t="s">
        <v>1375</v>
      </c>
      <c r="B688" s="254" t="s">
        <v>1376</v>
      </c>
      <c r="C688" s="240" t="s">
        <v>16</v>
      </c>
      <c r="D688" s="322">
        <f>_xlfn.XLOOKUP(A688,'PARA ENVÍO UNIFICADO (VANE)'!$A$4:$A$729,'PARA ENVÍO UNIFICADO (VANE)'!$D$4:$D$729,0,0)</f>
        <v>14</v>
      </c>
      <c r="E688" s="322">
        <f>_xlfn.XLOOKUP(A688,'PARA ENVÍO UNIFICADO (VANE)'!$A$4:$A$729,'PARA ENVÍO UNIFICADO (VANE)'!$E$4:$E$729,0,0)</f>
        <v>0</v>
      </c>
      <c r="F688" s="322">
        <f t="shared" si="41"/>
        <v>14</v>
      </c>
      <c r="G688" s="243">
        <v>12558</v>
      </c>
      <c r="H688" s="243">
        <f t="shared" si="44"/>
        <v>175812</v>
      </c>
    </row>
    <row r="689" spans="1:8" s="9" customFormat="1" ht="35.1" customHeight="1" x14ac:dyDescent="0.25">
      <c r="A689" s="255" t="s">
        <v>1377</v>
      </c>
      <c r="B689" s="254" t="s">
        <v>976</v>
      </c>
      <c r="C689" s="240" t="s">
        <v>16</v>
      </c>
      <c r="D689" s="322">
        <f>_xlfn.XLOOKUP(A689,'PARA ENVÍO UNIFICADO (VANE)'!$A$4:$A$729,'PARA ENVÍO UNIFICADO (VANE)'!$D$4:$D$729,0,0)</f>
        <v>18</v>
      </c>
      <c r="E689" s="322">
        <f>_xlfn.XLOOKUP(A689,'PARA ENVÍO UNIFICADO (VANE)'!$A$4:$A$729,'PARA ENVÍO UNIFICADO (VANE)'!$E$4:$E$729,0,0)</f>
        <v>0</v>
      </c>
      <c r="F689" s="322">
        <f t="shared" si="41"/>
        <v>18</v>
      </c>
      <c r="G689" s="243">
        <v>13258</v>
      </c>
      <c r="H689" s="243">
        <f t="shared" si="44"/>
        <v>238644</v>
      </c>
    </row>
    <row r="690" spans="1:8" s="9" customFormat="1" ht="35.1" customHeight="1" x14ac:dyDescent="0.25">
      <c r="A690" s="255" t="s">
        <v>1378</v>
      </c>
      <c r="B690" s="254" t="s">
        <v>1379</v>
      </c>
      <c r="C690" s="240" t="s">
        <v>16</v>
      </c>
      <c r="D690" s="322">
        <f>_xlfn.XLOOKUP(A690,'PARA ENVÍO UNIFICADO (VANE)'!$A$4:$A$729,'PARA ENVÍO UNIFICADO (VANE)'!$D$4:$D$729,0,0)</f>
        <v>2</v>
      </c>
      <c r="E690" s="322">
        <f>_xlfn.XLOOKUP(A690,'PARA ENVÍO UNIFICADO (VANE)'!$A$4:$A$729,'PARA ENVÍO UNIFICADO (VANE)'!$E$4:$E$729,0,0)</f>
        <v>0</v>
      </c>
      <c r="F690" s="322">
        <f t="shared" si="41"/>
        <v>2</v>
      </c>
      <c r="G690" s="243">
        <v>5972984</v>
      </c>
      <c r="H690" s="243">
        <f t="shared" si="44"/>
        <v>11945968</v>
      </c>
    </row>
    <row r="691" spans="1:8" s="9" customFormat="1" ht="35.1" customHeight="1" x14ac:dyDescent="0.25">
      <c r="A691" s="255" t="s">
        <v>1380</v>
      </c>
      <c r="B691" s="254" t="s">
        <v>1381</v>
      </c>
      <c r="C691" s="240" t="s">
        <v>16</v>
      </c>
      <c r="D691" s="322">
        <f>_xlfn.XLOOKUP(A691,'PARA ENVÍO UNIFICADO (VANE)'!$A$4:$A$729,'PARA ENVÍO UNIFICADO (VANE)'!$D$4:$D$729,0,0)</f>
        <v>2</v>
      </c>
      <c r="E691" s="322">
        <f>_xlfn.XLOOKUP(A691,'PARA ENVÍO UNIFICADO (VANE)'!$A$4:$A$729,'PARA ENVÍO UNIFICADO (VANE)'!$E$4:$E$729,0,0)</f>
        <v>0</v>
      </c>
      <c r="F691" s="322">
        <f t="shared" si="41"/>
        <v>2</v>
      </c>
      <c r="G691" s="243">
        <v>5706725</v>
      </c>
      <c r="H691" s="243">
        <f t="shared" si="44"/>
        <v>11413450</v>
      </c>
    </row>
    <row r="692" spans="1:8" s="9" customFormat="1" ht="35.1" customHeight="1" x14ac:dyDescent="0.25">
      <c r="A692" s="255" t="s">
        <v>1382</v>
      </c>
      <c r="B692" s="254" t="s">
        <v>1383</v>
      </c>
      <c r="C692" s="240" t="s">
        <v>16</v>
      </c>
      <c r="D692" s="322">
        <f>_xlfn.XLOOKUP(A692,'PARA ENVÍO UNIFICADO (VANE)'!$A$4:$A$729,'PARA ENVÍO UNIFICADO (VANE)'!$D$4:$D$729,0,0)</f>
        <v>2</v>
      </c>
      <c r="E692" s="322">
        <f>_xlfn.XLOOKUP(A692,'PARA ENVÍO UNIFICADO (VANE)'!$A$4:$A$729,'PARA ENVÍO UNIFICADO (VANE)'!$E$4:$E$729,0,0)</f>
        <v>0</v>
      </c>
      <c r="F692" s="322">
        <f t="shared" si="41"/>
        <v>2</v>
      </c>
      <c r="G692" s="243">
        <v>3775110</v>
      </c>
      <c r="H692" s="243">
        <f t="shared" si="44"/>
        <v>7550220</v>
      </c>
    </row>
    <row r="693" spans="1:8" s="9" customFormat="1" ht="41.25" customHeight="1" x14ac:dyDescent="0.25">
      <c r="A693" s="255" t="s">
        <v>1384</v>
      </c>
      <c r="B693" s="241" t="s">
        <v>1426</v>
      </c>
      <c r="C693" s="240" t="s">
        <v>1182</v>
      </c>
      <c r="D693" s="322">
        <f>_xlfn.XLOOKUP(A693,'PARA ENVÍO UNIFICADO (VANE)'!$A$4:$A$729,'PARA ENVÍO UNIFICADO (VANE)'!$D$4:$D$729,0,0)</f>
        <v>1</v>
      </c>
      <c r="E693" s="322">
        <f>_xlfn.XLOOKUP(A693,'PARA ENVÍO UNIFICADO (VANE)'!$A$4:$A$729,'PARA ENVÍO UNIFICADO (VANE)'!$E$4:$E$729,0,0)</f>
        <v>0</v>
      </c>
      <c r="F693" s="322">
        <f t="shared" si="41"/>
        <v>1</v>
      </c>
      <c r="G693" s="243">
        <v>2929767</v>
      </c>
      <c r="H693" s="243">
        <f t="shared" si="44"/>
        <v>2929767</v>
      </c>
    </row>
    <row r="694" spans="1:8" s="9" customFormat="1" ht="35.1" customHeight="1" x14ac:dyDescent="0.25">
      <c r="A694" s="244" t="s">
        <v>994</v>
      </c>
      <c r="B694" s="245" t="s">
        <v>995</v>
      </c>
      <c r="C694" s="260"/>
      <c r="D694" s="244"/>
      <c r="E694" s="244"/>
      <c r="F694" s="322">
        <f t="shared" si="41"/>
        <v>0</v>
      </c>
      <c r="G694" s="303"/>
      <c r="H694" s="246"/>
    </row>
    <row r="695" spans="1:8" s="9" customFormat="1" ht="35.1" customHeight="1" x14ac:dyDescent="0.25">
      <c r="A695" s="255" t="s">
        <v>996</v>
      </c>
      <c r="B695" s="254" t="s">
        <v>997</v>
      </c>
      <c r="C695" s="240" t="s">
        <v>16</v>
      </c>
      <c r="D695" s="322">
        <f>_xlfn.XLOOKUP(A695,'PARA ENVÍO UNIFICADO (VANE)'!$A$4:$A$729,'PARA ENVÍO UNIFICADO (VANE)'!$D$4:$D$729,0,0)</f>
        <v>8</v>
      </c>
      <c r="E695" s="322">
        <f>_xlfn.XLOOKUP(A695,'PARA ENVÍO UNIFICADO (VANE)'!$A$4:$A$729,'PARA ENVÍO UNIFICADO (VANE)'!$E$4:$E$729,0,0)</f>
        <v>3</v>
      </c>
      <c r="F695" s="322">
        <f t="shared" si="41"/>
        <v>11</v>
      </c>
      <c r="G695" s="243">
        <v>516030</v>
      </c>
      <c r="H695" s="243">
        <f t="shared" ref="H695:H704" si="45">ROUND(+G695*F695,2)</f>
        <v>5676330</v>
      </c>
    </row>
    <row r="696" spans="1:8" s="9" customFormat="1" ht="35.1" customHeight="1" x14ac:dyDescent="0.25">
      <c r="A696" s="255" t="s">
        <v>998</v>
      </c>
      <c r="B696" s="87" t="s">
        <v>999</v>
      </c>
      <c r="C696" s="240" t="s">
        <v>16</v>
      </c>
      <c r="D696" s="322">
        <f>_xlfn.XLOOKUP(A696,'PARA ENVÍO UNIFICADO (VANE)'!$A$4:$A$729,'PARA ENVÍO UNIFICADO (VANE)'!$D$4:$D$729,0,0)</f>
        <v>8</v>
      </c>
      <c r="E696" s="322">
        <f>_xlfn.XLOOKUP(A696,'PARA ENVÍO UNIFICADO (VANE)'!$A$4:$A$729,'PARA ENVÍO UNIFICADO (VANE)'!$E$4:$E$729,0,0)</f>
        <v>3</v>
      </c>
      <c r="F696" s="322">
        <f t="shared" si="41"/>
        <v>11</v>
      </c>
      <c r="G696" s="243">
        <v>369280</v>
      </c>
      <c r="H696" s="243">
        <f t="shared" si="45"/>
        <v>4062080</v>
      </c>
    </row>
    <row r="697" spans="1:8" s="9" customFormat="1" ht="35.1" customHeight="1" x14ac:dyDescent="0.25">
      <c r="A697" s="255" t="s">
        <v>1000</v>
      </c>
      <c r="B697" s="254" t="s">
        <v>1001</v>
      </c>
      <c r="C697" s="240" t="s">
        <v>16</v>
      </c>
      <c r="D697" s="322">
        <f>_xlfn.XLOOKUP(A697,'PARA ENVÍO UNIFICADO (VANE)'!$A$4:$A$729,'PARA ENVÍO UNIFICADO (VANE)'!$D$4:$D$729,0,0)</f>
        <v>96</v>
      </c>
      <c r="E697" s="322">
        <f>_xlfn.XLOOKUP(A697,'PARA ENVÍO UNIFICADO (VANE)'!$A$4:$A$729,'PARA ENVÍO UNIFICADO (VANE)'!$E$4:$E$729,0,0)</f>
        <v>46</v>
      </c>
      <c r="F697" s="322">
        <f t="shared" si="41"/>
        <v>142</v>
      </c>
      <c r="G697" s="243">
        <v>415391</v>
      </c>
      <c r="H697" s="243">
        <f t="shared" si="45"/>
        <v>58985522</v>
      </c>
    </row>
    <row r="698" spans="1:8" s="9" customFormat="1" ht="35.1" customHeight="1" x14ac:dyDescent="0.25">
      <c r="A698" s="255" t="s">
        <v>1002</v>
      </c>
      <c r="B698" s="87" t="s">
        <v>1003</v>
      </c>
      <c r="C698" s="240" t="s">
        <v>16</v>
      </c>
      <c r="D698" s="322">
        <f>_xlfn.XLOOKUP(A698,'PARA ENVÍO UNIFICADO (VANE)'!$A$4:$A$729,'PARA ENVÍO UNIFICADO (VANE)'!$D$4:$D$729,0,0)</f>
        <v>6</v>
      </c>
      <c r="E698" s="322">
        <f>_xlfn.XLOOKUP(A698,'PARA ENVÍO UNIFICADO (VANE)'!$A$4:$A$729,'PARA ENVÍO UNIFICADO (VANE)'!$E$4:$E$729,0,0)</f>
        <v>2</v>
      </c>
      <c r="F698" s="322">
        <f t="shared" si="41"/>
        <v>8</v>
      </c>
      <c r="G698" s="243">
        <v>389042</v>
      </c>
      <c r="H698" s="243">
        <f t="shared" si="45"/>
        <v>3112336</v>
      </c>
    </row>
    <row r="699" spans="1:8" s="9" customFormat="1" ht="35.1" customHeight="1" x14ac:dyDescent="0.25">
      <c r="A699" s="255" t="s">
        <v>1004</v>
      </c>
      <c r="B699" s="254" t="s">
        <v>1005</v>
      </c>
      <c r="C699" s="240" t="s">
        <v>16</v>
      </c>
      <c r="D699" s="322">
        <f>_xlfn.XLOOKUP(A699,'PARA ENVÍO UNIFICADO (VANE)'!$A$4:$A$729,'PARA ENVÍO UNIFICADO (VANE)'!$D$4:$D$729,0,0)</f>
        <v>5</v>
      </c>
      <c r="E699" s="322">
        <f>_xlfn.XLOOKUP(A699,'PARA ENVÍO UNIFICADO (VANE)'!$A$4:$A$729,'PARA ENVÍO UNIFICADO (VANE)'!$E$4:$E$729,0,0)</f>
        <v>2</v>
      </c>
      <c r="F699" s="322">
        <f t="shared" si="41"/>
        <v>7</v>
      </c>
      <c r="G699" s="243">
        <v>410689</v>
      </c>
      <c r="H699" s="243">
        <f t="shared" si="45"/>
        <v>2874823</v>
      </c>
    </row>
    <row r="700" spans="1:8" s="9" customFormat="1" ht="35.1" customHeight="1" x14ac:dyDescent="0.25">
      <c r="A700" s="255" t="s">
        <v>1006</v>
      </c>
      <c r="B700" s="254" t="s">
        <v>1007</v>
      </c>
      <c r="C700" s="240" t="s">
        <v>16</v>
      </c>
      <c r="D700" s="322">
        <f>_xlfn.XLOOKUP(A700,'PARA ENVÍO UNIFICADO (VANE)'!$A$4:$A$729,'PARA ENVÍO UNIFICADO (VANE)'!$D$4:$D$729,0,0)</f>
        <v>1</v>
      </c>
      <c r="E700" s="322">
        <f>_xlfn.XLOOKUP(A700,'PARA ENVÍO UNIFICADO (VANE)'!$A$4:$A$729,'PARA ENVÍO UNIFICADO (VANE)'!$E$4:$E$729,0,0)</f>
        <v>1</v>
      </c>
      <c r="F700" s="322">
        <f t="shared" si="41"/>
        <v>2</v>
      </c>
      <c r="G700" s="243">
        <v>8625691</v>
      </c>
      <c r="H700" s="243">
        <f t="shared" si="45"/>
        <v>17251382</v>
      </c>
    </row>
    <row r="701" spans="1:8" s="9" customFormat="1" ht="35.1" customHeight="1" x14ac:dyDescent="0.25">
      <c r="A701" s="255" t="s">
        <v>1008</v>
      </c>
      <c r="B701" s="254" t="s">
        <v>1009</v>
      </c>
      <c r="C701" s="240" t="s">
        <v>94</v>
      </c>
      <c r="D701" s="322">
        <f>_xlfn.XLOOKUP(A701,'PARA ENVÍO UNIFICADO (VANE)'!$A$4:$A$729,'PARA ENVÍO UNIFICADO (VANE)'!$D$4:$D$729,0,0)</f>
        <v>1277</v>
      </c>
      <c r="E701" s="322">
        <f>_xlfn.XLOOKUP(A701,'PARA ENVÍO UNIFICADO (VANE)'!$A$4:$A$729,'PARA ENVÍO UNIFICADO (VANE)'!$E$4:$E$729,0,0)</f>
        <v>496</v>
      </c>
      <c r="F701" s="322">
        <f t="shared" si="41"/>
        <v>1773</v>
      </c>
      <c r="G701" s="243">
        <v>5401</v>
      </c>
      <c r="H701" s="243">
        <f t="shared" si="45"/>
        <v>9575973</v>
      </c>
    </row>
    <row r="702" spans="1:8" s="9" customFormat="1" ht="35.1" customHeight="1" x14ac:dyDescent="0.25">
      <c r="A702" s="255" t="s">
        <v>1010</v>
      </c>
      <c r="B702" s="254" t="s">
        <v>968</v>
      </c>
      <c r="C702" s="240" t="s">
        <v>94</v>
      </c>
      <c r="D702" s="322">
        <f>_xlfn.XLOOKUP(A702,'PARA ENVÍO UNIFICADO (VANE)'!$A$4:$A$729,'PARA ENVÍO UNIFICADO (VANE)'!$D$4:$D$729,0,0)</f>
        <v>854</v>
      </c>
      <c r="E702" s="322">
        <f>_xlfn.XLOOKUP(A702,'PARA ENVÍO UNIFICADO (VANE)'!$A$4:$A$729,'PARA ENVÍO UNIFICADO (VANE)'!$E$4:$E$729,0,0)</f>
        <v>456</v>
      </c>
      <c r="F702" s="322">
        <f t="shared" si="41"/>
        <v>1310</v>
      </c>
      <c r="G702" s="243">
        <v>16448</v>
      </c>
      <c r="H702" s="243">
        <f t="shared" si="45"/>
        <v>21546880</v>
      </c>
    </row>
    <row r="703" spans="1:8" s="9" customFormat="1" ht="35.1" customHeight="1" x14ac:dyDescent="0.25">
      <c r="A703" s="255" t="s">
        <v>1011</v>
      </c>
      <c r="B703" s="254" t="s">
        <v>972</v>
      </c>
      <c r="C703" s="240" t="s">
        <v>94</v>
      </c>
      <c r="D703" s="322">
        <f>_xlfn.XLOOKUP(A703,'PARA ENVÍO UNIFICADO (VANE)'!$A$4:$A$729,'PARA ENVÍO UNIFICADO (VANE)'!$D$4:$D$729,0,0)</f>
        <v>15</v>
      </c>
      <c r="E703" s="322">
        <f>_xlfn.XLOOKUP(A703,'PARA ENVÍO UNIFICADO (VANE)'!$A$4:$A$729,'PARA ENVÍO UNIFICADO (VANE)'!$E$4:$E$729,0,0)</f>
        <v>7</v>
      </c>
      <c r="F703" s="322">
        <f t="shared" si="41"/>
        <v>22</v>
      </c>
      <c r="G703" s="243">
        <v>4876</v>
      </c>
      <c r="H703" s="243">
        <f t="shared" si="45"/>
        <v>107272</v>
      </c>
    </row>
    <row r="704" spans="1:8" s="9" customFormat="1" ht="35.1" customHeight="1" x14ac:dyDescent="0.25">
      <c r="A704" s="255" t="s">
        <v>1012</v>
      </c>
      <c r="B704" s="254" t="s">
        <v>976</v>
      </c>
      <c r="C704" s="240" t="s">
        <v>16</v>
      </c>
      <c r="D704" s="322">
        <f>_xlfn.XLOOKUP(A704,'PARA ENVÍO UNIFICADO (VANE)'!$A$4:$A$729,'PARA ENVÍO UNIFICADO (VANE)'!$D$4:$D$729,0,0)</f>
        <v>23</v>
      </c>
      <c r="E704" s="322">
        <f>_xlfn.XLOOKUP(A704,'PARA ENVÍO UNIFICADO (VANE)'!$A$4:$A$729,'PARA ENVÍO UNIFICADO (VANE)'!$E$4:$E$729,0,0)</f>
        <v>9</v>
      </c>
      <c r="F704" s="322">
        <f t="shared" si="41"/>
        <v>32</v>
      </c>
      <c r="G704" s="243">
        <v>13258</v>
      </c>
      <c r="H704" s="243">
        <f t="shared" si="45"/>
        <v>424256</v>
      </c>
    </row>
    <row r="705" spans="1:8" s="9" customFormat="1" ht="35.1" customHeight="1" x14ac:dyDescent="0.25">
      <c r="A705" s="244" t="s">
        <v>1387</v>
      </c>
      <c r="B705" s="245" t="s">
        <v>1388</v>
      </c>
      <c r="C705" s="260"/>
      <c r="D705" s="244"/>
      <c r="E705" s="244"/>
      <c r="F705" s="322">
        <f t="shared" si="41"/>
        <v>0</v>
      </c>
      <c r="G705" s="303"/>
      <c r="H705" s="246"/>
    </row>
    <row r="706" spans="1:8" s="9" customFormat="1" ht="35.1" customHeight="1" x14ac:dyDescent="0.25">
      <c r="A706" s="255" t="s">
        <v>1389</v>
      </c>
      <c r="B706" s="254" t="s">
        <v>1390</v>
      </c>
      <c r="C706" s="240" t="s">
        <v>16</v>
      </c>
      <c r="D706" s="322">
        <f>_xlfn.XLOOKUP(A706,'PARA ENVÍO UNIFICADO (VANE)'!$A$4:$A$729,'PARA ENVÍO UNIFICADO (VANE)'!$D$4:$D$729,0,0)</f>
        <v>64</v>
      </c>
      <c r="E706" s="322">
        <f>_xlfn.XLOOKUP(A706,'PARA ENVÍO UNIFICADO (VANE)'!$A$4:$A$729,'PARA ENVÍO UNIFICADO (VANE)'!$E$4:$E$729,0,0)</f>
        <v>0</v>
      </c>
      <c r="F706" s="322">
        <f t="shared" si="41"/>
        <v>64</v>
      </c>
      <c r="G706" s="243">
        <v>395390</v>
      </c>
      <c r="H706" s="243">
        <f t="shared" ref="H706:H723" si="46">ROUND(+G706*F706,2)</f>
        <v>25304960</v>
      </c>
    </row>
    <row r="707" spans="1:8" s="9" customFormat="1" ht="35.1" customHeight="1" x14ac:dyDescent="0.25">
      <c r="A707" s="255" t="s">
        <v>1391</v>
      </c>
      <c r="B707" s="254" t="s">
        <v>1392</v>
      </c>
      <c r="C707" s="240" t="s">
        <v>16</v>
      </c>
      <c r="D707" s="322">
        <f>_xlfn.XLOOKUP(A707,'PARA ENVÍO UNIFICADO (VANE)'!$A$4:$A$729,'PARA ENVÍO UNIFICADO (VANE)'!$D$4:$D$729,0,0)</f>
        <v>2</v>
      </c>
      <c r="E707" s="322">
        <f>_xlfn.XLOOKUP(A707,'PARA ENVÍO UNIFICADO (VANE)'!$A$4:$A$729,'PARA ENVÍO UNIFICADO (VANE)'!$E$4:$E$729,0,0)</f>
        <v>0</v>
      </c>
      <c r="F707" s="322">
        <f t="shared" si="41"/>
        <v>2</v>
      </c>
      <c r="G707" s="243">
        <v>9159410</v>
      </c>
      <c r="H707" s="243">
        <f t="shared" si="46"/>
        <v>18318820</v>
      </c>
    </row>
    <row r="708" spans="1:8" s="9" customFormat="1" ht="35.1" customHeight="1" x14ac:dyDescent="0.25">
      <c r="A708" s="255" t="s">
        <v>1393</v>
      </c>
      <c r="B708" s="254" t="s">
        <v>1394</v>
      </c>
      <c r="C708" s="240" t="s">
        <v>16</v>
      </c>
      <c r="D708" s="322">
        <f>_xlfn.XLOOKUP(A708,'PARA ENVÍO UNIFICADO (VANE)'!$A$4:$A$729,'PARA ENVÍO UNIFICADO (VANE)'!$D$4:$D$729,0,0)</f>
        <v>2</v>
      </c>
      <c r="E708" s="322">
        <f>_xlfn.XLOOKUP(A708,'PARA ENVÍO UNIFICADO (VANE)'!$A$4:$A$729,'PARA ENVÍO UNIFICADO (VANE)'!$E$4:$E$729,0,0)</f>
        <v>0</v>
      </c>
      <c r="F708" s="322">
        <f t="shared" si="41"/>
        <v>2</v>
      </c>
      <c r="G708" s="243">
        <v>16963534</v>
      </c>
      <c r="H708" s="243">
        <f t="shared" si="46"/>
        <v>33927068</v>
      </c>
    </row>
    <row r="709" spans="1:8" s="9" customFormat="1" ht="35.1" customHeight="1" x14ac:dyDescent="0.25">
      <c r="A709" s="255" t="s">
        <v>1395</v>
      </c>
      <c r="B709" s="254" t="s">
        <v>1396</v>
      </c>
      <c r="C709" s="240" t="s">
        <v>16</v>
      </c>
      <c r="D709" s="322">
        <f>_xlfn.XLOOKUP(A709,'PARA ENVÍO UNIFICADO (VANE)'!$A$4:$A$729,'PARA ENVÍO UNIFICADO (VANE)'!$D$4:$D$729,0,0)</f>
        <v>2</v>
      </c>
      <c r="E709" s="322">
        <f>_xlfn.XLOOKUP(A709,'PARA ENVÍO UNIFICADO (VANE)'!$A$4:$A$729,'PARA ENVÍO UNIFICADO (VANE)'!$E$4:$E$729,0,0)</f>
        <v>0</v>
      </c>
      <c r="F709" s="322">
        <f t="shared" ref="F709:F723" si="47">ROUND(D709+E709,2)</f>
        <v>2</v>
      </c>
      <c r="G709" s="243">
        <v>1683524</v>
      </c>
      <c r="H709" s="243">
        <f t="shared" si="46"/>
        <v>3367048</v>
      </c>
    </row>
    <row r="710" spans="1:8" s="9" customFormat="1" ht="35.1" customHeight="1" x14ac:dyDescent="0.25">
      <c r="A710" s="255" t="s">
        <v>1397</v>
      </c>
      <c r="B710" s="254" t="s">
        <v>968</v>
      </c>
      <c r="C710" s="240" t="s">
        <v>94</v>
      </c>
      <c r="D710" s="322">
        <f>_xlfn.XLOOKUP(A710,'PARA ENVÍO UNIFICADO (VANE)'!$A$4:$A$729,'PARA ENVÍO UNIFICADO (VANE)'!$D$4:$D$729,0,0)</f>
        <v>159</v>
      </c>
      <c r="E710" s="322">
        <f>_xlfn.XLOOKUP(A710,'PARA ENVÍO UNIFICADO (VANE)'!$A$4:$A$729,'PARA ENVÍO UNIFICADO (VANE)'!$E$4:$E$729,0,0)</f>
        <v>0</v>
      </c>
      <c r="F710" s="322">
        <f t="shared" si="47"/>
        <v>159</v>
      </c>
      <c r="G710" s="243">
        <v>16448</v>
      </c>
      <c r="H710" s="243">
        <f t="shared" si="46"/>
        <v>2615232</v>
      </c>
    </row>
    <row r="711" spans="1:8" s="9" customFormat="1" ht="35.1" customHeight="1" x14ac:dyDescent="0.25">
      <c r="A711" s="255" t="s">
        <v>1398</v>
      </c>
      <c r="B711" s="254" t="s">
        <v>976</v>
      </c>
      <c r="C711" s="240" t="s">
        <v>16</v>
      </c>
      <c r="D711" s="322">
        <f>_xlfn.XLOOKUP(A711,'PARA ENVÍO UNIFICADO (VANE)'!$A$4:$A$729,'PARA ENVÍO UNIFICADO (VANE)'!$D$4:$D$729,0,0)</f>
        <v>4</v>
      </c>
      <c r="E711" s="322">
        <f>_xlfn.XLOOKUP(A711,'PARA ENVÍO UNIFICADO (VANE)'!$A$4:$A$729,'PARA ENVÍO UNIFICADO (VANE)'!$E$4:$E$729,0,0)</f>
        <v>0</v>
      </c>
      <c r="F711" s="322">
        <f t="shared" si="47"/>
        <v>4</v>
      </c>
      <c r="G711" s="243">
        <v>13258</v>
      </c>
      <c r="H711" s="243">
        <f t="shared" si="46"/>
        <v>53032</v>
      </c>
    </row>
    <row r="712" spans="1:8" s="9" customFormat="1" ht="35.1" customHeight="1" x14ac:dyDescent="0.25">
      <c r="A712" s="255" t="s">
        <v>1399</v>
      </c>
      <c r="B712" s="254" t="s">
        <v>1400</v>
      </c>
      <c r="C712" s="255" t="s">
        <v>94</v>
      </c>
      <c r="D712" s="322">
        <f>_xlfn.XLOOKUP(A712,'PARA ENVÍO UNIFICADO (VANE)'!$A$4:$A$729,'PARA ENVÍO UNIFICADO (VANE)'!$D$4:$D$729,0,0)</f>
        <v>2380</v>
      </c>
      <c r="E712" s="322">
        <f>_xlfn.XLOOKUP(A712,'PARA ENVÍO UNIFICADO (VANE)'!$A$4:$A$729,'PARA ENVÍO UNIFICADO (VANE)'!$E$4:$E$729,0,0)</f>
        <v>0</v>
      </c>
      <c r="F712" s="322">
        <f t="shared" si="47"/>
        <v>2380</v>
      </c>
      <c r="G712" s="243">
        <v>8630</v>
      </c>
      <c r="H712" s="243">
        <f t="shared" si="46"/>
        <v>20539400</v>
      </c>
    </row>
    <row r="713" spans="1:8" s="9" customFormat="1" ht="35.1" customHeight="1" x14ac:dyDescent="0.25">
      <c r="A713" s="255" t="s">
        <v>1401</v>
      </c>
      <c r="B713" s="241" t="s">
        <v>1427</v>
      </c>
      <c r="C713" s="240" t="s">
        <v>1182</v>
      </c>
      <c r="D713" s="322">
        <f>_xlfn.XLOOKUP(A713,'PARA ENVÍO UNIFICADO (VANE)'!$A$4:$A$729,'PARA ENVÍO UNIFICADO (VANE)'!$D$4:$D$729,0,0)</f>
        <v>1</v>
      </c>
      <c r="E713" s="322">
        <f>_xlfn.XLOOKUP(A713,'PARA ENVÍO UNIFICADO (VANE)'!$A$4:$A$729,'PARA ENVÍO UNIFICADO (VANE)'!$E$4:$E$729,0,0)</f>
        <v>0</v>
      </c>
      <c r="F713" s="322">
        <f t="shared" si="47"/>
        <v>1</v>
      </c>
      <c r="G713" s="243">
        <v>2929767</v>
      </c>
      <c r="H713" s="243">
        <f t="shared" si="46"/>
        <v>2929767</v>
      </c>
    </row>
    <row r="714" spans="1:8" s="9" customFormat="1" ht="35.1" customHeight="1" x14ac:dyDescent="0.25">
      <c r="A714" s="266">
        <v>20</v>
      </c>
      <c r="B714" s="267" t="s">
        <v>1013</v>
      </c>
      <c r="C714" s="267"/>
      <c r="D714" s="267"/>
      <c r="E714" s="267"/>
      <c r="F714" s="267"/>
      <c r="G714" s="306"/>
      <c r="H714" s="268"/>
    </row>
    <row r="715" spans="1:8" s="9" customFormat="1" ht="35.1" customHeight="1" x14ac:dyDescent="0.25">
      <c r="A715" s="255">
        <v>20.100000000000001</v>
      </c>
      <c r="B715" s="254" t="s">
        <v>1015</v>
      </c>
      <c r="C715" s="240" t="s">
        <v>13</v>
      </c>
      <c r="D715" s="322">
        <f>_xlfn.XLOOKUP(A715,'PARA ENVÍO UNIFICADO (VANE)'!$A$4:$A$729,'PARA ENVÍO UNIFICADO (VANE)'!$D$4:$D$729,0,0)</f>
        <v>0</v>
      </c>
      <c r="E715" s="322">
        <f>_xlfn.XLOOKUP(A715,'PARA ENVÍO UNIFICADO (VANE)'!$A$4:$A$729,'PARA ENVÍO UNIFICADO (VANE)'!$E$4:$E$729,0,0)</f>
        <v>600</v>
      </c>
      <c r="F715" s="322">
        <f t="shared" si="47"/>
        <v>600</v>
      </c>
      <c r="G715" s="243">
        <v>23602</v>
      </c>
      <c r="H715" s="243">
        <f t="shared" si="46"/>
        <v>14161200</v>
      </c>
    </row>
    <row r="716" spans="1:8" s="9" customFormat="1" ht="35.1" customHeight="1" x14ac:dyDescent="0.25">
      <c r="A716" s="255">
        <v>20.2</v>
      </c>
      <c r="B716" s="254" t="s">
        <v>1017</v>
      </c>
      <c r="C716" s="240" t="s">
        <v>13</v>
      </c>
      <c r="D716" s="322">
        <f>_xlfn.XLOOKUP(A716,'PARA ENVÍO UNIFICADO (VANE)'!$A$4:$A$729,'PARA ENVÍO UNIFICADO (VANE)'!$D$4:$D$729,0,0)</f>
        <v>0</v>
      </c>
      <c r="E716" s="322">
        <f>_xlfn.XLOOKUP(A716,'PARA ENVÍO UNIFICADO (VANE)'!$A$4:$A$729,'PARA ENVÍO UNIFICADO (VANE)'!$E$4:$E$729,0,0)</f>
        <v>600</v>
      </c>
      <c r="F716" s="322">
        <f t="shared" si="47"/>
        <v>600</v>
      </c>
      <c r="G716" s="243">
        <v>20123</v>
      </c>
      <c r="H716" s="243">
        <f t="shared" si="46"/>
        <v>12073800</v>
      </c>
    </row>
    <row r="717" spans="1:8" s="9" customFormat="1" ht="35.1" customHeight="1" x14ac:dyDescent="0.25">
      <c r="A717" s="255">
        <v>20.3</v>
      </c>
      <c r="B717" s="254" t="s">
        <v>1019</v>
      </c>
      <c r="C717" s="240" t="s">
        <v>94</v>
      </c>
      <c r="D717" s="322">
        <f>_xlfn.XLOOKUP(A717,'PARA ENVÍO UNIFICADO (VANE)'!$A$4:$A$729,'PARA ENVÍO UNIFICADO (VANE)'!$D$4:$D$729,0,0)</f>
        <v>0</v>
      </c>
      <c r="E717" s="322">
        <f>_xlfn.XLOOKUP(A717,'PARA ENVÍO UNIFICADO (VANE)'!$A$4:$A$729,'PARA ENVÍO UNIFICADO (VANE)'!$E$4:$E$729,0,0)</f>
        <v>1500</v>
      </c>
      <c r="F717" s="322">
        <f t="shared" si="47"/>
        <v>1500</v>
      </c>
      <c r="G717" s="243">
        <v>7269</v>
      </c>
      <c r="H717" s="243">
        <f t="shared" si="46"/>
        <v>10903500</v>
      </c>
    </row>
    <row r="718" spans="1:8" s="9" customFormat="1" ht="35.1" customHeight="1" x14ac:dyDescent="0.25">
      <c r="A718" s="255">
        <v>20.399999999999999</v>
      </c>
      <c r="B718" s="254" t="s">
        <v>1021</v>
      </c>
      <c r="C718" s="240" t="s">
        <v>13</v>
      </c>
      <c r="D718" s="322">
        <f>_xlfn.XLOOKUP(A718,'PARA ENVÍO UNIFICADO (VANE)'!$A$4:$A$729,'PARA ENVÍO UNIFICADO (VANE)'!$D$4:$D$729,0,0)</f>
        <v>0</v>
      </c>
      <c r="E718" s="322">
        <f>_xlfn.XLOOKUP(A718,'PARA ENVÍO UNIFICADO (VANE)'!$A$4:$A$729,'PARA ENVÍO UNIFICADO (VANE)'!$E$4:$E$729,0,0)</f>
        <v>100</v>
      </c>
      <c r="F718" s="322">
        <f t="shared" si="47"/>
        <v>100</v>
      </c>
      <c r="G718" s="243">
        <v>153417</v>
      </c>
      <c r="H718" s="243">
        <f t="shared" si="46"/>
        <v>15341700</v>
      </c>
    </row>
    <row r="719" spans="1:8" s="9" customFormat="1" ht="35.1" customHeight="1" x14ac:dyDescent="0.25">
      <c r="A719" s="255">
        <v>20.5</v>
      </c>
      <c r="B719" s="254" t="s">
        <v>1023</v>
      </c>
      <c r="C719" s="240" t="s">
        <v>55</v>
      </c>
      <c r="D719" s="322">
        <f>_xlfn.XLOOKUP(A719,'PARA ENVÍO UNIFICADO (VANE)'!$A$4:$A$729,'PARA ENVÍO UNIFICADO (VANE)'!$D$4:$D$729,0,0)</f>
        <v>0</v>
      </c>
      <c r="E719" s="322">
        <f>_xlfn.XLOOKUP(A719,'PARA ENVÍO UNIFICADO (VANE)'!$A$4:$A$729,'PARA ENVÍO UNIFICADO (VANE)'!$E$4:$E$729,0,0)</f>
        <v>1072.0999999999999</v>
      </c>
      <c r="F719" s="322">
        <f t="shared" si="47"/>
        <v>1072.0999999999999</v>
      </c>
      <c r="G719" s="243">
        <v>12766</v>
      </c>
      <c r="H719" s="243">
        <f t="shared" si="46"/>
        <v>13686428.6</v>
      </c>
    </row>
    <row r="720" spans="1:8" s="9" customFormat="1" ht="43.15" customHeight="1" x14ac:dyDescent="0.25">
      <c r="A720" s="255">
        <v>20.6</v>
      </c>
      <c r="B720" s="254" t="s">
        <v>1025</v>
      </c>
      <c r="C720" s="240" t="s">
        <v>16</v>
      </c>
      <c r="D720" s="322">
        <f>_xlfn.XLOOKUP(A720,'PARA ENVÍO UNIFICADO (VANE)'!$A$4:$A$729,'PARA ENVÍO UNIFICADO (VANE)'!$D$4:$D$729,0,0)</f>
        <v>0</v>
      </c>
      <c r="E720" s="322">
        <f>_xlfn.XLOOKUP(A720,'PARA ENVÍO UNIFICADO (VANE)'!$A$4:$A$729,'PARA ENVÍO UNIFICADO (VANE)'!$E$4:$E$729,0,0)</f>
        <v>793</v>
      </c>
      <c r="F720" s="322">
        <f t="shared" si="47"/>
        <v>793</v>
      </c>
      <c r="G720" s="243">
        <v>16726</v>
      </c>
      <c r="H720" s="243">
        <f t="shared" si="46"/>
        <v>13263718</v>
      </c>
    </row>
    <row r="721" spans="1:10" s="9" customFormat="1" ht="42.6" customHeight="1" x14ac:dyDescent="0.25">
      <c r="A721" s="255">
        <v>20.7</v>
      </c>
      <c r="B721" s="254" t="s">
        <v>1027</v>
      </c>
      <c r="C721" s="240" t="s">
        <v>13</v>
      </c>
      <c r="D721" s="322">
        <f>_xlfn.XLOOKUP(A721,'PARA ENVÍO UNIFICADO (VANE)'!$A$4:$A$729,'PARA ENVÍO UNIFICADO (VANE)'!$D$4:$D$729,0,0)</f>
        <v>0</v>
      </c>
      <c r="E721" s="322">
        <f>_xlfn.XLOOKUP(A721,'PARA ENVÍO UNIFICADO (VANE)'!$A$4:$A$729,'PARA ENVÍO UNIFICADO (VANE)'!$E$4:$E$729,0,0)</f>
        <v>40</v>
      </c>
      <c r="F721" s="322">
        <f t="shared" si="47"/>
        <v>40</v>
      </c>
      <c r="G721" s="243">
        <v>106605</v>
      </c>
      <c r="H721" s="243">
        <f t="shared" si="46"/>
        <v>4264200</v>
      </c>
    </row>
    <row r="722" spans="1:10" s="9" customFormat="1" ht="35.1" customHeight="1" x14ac:dyDescent="0.25">
      <c r="A722" s="255">
        <v>20.8</v>
      </c>
      <c r="B722" s="254" t="s">
        <v>1029</v>
      </c>
      <c r="C722" s="240" t="s">
        <v>13</v>
      </c>
      <c r="D722" s="322">
        <f>_xlfn.XLOOKUP(A722,'PARA ENVÍO UNIFICADO (VANE)'!$A$4:$A$729,'PARA ENVÍO UNIFICADO (VANE)'!$D$4:$D$729,0,0)</f>
        <v>0</v>
      </c>
      <c r="E722" s="322">
        <f>_xlfn.XLOOKUP(A722,'PARA ENVÍO UNIFICADO (VANE)'!$A$4:$A$729,'PARA ENVÍO UNIFICADO (VANE)'!$E$4:$E$729,0,0)</f>
        <v>1316</v>
      </c>
      <c r="F722" s="322">
        <f t="shared" si="47"/>
        <v>1316</v>
      </c>
      <c r="G722" s="243">
        <v>162722</v>
      </c>
      <c r="H722" s="243">
        <f t="shared" si="46"/>
        <v>214142152</v>
      </c>
      <c r="I722" s="338">
        <f>12875260770.51-12875265335.07</f>
        <v>-4564.5599994659424</v>
      </c>
      <c r="J722" s="338">
        <f>+I722-I723</f>
        <v>-12875269899.629999</v>
      </c>
    </row>
    <row r="723" spans="1:10" s="9" customFormat="1" ht="35.1" customHeight="1" x14ac:dyDescent="0.25">
      <c r="A723" s="255">
        <v>20.9</v>
      </c>
      <c r="B723" s="254" t="s">
        <v>1031</v>
      </c>
      <c r="C723" s="240" t="s">
        <v>13</v>
      </c>
      <c r="D723" s="322">
        <f>_xlfn.XLOOKUP(A723,'PARA ENVÍO UNIFICADO (VANE)'!$A$4:$A$729,'PARA ENVÍO UNIFICADO (VANE)'!$D$4:$D$729,0,0)</f>
        <v>0</v>
      </c>
      <c r="E723" s="322">
        <f>_xlfn.XLOOKUP(A723,'PARA ENVÍO UNIFICADO (VANE)'!$A$4:$A$729,'PARA ENVÍO UNIFICADO (VANE)'!$E$4:$E$729,0,0)</f>
        <v>700</v>
      </c>
      <c r="F723" s="322">
        <f t="shared" si="47"/>
        <v>700</v>
      </c>
      <c r="G723" s="243">
        <v>36898</v>
      </c>
      <c r="H723" s="243">
        <f t="shared" si="46"/>
        <v>25828600</v>
      </c>
      <c r="I723" s="337">
        <v>12875265335.07</v>
      </c>
    </row>
    <row r="724" spans="1:10" ht="15" x14ac:dyDescent="0.25">
      <c r="A724" s="340" t="s">
        <v>1032</v>
      </c>
      <c r="B724" s="341"/>
      <c r="C724" s="341"/>
      <c r="D724" s="341"/>
      <c r="E724" s="341"/>
      <c r="F724" s="341"/>
      <c r="G724" s="342"/>
      <c r="H724" s="65">
        <f>ROUND(SUM(H4:H723),2)</f>
        <v>12875260770.51</v>
      </c>
      <c r="I724" s="334">
        <f>ROUND(1*12875260770.51,2)</f>
        <v>12875260770.51</v>
      </c>
      <c r="J724" s="335">
        <f>+H724-I724</f>
        <v>0</v>
      </c>
    </row>
    <row r="725" spans="1:10" x14ac:dyDescent="0.25">
      <c r="A725" s="425" t="s">
        <v>1034</v>
      </c>
      <c r="B725" s="425"/>
      <c r="C725" s="425"/>
      <c r="D725" s="326"/>
      <c r="E725" s="326"/>
      <c r="F725" s="326"/>
      <c r="G725" s="137">
        <v>0.19020000000000001</v>
      </c>
      <c r="H725" s="66">
        <f>ROUND(G725*H724,2)</f>
        <v>2448874598.5500002</v>
      </c>
      <c r="J725" s="336">
        <f>+I724-H724</f>
        <v>0</v>
      </c>
    </row>
    <row r="726" spans="1:10" x14ac:dyDescent="0.25">
      <c r="A726" s="425" t="s">
        <v>1035</v>
      </c>
      <c r="B726" s="425"/>
      <c r="C726" s="425"/>
      <c r="D726" s="326"/>
      <c r="E726" s="326"/>
      <c r="F726" s="326"/>
      <c r="G726" s="137">
        <v>0.01</v>
      </c>
      <c r="H726" s="66">
        <f>ROUND(G726*H724,2)</f>
        <v>128752607.70999999</v>
      </c>
      <c r="I726" s="332">
        <f>+I723-I724</f>
        <v>4564.5599994659424</v>
      </c>
    </row>
    <row r="727" spans="1:10" x14ac:dyDescent="0.25">
      <c r="A727" s="425" t="s">
        <v>1036</v>
      </c>
      <c r="B727" s="425"/>
      <c r="C727" s="425"/>
      <c r="D727" s="326"/>
      <c r="E727" s="326"/>
      <c r="F727" s="326"/>
      <c r="G727" s="137">
        <v>0.05</v>
      </c>
      <c r="H727" s="66">
        <f>ROUND(G727*H724,2)</f>
        <v>643763038.52999997</v>
      </c>
      <c r="J727" s="119">
        <f>265335.07-260770.51</f>
        <v>4564.5599999999977</v>
      </c>
    </row>
    <row r="728" spans="1:10" ht="15" x14ac:dyDescent="0.25">
      <c r="A728" s="343" t="s">
        <v>1033</v>
      </c>
      <c r="B728" s="344"/>
      <c r="C728" s="344"/>
      <c r="D728" s="344"/>
      <c r="E728" s="344"/>
      <c r="F728" s="344"/>
      <c r="G728" s="345"/>
      <c r="H728" s="67">
        <f>ROUND(H725+H726+H727,2)</f>
        <v>3221390244.79</v>
      </c>
    </row>
    <row r="729" spans="1:10" x14ac:dyDescent="0.25">
      <c r="A729" s="425" t="s">
        <v>1038</v>
      </c>
      <c r="B729" s="425"/>
      <c r="C729" s="425"/>
      <c r="D729" s="326"/>
      <c r="E729" s="326"/>
      <c r="F729" s="326"/>
      <c r="G729" s="137">
        <v>0.19</v>
      </c>
      <c r="H729" s="66">
        <f>ROUND(G729*H727,2)</f>
        <v>122314977.31999999</v>
      </c>
    </row>
    <row r="730" spans="1:10" x14ac:dyDescent="0.25">
      <c r="A730" s="426" t="s">
        <v>1039</v>
      </c>
      <c r="B730" s="426"/>
      <c r="C730" s="426"/>
      <c r="D730" s="327"/>
      <c r="E730" s="327"/>
      <c r="F730" s="327"/>
      <c r="G730" s="311"/>
      <c r="H730" s="65">
        <f>ROUND(H724+H728+H729,2)</f>
        <v>16218965992.620001</v>
      </c>
    </row>
    <row r="731" spans="1:10" ht="34.15" customHeight="1" x14ac:dyDescent="0.25">
      <c r="A731" s="425" t="s">
        <v>1418</v>
      </c>
      <c r="B731" s="425"/>
      <c r="C731" s="425"/>
      <c r="D731" s="328"/>
      <c r="E731" s="328"/>
      <c r="F731" s="346" t="s">
        <v>1419</v>
      </c>
      <c r="G731" s="347"/>
      <c r="H731" s="66">
        <v>32694791</v>
      </c>
    </row>
    <row r="732" spans="1:10" ht="20.45" customHeight="1" x14ac:dyDescent="0.25">
      <c r="A732" s="426" t="s">
        <v>1420</v>
      </c>
      <c r="B732" s="426"/>
      <c r="C732" s="426"/>
      <c r="D732" s="327"/>
      <c r="E732" s="327"/>
      <c r="F732" s="327"/>
      <c r="G732" s="311"/>
      <c r="H732" s="65">
        <f>+H731+H730</f>
        <v>16251660783.620001</v>
      </c>
    </row>
    <row r="733" spans="1:10" x14ac:dyDescent="0.25">
      <c r="F733" s="330"/>
    </row>
    <row r="734" spans="1:10" x14ac:dyDescent="0.25">
      <c r="F734" s="330"/>
    </row>
  </sheetData>
  <autoFilter ref="A2:H732" xr:uid="{00000000-0009-0000-0000-000010000000}"/>
  <mergeCells count="7">
    <mergeCell ref="A731:C731"/>
    <mergeCell ref="A732:C732"/>
    <mergeCell ref="A725:C725"/>
    <mergeCell ref="A726:C726"/>
    <mergeCell ref="A727:C727"/>
    <mergeCell ref="A729:C729"/>
    <mergeCell ref="A730:C730"/>
  </mergeCells>
  <conditionalFormatting sqref="H729:H730 H4:H7 H12:H15 H17:H20 H133 H135:H136 H138:H142 H144:H147 H149 H152:H155 H157:H163 H165:H170 H172:H177 H180:H183 H185:H191 H193:H198 H200:H205 H207:H214 H216 H219 H221:H222 H224 H227:H229 H231:H232 H234 H236:H240 H242:H245 H247:H252 H254 H257:H285 H307:H314 H316:H329 H331:H334 H336:H338 H341:H353 H355:H369 H372:H387 H389:H393 H395:H398 H401:H406 H408:H409 H411:H420 H422:H424 H426:H441 H443:H444 H446:H452 H454 H456:H458 H460:H464 H466:H470 H472:H473 H475:H484 H486:H497 H499 H501:H505 H508:H516 H519:H533 H535:H542 H544:H551 H553:H589 H591:H596 H598:H611 H613:H617 H619:H629 H632:H635 H637 H639:H644 H646:H648 H650:H652 H654:H665 H667:H670 H672:H673 H676:H682 H684:H693 H695:H704 H706:H713 H724:H727 H22 H24:H25 H28:H29 H31:H33 H35:H39 H41:H42 H44:H46 H49:H50 H52:H53 H55:H56 H58:H61 H64:H70 H72:H73 H75:H80 H82:H87 H89:H94 H96:H101 H103:H105 H108:H110 H112:H113 H115:H119 H121:H123 H125:H127 H129:H130 H287:H305 H9 H2">
    <cfRule type="cellIs" dxfId="14" priority="5" operator="equal">
      <formula>0</formula>
    </cfRule>
  </conditionalFormatting>
  <conditionalFormatting sqref="H728">
    <cfRule type="cellIs" dxfId="13" priority="4" operator="equal">
      <formula>0</formula>
    </cfRule>
  </conditionalFormatting>
  <conditionalFormatting sqref="H715:H723">
    <cfRule type="cellIs" dxfId="12" priority="3" operator="equal">
      <formula>0</formula>
    </cfRule>
  </conditionalFormatting>
  <conditionalFormatting sqref="H732">
    <cfRule type="cellIs" dxfId="11" priority="2" operator="equal">
      <formula>0</formula>
    </cfRule>
  </conditionalFormatting>
  <conditionalFormatting sqref="H731">
    <cfRule type="cellIs" dxfId="10" priority="1" operator="equal">
      <formula>0</formula>
    </cfRule>
  </conditionalFormatting>
  <printOptions horizontalCentered="1"/>
  <pageMargins left="0.70866141732283472" right="0.70866141732283472" top="0.74803149606299213" bottom="0.74803149606299213" header="0.31496062992125984" footer="0.31496062992125984"/>
  <pageSetup scale="46" orientation="portrait" r:id="rId1"/>
  <rowBreaks count="1" manualBreakCount="1">
    <brk id="688" max="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U767"/>
  <sheetViews>
    <sheetView view="pageBreakPreview" zoomScale="60" zoomScaleNormal="91" workbookViewId="0">
      <pane ySplit="5" topLeftCell="A545" activePane="bottomLeft" state="frozen"/>
      <selection activeCell="M553" sqref="M553"/>
      <selection pane="bottomLeft" activeCell="M553" sqref="M553"/>
    </sheetView>
  </sheetViews>
  <sheetFormatPr baseColWidth="10" defaultColWidth="11.42578125" defaultRowHeight="16.5" x14ac:dyDescent="0.25"/>
  <cols>
    <col min="1" max="1" width="4.5703125" style="215" customWidth="1"/>
    <col min="2" max="2" width="9" style="215" customWidth="1"/>
    <col min="3" max="3" width="62" style="215" customWidth="1"/>
    <col min="4" max="4" width="10.28515625" style="215" customWidth="1"/>
    <col min="5" max="6" width="15.42578125" style="69" hidden="1" customWidth="1"/>
    <col min="7" max="7" width="15.42578125" style="69" customWidth="1"/>
    <col min="8" max="8" width="18.42578125" style="234" customWidth="1"/>
    <col min="9" max="9" width="22.5703125" style="234" customWidth="1"/>
    <col min="10" max="10" width="20.140625" style="1" customWidth="1"/>
    <col min="11" max="11" width="26.42578125" style="1" customWidth="1"/>
    <col min="12" max="12" width="23.7109375" style="1" customWidth="1"/>
    <col min="13" max="13" width="59.28515625" customWidth="1"/>
    <col min="14" max="14" width="15.28515625" bestFit="1" customWidth="1"/>
    <col min="15" max="15" width="19" customWidth="1"/>
    <col min="17" max="17" width="16.28515625" style="118" customWidth="1"/>
    <col min="19" max="19" width="15.140625" customWidth="1"/>
    <col min="20" max="20" width="22.5703125" bestFit="1" customWidth="1"/>
    <col min="21" max="21" width="17" customWidth="1"/>
  </cols>
  <sheetData>
    <row r="1" spans="1:20" ht="17.25" thickBot="1" x14ac:dyDescent="0.3">
      <c r="A1" s="352"/>
    </row>
    <row r="2" spans="1:20" ht="15" customHeight="1" x14ac:dyDescent="0.25">
      <c r="B2" s="427" t="s">
        <v>1042</v>
      </c>
      <c r="C2" s="427"/>
      <c r="D2" s="427"/>
      <c r="E2" s="427"/>
      <c r="F2" s="427"/>
      <c r="G2" s="427"/>
      <c r="H2" s="427"/>
      <c r="I2" s="427"/>
    </row>
    <row r="3" spans="1:20" ht="23.25" customHeight="1" x14ac:dyDescent="0.25">
      <c r="B3" s="427"/>
      <c r="C3" s="427"/>
      <c r="D3" s="427"/>
      <c r="E3" s="427"/>
      <c r="F3" s="427"/>
      <c r="G3" s="427"/>
      <c r="H3" s="427"/>
      <c r="I3" s="427"/>
      <c r="J3" s="1">
        <v>0.95279999999999998</v>
      </c>
    </row>
    <row r="4" spans="1:20" ht="27" customHeight="1" x14ac:dyDescent="0.25">
      <c r="B4" s="2" t="s">
        <v>1</v>
      </c>
      <c r="C4" s="2" t="s">
        <v>2</v>
      </c>
      <c r="D4" s="2" t="s">
        <v>3</v>
      </c>
      <c r="E4" s="3" t="s">
        <v>1414</v>
      </c>
      <c r="F4" s="3" t="s">
        <v>1415</v>
      </c>
      <c r="G4" s="3" t="s">
        <v>1047</v>
      </c>
      <c r="H4" s="301" t="s">
        <v>5</v>
      </c>
      <c r="I4" s="2" t="s">
        <v>6</v>
      </c>
      <c r="K4" s="121">
        <v>1.55E-2</v>
      </c>
      <c r="M4" s="123" t="s">
        <v>1043</v>
      </c>
      <c r="N4" t="s">
        <v>16</v>
      </c>
      <c r="O4" t="s">
        <v>1044</v>
      </c>
      <c r="P4" t="s">
        <v>1045</v>
      </c>
      <c r="Q4" s="118" t="s">
        <v>1046</v>
      </c>
    </row>
    <row r="5" spans="1:20" s="9" customFormat="1" ht="35.1" customHeight="1" x14ac:dyDescent="0.25">
      <c r="A5" s="215"/>
      <c r="B5" s="235" t="s">
        <v>9</v>
      </c>
      <c r="C5" s="236" t="s">
        <v>10</v>
      </c>
      <c r="D5" s="237"/>
      <c r="E5" s="238"/>
      <c r="F5" s="238"/>
      <c r="G5" s="238"/>
      <c r="H5" s="302"/>
      <c r="I5" s="238"/>
      <c r="J5" s="8"/>
      <c r="K5" s="8"/>
      <c r="L5" s="8"/>
      <c r="Q5" s="124"/>
      <c r="R5" s="153" t="s">
        <v>1047</v>
      </c>
      <c r="S5" s="153" t="s">
        <v>1048</v>
      </c>
      <c r="T5" s="154" t="s">
        <v>1041</v>
      </c>
    </row>
    <row r="6" spans="1:20" s="9" customFormat="1" ht="35.1" customHeight="1" x14ac:dyDescent="0.25">
      <c r="A6" s="215"/>
      <c r="B6" s="240" t="s">
        <v>11</v>
      </c>
      <c r="C6" s="241" t="s">
        <v>12</v>
      </c>
      <c r="D6" s="240" t="s">
        <v>13</v>
      </c>
      <c r="E6" s="242">
        <v>295</v>
      </c>
      <c r="F6" s="242">
        <f>+O6</f>
        <v>250</v>
      </c>
      <c r="G6" s="242">
        <f>+F6+E6</f>
        <v>545</v>
      </c>
      <c r="H6" s="243">
        <v>27093</v>
      </c>
      <c r="I6" s="243">
        <f>ROUND(+H6*G6,2)</f>
        <v>14765685</v>
      </c>
      <c r="J6" s="8"/>
      <c r="K6" s="8">
        <f>+ROUND(H6*(1+$K$4),0)</f>
        <v>27513</v>
      </c>
      <c r="L6" s="8">
        <f>+K6*E6</f>
        <v>8116335</v>
      </c>
      <c r="M6" s="9" t="str">
        <f t="array" ref="M6:P6">_xlfn.XLOOKUP(B6,'Neiva 2022 FASE I ACTUAL (5)'!$B$6:$B$540,'Neiva 2022 FASE I ACTUAL (5)'!$C$6:$F$540,"NO ESTA")</f>
        <v>DESCAPOTE A MAQUINA (INCLUYE RETIRO)</v>
      </c>
      <c r="N6" s="9" t="str">
        <v>M2</v>
      </c>
      <c r="O6" s="9">
        <v>250</v>
      </c>
      <c r="P6" s="9">
        <v>27093</v>
      </c>
      <c r="Q6" s="124" t="str">
        <f>IF(P6=0,0,(IF(H6&lt;P6, "FASE I","FASE II")))</f>
        <v>FASE II</v>
      </c>
      <c r="R6" s="155">
        <f t="shared" ref="R6:R69" si="0">E6+O6</f>
        <v>545</v>
      </c>
      <c r="S6" s="156">
        <f>MAX(P6,H6,K6)</f>
        <v>27513</v>
      </c>
      <c r="T6" s="156">
        <f>ROUND(R6*S6,2)</f>
        <v>14994585</v>
      </c>
    </row>
    <row r="7" spans="1:20" s="9" customFormat="1" ht="35.1" customHeight="1" x14ac:dyDescent="0.25">
      <c r="A7" s="215"/>
      <c r="B7" s="240" t="s">
        <v>1049</v>
      </c>
      <c r="C7" s="241" t="s">
        <v>1050</v>
      </c>
      <c r="D7" s="240" t="s">
        <v>13</v>
      </c>
      <c r="E7" s="242">
        <v>580</v>
      </c>
      <c r="F7" s="242">
        <f>+O7</f>
        <v>0</v>
      </c>
      <c r="G7" s="242">
        <f>+F7+E7</f>
        <v>580</v>
      </c>
      <c r="H7" s="243">
        <v>3521</v>
      </c>
      <c r="I7" s="243">
        <f>ROUND(+H7*G7,2)</f>
        <v>2042180</v>
      </c>
      <c r="J7" s="8"/>
      <c r="K7" s="8">
        <f t="shared" ref="K7:K29" si="1">+ROUND(H7*(1+$K$4),0)</f>
        <v>3576</v>
      </c>
      <c r="L7" s="8">
        <f t="shared" ref="L7:L70" si="2">+K7*E7</f>
        <v>2074080</v>
      </c>
      <c r="M7" s="9" t="str">
        <f t="array" ref="M7">_xlfn.XLOOKUP(B7,'Neiva 2022 FASE I ACTUAL (5)'!$B$6:$B$540,'Neiva 2022 FASE I ACTUAL (5)'!$C$6:$F$540,"NO ESTA")</f>
        <v>NO ESTA</v>
      </c>
      <c r="Q7" s="124">
        <f>IF(P7=0,0,(IF(H7&lt;P7, "FASE I","FASE II")))</f>
        <v>0</v>
      </c>
      <c r="R7" s="155">
        <f t="shared" si="0"/>
        <v>580</v>
      </c>
      <c r="S7" s="156">
        <f t="shared" ref="S7:S70" si="3">MAX(P7,H7,K7)</f>
        <v>3576</v>
      </c>
      <c r="T7" s="156">
        <f t="shared" ref="T7:T70" si="4">ROUND(R7*S7,2)</f>
        <v>2074080</v>
      </c>
    </row>
    <row r="8" spans="1:20" s="9" customFormat="1" ht="35.1" customHeight="1" x14ac:dyDescent="0.25">
      <c r="A8" s="215"/>
      <c r="B8" s="240" t="s">
        <v>1051</v>
      </c>
      <c r="C8" s="241" t="s">
        <v>1052</v>
      </c>
      <c r="D8" s="240" t="s">
        <v>94</v>
      </c>
      <c r="E8" s="242">
        <v>40</v>
      </c>
      <c r="F8" s="242">
        <f>+O8</f>
        <v>0</v>
      </c>
      <c r="G8" s="242">
        <f>+F8+E8</f>
        <v>40</v>
      </c>
      <c r="H8" s="243">
        <v>34084</v>
      </c>
      <c r="I8" s="243">
        <f>ROUND(+H8*G8,2)</f>
        <v>1363360</v>
      </c>
      <c r="J8" s="8"/>
      <c r="K8" s="8">
        <f t="shared" si="1"/>
        <v>34612</v>
      </c>
      <c r="L8" s="8">
        <f t="shared" si="2"/>
        <v>1384480</v>
      </c>
      <c r="M8" s="9" t="str">
        <f t="array" ref="M8">_xlfn.XLOOKUP(B8,'Neiva 2022 FASE I ACTUAL (5)'!$B$6:$B$540,'Neiva 2022 FASE I ACTUAL (5)'!$C$6:$F$540,"NO ESTA")</f>
        <v>NO ESTA</v>
      </c>
      <c r="Q8" s="124">
        <f t="shared" ref="Q8:Q71" si="5">IF(P8=0,0,(IF(H8&lt;P8, "FASE I","FASE II")))</f>
        <v>0</v>
      </c>
      <c r="R8" s="155">
        <f t="shared" si="0"/>
        <v>40</v>
      </c>
      <c r="S8" s="156">
        <f t="shared" si="3"/>
        <v>34612</v>
      </c>
      <c r="T8" s="156">
        <f t="shared" si="4"/>
        <v>1384480</v>
      </c>
    </row>
    <row r="9" spans="1:20" s="9" customFormat="1" ht="35.1" customHeight="1" x14ac:dyDescent="0.25">
      <c r="A9" s="215"/>
      <c r="B9" s="240" t="s">
        <v>14</v>
      </c>
      <c r="C9" s="241" t="s">
        <v>15</v>
      </c>
      <c r="D9" s="240" t="s">
        <v>16</v>
      </c>
      <c r="E9" s="242">
        <v>0</v>
      </c>
      <c r="F9" s="242">
        <f>+O9</f>
        <v>8</v>
      </c>
      <c r="G9" s="242">
        <f>+F9+E9</f>
        <v>8</v>
      </c>
      <c r="H9" s="243">
        <v>35600</v>
      </c>
      <c r="I9" s="243">
        <f>ROUND(+H9*G9,2)</f>
        <v>284800</v>
      </c>
      <c r="J9" s="8"/>
      <c r="K9" s="8">
        <f t="shared" si="1"/>
        <v>36152</v>
      </c>
      <c r="L9" s="8">
        <f t="shared" si="2"/>
        <v>0</v>
      </c>
      <c r="M9" s="9" t="str">
        <f t="array" ref="M9:P9">_xlfn.XLOOKUP(B9,'Neiva 2022 FASE I ACTUAL (5)'!$B$6:$B$540,'Neiva 2022 FASE I ACTUAL (5)'!$C$6:$F$540,"NO ESTA")</f>
        <v>BARRERA DE PROTECCIÓN PARA ARBOLES EXISTENTES</v>
      </c>
      <c r="N9" s="9" t="str">
        <v>UND</v>
      </c>
      <c r="O9" s="9">
        <v>8</v>
      </c>
      <c r="P9" s="9">
        <v>34164</v>
      </c>
      <c r="Q9" s="124" t="str">
        <f t="shared" si="5"/>
        <v>FASE II</v>
      </c>
      <c r="R9" s="155">
        <f t="shared" si="0"/>
        <v>8</v>
      </c>
      <c r="S9" s="156">
        <f t="shared" si="3"/>
        <v>36152</v>
      </c>
      <c r="T9" s="156">
        <f t="shared" si="4"/>
        <v>289216</v>
      </c>
    </row>
    <row r="10" spans="1:20" s="9" customFormat="1" ht="35.1" hidden="1" customHeight="1" x14ac:dyDescent="0.25">
      <c r="A10" s="215"/>
      <c r="B10" s="244" t="s">
        <v>17</v>
      </c>
      <c r="C10" s="245" t="s">
        <v>18</v>
      </c>
      <c r="D10" s="244"/>
      <c r="E10" s="246"/>
      <c r="F10" s="246"/>
      <c r="G10" s="246"/>
      <c r="H10" s="303"/>
      <c r="I10" s="246"/>
      <c r="J10" s="8"/>
      <c r="K10" s="8">
        <f t="shared" si="1"/>
        <v>0</v>
      </c>
      <c r="L10" s="8">
        <f t="shared" si="2"/>
        <v>0</v>
      </c>
      <c r="M10" s="9" t="str">
        <f t="array" ref="M10:P10">_xlfn.XLOOKUP(B10,'Neiva 2022 FASE I ACTUAL (5)'!$B$6:$B$540,'Neiva 2022 FASE I ACTUAL (5)'!$C$6:$F$540,"NO ESTA")</f>
        <v>INSTALACION SERVICIOS PROVISIONALES</v>
      </c>
      <c r="N10" s="9">
        <v>0</v>
      </c>
      <c r="O10" s="9">
        <v>0</v>
      </c>
      <c r="P10" s="9">
        <v>0</v>
      </c>
      <c r="Q10" s="124">
        <f t="shared" si="5"/>
        <v>0</v>
      </c>
      <c r="R10" s="155">
        <f t="shared" si="0"/>
        <v>0</v>
      </c>
      <c r="S10" s="156">
        <f t="shared" si="3"/>
        <v>0</v>
      </c>
      <c r="T10" s="156">
        <f t="shared" si="4"/>
        <v>0</v>
      </c>
    </row>
    <row r="11" spans="1:20" s="9" customFormat="1" ht="35.1" hidden="1" customHeight="1" x14ac:dyDescent="0.25">
      <c r="A11" s="215"/>
      <c r="B11" s="240" t="s">
        <v>1053</v>
      </c>
      <c r="C11" s="241" t="s">
        <v>1054</v>
      </c>
      <c r="D11" s="240" t="s">
        <v>374</v>
      </c>
      <c r="E11" s="242">
        <v>0</v>
      </c>
      <c r="F11" s="242">
        <f>+O11</f>
        <v>0</v>
      </c>
      <c r="G11" s="242">
        <f>+F11+E11</f>
        <v>0</v>
      </c>
      <c r="H11" s="243">
        <v>558358</v>
      </c>
      <c r="I11" s="243">
        <f>ROUND(+H11*G11,2)</f>
        <v>0</v>
      </c>
      <c r="J11" s="8"/>
      <c r="K11" s="8">
        <f t="shared" si="1"/>
        <v>567013</v>
      </c>
      <c r="L11" s="8">
        <f t="shared" si="2"/>
        <v>0</v>
      </c>
      <c r="M11" s="9" t="str">
        <f t="array" ref="M11">_xlfn.XLOOKUP(B11,'Neiva 2022 FASE I ACTUAL (5)'!$B$6:$B$540,'Neiva 2022 FASE I ACTUAL (5)'!$C$6:$F$540,"NO ESTA")</f>
        <v>NO ESTA</v>
      </c>
      <c r="Q11" s="124">
        <f t="shared" si="5"/>
        <v>0</v>
      </c>
      <c r="R11" s="155">
        <f t="shared" si="0"/>
        <v>0</v>
      </c>
      <c r="S11" s="156">
        <f t="shared" si="3"/>
        <v>567013</v>
      </c>
      <c r="T11" s="156">
        <f t="shared" si="4"/>
        <v>0</v>
      </c>
    </row>
    <row r="12" spans="1:20" s="9" customFormat="1" ht="35.1" hidden="1" customHeight="1" x14ac:dyDescent="0.25">
      <c r="A12" s="215"/>
      <c r="B12" s="240" t="s">
        <v>1055</v>
      </c>
      <c r="C12" s="241" t="s">
        <v>1056</v>
      </c>
      <c r="D12" s="240" t="s">
        <v>374</v>
      </c>
      <c r="E12" s="242">
        <v>0</v>
      </c>
      <c r="F12" s="242">
        <f>+O12</f>
        <v>0</v>
      </c>
      <c r="G12" s="242">
        <f>+F12+E12</f>
        <v>0</v>
      </c>
      <c r="H12" s="243">
        <v>4001595</v>
      </c>
      <c r="I12" s="243">
        <f>ROUND(+H12*G12,2)</f>
        <v>0</v>
      </c>
      <c r="J12" s="8"/>
      <c r="K12" s="8">
        <f t="shared" si="1"/>
        <v>4063620</v>
      </c>
      <c r="L12" s="8">
        <f t="shared" si="2"/>
        <v>0</v>
      </c>
      <c r="M12" s="9" t="str">
        <f t="array" ref="M12">_xlfn.XLOOKUP(B12,'Neiva 2022 FASE I ACTUAL (5)'!$B$6:$B$540,'Neiva 2022 FASE I ACTUAL (5)'!$C$6:$F$540,"NO ESTA")</f>
        <v>NO ESTA</v>
      </c>
      <c r="Q12" s="124">
        <f t="shared" si="5"/>
        <v>0</v>
      </c>
      <c r="R12" s="155">
        <f t="shared" si="0"/>
        <v>0</v>
      </c>
      <c r="S12" s="156">
        <f t="shared" si="3"/>
        <v>4063620</v>
      </c>
      <c r="T12" s="156">
        <f t="shared" si="4"/>
        <v>0</v>
      </c>
    </row>
    <row r="13" spans="1:20" s="9" customFormat="1" ht="35.1" customHeight="1" x14ac:dyDescent="0.25">
      <c r="A13" s="215"/>
      <c r="B13" s="244" t="s">
        <v>19</v>
      </c>
      <c r="C13" s="245" t="s">
        <v>20</v>
      </c>
      <c r="D13" s="244"/>
      <c r="E13" s="246"/>
      <c r="F13" s="246"/>
      <c r="G13" s="246"/>
      <c r="H13" s="303"/>
      <c r="I13" s="246"/>
      <c r="J13" s="8"/>
      <c r="K13" s="8">
        <f t="shared" si="1"/>
        <v>0</v>
      </c>
      <c r="L13" s="8">
        <f t="shared" si="2"/>
        <v>0</v>
      </c>
      <c r="M13" s="9" t="str">
        <f t="array" ref="M13:P13">_xlfn.XLOOKUP(B13,'Neiva 2022 FASE I ACTUAL (5)'!$B$6:$B$540,'Neiva 2022 FASE I ACTUAL (5)'!$C$6:$F$540,"NO ESTA")</f>
        <v>DEMOLICIONES</v>
      </c>
      <c r="N13" s="9">
        <v>0</v>
      </c>
      <c r="O13" s="9">
        <v>0</v>
      </c>
      <c r="P13" s="9">
        <v>0</v>
      </c>
      <c r="Q13" s="124">
        <f t="shared" si="5"/>
        <v>0</v>
      </c>
      <c r="R13" s="155">
        <f t="shared" si="0"/>
        <v>0</v>
      </c>
      <c r="S13" s="156">
        <f t="shared" si="3"/>
        <v>0</v>
      </c>
      <c r="T13" s="156">
        <f t="shared" si="4"/>
        <v>0</v>
      </c>
    </row>
    <row r="14" spans="1:20" s="9" customFormat="1" ht="35.1" hidden="1" customHeight="1" x14ac:dyDescent="0.25">
      <c r="A14" s="215"/>
      <c r="B14" s="240" t="s">
        <v>21</v>
      </c>
      <c r="C14" s="241" t="s">
        <v>1057</v>
      </c>
      <c r="D14" s="240" t="s">
        <v>13</v>
      </c>
      <c r="E14" s="242">
        <v>0</v>
      </c>
      <c r="F14" s="242">
        <f>+O14</f>
        <v>0</v>
      </c>
      <c r="G14" s="242">
        <f>+F14+E14</f>
        <v>0</v>
      </c>
      <c r="H14" s="243">
        <v>16960</v>
      </c>
      <c r="I14" s="243">
        <f>ROUND(+H14*G14,2)</f>
        <v>0</v>
      </c>
      <c r="J14" s="8"/>
      <c r="K14" s="8">
        <f t="shared" si="1"/>
        <v>17223</v>
      </c>
      <c r="L14" s="8">
        <f t="shared" si="2"/>
        <v>0</v>
      </c>
      <c r="M14" s="9" t="str">
        <f t="array" ref="M14:P14">_xlfn.XLOOKUP(B14,'Neiva 2022 FASE I ACTUAL (5)'!$B$6:$B$540,'Neiva 2022 FASE I ACTUAL (5)'!$C$6:$F$540,"NO ESTA")</f>
        <v>DEMOLICIÓN AREA DE ESPACIO PUBLICO (VIAS, ANDENES, CUNETAS) INCLUYE RETIRO DE SOBRANTES Y DISPOSICIÓN FINAL</v>
      </c>
      <c r="N14" s="9" t="str">
        <v>M2</v>
      </c>
      <c r="O14" s="9">
        <v>0</v>
      </c>
      <c r="P14" s="9">
        <v>23053</v>
      </c>
      <c r="Q14" s="124" t="str">
        <f t="shared" si="5"/>
        <v>FASE I</v>
      </c>
      <c r="R14" s="155">
        <f t="shared" si="0"/>
        <v>0</v>
      </c>
      <c r="S14" s="156">
        <f t="shared" si="3"/>
        <v>23053</v>
      </c>
      <c r="T14" s="156">
        <f t="shared" si="4"/>
        <v>0</v>
      </c>
    </row>
    <row r="15" spans="1:20" s="9" customFormat="1" ht="35.1" customHeight="1" x14ac:dyDescent="0.25">
      <c r="A15" s="215"/>
      <c r="B15" s="240" t="s">
        <v>23</v>
      </c>
      <c r="C15" s="241" t="s">
        <v>1058</v>
      </c>
      <c r="D15" s="240" t="s">
        <v>13</v>
      </c>
      <c r="E15" s="242">
        <v>0</v>
      </c>
      <c r="F15" s="242">
        <f>+O15</f>
        <v>151</v>
      </c>
      <c r="G15" s="242">
        <f>+F15+E15</f>
        <v>151</v>
      </c>
      <c r="H15" s="243">
        <v>30048</v>
      </c>
      <c r="I15" s="243">
        <f>ROUND(+H15*G15,2)</f>
        <v>4537248</v>
      </c>
      <c r="J15" s="8"/>
      <c r="K15" s="8">
        <f t="shared" si="1"/>
        <v>30514</v>
      </c>
      <c r="L15" s="8">
        <f t="shared" si="2"/>
        <v>0</v>
      </c>
      <c r="M15" s="9" t="str">
        <f t="array" ref="M15:P15">_xlfn.XLOOKUP(B15,'Neiva 2022 FASE I ACTUAL (5)'!$B$6:$B$540,'Neiva 2022 FASE I ACTUAL (5)'!$C$6:$F$540,"NO ESTA")</f>
        <v>DEMOLICIÓN DE ESTRUCTURA EXISTENTE AREA CUBIERTA INCLUYE RETIRO DE SOBRANTES Y DISPOSICIÓN FINAL</v>
      </c>
      <c r="N15" s="9" t="str">
        <v>M2</v>
      </c>
      <c r="O15" s="9">
        <v>151</v>
      </c>
      <c r="P15" s="9">
        <v>30048</v>
      </c>
      <c r="Q15" s="124" t="str">
        <f t="shared" si="5"/>
        <v>FASE II</v>
      </c>
      <c r="R15" s="155">
        <f t="shared" si="0"/>
        <v>151</v>
      </c>
      <c r="S15" s="156">
        <f t="shared" si="3"/>
        <v>30514</v>
      </c>
      <c r="T15" s="156">
        <f t="shared" si="4"/>
        <v>4607614</v>
      </c>
    </row>
    <row r="16" spans="1:20" s="9" customFormat="1" ht="35.1" customHeight="1" x14ac:dyDescent="0.25">
      <c r="A16" s="215"/>
      <c r="B16" s="247">
        <v>2</v>
      </c>
      <c r="C16" s="248" t="s">
        <v>25</v>
      </c>
      <c r="D16" s="248"/>
      <c r="E16" s="249"/>
      <c r="F16" s="249"/>
      <c r="G16" s="249"/>
      <c r="H16" s="304"/>
      <c r="I16" s="249"/>
      <c r="J16" s="8"/>
      <c r="K16" s="8">
        <f t="shared" si="1"/>
        <v>0</v>
      </c>
      <c r="L16" s="8">
        <f t="shared" si="2"/>
        <v>0</v>
      </c>
      <c r="M16" s="9" t="str">
        <f t="array" ref="M16:P16">_xlfn.XLOOKUP(B16,'Neiva 2022 FASE I ACTUAL (5)'!$B$6:$B$540,'Neiva 2022 FASE I ACTUAL (5)'!$C$6:$F$540,"NO ESTA")</f>
        <v>CIMENTACION</v>
      </c>
      <c r="N16" s="9">
        <v>0</v>
      </c>
      <c r="O16" s="9">
        <v>0</v>
      </c>
      <c r="P16" s="9">
        <v>0</v>
      </c>
      <c r="Q16" s="124">
        <f t="shared" si="5"/>
        <v>0</v>
      </c>
      <c r="R16" s="155">
        <f t="shared" si="0"/>
        <v>0</v>
      </c>
      <c r="S16" s="156">
        <f t="shared" si="3"/>
        <v>0</v>
      </c>
      <c r="T16" s="156">
        <f t="shared" si="4"/>
        <v>0</v>
      </c>
    </row>
    <row r="17" spans="1:20" s="9" customFormat="1" ht="35.1" customHeight="1" x14ac:dyDescent="0.25">
      <c r="A17" s="215"/>
      <c r="B17" s="244" t="s">
        <v>26</v>
      </c>
      <c r="C17" s="245" t="s">
        <v>27</v>
      </c>
      <c r="D17" s="244"/>
      <c r="E17" s="246"/>
      <c r="F17" s="246"/>
      <c r="G17" s="246"/>
      <c r="H17" s="303"/>
      <c r="I17" s="246"/>
      <c r="J17" s="8"/>
      <c r="K17" s="8">
        <f t="shared" si="1"/>
        <v>0</v>
      </c>
      <c r="L17" s="8">
        <f t="shared" si="2"/>
        <v>0</v>
      </c>
      <c r="M17" s="9" t="str">
        <f t="array" ref="M17:P17">_xlfn.XLOOKUP(B17,'Neiva 2022 FASE I ACTUAL (5)'!$B$6:$B$540,'Neiva 2022 FASE I ACTUAL (5)'!$C$6:$F$540,"NO ESTA")</f>
        <v>EXCAVACIONES, RELLENOS Y OTROS</v>
      </c>
      <c r="N17" s="9">
        <v>0</v>
      </c>
      <c r="O17" s="9">
        <v>0</v>
      </c>
      <c r="P17" s="9">
        <v>0</v>
      </c>
      <c r="Q17" s="124">
        <f t="shared" si="5"/>
        <v>0</v>
      </c>
      <c r="R17" s="155">
        <f t="shared" si="0"/>
        <v>0</v>
      </c>
      <c r="S17" s="156">
        <f t="shared" si="3"/>
        <v>0</v>
      </c>
      <c r="T17" s="156">
        <f t="shared" si="4"/>
        <v>0</v>
      </c>
    </row>
    <row r="18" spans="1:20" s="9" customFormat="1" ht="35.1" customHeight="1" x14ac:dyDescent="0.25">
      <c r="A18" s="215"/>
      <c r="B18" s="240" t="s">
        <v>28</v>
      </c>
      <c r="C18" s="241" t="s">
        <v>29</v>
      </c>
      <c r="D18" s="240" t="s">
        <v>30</v>
      </c>
      <c r="E18" s="242">
        <v>400</v>
      </c>
      <c r="F18" s="242">
        <f>+O18</f>
        <v>0</v>
      </c>
      <c r="G18" s="242">
        <f>+F18+E18</f>
        <v>400</v>
      </c>
      <c r="H18" s="243">
        <v>32132</v>
      </c>
      <c r="I18" s="243">
        <f>ROUND(+H18*G18,2)</f>
        <v>12852800</v>
      </c>
      <c r="J18" s="8"/>
      <c r="K18" s="8">
        <f t="shared" si="1"/>
        <v>32630</v>
      </c>
      <c r="L18" s="8">
        <f t="shared" si="2"/>
        <v>13052000</v>
      </c>
      <c r="M18" s="9" t="str">
        <f t="array" ref="M18:P18">_xlfn.XLOOKUP(B18,'Neiva 2022 FASE I ACTUAL (5)'!$B$6:$B$540,'Neiva 2022 FASE I ACTUAL (5)'!$C$6:$F$540,"NO ESTA")</f>
        <v>EXCAVACIÓN MECÁNICA EN MATERIAL COMÚN (incluye cargue y retiro)</v>
      </c>
      <c r="N18" s="9" t="str">
        <v>M3</v>
      </c>
      <c r="O18" s="9">
        <v>0</v>
      </c>
      <c r="P18" s="9">
        <v>30837</v>
      </c>
      <c r="Q18" s="124" t="str">
        <f t="shared" si="5"/>
        <v>FASE II</v>
      </c>
      <c r="R18" s="155">
        <f t="shared" si="0"/>
        <v>400</v>
      </c>
      <c r="S18" s="156">
        <f t="shared" si="3"/>
        <v>32630</v>
      </c>
      <c r="T18" s="156">
        <f t="shared" si="4"/>
        <v>13052000</v>
      </c>
    </row>
    <row r="19" spans="1:20" s="9" customFormat="1" ht="35.1" customHeight="1" x14ac:dyDescent="0.25">
      <c r="A19" s="215"/>
      <c r="B19" s="240" t="s">
        <v>31</v>
      </c>
      <c r="C19" s="241" t="s">
        <v>32</v>
      </c>
      <c r="D19" s="240" t="s">
        <v>30</v>
      </c>
      <c r="E19" s="242">
        <v>57.945499999999981</v>
      </c>
      <c r="F19" s="242">
        <f>+O19</f>
        <v>299.45</v>
      </c>
      <c r="G19" s="242">
        <f>+F19+E19</f>
        <v>357.39549999999997</v>
      </c>
      <c r="H19" s="243">
        <v>40591</v>
      </c>
      <c r="I19" s="243">
        <f>ROUND(+H19*G19,2)</f>
        <v>14507040.74</v>
      </c>
      <c r="J19" s="8"/>
      <c r="K19" s="8">
        <f t="shared" si="1"/>
        <v>41220</v>
      </c>
      <c r="L19" s="8">
        <f t="shared" si="2"/>
        <v>2388513.5099999993</v>
      </c>
      <c r="M19" s="9" t="str">
        <f t="array" ref="M19:P19">_xlfn.XLOOKUP(B19,'Neiva 2022 FASE I ACTUAL (5)'!$B$6:$B$540,'Neiva 2022 FASE I ACTUAL (5)'!$C$6:$F$540,"NO ESTA")</f>
        <v>EXCAVACIÓN MANUAL EN MATERIAL COMÚN (incluye cargue y retiro)</v>
      </c>
      <c r="N19" s="9" t="str">
        <v>M3</v>
      </c>
      <c r="O19" s="9">
        <v>299.45</v>
      </c>
      <c r="P19" s="9">
        <v>38954</v>
      </c>
      <c r="Q19" s="124" t="str">
        <f t="shared" si="5"/>
        <v>FASE II</v>
      </c>
      <c r="R19" s="155">
        <f t="shared" si="0"/>
        <v>357.39549999999997</v>
      </c>
      <c r="S19" s="156">
        <f t="shared" si="3"/>
        <v>41220</v>
      </c>
      <c r="T19" s="156">
        <f t="shared" si="4"/>
        <v>14731842.51</v>
      </c>
    </row>
    <row r="20" spans="1:20" s="9" customFormat="1" ht="35.1" customHeight="1" x14ac:dyDescent="0.25">
      <c r="A20" s="215"/>
      <c r="B20" s="240" t="s">
        <v>33</v>
      </c>
      <c r="C20" s="251" t="s">
        <v>34</v>
      </c>
      <c r="D20" s="240" t="s">
        <v>30</v>
      </c>
      <c r="E20" s="242">
        <v>56.107679999999959</v>
      </c>
      <c r="F20" s="242">
        <f>+O20</f>
        <v>524.07000000000005</v>
      </c>
      <c r="G20" s="242">
        <f>+F20+E20</f>
        <v>580.17768000000001</v>
      </c>
      <c r="H20" s="243">
        <v>12694</v>
      </c>
      <c r="I20" s="243">
        <f>ROUND(+H20*G20,2)</f>
        <v>7364775.4699999997</v>
      </c>
      <c r="J20" s="8"/>
      <c r="K20" s="8">
        <f t="shared" si="1"/>
        <v>12891</v>
      </c>
      <c r="L20" s="8">
        <f t="shared" si="2"/>
        <v>723284.10287999944</v>
      </c>
      <c r="M20" s="9" t="str">
        <f t="array" ref="M20:P20">_xlfn.XLOOKUP(B20,'Neiva 2022 FASE I ACTUAL (5)'!$B$6:$B$540,'Neiva 2022 FASE I ACTUAL (5)'!$C$6:$F$540,"NO ESTA")</f>
        <v>RELLENOS EN MATERIAL COMÚN, SELECCIONADO DE OBRA (Incluye Compactación)</v>
      </c>
      <c r="N20" s="9" t="str">
        <v>M3</v>
      </c>
      <c r="O20" s="9">
        <v>524.07000000000005</v>
      </c>
      <c r="P20" s="9">
        <v>12182</v>
      </c>
      <c r="Q20" s="124" t="str">
        <f t="shared" si="5"/>
        <v>FASE II</v>
      </c>
      <c r="R20" s="155">
        <f t="shared" si="0"/>
        <v>580.17768000000001</v>
      </c>
      <c r="S20" s="156">
        <f t="shared" si="3"/>
        <v>12891</v>
      </c>
      <c r="T20" s="156">
        <f t="shared" si="4"/>
        <v>7479070.4699999997</v>
      </c>
    </row>
    <row r="21" spans="1:20" s="9" customFormat="1" ht="35.1" customHeight="1" x14ac:dyDescent="0.25">
      <c r="A21" s="215"/>
      <c r="B21" s="240" t="s">
        <v>35</v>
      </c>
      <c r="C21" s="241" t="s">
        <v>36</v>
      </c>
      <c r="D21" s="240" t="s">
        <v>30</v>
      </c>
      <c r="E21" s="242">
        <v>70.485000000000014</v>
      </c>
      <c r="F21" s="242">
        <f>+O21</f>
        <v>122.54</v>
      </c>
      <c r="G21" s="242">
        <f>+F21+E21</f>
        <v>193.02500000000003</v>
      </c>
      <c r="H21" s="243">
        <v>63907</v>
      </c>
      <c r="I21" s="243">
        <f>ROUND(+H21*G21,2)</f>
        <v>12335648.68</v>
      </c>
      <c r="J21" s="8"/>
      <c r="K21" s="8">
        <f t="shared" si="1"/>
        <v>64898</v>
      </c>
      <c r="L21" s="8">
        <f t="shared" si="2"/>
        <v>4574335.5300000012</v>
      </c>
      <c r="M21" s="9" t="str">
        <f t="array" ref="M21:P21">_xlfn.XLOOKUP(B21,'Neiva 2022 FASE I ACTUAL (5)'!$B$6:$B$540,'Neiva 2022 FASE I ACTUAL (5)'!$C$6:$F$540,"NO ESTA")</f>
        <v>RELLENO EN RECEBO COMÚN (Incluye Compactación)</v>
      </c>
      <c r="N21" s="9" t="str">
        <v>M3</v>
      </c>
      <c r="O21" s="9">
        <v>122.54</v>
      </c>
      <c r="P21" s="9">
        <v>61330</v>
      </c>
      <c r="Q21" s="124" t="str">
        <f t="shared" si="5"/>
        <v>FASE II</v>
      </c>
      <c r="R21" s="155">
        <f t="shared" si="0"/>
        <v>193.02500000000003</v>
      </c>
      <c r="S21" s="156">
        <f t="shared" si="3"/>
        <v>64898</v>
      </c>
      <c r="T21" s="156">
        <f t="shared" si="4"/>
        <v>12526936.449999999</v>
      </c>
    </row>
    <row r="22" spans="1:20" s="9" customFormat="1" ht="35.1" customHeight="1" x14ac:dyDescent="0.25">
      <c r="A22" s="215"/>
      <c r="B22" s="244" t="s">
        <v>37</v>
      </c>
      <c r="C22" s="245" t="s">
        <v>38</v>
      </c>
      <c r="D22" s="244"/>
      <c r="E22" s="246"/>
      <c r="F22" s="246"/>
      <c r="G22" s="246"/>
      <c r="H22" s="252"/>
      <c r="I22" s="246"/>
      <c r="J22" s="8"/>
      <c r="K22" s="8">
        <f t="shared" si="1"/>
        <v>0</v>
      </c>
      <c r="L22" s="8">
        <f t="shared" si="2"/>
        <v>0</v>
      </c>
      <c r="M22" s="9" t="str">
        <f t="array" ref="M22:P22">_xlfn.XLOOKUP(B22,'Neiva 2022 FASE I ACTUAL (5)'!$B$6:$B$540,'Neiva 2022 FASE I ACTUAL (5)'!$C$6:$F$540,"NO ESTA")</f>
        <v xml:space="preserve">CONCRETOS DE CIMENTACIÓN </v>
      </c>
      <c r="N22" s="9">
        <v>0</v>
      </c>
      <c r="O22" s="9">
        <v>0</v>
      </c>
      <c r="P22" s="9">
        <v>0</v>
      </c>
      <c r="Q22" s="124">
        <f t="shared" si="5"/>
        <v>0</v>
      </c>
      <c r="R22" s="155">
        <f t="shared" si="0"/>
        <v>0</v>
      </c>
      <c r="S22" s="156">
        <f t="shared" si="3"/>
        <v>0</v>
      </c>
      <c r="T22" s="156">
        <f t="shared" si="4"/>
        <v>0</v>
      </c>
    </row>
    <row r="23" spans="1:20" s="9" customFormat="1" ht="35.1" customHeight="1" x14ac:dyDescent="0.25">
      <c r="A23" s="215"/>
      <c r="B23" s="253" t="s">
        <v>39</v>
      </c>
      <c r="C23" s="254" t="s">
        <v>40</v>
      </c>
      <c r="D23" s="255" t="s">
        <v>13</v>
      </c>
      <c r="E23" s="242">
        <v>72.123000000000047</v>
      </c>
      <c r="F23" s="242">
        <f>+O23</f>
        <v>1111.51</v>
      </c>
      <c r="G23" s="242">
        <f>+F23+E23</f>
        <v>1183.633</v>
      </c>
      <c r="H23" s="243">
        <v>25836</v>
      </c>
      <c r="I23" s="243">
        <f>ROUND(+H23*G23,2)</f>
        <v>30580342.190000001</v>
      </c>
      <c r="J23" s="8"/>
      <c r="K23" s="8">
        <f t="shared" si="1"/>
        <v>26236</v>
      </c>
      <c r="L23" s="8">
        <f t="shared" si="2"/>
        <v>1892219.0280000013</v>
      </c>
      <c r="M23" s="9" t="str">
        <f t="array" ref="M23:P23">_xlfn.XLOOKUP(B23,'Neiva 2022 FASE I ACTUAL (5)'!$B$6:$B$540,'Neiva 2022 FASE I ACTUAL (5)'!$C$6:$F$540,"NO ESTA")</f>
        <v>CONCRETO POBRE DE LIMPIEZA  e=0.05 m</v>
      </c>
      <c r="N23" s="9" t="str">
        <v>M2</v>
      </c>
      <c r="O23" s="9">
        <v>1111.51</v>
      </c>
      <c r="P23" s="9">
        <v>23864</v>
      </c>
      <c r="Q23" s="124" t="str">
        <f t="shared" si="5"/>
        <v>FASE II</v>
      </c>
      <c r="R23" s="155">
        <f t="shared" si="0"/>
        <v>1183.633</v>
      </c>
      <c r="S23" s="156">
        <f t="shared" si="3"/>
        <v>26236</v>
      </c>
      <c r="T23" s="156">
        <f t="shared" si="4"/>
        <v>31053795.390000001</v>
      </c>
    </row>
    <row r="24" spans="1:20" s="9" customFormat="1" ht="35.1" customHeight="1" x14ac:dyDescent="0.25">
      <c r="A24" s="215"/>
      <c r="B24" s="253" t="s">
        <v>41</v>
      </c>
      <c r="C24" s="241" t="s">
        <v>42</v>
      </c>
      <c r="D24" s="240" t="s">
        <v>30</v>
      </c>
      <c r="E24" s="242">
        <v>36</v>
      </c>
      <c r="F24" s="242">
        <f>+O24</f>
        <v>46.48</v>
      </c>
      <c r="G24" s="242">
        <f>+F24+E24</f>
        <v>82.47999999999999</v>
      </c>
      <c r="H24" s="243">
        <v>705830</v>
      </c>
      <c r="I24" s="243">
        <f>ROUND(+H24*G24,2)</f>
        <v>58216858.399999999</v>
      </c>
      <c r="J24" s="8"/>
      <c r="K24" s="8">
        <f t="shared" si="1"/>
        <v>716770</v>
      </c>
      <c r="L24" s="8">
        <f t="shared" si="2"/>
        <v>25803720</v>
      </c>
      <c r="M24" s="9" t="str">
        <f t="array" ref="M24:P24">_xlfn.XLOOKUP(B24,'Neiva 2022 FASE I ACTUAL (5)'!$B$6:$B$540,'Neiva 2022 FASE I ACTUAL (5)'!$C$6:$F$540,"NO ESTA")</f>
        <v>CONCRETO PARA ZAPATAS DE 4000 psi</v>
      </c>
      <c r="N24" s="9" t="str">
        <v>M3</v>
      </c>
      <c r="O24" s="9">
        <v>46.48</v>
      </c>
      <c r="P24" s="9">
        <v>705830</v>
      </c>
      <c r="Q24" s="124" t="str">
        <f t="shared" si="5"/>
        <v>FASE II</v>
      </c>
      <c r="R24" s="155">
        <f t="shared" si="0"/>
        <v>82.47999999999999</v>
      </c>
      <c r="S24" s="156">
        <f t="shared" si="3"/>
        <v>716770</v>
      </c>
      <c r="T24" s="156">
        <f t="shared" si="4"/>
        <v>59119189.600000001</v>
      </c>
    </row>
    <row r="25" spans="1:20" s="9" customFormat="1" ht="35.1" customHeight="1" x14ac:dyDescent="0.25">
      <c r="A25" s="215"/>
      <c r="B25" s="253" t="s">
        <v>43</v>
      </c>
      <c r="C25" s="241" t="s">
        <v>44</v>
      </c>
      <c r="D25" s="240" t="s">
        <v>30</v>
      </c>
      <c r="E25" s="242">
        <v>36.5</v>
      </c>
      <c r="F25" s="242">
        <f>+O25</f>
        <v>45.04</v>
      </c>
      <c r="G25" s="242">
        <f>+F25+E25</f>
        <v>81.539999999999992</v>
      </c>
      <c r="H25" s="243">
        <v>705830</v>
      </c>
      <c r="I25" s="243">
        <f>ROUND(+H25*G25,2)</f>
        <v>57553378.200000003</v>
      </c>
      <c r="J25" s="8"/>
      <c r="K25" s="8">
        <f t="shared" si="1"/>
        <v>716770</v>
      </c>
      <c r="L25" s="8">
        <f t="shared" si="2"/>
        <v>26162105</v>
      </c>
      <c r="M25" s="9" t="str">
        <f t="array" ref="M25:P25">_xlfn.XLOOKUP(B25,'Neiva 2022 FASE I ACTUAL (5)'!$B$6:$B$540,'Neiva 2022 FASE I ACTUAL (5)'!$C$6:$F$540,"NO ESTA")</f>
        <v>VIGAS DE CIMENTACIÓN DE 4000 psi</v>
      </c>
      <c r="N25" s="9" t="str">
        <v>M3</v>
      </c>
      <c r="O25" s="9">
        <v>45.04</v>
      </c>
      <c r="P25" s="9">
        <v>705830</v>
      </c>
      <c r="Q25" s="124" t="str">
        <f t="shared" si="5"/>
        <v>FASE II</v>
      </c>
      <c r="R25" s="155">
        <f t="shared" si="0"/>
        <v>81.539999999999992</v>
      </c>
      <c r="S25" s="156">
        <f t="shared" si="3"/>
        <v>716770</v>
      </c>
      <c r="T25" s="156">
        <f t="shared" si="4"/>
        <v>58445425.799999997</v>
      </c>
    </row>
    <row r="26" spans="1:20" s="9" customFormat="1" ht="35.1" customHeight="1" x14ac:dyDescent="0.25">
      <c r="A26" s="215"/>
      <c r="B26" s="253" t="s">
        <v>45</v>
      </c>
      <c r="C26" s="241" t="s">
        <v>46</v>
      </c>
      <c r="D26" s="240" t="s">
        <v>30</v>
      </c>
      <c r="E26" s="242">
        <v>13</v>
      </c>
      <c r="F26" s="242">
        <f>+O26</f>
        <v>34.93</v>
      </c>
      <c r="G26" s="242">
        <f>+F26+E26</f>
        <v>47.93</v>
      </c>
      <c r="H26" s="243">
        <v>807348</v>
      </c>
      <c r="I26" s="243">
        <f>ROUND(+H26*G26,2)</f>
        <v>38696189.640000001</v>
      </c>
      <c r="J26" s="8"/>
      <c r="K26" s="8">
        <f t="shared" si="1"/>
        <v>819862</v>
      </c>
      <c r="L26" s="8">
        <f t="shared" si="2"/>
        <v>10658206</v>
      </c>
      <c r="M26" s="9" t="str">
        <f t="array" ref="M26:P26">_xlfn.XLOOKUP(B26,'Neiva 2022 FASE I ACTUAL (5)'!$B$6:$B$540,'Neiva 2022 FASE I ACTUAL (5)'!$C$6:$F$540,"NO ESTA")</f>
        <v>MURO DE CONTENCIÓN SOTANO EN CONCRETO DE 4000 PSI</v>
      </c>
      <c r="N26" s="9" t="str">
        <v>M3</v>
      </c>
      <c r="O26" s="9">
        <v>34.93</v>
      </c>
      <c r="P26" s="9">
        <v>782307</v>
      </c>
      <c r="Q26" s="124" t="str">
        <f t="shared" si="5"/>
        <v>FASE II</v>
      </c>
      <c r="R26" s="155">
        <f t="shared" si="0"/>
        <v>47.93</v>
      </c>
      <c r="S26" s="156">
        <f t="shared" si="3"/>
        <v>819862</v>
      </c>
      <c r="T26" s="156">
        <f t="shared" si="4"/>
        <v>39295985.659999996</v>
      </c>
    </row>
    <row r="27" spans="1:20" s="9" customFormat="1" ht="35.1" customHeight="1" x14ac:dyDescent="0.25">
      <c r="A27" s="215"/>
      <c r="B27" s="244" t="s">
        <v>47</v>
      </c>
      <c r="C27" s="245" t="s">
        <v>1059</v>
      </c>
      <c r="D27" s="244"/>
      <c r="E27" s="246"/>
      <c r="F27" s="246"/>
      <c r="G27" s="246"/>
      <c r="H27" s="303"/>
      <c r="I27" s="246"/>
      <c r="J27" s="8"/>
      <c r="K27" s="8">
        <f t="shared" si="1"/>
        <v>0</v>
      </c>
      <c r="L27" s="8">
        <f t="shared" si="2"/>
        <v>0</v>
      </c>
      <c r="M27" s="9" t="str">
        <f t="array" ref="M27:P27">_xlfn.XLOOKUP(B27,'Neiva 2022 FASE I ACTUAL (5)'!$B$6:$B$540,'Neiva 2022 FASE I ACTUAL (5)'!$C$6:$F$540,"NO ESTA")</f>
        <v xml:space="preserve">CONSTRUCCIÓN VARIOS EN CONCRETO </v>
      </c>
      <c r="N27" s="9">
        <v>0</v>
      </c>
      <c r="O27" s="9">
        <v>0</v>
      </c>
      <c r="P27" s="9">
        <v>0</v>
      </c>
      <c r="Q27" s="124">
        <f t="shared" si="5"/>
        <v>0</v>
      </c>
      <c r="R27" s="155">
        <f t="shared" si="0"/>
        <v>0</v>
      </c>
      <c r="S27" s="156">
        <f t="shared" si="3"/>
        <v>0</v>
      </c>
      <c r="T27" s="156">
        <f t="shared" si="4"/>
        <v>0</v>
      </c>
    </row>
    <row r="28" spans="1:20" s="9" customFormat="1" ht="35.1" customHeight="1" x14ac:dyDescent="0.25">
      <c r="A28" s="215"/>
      <c r="B28" s="255" t="s">
        <v>49</v>
      </c>
      <c r="C28" s="241" t="s">
        <v>50</v>
      </c>
      <c r="D28" s="240" t="s">
        <v>30</v>
      </c>
      <c r="E28" s="242">
        <v>13.700000000000003</v>
      </c>
      <c r="F28" s="242">
        <f>+O28</f>
        <v>50.62</v>
      </c>
      <c r="G28" s="242">
        <f>+F28+E28</f>
        <v>64.319999999999993</v>
      </c>
      <c r="H28" s="243">
        <v>833964</v>
      </c>
      <c r="I28" s="243">
        <f>ROUND(+H28*G28,2)</f>
        <v>53640564.479999997</v>
      </c>
      <c r="J28" s="8"/>
      <c r="K28" s="8">
        <f t="shared" si="1"/>
        <v>846890</v>
      </c>
      <c r="L28" s="8">
        <f t="shared" si="2"/>
        <v>11602393.000000002</v>
      </c>
      <c r="M28" s="9" t="str">
        <f t="array" ref="M28:P28">_xlfn.XLOOKUP(B28,'Neiva 2022 FASE I ACTUAL (5)'!$B$6:$B$540,'Neiva 2022 FASE I ACTUAL (5)'!$C$6:$F$540,"NO ESTA")</f>
        <v>TANQUE DE ALMACENAMIENTO Y RESERVA EN CONCRETO DE 4000 PSI</v>
      </c>
      <c r="N28" s="9" t="str">
        <v>M3</v>
      </c>
      <c r="O28" s="9">
        <v>50.62</v>
      </c>
      <c r="P28" s="9">
        <v>782307</v>
      </c>
      <c r="Q28" s="124" t="str">
        <f t="shared" si="5"/>
        <v>FASE II</v>
      </c>
      <c r="R28" s="155">
        <f t="shared" si="0"/>
        <v>64.319999999999993</v>
      </c>
      <c r="S28" s="156">
        <f t="shared" si="3"/>
        <v>846890</v>
      </c>
      <c r="T28" s="156">
        <f t="shared" si="4"/>
        <v>54471964.799999997</v>
      </c>
    </row>
    <row r="29" spans="1:20" s="9" customFormat="1" ht="35.1" customHeight="1" x14ac:dyDescent="0.25">
      <c r="A29" s="215"/>
      <c r="B29" s="244" t="s">
        <v>51</v>
      </c>
      <c r="C29" s="256" t="s">
        <v>52</v>
      </c>
      <c r="D29" s="256"/>
      <c r="E29" s="246"/>
      <c r="F29" s="246"/>
      <c r="G29" s="246"/>
      <c r="H29" s="303"/>
      <c r="I29" s="246"/>
      <c r="J29" s="8"/>
      <c r="K29" s="8">
        <f t="shared" si="1"/>
        <v>0</v>
      </c>
      <c r="L29" s="8">
        <f t="shared" si="2"/>
        <v>0</v>
      </c>
      <c r="M29" s="9" t="str">
        <f t="array" ref="M29:P29">_xlfn.XLOOKUP(B29,'Neiva 2022 FASE I ACTUAL (5)'!$B$6:$B$540,'Neiva 2022 FASE I ACTUAL (5)'!$C$6:$F$540,"NO ESTA")</f>
        <v>SUMINISTRO E INSTALACIÓN ACERO DE REFUERZO CIMENTACIÓN</v>
      </c>
      <c r="N29" s="9">
        <v>0</v>
      </c>
      <c r="O29" s="9">
        <v>0</v>
      </c>
      <c r="P29" s="9">
        <v>0</v>
      </c>
      <c r="Q29" s="124">
        <f t="shared" si="5"/>
        <v>0</v>
      </c>
      <c r="R29" s="155">
        <f t="shared" si="0"/>
        <v>0</v>
      </c>
      <c r="S29" s="156">
        <f t="shared" si="3"/>
        <v>0</v>
      </c>
      <c r="T29" s="156">
        <f t="shared" si="4"/>
        <v>0</v>
      </c>
    </row>
    <row r="30" spans="1:20" s="9" customFormat="1" ht="35.1" customHeight="1" x14ac:dyDescent="0.25">
      <c r="A30" s="215"/>
      <c r="B30" s="240" t="s">
        <v>53</v>
      </c>
      <c r="C30" s="241" t="s">
        <v>54</v>
      </c>
      <c r="D30" s="240" t="s">
        <v>55</v>
      </c>
      <c r="E30" s="242">
        <v>8230.6999999999971</v>
      </c>
      <c r="F30" s="242">
        <f>+O30</f>
        <v>16621.25</v>
      </c>
      <c r="G30" s="242">
        <f>+F30+E30</f>
        <v>24851.949999999997</v>
      </c>
      <c r="H30" s="243">
        <v>5265</v>
      </c>
      <c r="I30" s="243">
        <f>ROUND(+H30*G30,2)</f>
        <v>130845516.75</v>
      </c>
      <c r="J30" s="26">
        <v>3687</v>
      </c>
      <c r="K30" s="8">
        <f>+H30</f>
        <v>5265</v>
      </c>
      <c r="L30" s="8">
        <f t="shared" si="2"/>
        <v>43334635.499999985</v>
      </c>
      <c r="M30" s="9" t="str">
        <f t="array" ref="M30:P30">_xlfn.XLOOKUP(B30,'Neiva 2022 FASE I ACTUAL (5)'!$B$6:$B$540,'Neiva 2022 FASE I ACTUAL (5)'!$C$6:$F$540,"NO ESTA")</f>
        <v>ACERO DE REFUERZO 60000 psi Incluye ALAMBRE DE AMARRE</v>
      </c>
      <c r="N30" s="9" t="str">
        <v>KG</v>
      </c>
      <c r="O30" s="9">
        <v>16621.25</v>
      </c>
      <c r="P30" s="9">
        <v>5265</v>
      </c>
      <c r="Q30" s="124" t="str">
        <f t="shared" si="5"/>
        <v>FASE II</v>
      </c>
      <c r="R30" s="155">
        <f t="shared" si="0"/>
        <v>24851.949999999997</v>
      </c>
      <c r="S30" s="156">
        <f t="shared" si="3"/>
        <v>5265</v>
      </c>
      <c r="T30" s="156">
        <f t="shared" si="4"/>
        <v>130845516.75</v>
      </c>
    </row>
    <row r="31" spans="1:20" s="9" customFormat="1" ht="35.1" customHeight="1" x14ac:dyDescent="0.25">
      <c r="A31" s="215"/>
      <c r="B31" s="253" t="s">
        <v>56</v>
      </c>
      <c r="C31" s="241" t="s">
        <v>57</v>
      </c>
      <c r="D31" s="240" t="s">
        <v>13</v>
      </c>
      <c r="E31" s="242">
        <v>242.5</v>
      </c>
      <c r="F31" s="242">
        <f>+O31</f>
        <v>1871.1</v>
      </c>
      <c r="G31" s="242">
        <f>+F31+E31</f>
        <v>2113.6</v>
      </c>
      <c r="H31" s="243">
        <v>7898</v>
      </c>
      <c r="I31" s="243">
        <f>ROUND(+H31*G31,2)</f>
        <v>16693212.800000001</v>
      </c>
      <c r="J31" s="26">
        <v>5139</v>
      </c>
      <c r="K31" s="8">
        <f>+H31</f>
        <v>7898</v>
      </c>
      <c r="L31" s="8">
        <f t="shared" si="2"/>
        <v>1915265</v>
      </c>
      <c r="M31" s="9" t="str">
        <f t="array" ref="M31:P31">_xlfn.XLOOKUP(B31,'Neiva 2022 FASE I ACTUAL (5)'!$B$6:$B$540,'Neiva 2022 FASE I ACTUAL (5)'!$C$6:$F$540,"NO ESTA")</f>
        <v>MALLA ELECTROSOLDADA PLACA CONTRAPISO Q84 Ø4 mm separación 15x15 cm o similar</v>
      </c>
      <c r="N31" s="9" t="str">
        <v>M2</v>
      </c>
      <c r="O31" s="9">
        <v>1871.1</v>
      </c>
      <c r="P31" s="9">
        <v>7898</v>
      </c>
      <c r="Q31" s="124" t="str">
        <f t="shared" si="5"/>
        <v>FASE II</v>
      </c>
      <c r="R31" s="155">
        <f t="shared" si="0"/>
        <v>2113.6</v>
      </c>
      <c r="S31" s="156">
        <f t="shared" si="3"/>
        <v>7898</v>
      </c>
      <c r="T31" s="156">
        <f t="shared" si="4"/>
        <v>16693212.800000001</v>
      </c>
    </row>
    <row r="32" spans="1:20" s="9" customFormat="1" ht="35.1" customHeight="1" x14ac:dyDescent="0.25">
      <c r="A32" s="215"/>
      <c r="B32" s="247">
        <v>3</v>
      </c>
      <c r="C32" s="248" t="s">
        <v>58</v>
      </c>
      <c r="D32" s="248"/>
      <c r="E32" s="249"/>
      <c r="F32" s="249"/>
      <c r="G32" s="249"/>
      <c r="H32" s="305"/>
      <c r="I32" s="249"/>
      <c r="J32" s="8"/>
      <c r="K32" s="8">
        <f t="shared" ref="K32:K46" si="6">+ROUND(H32*(1+$K$4),0)</f>
        <v>0</v>
      </c>
      <c r="L32" s="8">
        <f t="shared" si="2"/>
        <v>0</v>
      </c>
      <c r="M32" s="9" t="str">
        <f t="array" ref="M32:P32">_xlfn.XLOOKUP(B32,'Neiva 2022 FASE I ACTUAL (5)'!$B$6:$B$540,'Neiva 2022 FASE I ACTUAL (5)'!$C$6:$F$540,"NO ESTA")</f>
        <v>ESTRUCTURAS EN CONCRETO Y METALICAS</v>
      </c>
      <c r="N32" s="9">
        <v>0</v>
      </c>
      <c r="O32" s="9">
        <v>0</v>
      </c>
      <c r="P32" s="9">
        <v>0</v>
      </c>
      <c r="Q32" s="124">
        <f t="shared" si="5"/>
        <v>0</v>
      </c>
      <c r="R32" s="155">
        <f t="shared" si="0"/>
        <v>0</v>
      </c>
      <c r="S32" s="156">
        <f t="shared" si="3"/>
        <v>0</v>
      </c>
      <c r="T32" s="156">
        <f t="shared" si="4"/>
        <v>0</v>
      </c>
    </row>
    <row r="33" spans="1:20" s="9" customFormat="1" ht="35.1" customHeight="1" x14ac:dyDescent="0.25">
      <c r="A33" s="215"/>
      <c r="B33" s="244" t="s">
        <v>59</v>
      </c>
      <c r="C33" s="245" t="s">
        <v>60</v>
      </c>
      <c r="D33" s="244"/>
      <c r="E33" s="246"/>
      <c r="F33" s="246"/>
      <c r="G33" s="246"/>
      <c r="H33" s="303"/>
      <c r="I33" s="246"/>
      <c r="J33" s="8"/>
      <c r="K33" s="8">
        <f t="shared" si="6"/>
        <v>0</v>
      </c>
      <c r="L33" s="8">
        <f t="shared" si="2"/>
        <v>0</v>
      </c>
      <c r="M33" s="9" t="str">
        <f t="array" ref="M33:P33">_xlfn.XLOOKUP(B33,'Neiva 2022 FASE I ACTUAL (5)'!$B$6:$B$540,'Neiva 2022 FASE I ACTUAL (5)'!$C$6:$F$540,"NO ESTA")</f>
        <v>ELEMENTOS ESTRUCTURALES</v>
      </c>
      <c r="N33" s="9">
        <v>0</v>
      </c>
      <c r="O33" s="9">
        <v>0</v>
      </c>
      <c r="P33" s="9">
        <v>0</v>
      </c>
      <c r="Q33" s="124">
        <f t="shared" si="5"/>
        <v>0</v>
      </c>
      <c r="R33" s="155">
        <f t="shared" si="0"/>
        <v>0</v>
      </c>
      <c r="S33" s="156">
        <f t="shared" si="3"/>
        <v>0</v>
      </c>
      <c r="T33" s="156">
        <f t="shared" si="4"/>
        <v>0</v>
      </c>
    </row>
    <row r="34" spans="1:20" s="9" customFormat="1" ht="35.1" customHeight="1" x14ac:dyDescent="0.25">
      <c r="A34" s="215"/>
      <c r="B34" s="255" t="s">
        <v>61</v>
      </c>
      <c r="C34" s="241" t="s">
        <v>62</v>
      </c>
      <c r="D34" s="240" t="s">
        <v>30</v>
      </c>
      <c r="E34" s="242">
        <v>24.939999999999998</v>
      </c>
      <c r="F34" s="242">
        <f>+O34</f>
        <v>247.78</v>
      </c>
      <c r="G34" s="242">
        <f>+F34+E34</f>
        <v>272.72000000000003</v>
      </c>
      <c r="H34" s="243">
        <v>831289</v>
      </c>
      <c r="I34" s="243">
        <f>ROUND(+H34*G34,2)</f>
        <v>226709136.08000001</v>
      </c>
      <c r="J34" s="8"/>
      <c r="K34" s="8">
        <f t="shared" si="6"/>
        <v>844174</v>
      </c>
      <c r="L34" s="8">
        <f t="shared" si="2"/>
        <v>21053699.559999999</v>
      </c>
      <c r="M34" s="9" t="str">
        <f t="array" ref="M34:P34">_xlfn.XLOOKUP(B34,'Neiva 2022 FASE I ACTUAL (5)'!$B$6:$B$540,'Neiva 2022 FASE I ACTUAL (5)'!$C$6:$F$540,"NO ESTA")</f>
        <v>COLUMNAS EN CONCRETO DE 4000 psi</v>
      </c>
      <c r="N34" s="9" t="str">
        <v>M3</v>
      </c>
      <c r="O34" s="9">
        <v>247.78</v>
      </c>
      <c r="P34" s="9">
        <v>831289</v>
      </c>
      <c r="Q34" s="124" t="str">
        <f t="shared" si="5"/>
        <v>FASE II</v>
      </c>
      <c r="R34" s="155">
        <f t="shared" si="0"/>
        <v>272.72000000000003</v>
      </c>
      <c r="S34" s="156">
        <f t="shared" si="3"/>
        <v>844174</v>
      </c>
      <c r="T34" s="156">
        <f t="shared" si="4"/>
        <v>230223133.28</v>
      </c>
    </row>
    <row r="35" spans="1:20" s="9" customFormat="1" ht="35.1" customHeight="1" x14ac:dyDescent="0.25">
      <c r="A35" s="215"/>
      <c r="B35" s="255" t="s">
        <v>63</v>
      </c>
      <c r="C35" s="241" t="s">
        <v>64</v>
      </c>
      <c r="D35" s="240" t="s">
        <v>30</v>
      </c>
      <c r="E35" s="242">
        <v>15.569999999999993</v>
      </c>
      <c r="F35" s="242">
        <f>+O35</f>
        <v>152.63999999999999</v>
      </c>
      <c r="G35" s="242">
        <f>+F35+E35</f>
        <v>168.20999999999998</v>
      </c>
      <c r="H35" s="243">
        <v>831289</v>
      </c>
      <c r="I35" s="243">
        <f>ROUND(+H35*G35,2)</f>
        <v>139831122.69</v>
      </c>
      <c r="J35" s="8"/>
      <c r="K35" s="8">
        <f t="shared" si="6"/>
        <v>844174</v>
      </c>
      <c r="L35" s="8">
        <f t="shared" si="2"/>
        <v>13143789.179999994</v>
      </c>
      <c r="M35" s="9" t="str">
        <f t="array" ref="M35:P35">_xlfn.XLOOKUP(B35,'Neiva 2022 FASE I ACTUAL (5)'!$B$6:$B$540,'Neiva 2022 FASE I ACTUAL (5)'!$C$6:$F$540,"NO ESTA")</f>
        <v>PANTALLAS ASCENSORES Y ESCALERA EJES F2 Y K2 EN CONCRETO DE 4000 PSI</v>
      </c>
      <c r="N35" s="9" t="str">
        <v>M3</v>
      </c>
      <c r="O35" s="9">
        <v>152.63999999999999</v>
      </c>
      <c r="P35" s="9">
        <v>831289</v>
      </c>
      <c r="Q35" s="124" t="str">
        <f t="shared" si="5"/>
        <v>FASE II</v>
      </c>
      <c r="R35" s="155">
        <f t="shared" si="0"/>
        <v>168.20999999999998</v>
      </c>
      <c r="S35" s="156">
        <f t="shared" si="3"/>
        <v>844174</v>
      </c>
      <c r="T35" s="156">
        <f t="shared" si="4"/>
        <v>141998508.53999999</v>
      </c>
    </row>
    <row r="36" spans="1:20" s="9" customFormat="1" ht="35.1" customHeight="1" x14ac:dyDescent="0.25">
      <c r="A36" s="215"/>
      <c r="B36" s="244" t="s">
        <v>65</v>
      </c>
      <c r="C36" s="245" t="s">
        <v>66</v>
      </c>
      <c r="D36" s="244"/>
      <c r="E36" s="246"/>
      <c r="F36" s="246"/>
      <c r="G36" s="246"/>
      <c r="H36" s="303"/>
      <c r="I36" s="246"/>
      <c r="J36" s="8"/>
      <c r="K36" s="8">
        <f t="shared" si="6"/>
        <v>0</v>
      </c>
      <c r="L36" s="8">
        <f t="shared" si="2"/>
        <v>0</v>
      </c>
      <c r="M36" s="9" t="str">
        <f t="array" ref="M36:P36">_xlfn.XLOOKUP(B36,'Neiva 2022 FASE I ACTUAL (5)'!$B$6:$B$540,'Neiva 2022 FASE I ACTUAL (5)'!$C$6:$F$540,"NO ESTA")</f>
        <v>PLACAS Y LOSAS DE ENTREPISO</v>
      </c>
      <c r="N36" s="9">
        <v>0</v>
      </c>
      <c r="O36" s="9">
        <v>0</v>
      </c>
      <c r="P36" s="9">
        <v>0</v>
      </c>
      <c r="Q36" s="124">
        <f t="shared" si="5"/>
        <v>0</v>
      </c>
      <c r="R36" s="155">
        <f t="shared" si="0"/>
        <v>0</v>
      </c>
      <c r="S36" s="156">
        <f t="shared" si="3"/>
        <v>0</v>
      </c>
      <c r="T36" s="156">
        <f t="shared" si="4"/>
        <v>0</v>
      </c>
    </row>
    <row r="37" spans="1:20" s="9" customFormat="1" ht="35.1" customHeight="1" x14ac:dyDescent="0.25">
      <c r="A37" s="215"/>
      <c r="B37" s="253" t="s">
        <v>67</v>
      </c>
      <c r="C37" s="241" t="s">
        <v>1060</v>
      </c>
      <c r="D37" s="255" t="s">
        <v>30</v>
      </c>
      <c r="E37" s="242">
        <v>0</v>
      </c>
      <c r="F37" s="242">
        <f>+O37</f>
        <v>2128.8200000000002</v>
      </c>
      <c r="G37" s="242">
        <f>+F37+E37</f>
        <v>2128.8200000000002</v>
      </c>
      <c r="H37" s="243">
        <v>919820</v>
      </c>
      <c r="I37" s="243">
        <f>ROUND(+H37*G37,2)</f>
        <v>1958131212.4000001</v>
      </c>
      <c r="J37" s="8"/>
      <c r="K37" s="8">
        <f t="shared" si="6"/>
        <v>934077</v>
      </c>
      <c r="L37" s="8">
        <f t="shared" si="2"/>
        <v>0</v>
      </c>
      <c r="M37" s="9" t="str">
        <f t="array" ref="M37:P37">_xlfn.XLOOKUP(B37,'Neiva 2022 FASE I ACTUAL (5)'!$B$6:$B$540,'Neiva 2022 FASE I ACTUAL (5)'!$C$6:$F$540,"NO ESTA")</f>
        <v>PLACA ENTREPISO ALIGERADA H= 0.60M EN CONCRETO DE 4000 PSI incluye, VIGAS, VIGUETAS, RIOSTRAS, CASETON E: 7.5 cm aprox</v>
      </c>
      <c r="N37" s="9" t="str">
        <v>M3</v>
      </c>
      <c r="O37" s="9">
        <v>2128.8200000000002</v>
      </c>
      <c r="P37" s="9">
        <v>740030</v>
      </c>
      <c r="Q37" s="124" t="str">
        <f t="shared" si="5"/>
        <v>FASE II</v>
      </c>
      <c r="R37" s="155">
        <f t="shared" si="0"/>
        <v>2128.8200000000002</v>
      </c>
      <c r="S37" s="156">
        <f t="shared" si="3"/>
        <v>934077</v>
      </c>
      <c r="T37" s="156">
        <f t="shared" si="4"/>
        <v>1988481799.1400001</v>
      </c>
    </row>
    <row r="38" spans="1:20" s="9" customFormat="1" ht="35.1" customHeight="1" x14ac:dyDescent="0.25">
      <c r="A38" s="215"/>
      <c r="B38" s="253" t="s">
        <v>69</v>
      </c>
      <c r="C38" s="241" t="s">
        <v>70</v>
      </c>
      <c r="D38" s="255" t="s">
        <v>13</v>
      </c>
      <c r="E38" s="242">
        <v>235.59999999999991</v>
      </c>
      <c r="F38" s="242">
        <f>+O38</f>
        <v>1581</v>
      </c>
      <c r="G38" s="242">
        <f>+F38+E38</f>
        <v>1816.6</v>
      </c>
      <c r="H38" s="243">
        <v>100365</v>
      </c>
      <c r="I38" s="243">
        <f>ROUND(+H38*G38,2)</f>
        <v>182323059</v>
      </c>
      <c r="J38" s="8"/>
      <c r="K38" s="8">
        <f t="shared" si="6"/>
        <v>101921</v>
      </c>
      <c r="L38" s="8">
        <f t="shared" si="2"/>
        <v>24012587.59999999</v>
      </c>
      <c r="M38" s="9" t="str">
        <f t="array" ref="M38:P38">_xlfn.XLOOKUP(B38,'Neiva 2022 FASE I ACTUAL (5)'!$B$6:$B$540,'Neiva 2022 FASE I ACTUAL (5)'!$C$6:$F$540,"NO ESTA")</f>
        <v>PLACA MACIZA CONTRAPISO CIMENTACION E: 15 cms</v>
      </c>
      <c r="N38" s="9" t="str">
        <v>M2</v>
      </c>
      <c r="O38" s="9">
        <v>1581</v>
      </c>
      <c r="P38" s="9">
        <v>100365</v>
      </c>
      <c r="Q38" s="124" t="str">
        <f t="shared" si="5"/>
        <v>FASE II</v>
      </c>
      <c r="R38" s="155">
        <f t="shared" si="0"/>
        <v>1816.6</v>
      </c>
      <c r="S38" s="156">
        <f t="shared" si="3"/>
        <v>101921</v>
      </c>
      <c r="T38" s="156">
        <f t="shared" si="4"/>
        <v>185149688.59999999</v>
      </c>
    </row>
    <row r="39" spans="1:20" s="9" customFormat="1" ht="35.1" customHeight="1" x14ac:dyDescent="0.25">
      <c r="A39" s="215"/>
      <c r="B39" s="253" t="s">
        <v>71</v>
      </c>
      <c r="C39" s="241" t="s">
        <v>72</v>
      </c>
      <c r="D39" s="255" t="s">
        <v>30</v>
      </c>
      <c r="E39" s="242">
        <v>0</v>
      </c>
      <c r="F39" s="242">
        <f>+O39</f>
        <v>8.9</v>
      </c>
      <c r="G39" s="242">
        <f>+F39+E39</f>
        <v>8.9</v>
      </c>
      <c r="H39" s="243">
        <v>801684</v>
      </c>
      <c r="I39" s="243">
        <f>ROUND(+H39*G39,2)</f>
        <v>7134987.5999999996</v>
      </c>
      <c r="J39" s="8"/>
      <c r="K39" s="8">
        <f t="shared" si="6"/>
        <v>814110</v>
      </c>
      <c r="L39" s="8">
        <f t="shared" si="2"/>
        <v>0</v>
      </c>
      <c r="M39" s="9" t="str">
        <f t="array" ref="M39:P39">_xlfn.XLOOKUP(B39,'Neiva 2022 FASE I ACTUAL (5)'!$B$6:$B$540,'Neiva 2022 FASE I ACTUAL (5)'!$C$6:$F$540,"NO ESTA")</f>
        <v xml:space="preserve">PLACA MACIZA ZONA ASCENSOR 2DA PLANTA </v>
      </c>
      <c r="N39" s="9" t="str">
        <v>M3</v>
      </c>
      <c r="O39" s="9">
        <v>8.9</v>
      </c>
      <c r="P39" s="9">
        <v>743087</v>
      </c>
      <c r="Q39" s="124" t="str">
        <f t="shared" si="5"/>
        <v>FASE II</v>
      </c>
      <c r="R39" s="155">
        <f t="shared" si="0"/>
        <v>8.9</v>
      </c>
      <c r="S39" s="156">
        <f t="shared" si="3"/>
        <v>814110</v>
      </c>
      <c r="T39" s="156">
        <f t="shared" si="4"/>
        <v>7245579</v>
      </c>
    </row>
    <row r="40" spans="1:20" s="9" customFormat="1" ht="35.1" customHeight="1" x14ac:dyDescent="0.25">
      <c r="A40" s="215"/>
      <c r="B40" s="244" t="s">
        <v>73</v>
      </c>
      <c r="C40" s="245" t="s">
        <v>74</v>
      </c>
      <c r="D40" s="244"/>
      <c r="E40" s="246"/>
      <c r="F40" s="246"/>
      <c r="G40" s="246"/>
      <c r="H40" s="303"/>
      <c r="I40" s="246"/>
      <c r="J40" s="8"/>
      <c r="K40" s="8">
        <f t="shared" si="6"/>
        <v>0</v>
      </c>
      <c r="L40" s="8">
        <f t="shared" si="2"/>
        <v>0</v>
      </c>
      <c r="M40" s="9" t="str">
        <f t="array" ref="M40:P40">_xlfn.XLOOKUP(B40,'Neiva 2022 FASE I ACTUAL (5)'!$B$6:$B$540,'Neiva 2022 FASE I ACTUAL (5)'!$C$6:$F$540,"NO ESTA")</f>
        <v>CONSTRUCCIONES VARIAS EN CONCRETO</v>
      </c>
      <c r="N40" s="9">
        <v>0</v>
      </c>
      <c r="O40" s="9">
        <v>0</v>
      </c>
      <c r="P40" s="9">
        <v>0</v>
      </c>
      <c r="Q40" s="124">
        <f t="shared" si="5"/>
        <v>0</v>
      </c>
      <c r="R40" s="155">
        <f t="shared" si="0"/>
        <v>0</v>
      </c>
      <c r="S40" s="156">
        <f t="shared" si="3"/>
        <v>0</v>
      </c>
      <c r="T40" s="156">
        <f t="shared" si="4"/>
        <v>0</v>
      </c>
    </row>
    <row r="41" spans="1:20" s="9" customFormat="1" ht="35.1" customHeight="1" x14ac:dyDescent="0.25">
      <c r="A41" s="215"/>
      <c r="B41" s="253" t="s">
        <v>75</v>
      </c>
      <c r="C41" s="241" t="s">
        <v>76</v>
      </c>
      <c r="D41" s="255" t="s">
        <v>30</v>
      </c>
      <c r="E41" s="242">
        <v>11.299999999999997</v>
      </c>
      <c r="F41" s="242">
        <f>+O41</f>
        <v>73</v>
      </c>
      <c r="G41" s="242">
        <f>+F41+E41</f>
        <v>84.3</v>
      </c>
      <c r="H41" s="243">
        <v>807348</v>
      </c>
      <c r="I41" s="243">
        <f>ROUND(+H41*G41,2)</f>
        <v>68059436.400000006</v>
      </c>
      <c r="J41" s="8"/>
      <c r="K41" s="8">
        <f t="shared" si="6"/>
        <v>819862</v>
      </c>
      <c r="L41" s="8">
        <f t="shared" si="2"/>
        <v>9264440.5999999978</v>
      </c>
      <c r="M41" s="9" t="str">
        <f t="array" ref="M41:P41">_xlfn.XLOOKUP(B41,'Neiva 2022 FASE I ACTUAL (5)'!$B$6:$B$540,'Neiva 2022 FASE I ACTUAL (5)'!$C$6:$F$540,"NO ESTA")</f>
        <v>MURO EN CONCRETO DE 4000 PSI DESCOLGADO VIGA 00C 30x120</v>
      </c>
      <c r="N41" s="9" t="str">
        <v>M3</v>
      </c>
      <c r="O41" s="9">
        <v>73</v>
      </c>
      <c r="P41" s="9">
        <v>724119</v>
      </c>
      <c r="Q41" s="124" t="str">
        <f t="shared" si="5"/>
        <v>FASE II</v>
      </c>
      <c r="R41" s="155">
        <f t="shared" si="0"/>
        <v>84.3</v>
      </c>
      <c r="S41" s="156">
        <f t="shared" si="3"/>
        <v>819862</v>
      </c>
      <c r="T41" s="156">
        <f t="shared" si="4"/>
        <v>69114366.599999994</v>
      </c>
    </row>
    <row r="42" spans="1:20" s="9" customFormat="1" ht="35.1" customHeight="1" x14ac:dyDescent="0.25">
      <c r="A42" s="215"/>
      <c r="B42" s="253" t="s">
        <v>77</v>
      </c>
      <c r="C42" s="241" t="s">
        <v>78</v>
      </c>
      <c r="D42" s="255" t="s">
        <v>30</v>
      </c>
      <c r="E42" s="242">
        <v>15.900000000000006</v>
      </c>
      <c r="F42" s="242">
        <f>+O42</f>
        <v>109</v>
      </c>
      <c r="G42" s="242">
        <f>+F42+E42</f>
        <v>124.9</v>
      </c>
      <c r="H42" s="243">
        <v>778647</v>
      </c>
      <c r="I42" s="243">
        <f>ROUND(+H42*G42,2)</f>
        <v>97253010.299999997</v>
      </c>
      <c r="J42" s="8"/>
      <c r="K42" s="8">
        <f t="shared" si="6"/>
        <v>790716</v>
      </c>
      <c r="L42" s="8">
        <f t="shared" si="2"/>
        <v>12572384.400000004</v>
      </c>
      <c r="M42" s="9" t="str">
        <f t="array" ref="M42:P42">_xlfn.XLOOKUP(B42,'Neiva 2022 FASE I ACTUAL (5)'!$B$6:$B$540,'Neiva 2022 FASE I ACTUAL (5)'!$C$6:$F$540,"NO ESTA")</f>
        <v>MURO ESTRUCTURAL EN CONCRETO DE 4000 PSI FACHADA EXTERIOR</v>
      </c>
      <c r="N42" s="9" t="str">
        <v>M3</v>
      </c>
      <c r="O42" s="9">
        <v>109</v>
      </c>
      <c r="P42" s="9">
        <v>724119</v>
      </c>
      <c r="Q42" s="124" t="str">
        <f t="shared" si="5"/>
        <v>FASE II</v>
      </c>
      <c r="R42" s="155">
        <f t="shared" si="0"/>
        <v>124.9</v>
      </c>
      <c r="S42" s="156">
        <f t="shared" si="3"/>
        <v>790716</v>
      </c>
      <c r="T42" s="156">
        <f t="shared" si="4"/>
        <v>98760428.400000006</v>
      </c>
    </row>
    <row r="43" spans="1:20" s="9" customFormat="1" ht="35.1" customHeight="1" x14ac:dyDescent="0.25">
      <c r="A43" s="215"/>
      <c r="B43" s="253" t="s">
        <v>79</v>
      </c>
      <c r="C43" s="241" t="s">
        <v>80</v>
      </c>
      <c r="D43" s="240" t="s">
        <v>30</v>
      </c>
      <c r="E43" s="242">
        <v>4.7000000000000028</v>
      </c>
      <c r="F43" s="242">
        <f>+O43</f>
        <v>30</v>
      </c>
      <c r="G43" s="242">
        <f>+F43+E43</f>
        <v>34.700000000000003</v>
      </c>
      <c r="H43" s="243">
        <v>924742</v>
      </c>
      <c r="I43" s="243">
        <f>ROUND(+H43*G43,2)</f>
        <v>32088547.399999999</v>
      </c>
      <c r="J43" s="145" t="s">
        <v>1061</v>
      </c>
      <c r="K43" s="8">
        <f t="shared" si="6"/>
        <v>939076</v>
      </c>
      <c r="L43" s="8">
        <f t="shared" si="2"/>
        <v>4413657.200000003</v>
      </c>
      <c r="M43" s="9" t="str">
        <f t="array" ref="M43:P43">_xlfn.XLOOKUP(B43,'Neiva 2022 FASE I ACTUAL (5)'!$B$6:$B$540,'Neiva 2022 FASE I ACTUAL (5)'!$C$6:$F$540,"NO ESTA")</f>
        <v>ESCALERAS INTERNAS</v>
      </c>
      <c r="N43" s="9" t="str">
        <v>M3</v>
      </c>
      <c r="O43" s="9">
        <v>30</v>
      </c>
      <c r="P43" s="9">
        <v>743087</v>
      </c>
      <c r="Q43" s="124" t="str">
        <f t="shared" si="5"/>
        <v>FASE II</v>
      </c>
      <c r="R43" s="155">
        <f t="shared" si="0"/>
        <v>34.700000000000003</v>
      </c>
      <c r="S43" s="156">
        <f t="shared" si="3"/>
        <v>939076</v>
      </c>
      <c r="T43" s="156">
        <f t="shared" si="4"/>
        <v>32585937.199999999</v>
      </c>
    </row>
    <row r="44" spans="1:20" s="9" customFormat="1" ht="35.1" customHeight="1" x14ac:dyDescent="0.25">
      <c r="A44" s="215"/>
      <c r="B44" s="253" t="s">
        <v>81</v>
      </c>
      <c r="C44" s="241" t="s">
        <v>82</v>
      </c>
      <c r="D44" s="240" t="s">
        <v>30</v>
      </c>
      <c r="E44" s="242">
        <v>2</v>
      </c>
      <c r="F44" s="242">
        <f>+O44</f>
        <v>17</v>
      </c>
      <c r="G44" s="242">
        <f>+F44+E44</f>
        <v>19</v>
      </c>
      <c r="H44" s="243">
        <v>924742</v>
      </c>
      <c r="I44" s="243">
        <f>ROUND(+H44*G44,2)</f>
        <v>17570098</v>
      </c>
      <c r="J44" s="8"/>
      <c r="K44" s="8">
        <f t="shared" si="6"/>
        <v>939076</v>
      </c>
      <c r="L44" s="8">
        <f t="shared" si="2"/>
        <v>1878152</v>
      </c>
      <c r="M44" s="9" t="str">
        <f t="array" ref="M44:P44">_xlfn.XLOOKUP(B44,'Neiva 2022 FASE I ACTUAL (5)'!$B$6:$B$540,'Neiva 2022 FASE I ACTUAL (5)'!$C$6:$F$540,"NO ESTA")</f>
        <v>ESCALERA ACCESO SEGUNDO (2DO) Y TERCER (3ER) PISO EJES 1 Y 4'</v>
      </c>
      <c r="N44" s="9" t="str">
        <v>M3</v>
      </c>
      <c r="O44" s="9">
        <v>17</v>
      </c>
      <c r="P44" s="9">
        <v>743087</v>
      </c>
      <c r="Q44" s="124" t="str">
        <f t="shared" si="5"/>
        <v>FASE II</v>
      </c>
      <c r="R44" s="155">
        <f t="shared" si="0"/>
        <v>19</v>
      </c>
      <c r="S44" s="156">
        <f t="shared" si="3"/>
        <v>939076</v>
      </c>
      <c r="T44" s="156">
        <f t="shared" si="4"/>
        <v>17842444</v>
      </c>
    </row>
    <row r="45" spans="1:20" s="9" customFormat="1" ht="35.1" customHeight="1" x14ac:dyDescent="0.25">
      <c r="A45" s="215"/>
      <c r="B45" s="253" t="s">
        <v>83</v>
      </c>
      <c r="C45" s="241" t="s">
        <v>84</v>
      </c>
      <c r="D45" s="255" t="s">
        <v>30</v>
      </c>
      <c r="E45" s="242">
        <v>9</v>
      </c>
      <c r="F45" s="242">
        <f>+O45</f>
        <v>63</v>
      </c>
      <c r="G45" s="242">
        <f>+F45+E45</f>
        <v>72</v>
      </c>
      <c r="H45" s="243">
        <v>865328</v>
      </c>
      <c r="I45" s="243">
        <f>ROUND(+H45*G45,2)</f>
        <v>62303616</v>
      </c>
      <c r="J45" s="8">
        <f>ROUND(H45+H45*20%*$J$3,0)</f>
        <v>1030225</v>
      </c>
      <c r="K45" s="8">
        <f t="shared" si="6"/>
        <v>878741</v>
      </c>
      <c r="L45" s="8">
        <f t="shared" si="2"/>
        <v>7908669</v>
      </c>
      <c r="M45" s="9" t="str">
        <f t="array" ref="M45:P45">_xlfn.XLOOKUP(B45,'Neiva 2022 FASE I ACTUAL (5)'!$B$6:$B$540,'Neiva 2022 FASE I ACTUAL (5)'!$C$6:$F$540,"NO ESTA")</f>
        <v>RAMPAS DE ACCESO Incluye ACERO DE REFUERZO</v>
      </c>
      <c r="N45" s="9" t="str">
        <v>M3</v>
      </c>
      <c r="O45" s="9">
        <v>63</v>
      </c>
      <c r="P45" s="9">
        <v>761561</v>
      </c>
      <c r="Q45" s="124" t="str">
        <f t="shared" si="5"/>
        <v>FASE II</v>
      </c>
      <c r="R45" s="155">
        <f t="shared" si="0"/>
        <v>72</v>
      </c>
      <c r="S45" s="156">
        <f t="shared" si="3"/>
        <v>878741</v>
      </c>
      <c r="T45" s="156">
        <f t="shared" si="4"/>
        <v>63269352</v>
      </c>
    </row>
    <row r="46" spans="1:20" s="9" customFormat="1" ht="35.1" customHeight="1" x14ac:dyDescent="0.25">
      <c r="A46" s="215"/>
      <c r="B46" s="244" t="s">
        <v>85</v>
      </c>
      <c r="C46" s="256" t="s">
        <v>86</v>
      </c>
      <c r="D46" s="256"/>
      <c r="E46" s="246"/>
      <c r="F46" s="246"/>
      <c r="G46" s="246"/>
      <c r="H46" s="303"/>
      <c r="I46" s="246"/>
      <c r="J46" s="8"/>
      <c r="K46" s="8">
        <f t="shared" si="6"/>
        <v>0</v>
      </c>
      <c r="L46" s="8">
        <f t="shared" si="2"/>
        <v>0</v>
      </c>
      <c r="M46" s="9" t="str">
        <f t="array" ref="M46:P46">_xlfn.XLOOKUP(B46,'Neiva 2022 FASE I ACTUAL (5)'!$B$6:$B$540,'Neiva 2022 FASE I ACTUAL (5)'!$C$6:$F$540,"NO ESTA")</f>
        <v>SUMINISTRO E INSTALACIÓN ACERO DE REFUERZO ELEMENTOS ESTRUCTURALES, PLACAS MACIZAS, CONSTRUCCIONES VARIAS EN CONCRETOS</v>
      </c>
      <c r="N46" s="9">
        <v>0</v>
      </c>
      <c r="O46" s="9">
        <v>0</v>
      </c>
      <c r="P46" s="9">
        <v>0</v>
      </c>
      <c r="Q46" s="124">
        <f t="shared" si="5"/>
        <v>0</v>
      </c>
      <c r="R46" s="155">
        <f t="shared" si="0"/>
        <v>0</v>
      </c>
      <c r="S46" s="156">
        <f t="shared" si="3"/>
        <v>0</v>
      </c>
      <c r="T46" s="156">
        <f t="shared" si="4"/>
        <v>0</v>
      </c>
    </row>
    <row r="47" spans="1:20" s="9" customFormat="1" ht="35.1" customHeight="1" x14ac:dyDescent="0.25">
      <c r="A47" s="215"/>
      <c r="B47" s="240" t="s">
        <v>87</v>
      </c>
      <c r="C47" s="251" t="s">
        <v>54</v>
      </c>
      <c r="D47" s="240" t="s">
        <v>55</v>
      </c>
      <c r="E47" s="242">
        <v>84343.400000000023</v>
      </c>
      <c r="F47" s="242">
        <f>+O47</f>
        <v>134615.48000000001</v>
      </c>
      <c r="G47" s="242">
        <f>+F47+E47</f>
        <v>218958.88000000003</v>
      </c>
      <c r="H47" s="243">
        <v>5265</v>
      </c>
      <c r="I47" s="243">
        <f>ROUND(+H47*G47,2)</f>
        <v>1152818503.2</v>
      </c>
      <c r="J47" s="8"/>
      <c r="K47" s="8">
        <f>+H47</f>
        <v>5265</v>
      </c>
      <c r="L47" s="8">
        <f t="shared" si="2"/>
        <v>444068001.00000012</v>
      </c>
      <c r="M47" s="9" t="str">
        <f t="array" ref="M47:P47">_xlfn.XLOOKUP(B47,'Neiva 2022 FASE I ACTUAL (5)'!$B$6:$B$540,'Neiva 2022 FASE I ACTUAL (5)'!$C$6:$F$540,"NO ESTA")</f>
        <v>ACERO DE REFUERZO 60000 psi Incluye ALAMBRE DE AMARRE</v>
      </c>
      <c r="N47" s="9" t="str">
        <v>KG</v>
      </c>
      <c r="O47" s="9">
        <v>134615.48000000001</v>
      </c>
      <c r="P47" s="9">
        <v>5265</v>
      </c>
      <c r="Q47" s="124" t="str">
        <f t="shared" si="5"/>
        <v>FASE II</v>
      </c>
      <c r="R47" s="155">
        <f t="shared" si="0"/>
        <v>218958.88000000003</v>
      </c>
      <c r="S47" s="156">
        <f t="shared" si="3"/>
        <v>5265</v>
      </c>
      <c r="T47" s="156">
        <f t="shared" si="4"/>
        <v>1152818503.2</v>
      </c>
    </row>
    <row r="48" spans="1:20" s="9" customFormat="1" ht="35.1" customHeight="1" x14ac:dyDescent="0.25">
      <c r="A48" s="215"/>
      <c r="B48" s="253" t="s">
        <v>88</v>
      </c>
      <c r="C48" s="254" t="s">
        <v>89</v>
      </c>
      <c r="D48" s="240" t="s">
        <v>13</v>
      </c>
      <c r="E48" s="242">
        <v>938.19999999999982</v>
      </c>
      <c r="F48" s="242">
        <f>+O48</f>
        <v>6220.01</v>
      </c>
      <c r="G48" s="242">
        <f>+F48+E48</f>
        <v>7158.21</v>
      </c>
      <c r="H48" s="243">
        <v>7898</v>
      </c>
      <c r="I48" s="243">
        <f>ROUND(+H48*G48,2)</f>
        <v>56535542.579999998</v>
      </c>
      <c r="J48" s="8"/>
      <c r="K48" s="8">
        <f>+H48</f>
        <v>7898</v>
      </c>
      <c r="L48" s="8">
        <f t="shared" si="2"/>
        <v>7409903.5999999987</v>
      </c>
      <c r="M48" s="9" t="str">
        <f t="array" ref="M48:P48">_xlfn.XLOOKUP(B48,'Neiva 2022 FASE I ACTUAL (5)'!$B$6:$B$540,'Neiva 2022 FASE I ACTUAL (5)'!$C$6:$F$540,"NO ESTA")</f>
        <v>MALLA ELECTROSOLDADA PLACA ENTREPISO Q85 Ø4 mm separación 15x15 cm o similar</v>
      </c>
      <c r="N48" s="9" t="str">
        <v>M2</v>
      </c>
      <c r="O48" s="9">
        <v>6220.01</v>
      </c>
      <c r="P48" s="9">
        <v>7898</v>
      </c>
      <c r="Q48" s="124" t="str">
        <f t="shared" si="5"/>
        <v>FASE II</v>
      </c>
      <c r="R48" s="155">
        <f t="shared" si="0"/>
        <v>7158.21</v>
      </c>
      <c r="S48" s="156">
        <f t="shared" si="3"/>
        <v>7898</v>
      </c>
      <c r="T48" s="156">
        <f t="shared" si="4"/>
        <v>56535542.579999998</v>
      </c>
    </row>
    <row r="49" spans="1:20" s="9" customFormat="1" ht="35.1" customHeight="1" x14ac:dyDescent="0.25">
      <c r="A49" s="215"/>
      <c r="B49" s="244" t="s">
        <v>90</v>
      </c>
      <c r="C49" s="256" t="s">
        <v>91</v>
      </c>
      <c r="D49" s="256"/>
      <c r="E49" s="246"/>
      <c r="F49" s="246"/>
      <c r="G49" s="246"/>
      <c r="H49" s="303"/>
      <c r="I49" s="246"/>
      <c r="J49" s="8"/>
      <c r="K49" s="8">
        <f t="shared" ref="K49:K112" si="7">+ROUND(H49*(1+$K$4),0)</f>
        <v>0</v>
      </c>
      <c r="L49" s="8">
        <f t="shared" si="2"/>
        <v>0</v>
      </c>
      <c r="M49" s="9" t="str">
        <f t="array" ref="M49:P49">_xlfn.XLOOKUP(B49,'Neiva 2022 FASE I ACTUAL (5)'!$B$6:$B$540,'Neiva 2022 FASE I ACTUAL (5)'!$C$6:$F$540,"NO ESTA")</f>
        <v>SUMINISTRO E INSTALACION DE ESTRUCTURA METALICA CUBIERTA</v>
      </c>
      <c r="N49" s="9">
        <v>0</v>
      </c>
      <c r="O49" s="9">
        <v>0</v>
      </c>
      <c r="P49" s="9">
        <v>0</v>
      </c>
      <c r="Q49" s="124">
        <f t="shared" si="5"/>
        <v>0</v>
      </c>
      <c r="R49" s="155">
        <f t="shared" si="0"/>
        <v>0</v>
      </c>
      <c r="S49" s="156">
        <f t="shared" si="3"/>
        <v>0</v>
      </c>
      <c r="T49" s="156">
        <f t="shared" si="4"/>
        <v>0</v>
      </c>
    </row>
    <row r="50" spans="1:20" s="9" customFormat="1" ht="35.1" customHeight="1" x14ac:dyDescent="0.25">
      <c r="A50" s="215"/>
      <c r="B50" s="240" t="s">
        <v>92</v>
      </c>
      <c r="C50" s="251" t="s">
        <v>93</v>
      </c>
      <c r="D50" s="240" t="s">
        <v>94</v>
      </c>
      <c r="E50" s="242">
        <v>14.099999999999994</v>
      </c>
      <c r="F50" s="242">
        <f>+O50</f>
        <v>194</v>
      </c>
      <c r="G50" s="242">
        <f>+F50+E50</f>
        <v>208.1</v>
      </c>
      <c r="H50" s="243">
        <v>111088</v>
      </c>
      <c r="I50" s="243">
        <f>ROUND(+H50*G50,2)</f>
        <v>23117412.800000001</v>
      </c>
      <c r="J50" s="8">
        <f>ROUND(+H50*(1+$J$3),0)</f>
        <v>216933</v>
      </c>
      <c r="K50" s="8">
        <f t="shared" si="7"/>
        <v>112810</v>
      </c>
      <c r="L50" s="8">
        <f t="shared" si="2"/>
        <v>1590620.9999999993</v>
      </c>
      <c r="M50" s="9" t="str">
        <f t="array" ref="M50:P50">_xlfn.XLOOKUP(B50,'Neiva 2022 FASE I ACTUAL (5)'!$B$6:$B$540,'Neiva 2022 FASE I ACTUAL (5)'!$C$6:$F$540,"NO ESTA")</f>
        <v>CERCHA METALICA CUBIERTA</v>
      </c>
      <c r="N50" s="9" t="str">
        <v>ML</v>
      </c>
      <c r="O50" s="9">
        <v>194</v>
      </c>
      <c r="P50" s="9">
        <v>107633</v>
      </c>
      <c r="Q50" s="124" t="str">
        <f t="shared" si="5"/>
        <v>FASE II</v>
      </c>
      <c r="R50" s="155">
        <f t="shared" si="0"/>
        <v>208.1</v>
      </c>
      <c r="S50" s="156">
        <f t="shared" si="3"/>
        <v>112810</v>
      </c>
      <c r="T50" s="156">
        <f t="shared" si="4"/>
        <v>23475761</v>
      </c>
    </row>
    <row r="51" spans="1:20" s="9" customFormat="1" ht="35.1" customHeight="1" x14ac:dyDescent="0.25">
      <c r="A51" s="215"/>
      <c r="B51" s="240" t="s">
        <v>95</v>
      </c>
      <c r="C51" s="251" t="s">
        <v>96</v>
      </c>
      <c r="D51" s="240" t="s">
        <v>94</v>
      </c>
      <c r="E51" s="242">
        <v>28.599999999999994</v>
      </c>
      <c r="F51" s="242">
        <f>+O51</f>
        <v>1240</v>
      </c>
      <c r="G51" s="242">
        <f>+F51+E51</f>
        <v>1268.5999999999999</v>
      </c>
      <c r="H51" s="243">
        <v>79477</v>
      </c>
      <c r="I51" s="243">
        <f>ROUND(+H51*G51,2)</f>
        <v>100824522.2</v>
      </c>
      <c r="J51" s="8">
        <f>ROUND(+H51*(1+$J$3),0)</f>
        <v>155203</v>
      </c>
      <c r="K51" s="8">
        <f t="shared" si="7"/>
        <v>80709</v>
      </c>
      <c r="L51" s="8">
        <f t="shared" si="2"/>
        <v>2308277.3999999994</v>
      </c>
      <c r="M51" s="9" t="str">
        <f t="array" ref="M51:P51">_xlfn.XLOOKUP(B51,'Neiva 2022 FASE I ACTUAL (5)'!$B$6:$B$540,'Neiva 2022 FASE I ACTUAL (5)'!$C$6:$F$540,"NO ESTA")</f>
        <v>CORREAS METALICAS CUBIERTA</v>
      </c>
      <c r="N51" s="9" t="str">
        <v>ML</v>
      </c>
      <c r="O51" s="9">
        <v>1240</v>
      </c>
      <c r="P51" s="9">
        <v>76272</v>
      </c>
      <c r="Q51" s="124" t="str">
        <f t="shared" si="5"/>
        <v>FASE II</v>
      </c>
      <c r="R51" s="155">
        <f t="shared" si="0"/>
        <v>1268.5999999999999</v>
      </c>
      <c r="S51" s="156">
        <f t="shared" si="3"/>
        <v>80709</v>
      </c>
      <c r="T51" s="156">
        <f t="shared" si="4"/>
        <v>102387437.40000001</v>
      </c>
    </row>
    <row r="52" spans="1:20" s="9" customFormat="1" ht="35.1" customHeight="1" x14ac:dyDescent="0.25">
      <c r="A52" s="215"/>
      <c r="B52" s="240" t="s">
        <v>97</v>
      </c>
      <c r="C52" s="254" t="s">
        <v>98</v>
      </c>
      <c r="D52" s="255" t="s">
        <v>13</v>
      </c>
      <c r="E52" s="242">
        <v>488.5</v>
      </c>
      <c r="F52" s="242">
        <f>+O52</f>
        <v>508</v>
      </c>
      <c r="G52" s="242">
        <f>+F52+E52</f>
        <v>996.5</v>
      </c>
      <c r="H52" s="243">
        <v>105087</v>
      </c>
      <c r="I52" s="243">
        <f>ROUND(+H52*G52,2)</f>
        <v>104719195.5</v>
      </c>
      <c r="J52" s="8"/>
      <c r="K52" s="8">
        <f t="shared" si="7"/>
        <v>106716</v>
      </c>
      <c r="L52" s="8">
        <f t="shared" si="2"/>
        <v>52130766</v>
      </c>
      <c r="M52" s="9" t="str">
        <f t="array" ref="M52:P52">_xlfn.XLOOKUP(B52,'Neiva 2022 FASE I ACTUAL (5)'!$B$6:$B$540,'Neiva 2022 FASE I ACTUAL (5)'!$C$6:$F$540,"NO ESTA")</f>
        <v>CUBIERTA TIPO SANDWICH</v>
      </c>
      <c r="N52" s="9" t="str">
        <v>M2</v>
      </c>
      <c r="O52" s="9">
        <v>508</v>
      </c>
      <c r="P52" s="9">
        <v>100848</v>
      </c>
      <c r="Q52" s="124" t="str">
        <f t="shared" si="5"/>
        <v>FASE II</v>
      </c>
      <c r="R52" s="155">
        <f t="shared" si="0"/>
        <v>996.5</v>
      </c>
      <c r="S52" s="156">
        <f t="shared" si="3"/>
        <v>106716</v>
      </c>
      <c r="T52" s="156">
        <f t="shared" si="4"/>
        <v>106342494</v>
      </c>
    </row>
    <row r="53" spans="1:20" s="9" customFormat="1" ht="35.1" customHeight="1" x14ac:dyDescent="0.25">
      <c r="A53" s="215"/>
      <c r="B53" s="247">
        <v>4</v>
      </c>
      <c r="C53" s="248" t="s">
        <v>99</v>
      </c>
      <c r="D53" s="248"/>
      <c r="E53" s="249"/>
      <c r="F53" s="249"/>
      <c r="G53" s="249"/>
      <c r="H53" s="305"/>
      <c r="I53" s="249"/>
      <c r="J53" s="8"/>
      <c r="K53" s="8">
        <f t="shared" si="7"/>
        <v>0</v>
      </c>
      <c r="L53" s="8">
        <f t="shared" si="2"/>
        <v>0</v>
      </c>
      <c r="M53" s="9" t="str">
        <f t="array" ref="M53:P53">_xlfn.XLOOKUP(B53,'Neiva 2022 FASE I ACTUAL (5)'!$B$6:$B$540,'Neiva 2022 FASE I ACTUAL (5)'!$C$6:$F$540,"NO ESTA")</f>
        <v>CIELO RASOS</v>
      </c>
      <c r="N53" s="9">
        <v>0</v>
      </c>
      <c r="O53" s="9">
        <v>0</v>
      </c>
      <c r="P53" s="9">
        <v>0</v>
      </c>
      <c r="Q53" s="124">
        <f t="shared" si="5"/>
        <v>0</v>
      </c>
      <c r="R53" s="155">
        <f t="shared" si="0"/>
        <v>0</v>
      </c>
      <c r="S53" s="156">
        <f t="shared" si="3"/>
        <v>0</v>
      </c>
      <c r="T53" s="156">
        <f t="shared" si="4"/>
        <v>0</v>
      </c>
    </row>
    <row r="54" spans="1:20" s="9" customFormat="1" ht="35.1" customHeight="1" x14ac:dyDescent="0.25">
      <c r="A54" s="215"/>
      <c r="B54" s="244" t="s">
        <v>100</v>
      </c>
      <c r="C54" s="245" t="s">
        <v>101</v>
      </c>
      <c r="D54" s="260"/>
      <c r="E54" s="246"/>
      <c r="F54" s="246"/>
      <c r="G54" s="246"/>
      <c r="H54" s="303"/>
      <c r="I54" s="246"/>
      <c r="J54" s="8"/>
      <c r="K54" s="8">
        <f t="shared" si="7"/>
        <v>0</v>
      </c>
      <c r="L54" s="8">
        <f t="shared" si="2"/>
        <v>0</v>
      </c>
      <c r="M54" s="9" t="str">
        <f t="array" ref="M54:P54">_xlfn.XLOOKUP(B54,'Neiva 2022 FASE I ACTUAL (5)'!$B$6:$B$540,'Neiva 2022 FASE I ACTUAL (5)'!$C$6:$F$540,"NO ESTA")</f>
        <v>SUMINISTRO E INSTALACION DE CIELOS RASOS PISO 1</v>
      </c>
      <c r="N54" s="9">
        <v>0</v>
      </c>
      <c r="O54" s="9">
        <v>0</v>
      </c>
      <c r="P54" s="9">
        <v>0</v>
      </c>
      <c r="Q54" s="124">
        <f t="shared" si="5"/>
        <v>0</v>
      </c>
      <c r="R54" s="155">
        <f t="shared" si="0"/>
        <v>0</v>
      </c>
      <c r="S54" s="156">
        <f t="shared" si="3"/>
        <v>0</v>
      </c>
      <c r="T54" s="156">
        <f t="shared" si="4"/>
        <v>0</v>
      </c>
    </row>
    <row r="55" spans="1:20" s="9" customFormat="1" ht="35.1" customHeight="1" x14ac:dyDescent="0.25">
      <c r="A55" s="215"/>
      <c r="B55" s="255" t="s">
        <v>102</v>
      </c>
      <c r="C55" s="254" t="s">
        <v>1062</v>
      </c>
      <c r="D55" s="255" t="s">
        <v>13</v>
      </c>
      <c r="E55" s="242">
        <v>0</v>
      </c>
      <c r="F55" s="242">
        <f>+O55</f>
        <v>59.86</v>
      </c>
      <c r="G55" s="242">
        <f>+F55+E55</f>
        <v>59.86</v>
      </c>
      <c r="H55" s="243">
        <v>53489</v>
      </c>
      <c r="I55" s="243">
        <f>ROUND(+H55*G55,2)</f>
        <v>3201851.54</v>
      </c>
      <c r="J55" s="8"/>
      <c r="K55" s="8">
        <f t="shared" si="7"/>
        <v>54318</v>
      </c>
      <c r="L55" s="8">
        <f t="shared" si="2"/>
        <v>0</v>
      </c>
      <c r="M55" s="9" t="str">
        <f t="array" ref="M55:P55">_xlfn.XLOOKUP(B55,'Neiva 2022 FASE I ACTUAL (5)'!$B$6:$B$540,'Neiva 2022 FASE I ACTUAL (5)'!$C$6:$F$540,"NO ESTA")</f>
        <v>SUMINISTRO E INSTALACION CIELO RASO EN DRYWALL LAMINA VERDE RH  PINTADO A 3 MANOS PINTURA VINILO TIPO 1 o similar  BLANCA Ref. Planos 09512</v>
      </c>
      <c r="N55" s="9" t="str">
        <v>M2</v>
      </c>
      <c r="O55" s="9">
        <v>59.86</v>
      </c>
      <c r="P55" s="9">
        <v>43820</v>
      </c>
      <c r="Q55" s="124" t="str">
        <f t="shared" si="5"/>
        <v>FASE II</v>
      </c>
      <c r="R55" s="155">
        <f t="shared" si="0"/>
        <v>59.86</v>
      </c>
      <c r="S55" s="156">
        <f t="shared" si="3"/>
        <v>54318</v>
      </c>
      <c r="T55" s="156">
        <f t="shared" si="4"/>
        <v>3251475.48</v>
      </c>
    </row>
    <row r="56" spans="1:20" s="9" customFormat="1" ht="35.1" customHeight="1" x14ac:dyDescent="0.25">
      <c r="A56" s="215"/>
      <c r="B56" s="255" t="s">
        <v>104</v>
      </c>
      <c r="C56" s="254" t="s">
        <v>105</v>
      </c>
      <c r="D56" s="255" t="s">
        <v>13</v>
      </c>
      <c r="E56" s="242">
        <v>0</v>
      </c>
      <c r="F56" s="242">
        <f>+O56</f>
        <v>388.43</v>
      </c>
      <c r="G56" s="242">
        <f>+F56+E56</f>
        <v>388.43</v>
      </c>
      <c r="H56" s="243">
        <v>53489</v>
      </c>
      <c r="I56" s="243">
        <f>ROUND(+H56*G56,2)</f>
        <v>20776732.27</v>
      </c>
      <c r="J56" s="8"/>
      <c r="K56" s="8">
        <f t="shared" si="7"/>
        <v>54318</v>
      </c>
      <c r="L56" s="8">
        <f t="shared" si="2"/>
        <v>0</v>
      </c>
      <c r="M56" s="9" t="str">
        <f t="array" ref="M56:P56">_xlfn.XLOOKUP(B56,'Neiva 2022 FASE I ACTUAL (5)'!$B$6:$B$540,'Neiva 2022 FASE I ACTUAL (5)'!$C$6:$F$540,"NO ESTA")</f>
        <v>SUMINISTRO E INSTALACION CIELO RASO EN DRYWALL LAMINA BLANCA PINTADO A 3 MANOS PINTURA VINILO TIPO 1  BLANCA Ref. Planos 09511</v>
      </c>
      <c r="N56" s="9" t="str">
        <v>M2</v>
      </c>
      <c r="O56" s="9">
        <v>388.43</v>
      </c>
      <c r="P56" s="9">
        <v>43820</v>
      </c>
      <c r="Q56" s="124" t="str">
        <f t="shared" si="5"/>
        <v>FASE II</v>
      </c>
      <c r="R56" s="155">
        <f t="shared" si="0"/>
        <v>388.43</v>
      </c>
      <c r="S56" s="156">
        <f t="shared" si="3"/>
        <v>54318</v>
      </c>
      <c r="T56" s="156">
        <f t="shared" si="4"/>
        <v>21098740.739999998</v>
      </c>
    </row>
    <row r="57" spans="1:20" s="9" customFormat="1" ht="35.1" customHeight="1" x14ac:dyDescent="0.25">
      <c r="A57" s="215"/>
      <c r="B57" s="261" t="s">
        <v>1063</v>
      </c>
      <c r="C57" s="262" t="s">
        <v>1064</v>
      </c>
      <c r="D57" s="263"/>
      <c r="E57" s="264"/>
      <c r="F57" s="264"/>
      <c r="G57" s="264"/>
      <c r="H57" s="303"/>
      <c r="I57" s="246"/>
      <c r="J57" s="8"/>
      <c r="K57" s="8">
        <f t="shared" si="7"/>
        <v>0</v>
      </c>
      <c r="L57" s="8">
        <f t="shared" si="2"/>
        <v>0</v>
      </c>
      <c r="M57" s="9" t="str">
        <f t="array" ref="M57">_xlfn.XLOOKUP(B57,'Neiva 2022 FASE I ACTUAL (5)'!$B$6:$B$540,'Neiva 2022 FASE I ACTUAL (5)'!$C$6:$F$540,"NO ESTA")</f>
        <v>NO ESTA</v>
      </c>
      <c r="Q57" s="124">
        <f t="shared" si="5"/>
        <v>0</v>
      </c>
      <c r="R57" s="155">
        <f t="shared" si="0"/>
        <v>0</v>
      </c>
      <c r="S57" s="156">
        <f t="shared" si="3"/>
        <v>0</v>
      </c>
      <c r="T57" s="156">
        <f t="shared" si="4"/>
        <v>0</v>
      </c>
    </row>
    <row r="58" spans="1:20" s="9" customFormat="1" ht="49.15" customHeight="1" x14ac:dyDescent="0.25">
      <c r="A58" s="215"/>
      <c r="B58" s="255" t="s">
        <v>1065</v>
      </c>
      <c r="C58" s="254" t="s">
        <v>103</v>
      </c>
      <c r="D58" s="255" t="s">
        <v>13</v>
      </c>
      <c r="E58" s="242">
        <v>68.989999999999995</v>
      </c>
      <c r="F58" s="242">
        <f>+O58</f>
        <v>0</v>
      </c>
      <c r="G58" s="242">
        <f>+F58+E58</f>
        <v>68.989999999999995</v>
      </c>
      <c r="H58" s="243">
        <v>53489</v>
      </c>
      <c r="I58" s="243">
        <f>ROUND(+H58*G58,2)</f>
        <v>3690206.11</v>
      </c>
      <c r="J58" s="8"/>
      <c r="K58" s="8">
        <f t="shared" si="7"/>
        <v>54318</v>
      </c>
      <c r="L58" s="8">
        <f t="shared" si="2"/>
        <v>3747398.82</v>
      </c>
      <c r="M58" s="9" t="str">
        <f t="array" ref="M58">_xlfn.XLOOKUP(B58,'Neiva 2022 FASE I ACTUAL (5)'!$B$6:$B$540,'Neiva 2022 FASE I ACTUAL (5)'!$C$6:$F$540,"NO ESTA")</f>
        <v>NO ESTA</v>
      </c>
      <c r="Q58" s="124">
        <f t="shared" si="5"/>
        <v>0</v>
      </c>
      <c r="R58" s="155">
        <f t="shared" si="0"/>
        <v>68.989999999999995</v>
      </c>
      <c r="S58" s="156">
        <f t="shared" si="3"/>
        <v>54318</v>
      </c>
      <c r="T58" s="156">
        <f t="shared" si="4"/>
        <v>3747398.82</v>
      </c>
    </row>
    <row r="59" spans="1:20" s="9" customFormat="1" ht="35.1" customHeight="1" x14ac:dyDescent="0.25">
      <c r="A59" s="215"/>
      <c r="B59" s="255" t="s">
        <v>1066</v>
      </c>
      <c r="C59" s="254" t="s">
        <v>105</v>
      </c>
      <c r="D59" s="255" t="s">
        <v>13</v>
      </c>
      <c r="E59" s="242">
        <v>701.75</v>
      </c>
      <c r="F59" s="242">
        <f>+O59</f>
        <v>0</v>
      </c>
      <c r="G59" s="242">
        <f>+F59+E59</f>
        <v>701.75</v>
      </c>
      <c r="H59" s="243">
        <v>53489</v>
      </c>
      <c r="I59" s="243">
        <f>ROUND(+H59*G59,2)</f>
        <v>37535905.75</v>
      </c>
      <c r="J59" s="8"/>
      <c r="K59" s="8">
        <f t="shared" si="7"/>
        <v>54318</v>
      </c>
      <c r="L59" s="8">
        <f t="shared" si="2"/>
        <v>38117656.5</v>
      </c>
      <c r="M59" s="9" t="str">
        <f t="array" ref="M59">_xlfn.XLOOKUP(B59,'Neiva 2022 FASE I ACTUAL (5)'!$B$6:$B$540,'Neiva 2022 FASE I ACTUAL (5)'!$C$6:$F$540,"NO ESTA")</f>
        <v>NO ESTA</v>
      </c>
      <c r="Q59" s="124">
        <f t="shared" si="5"/>
        <v>0</v>
      </c>
      <c r="R59" s="155">
        <f t="shared" si="0"/>
        <v>701.75</v>
      </c>
      <c r="S59" s="156">
        <f t="shared" si="3"/>
        <v>54318</v>
      </c>
      <c r="T59" s="156">
        <f t="shared" si="4"/>
        <v>38117656.5</v>
      </c>
    </row>
    <row r="60" spans="1:20" s="9" customFormat="1" ht="35.1" customHeight="1" x14ac:dyDescent="0.25">
      <c r="A60" s="215"/>
      <c r="B60" s="244" t="s">
        <v>1067</v>
      </c>
      <c r="C60" s="245" t="s">
        <v>1068</v>
      </c>
      <c r="D60" s="260"/>
      <c r="E60" s="246"/>
      <c r="F60" s="246"/>
      <c r="G60" s="246"/>
      <c r="H60" s="303"/>
      <c r="I60" s="246"/>
      <c r="J60" s="8"/>
      <c r="K60" s="8">
        <f t="shared" si="7"/>
        <v>0</v>
      </c>
      <c r="L60" s="8">
        <f t="shared" si="2"/>
        <v>0</v>
      </c>
      <c r="M60" s="9" t="str">
        <f t="array" ref="M60">_xlfn.XLOOKUP(B60,'Neiva 2022 FASE I ACTUAL (5)'!$B$6:$B$540,'Neiva 2022 FASE I ACTUAL (5)'!$C$6:$F$540,"NO ESTA")</f>
        <v>NO ESTA</v>
      </c>
      <c r="Q60" s="124">
        <f t="shared" si="5"/>
        <v>0</v>
      </c>
      <c r="R60" s="155">
        <f t="shared" si="0"/>
        <v>0</v>
      </c>
      <c r="S60" s="156">
        <f t="shared" si="3"/>
        <v>0</v>
      </c>
      <c r="T60" s="156">
        <f t="shared" si="4"/>
        <v>0</v>
      </c>
    </row>
    <row r="61" spans="1:20" s="9" customFormat="1" ht="46.15" customHeight="1" x14ac:dyDescent="0.25">
      <c r="A61" s="215"/>
      <c r="B61" s="255" t="s">
        <v>1069</v>
      </c>
      <c r="C61" s="254" t="s">
        <v>103</v>
      </c>
      <c r="D61" s="255" t="s">
        <v>13</v>
      </c>
      <c r="E61" s="242">
        <v>68.989999999999995</v>
      </c>
      <c r="F61" s="242">
        <f>+O61</f>
        <v>0</v>
      </c>
      <c r="G61" s="242">
        <f>+F61+E61</f>
        <v>68.989999999999995</v>
      </c>
      <c r="H61" s="243">
        <v>74019</v>
      </c>
      <c r="I61" s="243">
        <f>ROUND(+H61*G61,2)</f>
        <v>5106570.8099999996</v>
      </c>
      <c r="J61" s="8"/>
      <c r="K61" s="8">
        <f t="shared" si="7"/>
        <v>75166</v>
      </c>
      <c r="L61" s="8">
        <f t="shared" si="2"/>
        <v>5185702.34</v>
      </c>
      <c r="M61" s="9" t="str">
        <f t="array" ref="M61">_xlfn.XLOOKUP(B61,'Neiva 2022 FASE I ACTUAL (5)'!$B$6:$B$540,'Neiva 2022 FASE I ACTUAL (5)'!$C$6:$F$540,"NO ESTA")</f>
        <v>NO ESTA</v>
      </c>
      <c r="Q61" s="124">
        <f t="shared" si="5"/>
        <v>0</v>
      </c>
      <c r="R61" s="155">
        <f t="shared" si="0"/>
        <v>68.989999999999995</v>
      </c>
      <c r="S61" s="156">
        <f t="shared" si="3"/>
        <v>75166</v>
      </c>
      <c r="T61" s="156">
        <f t="shared" si="4"/>
        <v>5185702.34</v>
      </c>
    </row>
    <row r="62" spans="1:20" s="9" customFormat="1" ht="35.1" customHeight="1" x14ac:dyDescent="0.25">
      <c r="A62" s="215"/>
      <c r="B62" s="255" t="s">
        <v>1070</v>
      </c>
      <c r="C62" s="254" t="s">
        <v>105</v>
      </c>
      <c r="D62" s="255" t="s">
        <v>13</v>
      </c>
      <c r="E62" s="242">
        <v>565.59</v>
      </c>
      <c r="F62" s="242">
        <f>+O62</f>
        <v>0</v>
      </c>
      <c r="G62" s="242">
        <f>+F62+E62</f>
        <v>565.59</v>
      </c>
      <c r="H62" s="243">
        <v>70094</v>
      </c>
      <c r="I62" s="243">
        <f>ROUND(+H62*G62,2)</f>
        <v>39644465.460000001</v>
      </c>
      <c r="J62" s="8"/>
      <c r="K62" s="8">
        <f t="shared" si="7"/>
        <v>71180</v>
      </c>
      <c r="L62" s="8">
        <f t="shared" si="2"/>
        <v>40258696.200000003</v>
      </c>
      <c r="M62" s="9" t="str">
        <f t="array" ref="M62">_xlfn.XLOOKUP(B62,'Neiva 2022 FASE I ACTUAL (5)'!$B$6:$B$540,'Neiva 2022 FASE I ACTUAL (5)'!$C$6:$F$540,"NO ESTA")</f>
        <v>NO ESTA</v>
      </c>
      <c r="Q62" s="124">
        <f t="shared" si="5"/>
        <v>0</v>
      </c>
      <c r="R62" s="155">
        <f t="shared" si="0"/>
        <v>565.59</v>
      </c>
      <c r="S62" s="156">
        <f t="shared" si="3"/>
        <v>71180</v>
      </c>
      <c r="T62" s="156">
        <f t="shared" si="4"/>
        <v>40258696.200000003</v>
      </c>
    </row>
    <row r="63" spans="1:20" s="9" customFormat="1" ht="35.1" customHeight="1" x14ac:dyDescent="0.25">
      <c r="A63" s="215"/>
      <c r="B63" s="265" t="s">
        <v>1071</v>
      </c>
      <c r="C63" s="245" t="s">
        <v>1072</v>
      </c>
      <c r="D63" s="260"/>
      <c r="E63" s="246"/>
      <c r="F63" s="246"/>
      <c r="G63" s="246"/>
      <c r="H63" s="303"/>
      <c r="I63" s="246"/>
      <c r="J63" s="8"/>
      <c r="K63" s="8">
        <f t="shared" si="7"/>
        <v>0</v>
      </c>
      <c r="L63" s="8">
        <f t="shared" si="2"/>
        <v>0</v>
      </c>
      <c r="M63" s="9" t="str">
        <f t="array" ref="M63">_xlfn.XLOOKUP(B63,'Neiva 2022 FASE I ACTUAL (5)'!$B$6:$B$540,'Neiva 2022 FASE I ACTUAL (5)'!$C$6:$F$540,"NO ESTA")</f>
        <v>NO ESTA</v>
      </c>
      <c r="Q63" s="124">
        <f t="shared" si="5"/>
        <v>0</v>
      </c>
      <c r="R63" s="155">
        <f t="shared" si="0"/>
        <v>0</v>
      </c>
      <c r="S63" s="156">
        <f t="shared" si="3"/>
        <v>0</v>
      </c>
      <c r="T63" s="156">
        <f t="shared" si="4"/>
        <v>0</v>
      </c>
    </row>
    <row r="64" spans="1:20" s="9" customFormat="1" ht="50.45" customHeight="1" x14ac:dyDescent="0.25">
      <c r="A64" s="215"/>
      <c r="B64" s="255" t="s">
        <v>1073</v>
      </c>
      <c r="C64" s="254" t="s">
        <v>103</v>
      </c>
      <c r="D64" s="255" t="s">
        <v>13</v>
      </c>
      <c r="E64" s="242">
        <v>51.89</v>
      </c>
      <c r="F64" s="242">
        <f>+O64</f>
        <v>0</v>
      </c>
      <c r="G64" s="242">
        <f>+F64+E64</f>
        <v>51.89</v>
      </c>
      <c r="H64" s="243">
        <v>74019</v>
      </c>
      <c r="I64" s="243">
        <f>ROUND(+H64*G64,2)</f>
        <v>3840845.91</v>
      </c>
      <c r="J64" s="8"/>
      <c r="K64" s="8">
        <f t="shared" si="7"/>
        <v>75166</v>
      </c>
      <c r="L64" s="8">
        <f t="shared" si="2"/>
        <v>3900363.74</v>
      </c>
      <c r="M64" s="9" t="str">
        <f t="array" ref="M64">_xlfn.XLOOKUP(B64,'Neiva 2022 FASE I ACTUAL (5)'!$B$6:$B$540,'Neiva 2022 FASE I ACTUAL (5)'!$C$6:$F$540,"NO ESTA")</f>
        <v>NO ESTA</v>
      </c>
      <c r="Q64" s="124">
        <f t="shared" si="5"/>
        <v>0</v>
      </c>
      <c r="R64" s="155">
        <f t="shared" si="0"/>
        <v>51.89</v>
      </c>
      <c r="S64" s="156">
        <f t="shared" si="3"/>
        <v>75166</v>
      </c>
      <c r="T64" s="156">
        <f t="shared" si="4"/>
        <v>3900363.74</v>
      </c>
    </row>
    <row r="65" spans="1:20" s="9" customFormat="1" ht="35.1" customHeight="1" x14ac:dyDescent="0.25">
      <c r="A65" s="215"/>
      <c r="B65" s="255" t="s">
        <v>1074</v>
      </c>
      <c r="C65" s="254" t="s">
        <v>105</v>
      </c>
      <c r="D65" s="255" t="s">
        <v>13</v>
      </c>
      <c r="E65" s="242">
        <v>1250.28</v>
      </c>
      <c r="F65" s="242">
        <f>+O65</f>
        <v>0</v>
      </c>
      <c r="G65" s="242">
        <f>+F65+E65</f>
        <v>1250.28</v>
      </c>
      <c r="H65" s="243">
        <v>70094</v>
      </c>
      <c r="I65" s="243">
        <f>ROUND(+H65*G65,2)</f>
        <v>87637126.319999993</v>
      </c>
      <c r="J65" s="8"/>
      <c r="K65" s="8">
        <f t="shared" si="7"/>
        <v>71180</v>
      </c>
      <c r="L65" s="8">
        <f t="shared" si="2"/>
        <v>88994930.399999991</v>
      </c>
      <c r="M65" s="9" t="str">
        <f t="array" ref="M65">_xlfn.XLOOKUP(B65,'Neiva 2022 FASE I ACTUAL (5)'!$B$6:$B$540,'Neiva 2022 FASE I ACTUAL (5)'!$C$6:$F$540,"NO ESTA")</f>
        <v>NO ESTA</v>
      </c>
      <c r="Q65" s="124">
        <f t="shared" si="5"/>
        <v>0</v>
      </c>
      <c r="R65" s="155">
        <f t="shared" si="0"/>
        <v>1250.28</v>
      </c>
      <c r="S65" s="156">
        <f t="shared" si="3"/>
        <v>71180</v>
      </c>
      <c r="T65" s="156">
        <f t="shared" si="4"/>
        <v>88994930.400000006</v>
      </c>
    </row>
    <row r="66" spans="1:20" s="9" customFormat="1" ht="35.1" customHeight="1" x14ac:dyDescent="0.25">
      <c r="A66" s="215"/>
      <c r="B66" s="255" t="s">
        <v>1075</v>
      </c>
      <c r="C66" s="254" t="s">
        <v>1076</v>
      </c>
      <c r="D66" s="255" t="s">
        <v>94</v>
      </c>
      <c r="E66" s="242">
        <v>250.05600000000001</v>
      </c>
      <c r="F66" s="242">
        <f>+O66</f>
        <v>0</v>
      </c>
      <c r="G66" s="242">
        <f>+F66+E66</f>
        <v>250.05600000000001</v>
      </c>
      <c r="H66" s="243">
        <v>17794</v>
      </c>
      <c r="I66" s="243">
        <f>ROUND(+H66*G66,2)</f>
        <v>4449496.46</v>
      </c>
      <c r="J66" s="8"/>
      <c r="K66" s="8">
        <f t="shared" si="7"/>
        <v>18070</v>
      </c>
      <c r="L66" s="8">
        <f t="shared" si="2"/>
        <v>4518511.92</v>
      </c>
      <c r="M66" s="9" t="str">
        <f t="array" ref="M66">_xlfn.XLOOKUP(B66,'Neiva 2022 FASE I ACTUAL (5)'!$B$6:$B$540,'Neiva 2022 FASE I ACTUAL (5)'!$C$6:$F$540,"NO ESTA")</f>
        <v>NO ESTA</v>
      </c>
      <c r="Q66" s="124">
        <f t="shared" si="5"/>
        <v>0</v>
      </c>
      <c r="R66" s="155">
        <f t="shared" si="0"/>
        <v>250.05600000000001</v>
      </c>
      <c r="S66" s="156">
        <f t="shared" si="3"/>
        <v>18070</v>
      </c>
      <c r="T66" s="156">
        <f t="shared" si="4"/>
        <v>4518511.92</v>
      </c>
    </row>
    <row r="67" spans="1:20" s="9" customFormat="1" ht="35.1" customHeight="1" x14ac:dyDescent="0.25">
      <c r="A67" s="215"/>
      <c r="B67" s="255" t="s">
        <v>1077</v>
      </c>
      <c r="C67" s="254" t="s">
        <v>1078</v>
      </c>
      <c r="D67" s="255" t="s">
        <v>13</v>
      </c>
      <c r="E67" s="242">
        <v>149.82</v>
      </c>
      <c r="F67" s="242">
        <f>+O67</f>
        <v>0</v>
      </c>
      <c r="G67" s="242">
        <f>+F67+E67</f>
        <v>149.82</v>
      </c>
      <c r="H67" s="243">
        <v>48848</v>
      </c>
      <c r="I67" s="243">
        <f>ROUND(+H67*G67,2)</f>
        <v>7318407.3600000003</v>
      </c>
      <c r="J67" s="8"/>
      <c r="K67" s="8">
        <f t="shared" si="7"/>
        <v>49605</v>
      </c>
      <c r="L67" s="8">
        <f t="shared" si="2"/>
        <v>7431821.0999999996</v>
      </c>
      <c r="M67" s="9" t="str">
        <f t="array" ref="M67">_xlfn.XLOOKUP(B67,'Neiva 2022 FASE I ACTUAL (5)'!$B$6:$B$540,'Neiva 2022 FASE I ACTUAL (5)'!$C$6:$F$540,"NO ESTA")</f>
        <v>NO ESTA</v>
      </c>
      <c r="Q67" s="124">
        <f t="shared" si="5"/>
        <v>0</v>
      </c>
      <c r="R67" s="155">
        <f t="shared" si="0"/>
        <v>149.82</v>
      </c>
      <c r="S67" s="156">
        <f t="shared" si="3"/>
        <v>49605</v>
      </c>
      <c r="T67" s="156">
        <f t="shared" si="4"/>
        <v>7431821.0999999996</v>
      </c>
    </row>
    <row r="68" spans="1:20" s="9" customFormat="1" ht="35.1" customHeight="1" x14ac:dyDescent="0.25">
      <c r="A68" s="215"/>
      <c r="B68" s="247">
        <v>5</v>
      </c>
      <c r="C68" s="248" t="s">
        <v>106</v>
      </c>
      <c r="D68" s="248"/>
      <c r="E68" s="249"/>
      <c r="F68" s="249"/>
      <c r="G68" s="249"/>
      <c r="H68" s="305"/>
      <c r="I68" s="249"/>
      <c r="J68" s="8"/>
      <c r="K68" s="8">
        <f t="shared" si="7"/>
        <v>0</v>
      </c>
      <c r="L68" s="8">
        <f t="shared" si="2"/>
        <v>0</v>
      </c>
      <c r="M68" s="9" t="str">
        <f t="array" ref="M68:P68">_xlfn.XLOOKUP(B68,'Neiva 2022 FASE I ACTUAL (5)'!$B$6:$B$540,'Neiva 2022 FASE I ACTUAL (5)'!$C$6:$F$540,"NO ESTA")</f>
        <v>CONSTRUCCIÓN DE MUROS ARQUITECTONICOS</v>
      </c>
      <c r="N68" s="9">
        <v>0</v>
      </c>
      <c r="O68" s="9">
        <v>0</v>
      </c>
      <c r="P68" s="9">
        <v>0</v>
      </c>
      <c r="Q68" s="124">
        <f t="shared" si="5"/>
        <v>0</v>
      </c>
      <c r="R68" s="155">
        <f t="shared" si="0"/>
        <v>0</v>
      </c>
      <c r="S68" s="156">
        <f t="shared" si="3"/>
        <v>0</v>
      </c>
      <c r="T68" s="156">
        <f t="shared" si="4"/>
        <v>0</v>
      </c>
    </row>
    <row r="69" spans="1:20" s="9" customFormat="1" ht="35.1" customHeight="1" x14ac:dyDescent="0.25">
      <c r="A69" s="215"/>
      <c r="B69" s="244" t="s">
        <v>107</v>
      </c>
      <c r="C69" s="256" t="s">
        <v>108</v>
      </c>
      <c r="D69" s="256"/>
      <c r="E69" s="246"/>
      <c r="F69" s="246"/>
      <c r="G69" s="246"/>
      <c r="H69" s="303"/>
      <c r="I69" s="246"/>
      <c r="J69" s="8"/>
      <c r="K69" s="8">
        <f t="shared" si="7"/>
        <v>0</v>
      </c>
      <c r="L69" s="8">
        <f t="shared" si="2"/>
        <v>0</v>
      </c>
      <c r="M69" s="9" t="str">
        <f t="array" ref="M69:P69">_xlfn.XLOOKUP(B69,'Neiva 2022 FASE I ACTUAL (5)'!$B$6:$B$540,'Neiva 2022 FASE I ACTUAL (5)'!$C$6:$F$540,"NO ESTA")</f>
        <v>CONSTRUCCIÓN MUROS ARQUITECTONICOS SEMISOTANO</v>
      </c>
      <c r="N69" s="9">
        <v>0</v>
      </c>
      <c r="O69" s="9">
        <v>0</v>
      </c>
      <c r="P69" s="9">
        <v>0</v>
      </c>
      <c r="Q69" s="124">
        <f t="shared" si="5"/>
        <v>0</v>
      </c>
      <c r="R69" s="155">
        <f t="shared" si="0"/>
        <v>0</v>
      </c>
      <c r="S69" s="156">
        <f t="shared" si="3"/>
        <v>0</v>
      </c>
      <c r="T69" s="156">
        <f t="shared" si="4"/>
        <v>0</v>
      </c>
    </row>
    <row r="70" spans="1:20" s="9" customFormat="1" ht="35.1" customHeight="1" x14ac:dyDescent="0.25">
      <c r="A70" s="215"/>
      <c r="B70" s="255" t="s">
        <v>109</v>
      </c>
      <c r="C70" s="241" t="s">
        <v>110</v>
      </c>
      <c r="D70" s="240" t="s">
        <v>30</v>
      </c>
      <c r="E70" s="242">
        <v>0</v>
      </c>
      <c r="F70" s="242">
        <f t="shared" ref="F70:F76" si="8">+O70</f>
        <v>0.73</v>
      </c>
      <c r="G70" s="242">
        <f t="shared" ref="G70:G76" si="9">+F70+E70</f>
        <v>0.73</v>
      </c>
      <c r="H70" s="243">
        <v>833964</v>
      </c>
      <c r="I70" s="243">
        <f t="shared" ref="I70:I76" si="10">ROUND(+H70*G70,2)</f>
        <v>608793.72</v>
      </c>
      <c r="J70" s="8"/>
      <c r="K70" s="8">
        <f t="shared" si="7"/>
        <v>846890</v>
      </c>
      <c r="L70" s="8">
        <f t="shared" si="2"/>
        <v>0</v>
      </c>
      <c r="M70" s="9" t="str">
        <f t="array" ref="M70:P70">_xlfn.XLOOKUP(B70,'Neiva 2022 FASE I ACTUAL (5)'!$B$6:$B$540,'Neiva 2022 FASE I ACTUAL (5)'!$C$6:$F$540,"NO ESTA")</f>
        <v>MURO EN CONCRETO DE 4000 PSI e=0.12 m Ver. Planos Tipo Muro M-1</v>
      </c>
      <c r="N70" s="9" t="str">
        <v>M3</v>
      </c>
      <c r="O70" s="9">
        <v>0.73</v>
      </c>
      <c r="P70" s="9">
        <v>724119</v>
      </c>
      <c r="Q70" s="124" t="str">
        <f t="shared" si="5"/>
        <v>FASE II</v>
      </c>
      <c r="R70" s="155">
        <f t="shared" ref="R70:R133" si="11">E70+O70</f>
        <v>0.73</v>
      </c>
      <c r="S70" s="156">
        <f t="shared" si="3"/>
        <v>846890</v>
      </c>
      <c r="T70" s="156">
        <f t="shared" si="4"/>
        <v>618229.69999999995</v>
      </c>
    </row>
    <row r="71" spans="1:20" s="9" customFormat="1" ht="35.1" customHeight="1" x14ac:dyDescent="0.25">
      <c r="A71" s="215"/>
      <c r="B71" s="255" t="s">
        <v>111</v>
      </c>
      <c r="C71" s="241" t="s">
        <v>112</v>
      </c>
      <c r="D71" s="240" t="s">
        <v>30</v>
      </c>
      <c r="E71" s="242">
        <v>11.33</v>
      </c>
      <c r="F71" s="242">
        <f t="shared" si="8"/>
        <v>11.33</v>
      </c>
      <c r="G71" s="242">
        <f t="shared" si="9"/>
        <v>22.66</v>
      </c>
      <c r="H71" s="243">
        <v>833964</v>
      </c>
      <c r="I71" s="243">
        <f t="shared" si="10"/>
        <v>18897624.239999998</v>
      </c>
      <c r="J71" s="8"/>
      <c r="K71" s="8">
        <f t="shared" si="7"/>
        <v>846890</v>
      </c>
      <c r="L71" s="8">
        <f t="shared" ref="L71:L134" si="12">+K71*E71</f>
        <v>9595263.6999999993</v>
      </c>
      <c r="M71" s="9" t="str">
        <f t="array" ref="M71:P71">_xlfn.XLOOKUP(B71,'Neiva 2022 FASE I ACTUAL (5)'!$B$6:$B$540,'Neiva 2022 FASE I ACTUAL (5)'!$C$6:$F$540,"NO ESTA")</f>
        <v>MURO EN CONCRETO DE 4000 PSI e=0.15 m Ver. Planos Tipo Muro M-2</v>
      </c>
      <c r="N71" s="9" t="str">
        <v>M3</v>
      </c>
      <c r="O71" s="9">
        <v>11.33</v>
      </c>
      <c r="P71" s="9">
        <v>724119</v>
      </c>
      <c r="Q71" s="124" t="str">
        <f t="shared" si="5"/>
        <v>FASE II</v>
      </c>
      <c r="R71" s="155">
        <f t="shared" si="11"/>
        <v>22.66</v>
      </c>
      <c r="S71" s="156">
        <f t="shared" ref="S71:S134" si="13">MAX(P71,H71,K71)</f>
        <v>846890</v>
      </c>
      <c r="T71" s="156">
        <f t="shared" ref="T71:T134" si="14">ROUND(R71*S71,2)</f>
        <v>19190527.399999999</v>
      </c>
    </row>
    <row r="72" spans="1:20" s="9" customFormat="1" ht="35.1" customHeight="1" x14ac:dyDescent="0.25">
      <c r="A72" s="215"/>
      <c r="B72" s="255" t="s">
        <v>113</v>
      </c>
      <c r="C72" s="241" t="s">
        <v>114</v>
      </c>
      <c r="D72" s="240" t="s">
        <v>30</v>
      </c>
      <c r="E72" s="242">
        <v>95.594999999999999</v>
      </c>
      <c r="F72" s="242">
        <f t="shared" si="8"/>
        <v>95.6</v>
      </c>
      <c r="G72" s="242">
        <f t="shared" si="9"/>
        <v>191.19499999999999</v>
      </c>
      <c r="H72" s="243">
        <v>833964</v>
      </c>
      <c r="I72" s="243">
        <f t="shared" si="10"/>
        <v>159449746.97999999</v>
      </c>
      <c r="J72" s="8"/>
      <c r="K72" s="8">
        <f t="shared" si="7"/>
        <v>846890</v>
      </c>
      <c r="L72" s="8">
        <f t="shared" si="12"/>
        <v>80958449.549999997</v>
      </c>
      <c r="M72" s="9" t="str">
        <f t="array" ref="M72:P72">_xlfn.XLOOKUP(B72,'Neiva 2022 FASE I ACTUAL (5)'!$B$6:$B$540,'Neiva 2022 FASE I ACTUAL (5)'!$C$6:$F$540,"NO ESTA")</f>
        <v>MURO EN CONCRETO DE 4000 PSI e=0.25 m Ver. Planos Tipo Muro M-3</v>
      </c>
      <c r="N72" s="9" t="str">
        <v>M3</v>
      </c>
      <c r="O72" s="9">
        <v>95.6</v>
      </c>
      <c r="P72" s="9">
        <v>724119</v>
      </c>
      <c r="Q72" s="124" t="str">
        <f t="shared" ref="Q72:Q135" si="15">IF(P72=0,0,(IF(H72&lt;P72, "FASE I","FASE II")))</f>
        <v>FASE II</v>
      </c>
      <c r="R72" s="155">
        <f t="shared" si="11"/>
        <v>191.19499999999999</v>
      </c>
      <c r="S72" s="156">
        <f t="shared" si="13"/>
        <v>846890</v>
      </c>
      <c r="T72" s="156">
        <f t="shared" si="14"/>
        <v>161921133.55000001</v>
      </c>
    </row>
    <row r="73" spans="1:20" s="9" customFormat="1" ht="35.1" customHeight="1" x14ac:dyDescent="0.25">
      <c r="A73" s="215"/>
      <c r="B73" s="255" t="s">
        <v>115</v>
      </c>
      <c r="C73" s="241" t="s">
        <v>116</v>
      </c>
      <c r="D73" s="240" t="s">
        <v>30</v>
      </c>
      <c r="E73" s="242">
        <v>20.12</v>
      </c>
      <c r="F73" s="242">
        <f t="shared" si="8"/>
        <v>20.12</v>
      </c>
      <c r="G73" s="242">
        <f t="shared" si="9"/>
        <v>40.24</v>
      </c>
      <c r="H73" s="243">
        <v>833964</v>
      </c>
      <c r="I73" s="243">
        <f t="shared" si="10"/>
        <v>33558711.359999999</v>
      </c>
      <c r="J73" s="8"/>
      <c r="K73" s="8">
        <f t="shared" si="7"/>
        <v>846890</v>
      </c>
      <c r="L73" s="8">
        <f t="shared" si="12"/>
        <v>17039426.800000001</v>
      </c>
      <c r="M73" s="9" t="str">
        <f t="array" ref="M73:P73">_xlfn.XLOOKUP(B73,'Neiva 2022 FASE I ACTUAL (5)'!$B$6:$B$540,'Neiva 2022 FASE I ACTUAL (5)'!$C$6:$F$540,"NO ESTA")</f>
        <v>MURO EN CONCRETO DE 4000 PSI e=0.30 m Ver. Planos Tipo Muro M-4</v>
      </c>
      <c r="N73" s="9" t="str">
        <v>M3</v>
      </c>
      <c r="O73" s="9">
        <v>20.12</v>
      </c>
      <c r="P73" s="9">
        <v>724119</v>
      </c>
      <c r="Q73" s="124" t="str">
        <f t="shared" si="15"/>
        <v>FASE II</v>
      </c>
      <c r="R73" s="155">
        <f t="shared" si="11"/>
        <v>40.24</v>
      </c>
      <c r="S73" s="156">
        <f t="shared" si="13"/>
        <v>846890</v>
      </c>
      <c r="T73" s="156">
        <f t="shared" si="14"/>
        <v>34078853.600000001</v>
      </c>
    </row>
    <row r="74" spans="1:20" s="9" customFormat="1" ht="35.1" customHeight="1" x14ac:dyDescent="0.25">
      <c r="A74" s="215"/>
      <c r="B74" s="255" t="s">
        <v>117</v>
      </c>
      <c r="C74" s="241" t="s">
        <v>118</v>
      </c>
      <c r="D74" s="240" t="s">
        <v>30</v>
      </c>
      <c r="E74" s="242">
        <v>80.484999999999999</v>
      </c>
      <c r="F74" s="242">
        <f t="shared" si="8"/>
        <v>80.489999999999995</v>
      </c>
      <c r="G74" s="242">
        <f t="shared" si="9"/>
        <v>160.97499999999999</v>
      </c>
      <c r="H74" s="243">
        <v>833964</v>
      </c>
      <c r="I74" s="243">
        <f t="shared" si="10"/>
        <v>134247354.90000001</v>
      </c>
      <c r="J74" s="8"/>
      <c r="K74" s="8">
        <f t="shared" si="7"/>
        <v>846890</v>
      </c>
      <c r="L74" s="8">
        <f t="shared" si="12"/>
        <v>68161941.650000006</v>
      </c>
      <c r="M74" s="9" t="str">
        <f t="array" ref="M74:P74">_xlfn.XLOOKUP(B74,'Neiva 2022 FASE I ACTUAL (5)'!$B$6:$B$540,'Neiva 2022 FASE I ACTUAL (5)'!$C$6:$F$540,"NO ESTA")</f>
        <v>MURO EN CONCRETO DE 4000 PSI e=0.40 m Ver. Planos Tipo Muro M-5</v>
      </c>
      <c r="N74" s="9" t="str">
        <v>M3</v>
      </c>
      <c r="O74" s="9">
        <v>80.489999999999995</v>
      </c>
      <c r="P74" s="9">
        <v>724119</v>
      </c>
      <c r="Q74" s="124" t="str">
        <f t="shared" si="15"/>
        <v>FASE II</v>
      </c>
      <c r="R74" s="155">
        <f t="shared" si="11"/>
        <v>160.97499999999999</v>
      </c>
      <c r="S74" s="156">
        <f t="shared" si="13"/>
        <v>846890</v>
      </c>
      <c r="T74" s="156">
        <f t="shared" si="14"/>
        <v>136328117.75</v>
      </c>
    </row>
    <row r="75" spans="1:20" s="9" customFormat="1" ht="35.1" customHeight="1" x14ac:dyDescent="0.25">
      <c r="A75" s="215"/>
      <c r="B75" s="255" t="s">
        <v>119</v>
      </c>
      <c r="C75" s="241" t="s">
        <v>120</v>
      </c>
      <c r="D75" s="240" t="s">
        <v>13</v>
      </c>
      <c r="E75" s="242">
        <v>79.69</v>
      </c>
      <c r="F75" s="242">
        <f t="shared" si="8"/>
        <v>79.69</v>
      </c>
      <c r="G75" s="242">
        <f t="shared" si="9"/>
        <v>159.38</v>
      </c>
      <c r="H75" s="243">
        <v>153751</v>
      </c>
      <c r="I75" s="243">
        <f t="shared" si="10"/>
        <v>24504834.379999999</v>
      </c>
      <c r="J75" s="8"/>
      <c r="K75" s="8">
        <f t="shared" si="7"/>
        <v>156134</v>
      </c>
      <c r="L75" s="8">
        <f t="shared" si="12"/>
        <v>12442318.459999999</v>
      </c>
      <c r="M75" s="9" t="str">
        <f t="array" ref="M75:P75">_xlfn.XLOOKUP(B75,'Neiva 2022 FASE I ACTUAL (5)'!$B$6:$B$540,'Neiva 2022 FASE I ACTUAL (5)'!$C$6:$F$540,"NO ESTA")</f>
        <v>MURO EN LADRILLO GRAN FORMATO e= 0.12 m Ref. Tierra Ver. Planos Tipo Muro M-6</v>
      </c>
      <c r="N75" s="9" t="str">
        <v>M2</v>
      </c>
      <c r="O75" s="9">
        <v>79.69</v>
      </c>
      <c r="P75" s="9">
        <v>153751</v>
      </c>
      <c r="Q75" s="124" t="str">
        <f t="shared" si="15"/>
        <v>FASE II</v>
      </c>
      <c r="R75" s="155">
        <f t="shared" si="11"/>
        <v>159.38</v>
      </c>
      <c r="S75" s="156">
        <f t="shared" si="13"/>
        <v>156134</v>
      </c>
      <c r="T75" s="156">
        <f t="shared" si="14"/>
        <v>24884636.920000002</v>
      </c>
    </row>
    <row r="76" spans="1:20" s="9" customFormat="1" ht="35.1" customHeight="1" x14ac:dyDescent="0.25">
      <c r="A76" s="215"/>
      <c r="B76" s="255" t="s">
        <v>121</v>
      </c>
      <c r="C76" s="254" t="s">
        <v>122</v>
      </c>
      <c r="D76" s="255" t="s">
        <v>13</v>
      </c>
      <c r="E76" s="242">
        <v>21.32</v>
      </c>
      <c r="F76" s="242">
        <f t="shared" si="8"/>
        <v>21.32</v>
      </c>
      <c r="G76" s="242">
        <f t="shared" si="9"/>
        <v>42.64</v>
      </c>
      <c r="H76" s="243">
        <v>307503</v>
      </c>
      <c r="I76" s="243">
        <f t="shared" si="10"/>
        <v>13111927.92</v>
      </c>
      <c r="J76" s="8"/>
      <c r="K76" s="8">
        <f t="shared" si="7"/>
        <v>312269</v>
      </c>
      <c r="L76" s="8">
        <f t="shared" si="12"/>
        <v>6657575.0800000001</v>
      </c>
      <c r="M76" s="9" t="str">
        <f t="array" ref="M76:P76">_xlfn.XLOOKUP(B76,'Neiva 2022 FASE I ACTUAL (5)'!$B$6:$B$540,'Neiva 2022 FASE I ACTUAL (5)'!$C$6:$F$540,"NO ESTA")</f>
        <v xml:space="preserve">MURO EN LADRILLO GRAN FORMATO e= 0.25 m Ref. Tierra Ver. Planos Tipo Muro M-7 </v>
      </c>
      <c r="N76" s="9" t="str">
        <v>M2</v>
      </c>
      <c r="O76" s="9">
        <v>21.32</v>
      </c>
      <c r="P76" s="9">
        <v>307503</v>
      </c>
      <c r="Q76" s="124" t="str">
        <f t="shared" si="15"/>
        <v>FASE II</v>
      </c>
      <c r="R76" s="155">
        <f t="shared" si="11"/>
        <v>42.64</v>
      </c>
      <c r="S76" s="156">
        <f t="shared" si="13"/>
        <v>312269</v>
      </c>
      <c r="T76" s="156">
        <f t="shared" si="14"/>
        <v>13315150.16</v>
      </c>
    </row>
    <row r="77" spans="1:20" s="9" customFormat="1" ht="35.1" customHeight="1" x14ac:dyDescent="0.25">
      <c r="A77" s="215"/>
      <c r="B77" s="244" t="s">
        <v>123</v>
      </c>
      <c r="C77" s="256" t="s">
        <v>124</v>
      </c>
      <c r="D77" s="256"/>
      <c r="E77" s="246"/>
      <c r="F77" s="246"/>
      <c r="G77" s="246"/>
      <c r="H77" s="303"/>
      <c r="I77" s="246"/>
      <c r="J77" s="8"/>
      <c r="K77" s="8">
        <f t="shared" si="7"/>
        <v>0</v>
      </c>
      <c r="L77" s="8">
        <f t="shared" si="12"/>
        <v>0</v>
      </c>
      <c r="M77" s="9" t="str">
        <f t="array" ref="M77:P77">_xlfn.XLOOKUP(B77,'Neiva 2022 FASE I ACTUAL (5)'!$B$6:$B$540,'Neiva 2022 FASE I ACTUAL (5)'!$C$6:$F$540,"NO ESTA")</f>
        <v>CONSTRUCCIÓN MUROS ARQUITECTONICOS EXTERIORES</v>
      </c>
      <c r="N77" s="9">
        <v>0</v>
      </c>
      <c r="O77" s="9">
        <v>0</v>
      </c>
      <c r="P77" s="9">
        <v>0</v>
      </c>
      <c r="Q77" s="124">
        <f t="shared" si="15"/>
        <v>0</v>
      </c>
      <c r="R77" s="155">
        <f t="shared" si="11"/>
        <v>0</v>
      </c>
      <c r="S77" s="156">
        <f t="shared" si="13"/>
        <v>0</v>
      </c>
      <c r="T77" s="156">
        <f t="shared" si="14"/>
        <v>0</v>
      </c>
    </row>
    <row r="78" spans="1:20" s="9" customFormat="1" ht="35.1" customHeight="1" x14ac:dyDescent="0.25">
      <c r="A78" s="215"/>
      <c r="B78" s="255" t="s">
        <v>125</v>
      </c>
      <c r="C78" s="241" t="s">
        <v>1079</v>
      </c>
      <c r="D78" s="240" t="s">
        <v>30</v>
      </c>
      <c r="E78" s="242">
        <v>0</v>
      </c>
      <c r="F78" s="242">
        <f>+O78</f>
        <v>0.17</v>
      </c>
      <c r="G78" s="242">
        <f>+F78+E78</f>
        <v>0.17</v>
      </c>
      <c r="H78" s="243">
        <v>833964</v>
      </c>
      <c r="I78" s="243">
        <f>ROUND(+H78*G78,2)</f>
        <v>141773.88</v>
      </c>
      <c r="J78" s="8"/>
      <c r="K78" s="8">
        <f t="shared" si="7"/>
        <v>846890</v>
      </c>
      <c r="L78" s="8">
        <f t="shared" si="12"/>
        <v>0</v>
      </c>
      <c r="M78" s="9" t="str">
        <f t="array" ref="M78:P78">_xlfn.XLOOKUP(B78,'Neiva 2022 FASE I ACTUAL (5)'!$B$6:$B$540,'Neiva 2022 FASE I ACTUAL (5)'!$C$6:$F$540,"NO ESTA")</f>
        <v>MURO EN CONCRETO DE 4000 PSI e=0.15 m Ver. Planos Tipo Muro M-2</v>
      </c>
      <c r="N78" s="9" t="str">
        <v>M3</v>
      </c>
      <c r="O78" s="9">
        <v>0.17</v>
      </c>
      <c r="P78" s="9">
        <v>724119</v>
      </c>
      <c r="Q78" s="124" t="str">
        <f t="shared" si="15"/>
        <v>FASE II</v>
      </c>
      <c r="R78" s="155">
        <f t="shared" si="11"/>
        <v>0.17</v>
      </c>
      <c r="S78" s="156">
        <f t="shared" si="13"/>
        <v>846890</v>
      </c>
      <c r="T78" s="156">
        <f t="shared" si="14"/>
        <v>143971.29999999999</v>
      </c>
    </row>
    <row r="79" spans="1:20" s="9" customFormat="1" ht="35.1" customHeight="1" x14ac:dyDescent="0.25">
      <c r="A79" s="215"/>
      <c r="B79" s="255" t="s">
        <v>126</v>
      </c>
      <c r="C79" s="241" t="s">
        <v>1080</v>
      </c>
      <c r="D79" s="240" t="s">
        <v>30</v>
      </c>
      <c r="E79" s="242">
        <v>0</v>
      </c>
      <c r="F79" s="242">
        <f>+O79</f>
        <v>56.08</v>
      </c>
      <c r="G79" s="242">
        <f>+F79+E79</f>
        <v>56.08</v>
      </c>
      <c r="H79" s="243">
        <v>833964</v>
      </c>
      <c r="I79" s="243">
        <f>ROUND(+H79*G79,2)</f>
        <v>46768701.119999997</v>
      </c>
      <c r="J79" s="8"/>
      <c r="K79" s="8">
        <f t="shared" si="7"/>
        <v>846890</v>
      </c>
      <c r="L79" s="8">
        <f t="shared" si="12"/>
        <v>0</v>
      </c>
      <c r="M79" s="9" t="str">
        <f t="array" ref="M79:P79">_xlfn.XLOOKUP(B79,'Neiva 2022 FASE I ACTUAL (5)'!$B$6:$B$540,'Neiva 2022 FASE I ACTUAL (5)'!$C$6:$F$540,"NO ESTA")</f>
        <v>MURO EN CONCRETO DE 4000 PSI e=0.25 m Ver. Planos Tipo Muro M-3</v>
      </c>
      <c r="N79" s="9" t="str">
        <v>M3</v>
      </c>
      <c r="O79" s="9">
        <v>56.08</v>
      </c>
      <c r="P79" s="9">
        <v>724119</v>
      </c>
      <c r="Q79" s="124" t="str">
        <f t="shared" si="15"/>
        <v>FASE II</v>
      </c>
      <c r="R79" s="155">
        <f t="shared" si="11"/>
        <v>56.08</v>
      </c>
      <c r="S79" s="156">
        <f t="shared" si="13"/>
        <v>846890</v>
      </c>
      <c r="T79" s="156">
        <f t="shared" si="14"/>
        <v>47493591.200000003</v>
      </c>
    </row>
    <row r="80" spans="1:20" s="9" customFormat="1" ht="35.1" customHeight="1" x14ac:dyDescent="0.25">
      <c r="A80" s="215"/>
      <c r="B80" s="244" t="s">
        <v>127</v>
      </c>
      <c r="C80" s="245" t="s">
        <v>128</v>
      </c>
      <c r="D80" s="244"/>
      <c r="E80" s="246"/>
      <c r="F80" s="246"/>
      <c r="G80" s="246"/>
      <c r="H80" s="303"/>
      <c r="I80" s="246"/>
      <c r="J80" s="8"/>
      <c r="K80" s="8">
        <f t="shared" si="7"/>
        <v>0</v>
      </c>
      <c r="L80" s="8">
        <f t="shared" si="12"/>
        <v>0</v>
      </c>
      <c r="M80" s="9" t="str">
        <f t="array" ref="M80:P80">_xlfn.XLOOKUP(B80,'Neiva 2022 FASE I ACTUAL (5)'!$B$6:$B$540,'Neiva 2022 FASE I ACTUAL (5)'!$C$6:$F$540,"NO ESTA")</f>
        <v>CONSTRUCCIÓN MUROS ARQUITECTONICOS PISO 1</v>
      </c>
      <c r="N80" s="9">
        <v>0</v>
      </c>
      <c r="O80" s="9">
        <v>0</v>
      </c>
      <c r="P80" s="9">
        <v>0</v>
      </c>
      <c r="Q80" s="124">
        <f t="shared" si="15"/>
        <v>0</v>
      </c>
      <c r="R80" s="155">
        <f t="shared" si="11"/>
        <v>0</v>
      </c>
      <c r="S80" s="156">
        <f t="shared" si="13"/>
        <v>0</v>
      </c>
      <c r="T80" s="156">
        <f t="shared" si="14"/>
        <v>0</v>
      </c>
    </row>
    <row r="81" spans="1:20" s="9" customFormat="1" ht="35.1" customHeight="1" x14ac:dyDescent="0.25">
      <c r="A81" s="215"/>
      <c r="B81" s="255" t="s">
        <v>129</v>
      </c>
      <c r="C81" s="87" t="s">
        <v>130</v>
      </c>
      <c r="D81" s="240" t="s">
        <v>13</v>
      </c>
      <c r="E81" s="242">
        <v>91.915000000000006</v>
      </c>
      <c r="F81" s="242">
        <f t="shared" ref="F81:F86" si="16">+O81</f>
        <v>91.92</v>
      </c>
      <c r="G81" s="242">
        <f t="shared" ref="G81:G86" si="17">+F81+E81</f>
        <v>183.83500000000001</v>
      </c>
      <c r="H81" s="243">
        <v>110927</v>
      </c>
      <c r="I81" s="243">
        <f t="shared" ref="I81:I86" si="18">ROUND(+H81*G81,2)</f>
        <v>20392265.050000001</v>
      </c>
      <c r="J81" s="8"/>
      <c r="K81" s="8">
        <f t="shared" si="7"/>
        <v>112646</v>
      </c>
      <c r="L81" s="8">
        <f t="shared" si="12"/>
        <v>10353857.09</v>
      </c>
      <c r="M81" s="9" t="str">
        <f t="array" ref="M81:P81">_xlfn.XLOOKUP(B81,'Neiva 2022 FASE I ACTUAL (5)'!$B$6:$B$540,'Neiva 2022 FASE I ACTUAL (5)'!$C$6:$F$540,"NO ESTA")</f>
        <v>ENCHAPE DE MURO BAÑOS PORCELANATO GRIS 30*40CM</v>
      </c>
      <c r="N81" s="9" t="str">
        <v>M2</v>
      </c>
      <c r="O81" s="9">
        <v>91.92</v>
      </c>
      <c r="P81" s="9">
        <v>110927</v>
      </c>
      <c r="Q81" s="124" t="str">
        <f t="shared" si="15"/>
        <v>FASE II</v>
      </c>
      <c r="R81" s="155">
        <f t="shared" si="11"/>
        <v>183.83500000000001</v>
      </c>
      <c r="S81" s="156">
        <f t="shared" si="13"/>
        <v>112646</v>
      </c>
      <c r="T81" s="156">
        <f t="shared" si="14"/>
        <v>20708277.41</v>
      </c>
    </row>
    <row r="82" spans="1:20" s="9" customFormat="1" ht="35.1" customHeight="1" x14ac:dyDescent="0.25">
      <c r="A82" s="215"/>
      <c r="B82" s="255" t="s">
        <v>131</v>
      </c>
      <c r="C82" s="87" t="s">
        <v>112</v>
      </c>
      <c r="D82" s="240" t="s">
        <v>30</v>
      </c>
      <c r="E82" s="242">
        <v>29.659999999999997</v>
      </c>
      <c r="F82" s="242">
        <f t="shared" si="16"/>
        <v>29.67</v>
      </c>
      <c r="G82" s="242">
        <f t="shared" si="17"/>
        <v>59.33</v>
      </c>
      <c r="H82" s="243">
        <v>833964</v>
      </c>
      <c r="I82" s="243">
        <f t="shared" si="18"/>
        <v>49479084.119999997</v>
      </c>
      <c r="J82" s="8"/>
      <c r="K82" s="8">
        <f t="shared" si="7"/>
        <v>846890</v>
      </c>
      <c r="L82" s="8">
        <f t="shared" si="12"/>
        <v>25118757.399999999</v>
      </c>
      <c r="M82" s="9" t="str">
        <f t="array" ref="M82:P82">_xlfn.XLOOKUP(B82,'Neiva 2022 FASE I ACTUAL (5)'!$B$6:$B$540,'Neiva 2022 FASE I ACTUAL (5)'!$C$6:$F$540,"NO ESTA")</f>
        <v>MURO EN CONCRETO DE 4000 PSI e=0.15 m Ver. Planos Tipo Muro M-2</v>
      </c>
      <c r="N82" s="9" t="str">
        <v>M3</v>
      </c>
      <c r="O82" s="9">
        <v>29.67</v>
      </c>
      <c r="P82" s="9">
        <v>724119</v>
      </c>
      <c r="Q82" s="124" t="str">
        <f t="shared" si="15"/>
        <v>FASE II</v>
      </c>
      <c r="R82" s="155">
        <f t="shared" si="11"/>
        <v>59.33</v>
      </c>
      <c r="S82" s="156">
        <f t="shared" si="13"/>
        <v>846890</v>
      </c>
      <c r="T82" s="156">
        <f t="shared" si="14"/>
        <v>50245983.700000003</v>
      </c>
    </row>
    <row r="83" spans="1:20" s="9" customFormat="1" ht="35.1" customHeight="1" x14ac:dyDescent="0.25">
      <c r="A83" s="215"/>
      <c r="B83" s="255" t="s">
        <v>132</v>
      </c>
      <c r="C83" s="87" t="s">
        <v>114</v>
      </c>
      <c r="D83" s="240" t="s">
        <v>30</v>
      </c>
      <c r="E83" s="242">
        <v>8.76</v>
      </c>
      <c r="F83" s="242">
        <f t="shared" si="16"/>
        <v>8.76</v>
      </c>
      <c r="G83" s="242">
        <f t="shared" si="17"/>
        <v>17.52</v>
      </c>
      <c r="H83" s="243">
        <v>833964</v>
      </c>
      <c r="I83" s="243">
        <f t="shared" si="18"/>
        <v>14611049.279999999</v>
      </c>
      <c r="J83" s="8"/>
      <c r="K83" s="8">
        <f t="shared" si="7"/>
        <v>846890</v>
      </c>
      <c r="L83" s="8">
        <f t="shared" si="12"/>
        <v>7418756.3999999994</v>
      </c>
      <c r="M83" s="9" t="str">
        <f t="array" ref="M83:P83">_xlfn.XLOOKUP(B83,'Neiva 2022 FASE I ACTUAL (5)'!$B$6:$B$540,'Neiva 2022 FASE I ACTUAL (5)'!$C$6:$F$540,"NO ESTA")</f>
        <v>MURO EN CONCRETO DE 4000 PSI e=0.25 m Ver. Planos Tipo Muro M-3</v>
      </c>
      <c r="N83" s="9" t="str">
        <v>M3</v>
      </c>
      <c r="O83" s="9">
        <v>8.76</v>
      </c>
      <c r="P83" s="9">
        <v>724119</v>
      </c>
      <c r="Q83" s="124" t="str">
        <f t="shared" si="15"/>
        <v>FASE II</v>
      </c>
      <c r="R83" s="155">
        <f t="shared" si="11"/>
        <v>17.52</v>
      </c>
      <c r="S83" s="156">
        <f t="shared" si="13"/>
        <v>846890</v>
      </c>
      <c r="T83" s="156">
        <f t="shared" si="14"/>
        <v>14837512.800000001</v>
      </c>
    </row>
    <row r="84" spans="1:20" s="9" customFormat="1" ht="35.1" customHeight="1" x14ac:dyDescent="0.25">
      <c r="A84" s="215"/>
      <c r="B84" s="255" t="s">
        <v>133</v>
      </c>
      <c r="C84" s="87" t="s">
        <v>118</v>
      </c>
      <c r="D84" s="240" t="s">
        <v>30</v>
      </c>
      <c r="E84" s="242">
        <v>54.390000000000008</v>
      </c>
      <c r="F84" s="242">
        <f t="shared" si="16"/>
        <v>54.4</v>
      </c>
      <c r="G84" s="242">
        <f t="shared" si="17"/>
        <v>108.79</v>
      </c>
      <c r="H84" s="243">
        <v>833964</v>
      </c>
      <c r="I84" s="243">
        <f t="shared" si="18"/>
        <v>90726943.560000002</v>
      </c>
      <c r="J84" s="8"/>
      <c r="K84" s="8">
        <f t="shared" si="7"/>
        <v>846890</v>
      </c>
      <c r="L84" s="8">
        <f t="shared" si="12"/>
        <v>46062347.100000009</v>
      </c>
      <c r="M84" s="9" t="str">
        <f t="array" ref="M84:P84">_xlfn.XLOOKUP(B84,'Neiva 2022 FASE I ACTUAL (5)'!$B$6:$B$540,'Neiva 2022 FASE I ACTUAL (5)'!$C$6:$F$540,"NO ESTA")</f>
        <v>MURO EN CONCRETO DE 4000 PSI e=0.40 m Ver. Planos Tipo Muro M-5</v>
      </c>
      <c r="N84" s="9" t="str">
        <v>||</v>
      </c>
      <c r="O84" s="9">
        <v>54.4</v>
      </c>
      <c r="P84" s="9">
        <v>724119</v>
      </c>
      <c r="Q84" s="124" t="str">
        <f t="shared" si="15"/>
        <v>FASE II</v>
      </c>
      <c r="R84" s="155">
        <f t="shared" si="11"/>
        <v>108.79</v>
      </c>
      <c r="S84" s="156">
        <f t="shared" si="13"/>
        <v>846890</v>
      </c>
      <c r="T84" s="156">
        <f t="shared" si="14"/>
        <v>92133163.099999994</v>
      </c>
    </row>
    <row r="85" spans="1:20" s="9" customFormat="1" ht="35.1" customHeight="1" x14ac:dyDescent="0.25">
      <c r="A85" s="215"/>
      <c r="B85" s="255" t="s">
        <v>135</v>
      </c>
      <c r="C85" s="87" t="s">
        <v>120</v>
      </c>
      <c r="D85" s="240" t="s">
        <v>13</v>
      </c>
      <c r="E85" s="242">
        <v>204.56</v>
      </c>
      <c r="F85" s="242">
        <f t="shared" si="16"/>
        <v>204.57</v>
      </c>
      <c r="G85" s="242">
        <f t="shared" si="17"/>
        <v>409.13</v>
      </c>
      <c r="H85" s="243">
        <v>153751</v>
      </c>
      <c r="I85" s="243">
        <f t="shared" si="18"/>
        <v>62904146.630000003</v>
      </c>
      <c r="J85" s="8"/>
      <c r="K85" s="8">
        <f t="shared" si="7"/>
        <v>156134</v>
      </c>
      <c r="L85" s="8">
        <f t="shared" si="12"/>
        <v>31938771.039999999</v>
      </c>
      <c r="M85" s="9" t="str">
        <f t="array" ref="M85:P85">_xlfn.XLOOKUP(B85,'Neiva 2022 FASE I ACTUAL (5)'!$B$6:$B$540,'Neiva 2022 FASE I ACTUAL (5)'!$C$6:$F$540,"NO ESTA")</f>
        <v>MURO EN LADRILLO GRAN FORMATO e= 0.12 m Ref. Tierra Ver. Planos Tipo Muro M-6</v>
      </c>
      <c r="N85" s="9" t="str">
        <v>M2</v>
      </c>
      <c r="O85" s="9">
        <v>204.57</v>
      </c>
      <c r="P85" s="9">
        <v>153751</v>
      </c>
      <c r="Q85" s="124" t="str">
        <f t="shared" si="15"/>
        <v>FASE II</v>
      </c>
      <c r="R85" s="155">
        <f t="shared" si="11"/>
        <v>409.13</v>
      </c>
      <c r="S85" s="156">
        <f t="shared" si="13"/>
        <v>156134</v>
      </c>
      <c r="T85" s="156">
        <f t="shared" si="14"/>
        <v>63879103.420000002</v>
      </c>
    </row>
    <row r="86" spans="1:20" s="9" customFormat="1" ht="35.1" customHeight="1" x14ac:dyDescent="0.25">
      <c r="A86" s="215"/>
      <c r="B86" s="255" t="s">
        <v>136</v>
      </c>
      <c r="C86" s="87" t="s">
        <v>122</v>
      </c>
      <c r="D86" s="255" t="s">
        <v>13</v>
      </c>
      <c r="E86" s="242">
        <v>76.37</v>
      </c>
      <c r="F86" s="242">
        <f t="shared" si="16"/>
        <v>76.38</v>
      </c>
      <c r="G86" s="242">
        <f t="shared" si="17"/>
        <v>152.75</v>
      </c>
      <c r="H86" s="243">
        <v>307503</v>
      </c>
      <c r="I86" s="243">
        <f t="shared" si="18"/>
        <v>46971083.25</v>
      </c>
      <c r="J86" s="8"/>
      <c r="K86" s="8">
        <f t="shared" si="7"/>
        <v>312269</v>
      </c>
      <c r="L86" s="8">
        <f t="shared" si="12"/>
        <v>23847983.530000001</v>
      </c>
      <c r="M86" s="9" t="str">
        <f t="array" ref="M86:P86">_xlfn.XLOOKUP(B86,'Neiva 2022 FASE I ACTUAL (5)'!$B$6:$B$540,'Neiva 2022 FASE I ACTUAL (5)'!$C$6:$F$540,"NO ESTA")</f>
        <v xml:space="preserve">MURO EN LADRILLO GRAN FORMATO e= 0.25 m Ref. Tierra Ver. Planos Tipo Muro M-7 </v>
      </c>
      <c r="N86" s="9" t="str">
        <v>M2</v>
      </c>
      <c r="O86" s="9">
        <v>76.38</v>
      </c>
      <c r="P86" s="9">
        <v>307503</v>
      </c>
      <c r="Q86" s="124" t="str">
        <f t="shared" si="15"/>
        <v>FASE II</v>
      </c>
      <c r="R86" s="155">
        <f t="shared" si="11"/>
        <v>152.75</v>
      </c>
      <c r="S86" s="156">
        <f t="shared" si="13"/>
        <v>312269</v>
      </c>
      <c r="T86" s="156">
        <f t="shared" si="14"/>
        <v>47699089.75</v>
      </c>
    </row>
    <row r="87" spans="1:20" s="9" customFormat="1" ht="35.1" customHeight="1" x14ac:dyDescent="0.25">
      <c r="A87" s="215"/>
      <c r="B87" s="244" t="s">
        <v>137</v>
      </c>
      <c r="C87" s="245" t="s">
        <v>138</v>
      </c>
      <c r="D87" s="244"/>
      <c r="E87" s="246"/>
      <c r="F87" s="246"/>
      <c r="G87" s="246"/>
      <c r="H87" s="303"/>
      <c r="I87" s="246"/>
      <c r="J87" s="8"/>
      <c r="K87" s="8">
        <f t="shared" si="7"/>
        <v>0</v>
      </c>
      <c r="L87" s="8">
        <f t="shared" si="12"/>
        <v>0</v>
      </c>
      <c r="M87" s="9" t="str">
        <f t="array" ref="M87:P87">_xlfn.XLOOKUP(B87,'Neiva 2022 FASE I ACTUAL (5)'!$B$6:$B$540,'Neiva 2022 FASE I ACTUAL (5)'!$C$6:$F$540,"NO ESTA")</f>
        <v>CONSTRUCCIÓN MUROS ARQUITECTONICOS PISO 2</v>
      </c>
      <c r="N87" s="9">
        <v>0</v>
      </c>
      <c r="O87" s="9">
        <v>0</v>
      </c>
      <c r="P87" s="9">
        <v>0</v>
      </c>
      <c r="Q87" s="124">
        <f t="shared" si="15"/>
        <v>0</v>
      </c>
      <c r="R87" s="155">
        <f t="shared" si="11"/>
        <v>0</v>
      </c>
      <c r="S87" s="156">
        <f t="shared" si="13"/>
        <v>0</v>
      </c>
      <c r="T87" s="156">
        <f t="shared" si="14"/>
        <v>0</v>
      </c>
    </row>
    <row r="88" spans="1:20" s="9" customFormat="1" ht="35.1" customHeight="1" x14ac:dyDescent="0.25">
      <c r="A88" s="215"/>
      <c r="B88" s="255" t="s">
        <v>139</v>
      </c>
      <c r="C88" s="87" t="s">
        <v>130</v>
      </c>
      <c r="D88" s="240" t="s">
        <v>13</v>
      </c>
      <c r="E88" s="242">
        <v>89.605000000000004</v>
      </c>
      <c r="F88" s="242">
        <f t="shared" ref="F88:F93" si="19">+O88</f>
        <v>89.61</v>
      </c>
      <c r="G88" s="242">
        <f t="shared" ref="G88:G93" si="20">+F88+E88</f>
        <v>179.215</v>
      </c>
      <c r="H88" s="243">
        <v>110927</v>
      </c>
      <c r="I88" s="243">
        <f t="shared" ref="I88:I93" si="21">ROUND(+H88*G88,2)</f>
        <v>19879782.309999999</v>
      </c>
      <c r="J88" s="8"/>
      <c r="K88" s="8">
        <f t="shared" si="7"/>
        <v>112646</v>
      </c>
      <c r="L88" s="8">
        <f t="shared" si="12"/>
        <v>10093644.83</v>
      </c>
      <c r="M88" s="9" t="str">
        <f t="array" ref="M88:P88">_xlfn.XLOOKUP(B88,'Neiva 2022 FASE I ACTUAL (5)'!$B$6:$B$540,'Neiva 2022 FASE I ACTUAL (5)'!$C$6:$F$540,"NO ESTA")</f>
        <v>ENCHAPE DE MURO BAÑOS PORCELANATO GRIS 30*40CM</v>
      </c>
      <c r="N88" s="9" t="str">
        <v>M2</v>
      </c>
      <c r="O88" s="9">
        <v>89.61</v>
      </c>
      <c r="P88" s="9">
        <v>110927</v>
      </c>
      <c r="Q88" s="124" t="str">
        <f t="shared" si="15"/>
        <v>FASE II</v>
      </c>
      <c r="R88" s="155">
        <f t="shared" si="11"/>
        <v>179.215</v>
      </c>
      <c r="S88" s="156">
        <f t="shared" si="13"/>
        <v>112646</v>
      </c>
      <c r="T88" s="156">
        <f t="shared" si="14"/>
        <v>20187852.890000001</v>
      </c>
    </row>
    <row r="89" spans="1:20" s="9" customFormat="1" ht="35.1" customHeight="1" x14ac:dyDescent="0.25">
      <c r="A89" s="215"/>
      <c r="B89" s="255" t="s">
        <v>140</v>
      </c>
      <c r="C89" s="87" t="s">
        <v>112</v>
      </c>
      <c r="D89" s="240" t="s">
        <v>30</v>
      </c>
      <c r="E89" s="242">
        <v>1.1200000000000001</v>
      </c>
      <c r="F89" s="242">
        <f t="shared" si="19"/>
        <v>1.1299999999999999</v>
      </c>
      <c r="G89" s="242">
        <f t="shared" si="20"/>
        <v>2.25</v>
      </c>
      <c r="H89" s="243">
        <v>833964</v>
      </c>
      <c r="I89" s="243">
        <f t="shared" si="21"/>
        <v>1876419</v>
      </c>
      <c r="J89" s="8"/>
      <c r="K89" s="8">
        <f t="shared" si="7"/>
        <v>846890</v>
      </c>
      <c r="L89" s="8">
        <f t="shared" si="12"/>
        <v>948516.8</v>
      </c>
      <c r="M89" s="9" t="str">
        <f t="array" ref="M89:P89">_xlfn.XLOOKUP(B89,'Neiva 2022 FASE I ACTUAL (5)'!$B$6:$B$540,'Neiva 2022 FASE I ACTUAL (5)'!$C$6:$F$540,"NO ESTA")</f>
        <v>MURO EN CONCRETO DE 4000 PSI e=0.12 m Ver. Planos Tipo Muro M-1</v>
      </c>
      <c r="N89" s="9" t="str">
        <v>M3</v>
      </c>
      <c r="O89" s="9">
        <v>1.1299999999999999</v>
      </c>
      <c r="P89" s="9">
        <v>724119</v>
      </c>
      <c r="Q89" s="124" t="str">
        <f t="shared" si="15"/>
        <v>FASE II</v>
      </c>
      <c r="R89" s="155">
        <f t="shared" si="11"/>
        <v>2.25</v>
      </c>
      <c r="S89" s="156">
        <f t="shared" si="13"/>
        <v>846890</v>
      </c>
      <c r="T89" s="156">
        <f t="shared" si="14"/>
        <v>1905502.5</v>
      </c>
    </row>
    <row r="90" spans="1:20" s="9" customFormat="1" ht="35.1" customHeight="1" x14ac:dyDescent="0.25">
      <c r="A90" s="215"/>
      <c r="B90" s="255" t="s">
        <v>141</v>
      </c>
      <c r="C90" s="87" t="s">
        <v>114</v>
      </c>
      <c r="D90" s="240" t="s">
        <v>30</v>
      </c>
      <c r="E90" s="242">
        <v>31.71</v>
      </c>
      <c r="F90" s="242">
        <f t="shared" si="19"/>
        <v>31.71</v>
      </c>
      <c r="G90" s="242">
        <f t="shared" si="20"/>
        <v>63.42</v>
      </c>
      <c r="H90" s="243">
        <v>833964</v>
      </c>
      <c r="I90" s="243">
        <f t="shared" si="21"/>
        <v>52889996.880000003</v>
      </c>
      <c r="J90" s="8"/>
      <c r="K90" s="8">
        <f t="shared" si="7"/>
        <v>846890</v>
      </c>
      <c r="L90" s="8">
        <f t="shared" si="12"/>
        <v>26854881.900000002</v>
      </c>
      <c r="M90" s="9" t="str">
        <f t="array" ref="M90:P90">_xlfn.XLOOKUP(B90,'Neiva 2022 FASE I ACTUAL (5)'!$B$6:$B$540,'Neiva 2022 FASE I ACTUAL (5)'!$C$6:$F$540,"NO ESTA")</f>
        <v>MURO EN CONCRETO DE 4000 PSI e=0.15 m Ver. Planos Tipo Muro M-2</v>
      </c>
      <c r="N90" s="9" t="str">
        <v>M3</v>
      </c>
      <c r="O90" s="9">
        <v>31.71</v>
      </c>
      <c r="P90" s="9">
        <v>724119</v>
      </c>
      <c r="Q90" s="124" t="str">
        <f t="shared" si="15"/>
        <v>FASE II</v>
      </c>
      <c r="R90" s="155">
        <f t="shared" si="11"/>
        <v>63.42</v>
      </c>
      <c r="S90" s="156">
        <f t="shared" si="13"/>
        <v>846890</v>
      </c>
      <c r="T90" s="156">
        <f t="shared" si="14"/>
        <v>53709763.799999997</v>
      </c>
    </row>
    <row r="91" spans="1:20" s="9" customFormat="1" ht="35.1" customHeight="1" x14ac:dyDescent="0.25">
      <c r="A91" s="215"/>
      <c r="B91" s="255" t="s">
        <v>142</v>
      </c>
      <c r="C91" s="87" t="s">
        <v>118</v>
      </c>
      <c r="D91" s="240" t="s">
        <v>30</v>
      </c>
      <c r="E91" s="242">
        <v>81.89</v>
      </c>
      <c r="F91" s="242">
        <f t="shared" si="19"/>
        <v>77.67</v>
      </c>
      <c r="G91" s="242">
        <f t="shared" si="20"/>
        <v>159.56</v>
      </c>
      <c r="H91" s="243">
        <v>833964</v>
      </c>
      <c r="I91" s="243">
        <f t="shared" si="21"/>
        <v>133067295.84</v>
      </c>
      <c r="J91" s="8"/>
      <c r="K91" s="8">
        <f t="shared" si="7"/>
        <v>846890</v>
      </c>
      <c r="L91" s="8">
        <f t="shared" si="12"/>
        <v>69351822.099999994</v>
      </c>
      <c r="M91" s="9" t="str">
        <f t="array" ref="M91:P91">_xlfn.XLOOKUP(B91,'Neiva 2022 FASE I ACTUAL (5)'!$B$6:$B$540,'Neiva 2022 FASE I ACTUAL (5)'!$C$6:$F$540,"NO ESTA")</f>
        <v>MURO EN CONCRETO DE 4000 PSI e=0.25 m Ver. Planos Tipo Muro M-3</v>
      </c>
      <c r="N91" s="9" t="str">
        <v>M3</v>
      </c>
      <c r="O91" s="9">
        <v>77.67</v>
      </c>
      <c r="P91" s="9">
        <v>724119</v>
      </c>
      <c r="Q91" s="124" t="str">
        <f t="shared" si="15"/>
        <v>FASE II</v>
      </c>
      <c r="R91" s="155">
        <f t="shared" si="11"/>
        <v>159.56</v>
      </c>
      <c r="S91" s="156">
        <f t="shared" si="13"/>
        <v>846890</v>
      </c>
      <c r="T91" s="156">
        <f t="shared" si="14"/>
        <v>135129768.40000001</v>
      </c>
    </row>
    <row r="92" spans="1:20" s="9" customFormat="1" ht="35.1" customHeight="1" x14ac:dyDescent="0.25">
      <c r="A92" s="215"/>
      <c r="B92" s="255" t="s">
        <v>143</v>
      </c>
      <c r="C92" s="87" t="s">
        <v>120</v>
      </c>
      <c r="D92" s="240" t="s">
        <v>13</v>
      </c>
      <c r="E92" s="242">
        <v>139.68</v>
      </c>
      <c r="F92" s="242">
        <f t="shared" si="19"/>
        <v>139.68</v>
      </c>
      <c r="G92" s="242">
        <f t="shared" si="20"/>
        <v>279.36</v>
      </c>
      <c r="H92" s="243">
        <v>153751</v>
      </c>
      <c r="I92" s="243">
        <f t="shared" si="21"/>
        <v>42951879.359999999</v>
      </c>
      <c r="J92" s="8"/>
      <c r="K92" s="8">
        <f t="shared" si="7"/>
        <v>156134</v>
      </c>
      <c r="L92" s="8">
        <f t="shared" si="12"/>
        <v>21808797.120000001</v>
      </c>
      <c r="M92" s="9" t="str">
        <f t="array" ref="M92:P92">_xlfn.XLOOKUP(B92,'Neiva 2022 FASE I ACTUAL (5)'!$B$6:$B$540,'Neiva 2022 FASE I ACTUAL (5)'!$C$6:$F$540,"NO ESTA")</f>
        <v>MURO EN LADRILLO GRAN FORMATO e= 0.12 m Ref. Tierra Ver. Planos Tipo Muro M-6</v>
      </c>
      <c r="N92" s="9" t="str">
        <v>M2</v>
      </c>
      <c r="O92" s="9">
        <v>139.68</v>
      </c>
      <c r="P92" s="9">
        <v>153751</v>
      </c>
      <c r="Q92" s="124" t="str">
        <f t="shared" si="15"/>
        <v>FASE II</v>
      </c>
      <c r="R92" s="155">
        <f t="shared" si="11"/>
        <v>279.36</v>
      </c>
      <c r="S92" s="156">
        <f t="shared" si="13"/>
        <v>156134</v>
      </c>
      <c r="T92" s="156">
        <f t="shared" si="14"/>
        <v>43617594.240000002</v>
      </c>
    </row>
    <row r="93" spans="1:20" s="9" customFormat="1" ht="35.1" customHeight="1" x14ac:dyDescent="0.25">
      <c r="A93" s="215"/>
      <c r="B93" s="255" t="s">
        <v>144</v>
      </c>
      <c r="C93" s="87" t="s">
        <v>122</v>
      </c>
      <c r="D93" s="240" t="s">
        <v>13</v>
      </c>
      <c r="E93" s="242">
        <v>124.47</v>
      </c>
      <c r="F93" s="242">
        <f t="shared" si="19"/>
        <v>124.47</v>
      </c>
      <c r="G93" s="242">
        <f t="shared" si="20"/>
        <v>248.94</v>
      </c>
      <c r="H93" s="243">
        <v>307503</v>
      </c>
      <c r="I93" s="243">
        <f t="shared" si="21"/>
        <v>76549796.819999993</v>
      </c>
      <c r="J93" s="8"/>
      <c r="K93" s="8">
        <f t="shared" si="7"/>
        <v>312269</v>
      </c>
      <c r="L93" s="8">
        <f t="shared" si="12"/>
        <v>38868122.43</v>
      </c>
      <c r="M93" s="9" t="str">
        <f t="array" ref="M93:P93">_xlfn.XLOOKUP(B93,'Neiva 2022 FASE I ACTUAL (5)'!$B$6:$B$540,'Neiva 2022 FASE I ACTUAL (5)'!$C$6:$F$540,"NO ESTA")</f>
        <v xml:space="preserve">MURO EN LADRILLO GRAN FORMATO e= 0.25 m Ref. Tierra Ver. Planos Tipo Muro M-7 </v>
      </c>
      <c r="N93" s="9" t="str">
        <v>M2</v>
      </c>
      <c r="O93" s="9">
        <v>124.47</v>
      </c>
      <c r="P93" s="9">
        <v>307503</v>
      </c>
      <c r="Q93" s="124" t="str">
        <f t="shared" si="15"/>
        <v>FASE II</v>
      </c>
      <c r="R93" s="155">
        <f t="shared" si="11"/>
        <v>248.94</v>
      </c>
      <c r="S93" s="156">
        <f t="shared" si="13"/>
        <v>312269</v>
      </c>
      <c r="T93" s="156">
        <f t="shared" si="14"/>
        <v>77736244.859999999</v>
      </c>
    </row>
    <row r="94" spans="1:20" s="9" customFormat="1" ht="35.1" customHeight="1" x14ac:dyDescent="0.25">
      <c r="A94" s="215"/>
      <c r="B94" s="244" t="s">
        <v>1081</v>
      </c>
      <c r="C94" s="245" t="s">
        <v>1082</v>
      </c>
      <c r="D94" s="244"/>
      <c r="E94" s="246"/>
      <c r="F94" s="246"/>
      <c r="G94" s="246"/>
      <c r="H94" s="303"/>
      <c r="I94" s="246"/>
      <c r="J94" s="8"/>
      <c r="K94" s="8">
        <f t="shared" si="7"/>
        <v>0</v>
      </c>
      <c r="L94" s="8">
        <f t="shared" si="12"/>
        <v>0</v>
      </c>
      <c r="M94" s="9" t="str">
        <f t="array" ref="M94">_xlfn.XLOOKUP(B94,'Neiva 2022 FASE I ACTUAL (5)'!$B$6:$B$540,'Neiva 2022 FASE I ACTUAL (5)'!$C$6:$F$540,"NO ESTA")</f>
        <v>NO ESTA</v>
      </c>
      <c r="Q94" s="124">
        <f t="shared" si="15"/>
        <v>0</v>
      </c>
      <c r="R94" s="155">
        <f t="shared" si="11"/>
        <v>0</v>
      </c>
      <c r="S94" s="156">
        <f t="shared" si="13"/>
        <v>0</v>
      </c>
      <c r="T94" s="156">
        <f t="shared" si="14"/>
        <v>0</v>
      </c>
    </row>
    <row r="95" spans="1:20" s="9" customFormat="1" ht="35.1" customHeight="1" x14ac:dyDescent="0.25">
      <c r="A95" s="215"/>
      <c r="B95" s="255" t="s">
        <v>1083</v>
      </c>
      <c r="C95" s="87" t="s">
        <v>130</v>
      </c>
      <c r="D95" s="255" t="s">
        <v>13</v>
      </c>
      <c r="E95" s="242">
        <v>179.21</v>
      </c>
      <c r="F95" s="242">
        <f t="shared" ref="F95:F100" si="22">+O95</f>
        <v>0</v>
      </c>
      <c r="G95" s="242">
        <f t="shared" ref="G95:G100" si="23">+F95+E95</f>
        <v>179.21</v>
      </c>
      <c r="H95" s="243">
        <v>110927</v>
      </c>
      <c r="I95" s="243">
        <f t="shared" ref="I95:I100" si="24">ROUND(+H95*G95,2)</f>
        <v>19879227.670000002</v>
      </c>
      <c r="J95" s="8"/>
      <c r="K95" s="8">
        <f t="shared" si="7"/>
        <v>112646</v>
      </c>
      <c r="L95" s="8">
        <f t="shared" si="12"/>
        <v>20187289.66</v>
      </c>
      <c r="M95" s="9" t="str">
        <f t="array" ref="M95">_xlfn.XLOOKUP(B95,'Neiva 2022 FASE I ACTUAL (5)'!$B$6:$B$540,'Neiva 2022 FASE I ACTUAL (5)'!$C$6:$F$540,"NO ESTA")</f>
        <v>NO ESTA</v>
      </c>
      <c r="Q95" s="124">
        <f t="shared" si="15"/>
        <v>0</v>
      </c>
      <c r="R95" s="155">
        <f t="shared" si="11"/>
        <v>179.21</v>
      </c>
      <c r="S95" s="156">
        <f t="shared" si="13"/>
        <v>112646</v>
      </c>
      <c r="T95" s="156">
        <f t="shared" si="14"/>
        <v>20187289.66</v>
      </c>
    </row>
    <row r="96" spans="1:20" s="9" customFormat="1" ht="35.1" customHeight="1" x14ac:dyDescent="0.25">
      <c r="A96" s="215"/>
      <c r="B96" s="255" t="s">
        <v>1084</v>
      </c>
      <c r="C96" s="87" t="s">
        <v>112</v>
      </c>
      <c r="D96" s="255" t="s">
        <v>30</v>
      </c>
      <c r="E96" s="242">
        <v>1.45</v>
      </c>
      <c r="F96" s="242">
        <f t="shared" si="22"/>
        <v>0</v>
      </c>
      <c r="G96" s="242">
        <f t="shared" si="23"/>
        <v>1.45</v>
      </c>
      <c r="H96" s="243">
        <v>833964</v>
      </c>
      <c r="I96" s="243">
        <f t="shared" si="24"/>
        <v>1209247.8</v>
      </c>
      <c r="J96" s="8"/>
      <c r="K96" s="8">
        <f t="shared" si="7"/>
        <v>846890</v>
      </c>
      <c r="L96" s="8">
        <f t="shared" si="12"/>
        <v>1227990.5</v>
      </c>
      <c r="M96" s="9" t="str">
        <f t="array" ref="M96">_xlfn.XLOOKUP(B96,'Neiva 2022 FASE I ACTUAL (5)'!$B$6:$B$540,'Neiva 2022 FASE I ACTUAL (5)'!$C$6:$F$540,"NO ESTA")</f>
        <v>NO ESTA</v>
      </c>
      <c r="Q96" s="124">
        <f t="shared" si="15"/>
        <v>0</v>
      </c>
      <c r="R96" s="155">
        <f t="shared" si="11"/>
        <v>1.45</v>
      </c>
      <c r="S96" s="156">
        <f t="shared" si="13"/>
        <v>846890</v>
      </c>
      <c r="T96" s="156">
        <f t="shared" si="14"/>
        <v>1227990.5</v>
      </c>
    </row>
    <row r="97" spans="1:20" s="9" customFormat="1" ht="35.1" customHeight="1" x14ac:dyDescent="0.25">
      <c r="A97" s="215"/>
      <c r="B97" s="255" t="s">
        <v>1085</v>
      </c>
      <c r="C97" s="87" t="s">
        <v>114</v>
      </c>
      <c r="D97" s="255" t="s">
        <v>30</v>
      </c>
      <c r="E97" s="242">
        <v>31.54</v>
      </c>
      <c r="F97" s="242">
        <f t="shared" si="22"/>
        <v>0</v>
      </c>
      <c r="G97" s="242">
        <f t="shared" si="23"/>
        <v>31.54</v>
      </c>
      <c r="H97" s="243">
        <v>833964</v>
      </c>
      <c r="I97" s="243">
        <f t="shared" si="24"/>
        <v>26303224.559999999</v>
      </c>
      <c r="J97" s="8"/>
      <c r="K97" s="8">
        <f t="shared" si="7"/>
        <v>846890</v>
      </c>
      <c r="L97" s="8">
        <f t="shared" si="12"/>
        <v>26710910.599999998</v>
      </c>
      <c r="M97" s="9" t="str">
        <f t="array" ref="M97">_xlfn.XLOOKUP(B97,'Neiva 2022 FASE I ACTUAL (5)'!$B$6:$B$540,'Neiva 2022 FASE I ACTUAL (5)'!$C$6:$F$540,"NO ESTA")</f>
        <v>NO ESTA</v>
      </c>
      <c r="Q97" s="124">
        <f t="shared" si="15"/>
        <v>0</v>
      </c>
      <c r="R97" s="155">
        <f t="shared" si="11"/>
        <v>31.54</v>
      </c>
      <c r="S97" s="156">
        <f t="shared" si="13"/>
        <v>846890</v>
      </c>
      <c r="T97" s="156">
        <f t="shared" si="14"/>
        <v>26710910.600000001</v>
      </c>
    </row>
    <row r="98" spans="1:20" s="9" customFormat="1" ht="35.1" customHeight="1" x14ac:dyDescent="0.25">
      <c r="A98" s="215"/>
      <c r="B98" s="255" t="s">
        <v>1086</v>
      </c>
      <c r="C98" s="87" t="s">
        <v>118</v>
      </c>
      <c r="D98" s="255" t="s">
        <v>30</v>
      </c>
      <c r="E98" s="242">
        <v>69.08</v>
      </c>
      <c r="F98" s="242">
        <f t="shared" si="22"/>
        <v>0</v>
      </c>
      <c r="G98" s="242">
        <f t="shared" si="23"/>
        <v>69.08</v>
      </c>
      <c r="H98" s="243">
        <v>833964</v>
      </c>
      <c r="I98" s="243">
        <f t="shared" si="24"/>
        <v>57610233.119999997</v>
      </c>
      <c r="J98" s="8"/>
      <c r="K98" s="8">
        <f t="shared" si="7"/>
        <v>846890</v>
      </c>
      <c r="L98" s="8">
        <f t="shared" si="12"/>
        <v>58503161.199999996</v>
      </c>
      <c r="M98" s="9" t="str">
        <f t="array" ref="M98">_xlfn.XLOOKUP(B98,'Neiva 2022 FASE I ACTUAL (5)'!$B$6:$B$540,'Neiva 2022 FASE I ACTUAL (5)'!$C$6:$F$540,"NO ESTA")</f>
        <v>NO ESTA</v>
      </c>
      <c r="Q98" s="124">
        <f t="shared" si="15"/>
        <v>0</v>
      </c>
      <c r="R98" s="155">
        <f t="shared" si="11"/>
        <v>69.08</v>
      </c>
      <c r="S98" s="156">
        <f t="shared" si="13"/>
        <v>846890</v>
      </c>
      <c r="T98" s="156">
        <f t="shared" si="14"/>
        <v>58503161.200000003</v>
      </c>
    </row>
    <row r="99" spans="1:20" s="9" customFormat="1" ht="35.1" customHeight="1" x14ac:dyDescent="0.25">
      <c r="A99" s="215"/>
      <c r="B99" s="255" t="s">
        <v>1087</v>
      </c>
      <c r="C99" s="87" t="s">
        <v>120</v>
      </c>
      <c r="D99" s="255" t="s">
        <v>13</v>
      </c>
      <c r="E99" s="242">
        <v>276.55</v>
      </c>
      <c r="F99" s="242">
        <f t="shared" si="22"/>
        <v>0</v>
      </c>
      <c r="G99" s="242">
        <f t="shared" si="23"/>
        <v>276.55</v>
      </c>
      <c r="H99" s="243">
        <v>160213</v>
      </c>
      <c r="I99" s="243">
        <f t="shared" si="24"/>
        <v>44306905.149999999</v>
      </c>
      <c r="J99" s="8"/>
      <c r="K99" s="8">
        <f t="shared" si="7"/>
        <v>162696</v>
      </c>
      <c r="L99" s="8">
        <f t="shared" si="12"/>
        <v>44993578.800000004</v>
      </c>
      <c r="M99" s="9" t="str">
        <f t="array" ref="M99">_xlfn.XLOOKUP(B99,'Neiva 2022 FASE I ACTUAL (5)'!$B$6:$B$540,'Neiva 2022 FASE I ACTUAL (5)'!$C$6:$F$540,"NO ESTA")</f>
        <v>NO ESTA</v>
      </c>
      <c r="Q99" s="124">
        <f t="shared" si="15"/>
        <v>0</v>
      </c>
      <c r="R99" s="155">
        <f t="shared" si="11"/>
        <v>276.55</v>
      </c>
      <c r="S99" s="156">
        <f t="shared" si="13"/>
        <v>162696</v>
      </c>
      <c r="T99" s="156">
        <f t="shared" si="14"/>
        <v>44993578.799999997</v>
      </c>
    </row>
    <row r="100" spans="1:20" s="9" customFormat="1" ht="35.1" customHeight="1" x14ac:dyDescent="0.25">
      <c r="A100" s="215"/>
      <c r="B100" s="255" t="s">
        <v>1088</v>
      </c>
      <c r="C100" s="87" t="s">
        <v>122</v>
      </c>
      <c r="D100" s="255" t="s">
        <v>13</v>
      </c>
      <c r="E100" s="242">
        <v>132.12</v>
      </c>
      <c r="F100" s="242">
        <f t="shared" si="22"/>
        <v>0</v>
      </c>
      <c r="G100" s="242">
        <f t="shared" si="23"/>
        <v>132.12</v>
      </c>
      <c r="H100" s="243">
        <v>320425</v>
      </c>
      <c r="I100" s="243">
        <f t="shared" si="24"/>
        <v>42334551</v>
      </c>
      <c r="J100" s="8"/>
      <c r="K100" s="8">
        <f t="shared" si="7"/>
        <v>325392</v>
      </c>
      <c r="L100" s="8">
        <f t="shared" si="12"/>
        <v>42990791.039999999</v>
      </c>
      <c r="M100" s="9" t="str">
        <f t="array" ref="M100">_xlfn.XLOOKUP(B100,'Neiva 2022 FASE I ACTUAL (5)'!$B$6:$B$540,'Neiva 2022 FASE I ACTUAL (5)'!$C$6:$F$540,"NO ESTA")</f>
        <v>NO ESTA</v>
      </c>
      <c r="Q100" s="124">
        <f t="shared" si="15"/>
        <v>0</v>
      </c>
      <c r="R100" s="155">
        <f t="shared" si="11"/>
        <v>132.12</v>
      </c>
      <c r="S100" s="156">
        <f t="shared" si="13"/>
        <v>325392</v>
      </c>
      <c r="T100" s="156">
        <f t="shared" si="14"/>
        <v>42990791.039999999</v>
      </c>
    </row>
    <row r="101" spans="1:20" s="9" customFormat="1" ht="35.1" customHeight="1" x14ac:dyDescent="0.25">
      <c r="A101" s="215"/>
      <c r="B101" s="244" t="s">
        <v>1089</v>
      </c>
      <c r="C101" s="245" t="s">
        <v>1090</v>
      </c>
      <c r="D101" s="244"/>
      <c r="E101" s="246"/>
      <c r="F101" s="246"/>
      <c r="G101" s="246"/>
      <c r="H101" s="303"/>
      <c r="I101" s="246"/>
      <c r="J101" s="8"/>
      <c r="K101" s="8">
        <f t="shared" si="7"/>
        <v>0</v>
      </c>
      <c r="L101" s="8">
        <f t="shared" si="12"/>
        <v>0</v>
      </c>
      <c r="M101" s="9" t="str">
        <f t="array" ref="M101">_xlfn.XLOOKUP(B101,'Neiva 2022 FASE I ACTUAL (5)'!$B$6:$B$540,'Neiva 2022 FASE I ACTUAL (5)'!$C$6:$F$540,"NO ESTA")</f>
        <v>NO ESTA</v>
      </c>
      <c r="Q101" s="124">
        <f t="shared" si="15"/>
        <v>0</v>
      </c>
      <c r="R101" s="155">
        <f t="shared" si="11"/>
        <v>0</v>
      </c>
      <c r="S101" s="156">
        <f t="shared" si="13"/>
        <v>0</v>
      </c>
      <c r="T101" s="156">
        <f t="shared" si="14"/>
        <v>0</v>
      </c>
    </row>
    <row r="102" spans="1:20" s="9" customFormat="1" ht="35.1" customHeight="1" x14ac:dyDescent="0.25">
      <c r="A102" s="215"/>
      <c r="B102" s="240" t="s">
        <v>1091</v>
      </c>
      <c r="C102" s="87" t="s">
        <v>130</v>
      </c>
      <c r="D102" s="240" t="s">
        <v>13</v>
      </c>
      <c r="E102" s="242">
        <v>142.06</v>
      </c>
      <c r="F102" s="242">
        <f t="shared" ref="F102:F107" si="25">+O102</f>
        <v>0</v>
      </c>
      <c r="G102" s="242">
        <f t="shared" ref="G102:G107" si="26">+F102+E102</f>
        <v>142.06</v>
      </c>
      <c r="H102" s="243">
        <v>110927</v>
      </c>
      <c r="I102" s="243">
        <f t="shared" ref="I102:I107" si="27">ROUND(+H102*G102,2)</f>
        <v>15758289.619999999</v>
      </c>
      <c r="J102" s="8"/>
      <c r="K102" s="8">
        <f t="shared" si="7"/>
        <v>112646</v>
      </c>
      <c r="L102" s="8">
        <f t="shared" si="12"/>
        <v>16002490.76</v>
      </c>
      <c r="M102" s="9" t="str">
        <f t="array" ref="M102">_xlfn.XLOOKUP(B102,'Neiva 2022 FASE I ACTUAL (5)'!$B$6:$B$540,'Neiva 2022 FASE I ACTUAL (5)'!$C$6:$F$540,"NO ESTA")</f>
        <v>NO ESTA</v>
      </c>
      <c r="Q102" s="124">
        <f t="shared" si="15"/>
        <v>0</v>
      </c>
      <c r="R102" s="155">
        <f t="shared" si="11"/>
        <v>142.06</v>
      </c>
      <c r="S102" s="156">
        <f t="shared" si="13"/>
        <v>112646</v>
      </c>
      <c r="T102" s="156">
        <f t="shared" si="14"/>
        <v>16002490.76</v>
      </c>
    </row>
    <row r="103" spans="1:20" s="9" customFormat="1" ht="35.1" customHeight="1" x14ac:dyDescent="0.25">
      <c r="A103" s="215"/>
      <c r="B103" s="240" t="s">
        <v>1092</v>
      </c>
      <c r="C103" s="87" t="s">
        <v>112</v>
      </c>
      <c r="D103" s="240" t="s">
        <v>30</v>
      </c>
      <c r="E103" s="242">
        <v>1.25</v>
      </c>
      <c r="F103" s="242">
        <f t="shared" si="25"/>
        <v>0</v>
      </c>
      <c r="G103" s="242">
        <f t="shared" si="26"/>
        <v>1.25</v>
      </c>
      <c r="H103" s="243">
        <v>833964</v>
      </c>
      <c r="I103" s="243">
        <f t="shared" si="27"/>
        <v>1042455</v>
      </c>
      <c r="J103" s="8"/>
      <c r="K103" s="8">
        <f t="shared" si="7"/>
        <v>846890</v>
      </c>
      <c r="L103" s="8">
        <f t="shared" si="12"/>
        <v>1058612.5</v>
      </c>
      <c r="M103" s="9" t="str">
        <f t="array" ref="M103">_xlfn.XLOOKUP(B103,'Neiva 2022 FASE I ACTUAL (5)'!$B$6:$B$540,'Neiva 2022 FASE I ACTUAL (5)'!$C$6:$F$540,"NO ESTA")</f>
        <v>NO ESTA</v>
      </c>
      <c r="Q103" s="124">
        <f t="shared" si="15"/>
        <v>0</v>
      </c>
      <c r="R103" s="155">
        <f t="shared" si="11"/>
        <v>1.25</v>
      </c>
      <c r="S103" s="156">
        <f t="shared" si="13"/>
        <v>846890</v>
      </c>
      <c r="T103" s="156">
        <f t="shared" si="14"/>
        <v>1058612.5</v>
      </c>
    </row>
    <row r="104" spans="1:20" s="9" customFormat="1" ht="35.1" customHeight="1" x14ac:dyDescent="0.25">
      <c r="A104" s="215"/>
      <c r="B104" s="240" t="s">
        <v>1093</v>
      </c>
      <c r="C104" s="87" t="s">
        <v>114</v>
      </c>
      <c r="D104" s="240" t="s">
        <v>30</v>
      </c>
      <c r="E104" s="242">
        <v>27.45</v>
      </c>
      <c r="F104" s="242">
        <f t="shared" si="25"/>
        <v>0</v>
      </c>
      <c r="G104" s="242">
        <f t="shared" si="26"/>
        <v>27.45</v>
      </c>
      <c r="H104" s="243">
        <v>833964</v>
      </c>
      <c r="I104" s="243">
        <f t="shared" si="27"/>
        <v>22892311.800000001</v>
      </c>
      <c r="J104" s="8"/>
      <c r="K104" s="8">
        <f t="shared" si="7"/>
        <v>846890</v>
      </c>
      <c r="L104" s="8">
        <f t="shared" si="12"/>
        <v>23247130.5</v>
      </c>
      <c r="M104" s="9" t="str">
        <f t="array" ref="M104">_xlfn.XLOOKUP(B104,'Neiva 2022 FASE I ACTUAL (5)'!$B$6:$B$540,'Neiva 2022 FASE I ACTUAL (5)'!$C$6:$F$540,"NO ESTA")</f>
        <v>NO ESTA</v>
      </c>
      <c r="Q104" s="124">
        <f t="shared" si="15"/>
        <v>0</v>
      </c>
      <c r="R104" s="155">
        <f t="shared" si="11"/>
        <v>27.45</v>
      </c>
      <c r="S104" s="156">
        <f t="shared" si="13"/>
        <v>846890</v>
      </c>
      <c r="T104" s="156">
        <f t="shared" si="14"/>
        <v>23247130.5</v>
      </c>
    </row>
    <row r="105" spans="1:20" s="9" customFormat="1" ht="35.1" customHeight="1" x14ac:dyDescent="0.25">
      <c r="A105" s="215"/>
      <c r="B105" s="240" t="s">
        <v>1094</v>
      </c>
      <c r="C105" s="87" t="s">
        <v>118</v>
      </c>
      <c r="D105" s="240" t="s">
        <v>30</v>
      </c>
      <c r="E105" s="242">
        <v>14.01</v>
      </c>
      <c r="F105" s="242">
        <f t="shared" si="25"/>
        <v>0</v>
      </c>
      <c r="G105" s="242">
        <f t="shared" si="26"/>
        <v>14.01</v>
      </c>
      <c r="H105" s="243">
        <v>833964</v>
      </c>
      <c r="I105" s="243">
        <f t="shared" si="27"/>
        <v>11683835.640000001</v>
      </c>
      <c r="J105" s="8"/>
      <c r="K105" s="8">
        <f t="shared" si="7"/>
        <v>846890</v>
      </c>
      <c r="L105" s="8">
        <f t="shared" si="12"/>
        <v>11864928.9</v>
      </c>
      <c r="M105" s="9" t="str">
        <f t="array" ref="M105">_xlfn.XLOOKUP(B105,'Neiva 2022 FASE I ACTUAL (5)'!$B$6:$B$540,'Neiva 2022 FASE I ACTUAL (5)'!$C$6:$F$540,"NO ESTA")</f>
        <v>NO ESTA</v>
      </c>
      <c r="Q105" s="124">
        <f t="shared" si="15"/>
        <v>0</v>
      </c>
      <c r="R105" s="155">
        <f t="shared" si="11"/>
        <v>14.01</v>
      </c>
      <c r="S105" s="156">
        <f t="shared" si="13"/>
        <v>846890</v>
      </c>
      <c r="T105" s="156">
        <f t="shared" si="14"/>
        <v>11864928.9</v>
      </c>
    </row>
    <row r="106" spans="1:20" s="9" customFormat="1" ht="35.1" customHeight="1" x14ac:dyDescent="0.25">
      <c r="A106" s="215"/>
      <c r="B106" s="240" t="s">
        <v>1095</v>
      </c>
      <c r="C106" s="87" t="s">
        <v>120</v>
      </c>
      <c r="D106" s="240" t="s">
        <v>13</v>
      </c>
      <c r="E106" s="242">
        <v>316.99</v>
      </c>
      <c r="F106" s="242">
        <f t="shared" si="25"/>
        <v>0</v>
      </c>
      <c r="G106" s="242">
        <f t="shared" si="26"/>
        <v>316.99</v>
      </c>
      <c r="H106" s="243">
        <v>160213</v>
      </c>
      <c r="I106" s="243">
        <f t="shared" si="27"/>
        <v>50785918.869999997</v>
      </c>
      <c r="J106" s="8"/>
      <c r="K106" s="8">
        <f t="shared" si="7"/>
        <v>162696</v>
      </c>
      <c r="L106" s="8">
        <f t="shared" si="12"/>
        <v>51573005.039999999</v>
      </c>
      <c r="M106" s="9" t="str">
        <f t="array" ref="M106">_xlfn.XLOOKUP(B106,'Neiva 2022 FASE I ACTUAL (5)'!$B$6:$B$540,'Neiva 2022 FASE I ACTUAL (5)'!$C$6:$F$540,"NO ESTA")</f>
        <v>NO ESTA</v>
      </c>
      <c r="Q106" s="124">
        <f t="shared" si="15"/>
        <v>0</v>
      </c>
      <c r="R106" s="155">
        <f t="shared" si="11"/>
        <v>316.99</v>
      </c>
      <c r="S106" s="156">
        <f t="shared" si="13"/>
        <v>162696</v>
      </c>
      <c r="T106" s="156">
        <f t="shared" si="14"/>
        <v>51573005.039999999</v>
      </c>
    </row>
    <row r="107" spans="1:20" s="9" customFormat="1" ht="35.1" customHeight="1" x14ac:dyDescent="0.25">
      <c r="A107" s="215"/>
      <c r="B107" s="240" t="s">
        <v>1096</v>
      </c>
      <c r="C107" s="87" t="s">
        <v>122</v>
      </c>
      <c r="D107" s="240" t="s">
        <v>13</v>
      </c>
      <c r="E107" s="242">
        <v>112.85</v>
      </c>
      <c r="F107" s="242">
        <f t="shared" si="25"/>
        <v>0</v>
      </c>
      <c r="G107" s="242">
        <f t="shared" si="26"/>
        <v>112.85</v>
      </c>
      <c r="H107" s="243">
        <v>320425</v>
      </c>
      <c r="I107" s="243">
        <f t="shared" si="27"/>
        <v>36159961.25</v>
      </c>
      <c r="J107" s="8"/>
      <c r="K107" s="8">
        <f t="shared" si="7"/>
        <v>325392</v>
      </c>
      <c r="L107" s="8">
        <f t="shared" si="12"/>
        <v>36720487.199999996</v>
      </c>
      <c r="M107" s="9" t="str">
        <f t="array" ref="M107">_xlfn.XLOOKUP(B107,'Neiva 2022 FASE I ACTUAL (5)'!$B$6:$B$540,'Neiva 2022 FASE I ACTUAL (5)'!$C$6:$F$540,"NO ESTA")</f>
        <v>NO ESTA</v>
      </c>
      <c r="Q107" s="124">
        <f t="shared" si="15"/>
        <v>0</v>
      </c>
      <c r="R107" s="155">
        <f t="shared" si="11"/>
        <v>112.85</v>
      </c>
      <c r="S107" s="156">
        <f t="shared" si="13"/>
        <v>325392</v>
      </c>
      <c r="T107" s="156">
        <f t="shared" si="14"/>
        <v>36720487.200000003</v>
      </c>
    </row>
    <row r="108" spans="1:20" s="9" customFormat="1" ht="35.1" customHeight="1" x14ac:dyDescent="0.25">
      <c r="A108" s="215"/>
      <c r="B108" s="244" t="s">
        <v>1097</v>
      </c>
      <c r="C108" s="245" t="s">
        <v>1098</v>
      </c>
      <c r="D108" s="244"/>
      <c r="E108" s="246"/>
      <c r="F108" s="246"/>
      <c r="G108" s="246"/>
      <c r="H108" s="303"/>
      <c r="I108" s="246"/>
      <c r="J108" s="8"/>
      <c r="K108" s="8">
        <f t="shared" si="7"/>
        <v>0</v>
      </c>
      <c r="L108" s="8">
        <f t="shared" si="12"/>
        <v>0</v>
      </c>
      <c r="M108" s="9" t="str">
        <f t="array" ref="M108">_xlfn.XLOOKUP(B108,'Neiva 2022 FASE I ACTUAL (5)'!$B$6:$B$540,'Neiva 2022 FASE I ACTUAL (5)'!$C$6:$F$540,"NO ESTA")</f>
        <v>NO ESTA</v>
      </c>
      <c r="Q108" s="124">
        <f t="shared" si="15"/>
        <v>0</v>
      </c>
      <c r="R108" s="155">
        <f t="shared" si="11"/>
        <v>0</v>
      </c>
      <c r="S108" s="156">
        <f t="shared" si="13"/>
        <v>0</v>
      </c>
      <c r="T108" s="156">
        <f t="shared" si="14"/>
        <v>0</v>
      </c>
    </row>
    <row r="109" spans="1:20" s="9" customFormat="1" ht="35.1" customHeight="1" x14ac:dyDescent="0.25">
      <c r="A109" s="215"/>
      <c r="B109" s="240" t="s">
        <v>1099</v>
      </c>
      <c r="C109" s="241" t="s">
        <v>1100</v>
      </c>
      <c r="D109" s="240" t="s">
        <v>13</v>
      </c>
      <c r="E109" s="242">
        <v>94.59</v>
      </c>
      <c r="F109" s="242">
        <f>+O109</f>
        <v>0</v>
      </c>
      <c r="G109" s="242">
        <f>+F109+E109</f>
        <v>94.59</v>
      </c>
      <c r="H109" s="243">
        <v>54989</v>
      </c>
      <c r="I109" s="243">
        <f>ROUND(+H109*G109,2)</f>
        <v>5201409.51</v>
      </c>
      <c r="J109" s="8"/>
      <c r="K109" s="8">
        <f t="shared" si="7"/>
        <v>55841</v>
      </c>
      <c r="L109" s="8">
        <f t="shared" si="12"/>
        <v>5282000.1900000004</v>
      </c>
      <c r="M109" s="9" t="str">
        <f t="array" ref="M109">_xlfn.XLOOKUP(B109,'Neiva 2022 FASE I ACTUAL (5)'!$B$6:$B$540,'Neiva 2022 FASE I ACTUAL (5)'!$C$6:$F$540,"NO ESTA")</f>
        <v>NO ESTA</v>
      </c>
      <c r="Q109" s="124">
        <f t="shared" si="15"/>
        <v>0</v>
      </c>
      <c r="R109" s="155">
        <f t="shared" si="11"/>
        <v>94.59</v>
      </c>
      <c r="S109" s="156">
        <f t="shared" si="13"/>
        <v>55841</v>
      </c>
      <c r="T109" s="156">
        <f t="shared" si="14"/>
        <v>5282000.1900000004</v>
      </c>
    </row>
    <row r="110" spans="1:20" s="9" customFormat="1" ht="35.1" customHeight="1" x14ac:dyDescent="0.25">
      <c r="A110" s="215"/>
      <c r="B110" s="240" t="s">
        <v>1101</v>
      </c>
      <c r="C110" s="87" t="s">
        <v>112</v>
      </c>
      <c r="D110" s="240" t="s">
        <v>30</v>
      </c>
      <c r="E110" s="242">
        <v>26.75</v>
      </c>
      <c r="F110" s="242">
        <f>+O110</f>
        <v>0</v>
      </c>
      <c r="G110" s="242">
        <f>+F110+E110</f>
        <v>26.75</v>
      </c>
      <c r="H110" s="243">
        <v>833964</v>
      </c>
      <c r="I110" s="243">
        <f>ROUND(+H110*G110,2)</f>
        <v>22308537</v>
      </c>
      <c r="J110" s="8"/>
      <c r="K110" s="8">
        <f t="shared" si="7"/>
        <v>846890</v>
      </c>
      <c r="L110" s="8">
        <f t="shared" si="12"/>
        <v>22654307.5</v>
      </c>
      <c r="M110" s="9" t="str">
        <f t="array" ref="M110">_xlfn.XLOOKUP(B110,'Neiva 2022 FASE I ACTUAL (5)'!$B$6:$B$540,'Neiva 2022 FASE I ACTUAL (5)'!$C$6:$F$540,"NO ESTA")</f>
        <v>NO ESTA</v>
      </c>
      <c r="Q110" s="124">
        <f t="shared" si="15"/>
        <v>0</v>
      </c>
      <c r="R110" s="155">
        <f t="shared" si="11"/>
        <v>26.75</v>
      </c>
      <c r="S110" s="156">
        <f t="shared" si="13"/>
        <v>846890</v>
      </c>
      <c r="T110" s="156">
        <f t="shared" si="14"/>
        <v>22654307.5</v>
      </c>
    </row>
    <row r="111" spans="1:20" s="9" customFormat="1" ht="35.1" customHeight="1" x14ac:dyDescent="0.25">
      <c r="A111" s="215"/>
      <c r="B111" s="240" t="s">
        <v>1102</v>
      </c>
      <c r="C111" s="87" t="s">
        <v>114</v>
      </c>
      <c r="D111" s="240" t="s">
        <v>30</v>
      </c>
      <c r="E111" s="242">
        <v>33.22</v>
      </c>
      <c r="F111" s="242">
        <f>+O111</f>
        <v>0</v>
      </c>
      <c r="G111" s="242">
        <f>+F111+E111</f>
        <v>33.22</v>
      </c>
      <c r="H111" s="243">
        <v>833964</v>
      </c>
      <c r="I111" s="243">
        <f>ROUND(+H111*G111,2)</f>
        <v>27704284.079999998</v>
      </c>
      <c r="J111" s="8"/>
      <c r="K111" s="8">
        <f t="shared" si="7"/>
        <v>846890</v>
      </c>
      <c r="L111" s="8">
        <f t="shared" si="12"/>
        <v>28133685.800000001</v>
      </c>
      <c r="M111" s="9" t="str">
        <f t="array" ref="M111">_xlfn.XLOOKUP(B111,'Neiva 2022 FASE I ACTUAL (5)'!$B$6:$B$540,'Neiva 2022 FASE I ACTUAL (5)'!$C$6:$F$540,"NO ESTA")</f>
        <v>NO ESTA</v>
      </c>
      <c r="Q111" s="124">
        <f t="shared" si="15"/>
        <v>0</v>
      </c>
      <c r="R111" s="155">
        <f t="shared" si="11"/>
        <v>33.22</v>
      </c>
      <c r="S111" s="156">
        <f t="shared" si="13"/>
        <v>846890</v>
      </c>
      <c r="T111" s="156">
        <f t="shared" si="14"/>
        <v>28133685.800000001</v>
      </c>
    </row>
    <row r="112" spans="1:20" s="9" customFormat="1" ht="35.1" customHeight="1" x14ac:dyDescent="0.25">
      <c r="A112" s="215"/>
      <c r="B112" s="266">
        <v>6</v>
      </c>
      <c r="C112" s="267" t="s">
        <v>145</v>
      </c>
      <c r="D112" s="267"/>
      <c r="E112" s="268"/>
      <c r="F112" s="268"/>
      <c r="G112" s="268"/>
      <c r="H112" s="306"/>
      <c r="I112" s="268"/>
      <c r="J112" s="8"/>
      <c r="K112" s="8">
        <f t="shared" si="7"/>
        <v>0</v>
      </c>
      <c r="L112" s="8">
        <f t="shared" si="12"/>
        <v>0</v>
      </c>
      <c r="M112" s="9" t="str">
        <f t="array" ref="M112:P112">_xlfn.XLOOKUP(B112,'Neiva 2022 FASE I ACTUAL (5)'!$B$6:$B$540,'Neiva 2022 FASE I ACTUAL (5)'!$C$6:$F$540,"NO ESTA")</f>
        <v>ACABADOS DE PISOS</v>
      </c>
      <c r="N112" s="9">
        <v>0</v>
      </c>
      <c r="O112" s="9">
        <v>0</v>
      </c>
      <c r="P112" s="9">
        <v>0</v>
      </c>
      <c r="Q112" s="124">
        <f t="shared" si="15"/>
        <v>0</v>
      </c>
      <c r="R112" s="155">
        <f t="shared" si="11"/>
        <v>0</v>
      </c>
      <c r="S112" s="156">
        <f t="shared" si="13"/>
        <v>0</v>
      </c>
      <c r="T112" s="156">
        <f t="shared" si="14"/>
        <v>0</v>
      </c>
    </row>
    <row r="113" spans="1:20" s="9" customFormat="1" ht="35.1" customHeight="1" x14ac:dyDescent="0.25">
      <c r="A113" s="215"/>
      <c r="B113" s="244" t="s">
        <v>146</v>
      </c>
      <c r="C113" s="245" t="s">
        <v>147</v>
      </c>
      <c r="D113" s="244"/>
      <c r="E113" s="246"/>
      <c r="F113" s="246"/>
      <c r="G113" s="246"/>
      <c r="H113" s="303"/>
      <c r="I113" s="246"/>
      <c r="J113" s="8"/>
      <c r="K113" s="8">
        <f t="shared" ref="K113:K176" si="28">+ROUND(H113*(1+$K$4),0)</f>
        <v>0</v>
      </c>
      <c r="L113" s="8">
        <f t="shared" si="12"/>
        <v>0</v>
      </c>
      <c r="M113" s="9" t="str">
        <f t="array" ref="M113:P113">_xlfn.XLOOKUP(B113,'Neiva 2022 FASE I ACTUAL (5)'!$B$6:$B$540,'Neiva 2022 FASE I ACTUAL (5)'!$C$6:$F$540,"NO ESTA")</f>
        <v>SUMINISTRO E INSTALACIÓN PISOS SEMISOTANO</v>
      </c>
      <c r="N113" s="9">
        <v>0</v>
      </c>
      <c r="O113" s="9">
        <v>0</v>
      </c>
      <c r="P113" s="9">
        <v>0</v>
      </c>
      <c r="Q113" s="124">
        <f t="shared" si="15"/>
        <v>0</v>
      </c>
      <c r="R113" s="155">
        <f t="shared" si="11"/>
        <v>0</v>
      </c>
      <c r="S113" s="156">
        <f t="shared" si="13"/>
        <v>0</v>
      </c>
      <c r="T113" s="156">
        <f t="shared" si="14"/>
        <v>0</v>
      </c>
    </row>
    <row r="114" spans="1:20" s="9" customFormat="1" ht="35.1" customHeight="1" x14ac:dyDescent="0.25">
      <c r="A114" s="215"/>
      <c r="B114" s="255" t="s">
        <v>148</v>
      </c>
      <c r="C114" s="254" t="s">
        <v>149</v>
      </c>
      <c r="D114" s="255" t="s">
        <v>13</v>
      </c>
      <c r="E114" s="242">
        <v>0</v>
      </c>
      <c r="F114" s="242">
        <f>+O114</f>
        <v>457.19</v>
      </c>
      <c r="G114" s="242">
        <f>+F114+E114</f>
        <v>457.19</v>
      </c>
      <c r="H114" s="243">
        <v>94327</v>
      </c>
      <c r="I114" s="243">
        <f>ROUND(+H114*G114,2)</f>
        <v>43125361.130000003</v>
      </c>
      <c r="J114" s="8"/>
      <c r="K114" s="8">
        <f t="shared" si="28"/>
        <v>95789</v>
      </c>
      <c r="L114" s="8">
        <f t="shared" si="12"/>
        <v>0</v>
      </c>
      <c r="M114" s="9" t="str">
        <f t="array" ref="M114:P114">_xlfn.XLOOKUP(B114,'Neiva 2022 FASE I ACTUAL (5)'!$B$6:$B$540,'Neiva 2022 FASE I ACTUAL (5)'!$C$6:$F$540,"NO ESTA")</f>
        <v xml:space="preserve">ANDEN INTERNO EN CONCRETO DE 2500 PSI CON ACABADO CEMENTO PULIDO Ref. Planos 03318 </v>
      </c>
      <c r="N114" s="9" t="str">
        <v>M2</v>
      </c>
      <c r="O114" s="9">
        <v>457.19</v>
      </c>
      <c r="P114" s="9">
        <v>94327</v>
      </c>
      <c r="Q114" s="124" t="str">
        <f t="shared" si="15"/>
        <v>FASE II</v>
      </c>
      <c r="R114" s="155">
        <f t="shared" si="11"/>
        <v>457.19</v>
      </c>
      <c r="S114" s="156">
        <f t="shared" si="13"/>
        <v>95789</v>
      </c>
      <c r="T114" s="156">
        <f t="shared" si="14"/>
        <v>43793772.909999996</v>
      </c>
    </row>
    <row r="115" spans="1:20" s="9" customFormat="1" ht="35.1" customHeight="1" x14ac:dyDescent="0.25">
      <c r="A115" s="215"/>
      <c r="B115" s="255" t="s">
        <v>150</v>
      </c>
      <c r="C115" s="254" t="s">
        <v>151</v>
      </c>
      <c r="D115" s="255" t="s">
        <v>13</v>
      </c>
      <c r="E115" s="242">
        <v>0</v>
      </c>
      <c r="F115" s="242">
        <f>+O115</f>
        <v>1963.08</v>
      </c>
      <c r="G115" s="242">
        <f>+F115+E115</f>
        <v>1963.08</v>
      </c>
      <c r="H115" s="243">
        <v>8338</v>
      </c>
      <c r="I115" s="243">
        <f>ROUND(+H115*G115,2)</f>
        <v>16368161.039999999</v>
      </c>
      <c r="J115" s="8"/>
      <c r="K115" s="8">
        <f t="shared" si="28"/>
        <v>8467</v>
      </c>
      <c r="L115" s="8">
        <f t="shared" si="12"/>
        <v>0</v>
      </c>
      <c r="M115" s="9" t="str">
        <f t="array" ref="M115:P115">_xlfn.XLOOKUP(B115,'Neiva 2022 FASE I ACTUAL (5)'!$B$6:$B$540,'Neiva 2022 FASE I ACTUAL (5)'!$C$6:$F$540,"NO ESTA")</f>
        <v>ACABADO DE PISO DE CONCRETO GRIS PULIDO   Ref. Planos 09650-1</v>
      </c>
      <c r="N115" s="9" t="str">
        <v>M2</v>
      </c>
      <c r="O115" s="9">
        <v>1963.08</v>
      </c>
      <c r="P115" s="9">
        <v>7702</v>
      </c>
      <c r="Q115" s="124" t="str">
        <f t="shared" si="15"/>
        <v>FASE II</v>
      </c>
      <c r="R115" s="155">
        <f t="shared" si="11"/>
        <v>1963.08</v>
      </c>
      <c r="S115" s="156">
        <f t="shared" si="13"/>
        <v>8467</v>
      </c>
      <c r="T115" s="156">
        <f t="shared" si="14"/>
        <v>16621398.359999999</v>
      </c>
    </row>
    <row r="116" spans="1:20" s="9" customFormat="1" ht="35.1" customHeight="1" x14ac:dyDescent="0.25">
      <c r="A116" s="215"/>
      <c r="B116" s="240" t="s">
        <v>152</v>
      </c>
      <c r="C116" s="241" t="s">
        <v>153</v>
      </c>
      <c r="D116" s="240" t="s">
        <v>13</v>
      </c>
      <c r="E116" s="242">
        <v>0</v>
      </c>
      <c r="F116" s="242">
        <f>+O116</f>
        <v>1.4</v>
      </c>
      <c r="G116" s="242">
        <f>+F116+E116</f>
        <v>1.4</v>
      </c>
      <c r="H116" s="243">
        <v>109887</v>
      </c>
      <c r="I116" s="243">
        <f>ROUND(+H116*G116,2)</f>
        <v>153841.79999999999</v>
      </c>
      <c r="J116" s="8"/>
      <c r="K116" s="8">
        <f t="shared" si="28"/>
        <v>111590</v>
      </c>
      <c r="L116" s="8">
        <f t="shared" si="12"/>
        <v>0</v>
      </c>
      <c r="M116" s="9" t="str">
        <f t="array" ref="M116:P116">_xlfn.XLOOKUP(B116,'Neiva 2022 FASE I ACTUAL (5)'!$B$6:$B$540,'Neiva 2022 FASE I ACTUAL (5)'!$C$6:$F$540,"NO ESTA")</f>
        <v>SUMINISTRO E INSTALACION PISO TABLETA ZONAS COMUNES Incluye ALISTADO Referencia  ALFA 30 X 30 HUILA Ref. Planos 09610.1</v>
      </c>
      <c r="N116" s="9" t="str">
        <v>M2</v>
      </c>
      <c r="O116" s="9">
        <v>1.4</v>
      </c>
      <c r="P116" s="9">
        <v>107920</v>
      </c>
      <c r="Q116" s="124" t="str">
        <f t="shared" si="15"/>
        <v>FASE II</v>
      </c>
      <c r="R116" s="155">
        <f t="shared" si="11"/>
        <v>1.4</v>
      </c>
      <c r="S116" s="156">
        <f t="shared" si="13"/>
        <v>111590</v>
      </c>
      <c r="T116" s="156">
        <f t="shared" si="14"/>
        <v>156226</v>
      </c>
    </row>
    <row r="117" spans="1:20" s="9" customFormat="1" ht="35.1" customHeight="1" x14ac:dyDescent="0.25">
      <c r="A117" s="215"/>
      <c r="B117" s="244" t="s">
        <v>154</v>
      </c>
      <c r="C117" s="256" t="s">
        <v>155</v>
      </c>
      <c r="D117" s="256"/>
      <c r="E117" s="246"/>
      <c r="F117" s="246"/>
      <c r="G117" s="246"/>
      <c r="H117" s="303"/>
      <c r="I117" s="246"/>
      <c r="J117" s="8"/>
      <c r="K117" s="8">
        <f t="shared" si="28"/>
        <v>0</v>
      </c>
      <c r="L117" s="8">
        <f t="shared" si="12"/>
        <v>0</v>
      </c>
      <c r="M117" s="9" t="str">
        <f t="array" ref="M117:P117">_xlfn.XLOOKUP(B117,'Neiva 2022 FASE I ACTUAL (5)'!$B$6:$B$540,'Neiva 2022 FASE I ACTUAL (5)'!$C$6:$F$540,"NO ESTA")</f>
        <v>SUMINISTRO E INSTALACIÓN DE PISOS ESPACIO PUBLICO</v>
      </c>
      <c r="N117" s="9">
        <v>0</v>
      </c>
      <c r="O117" s="9">
        <v>0</v>
      </c>
      <c r="P117" s="9">
        <v>0</v>
      </c>
      <c r="Q117" s="124">
        <f t="shared" si="15"/>
        <v>0</v>
      </c>
      <c r="R117" s="155">
        <f t="shared" si="11"/>
        <v>0</v>
      </c>
      <c r="S117" s="156">
        <f t="shared" si="13"/>
        <v>0</v>
      </c>
      <c r="T117" s="156">
        <f t="shared" si="14"/>
        <v>0</v>
      </c>
    </row>
    <row r="118" spans="1:20" s="9" customFormat="1" ht="35.1" customHeight="1" x14ac:dyDescent="0.25">
      <c r="A118" s="215"/>
      <c r="B118" s="255" t="s">
        <v>156</v>
      </c>
      <c r="C118" s="254" t="s">
        <v>157</v>
      </c>
      <c r="D118" s="255" t="s">
        <v>13</v>
      </c>
      <c r="E118" s="242">
        <v>1832.0720000000001</v>
      </c>
      <c r="F118" s="242">
        <f>+O118</f>
        <v>45.8</v>
      </c>
      <c r="G118" s="242">
        <f>+F118+E118</f>
        <v>1877.8720000000001</v>
      </c>
      <c r="H118" s="243">
        <v>93118</v>
      </c>
      <c r="I118" s="243">
        <f>ROUND(+H118*G118,2)</f>
        <v>174863684.90000001</v>
      </c>
      <c r="J118" s="8"/>
      <c r="K118" s="8">
        <f t="shared" si="28"/>
        <v>94561</v>
      </c>
      <c r="L118" s="8">
        <f t="shared" si="12"/>
        <v>173242560.39200002</v>
      </c>
      <c r="M118" s="9" t="str">
        <f t="array" ref="M118:P118">_xlfn.XLOOKUP(B118,'Neiva 2022 FASE I ACTUAL (5)'!$B$6:$B$540,'Neiva 2022 FASE I ACTUAL (5)'!$C$6:$F$540,"NO ESTA")</f>
        <v>SUMINISTRO E INSTALACION ANDEN EN LOSETA PREFABRICADA Referencia A50  GRIS 40 X 40 incluye alistadio - (Especificación Cartilla Andenes IDU-2011)</v>
      </c>
      <c r="N118" s="9" t="str">
        <v>M2</v>
      </c>
      <c r="O118" s="9">
        <v>45.8</v>
      </c>
      <c r="P118" s="9">
        <v>89363</v>
      </c>
      <c r="Q118" s="124" t="str">
        <f t="shared" si="15"/>
        <v>FASE II</v>
      </c>
      <c r="R118" s="155">
        <f t="shared" si="11"/>
        <v>1877.8720000000001</v>
      </c>
      <c r="S118" s="156">
        <f t="shared" si="13"/>
        <v>94561</v>
      </c>
      <c r="T118" s="156">
        <f t="shared" si="14"/>
        <v>177573454.19</v>
      </c>
    </row>
    <row r="119" spans="1:20" s="9" customFormat="1" ht="35.1" customHeight="1" x14ac:dyDescent="0.25">
      <c r="A119" s="215"/>
      <c r="B119" s="255" t="s">
        <v>158</v>
      </c>
      <c r="C119" s="254" t="s">
        <v>159</v>
      </c>
      <c r="D119" s="255" t="s">
        <v>13</v>
      </c>
      <c r="E119" s="242">
        <v>183.66400000000002</v>
      </c>
      <c r="F119" s="242">
        <f>+O119</f>
        <v>4.59</v>
      </c>
      <c r="G119" s="242">
        <f>+F119+E119</f>
        <v>188.25400000000002</v>
      </c>
      <c r="H119" s="243">
        <v>97799</v>
      </c>
      <c r="I119" s="243">
        <f>ROUND(+H119*G119,2)</f>
        <v>18411052.949999999</v>
      </c>
      <c r="J119" s="8"/>
      <c r="K119" s="8">
        <f t="shared" si="28"/>
        <v>99315</v>
      </c>
      <c r="L119" s="8">
        <f t="shared" si="12"/>
        <v>18240590.16</v>
      </c>
      <c r="M119" s="9" t="str">
        <f t="array" ref="M119:P119">_xlfn.XLOOKUP(B119,'Neiva 2022 FASE I ACTUAL (5)'!$B$6:$B$540,'Neiva 2022 FASE I ACTUAL (5)'!$C$6:$F$540,"NO ESTA")</f>
        <v>SUMINISTRO E INSTALACION JARDIN Ref. Planos A2900 (Incluye material aislante, impermeabilizante, tierra, abonos y plantas ornamentales)</v>
      </c>
      <c r="N119" s="9" t="str">
        <v>M2</v>
      </c>
      <c r="O119" s="9">
        <v>4.59</v>
      </c>
      <c r="P119" s="9">
        <v>93854</v>
      </c>
      <c r="Q119" s="124" t="str">
        <f t="shared" si="15"/>
        <v>FASE II</v>
      </c>
      <c r="R119" s="155">
        <f t="shared" si="11"/>
        <v>188.25400000000002</v>
      </c>
      <c r="S119" s="156">
        <f t="shared" si="13"/>
        <v>99315</v>
      </c>
      <c r="T119" s="156">
        <f t="shared" si="14"/>
        <v>18696446.010000002</v>
      </c>
    </row>
    <row r="120" spans="1:20" s="9" customFormat="1" ht="35.1" customHeight="1" x14ac:dyDescent="0.25">
      <c r="A120" s="215"/>
      <c r="B120" s="244" t="s">
        <v>160</v>
      </c>
      <c r="C120" s="256" t="s">
        <v>161</v>
      </c>
      <c r="D120" s="256"/>
      <c r="E120" s="246"/>
      <c r="F120" s="246"/>
      <c r="G120" s="246"/>
      <c r="H120" s="303"/>
      <c r="I120" s="246"/>
      <c r="J120" s="8"/>
      <c r="K120" s="8">
        <f t="shared" si="28"/>
        <v>0</v>
      </c>
      <c r="L120" s="8">
        <f t="shared" si="12"/>
        <v>0</v>
      </c>
      <c r="M120" s="9" t="str">
        <f t="array" ref="M120:P120">_xlfn.XLOOKUP(B120,'Neiva 2022 FASE I ACTUAL (5)'!$B$6:$B$540,'Neiva 2022 FASE I ACTUAL (5)'!$C$6:$F$540,"NO ESTA")</f>
        <v>SUMINISTRO E INSTALACIÓN DE PISOS PISO 1</v>
      </c>
      <c r="N120" s="9">
        <v>0</v>
      </c>
      <c r="O120" s="9">
        <v>0</v>
      </c>
      <c r="P120" s="9">
        <v>0</v>
      </c>
      <c r="Q120" s="124">
        <f t="shared" si="15"/>
        <v>0</v>
      </c>
      <c r="R120" s="155">
        <f t="shared" si="11"/>
        <v>0</v>
      </c>
      <c r="S120" s="156">
        <f t="shared" si="13"/>
        <v>0</v>
      </c>
      <c r="T120" s="156">
        <f t="shared" si="14"/>
        <v>0</v>
      </c>
    </row>
    <row r="121" spans="1:20" s="9" customFormat="1" ht="35.1" customHeight="1" x14ac:dyDescent="0.25">
      <c r="A121" s="215"/>
      <c r="B121" s="255" t="s">
        <v>162</v>
      </c>
      <c r="C121" s="254" t="s">
        <v>153</v>
      </c>
      <c r="D121" s="255" t="s">
        <v>13</v>
      </c>
      <c r="E121" s="242">
        <v>513.95999999999992</v>
      </c>
      <c r="F121" s="242">
        <f>+O121</f>
        <v>718.89</v>
      </c>
      <c r="G121" s="242">
        <f>+F121+E121</f>
        <v>1232.8499999999999</v>
      </c>
      <c r="H121" s="243">
        <v>109887</v>
      </c>
      <c r="I121" s="243">
        <f>ROUND(+H121*G121,2)</f>
        <v>135474187.94999999</v>
      </c>
      <c r="J121" s="8"/>
      <c r="K121" s="8">
        <f t="shared" si="28"/>
        <v>111590</v>
      </c>
      <c r="L121" s="8">
        <f t="shared" si="12"/>
        <v>57352796.399999991</v>
      </c>
      <c r="M121" s="9" t="str">
        <f t="array" ref="M121:P121">_xlfn.XLOOKUP(B121,'Neiva 2022 FASE I ACTUAL (5)'!$B$6:$B$540,'Neiva 2022 FASE I ACTUAL (5)'!$C$6:$F$540,"NO ESTA")</f>
        <v>SUMINISTRO E INSTALACION PISO TABLETA ZONAS COMUNES Incluye ALISTADO Referencia  ALFA 30 X 30 HUILA Ref. Planos 09610.1</v>
      </c>
      <c r="N121" s="9" t="str">
        <v>M2</v>
      </c>
      <c r="O121" s="9">
        <v>718.89</v>
      </c>
      <c r="P121" s="9">
        <v>107920</v>
      </c>
      <c r="Q121" s="124" t="str">
        <f t="shared" si="15"/>
        <v>FASE II</v>
      </c>
      <c r="R121" s="155">
        <f t="shared" si="11"/>
        <v>1232.8499999999999</v>
      </c>
      <c r="S121" s="156">
        <f t="shared" si="13"/>
        <v>111590</v>
      </c>
      <c r="T121" s="156">
        <f t="shared" si="14"/>
        <v>137573731.5</v>
      </c>
    </row>
    <row r="122" spans="1:20" s="9" customFormat="1" ht="35.1" customHeight="1" x14ac:dyDescent="0.25">
      <c r="A122" s="215"/>
      <c r="B122" s="255" t="s">
        <v>163</v>
      </c>
      <c r="C122" s="254" t="s">
        <v>164</v>
      </c>
      <c r="D122" s="255" t="s">
        <v>13</v>
      </c>
      <c r="E122" s="242">
        <v>230.83</v>
      </c>
      <c r="F122" s="242">
        <f>+O122</f>
        <v>576.27</v>
      </c>
      <c r="G122" s="242">
        <f>+F122+E122</f>
        <v>807.1</v>
      </c>
      <c r="H122" s="243">
        <v>71709</v>
      </c>
      <c r="I122" s="243">
        <f>ROUND(+H122*G122,2)</f>
        <v>57876333.899999999</v>
      </c>
      <c r="J122" s="8"/>
      <c r="K122" s="8">
        <f t="shared" si="28"/>
        <v>72820</v>
      </c>
      <c r="L122" s="8">
        <f t="shared" si="12"/>
        <v>16809040.600000001</v>
      </c>
      <c r="M122" s="9" t="str">
        <f t="array" ref="M122:P122">_xlfn.XLOOKUP(B122,'Neiva 2022 FASE I ACTUAL (5)'!$B$6:$B$540,'Neiva 2022 FASE I ACTUAL (5)'!$C$6:$F$540,"NO ESTA")</f>
        <v>SUMINISTRO E INSTALACION PISO LOSETA PREFABRICADA GRIS Referencia A30 DE 40X60 - (Especificación Cartilla Andenes IDU-2011)  Ref. Planos 09620.8</v>
      </c>
      <c r="N122" s="9" t="str">
        <v>M2</v>
      </c>
      <c r="O122" s="9">
        <v>576.27</v>
      </c>
      <c r="P122" s="9">
        <v>70788</v>
      </c>
      <c r="Q122" s="124" t="str">
        <f t="shared" si="15"/>
        <v>FASE II</v>
      </c>
      <c r="R122" s="155">
        <f t="shared" si="11"/>
        <v>807.1</v>
      </c>
      <c r="S122" s="156">
        <f t="shared" si="13"/>
        <v>72820</v>
      </c>
      <c r="T122" s="156">
        <f t="shared" si="14"/>
        <v>58773022</v>
      </c>
    </row>
    <row r="123" spans="1:20" s="9" customFormat="1" ht="35.1" customHeight="1" x14ac:dyDescent="0.25">
      <c r="A123" s="215"/>
      <c r="B123" s="255" t="s">
        <v>165</v>
      </c>
      <c r="C123" s="254" t="s">
        <v>166</v>
      </c>
      <c r="D123" s="255" t="s">
        <v>13</v>
      </c>
      <c r="E123" s="242">
        <v>11.069999999999999</v>
      </c>
      <c r="F123" s="242">
        <f>+O123</f>
        <v>33.11</v>
      </c>
      <c r="G123" s="242">
        <f>+F123+E123</f>
        <v>44.18</v>
      </c>
      <c r="H123" s="243">
        <v>47796</v>
      </c>
      <c r="I123" s="243">
        <f>ROUND(+H123*G123,2)</f>
        <v>2111627.2799999998</v>
      </c>
      <c r="J123" s="8"/>
      <c r="K123" s="8">
        <f t="shared" si="28"/>
        <v>48537</v>
      </c>
      <c r="L123" s="8">
        <f t="shared" si="12"/>
        <v>537304.59</v>
      </c>
      <c r="M123" s="9" t="str">
        <f t="array" ref="M123:P123">_xlfn.XLOOKUP(B123,'Neiva 2022 FASE I ACTUAL (5)'!$B$6:$B$540,'Neiva 2022 FASE I ACTUAL (5)'!$C$6:$F$540,"NO ESTA")</f>
        <v>SUMINISTRO E INSTALACION PISO EN VINILO GRIS TARIMA Ref. Planos 09650.1</v>
      </c>
      <c r="N123" s="9" t="str">
        <v>M2</v>
      </c>
      <c r="O123" s="9">
        <v>33.11</v>
      </c>
      <c r="P123" s="9">
        <v>47493</v>
      </c>
      <c r="Q123" s="124" t="str">
        <f t="shared" si="15"/>
        <v>FASE II</v>
      </c>
      <c r="R123" s="155">
        <f t="shared" si="11"/>
        <v>44.18</v>
      </c>
      <c r="S123" s="156">
        <f t="shared" si="13"/>
        <v>48537</v>
      </c>
      <c r="T123" s="156">
        <f t="shared" si="14"/>
        <v>2144364.66</v>
      </c>
    </row>
    <row r="124" spans="1:20" s="9" customFormat="1" ht="35.1" customHeight="1" x14ac:dyDescent="0.25">
      <c r="A124" s="215"/>
      <c r="B124" s="255" t="s">
        <v>167</v>
      </c>
      <c r="C124" s="254" t="s">
        <v>168</v>
      </c>
      <c r="D124" s="255" t="s">
        <v>13</v>
      </c>
      <c r="E124" s="242">
        <v>12.31</v>
      </c>
      <c r="F124" s="242">
        <f>+O124</f>
        <v>297.04000000000002</v>
      </c>
      <c r="G124" s="242">
        <f>+F124+E124</f>
        <v>309.35000000000002</v>
      </c>
      <c r="H124" s="243">
        <v>103651</v>
      </c>
      <c r="I124" s="243">
        <f>ROUND(+H124*G124,2)</f>
        <v>32064436.850000001</v>
      </c>
      <c r="J124" s="8"/>
      <c r="K124" s="8">
        <f t="shared" si="28"/>
        <v>105258</v>
      </c>
      <c r="L124" s="8">
        <f t="shared" si="12"/>
        <v>1295725.98</v>
      </c>
      <c r="M124" s="9" t="str">
        <f t="array" ref="M124:P124">_xlfn.XLOOKUP(B124,'Neiva 2022 FASE I ACTUAL (5)'!$B$6:$B$540,'Neiva 2022 FASE I ACTUAL (5)'!$C$6:$F$540,"NO ESTA")</f>
        <v>SUMINISTRO E INSTALACION PISO EN ALFOMBRA Referencia TRAFICO PESADO Ref. Planos 09680.A1</v>
      </c>
      <c r="N124" s="9" t="str">
        <v>M2</v>
      </c>
      <c r="O124" s="9">
        <v>297.04000000000002</v>
      </c>
      <c r="P124" s="9">
        <v>102141</v>
      </c>
      <c r="Q124" s="124" t="str">
        <f t="shared" si="15"/>
        <v>FASE II</v>
      </c>
      <c r="R124" s="155">
        <f t="shared" si="11"/>
        <v>309.35000000000002</v>
      </c>
      <c r="S124" s="156">
        <f t="shared" si="13"/>
        <v>105258</v>
      </c>
      <c r="T124" s="156">
        <f t="shared" si="14"/>
        <v>32561562.300000001</v>
      </c>
    </row>
    <row r="125" spans="1:20" s="9" customFormat="1" ht="35.1" customHeight="1" x14ac:dyDescent="0.25">
      <c r="A125" s="215"/>
      <c r="B125" s="255" t="s">
        <v>169</v>
      </c>
      <c r="C125" s="254" t="s">
        <v>159</v>
      </c>
      <c r="D125" s="255" t="s">
        <v>13</v>
      </c>
      <c r="E125" s="242">
        <v>106.58</v>
      </c>
      <c r="F125" s="242">
        <f>+O125</f>
        <v>145.79</v>
      </c>
      <c r="G125" s="242">
        <f>+F125+E125</f>
        <v>252.37</v>
      </c>
      <c r="H125" s="243">
        <v>94259</v>
      </c>
      <c r="I125" s="243">
        <f>ROUND(+H125*G125,2)</f>
        <v>23788143.829999998</v>
      </c>
      <c r="J125" s="8"/>
      <c r="K125" s="8">
        <f t="shared" si="28"/>
        <v>95720</v>
      </c>
      <c r="L125" s="8">
        <f t="shared" si="12"/>
        <v>10201837.6</v>
      </c>
      <c r="M125" s="9" t="str">
        <f t="array" ref="M125:P125">_xlfn.XLOOKUP(B125,'Neiva 2022 FASE I ACTUAL (5)'!$B$6:$B$540,'Neiva 2022 FASE I ACTUAL (5)'!$C$6:$F$540,"NO ESTA")</f>
        <v>SUMINISTRO E INSTALACION JARDIN Ref. Planos A2900 (Incluye material aislante, impermeabilizante, tierra, abonos y plantas ornamentales)</v>
      </c>
      <c r="N125" s="9" t="str">
        <v>M2</v>
      </c>
      <c r="O125" s="9">
        <v>145.79</v>
      </c>
      <c r="P125" s="9">
        <v>93854</v>
      </c>
      <c r="Q125" s="124" t="str">
        <f t="shared" si="15"/>
        <v>FASE II</v>
      </c>
      <c r="R125" s="155">
        <f t="shared" si="11"/>
        <v>252.37</v>
      </c>
      <c r="S125" s="156">
        <f t="shared" si="13"/>
        <v>95720</v>
      </c>
      <c r="T125" s="156">
        <f t="shared" si="14"/>
        <v>24156856.399999999</v>
      </c>
    </row>
    <row r="126" spans="1:20" s="9" customFormat="1" ht="35.1" customHeight="1" x14ac:dyDescent="0.25">
      <c r="A126" s="215"/>
      <c r="B126" s="270" t="s">
        <v>170</v>
      </c>
      <c r="C126" s="271" t="s">
        <v>171</v>
      </c>
      <c r="D126" s="272"/>
      <c r="E126" s="273"/>
      <c r="F126" s="273"/>
      <c r="G126" s="273"/>
      <c r="H126" s="307"/>
      <c r="I126" s="273"/>
      <c r="J126" s="8"/>
      <c r="K126" s="8">
        <f t="shared" si="28"/>
        <v>0</v>
      </c>
      <c r="L126" s="8">
        <f t="shared" si="12"/>
        <v>0</v>
      </c>
      <c r="M126" s="9" t="str">
        <f t="array" ref="M126:P126">_xlfn.XLOOKUP(B126,'Neiva 2022 FASE I ACTUAL (5)'!$B$6:$B$540,'Neiva 2022 FASE I ACTUAL (5)'!$C$6:$F$540,"NO ESTA")</f>
        <v>SUMINISTRO E INSTALACIÓN DE PISOS PISO 2</v>
      </c>
      <c r="N126" s="9">
        <v>0</v>
      </c>
      <c r="O126" s="9">
        <v>0</v>
      </c>
      <c r="P126" s="9">
        <v>0</v>
      </c>
      <c r="Q126" s="124">
        <f t="shared" si="15"/>
        <v>0</v>
      </c>
      <c r="R126" s="155">
        <f t="shared" si="11"/>
        <v>0</v>
      </c>
      <c r="S126" s="156">
        <f t="shared" si="13"/>
        <v>0</v>
      </c>
      <c r="T126" s="156">
        <f t="shared" si="14"/>
        <v>0</v>
      </c>
    </row>
    <row r="127" spans="1:20" s="9" customFormat="1" ht="35.1" customHeight="1" x14ac:dyDescent="0.25">
      <c r="A127" s="215"/>
      <c r="B127" s="255" t="s">
        <v>172</v>
      </c>
      <c r="C127" s="254" t="s">
        <v>153</v>
      </c>
      <c r="D127" s="255" t="s">
        <v>13</v>
      </c>
      <c r="E127" s="242">
        <v>482.95999999999992</v>
      </c>
      <c r="F127" s="242">
        <f>+O127</f>
        <v>1039</v>
      </c>
      <c r="G127" s="242">
        <f>+F127+E127</f>
        <v>1521.96</v>
      </c>
      <c r="H127" s="243">
        <v>109887</v>
      </c>
      <c r="I127" s="243">
        <f>ROUND(+H127*G127,2)</f>
        <v>167243618.52000001</v>
      </c>
      <c r="J127" s="8"/>
      <c r="K127" s="8">
        <f t="shared" si="28"/>
        <v>111590</v>
      </c>
      <c r="L127" s="8">
        <f t="shared" si="12"/>
        <v>53893506.399999991</v>
      </c>
      <c r="M127" s="9" t="str">
        <f t="array" ref="M127:P127">_xlfn.XLOOKUP(B127,'Neiva 2022 FASE I ACTUAL (5)'!$B$6:$B$540,'Neiva 2022 FASE I ACTUAL (5)'!$C$6:$F$540,"NO ESTA")</f>
        <v>SUMINISTRO E INSTALACION PISO TABLETA ZONAS COMUNES Incluye ALISTADO Referencia  ALFA 30 X 30 HUILA Ref. Planos 09610.1</v>
      </c>
      <c r="N127" s="9" t="str">
        <v>M2</v>
      </c>
      <c r="O127" s="9">
        <v>1039</v>
      </c>
      <c r="P127" s="9">
        <v>107920</v>
      </c>
      <c r="Q127" s="124" t="str">
        <f t="shared" si="15"/>
        <v>FASE II</v>
      </c>
      <c r="R127" s="155">
        <f t="shared" si="11"/>
        <v>1521.96</v>
      </c>
      <c r="S127" s="156">
        <f t="shared" si="13"/>
        <v>111590</v>
      </c>
      <c r="T127" s="156">
        <f t="shared" si="14"/>
        <v>169835516.40000001</v>
      </c>
    </row>
    <row r="128" spans="1:20" s="9" customFormat="1" ht="35.1" customHeight="1" x14ac:dyDescent="0.25">
      <c r="A128" s="215"/>
      <c r="B128" s="255" t="s">
        <v>173</v>
      </c>
      <c r="C128" s="254" t="s">
        <v>164</v>
      </c>
      <c r="D128" s="255" t="s">
        <v>13</v>
      </c>
      <c r="E128" s="242">
        <v>80.070000000000007</v>
      </c>
      <c r="F128" s="242">
        <f>+O128</f>
        <v>190.12</v>
      </c>
      <c r="G128" s="242">
        <f>+F128+E128</f>
        <v>270.19</v>
      </c>
      <c r="H128" s="243">
        <v>71709</v>
      </c>
      <c r="I128" s="243">
        <f>ROUND(+H128*G128,2)</f>
        <v>19375054.710000001</v>
      </c>
      <c r="J128" s="8"/>
      <c r="K128" s="8">
        <f t="shared" si="28"/>
        <v>72820</v>
      </c>
      <c r="L128" s="8">
        <f t="shared" si="12"/>
        <v>5830697.4000000004</v>
      </c>
      <c r="M128" s="9" t="str">
        <f t="array" ref="M128:P128">_xlfn.XLOOKUP(B128,'Neiva 2022 FASE I ACTUAL (5)'!$B$6:$B$540,'Neiva 2022 FASE I ACTUAL (5)'!$C$6:$F$540,"NO ESTA")</f>
        <v>SUMINISTRO E INSTALACION PISO LOSETA PREFABRICADA GRIS Referencia A30 DE 40X60 - (Especificación Cartilla Andenes IDU-2011)  Ref. Planos 09620.8</v>
      </c>
      <c r="N128" s="9" t="str">
        <v>M2</v>
      </c>
      <c r="O128" s="9">
        <v>190.12</v>
      </c>
      <c r="P128" s="9">
        <v>70788</v>
      </c>
      <c r="Q128" s="124" t="str">
        <f t="shared" si="15"/>
        <v>FASE II</v>
      </c>
      <c r="R128" s="155">
        <f t="shared" si="11"/>
        <v>270.19</v>
      </c>
      <c r="S128" s="156">
        <f t="shared" si="13"/>
        <v>72820</v>
      </c>
      <c r="T128" s="156">
        <f t="shared" si="14"/>
        <v>19675235.800000001</v>
      </c>
    </row>
    <row r="129" spans="1:20" s="9" customFormat="1" ht="35.1" customHeight="1" x14ac:dyDescent="0.25">
      <c r="A129" s="215"/>
      <c r="B129" s="255" t="s">
        <v>174</v>
      </c>
      <c r="C129" s="254" t="s">
        <v>159</v>
      </c>
      <c r="D129" s="255" t="s">
        <v>13</v>
      </c>
      <c r="E129" s="242">
        <v>52.37</v>
      </c>
      <c r="F129" s="242">
        <f>+O129</f>
        <v>110.24</v>
      </c>
      <c r="G129" s="242">
        <f>+F129+E129</f>
        <v>162.60999999999999</v>
      </c>
      <c r="H129" s="243">
        <v>94259</v>
      </c>
      <c r="I129" s="243">
        <f>ROUND(+H129*G129,2)</f>
        <v>15327455.99</v>
      </c>
      <c r="J129" s="8"/>
      <c r="K129" s="8">
        <f t="shared" si="28"/>
        <v>95720</v>
      </c>
      <c r="L129" s="8">
        <f t="shared" si="12"/>
        <v>5012856.3999999994</v>
      </c>
      <c r="M129" s="9" t="str">
        <f t="array" ref="M129:P129">_xlfn.XLOOKUP(B129,'Neiva 2022 FASE I ACTUAL (5)'!$B$6:$B$540,'Neiva 2022 FASE I ACTUAL (5)'!$C$6:$F$540,"NO ESTA")</f>
        <v>SUMINISTRO E INSTALACION JARDIN Ref. Planos A2900 (Incluye material aislante, impermeabilizante, tierra, abonos y plantas ornamentales)</v>
      </c>
      <c r="N129" s="9" t="str">
        <v>M2</v>
      </c>
      <c r="O129" s="9">
        <v>110.24</v>
      </c>
      <c r="P129" s="9">
        <v>93854</v>
      </c>
      <c r="Q129" s="124" t="str">
        <f t="shared" si="15"/>
        <v>FASE II</v>
      </c>
      <c r="R129" s="155">
        <f t="shared" si="11"/>
        <v>162.60999999999999</v>
      </c>
      <c r="S129" s="156">
        <f t="shared" si="13"/>
        <v>95720</v>
      </c>
      <c r="T129" s="156">
        <f t="shared" si="14"/>
        <v>15565029.199999999</v>
      </c>
    </row>
    <row r="130" spans="1:20" s="9" customFormat="1" ht="35.1" customHeight="1" x14ac:dyDescent="0.25">
      <c r="A130" s="215"/>
      <c r="B130" s="244" t="s">
        <v>1103</v>
      </c>
      <c r="C130" s="245" t="s">
        <v>1104</v>
      </c>
      <c r="D130" s="260"/>
      <c r="E130" s="246"/>
      <c r="F130" s="246"/>
      <c r="G130" s="246"/>
      <c r="H130" s="303"/>
      <c r="I130" s="246"/>
      <c r="J130" s="8"/>
      <c r="K130" s="8">
        <f t="shared" si="28"/>
        <v>0</v>
      </c>
      <c r="L130" s="8">
        <f t="shared" si="12"/>
        <v>0</v>
      </c>
      <c r="M130" s="9" t="str">
        <f t="array" ref="M130">_xlfn.XLOOKUP(B130,'Neiva 2022 FASE I ACTUAL (5)'!$B$6:$B$540,'Neiva 2022 FASE I ACTUAL (5)'!$C$6:$F$540,"NO ESTA")</f>
        <v>NO ESTA</v>
      </c>
      <c r="Q130" s="124">
        <f t="shared" si="15"/>
        <v>0</v>
      </c>
      <c r="R130" s="155">
        <f t="shared" si="11"/>
        <v>0</v>
      </c>
      <c r="S130" s="156">
        <f t="shared" si="13"/>
        <v>0</v>
      </c>
      <c r="T130" s="156">
        <f t="shared" si="14"/>
        <v>0</v>
      </c>
    </row>
    <row r="131" spans="1:20" s="9" customFormat="1" ht="35.1" customHeight="1" x14ac:dyDescent="0.25">
      <c r="A131" s="215"/>
      <c r="B131" s="255" t="s">
        <v>1105</v>
      </c>
      <c r="C131" s="254" t="s">
        <v>153</v>
      </c>
      <c r="D131" s="255" t="s">
        <v>13</v>
      </c>
      <c r="E131" s="242">
        <v>1159.8800000000001</v>
      </c>
      <c r="F131" s="242">
        <f>+O131</f>
        <v>0</v>
      </c>
      <c r="G131" s="242">
        <f>+F131+E131</f>
        <v>1159.8800000000001</v>
      </c>
      <c r="H131" s="243">
        <v>123428</v>
      </c>
      <c r="I131" s="243">
        <f>ROUND(+H131*G131,2)</f>
        <v>143161668.63999999</v>
      </c>
      <c r="J131" s="8"/>
      <c r="K131" s="8">
        <f t="shared" si="28"/>
        <v>125341</v>
      </c>
      <c r="L131" s="8">
        <f t="shared" si="12"/>
        <v>145380519.08000001</v>
      </c>
      <c r="M131" s="9" t="str">
        <f t="array" ref="M131">_xlfn.XLOOKUP(B131,'Neiva 2022 FASE I ACTUAL (5)'!$B$6:$B$540,'Neiva 2022 FASE I ACTUAL (5)'!$C$6:$F$540,"NO ESTA")</f>
        <v>NO ESTA</v>
      </c>
      <c r="Q131" s="124">
        <f t="shared" si="15"/>
        <v>0</v>
      </c>
      <c r="R131" s="155">
        <f t="shared" si="11"/>
        <v>1159.8800000000001</v>
      </c>
      <c r="S131" s="156">
        <f t="shared" si="13"/>
        <v>125341</v>
      </c>
      <c r="T131" s="156">
        <f t="shared" si="14"/>
        <v>145380519.08000001</v>
      </c>
    </row>
    <row r="132" spans="1:20" s="9" customFormat="1" ht="35.1" customHeight="1" x14ac:dyDescent="0.25">
      <c r="A132" s="215"/>
      <c r="B132" s="255" t="s">
        <v>1106</v>
      </c>
      <c r="C132" s="254" t="s">
        <v>164</v>
      </c>
      <c r="D132" s="255" t="s">
        <v>13</v>
      </c>
      <c r="E132" s="242">
        <v>53.48</v>
      </c>
      <c r="F132" s="242">
        <f>+O132</f>
        <v>0</v>
      </c>
      <c r="G132" s="242">
        <f>+F132+E132</f>
        <v>53.48</v>
      </c>
      <c r="H132" s="243">
        <v>71709</v>
      </c>
      <c r="I132" s="243">
        <f>ROUND(+H132*G132,2)</f>
        <v>3834997.32</v>
      </c>
      <c r="J132" s="8"/>
      <c r="K132" s="8">
        <f t="shared" si="28"/>
        <v>72820</v>
      </c>
      <c r="L132" s="8">
        <f t="shared" si="12"/>
        <v>3894413.5999999996</v>
      </c>
      <c r="M132" s="9" t="str">
        <f t="array" ref="M132">_xlfn.XLOOKUP(B132,'Neiva 2022 FASE I ACTUAL (5)'!$B$6:$B$540,'Neiva 2022 FASE I ACTUAL (5)'!$C$6:$F$540,"NO ESTA")</f>
        <v>NO ESTA</v>
      </c>
      <c r="Q132" s="124">
        <f t="shared" si="15"/>
        <v>0</v>
      </c>
      <c r="R132" s="155">
        <f t="shared" si="11"/>
        <v>53.48</v>
      </c>
      <c r="S132" s="156">
        <f t="shared" si="13"/>
        <v>72820</v>
      </c>
      <c r="T132" s="156">
        <f t="shared" si="14"/>
        <v>3894413.6</v>
      </c>
    </row>
    <row r="133" spans="1:20" s="9" customFormat="1" ht="35.1" customHeight="1" x14ac:dyDescent="0.25">
      <c r="A133" s="215"/>
      <c r="B133" s="255" t="s">
        <v>1107</v>
      </c>
      <c r="C133" s="254" t="s">
        <v>159</v>
      </c>
      <c r="D133" s="255" t="s">
        <v>13</v>
      </c>
      <c r="E133" s="242">
        <v>9</v>
      </c>
      <c r="F133" s="242">
        <f>+O133</f>
        <v>0</v>
      </c>
      <c r="G133" s="242">
        <f>+F133+E133</f>
        <v>9</v>
      </c>
      <c r="H133" s="243">
        <v>97799</v>
      </c>
      <c r="I133" s="243">
        <f>ROUND(+H133*G133,2)</f>
        <v>880191</v>
      </c>
      <c r="J133" s="8"/>
      <c r="K133" s="8">
        <f t="shared" si="28"/>
        <v>99315</v>
      </c>
      <c r="L133" s="8">
        <f t="shared" si="12"/>
        <v>893835</v>
      </c>
      <c r="M133" s="9" t="str">
        <f t="array" ref="M133">_xlfn.XLOOKUP(B133,'Neiva 2022 FASE I ACTUAL (5)'!$B$6:$B$540,'Neiva 2022 FASE I ACTUAL (5)'!$C$6:$F$540,"NO ESTA")</f>
        <v>NO ESTA</v>
      </c>
      <c r="Q133" s="124">
        <f t="shared" si="15"/>
        <v>0</v>
      </c>
      <c r="R133" s="155">
        <f t="shared" si="11"/>
        <v>9</v>
      </c>
      <c r="S133" s="156">
        <f t="shared" si="13"/>
        <v>99315</v>
      </c>
      <c r="T133" s="156">
        <f t="shared" si="14"/>
        <v>893835</v>
      </c>
    </row>
    <row r="134" spans="1:20" s="9" customFormat="1" ht="35.1" customHeight="1" x14ac:dyDescent="0.25">
      <c r="A134" s="215"/>
      <c r="B134" s="244" t="s">
        <v>1108</v>
      </c>
      <c r="C134" s="245" t="s">
        <v>1109</v>
      </c>
      <c r="D134" s="260"/>
      <c r="E134" s="246"/>
      <c r="F134" s="246"/>
      <c r="G134" s="246"/>
      <c r="H134" s="303"/>
      <c r="I134" s="246"/>
      <c r="J134" s="8"/>
      <c r="K134" s="8">
        <f t="shared" si="28"/>
        <v>0</v>
      </c>
      <c r="L134" s="8">
        <f t="shared" si="12"/>
        <v>0</v>
      </c>
      <c r="M134" s="9" t="str">
        <f t="array" ref="M134">_xlfn.XLOOKUP(B134,'Neiva 2022 FASE I ACTUAL (5)'!$B$6:$B$540,'Neiva 2022 FASE I ACTUAL (5)'!$C$6:$F$540,"NO ESTA")</f>
        <v>NO ESTA</v>
      </c>
      <c r="Q134" s="124">
        <f t="shared" si="15"/>
        <v>0</v>
      </c>
      <c r="R134" s="155">
        <f t="shared" ref="R134:R197" si="29">E134+O134</f>
        <v>0</v>
      </c>
      <c r="S134" s="156">
        <f t="shared" si="13"/>
        <v>0</v>
      </c>
      <c r="T134" s="156">
        <f t="shared" si="14"/>
        <v>0</v>
      </c>
    </row>
    <row r="135" spans="1:20" s="9" customFormat="1" ht="35.1" customHeight="1" x14ac:dyDescent="0.25">
      <c r="A135" s="215"/>
      <c r="B135" s="255" t="s">
        <v>1110</v>
      </c>
      <c r="C135" s="254" t="s">
        <v>153</v>
      </c>
      <c r="D135" s="255" t="s">
        <v>13</v>
      </c>
      <c r="E135" s="242">
        <v>949.13</v>
      </c>
      <c r="F135" s="242">
        <f>+O135</f>
        <v>0</v>
      </c>
      <c r="G135" s="242">
        <f>+F135+E135</f>
        <v>949.13</v>
      </c>
      <c r="H135" s="243">
        <v>123428</v>
      </c>
      <c r="I135" s="243">
        <f>ROUND(+H135*G135,2)</f>
        <v>117149217.64</v>
      </c>
      <c r="J135" s="8"/>
      <c r="K135" s="8">
        <f t="shared" si="28"/>
        <v>125341</v>
      </c>
      <c r="L135" s="8">
        <f t="shared" ref="L135:L198" si="30">+K135*E135</f>
        <v>118964903.33</v>
      </c>
      <c r="M135" s="9" t="str">
        <f t="array" ref="M135">_xlfn.XLOOKUP(B135,'Neiva 2022 FASE I ACTUAL (5)'!$B$6:$B$540,'Neiva 2022 FASE I ACTUAL (5)'!$C$6:$F$540,"NO ESTA")</f>
        <v>NO ESTA</v>
      </c>
      <c r="Q135" s="124">
        <f t="shared" si="15"/>
        <v>0</v>
      </c>
      <c r="R135" s="155">
        <f t="shared" si="29"/>
        <v>949.13</v>
      </c>
      <c r="S135" s="156">
        <f t="shared" ref="S135:S198" si="31">MAX(P135,H135,K135)</f>
        <v>125341</v>
      </c>
      <c r="T135" s="156">
        <f t="shared" ref="T135:T198" si="32">ROUND(R135*S135,2)</f>
        <v>118964903.33</v>
      </c>
    </row>
    <row r="136" spans="1:20" s="9" customFormat="1" ht="35.1" customHeight="1" x14ac:dyDescent="0.25">
      <c r="A136" s="215"/>
      <c r="B136" s="255" t="s">
        <v>1111</v>
      </c>
      <c r="C136" s="254" t="s">
        <v>159</v>
      </c>
      <c r="D136" s="255" t="s">
        <v>13</v>
      </c>
      <c r="E136" s="242">
        <v>56.54</v>
      </c>
      <c r="F136" s="242">
        <f>+O136</f>
        <v>0</v>
      </c>
      <c r="G136" s="242">
        <f>+F136+E136</f>
        <v>56.54</v>
      </c>
      <c r="H136" s="243">
        <v>97799</v>
      </c>
      <c r="I136" s="243">
        <f>ROUND(+H136*G136,2)</f>
        <v>5529555.46</v>
      </c>
      <c r="J136" s="8"/>
      <c r="K136" s="8">
        <f t="shared" si="28"/>
        <v>99315</v>
      </c>
      <c r="L136" s="8">
        <f t="shared" si="30"/>
        <v>5615270.0999999996</v>
      </c>
      <c r="M136" s="9" t="str">
        <f t="array" ref="M136">_xlfn.XLOOKUP(B136,'Neiva 2022 FASE I ACTUAL (5)'!$B$6:$B$540,'Neiva 2022 FASE I ACTUAL (5)'!$C$6:$F$540,"NO ESTA")</f>
        <v>NO ESTA</v>
      </c>
      <c r="Q136" s="124">
        <f t="shared" ref="Q136:Q199" si="33">IF(P136=0,0,(IF(H136&lt;P136, "FASE I","FASE II")))</f>
        <v>0</v>
      </c>
      <c r="R136" s="155">
        <f t="shared" si="29"/>
        <v>56.54</v>
      </c>
      <c r="S136" s="156">
        <f t="shared" si="31"/>
        <v>99315</v>
      </c>
      <c r="T136" s="156">
        <f t="shared" si="32"/>
        <v>5615270.0999999996</v>
      </c>
    </row>
    <row r="137" spans="1:20" s="9" customFormat="1" ht="35.1" customHeight="1" x14ac:dyDescent="0.25">
      <c r="A137" s="215"/>
      <c r="B137" s="247">
        <v>7</v>
      </c>
      <c r="C137" s="248" t="s">
        <v>175</v>
      </c>
      <c r="D137" s="248"/>
      <c r="E137" s="249"/>
      <c r="F137" s="249"/>
      <c r="G137" s="249"/>
      <c r="H137" s="308"/>
      <c r="I137" s="274"/>
      <c r="J137" s="8"/>
      <c r="K137" s="8">
        <f t="shared" si="28"/>
        <v>0</v>
      </c>
      <c r="L137" s="8">
        <f t="shared" si="30"/>
        <v>0</v>
      </c>
      <c r="M137" s="9" t="str">
        <f t="array" ref="M137:P137">_xlfn.XLOOKUP(B137,'Neiva 2022 FASE I ACTUAL (5)'!$B$6:$B$540,'Neiva 2022 FASE I ACTUAL (5)'!$C$6:$F$540,"NO ESTA")</f>
        <v>VENTANERIA</v>
      </c>
      <c r="N137" s="9">
        <v>0</v>
      </c>
      <c r="O137" s="9">
        <v>0</v>
      </c>
      <c r="P137" s="9">
        <v>0</v>
      </c>
      <c r="Q137" s="124">
        <f t="shared" si="33"/>
        <v>0</v>
      </c>
      <c r="R137" s="155">
        <f t="shared" si="29"/>
        <v>0</v>
      </c>
      <c r="S137" s="156">
        <f t="shared" si="31"/>
        <v>0</v>
      </c>
      <c r="T137" s="156">
        <f t="shared" si="32"/>
        <v>0</v>
      </c>
    </row>
    <row r="138" spans="1:20" s="9" customFormat="1" ht="35.1" customHeight="1" x14ac:dyDescent="0.25">
      <c r="A138" s="215"/>
      <c r="B138" s="244" t="s">
        <v>176</v>
      </c>
      <c r="C138" s="256" t="s">
        <v>177</v>
      </c>
      <c r="D138" s="256"/>
      <c r="E138" s="246"/>
      <c r="F138" s="246"/>
      <c r="G138" s="246"/>
      <c r="H138" s="303"/>
      <c r="I138" s="246"/>
      <c r="J138" s="8"/>
      <c r="K138" s="8">
        <f t="shared" si="28"/>
        <v>0</v>
      </c>
      <c r="L138" s="8">
        <f t="shared" si="30"/>
        <v>0</v>
      </c>
      <c r="M138" s="9" t="str">
        <f t="array" ref="M138:P138">_xlfn.XLOOKUP(B138,'Neiva 2022 FASE I ACTUAL (5)'!$B$6:$B$540,'Neiva 2022 FASE I ACTUAL (5)'!$C$6:$F$540,"NO ESTA")</f>
        <v>SUMINISTRO E INSTALACION VENTANAS ESPACIO PUBLICO</v>
      </c>
      <c r="N138" s="9">
        <v>0</v>
      </c>
      <c r="O138" s="9">
        <v>0</v>
      </c>
      <c r="P138" s="9">
        <v>0</v>
      </c>
      <c r="Q138" s="124">
        <f t="shared" si="33"/>
        <v>0</v>
      </c>
      <c r="R138" s="155">
        <f t="shared" si="29"/>
        <v>0</v>
      </c>
      <c r="S138" s="156">
        <f t="shared" si="31"/>
        <v>0</v>
      </c>
      <c r="T138" s="156">
        <f t="shared" si="32"/>
        <v>0</v>
      </c>
    </row>
    <row r="139" spans="1:20" s="9" customFormat="1" ht="35.1" customHeight="1" x14ac:dyDescent="0.25">
      <c r="A139" s="215"/>
      <c r="B139" s="255" t="s">
        <v>178</v>
      </c>
      <c r="C139" s="254" t="s">
        <v>1112</v>
      </c>
      <c r="D139" s="240" t="s">
        <v>13</v>
      </c>
      <c r="E139" s="242">
        <v>0</v>
      </c>
      <c r="F139" s="242">
        <f>+O139</f>
        <v>4.8600000000000003</v>
      </c>
      <c r="G139" s="242">
        <f>+F139+E139</f>
        <v>4.8600000000000003</v>
      </c>
      <c r="H139" s="243">
        <v>271621</v>
      </c>
      <c r="I139" s="243">
        <f>ROUND(+H139*G139,2)</f>
        <v>1320078.06</v>
      </c>
      <c r="J139" s="8"/>
      <c r="K139" s="8">
        <f t="shared" si="28"/>
        <v>275831</v>
      </c>
      <c r="L139" s="8">
        <f t="shared" si="30"/>
        <v>0</v>
      </c>
      <c r="M139" s="9" t="str">
        <f t="array" ref="M139:P139">_xlfn.XLOOKUP(B139,'Neiva 2022 FASE I ACTUAL (5)'!$B$6:$B$540,'Neiva 2022 FASE I ACTUAL (5)'!$C$6:$F$540,"NO ESTA")</f>
        <v>SUMINISTRO E INSTALACION VENTANA EN ALUMINIO o similar TIPO V-R Incluye VIDRIO Ver NOTAS GENERALES DE PLANCHA</v>
      </c>
      <c r="N139" s="9" t="str">
        <v>M2</v>
      </c>
      <c r="O139" s="9">
        <v>4.8600000000000003</v>
      </c>
      <c r="P139" s="9">
        <v>260667</v>
      </c>
      <c r="Q139" s="124" t="str">
        <f t="shared" si="33"/>
        <v>FASE II</v>
      </c>
      <c r="R139" s="155">
        <f t="shared" si="29"/>
        <v>4.8600000000000003</v>
      </c>
      <c r="S139" s="156">
        <f t="shared" si="31"/>
        <v>275831</v>
      </c>
      <c r="T139" s="156">
        <f t="shared" si="32"/>
        <v>1340538.6599999999</v>
      </c>
    </row>
    <row r="140" spans="1:20" s="9" customFormat="1" ht="35.1" customHeight="1" x14ac:dyDescent="0.25">
      <c r="A140" s="215"/>
      <c r="B140" s="244" t="s">
        <v>180</v>
      </c>
      <c r="C140" s="245" t="s">
        <v>181</v>
      </c>
      <c r="D140" s="244"/>
      <c r="E140" s="246"/>
      <c r="F140" s="246"/>
      <c r="G140" s="246"/>
      <c r="H140" s="303"/>
      <c r="I140" s="246"/>
      <c r="J140" s="8"/>
      <c r="K140" s="8">
        <f t="shared" si="28"/>
        <v>0</v>
      </c>
      <c r="L140" s="8">
        <f t="shared" si="30"/>
        <v>0</v>
      </c>
      <c r="M140" s="9" t="str">
        <f t="array" ref="M140:P140">_xlfn.XLOOKUP(B140,'Neiva 2022 FASE I ACTUAL (5)'!$B$6:$B$540,'Neiva 2022 FASE I ACTUAL (5)'!$C$6:$F$540,"NO ESTA")</f>
        <v>SUMINISTRO E INSTALACION VENTANAS PISO 1</v>
      </c>
      <c r="N140" s="9">
        <v>0</v>
      </c>
      <c r="O140" s="9">
        <v>0</v>
      </c>
      <c r="P140" s="9">
        <v>0</v>
      </c>
      <c r="Q140" s="124">
        <f t="shared" si="33"/>
        <v>0</v>
      </c>
      <c r="R140" s="155">
        <f t="shared" si="29"/>
        <v>0</v>
      </c>
      <c r="S140" s="156">
        <f t="shared" si="31"/>
        <v>0</v>
      </c>
      <c r="T140" s="156">
        <f t="shared" si="32"/>
        <v>0</v>
      </c>
    </row>
    <row r="141" spans="1:20" s="9" customFormat="1" ht="35.1" customHeight="1" x14ac:dyDescent="0.25">
      <c r="A141" s="215"/>
      <c r="B141" s="255" t="s">
        <v>182</v>
      </c>
      <c r="C141" s="254" t="s">
        <v>183</v>
      </c>
      <c r="D141" s="240" t="s">
        <v>13</v>
      </c>
      <c r="E141" s="242">
        <v>0</v>
      </c>
      <c r="F141" s="242">
        <f>+O141</f>
        <v>0.55000000000000004</v>
      </c>
      <c r="G141" s="242">
        <f>+F141+E141</f>
        <v>0.55000000000000004</v>
      </c>
      <c r="H141" s="243">
        <v>271621</v>
      </c>
      <c r="I141" s="243">
        <f>ROUND(+H141*G141,2)</f>
        <v>149391.54999999999</v>
      </c>
      <c r="J141" s="8"/>
      <c r="K141" s="8">
        <f t="shared" si="28"/>
        <v>275831</v>
      </c>
      <c r="L141" s="8">
        <f t="shared" si="30"/>
        <v>0</v>
      </c>
      <c r="M141" s="9" t="str">
        <f t="array" ref="M141:P141">_xlfn.XLOOKUP(B141,'Neiva 2022 FASE I ACTUAL (5)'!$B$6:$B$540,'Neiva 2022 FASE I ACTUAL (5)'!$C$6:$F$540,"NO ESTA")</f>
        <v>SUMINISTRO E INSTALACION VENTANA EN ALUMINIO o similar TIPO V3 Incluye VIDRIO Referencia SOLARBAN Ver NOTAS GENERALES DE PLANCHA</v>
      </c>
      <c r="N141" s="9" t="str">
        <v>M2</v>
      </c>
      <c r="O141" s="9">
        <v>0.55000000000000004</v>
      </c>
      <c r="P141" s="9">
        <v>260667</v>
      </c>
      <c r="Q141" s="124" t="str">
        <f t="shared" si="33"/>
        <v>FASE II</v>
      </c>
      <c r="R141" s="155">
        <f t="shared" si="29"/>
        <v>0.55000000000000004</v>
      </c>
      <c r="S141" s="156">
        <f t="shared" si="31"/>
        <v>275831</v>
      </c>
      <c r="T141" s="156">
        <f t="shared" si="32"/>
        <v>151707.04999999999</v>
      </c>
    </row>
    <row r="142" spans="1:20" s="9" customFormat="1" ht="35.1" customHeight="1" x14ac:dyDescent="0.25">
      <c r="A142" s="215"/>
      <c r="B142" s="255" t="s">
        <v>184</v>
      </c>
      <c r="C142" s="254" t="s">
        <v>1113</v>
      </c>
      <c r="D142" s="240" t="s">
        <v>13</v>
      </c>
      <c r="E142" s="242">
        <v>0</v>
      </c>
      <c r="F142" s="242">
        <f>+O142</f>
        <v>0.36</v>
      </c>
      <c r="G142" s="242">
        <f>+F142+E142</f>
        <v>0.36</v>
      </c>
      <c r="H142" s="243">
        <v>271621</v>
      </c>
      <c r="I142" s="243">
        <f>ROUND(+H142*G142,2)</f>
        <v>97783.56</v>
      </c>
      <c r="J142" s="8"/>
      <c r="K142" s="8">
        <f t="shared" si="28"/>
        <v>275831</v>
      </c>
      <c r="L142" s="8">
        <f t="shared" si="30"/>
        <v>0</v>
      </c>
      <c r="M142" s="9" t="str">
        <f t="array" ref="M142:P142">_xlfn.XLOOKUP(B142,'Neiva 2022 FASE I ACTUAL (5)'!$B$6:$B$540,'Neiva 2022 FASE I ACTUAL (5)'!$C$6:$F$540,"NO ESTA")</f>
        <v>SUMINISTRO E INSTALACION VENTANA EN ALUMINIO o similar TIPO V4 Incluye VIDRIO Ver NOTAS GENERALES DE PLANCHA</v>
      </c>
      <c r="N142" s="9" t="str">
        <v>M2</v>
      </c>
      <c r="O142" s="9">
        <v>0.36</v>
      </c>
      <c r="P142" s="9">
        <v>260667</v>
      </c>
      <c r="Q142" s="124" t="str">
        <f t="shared" si="33"/>
        <v>FASE II</v>
      </c>
      <c r="R142" s="155">
        <f t="shared" si="29"/>
        <v>0.36</v>
      </c>
      <c r="S142" s="156">
        <f t="shared" si="31"/>
        <v>275831</v>
      </c>
      <c r="T142" s="156">
        <f t="shared" si="32"/>
        <v>99299.16</v>
      </c>
    </row>
    <row r="143" spans="1:20" s="9" customFormat="1" ht="35.1" customHeight="1" x14ac:dyDescent="0.25">
      <c r="A143" s="215"/>
      <c r="B143" s="244" t="s">
        <v>186</v>
      </c>
      <c r="C143" s="245" t="s">
        <v>187</v>
      </c>
      <c r="D143" s="244"/>
      <c r="E143" s="246"/>
      <c r="F143" s="246"/>
      <c r="G143" s="246"/>
      <c r="H143" s="303"/>
      <c r="I143" s="246"/>
      <c r="J143" s="8"/>
      <c r="K143" s="8">
        <f t="shared" si="28"/>
        <v>0</v>
      </c>
      <c r="L143" s="8">
        <f t="shared" si="30"/>
        <v>0</v>
      </c>
      <c r="M143" s="9" t="str">
        <f t="array" ref="M143:P143">_xlfn.XLOOKUP(B143,'Neiva 2022 FASE I ACTUAL (5)'!$B$6:$B$540,'Neiva 2022 FASE I ACTUAL (5)'!$C$6:$F$540,"NO ESTA")</f>
        <v>SUMINISTRO E INSTALACION VENTANAS PISO 2</v>
      </c>
      <c r="N143" s="9">
        <v>0</v>
      </c>
      <c r="O143" s="9">
        <v>0</v>
      </c>
      <c r="P143" s="9">
        <v>0</v>
      </c>
      <c r="Q143" s="124">
        <f t="shared" si="33"/>
        <v>0</v>
      </c>
      <c r="R143" s="155">
        <f t="shared" si="29"/>
        <v>0</v>
      </c>
      <c r="S143" s="156">
        <f t="shared" si="31"/>
        <v>0</v>
      </c>
      <c r="T143" s="156">
        <f t="shared" si="32"/>
        <v>0</v>
      </c>
    </row>
    <row r="144" spans="1:20" s="9" customFormat="1" ht="35.1" customHeight="1" x14ac:dyDescent="0.25">
      <c r="A144" s="215"/>
      <c r="B144" s="255" t="s">
        <v>188</v>
      </c>
      <c r="C144" s="254" t="s">
        <v>189</v>
      </c>
      <c r="D144" s="240" t="s">
        <v>13</v>
      </c>
      <c r="E144" s="242">
        <v>0</v>
      </c>
      <c r="F144" s="242">
        <f>+O144</f>
        <v>0.05</v>
      </c>
      <c r="G144" s="242">
        <f>+F144+E144</f>
        <v>0.05</v>
      </c>
      <c r="H144" s="243">
        <v>271621</v>
      </c>
      <c r="I144" s="243">
        <f>ROUND(+H144*G144,2)</f>
        <v>13581.05</v>
      </c>
      <c r="J144" s="8"/>
      <c r="K144" s="8">
        <f t="shared" si="28"/>
        <v>275831</v>
      </c>
      <c r="L144" s="8">
        <f t="shared" si="30"/>
        <v>0</v>
      </c>
      <c r="M144" s="9" t="str">
        <f t="array" ref="M144:P144">_xlfn.XLOOKUP(B144,'Neiva 2022 FASE I ACTUAL (5)'!$B$6:$B$540,'Neiva 2022 FASE I ACTUAL (5)'!$C$6:$F$540,"NO ESTA")</f>
        <v>SUMINISTRO E INSTALACION VENTANA EN ALUMINIO o similar TIPO V1 Incluye VIDRIO Referencia SOLARBAN Ver NOTAS GENERALES DE PLANCHA</v>
      </c>
      <c r="N144" s="9" t="str">
        <v>M2</v>
      </c>
      <c r="O144" s="9">
        <v>0.05</v>
      </c>
      <c r="P144" s="9">
        <v>260667</v>
      </c>
      <c r="Q144" s="124" t="str">
        <f t="shared" si="33"/>
        <v>FASE II</v>
      </c>
      <c r="R144" s="155">
        <f t="shared" si="29"/>
        <v>0.05</v>
      </c>
      <c r="S144" s="156">
        <f t="shared" si="31"/>
        <v>275831</v>
      </c>
      <c r="T144" s="156">
        <f t="shared" si="32"/>
        <v>13791.55</v>
      </c>
    </row>
    <row r="145" spans="1:20" s="9" customFormat="1" ht="35.1" customHeight="1" x14ac:dyDescent="0.25">
      <c r="A145" s="215"/>
      <c r="B145" s="255" t="s">
        <v>190</v>
      </c>
      <c r="C145" s="254" t="s">
        <v>191</v>
      </c>
      <c r="D145" s="240" t="s">
        <v>13</v>
      </c>
      <c r="E145" s="242">
        <v>0</v>
      </c>
      <c r="F145" s="242">
        <f>+O145</f>
        <v>0.32</v>
      </c>
      <c r="G145" s="242">
        <f>+F145+E145</f>
        <v>0.32</v>
      </c>
      <c r="H145" s="243">
        <v>271621</v>
      </c>
      <c r="I145" s="243">
        <f>ROUND(+H145*G145,2)</f>
        <v>86918.720000000001</v>
      </c>
      <c r="J145" s="8"/>
      <c r="K145" s="8">
        <f t="shared" si="28"/>
        <v>275831</v>
      </c>
      <c r="L145" s="8">
        <f t="shared" si="30"/>
        <v>0</v>
      </c>
      <c r="M145" s="9" t="str">
        <f t="array" ref="M145:P145">_xlfn.XLOOKUP(B145,'Neiva 2022 FASE I ACTUAL (5)'!$B$6:$B$540,'Neiva 2022 FASE I ACTUAL (5)'!$C$6:$F$540,"NO ESTA")</f>
        <v>SUMINISTRO E INSTALACION VENTANA EN ALUMINIO o similar TIPO V2 Incluye VIDRIO Referencia SOLARBAN Ver NOTAS GENERALES DE PLANCHA</v>
      </c>
      <c r="N145" s="9" t="str">
        <v>M2</v>
      </c>
      <c r="O145" s="9">
        <v>0.32</v>
      </c>
      <c r="P145" s="9">
        <v>260667</v>
      </c>
      <c r="Q145" s="124" t="str">
        <f t="shared" si="33"/>
        <v>FASE II</v>
      </c>
      <c r="R145" s="155">
        <f t="shared" si="29"/>
        <v>0.32</v>
      </c>
      <c r="S145" s="156">
        <f t="shared" si="31"/>
        <v>275831</v>
      </c>
      <c r="T145" s="156">
        <f t="shared" si="32"/>
        <v>88265.919999999998</v>
      </c>
    </row>
    <row r="146" spans="1:20" s="9" customFormat="1" ht="35.1" customHeight="1" x14ac:dyDescent="0.25">
      <c r="A146" s="215"/>
      <c r="B146" s="255" t="s">
        <v>192</v>
      </c>
      <c r="C146" s="254" t="s">
        <v>183</v>
      </c>
      <c r="D146" s="240" t="s">
        <v>13</v>
      </c>
      <c r="E146" s="242">
        <v>0</v>
      </c>
      <c r="F146" s="242">
        <f>+O146</f>
        <v>0.48</v>
      </c>
      <c r="G146" s="242">
        <f>+F146+E146</f>
        <v>0.48</v>
      </c>
      <c r="H146" s="243">
        <v>271621</v>
      </c>
      <c r="I146" s="243">
        <f>ROUND(+H146*G146,2)</f>
        <v>130378.08</v>
      </c>
      <c r="J146" s="8"/>
      <c r="K146" s="8">
        <f t="shared" si="28"/>
        <v>275831</v>
      </c>
      <c r="L146" s="8">
        <f t="shared" si="30"/>
        <v>0</v>
      </c>
      <c r="M146" s="9" t="str">
        <f t="array" ref="M146:P146">_xlfn.XLOOKUP(B146,'Neiva 2022 FASE I ACTUAL (5)'!$B$6:$B$540,'Neiva 2022 FASE I ACTUAL (5)'!$C$6:$F$540,"NO ESTA")</f>
        <v>SUMINISTRO E INSTALACION VENTANA EN ALUMINIO o similar TIPO V3 Incluye VIDRIO Referencia SOLARBAN Ver NOTAS GENERALES DE PLANCHA</v>
      </c>
      <c r="N146" s="9" t="str">
        <v>M2</v>
      </c>
      <c r="O146" s="9">
        <v>0.48</v>
      </c>
      <c r="P146" s="9">
        <v>260667</v>
      </c>
      <c r="Q146" s="124" t="str">
        <f t="shared" si="33"/>
        <v>FASE II</v>
      </c>
      <c r="R146" s="155">
        <f t="shared" si="29"/>
        <v>0.48</v>
      </c>
      <c r="S146" s="156">
        <f t="shared" si="31"/>
        <v>275831</v>
      </c>
      <c r="T146" s="156">
        <f t="shared" si="32"/>
        <v>132398.88</v>
      </c>
    </row>
    <row r="147" spans="1:20" s="9" customFormat="1" ht="35.1" customHeight="1" x14ac:dyDescent="0.25">
      <c r="A147" s="215"/>
      <c r="B147" s="255" t="s">
        <v>193</v>
      </c>
      <c r="C147" s="254" t="s">
        <v>1114</v>
      </c>
      <c r="D147" s="240" t="s">
        <v>13</v>
      </c>
      <c r="E147" s="242">
        <v>0</v>
      </c>
      <c r="F147" s="242">
        <f>+O147</f>
        <v>0.12</v>
      </c>
      <c r="G147" s="242">
        <f>+F147+E147</f>
        <v>0.12</v>
      </c>
      <c r="H147" s="243">
        <v>271621</v>
      </c>
      <c r="I147" s="243">
        <f>ROUND(+H147*G147,2)</f>
        <v>32594.52</v>
      </c>
      <c r="J147" s="8"/>
      <c r="K147" s="8">
        <f t="shared" si="28"/>
        <v>275831</v>
      </c>
      <c r="L147" s="8">
        <f t="shared" si="30"/>
        <v>0</v>
      </c>
      <c r="M147" s="9" t="str">
        <f t="array" ref="M147:P147">_xlfn.XLOOKUP(B147,'Neiva 2022 FASE I ACTUAL (5)'!$B$6:$B$540,'Neiva 2022 FASE I ACTUAL (5)'!$C$6:$F$540,"NO ESTA")</f>
        <v>SUMINISTRO E INSTALACION VENTANA EN ALUMINIO o similar TIPO V4 Incluye VIDRIO Ver NOTAS GENERALES DE PLANCHA</v>
      </c>
      <c r="N147" s="9" t="str">
        <v>M2</v>
      </c>
      <c r="O147" s="9">
        <v>0.12</v>
      </c>
      <c r="P147" s="9">
        <v>260667</v>
      </c>
      <c r="Q147" s="124" t="str">
        <f t="shared" si="33"/>
        <v>FASE II</v>
      </c>
      <c r="R147" s="155">
        <f t="shared" si="29"/>
        <v>0.12</v>
      </c>
      <c r="S147" s="156">
        <f t="shared" si="31"/>
        <v>275831</v>
      </c>
      <c r="T147" s="156">
        <f t="shared" si="32"/>
        <v>33099.72</v>
      </c>
    </row>
    <row r="148" spans="1:20" s="9" customFormat="1" ht="35.1" customHeight="1" x14ac:dyDescent="0.25">
      <c r="A148" s="215"/>
      <c r="B148" s="255" t="s">
        <v>194</v>
      </c>
      <c r="C148" s="254" t="s">
        <v>195</v>
      </c>
      <c r="D148" s="240" t="s">
        <v>13</v>
      </c>
      <c r="E148" s="242">
        <v>0</v>
      </c>
      <c r="F148" s="242">
        <f>+O148</f>
        <v>0.36</v>
      </c>
      <c r="G148" s="242">
        <f>+F148+E148</f>
        <v>0.36</v>
      </c>
      <c r="H148" s="243">
        <v>271621</v>
      </c>
      <c r="I148" s="243">
        <f>ROUND(+H148*G148,2)</f>
        <v>97783.56</v>
      </c>
      <c r="J148" s="8"/>
      <c r="K148" s="8">
        <f t="shared" si="28"/>
        <v>275831</v>
      </c>
      <c r="L148" s="8">
        <f t="shared" si="30"/>
        <v>0</v>
      </c>
      <c r="M148" s="9" t="str">
        <f t="array" ref="M148:P148">_xlfn.XLOOKUP(B148,'Neiva 2022 FASE I ACTUAL (5)'!$B$6:$B$540,'Neiva 2022 FASE I ACTUAL (5)'!$C$6:$F$540,"NO ESTA")</f>
        <v>SUMINISTRO E INSTALACION VENTANA EN ALUMINIO o similar TIPO V5 Incluye VIDRIO Referencia SOLARBAN Ver NOTAS GENERALES DE PLANCHA</v>
      </c>
      <c r="N148" s="9" t="str">
        <v>M2</v>
      </c>
      <c r="O148" s="9">
        <v>0.36</v>
      </c>
      <c r="P148" s="9">
        <v>260667</v>
      </c>
      <c r="Q148" s="124" t="str">
        <f t="shared" si="33"/>
        <v>FASE II</v>
      </c>
      <c r="R148" s="155">
        <f t="shared" si="29"/>
        <v>0.36</v>
      </c>
      <c r="S148" s="156">
        <f t="shared" si="31"/>
        <v>275831</v>
      </c>
      <c r="T148" s="156">
        <f t="shared" si="32"/>
        <v>99299.16</v>
      </c>
    </row>
    <row r="149" spans="1:20" s="9" customFormat="1" ht="35.1" customHeight="1" x14ac:dyDescent="0.25">
      <c r="A149" s="215"/>
      <c r="B149" s="244" t="s">
        <v>1115</v>
      </c>
      <c r="C149" s="245" t="s">
        <v>1116</v>
      </c>
      <c r="D149" s="244"/>
      <c r="E149" s="246"/>
      <c r="F149" s="246"/>
      <c r="G149" s="246"/>
      <c r="H149" s="303"/>
      <c r="I149" s="246"/>
      <c r="J149" s="8"/>
      <c r="K149" s="8">
        <f t="shared" si="28"/>
        <v>0</v>
      </c>
      <c r="L149" s="8">
        <f t="shared" si="30"/>
        <v>0</v>
      </c>
      <c r="M149" s="9" t="str">
        <f t="array" ref="M149">_xlfn.XLOOKUP(B149,'Neiva 2022 FASE I ACTUAL (5)'!$B$6:$B$540,'Neiva 2022 FASE I ACTUAL (5)'!$C$6:$F$540,"NO ESTA")</f>
        <v>NO ESTA</v>
      </c>
      <c r="Q149" s="124">
        <f t="shared" si="33"/>
        <v>0</v>
      </c>
      <c r="R149" s="155">
        <f t="shared" si="29"/>
        <v>0</v>
      </c>
      <c r="S149" s="156">
        <f t="shared" si="31"/>
        <v>0</v>
      </c>
      <c r="T149" s="156">
        <f t="shared" si="32"/>
        <v>0</v>
      </c>
    </row>
    <row r="150" spans="1:20" s="9" customFormat="1" ht="35.1" customHeight="1" x14ac:dyDescent="0.25">
      <c r="A150" s="215"/>
      <c r="B150" s="255" t="s">
        <v>1117</v>
      </c>
      <c r="C150" s="254" t="s">
        <v>189</v>
      </c>
      <c r="D150" s="240" t="s">
        <v>13</v>
      </c>
      <c r="E150" s="242">
        <v>0.54</v>
      </c>
      <c r="F150" s="242">
        <f>+O150</f>
        <v>0</v>
      </c>
      <c r="G150" s="242">
        <f>+F150+E150</f>
        <v>0.54</v>
      </c>
      <c r="H150" s="243">
        <v>272315</v>
      </c>
      <c r="I150" s="243">
        <f>ROUND(+H150*G150,2)</f>
        <v>147050.1</v>
      </c>
      <c r="J150" s="8"/>
      <c r="K150" s="8">
        <f t="shared" si="28"/>
        <v>276536</v>
      </c>
      <c r="L150" s="8">
        <f t="shared" si="30"/>
        <v>149329.44</v>
      </c>
      <c r="M150" s="9" t="str">
        <f t="array" ref="M150">_xlfn.XLOOKUP(B150,'Neiva 2022 FASE I ACTUAL (5)'!$B$6:$B$540,'Neiva 2022 FASE I ACTUAL (5)'!$C$6:$F$540,"NO ESTA")</f>
        <v>NO ESTA</v>
      </c>
      <c r="Q150" s="124">
        <f t="shared" si="33"/>
        <v>0</v>
      </c>
      <c r="R150" s="155">
        <f t="shared" si="29"/>
        <v>0.54</v>
      </c>
      <c r="S150" s="156">
        <f t="shared" si="31"/>
        <v>276536</v>
      </c>
      <c r="T150" s="156">
        <f t="shared" si="32"/>
        <v>149329.44</v>
      </c>
    </row>
    <row r="151" spans="1:20" s="9" customFormat="1" ht="35.1" customHeight="1" x14ac:dyDescent="0.25">
      <c r="A151" s="215"/>
      <c r="B151" s="255" t="s">
        <v>1118</v>
      </c>
      <c r="C151" s="254" t="s">
        <v>191</v>
      </c>
      <c r="D151" s="240" t="s">
        <v>13</v>
      </c>
      <c r="E151" s="242">
        <v>2.38</v>
      </c>
      <c r="F151" s="242">
        <f>+O151</f>
        <v>0</v>
      </c>
      <c r="G151" s="242">
        <f>+F151+E151</f>
        <v>2.38</v>
      </c>
      <c r="H151" s="243">
        <v>272315</v>
      </c>
      <c r="I151" s="243">
        <f>ROUND(+H151*G151,2)</f>
        <v>648109.69999999995</v>
      </c>
      <c r="J151" s="8"/>
      <c r="K151" s="8">
        <f t="shared" si="28"/>
        <v>276536</v>
      </c>
      <c r="L151" s="8">
        <f t="shared" si="30"/>
        <v>658155.67999999993</v>
      </c>
      <c r="M151" s="9" t="str">
        <f t="array" ref="M151">_xlfn.XLOOKUP(B151,'Neiva 2022 FASE I ACTUAL (5)'!$B$6:$B$540,'Neiva 2022 FASE I ACTUAL (5)'!$C$6:$F$540,"NO ESTA")</f>
        <v>NO ESTA</v>
      </c>
      <c r="Q151" s="124">
        <f t="shared" si="33"/>
        <v>0</v>
      </c>
      <c r="R151" s="155">
        <f t="shared" si="29"/>
        <v>2.38</v>
      </c>
      <c r="S151" s="156">
        <f t="shared" si="31"/>
        <v>276536</v>
      </c>
      <c r="T151" s="156">
        <f t="shared" si="32"/>
        <v>658155.68000000005</v>
      </c>
    </row>
    <row r="152" spans="1:20" s="9" customFormat="1" ht="35.1" customHeight="1" x14ac:dyDescent="0.25">
      <c r="A152" s="215"/>
      <c r="B152" s="255" t="s">
        <v>1119</v>
      </c>
      <c r="C152" s="254" t="s">
        <v>183</v>
      </c>
      <c r="D152" s="240" t="s">
        <v>13</v>
      </c>
      <c r="E152" s="242">
        <v>3.45</v>
      </c>
      <c r="F152" s="242">
        <f>+O152</f>
        <v>0</v>
      </c>
      <c r="G152" s="242">
        <f>+F152+E152</f>
        <v>3.45</v>
      </c>
      <c r="H152" s="243">
        <v>272315</v>
      </c>
      <c r="I152" s="243">
        <f>ROUND(+H152*G152,2)</f>
        <v>939486.75</v>
      </c>
      <c r="J152" s="8"/>
      <c r="K152" s="8">
        <f t="shared" si="28"/>
        <v>276536</v>
      </c>
      <c r="L152" s="8">
        <f t="shared" si="30"/>
        <v>954049.20000000007</v>
      </c>
      <c r="M152" s="9" t="str">
        <f t="array" ref="M152">_xlfn.XLOOKUP(B152,'Neiva 2022 FASE I ACTUAL (5)'!$B$6:$B$540,'Neiva 2022 FASE I ACTUAL (5)'!$C$6:$F$540,"NO ESTA")</f>
        <v>NO ESTA</v>
      </c>
      <c r="Q152" s="124">
        <f t="shared" si="33"/>
        <v>0</v>
      </c>
      <c r="R152" s="155">
        <f t="shared" si="29"/>
        <v>3.45</v>
      </c>
      <c r="S152" s="156">
        <f t="shared" si="31"/>
        <v>276536</v>
      </c>
      <c r="T152" s="156">
        <f t="shared" si="32"/>
        <v>954049.2</v>
      </c>
    </row>
    <row r="153" spans="1:20" s="9" customFormat="1" ht="35.1" customHeight="1" x14ac:dyDescent="0.25">
      <c r="A153" s="215"/>
      <c r="B153" s="255" t="s">
        <v>1120</v>
      </c>
      <c r="C153" s="254" t="s">
        <v>195</v>
      </c>
      <c r="D153" s="240" t="s">
        <v>13</v>
      </c>
      <c r="E153" s="242">
        <v>1.8</v>
      </c>
      <c r="F153" s="242">
        <f>+O153</f>
        <v>0</v>
      </c>
      <c r="G153" s="242">
        <f>+F153+E153</f>
        <v>1.8</v>
      </c>
      <c r="H153" s="243">
        <v>272315</v>
      </c>
      <c r="I153" s="243">
        <f>ROUND(+H153*G153,2)</f>
        <v>490167</v>
      </c>
      <c r="J153" s="8"/>
      <c r="K153" s="8">
        <f t="shared" si="28"/>
        <v>276536</v>
      </c>
      <c r="L153" s="8">
        <f t="shared" si="30"/>
        <v>497764.8</v>
      </c>
      <c r="M153" s="9" t="str">
        <f t="array" ref="M153">_xlfn.XLOOKUP(B153,'Neiva 2022 FASE I ACTUAL (5)'!$B$6:$B$540,'Neiva 2022 FASE I ACTUAL (5)'!$C$6:$F$540,"NO ESTA")</f>
        <v>NO ESTA</v>
      </c>
      <c r="Q153" s="124">
        <f t="shared" si="33"/>
        <v>0</v>
      </c>
      <c r="R153" s="155">
        <f t="shared" si="29"/>
        <v>1.8</v>
      </c>
      <c r="S153" s="156">
        <f t="shared" si="31"/>
        <v>276536</v>
      </c>
      <c r="T153" s="156">
        <f t="shared" si="32"/>
        <v>497764.8</v>
      </c>
    </row>
    <row r="154" spans="1:20" s="9" customFormat="1" ht="35.1" customHeight="1" x14ac:dyDescent="0.25">
      <c r="A154" s="215"/>
      <c r="B154" s="244" t="s">
        <v>1121</v>
      </c>
      <c r="C154" s="245" t="s">
        <v>1122</v>
      </c>
      <c r="D154" s="244"/>
      <c r="E154" s="246"/>
      <c r="F154" s="246"/>
      <c r="G154" s="246"/>
      <c r="H154" s="303"/>
      <c r="I154" s="246"/>
      <c r="J154" s="8"/>
      <c r="K154" s="8">
        <f t="shared" si="28"/>
        <v>0</v>
      </c>
      <c r="L154" s="8">
        <f t="shared" si="30"/>
        <v>0</v>
      </c>
      <c r="M154" s="9" t="str">
        <f t="array" ref="M154">_xlfn.XLOOKUP(B154,'Neiva 2022 FASE I ACTUAL (5)'!$B$6:$B$540,'Neiva 2022 FASE I ACTUAL (5)'!$C$6:$F$540,"NO ESTA")</f>
        <v>NO ESTA</v>
      </c>
      <c r="Q154" s="124">
        <f t="shared" si="33"/>
        <v>0</v>
      </c>
      <c r="R154" s="155">
        <f t="shared" si="29"/>
        <v>0</v>
      </c>
      <c r="S154" s="156">
        <f t="shared" si="31"/>
        <v>0</v>
      </c>
      <c r="T154" s="156">
        <f t="shared" si="32"/>
        <v>0</v>
      </c>
    </row>
    <row r="155" spans="1:20" s="9" customFormat="1" ht="35.1" customHeight="1" x14ac:dyDescent="0.25">
      <c r="A155" s="215"/>
      <c r="B155" s="255" t="s">
        <v>1123</v>
      </c>
      <c r="C155" s="254" t="s">
        <v>183</v>
      </c>
      <c r="D155" s="240" t="s">
        <v>13</v>
      </c>
      <c r="E155" s="242">
        <v>3.45</v>
      </c>
      <c r="F155" s="242">
        <f>+O155</f>
        <v>0</v>
      </c>
      <c r="G155" s="242">
        <f>+F155+E155</f>
        <v>3.45</v>
      </c>
      <c r="H155" s="243">
        <v>272315</v>
      </c>
      <c r="I155" s="243">
        <f>ROUND(+H155*G155,2)</f>
        <v>939486.75</v>
      </c>
      <c r="J155" s="8"/>
      <c r="K155" s="8">
        <f t="shared" si="28"/>
        <v>276536</v>
      </c>
      <c r="L155" s="8">
        <f t="shared" si="30"/>
        <v>954049.20000000007</v>
      </c>
      <c r="M155" s="9" t="str">
        <f t="array" ref="M155">_xlfn.XLOOKUP(B155,'Neiva 2022 FASE I ACTUAL (5)'!$B$6:$B$540,'Neiva 2022 FASE I ACTUAL (5)'!$C$6:$F$540,"NO ESTA")</f>
        <v>NO ESTA</v>
      </c>
      <c r="Q155" s="124">
        <f t="shared" si="33"/>
        <v>0</v>
      </c>
      <c r="R155" s="155">
        <f t="shared" si="29"/>
        <v>3.45</v>
      </c>
      <c r="S155" s="156">
        <f t="shared" si="31"/>
        <v>276536</v>
      </c>
      <c r="T155" s="156">
        <f t="shared" si="32"/>
        <v>954049.2</v>
      </c>
    </row>
    <row r="156" spans="1:20" s="9" customFormat="1" ht="35.1" customHeight="1" x14ac:dyDescent="0.25">
      <c r="A156" s="215"/>
      <c r="B156" s="247">
        <v>8</v>
      </c>
      <c r="C156" s="248" t="s">
        <v>196</v>
      </c>
      <c r="D156" s="248"/>
      <c r="E156" s="249"/>
      <c r="F156" s="249"/>
      <c r="G156" s="249"/>
      <c r="H156" s="305"/>
      <c r="I156" s="249"/>
      <c r="J156" s="8"/>
      <c r="K156" s="8">
        <f t="shared" si="28"/>
        <v>0</v>
      </c>
      <c r="L156" s="8">
        <f t="shared" si="30"/>
        <v>0</v>
      </c>
      <c r="M156" s="9" t="str">
        <f t="array" ref="M156:P156">_xlfn.XLOOKUP(B156,'Neiva 2022 FASE I ACTUAL (5)'!$B$6:$B$540,'Neiva 2022 FASE I ACTUAL (5)'!$C$6:$F$540,"NO ESTA")</f>
        <v>VENTANALES</v>
      </c>
      <c r="N156" s="9">
        <v>0</v>
      </c>
      <c r="O156" s="9">
        <v>0</v>
      </c>
      <c r="P156" s="9">
        <v>0</v>
      </c>
      <c r="Q156" s="124">
        <f t="shared" si="33"/>
        <v>0</v>
      </c>
      <c r="R156" s="155">
        <f t="shared" si="29"/>
        <v>0</v>
      </c>
      <c r="S156" s="156">
        <f t="shared" si="31"/>
        <v>0</v>
      </c>
      <c r="T156" s="156">
        <f t="shared" si="32"/>
        <v>0</v>
      </c>
    </row>
    <row r="157" spans="1:20" s="9" customFormat="1" ht="35.1" customHeight="1" x14ac:dyDescent="0.25">
      <c r="A157" s="215"/>
      <c r="B157" s="244" t="s">
        <v>197</v>
      </c>
      <c r="C157" s="245" t="s">
        <v>198</v>
      </c>
      <c r="D157" s="244"/>
      <c r="E157" s="246"/>
      <c r="F157" s="246"/>
      <c r="G157" s="246"/>
      <c r="H157" s="303"/>
      <c r="I157" s="246"/>
      <c r="J157" s="8"/>
      <c r="K157" s="8">
        <f t="shared" si="28"/>
        <v>0</v>
      </c>
      <c r="L157" s="8">
        <f t="shared" si="30"/>
        <v>0</v>
      </c>
      <c r="M157" s="9" t="str">
        <f t="array" ref="M157:P157">_xlfn.XLOOKUP(B157,'Neiva 2022 FASE I ACTUAL (5)'!$B$6:$B$540,'Neiva 2022 FASE I ACTUAL (5)'!$C$6:$F$540,"NO ESTA")</f>
        <v>SUMINISTRO E INSTALACION VENTANALES PISO 1</v>
      </c>
      <c r="N157" s="9">
        <v>0</v>
      </c>
      <c r="O157" s="9">
        <v>0</v>
      </c>
      <c r="P157" s="9">
        <v>0</v>
      </c>
      <c r="Q157" s="124">
        <f t="shared" si="33"/>
        <v>0</v>
      </c>
      <c r="R157" s="155">
        <f t="shared" si="29"/>
        <v>0</v>
      </c>
      <c r="S157" s="156">
        <f t="shared" si="31"/>
        <v>0</v>
      </c>
      <c r="T157" s="156">
        <f t="shared" si="32"/>
        <v>0</v>
      </c>
    </row>
    <row r="158" spans="1:20" s="9" customFormat="1" ht="35.1" customHeight="1" x14ac:dyDescent="0.25">
      <c r="A158" s="215"/>
      <c r="B158" s="255" t="s">
        <v>199</v>
      </c>
      <c r="C158" s="254" t="s">
        <v>200</v>
      </c>
      <c r="D158" s="240" t="s">
        <v>13</v>
      </c>
      <c r="E158" s="242">
        <v>44.879999999999995</v>
      </c>
      <c r="F158" s="242">
        <f>+O158</f>
        <v>16.32</v>
      </c>
      <c r="G158" s="242">
        <f>+F158+E158</f>
        <v>61.199999999999996</v>
      </c>
      <c r="H158" s="243">
        <v>316721</v>
      </c>
      <c r="I158" s="243">
        <f>ROUND(+H158*G158,2)</f>
        <v>19383325.199999999</v>
      </c>
      <c r="J158" s="8"/>
      <c r="K158" s="8">
        <f t="shared" si="28"/>
        <v>321630</v>
      </c>
      <c r="L158" s="8">
        <f t="shared" si="30"/>
        <v>14434754.399999999</v>
      </c>
      <c r="M158" s="9" t="str">
        <f t="array" ref="M158:P158">_xlfn.XLOOKUP(B158,'Neiva 2022 FASE I ACTUAL (5)'!$B$6:$B$540,'Neiva 2022 FASE I ACTUAL (5)'!$C$6:$F$540,"NO ESTA")</f>
        <v>SUMINISTRO E INSTALACION VENTANAL INTERIOR EN ALUMINIO o similar TIPO V-0 Incluye VIDRIO Referencia TRASLUCIDO TEMPLADO 10MM Ver NOTAS GENERALES DE PLANCHA</v>
      </c>
      <c r="N158" s="9" t="str">
        <v>M2</v>
      </c>
      <c r="O158" s="9">
        <v>16.32</v>
      </c>
      <c r="P158" s="9">
        <v>303948</v>
      </c>
      <c r="Q158" s="124" t="str">
        <f t="shared" si="33"/>
        <v>FASE II</v>
      </c>
      <c r="R158" s="155">
        <f t="shared" si="29"/>
        <v>61.199999999999996</v>
      </c>
      <c r="S158" s="156">
        <f t="shared" si="31"/>
        <v>321630</v>
      </c>
      <c r="T158" s="156">
        <f t="shared" si="32"/>
        <v>19683756</v>
      </c>
    </row>
    <row r="159" spans="1:20" s="9" customFormat="1" ht="35.1" customHeight="1" x14ac:dyDescent="0.25">
      <c r="A159" s="215"/>
      <c r="B159" s="255" t="s">
        <v>201</v>
      </c>
      <c r="C159" s="254" t="s">
        <v>202</v>
      </c>
      <c r="D159" s="240" t="s">
        <v>13</v>
      </c>
      <c r="E159" s="242">
        <v>111.41999999999999</v>
      </c>
      <c r="F159" s="242">
        <f>+O159</f>
        <v>111.43</v>
      </c>
      <c r="G159" s="242">
        <f>+F159+E159</f>
        <v>222.85</v>
      </c>
      <c r="H159" s="243">
        <v>358916</v>
      </c>
      <c r="I159" s="243">
        <f>ROUND(+H159*G159,2)</f>
        <v>79984430.599999994</v>
      </c>
      <c r="J159" s="8"/>
      <c r="K159" s="8">
        <f t="shared" si="28"/>
        <v>364479</v>
      </c>
      <c r="L159" s="8">
        <f t="shared" si="30"/>
        <v>40610250.179999992</v>
      </c>
      <c r="M159" s="9" t="str">
        <f t="array" ref="M159:P159">_xlfn.XLOOKUP(B159,'Neiva 2022 FASE I ACTUAL (5)'!$B$6:$B$540,'Neiva 2022 FASE I ACTUAL (5)'!$C$6:$F$540,"NO ESTA")</f>
        <v>SUMINISTRO E INSTALACION VENTANAL PERFIL 12cm EN ALUMINIO o similar TIPO V-1 Incluye VIDRIO Referencia SOLARBAN Ver NOTAS GENERALES DE PLANCHA</v>
      </c>
      <c r="N159" s="9" t="str">
        <v>M2</v>
      </c>
      <c r="O159" s="9">
        <v>111.43</v>
      </c>
      <c r="P159" s="9">
        <v>344443</v>
      </c>
      <c r="Q159" s="124" t="str">
        <f t="shared" si="33"/>
        <v>FASE II</v>
      </c>
      <c r="R159" s="155">
        <f t="shared" si="29"/>
        <v>222.85</v>
      </c>
      <c r="S159" s="156">
        <f t="shared" si="31"/>
        <v>364479</v>
      </c>
      <c r="T159" s="156">
        <f t="shared" si="32"/>
        <v>81224145.150000006</v>
      </c>
    </row>
    <row r="160" spans="1:20" s="9" customFormat="1" ht="35.1" customHeight="1" x14ac:dyDescent="0.25">
      <c r="A160" s="215"/>
      <c r="B160" s="255" t="s">
        <v>203</v>
      </c>
      <c r="C160" s="254" t="s">
        <v>204</v>
      </c>
      <c r="D160" s="240" t="s">
        <v>13</v>
      </c>
      <c r="E160" s="242">
        <v>17.010000000000002</v>
      </c>
      <c r="F160" s="242">
        <f>+O160</f>
        <v>17.010000000000002</v>
      </c>
      <c r="G160" s="242">
        <f>+F160+E160</f>
        <v>34.020000000000003</v>
      </c>
      <c r="H160" s="243">
        <v>375510</v>
      </c>
      <c r="I160" s="243">
        <f>ROUND(+H160*G160,2)</f>
        <v>12774850.199999999</v>
      </c>
      <c r="J160" s="8"/>
      <c r="K160" s="8">
        <f t="shared" si="28"/>
        <v>381330</v>
      </c>
      <c r="L160" s="8">
        <f t="shared" si="30"/>
        <v>6486423.3000000007</v>
      </c>
      <c r="M160" s="9" t="str">
        <f t="array" ref="M160:P160">_xlfn.XLOOKUP(B160,'Neiva 2022 FASE I ACTUAL (5)'!$B$6:$B$540,'Neiva 2022 FASE I ACTUAL (5)'!$C$6:$F$540,"NO ESTA")</f>
        <v>SUMINISTRO E INSTALACION VENTANAL DOBLE ALTURA EN ALUMINIO o similar TIPO V-4 Incluye VIDRIO Referencia SOLARBAN Ver NOTAS GENERALES DE PLANCHA</v>
      </c>
      <c r="N160" s="9" t="str">
        <v>M2</v>
      </c>
      <c r="O160" s="9">
        <v>17.010000000000002</v>
      </c>
      <c r="P160" s="9">
        <v>360365</v>
      </c>
      <c r="Q160" s="124" t="str">
        <f t="shared" si="33"/>
        <v>FASE II</v>
      </c>
      <c r="R160" s="155">
        <f t="shared" si="29"/>
        <v>34.020000000000003</v>
      </c>
      <c r="S160" s="156">
        <f t="shared" si="31"/>
        <v>381330</v>
      </c>
      <c r="T160" s="156">
        <f t="shared" si="32"/>
        <v>12972846.6</v>
      </c>
    </row>
    <row r="161" spans="1:20" s="9" customFormat="1" ht="35.1" customHeight="1" x14ac:dyDescent="0.25">
      <c r="A161" s="215"/>
      <c r="B161" s="255" t="s">
        <v>205</v>
      </c>
      <c r="C161" s="254" t="s">
        <v>206</v>
      </c>
      <c r="D161" s="240" t="s">
        <v>13</v>
      </c>
      <c r="E161" s="242">
        <v>13.059999999999999</v>
      </c>
      <c r="F161" s="242">
        <f>+O161</f>
        <v>13.07</v>
      </c>
      <c r="G161" s="242">
        <f>+F161+E161</f>
        <v>26.13</v>
      </c>
      <c r="H161" s="243">
        <v>375510</v>
      </c>
      <c r="I161" s="243">
        <f>ROUND(+H161*G161,2)</f>
        <v>9812076.3000000007</v>
      </c>
      <c r="J161" s="8"/>
      <c r="K161" s="8">
        <f t="shared" si="28"/>
        <v>381330</v>
      </c>
      <c r="L161" s="8">
        <f t="shared" si="30"/>
        <v>4980169.8</v>
      </c>
      <c r="M161" s="9" t="str">
        <f t="array" ref="M161:P161">_xlfn.XLOOKUP(B161,'Neiva 2022 FASE I ACTUAL (5)'!$B$6:$B$540,'Neiva 2022 FASE I ACTUAL (5)'!$C$6:$F$540,"NO ESTA")</f>
        <v>SUMINISTRO E INSTALACIONVENTANAL DOBLE ALTURA LIBRE EN ALUMINIO o similar TIPO V-5 Incluye VIDRIO Referencia SOLARBAN Ver NOTAS GENERALES DE PLANCHA</v>
      </c>
      <c r="N161" s="9" t="str">
        <v>M2</v>
      </c>
      <c r="O161" s="9">
        <v>13.07</v>
      </c>
      <c r="P161" s="9">
        <v>360365</v>
      </c>
      <c r="Q161" s="124" t="str">
        <f t="shared" si="33"/>
        <v>FASE II</v>
      </c>
      <c r="R161" s="155">
        <f t="shared" si="29"/>
        <v>26.13</v>
      </c>
      <c r="S161" s="156">
        <f t="shared" si="31"/>
        <v>381330</v>
      </c>
      <c r="T161" s="156">
        <f t="shared" si="32"/>
        <v>9964152.9000000004</v>
      </c>
    </row>
    <row r="162" spans="1:20" s="9" customFormat="1" ht="35.1" customHeight="1" x14ac:dyDescent="0.25">
      <c r="A162" s="215"/>
      <c r="B162" s="244" t="s">
        <v>207</v>
      </c>
      <c r="C162" s="245" t="s">
        <v>208</v>
      </c>
      <c r="D162" s="244"/>
      <c r="E162" s="246"/>
      <c r="F162" s="246"/>
      <c r="G162" s="246"/>
      <c r="H162" s="303"/>
      <c r="I162" s="246"/>
      <c r="J162" s="8"/>
      <c r="K162" s="8">
        <f t="shared" si="28"/>
        <v>0</v>
      </c>
      <c r="L162" s="8">
        <f t="shared" si="30"/>
        <v>0</v>
      </c>
      <c r="M162" s="9" t="str">
        <f t="array" ref="M162:P162">_xlfn.XLOOKUP(B162,'Neiva 2022 FASE I ACTUAL (5)'!$B$6:$B$540,'Neiva 2022 FASE I ACTUAL (5)'!$C$6:$F$540,"NO ESTA")</f>
        <v>SUMINISTRO E INSTALACION VENTANALES PISO 2</v>
      </c>
      <c r="N162" s="9">
        <v>0</v>
      </c>
      <c r="O162" s="9">
        <v>0</v>
      </c>
      <c r="P162" s="9">
        <v>0</v>
      </c>
      <c r="Q162" s="124">
        <f t="shared" si="33"/>
        <v>0</v>
      </c>
      <c r="R162" s="155">
        <f t="shared" si="29"/>
        <v>0</v>
      </c>
      <c r="S162" s="156">
        <f t="shared" si="31"/>
        <v>0</v>
      </c>
      <c r="T162" s="156">
        <f t="shared" si="32"/>
        <v>0</v>
      </c>
    </row>
    <row r="163" spans="1:20" s="9" customFormat="1" ht="35.1" customHeight="1" x14ac:dyDescent="0.25">
      <c r="A163" s="215"/>
      <c r="B163" s="255" t="s">
        <v>209</v>
      </c>
      <c r="C163" s="254" t="s">
        <v>210</v>
      </c>
      <c r="D163" s="240" t="s">
        <v>13</v>
      </c>
      <c r="E163" s="242">
        <v>221.89</v>
      </c>
      <c r="F163" s="242">
        <f t="shared" ref="F163:F169" si="34">+O163</f>
        <v>21.89</v>
      </c>
      <c r="G163" s="242">
        <f t="shared" ref="G163:G169" si="35">+F163+E163</f>
        <v>243.77999999999997</v>
      </c>
      <c r="H163" s="243">
        <v>251138</v>
      </c>
      <c r="I163" s="243">
        <f t="shared" ref="I163:I169" si="36">ROUND(+H163*G163,2)</f>
        <v>61222421.640000001</v>
      </c>
      <c r="J163" s="8"/>
      <c r="K163" s="8">
        <f t="shared" si="28"/>
        <v>255031</v>
      </c>
      <c r="L163" s="8">
        <f t="shared" si="30"/>
        <v>56588828.589999996</v>
      </c>
      <c r="M163" s="9" t="str">
        <f t="array" ref="M163:P163">_xlfn.XLOOKUP(B163,'Neiva 2022 FASE I ACTUAL (5)'!$B$6:$B$540,'Neiva 2022 FASE I ACTUAL (5)'!$C$6:$F$540,"NO ESTA")</f>
        <v>SUMINISTRO E INSTALACION CORTASOL Referencia 84R TIPO CS-1 Ver NOTAS GENERALES DE PLANCHA</v>
      </c>
      <c r="N163" s="9" t="str">
        <v>M2</v>
      </c>
      <c r="O163" s="9">
        <v>21.89</v>
      </c>
      <c r="P163" s="9">
        <v>241010</v>
      </c>
      <c r="Q163" s="124" t="str">
        <f t="shared" si="33"/>
        <v>FASE II</v>
      </c>
      <c r="R163" s="155">
        <f t="shared" si="29"/>
        <v>243.77999999999997</v>
      </c>
      <c r="S163" s="156">
        <f t="shared" si="31"/>
        <v>255031</v>
      </c>
      <c r="T163" s="156">
        <f t="shared" si="32"/>
        <v>62171457.18</v>
      </c>
    </row>
    <row r="164" spans="1:20" s="9" customFormat="1" ht="35.1" customHeight="1" x14ac:dyDescent="0.25">
      <c r="A164" s="215"/>
      <c r="B164" s="255" t="s">
        <v>211</v>
      </c>
      <c r="C164" s="254" t="s">
        <v>200</v>
      </c>
      <c r="D164" s="240" t="s">
        <v>13</v>
      </c>
      <c r="E164" s="242">
        <v>13.48</v>
      </c>
      <c r="F164" s="242">
        <f t="shared" si="34"/>
        <v>13.48</v>
      </c>
      <c r="G164" s="242">
        <f t="shared" si="35"/>
        <v>26.96</v>
      </c>
      <c r="H164" s="243">
        <v>316721</v>
      </c>
      <c r="I164" s="243">
        <f t="shared" si="36"/>
        <v>8538798.1600000001</v>
      </c>
      <c r="J164" s="8"/>
      <c r="K164" s="8">
        <f t="shared" si="28"/>
        <v>321630</v>
      </c>
      <c r="L164" s="8">
        <f t="shared" si="30"/>
        <v>4335572.4000000004</v>
      </c>
      <c r="M164" s="9" t="str">
        <f t="array" ref="M164:P164">_xlfn.XLOOKUP(B164,'Neiva 2022 FASE I ACTUAL (5)'!$B$6:$B$540,'Neiva 2022 FASE I ACTUAL (5)'!$C$6:$F$540,"NO ESTA")</f>
        <v>SUMINISTRO E INSTALACION VENTANAL INTERIOR EN ALUMINIO o similar TIPO V-0 Incluye VIDRIO Referencia TRASLUCIDO TEMPLADO 10MM Ver NOTAS GENERALES DE PLANCHA</v>
      </c>
      <c r="N164" s="9" t="str">
        <v>M2</v>
      </c>
      <c r="O164" s="9">
        <v>13.48</v>
      </c>
      <c r="P164" s="9">
        <v>303948</v>
      </c>
      <c r="Q164" s="124" t="str">
        <f t="shared" si="33"/>
        <v>FASE II</v>
      </c>
      <c r="R164" s="155">
        <f t="shared" si="29"/>
        <v>26.96</v>
      </c>
      <c r="S164" s="156">
        <f t="shared" si="31"/>
        <v>321630</v>
      </c>
      <c r="T164" s="156">
        <f t="shared" si="32"/>
        <v>8671144.8000000007</v>
      </c>
    </row>
    <row r="165" spans="1:20" s="9" customFormat="1" ht="35.1" customHeight="1" x14ac:dyDescent="0.25">
      <c r="A165" s="215"/>
      <c r="B165" s="255" t="s">
        <v>212</v>
      </c>
      <c r="C165" s="254" t="s">
        <v>202</v>
      </c>
      <c r="D165" s="240" t="s">
        <v>13</v>
      </c>
      <c r="E165" s="242">
        <v>29.999999999999996</v>
      </c>
      <c r="F165" s="242">
        <f t="shared" si="34"/>
        <v>30.01</v>
      </c>
      <c r="G165" s="242">
        <f t="shared" si="35"/>
        <v>60.01</v>
      </c>
      <c r="H165" s="243">
        <v>358916</v>
      </c>
      <c r="I165" s="243">
        <f t="shared" si="36"/>
        <v>21538549.16</v>
      </c>
      <c r="J165" s="8"/>
      <c r="K165" s="8">
        <f t="shared" si="28"/>
        <v>364479</v>
      </c>
      <c r="L165" s="8">
        <f t="shared" si="30"/>
        <v>10934369.999999998</v>
      </c>
      <c r="M165" s="9" t="str">
        <f t="array" ref="M165:P165">_xlfn.XLOOKUP(B165,'Neiva 2022 FASE I ACTUAL (5)'!$B$6:$B$540,'Neiva 2022 FASE I ACTUAL (5)'!$C$6:$F$540,"NO ESTA")</f>
        <v>SUMINISTRO E INSTALACION VENTANAL PERFIL 12cm EN ALUMINIO o similar TIPO V-1 Incluye VIDRIO Referencia SOLARBAN Ver NOTAS GENERALES DE PLANCHA</v>
      </c>
      <c r="N165" s="9" t="str">
        <v>M2</v>
      </c>
      <c r="O165" s="9">
        <v>30.01</v>
      </c>
      <c r="P165" s="9">
        <v>344443</v>
      </c>
      <c r="Q165" s="124" t="str">
        <f t="shared" si="33"/>
        <v>FASE II</v>
      </c>
      <c r="R165" s="155">
        <f t="shared" si="29"/>
        <v>60.01</v>
      </c>
      <c r="S165" s="156">
        <f t="shared" si="31"/>
        <v>364479</v>
      </c>
      <c r="T165" s="156">
        <f t="shared" si="32"/>
        <v>21872384.789999999</v>
      </c>
    </row>
    <row r="166" spans="1:20" s="9" customFormat="1" ht="35.1" customHeight="1" x14ac:dyDescent="0.25">
      <c r="A166" s="215"/>
      <c r="B166" s="255" t="s">
        <v>213</v>
      </c>
      <c r="C166" s="254" t="s">
        <v>214</v>
      </c>
      <c r="D166" s="240" t="s">
        <v>13</v>
      </c>
      <c r="E166" s="242">
        <v>78.760000000000005</v>
      </c>
      <c r="F166" s="242">
        <f t="shared" si="34"/>
        <v>63.83</v>
      </c>
      <c r="G166" s="242">
        <f t="shared" si="35"/>
        <v>142.59</v>
      </c>
      <c r="H166" s="243">
        <v>358916</v>
      </c>
      <c r="I166" s="243">
        <f t="shared" si="36"/>
        <v>51177832.439999998</v>
      </c>
      <c r="J166" s="8"/>
      <c r="K166" s="8">
        <f t="shared" si="28"/>
        <v>364479</v>
      </c>
      <c r="L166" s="8">
        <f t="shared" si="30"/>
        <v>28706366.040000003</v>
      </c>
      <c r="M166" s="9" t="str">
        <f t="array" ref="M166:P166">_xlfn.XLOOKUP(B166,'Neiva 2022 FASE I ACTUAL (5)'!$B$6:$B$540,'Neiva 2022 FASE I ACTUAL (5)'!$C$6:$F$540,"NO ESTA")</f>
        <v>SUMINISTRO E INSTALACION VENTANAL PERFIL 12cm  AULAS COMPLETO EN ALUMINIO o similar TIPO V-2 Incluye VIDRIO Referencia SOLARBAN Ver NOTAS GENERALES DE PLANCHA</v>
      </c>
      <c r="N166" s="9" t="str">
        <v>M2</v>
      </c>
      <c r="O166" s="9">
        <v>63.83</v>
      </c>
      <c r="P166" s="9">
        <v>344443</v>
      </c>
      <c r="Q166" s="124" t="str">
        <f t="shared" si="33"/>
        <v>FASE II</v>
      </c>
      <c r="R166" s="155">
        <f t="shared" si="29"/>
        <v>142.59</v>
      </c>
      <c r="S166" s="156">
        <f t="shared" si="31"/>
        <v>364479</v>
      </c>
      <c r="T166" s="156">
        <f t="shared" si="32"/>
        <v>51971060.609999999</v>
      </c>
    </row>
    <row r="167" spans="1:20" s="9" customFormat="1" ht="35.1" customHeight="1" x14ac:dyDescent="0.25">
      <c r="A167" s="215"/>
      <c r="B167" s="255" t="s">
        <v>215</v>
      </c>
      <c r="C167" s="254" t="s">
        <v>216</v>
      </c>
      <c r="D167" s="240" t="s">
        <v>13</v>
      </c>
      <c r="E167" s="242">
        <v>78.989999999999995</v>
      </c>
      <c r="F167" s="242">
        <f t="shared" si="34"/>
        <v>7.99</v>
      </c>
      <c r="G167" s="242">
        <f t="shared" si="35"/>
        <v>86.97999999999999</v>
      </c>
      <c r="H167" s="243">
        <v>372614</v>
      </c>
      <c r="I167" s="243">
        <f t="shared" si="36"/>
        <v>32409965.719999999</v>
      </c>
      <c r="J167" s="8"/>
      <c r="K167" s="8">
        <f t="shared" si="28"/>
        <v>378390</v>
      </c>
      <c r="L167" s="8">
        <f t="shared" si="30"/>
        <v>29889026.099999998</v>
      </c>
      <c r="M167" s="9" t="str">
        <f t="array" ref="M167:P167">_xlfn.XLOOKUP(B167,'Neiva 2022 FASE I ACTUAL (5)'!$B$6:$B$540,'Neiva 2022 FASE I ACTUAL (5)'!$C$6:$F$540,"NO ESTA")</f>
        <v>SUMINISTRO E INSTALACION VENTANAL PERFIL 15cm EN ALUMINIO o similar TIPO V-3 Incluye VIDRIO Referencia SOLARBAN Ver NOTAS GENERALES DE PLANCHA</v>
      </c>
      <c r="N167" s="9" t="str">
        <v>M2</v>
      </c>
      <c r="O167" s="9">
        <v>7.99</v>
      </c>
      <c r="P167" s="9">
        <v>357587</v>
      </c>
      <c r="Q167" s="124" t="str">
        <f t="shared" si="33"/>
        <v>FASE II</v>
      </c>
      <c r="R167" s="155">
        <f t="shared" si="29"/>
        <v>86.97999999999999</v>
      </c>
      <c r="S167" s="156">
        <f t="shared" si="31"/>
        <v>378390</v>
      </c>
      <c r="T167" s="156">
        <f t="shared" si="32"/>
        <v>32912362.199999999</v>
      </c>
    </row>
    <row r="168" spans="1:20" s="9" customFormat="1" ht="35.1" customHeight="1" x14ac:dyDescent="0.25">
      <c r="A168" s="215"/>
      <c r="B168" s="255" t="s">
        <v>217</v>
      </c>
      <c r="C168" s="254" t="s">
        <v>218</v>
      </c>
      <c r="D168" s="240" t="s">
        <v>13</v>
      </c>
      <c r="E168" s="242">
        <v>11.76</v>
      </c>
      <c r="F168" s="242">
        <f t="shared" si="34"/>
        <v>11.76</v>
      </c>
      <c r="G168" s="242">
        <f t="shared" si="35"/>
        <v>23.52</v>
      </c>
      <c r="H168" s="243">
        <v>375510</v>
      </c>
      <c r="I168" s="243">
        <f t="shared" si="36"/>
        <v>8831995.1999999993</v>
      </c>
      <c r="J168" s="8"/>
      <c r="K168" s="8">
        <f t="shared" si="28"/>
        <v>381330</v>
      </c>
      <c r="L168" s="8">
        <f t="shared" si="30"/>
        <v>4484440.8</v>
      </c>
      <c r="M168" s="9" t="str">
        <f t="array" ref="M168:P168">_xlfn.XLOOKUP(B168,'Neiva 2022 FASE I ACTUAL (5)'!$B$6:$B$540,'Neiva 2022 FASE I ACTUAL (5)'!$C$6:$F$540,"NO ESTA")</f>
        <v>SUMINISTRO E INSTALACION VENTANAL DOBLE ALTURA LIBRE EN ALUMINIO o similar TIPO V-5 Incluye VIDRIO Referencia SOLARBAN Ver NOTAS GENERALES DE PLANCHA</v>
      </c>
      <c r="N168" s="9" t="str">
        <v>M2</v>
      </c>
      <c r="O168" s="9">
        <v>11.76</v>
      </c>
      <c r="P168" s="9">
        <v>360365</v>
      </c>
      <c r="Q168" s="124" t="str">
        <f t="shared" si="33"/>
        <v>FASE II</v>
      </c>
      <c r="R168" s="155">
        <f t="shared" si="29"/>
        <v>23.52</v>
      </c>
      <c r="S168" s="156">
        <f t="shared" si="31"/>
        <v>381330</v>
      </c>
      <c r="T168" s="156">
        <f t="shared" si="32"/>
        <v>8968881.5999999996</v>
      </c>
    </row>
    <row r="169" spans="1:20" s="9" customFormat="1" ht="35.1" customHeight="1" x14ac:dyDescent="0.25">
      <c r="A169" s="215"/>
      <c r="B169" s="255" t="s">
        <v>219</v>
      </c>
      <c r="C169" s="241" t="s">
        <v>220</v>
      </c>
      <c r="D169" s="240" t="s">
        <v>13</v>
      </c>
      <c r="E169" s="242">
        <v>15.659999999999998</v>
      </c>
      <c r="F169" s="242">
        <f t="shared" si="34"/>
        <v>10.72</v>
      </c>
      <c r="G169" s="242">
        <f t="shared" si="35"/>
        <v>26.38</v>
      </c>
      <c r="H169" s="243">
        <v>418367</v>
      </c>
      <c r="I169" s="243">
        <f t="shared" si="36"/>
        <v>11036521.460000001</v>
      </c>
      <c r="J169" s="8"/>
      <c r="K169" s="8">
        <f t="shared" si="28"/>
        <v>424852</v>
      </c>
      <c r="L169" s="8">
        <f t="shared" si="30"/>
        <v>6653182.3199999994</v>
      </c>
      <c r="M169" s="9" t="str">
        <f t="array" ref="M169:P169">_xlfn.XLOOKUP(B169,'Neiva 2022 FASE I ACTUAL (5)'!$B$6:$B$540,'Neiva 2022 FASE I ACTUAL (5)'!$C$6:$F$540,"NO ESTA")</f>
        <v>SUMINISTRO E INSTALACION VENTANAL INTERIOR PERFIL 15cm SALONES EN ALUMINIO o similar TIPO V-6Incluye VIDRIO Referencia TRASLUCIDO TEMPLADO 10MM Ver NOTAS GENERALES DE PLANCHA</v>
      </c>
      <c r="N169" s="9" t="str">
        <v>M2</v>
      </c>
      <c r="O169" s="9">
        <v>10.72</v>
      </c>
      <c r="P169" s="9">
        <v>401495</v>
      </c>
      <c r="Q169" s="124" t="str">
        <f t="shared" si="33"/>
        <v>FASE II</v>
      </c>
      <c r="R169" s="155">
        <f t="shared" si="29"/>
        <v>26.38</v>
      </c>
      <c r="S169" s="156">
        <f t="shared" si="31"/>
        <v>424852</v>
      </c>
      <c r="T169" s="156">
        <f t="shared" si="32"/>
        <v>11207595.76</v>
      </c>
    </row>
    <row r="170" spans="1:20" s="9" customFormat="1" ht="35.1" customHeight="1" x14ac:dyDescent="0.25">
      <c r="A170" s="215"/>
      <c r="B170" s="244" t="s">
        <v>1124</v>
      </c>
      <c r="C170" s="245" t="s">
        <v>1125</v>
      </c>
      <c r="D170" s="244"/>
      <c r="E170" s="246"/>
      <c r="F170" s="246"/>
      <c r="G170" s="246"/>
      <c r="H170" s="303"/>
      <c r="I170" s="246"/>
      <c r="J170" s="8"/>
      <c r="K170" s="8">
        <f t="shared" si="28"/>
        <v>0</v>
      </c>
      <c r="L170" s="8">
        <f t="shared" si="30"/>
        <v>0</v>
      </c>
      <c r="M170" s="9" t="str">
        <f t="array" ref="M170">_xlfn.XLOOKUP(B170,'Neiva 2022 FASE I ACTUAL (5)'!$B$6:$B$540,'Neiva 2022 FASE I ACTUAL (5)'!$C$6:$F$540,"NO ESTA")</f>
        <v>NO ESTA</v>
      </c>
      <c r="Q170" s="124">
        <f t="shared" si="33"/>
        <v>0</v>
      </c>
      <c r="R170" s="155">
        <f t="shared" si="29"/>
        <v>0</v>
      </c>
      <c r="S170" s="156">
        <f t="shared" si="31"/>
        <v>0</v>
      </c>
      <c r="T170" s="156">
        <f t="shared" si="32"/>
        <v>0</v>
      </c>
    </row>
    <row r="171" spans="1:20" s="9" customFormat="1" ht="35.1" customHeight="1" x14ac:dyDescent="0.25">
      <c r="A171" s="215"/>
      <c r="B171" s="255" t="s">
        <v>1126</v>
      </c>
      <c r="C171" s="254" t="s">
        <v>210</v>
      </c>
      <c r="D171" s="240" t="s">
        <v>13</v>
      </c>
      <c r="E171" s="242">
        <v>181.07</v>
      </c>
      <c r="F171" s="242">
        <f t="shared" ref="F171:F176" si="37">+O171</f>
        <v>0</v>
      </c>
      <c r="G171" s="242">
        <f t="shared" ref="G171:G176" si="38">+F171+E171</f>
        <v>181.07</v>
      </c>
      <c r="H171" s="243">
        <v>253440</v>
      </c>
      <c r="I171" s="243">
        <f t="shared" ref="I171:I176" si="39">ROUND(+H171*G171,2)</f>
        <v>45890380.799999997</v>
      </c>
      <c r="J171" s="8"/>
      <c r="K171" s="8">
        <f t="shared" si="28"/>
        <v>257368</v>
      </c>
      <c r="L171" s="8">
        <f t="shared" si="30"/>
        <v>46601623.759999998</v>
      </c>
      <c r="M171" s="9" t="str">
        <f t="array" ref="M171">_xlfn.XLOOKUP(B171,'Neiva 2022 FASE I ACTUAL (5)'!$B$6:$B$540,'Neiva 2022 FASE I ACTUAL (5)'!$C$6:$F$540,"NO ESTA")</f>
        <v>NO ESTA</v>
      </c>
      <c r="Q171" s="124">
        <f t="shared" si="33"/>
        <v>0</v>
      </c>
      <c r="R171" s="155">
        <f t="shared" si="29"/>
        <v>181.07</v>
      </c>
      <c r="S171" s="156">
        <f t="shared" si="31"/>
        <v>257368</v>
      </c>
      <c r="T171" s="156">
        <f t="shared" si="32"/>
        <v>46601623.759999998</v>
      </c>
    </row>
    <row r="172" spans="1:20" s="9" customFormat="1" ht="35.1" customHeight="1" x14ac:dyDescent="0.25">
      <c r="A172" s="215"/>
      <c r="B172" s="255" t="s">
        <v>1127</v>
      </c>
      <c r="C172" s="254" t="s">
        <v>1128</v>
      </c>
      <c r="D172" s="240" t="s">
        <v>13</v>
      </c>
      <c r="E172" s="242">
        <v>34.630000000000003</v>
      </c>
      <c r="F172" s="242">
        <f t="shared" si="37"/>
        <v>0</v>
      </c>
      <c r="G172" s="242">
        <f t="shared" si="38"/>
        <v>34.630000000000003</v>
      </c>
      <c r="H172" s="243">
        <v>316721</v>
      </c>
      <c r="I172" s="243">
        <f t="shared" si="39"/>
        <v>10968048.23</v>
      </c>
      <c r="J172" s="8"/>
      <c r="K172" s="8">
        <f t="shared" si="28"/>
        <v>321630</v>
      </c>
      <c r="L172" s="8">
        <f t="shared" si="30"/>
        <v>11138046.9</v>
      </c>
      <c r="M172" s="9" t="str">
        <f t="array" ref="M172">_xlfn.XLOOKUP(B172,'Neiva 2022 FASE I ACTUAL (5)'!$B$6:$B$540,'Neiva 2022 FASE I ACTUAL (5)'!$C$6:$F$540,"NO ESTA")</f>
        <v>NO ESTA</v>
      </c>
      <c r="Q172" s="124">
        <f t="shared" si="33"/>
        <v>0</v>
      </c>
      <c r="R172" s="155">
        <f t="shared" si="29"/>
        <v>34.630000000000003</v>
      </c>
      <c r="S172" s="156">
        <f t="shared" si="31"/>
        <v>321630</v>
      </c>
      <c r="T172" s="156">
        <f t="shared" si="32"/>
        <v>11138046.9</v>
      </c>
    </row>
    <row r="173" spans="1:20" s="9" customFormat="1" ht="35.1" customHeight="1" x14ac:dyDescent="0.25">
      <c r="A173" s="215"/>
      <c r="B173" s="255" t="s">
        <v>1129</v>
      </c>
      <c r="C173" s="254" t="s">
        <v>202</v>
      </c>
      <c r="D173" s="240" t="s">
        <v>13</v>
      </c>
      <c r="E173" s="242">
        <v>87.57</v>
      </c>
      <c r="F173" s="242">
        <f t="shared" si="37"/>
        <v>0</v>
      </c>
      <c r="G173" s="242">
        <f t="shared" si="38"/>
        <v>87.57</v>
      </c>
      <c r="H173" s="243">
        <v>358916</v>
      </c>
      <c r="I173" s="243">
        <f t="shared" si="39"/>
        <v>31430274.120000001</v>
      </c>
      <c r="J173" s="8"/>
      <c r="K173" s="8">
        <f t="shared" si="28"/>
        <v>364479</v>
      </c>
      <c r="L173" s="8">
        <f t="shared" si="30"/>
        <v>31917426.029999997</v>
      </c>
      <c r="M173" s="9" t="str">
        <f t="array" ref="M173">_xlfn.XLOOKUP(B173,'Neiva 2022 FASE I ACTUAL (5)'!$B$6:$B$540,'Neiva 2022 FASE I ACTUAL (5)'!$C$6:$F$540,"NO ESTA")</f>
        <v>NO ESTA</v>
      </c>
      <c r="Q173" s="124">
        <f t="shared" si="33"/>
        <v>0</v>
      </c>
      <c r="R173" s="155">
        <f t="shared" si="29"/>
        <v>87.57</v>
      </c>
      <c r="S173" s="156">
        <f t="shared" si="31"/>
        <v>364479</v>
      </c>
      <c r="T173" s="156">
        <f t="shared" si="32"/>
        <v>31917426.030000001</v>
      </c>
    </row>
    <row r="174" spans="1:20" s="9" customFormat="1" ht="35.1" customHeight="1" x14ac:dyDescent="0.25">
      <c r="A174" s="215"/>
      <c r="B174" s="255" t="s">
        <v>1130</v>
      </c>
      <c r="C174" s="254" t="s">
        <v>214</v>
      </c>
      <c r="D174" s="240" t="s">
        <v>13</v>
      </c>
      <c r="E174" s="242">
        <v>157.53</v>
      </c>
      <c r="F174" s="242">
        <f t="shared" si="37"/>
        <v>0</v>
      </c>
      <c r="G174" s="242">
        <f t="shared" si="38"/>
        <v>157.53</v>
      </c>
      <c r="H174" s="243">
        <v>358916</v>
      </c>
      <c r="I174" s="243">
        <f t="shared" si="39"/>
        <v>56540037.479999997</v>
      </c>
      <c r="J174" s="8"/>
      <c r="K174" s="8">
        <f t="shared" si="28"/>
        <v>364479</v>
      </c>
      <c r="L174" s="8">
        <f t="shared" si="30"/>
        <v>57416376.869999997</v>
      </c>
      <c r="M174" s="9" t="str">
        <f t="array" ref="M174">_xlfn.XLOOKUP(B174,'Neiva 2022 FASE I ACTUAL (5)'!$B$6:$B$540,'Neiva 2022 FASE I ACTUAL (5)'!$C$6:$F$540,"NO ESTA")</f>
        <v>NO ESTA</v>
      </c>
      <c r="Q174" s="124">
        <f t="shared" si="33"/>
        <v>0</v>
      </c>
      <c r="R174" s="155">
        <f t="shared" si="29"/>
        <v>157.53</v>
      </c>
      <c r="S174" s="156">
        <f t="shared" si="31"/>
        <v>364479</v>
      </c>
      <c r="T174" s="156">
        <f t="shared" si="32"/>
        <v>57416376.869999997</v>
      </c>
    </row>
    <row r="175" spans="1:20" s="9" customFormat="1" ht="35.1" customHeight="1" x14ac:dyDescent="0.25">
      <c r="A175" s="215"/>
      <c r="B175" s="255" t="s">
        <v>1131</v>
      </c>
      <c r="C175" s="254" t="s">
        <v>204</v>
      </c>
      <c r="D175" s="240" t="s">
        <v>13</v>
      </c>
      <c r="E175" s="242">
        <v>148.13999999999999</v>
      </c>
      <c r="F175" s="242">
        <f t="shared" si="37"/>
        <v>0</v>
      </c>
      <c r="G175" s="242">
        <f t="shared" si="38"/>
        <v>148.13999999999999</v>
      </c>
      <c r="H175" s="243">
        <v>375510</v>
      </c>
      <c r="I175" s="243">
        <f t="shared" si="39"/>
        <v>55628051.399999999</v>
      </c>
      <c r="J175" s="8"/>
      <c r="K175" s="8">
        <f t="shared" si="28"/>
        <v>381330</v>
      </c>
      <c r="L175" s="8">
        <f t="shared" si="30"/>
        <v>56490226.199999996</v>
      </c>
      <c r="M175" s="9" t="str">
        <f t="array" ref="M175">_xlfn.XLOOKUP(B175,'Neiva 2022 FASE I ACTUAL (5)'!$B$6:$B$540,'Neiva 2022 FASE I ACTUAL (5)'!$C$6:$F$540,"NO ESTA")</f>
        <v>NO ESTA</v>
      </c>
      <c r="Q175" s="124">
        <f t="shared" si="33"/>
        <v>0</v>
      </c>
      <c r="R175" s="155">
        <f t="shared" si="29"/>
        <v>148.13999999999999</v>
      </c>
      <c r="S175" s="156">
        <f t="shared" si="31"/>
        <v>381330</v>
      </c>
      <c r="T175" s="156">
        <f t="shared" si="32"/>
        <v>56490226.200000003</v>
      </c>
    </row>
    <row r="176" spans="1:20" s="9" customFormat="1" ht="35.1" customHeight="1" x14ac:dyDescent="0.25">
      <c r="A176" s="215"/>
      <c r="B176" s="255" t="s">
        <v>1132</v>
      </c>
      <c r="C176" s="241" t="s">
        <v>1133</v>
      </c>
      <c r="D176" s="240" t="s">
        <v>13</v>
      </c>
      <c r="E176" s="242">
        <v>31.33</v>
      </c>
      <c r="F176" s="242">
        <f t="shared" si="37"/>
        <v>0</v>
      </c>
      <c r="G176" s="242">
        <f t="shared" si="38"/>
        <v>31.33</v>
      </c>
      <c r="H176" s="243">
        <v>418367</v>
      </c>
      <c r="I176" s="243">
        <f t="shared" si="39"/>
        <v>13107438.109999999</v>
      </c>
      <c r="J176" s="8"/>
      <c r="K176" s="8">
        <f t="shared" si="28"/>
        <v>424852</v>
      </c>
      <c r="L176" s="8">
        <f t="shared" si="30"/>
        <v>13310613.16</v>
      </c>
      <c r="M176" s="9" t="str">
        <f t="array" ref="M176">_xlfn.XLOOKUP(B176,'Neiva 2022 FASE I ACTUAL (5)'!$B$6:$B$540,'Neiva 2022 FASE I ACTUAL (5)'!$C$6:$F$540,"NO ESTA")</f>
        <v>NO ESTA</v>
      </c>
      <c r="Q176" s="124">
        <f t="shared" si="33"/>
        <v>0</v>
      </c>
      <c r="R176" s="155">
        <f t="shared" si="29"/>
        <v>31.33</v>
      </c>
      <c r="S176" s="156">
        <f t="shared" si="31"/>
        <v>424852</v>
      </c>
      <c r="T176" s="156">
        <f t="shared" si="32"/>
        <v>13310613.16</v>
      </c>
    </row>
    <row r="177" spans="1:20" s="9" customFormat="1" ht="35.1" customHeight="1" x14ac:dyDescent="0.25">
      <c r="A177" s="215"/>
      <c r="B177" s="244" t="s">
        <v>1134</v>
      </c>
      <c r="C177" s="245" t="s">
        <v>1135</v>
      </c>
      <c r="D177" s="244"/>
      <c r="E177" s="246"/>
      <c r="F177" s="246"/>
      <c r="G177" s="246"/>
      <c r="H177" s="303"/>
      <c r="I177" s="246"/>
      <c r="J177" s="8"/>
      <c r="K177" s="8">
        <f t="shared" ref="K177:K240" si="40">+ROUND(H177*(1+$K$4),0)</f>
        <v>0</v>
      </c>
      <c r="L177" s="8">
        <f t="shared" si="30"/>
        <v>0</v>
      </c>
      <c r="M177" s="9" t="str">
        <f t="array" ref="M177">_xlfn.XLOOKUP(B177,'Neiva 2022 FASE I ACTUAL (5)'!$B$6:$B$540,'Neiva 2022 FASE I ACTUAL (5)'!$C$6:$F$540,"NO ESTA")</f>
        <v>NO ESTA</v>
      </c>
      <c r="Q177" s="124">
        <f t="shared" si="33"/>
        <v>0</v>
      </c>
      <c r="R177" s="155">
        <f t="shared" si="29"/>
        <v>0</v>
      </c>
      <c r="S177" s="156">
        <f t="shared" si="31"/>
        <v>0</v>
      </c>
      <c r="T177" s="156">
        <f t="shared" si="32"/>
        <v>0</v>
      </c>
    </row>
    <row r="178" spans="1:20" s="9" customFormat="1" ht="35.1" customHeight="1" x14ac:dyDescent="0.25">
      <c r="A178" s="215"/>
      <c r="B178" s="255" t="s">
        <v>1136</v>
      </c>
      <c r="C178" s="254" t="s">
        <v>210</v>
      </c>
      <c r="D178" s="240" t="s">
        <v>13</v>
      </c>
      <c r="E178" s="242">
        <v>41.36</v>
      </c>
      <c r="F178" s="242">
        <f t="shared" ref="F178:F183" si="41">+O178</f>
        <v>0</v>
      </c>
      <c r="G178" s="242">
        <f t="shared" ref="G178:G183" si="42">+F178+E178</f>
        <v>41.36</v>
      </c>
      <c r="H178" s="243">
        <v>253440</v>
      </c>
      <c r="I178" s="243">
        <f t="shared" ref="I178:I183" si="43">ROUND(+H178*G178,2)</f>
        <v>10482278.4</v>
      </c>
      <c r="J178" s="8"/>
      <c r="K178" s="8">
        <f t="shared" si="40"/>
        <v>257368</v>
      </c>
      <c r="L178" s="8">
        <f t="shared" si="30"/>
        <v>10644740.48</v>
      </c>
      <c r="M178" s="9" t="str">
        <f t="array" ref="M178">_xlfn.XLOOKUP(B178,'Neiva 2022 FASE I ACTUAL (5)'!$B$6:$B$540,'Neiva 2022 FASE I ACTUAL (5)'!$C$6:$F$540,"NO ESTA")</f>
        <v>NO ESTA</v>
      </c>
      <c r="Q178" s="124">
        <f t="shared" si="33"/>
        <v>0</v>
      </c>
      <c r="R178" s="155">
        <f t="shared" si="29"/>
        <v>41.36</v>
      </c>
      <c r="S178" s="156">
        <f t="shared" si="31"/>
        <v>257368</v>
      </c>
      <c r="T178" s="156">
        <f t="shared" si="32"/>
        <v>10644740.48</v>
      </c>
    </row>
    <row r="179" spans="1:20" s="9" customFormat="1" ht="35.1" customHeight="1" x14ac:dyDescent="0.25">
      <c r="A179" s="215"/>
      <c r="B179" s="255" t="s">
        <v>1137</v>
      </c>
      <c r="C179" s="254" t="s">
        <v>1128</v>
      </c>
      <c r="D179" s="240" t="s">
        <v>13</v>
      </c>
      <c r="E179" s="242">
        <v>124.89</v>
      </c>
      <c r="F179" s="242">
        <f t="shared" si="41"/>
        <v>0</v>
      </c>
      <c r="G179" s="242">
        <f t="shared" si="42"/>
        <v>124.89</v>
      </c>
      <c r="H179" s="243">
        <v>316721</v>
      </c>
      <c r="I179" s="243">
        <f t="shared" si="43"/>
        <v>39555285.689999998</v>
      </c>
      <c r="J179" s="8"/>
      <c r="K179" s="8">
        <f t="shared" si="40"/>
        <v>321630</v>
      </c>
      <c r="L179" s="8">
        <f t="shared" si="30"/>
        <v>40168370.700000003</v>
      </c>
      <c r="M179" s="9" t="str">
        <f t="array" ref="M179">_xlfn.XLOOKUP(B179,'Neiva 2022 FASE I ACTUAL (5)'!$B$6:$B$540,'Neiva 2022 FASE I ACTUAL (5)'!$C$6:$F$540,"NO ESTA")</f>
        <v>NO ESTA</v>
      </c>
      <c r="Q179" s="124">
        <f t="shared" si="33"/>
        <v>0</v>
      </c>
      <c r="R179" s="155">
        <f t="shared" si="29"/>
        <v>124.89</v>
      </c>
      <c r="S179" s="156">
        <f t="shared" si="31"/>
        <v>321630</v>
      </c>
      <c r="T179" s="156">
        <f t="shared" si="32"/>
        <v>40168370.700000003</v>
      </c>
    </row>
    <row r="180" spans="1:20" s="9" customFormat="1" ht="35.1" customHeight="1" x14ac:dyDescent="0.25">
      <c r="A180" s="215"/>
      <c r="B180" s="255" t="s">
        <v>1138</v>
      </c>
      <c r="C180" s="254" t="s">
        <v>202</v>
      </c>
      <c r="D180" s="240" t="s">
        <v>13</v>
      </c>
      <c r="E180" s="242">
        <v>82.95</v>
      </c>
      <c r="F180" s="242">
        <f t="shared" si="41"/>
        <v>0</v>
      </c>
      <c r="G180" s="242">
        <f t="shared" si="42"/>
        <v>82.95</v>
      </c>
      <c r="H180" s="243">
        <v>358916</v>
      </c>
      <c r="I180" s="243">
        <f t="shared" si="43"/>
        <v>29772082.199999999</v>
      </c>
      <c r="J180" s="8"/>
      <c r="K180" s="8">
        <f t="shared" si="40"/>
        <v>364479</v>
      </c>
      <c r="L180" s="8">
        <f t="shared" si="30"/>
        <v>30233533.050000001</v>
      </c>
      <c r="M180" s="9" t="str">
        <f t="array" ref="M180">_xlfn.XLOOKUP(B180,'Neiva 2022 FASE I ACTUAL (5)'!$B$6:$B$540,'Neiva 2022 FASE I ACTUAL (5)'!$C$6:$F$540,"NO ESTA")</f>
        <v>NO ESTA</v>
      </c>
      <c r="Q180" s="124">
        <f t="shared" si="33"/>
        <v>0</v>
      </c>
      <c r="R180" s="155">
        <f t="shared" si="29"/>
        <v>82.95</v>
      </c>
      <c r="S180" s="156">
        <f t="shared" si="31"/>
        <v>364479</v>
      </c>
      <c r="T180" s="156">
        <f t="shared" si="32"/>
        <v>30233533.050000001</v>
      </c>
    </row>
    <row r="181" spans="1:20" s="9" customFormat="1" ht="35.1" customHeight="1" x14ac:dyDescent="0.25">
      <c r="A181" s="215"/>
      <c r="B181" s="240" t="s">
        <v>1139</v>
      </c>
      <c r="C181" s="241" t="s">
        <v>214</v>
      </c>
      <c r="D181" s="240" t="s">
        <v>13</v>
      </c>
      <c r="E181" s="242">
        <v>157.53</v>
      </c>
      <c r="F181" s="242">
        <f t="shared" si="41"/>
        <v>0</v>
      </c>
      <c r="G181" s="242">
        <f t="shared" si="42"/>
        <v>157.53</v>
      </c>
      <c r="H181" s="243">
        <v>358916</v>
      </c>
      <c r="I181" s="243">
        <f t="shared" si="43"/>
        <v>56540037.479999997</v>
      </c>
      <c r="J181" s="8"/>
      <c r="K181" s="8">
        <f t="shared" si="40"/>
        <v>364479</v>
      </c>
      <c r="L181" s="8">
        <f t="shared" si="30"/>
        <v>57416376.869999997</v>
      </c>
      <c r="M181" s="9" t="str">
        <f t="array" ref="M181">_xlfn.XLOOKUP(B181,'Neiva 2022 FASE I ACTUAL (5)'!$B$6:$B$540,'Neiva 2022 FASE I ACTUAL (5)'!$C$6:$F$540,"NO ESTA")</f>
        <v>NO ESTA</v>
      </c>
      <c r="Q181" s="124">
        <f t="shared" si="33"/>
        <v>0</v>
      </c>
      <c r="R181" s="155">
        <f t="shared" si="29"/>
        <v>157.53</v>
      </c>
      <c r="S181" s="156">
        <f t="shared" si="31"/>
        <v>364479</v>
      </c>
      <c r="T181" s="156">
        <f t="shared" si="32"/>
        <v>57416376.869999997</v>
      </c>
    </row>
    <row r="182" spans="1:20" s="9" customFormat="1" ht="35.1" customHeight="1" x14ac:dyDescent="0.25">
      <c r="A182" s="215"/>
      <c r="B182" s="240" t="s">
        <v>1140</v>
      </c>
      <c r="C182" s="241" t="s">
        <v>216</v>
      </c>
      <c r="D182" s="240" t="s">
        <v>13</v>
      </c>
      <c r="E182" s="242">
        <v>84.61</v>
      </c>
      <c r="F182" s="242">
        <f t="shared" si="41"/>
        <v>0</v>
      </c>
      <c r="G182" s="242">
        <f t="shared" si="42"/>
        <v>84.61</v>
      </c>
      <c r="H182" s="243">
        <v>372614</v>
      </c>
      <c r="I182" s="243">
        <f t="shared" si="43"/>
        <v>31526870.539999999</v>
      </c>
      <c r="J182" s="8"/>
      <c r="K182" s="8">
        <f t="shared" si="40"/>
        <v>378390</v>
      </c>
      <c r="L182" s="8">
        <f t="shared" si="30"/>
        <v>32015577.899999999</v>
      </c>
      <c r="M182" s="9" t="str">
        <f t="array" ref="M182">_xlfn.XLOOKUP(B182,'Neiva 2022 FASE I ACTUAL (5)'!$B$6:$B$540,'Neiva 2022 FASE I ACTUAL (5)'!$C$6:$F$540,"NO ESTA")</f>
        <v>NO ESTA</v>
      </c>
      <c r="Q182" s="124">
        <f t="shared" si="33"/>
        <v>0</v>
      </c>
      <c r="R182" s="155">
        <f t="shared" si="29"/>
        <v>84.61</v>
      </c>
      <c r="S182" s="156">
        <f t="shared" si="31"/>
        <v>378390</v>
      </c>
      <c r="T182" s="156">
        <f t="shared" si="32"/>
        <v>32015577.899999999</v>
      </c>
    </row>
    <row r="183" spans="1:20" s="9" customFormat="1" ht="35.1" customHeight="1" x14ac:dyDescent="0.25">
      <c r="A183" s="215"/>
      <c r="B183" s="240" t="s">
        <v>1141</v>
      </c>
      <c r="C183" s="241" t="s">
        <v>220</v>
      </c>
      <c r="D183" s="240" t="s">
        <v>13</v>
      </c>
      <c r="E183" s="242">
        <v>31.96</v>
      </c>
      <c r="F183" s="242">
        <f t="shared" si="41"/>
        <v>0</v>
      </c>
      <c r="G183" s="242">
        <f t="shared" si="42"/>
        <v>31.96</v>
      </c>
      <c r="H183" s="243">
        <v>418367</v>
      </c>
      <c r="I183" s="243">
        <f t="shared" si="43"/>
        <v>13371009.32</v>
      </c>
      <c r="J183" s="8"/>
      <c r="K183" s="8">
        <f t="shared" si="40"/>
        <v>424852</v>
      </c>
      <c r="L183" s="8">
        <f t="shared" si="30"/>
        <v>13578269.92</v>
      </c>
      <c r="M183" s="9" t="str">
        <f t="array" ref="M183">_xlfn.XLOOKUP(B183,'Neiva 2022 FASE I ACTUAL (5)'!$B$6:$B$540,'Neiva 2022 FASE I ACTUAL (5)'!$C$6:$F$540,"NO ESTA")</f>
        <v>NO ESTA</v>
      </c>
      <c r="Q183" s="124">
        <f t="shared" si="33"/>
        <v>0</v>
      </c>
      <c r="R183" s="155">
        <f t="shared" si="29"/>
        <v>31.96</v>
      </c>
      <c r="S183" s="156">
        <f t="shared" si="31"/>
        <v>424852</v>
      </c>
      <c r="T183" s="156">
        <f t="shared" si="32"/>
        <v>13578269.92</v>
      </c>
    </row>
    <row r="184" spans="1:20" s="9" customFormat="1" ht="35.1" customHeight="1" x14ac:dyDescent="0.25">
      <c r="A184" s="215"/>
      <c r="B184" s="247">
        <v>9</v>
      </c>
      <c r="C184" s="248" t="s">
        <v>221</v>
      </c>
      <c r="D184" s="248"/>
      <c r="E184" s="249"/>
      <c r="F184" s="249"/>
      <c r="G184" s="249"/>
      <c r="H184" s="305"/>
      <c r="I184" s="249"/>
      <c r="J184" s="8"/>
      <c r="K184" s="8">
        <f t="shared" si="40"/>
        <v>0</v>
      </c>
      <c r="L184" s="8">
        <f t="shared" si="30"/>
        <v>0</v>
      </c>
      <c r="M184" s="9" t="str">
        <f t="array" ref="M184:P184">_xlfn.XLOOKUP(B184,'Neiva 2022 FASE I ACTUAL (5)'!$B$6:$B$540,'Neiva 2022 FASE I ACTUAL (5)'!$C$6:$F$540,"NO ESTA")</f>
        <v>PUERTAS</v>
      </c>
      <c r="N184" s="9">
        <v>0</v>
      </c>
      <c r="O184" s="9">
        <v>0</v>
      </c>
      <c r="P184" s="9">
        <v>0</v>
      </c>
      <c r="Q184" s="124">
        <f t="shared" si="33"/>
        <v>0</v>
      </c>
      <c r="R184" s="155">
        <f t="shared" si="29"/>
        <v>0</v>
      </c>
      <c r="S184" s="156">
        <f t="shared" si="31"/>
        <v>0</v>
      </c>
      <c r="T184" s="156">
        <f t="shared" si="32"/>
        <v>0</v>
      </c>
    </row>
    <row r="185" spans="1:20" s="9" customFormat="1" ht="35.1" customHeight="1" x14ac:dyDescent="0.25">
      <c r="A185" s="215"/>
      <c r="B185" s="244" t="s">
        <v>222</v>
      </c>
      <c r="C185" s="245" t="s">
        <v>223</v>
      </c>
      <c r="D185" s="244"/>
      <c r="E185" s="246"/>
      <c r="F185" s="246"/>
      <c r="G185" s="246"/>
      <c r="H185" s="303"/>
      <c r="I185" s="246"/>
      <c r="J185" s="8"/>
      <c r="K185" s="8">
        <f t="shared" si="40"/>
        <v>0</v>
      </c>
      <c r="L185" s="8">
        <f t="shared" si="30"/>
        <v>0</v>
      </c>
      <c r="M185" s="9" t="str">
        <f t="array" ref="M185:P185">_xlfn.XLOOKUP(B185,'Neiva 2022 FASE I ACTUAL (5)'!$B$6:$B$540,'Neiva 2022 FASE I ACTUAL (5)'!$C$6:$F$540,"NO ESTA")</f>
        <v>SUMINISTRO E INSTALACIÓN PUERTAS SEMISOTANO</v>
      </c>
      <c r="N185" s="9">
        <v>0</v>
      </c>
      <c r="O185" s="9">
        <v>0</v>
      </c>
      <c r="P185" s="9">
        <v>0</v>
      </c>
      <c r="Q185" s="124">
        <f t="shared" si="33"/>
        <v>0</v>
      </c>
      <c r="R185" s="155">
        <f t="shared" si="29"/>
        <v>0</v>
      </c>
      <c r="S185" s="156">
        <f t="shared" si="31"/>
        <v>0</v>
      </c>
      <c r="T185" s="156">
        <f t="shared" si="32"/>
        <v>0</v>
      </c>
    </row>
    <row r="186" spans="1:20" s="9" customFormat="1" ht="35.1" customHeight="1" x14ac:dyDescent="0.25">
      <c r="A186" s="215"/>
      <c r="B186" s="255" t="s">
        <v>224</v>
      </c>
      <c r="C186" s="254" t="s">
        <v>225</v>
      </c>
      <c r="D186" s="240" t="s">
        <v>13</v>
      </c>
      <c r="E186" s="242">
        <v>0</v>
      </c>
      <c r="F186" s="242">
        <f>+O186</f>
        <v>4.4000000000000004</v>
      </c>
      <c r="G186" s="242">
        <f>+F186+E186</f>
        <v>4.4000000000000004</v>
      </c>
      <c r="H186" s="243">
        <v>1403411</v>
      </c>
      <c r="I186" s="243">
        <f>ROUND(+H186*G186,2)</f>
        <v>6175008.4000000004</v>
      </c>
      <c r="J186" s="8"/>
      <c r="K186" s="8">
        <f t="shared" si="40"/>
        <v>1425164</v>
      </c>
      <c r="L186" s="8">
        <f t="shared" si="30"/>
        <v>0</v>
      </c>
      <c r="M186" s="9" t="str">
        <f t="array" ref="M186:P186">_xlfn.XLOOKUP(B186,'Neiva 2022 FASE I ACTUAL (5)'!$B$6:$B$540,'Neiva 2022 FASE I ACTUAL (5)'!$C$6:$F$540,"NO ESTA")</f>
        <v>SUMINISTRO E INSTALACION PUERTA DE EVACUACIÓN TIPO P-1 Ver NOTAS GENERALES DE PLANCHA</v>
      </c>
      <c r="N186" s="9" t="str">
        <v>M2</v>
      </c>
      <c r="O186" s="9">
        <v>4.4000000000000004</v>
      </c>
      <c r="P186" s="9">
        <v>1346813</v>
      </c>
      <c r="Q186" s="124" t="str">
        <f t="shared" si="33"/>
        <v>FASE II</v>
      </c>
      <c r="R186" s="155">
        <f t="shared" si="29"/>
        <v>4.4000000000000004</v>
      </c>
      <c r="S186" s="156">
        <f t="shared" si="31"/>
        <v>1425164</v>
      </c>
      <c r="T186" s="156">
        <f t="shared" si="32"/>
        <v>6270721.5999999996</v>
      </c>
    </row>
    <row r="187" spans="1:20" s="9" customFormat="1" ht="35.1" customHeight="1" x14ac:dyDescent="0.25">
      <c r="A187" s="215"/>
      <c r="B187" s="255" t="s">
        <v>226</v>
      </c>
      <c r="C187" s="254" t="s">
        <v>227</v>
      </c>
      <c r="D187" s="240" t="s">
        <v>13</v>
      </c>
      <c r="E187" s="242">
        <v>0</v>
      </c>
      <c r="F187" s="242">
        <f>+O187</f>
        <v>15.12</v>
      </c>
      <c r="G187" s="242">
        <f>+F187+E187</f>
        <v>15.12</v>
      </c>
      <c r="H187" s="243">
        <v>133587</v>
      </c>
      <c r="I187" s="243">
        <f>ROUND(+H187*G187,2)</f>
        <v>2019835.44</v>
      </c>
      <c r="J187" s="8"/>
      <c r="K187" s="8">
        <f t="shared" si="40"/>
        <v>135658</v>
      </c>
      <c r="L187" s="8">
        <f t="shared" si="30"/>
        <v>0</v>
      </c>
      <c r="M187" s="9" t="str">
        <f t="array" ref="M187:P187">_xlfn.XLOOKUP(B187,'Neiva 2022 FASE I ACTUAL (5)'!$B$6:$B$540,'Neiva 2022 FASE I ACTUAL (5)'!$C$6:$F$540,"NO ESTA")</f>
        <v>SUMINISTRO E INSTALACION PUERTA METALICA DEPOSITOS TIPO P-2 Ver NOTAS GENERALES DE PLANCHA</v>
      </c>
      <c r="N187" s="9" t="str">
        <v>M2</v>
      </c>
      <c r="O187" s="9">
        <v>15.12</v>
      </c>
      <c r="P187" s="9">
        <v>128200</v>
      </c>
      <c r="Q187" s="124" t="str">
        <f t="shared" si="33"/>
        <v>FASE II</v>
      </c>
      <c r="R187" s="155">
        <f t="shared" si="29"/>
        <v>15.12</v>
      </c>
      <c r="S187" s="156">
        <f t="shared" si="31"/>
        <v>135658</v>
      </c>
      <c r="T187" s="156">
        <f t="shared" si="32"/>
        <v>2051148.96</v>
      </c>
    </row>
    <row r="188" spans="1:20" s="9" customFormat="1" ht="35.1" customHeight="1" x14ac:dyDescent="0.25">
      <c r="A188" s="215"/>
      <c r="B188" s="255" t="s">
        <v>228</v>
      </c>
      <c r="C188" s="254" t="s">
        <v>229</v>
      </c>
      <c r="D188" s="240" t="s">
        <v>13</v>
      </c>
      <c r="E188" s="242">
        <v>0</v>
      </c>
      <c r="F188" s="242">
        <f>+O188</f>
        <v>33.6</v>
      </c>
      <c r="G188" s="242">
        <f>+F188+E188</f>
        <v>33.6</v>
      </c>
      <c r="H188" s="243">
        <v>157095</v>
      </c>
      <c r="I188" s="243">
        <f>ROUND(+H188*G188,2)</f>
        <v>5278392</v>
      </c>
      <c r="J188" s="8"/>
      <c r="K188" s="8">
        <f t="shared" si="40"/>
        <v>159530</v>
      </c>
      <c r="L188" s="8">
        <f t="shared" si="30"/>
        <v>0</v>
      </c>
      <c r="M188" s="9" t="str">
        <f t="array" ref="M188:P188">_xlfn.XLOOKUP(B188,'Neiva 2022 FASE I ACTUAL (5)'!$B$6:$B$540,'Neiva 2022 FASE I ACTUAL (5)'!$C$6:$F$540,"NO ESTA")</f>
        <v>SUMINISTRO E INSTALACION PUERTA METALICA DOBLE HOJA TIPO P-7 Ver NOTAS GENERALES DE PLANCHA</v>
      </c>
      <c r="N188" s="9" t="str">
        <v>M2</v>
      </c>
      <c r="O188" s="9">
        <v>33.6</v>
      </c>
      <c r="P188" s="9">
        <v>150759</v>
      </c>
      <c r="Q188" s="124" t="str">
        <f t="shared" si="33"/>
        <v>FASE II</v>
      </c>
      <c r="R188" s="155">
        <f t="shared" si="29"/>
        <v>33.6</v>
      </c>
      <c r="S188" s="156">
        <f t="shared" si="31"/>
        <v>159530</v>
      </c>
      <c r="T188" s="156">
        <f t="shared" si="32"/>
        <v>5360208</v>
      </c>
    </row>
    <row r="189" spans="1:20" s="9" customFormat="1" ht="35.1" customHeight="1" x14ac:dyDescent="0.25">
      <c r="A189" s="215"/>
      <c r="B189" s="255" t="s">
        <v>230</v>
      </c>
      <c r="C189" s="254" t="s">
        <v>1142</v>
      </c>
      <c r="D189" s="240" t="s">
        <v>13</v>
      </c>
      <c r="E189" s="242">
        <v>0</v>
      </c>
      <c r="F189" s="242">
        <f>+O189</f>
        <v>15.84</v>
      </c>
      <c r="G189" s="242">
        <f>+F189+E189</f>
        <v>15.84</v>
      </c>
      <c r="H189" s="243">
        <v>256121</v>
      </c>
      <c r="I189" s="243">
        <f>ROUND(+H189*G189,2)</f>
        <v>4056956.64</v>
      </c>
      <c r="J189" s="8"/>
      <c r="K189" s="8">
        <f t="shared" si="40"/>
        <v>260091</v>
      </c>
      <c r="L189" s="8">
        <f t="shared" si="30"/>
        <v>0</v>
      </c>
      <c r="M189" s="9" t="str">
        <f t="array" ref="M189:P189">_xlfn.XLOOKUP(B189,'Neiva 2022 FASE I ACTUAL (5)'!$B$6:$B$540,'Neiva 2022 FASE I ACTUAL (5)'!$C$6:$F$540,"NO ESTA")</f>
        <v>SUMINISTRO E INSTALACION PUERTA GARAJE TIPO P-9 Ver NOTAS GENERALES DE PLANCHA</v>
      </c>
      <c r="N189" s="9" t="str">
        <v>M2</v>
      </c>
      <c r="O189" s="9">
        <v>15.84</v>
      </c>
      <c r="P189" s="9">
        <v>245793</v>
      </c>
      <c r="Q189" s="124" t="str">
        <f t="shared" si="33"/>
        <v>FASE II</v>
      </c>
      <c r="R189" s="155">
        <f t="shared" si="29"/>
        <v>15.84</v>
      </c>
      <c r="S189" s="156">
        <f t="shared" si="31"/>
        <v>260091</v>
      </c>
      <c r="T189" s="156">
        <f t="shared" si="32"/>
        <v>4119841.44</v>
      </c>
    </row>
    <row r="190" spans="1:20" s="9" customFormat="1" ht="35.1" customHeight="1" x14ac:dyDescent="0.25">
      <c r="A190" s="215"/>
      <c r="B190" s="244" t="s">
        <v>232</v>
      </c>
      <c r="C190" s="245" t="s">
        <v>233</v>
      </c>
      <c r="D190" s="260"/>
      <c r="E190" s="246"/>
      <c r="F190" s="246"/>
      <c r="G190" s="246"/>
      <c r="H190" s="303"/>
      <c r="I190" s="246"/>
      <c r="J190" s="8"/>
      <c r="K190" s="8">
        <f t="shared" si="40"/>
        <v>0</v>
      </c>
      <c r="L190" s="8">
        <f t="shared" si="30"/>
        <v>0</v>
      </c>
      <c r="M190" s="9" t="str">
        <f t="array" ref="M190:P190">_xlfn.XLOOKUP(B190,'Neiva 2022 FASE I ACTUAL (5)'!$B$6:$B$540,'Neiva 2022 FASE I ACTUAL (5)'!$C$6:$F$540,"NO ESTA")</f>
        <v>SUMINISTRO E INSTALACIÓN PUERTAS PISO 1</v>
      </c>
      <c r="N190" s="9">
        <v>0</v>
      </c>
      <c r="O190" s="9">
        <v>0</v>
      </c>
      <c r="P190" s="9">
        <v>0</v>
      </c>
      <c r="Q190" s="124">
        <f t="shared" si="33"/>
        <v>0</v>
      </c>
      <c r="R190" s="155">
        <f t="shared" si="29"/>
        <v>0</v>
      </c>
      <c r="S190" s="156">
        <f t="shared" si="31"/>
        <v>0</v>
      </c>
      <c r="T190" s="156">
        <f t="shared" si="32"/>
        <v>0</v>
      </c>
    </row>
    <row r="191" spans="1:20" s="9" customFormat="1" ht="35.1" customHeight="1" x14ac:dyDescent="0.25">
      <c r="A191" s="215"/>
      <c r="B191" s="255" t="s">
        <v>234</v>
      </c>
      <c r="C191" s="254" t="s">
        <v>225</v>
      </c>
      <c r="D191" s="240" t="s">
        <v>13</v>
      </c>
      <c r="E191" s="242">
        <v>0</v>
      </c>
      <c r="F191" s="242">
        <f t="shared" ref="F191:F197" si="44">+O191</f>
        <v>4.4000000000000004</v>
      </c>
      <c r="G191" s="242">
        <f t="shared" ref="G191:G197" si="45">+F191+E191</f>
        <v>4.4000000000000004</v>
      </c>
      <c r="H191" s="243">
        <v>1403411</v>
      </c>
      <c r="I191" s="243">
        <f t="shared" ref="I191:I197" si="46">ROUND(+H191*G191,2)</f>
        <v>6175008.4000000004</v>
      </c>
      <c r="J191" s="8"/>
      <c r="K191" s="8">
        <f t="shared" si="40"/>
        <v>1425164</v>
      </c>
      <c r="L191" s="8">
        <f t="shared" si="30"/>
        <v>0</v>
      </c>
      <c r="M191" s="9" t="str">
        <f t="array" ref="M191:P191">_xlfn.XLOOKUP(B191,'Neiva 2022 FASE I ACTUAL (5)'!$B$6:$B$540,'Neiva 2022 FASE I ACTUAL (5)'!$C$6:$F$540,"NO ESTA")</f>
        <v>SUMINISTRO E INSTALACION PUERTA DE EVACUACIÓN TIPO P-1 Ver NOTAS GENERALES DE PLANCHA</v>
      </c>
      <c r="N191" s="9" t="str">
        <v>M2</v>
      </c>
      <c r="O191" s="9">
        <v>4.4000000000000004</v>
      </c>
      <c r="P191" s="9">
        <v>1346813</v>
      </c>
      <c r="Q191" s="124" t="str">
        <f t="shared" si="33"/>
        <v>FASE II</v>
      </c>
      <c r="R191" s="155">
        <f t="shared" si="29"/>
        <v>4.4000000000000004</v>
      </c>
      <c r="S191" s="156">
        <f t="shared" si="31"/>
        <v>1425164</v>
      </c>
      <c r="T191" s="156">
        <f t="shared" si="32"/>
        <v>6270721.5999999996</v>
      </c>
    </row>
    <row r="192" spans="1:20" s="9" customFormat="1" ht="35.1" customHeight="1" x14ac:dyDescent="0.25">
      <c r="A192" s="215"/>
      <c r="B192" s="255" t="s">
        <v>235</v>
      </c>
      <c r="C192" s="254" t="s">
        <v>227</v>
      </c>
      <c r="D192" s="240" t="s">
        <v>13</v>
      </c>
      <c r="E192" s="242">
        <v>0</v>
      </c>
      <c r="F192" s="242">
        <f t="shared" si="44"/>
        <v>12.96</v>
      </c>
      <c r="G192" s="242">
        <f t="shared" si="45"/>
        <v>12.96</v>
      </c>
      <c r="H192" s="243">
        <v>133587</v>
      </c>
      <c r="I192" s="243">
        <f t="shared" si="46"/>
        <v>1731287.52</v>
      </c>
      <c r="J192" s="8"/>
      <c r="K192" s="8">
        <f t="shared" si="40"/>
        <v>135658</v>
      </c>
      <c r="L192" s="8">
        <f t="shared" si="30"/>
        <v>0</v>
      </c>
      <c r="M192" s="9" t="str">
        <f t="array" ref="M192:P192">_xlfn.XLOOKUP(B192,'Neiva 2022 FASE I ACTUAL (5)'!$B$6:$B$540,'Neiva 2022 FASE I ACTUAL (5)'!$C$6:$F$540,"NO ESTA")</f>
        <v>SUMINISTRO E INSTALACION PUERTA METALICA DEPOSITOS TIPO P-2 Ver NOTAS GENERALES DE PLANCHA</v>
      </c>
      <c r="N192" s="9" t="str">
        <v>M2</v>
      </c>
      <c r="O192" s="9">
        <v>12.96</v>
      </c>
      <c r="P192" s="9">
        <v>128200</v>
      </c>
      <c r="Q192" s="124" t="str">
        <f t="shared" si="33"/>
        <v>FASE II</v>
      </c>
      <c r="R192" s="155">
        <f t="shared" si="29"/>
        <v>12.96</v>
      </c>
      <c r="S192" s="156">
        <f t="shared" si="31"/>
        <v>135658</v>
      </c>
      <c r="T192" s="156">
        <f t="shared" si="32"/>
        <v>1758127.68</v>
      </c>
    </row>
    <row r="193" spans="1:20" s="9" customFormat="1" ht="35.1" customHeight="1" x14ac:dyDescent="0.25">
      <c r="A193" s="215"/>
      <c r="B193" s="255" t="s">
        <v>236</v>
      </c>
      <c r="C193" s="254" t="s">
        <v>237</v>
      </c>
      <c r="D193" s="240" t="s">
        <v>13</v>
      </c>
      <c r="E193" s="242">
        <v>0</v>
      </c>
      <c r="F193" s="242">
        <f t="shared" si="44"/>
        <v>2.4</v>
      </c>
      <c r="G193" s="242">
        <f t="shared" si="45"/>
        <v>2.4</v>
      </c>
      <c r="H193" s="243">
        <v>742892</v>
      </c>
      <c r="I193" s="243">
        <f t="shared" si="46"/>
        <v>1782940.8</v>
      </c>
      <c r="J193" s="8"/>
      <c r="K193" s="8">
        <f t="shared" si="40"/>
        <v>754407</v>
      </c>
      <c r="L193" s="8">
        <f t="shared" si="30"/>
        <v>0</v>
      </c>
      <c r="M193" s="9" t="str">
        <f t="array" ref="M193:P193">_xlfn.XLOOKUP(B193,'Neiva 2022 FASE I ACTUAL (5)'!$B$6:$B$540,'Neiva 2022 FASE I ACTUAL (5)'!$C$6:$F$540,"NO ESTA")</f>
        <v>SUMINISTRO E INSTALACION PUERTA DIVISORIA DE MADERA TIPO P-3 Ver NOTAS GENERALES DE PLANCHA</v>
      </c>
      <c r="N193" s="9" t="str">
        <v>M2</v>
      </c>
      <c r="O193" s="9">
        <v>2.4</v>
      </c>
      <c r="P193" s="9">
        <v>712932</v>
      </c>
      <c r="Q193" s="124" t="str">
        <f t="shared" si="33"/>
        <v>FASE II</v>
      </c>
      <c r="R193" s="155">
        <f t="shared" si="29"/>
        <v>2.4</v>
      </c>
      <c r="S193" s="156">
        <f t="shared" si="31"/>
        <v>754407</v>
      </c>
      <c r="T193" s="156">
        <f t="shared" si="32"/>
        <v>1810576.8</v>
      </c>
    </row>
    <row r="194" spans="1:20" s="9" customFormat="1" ht="35.1" customHeight="1" x14ac:dyDescent="0.25">
      <c r="A194" s="215"/>
      <c r="B194" s="255" t="s">
        <v>238</v>
      </c>
      <c r="C194" s="254" t="s">
        <v>239</v>
      </c>
      <c r="D194" s="240" t="s">
        <v>13</v>
      </c>
      <c r="E194" s="242">
        <v>0</v>
      </c>
      <c r="F194" s="242">
        <f t="shared" si="44"/>
        <v>12.96</v>
      </c>
      <c r="G194" s="242">
        <f t="shared" si="45"/>
        <v>12.96</v>
      </c>
      <c r="H194" s="243">
        <v>742892</v>
      </c>
      <c r="I194" s="243">
        <f t="shared" si="46"/>
        <v>9627880.3200000003</v>
      </c>
      <c r="J194" s="8"/>
      <c r="K194" s="8">
        <f t="shared" si="40"/>
        <v>754407</v>
      </c>
      <c r="L194" s="8">
        <f t="shared" si="30"/>
        <v>0</v>
      </c>
      <c r="M194" s="9" t="str">
        <f t="array" ref="M194:P194">_xlfn.XLOOKUP(B194,'Neiva 2022 FASE I ACTUAL (5)'!$B$6:$B$540,'Neiva 2022 FASE I ACTUAL (5)'!$C$6:$F$540,"NO ESTA")</f>
        <v>SUMINISTRO E INSTALACION PUERTA DIVISORIA DE MADERA TIPO P-4 Ver NOTAS GENERALES DE PLANCHA</v>
      </c>
      <c r="N194" s="9" t="str">
        <v>M2</v>
      </c>
      <c r="O194" s="9">
        <v>12.96</v>
      </c>
      <c r="P194" s="9">
        <v>712932</v>
      </c>
      <c r="Q194" s="124" t="str">
        <f t="shared" si="33"/>
        <v>FASE II</v>
      </c>
      <c r="R194" s="155">
        <f t="shared" si="29"/>
        <v>12.96</v>
      </c>
      <c r="S194" s="156">
        <f t="shared" si="31"/>
        <v>754407</v>
      </c>
      <c r="T194" s="156">
        <f t="shared" si="32"/>
        <v>9777114.7200000007</v>
      </c>
    </row>
    <row r="195" spans="1:20" s="9" customFormat="1" ht="35.1" customHeight="1" x14ac:dyDescent="0.25">
      <c r="A195" s="215"/>
      <c r="B195" s="255" t="s">
        <v>240</v>
      </c>
      <c r="C195" s="254" t="s">
        <v>241</v>
      </c>
      <c r="D195" s="240" t="s">
        <v>13</v>
      </c>
      <c r="E195" s="242">
        <v>0</v>
      </c>
      <c r="F195" s="242">
        <f t="shared" si="44"/>
        <v>5.76</v>
      </c>
      <c r="G195" s="242">
        <f t="shared" si="45"/>
        <v>5.76</v>
      </c>
      <c r="H195" s="243">
        <v>742892</v>
      </c>
      <c r="I195" s="243">
        <f t="shared" si="46"/>
        <v>4279057.92</v>
      </c>
      <c r="J195" s="8"/>
      <c r="K195" s="8">
        <f t="shared" si="40"/>
        <v>754407</v>
      </c>
      <c r="L195" s="8">
        <f t="shared" si="30"/>
        <v>0</v>
      </c>
      <c r="M195" s="9" t="str">
        <f t="array" ref="M195:P195">_xlfn.XLOOKUP(B195,'Neiva 2022 FASE I ACTUAL (5)'!$B$6:$B$540,'Neiva 2022 FASE I ACTUAL (5)'!$C$6:$F$540,"NO ESTA")</f>
        <v>SUMINISTRO E INSTALACION PUERTA DIVISORIA DE MADERA TIPO P-5 Ver NOTAS GENERALES DE PLANCHA</v>
      </c>
      <c r="N195" s="9" t="str">
        <v>M2</v>
      </c>
      <c r="O195" s="9">
        <v>5.76</v>
      </c>
      <c r="P195" s="9">
        <v>712932</v>
      </c>
      <c r="Q195" s="124" t="str">
        <f t="shared" si="33"/>
        <v>FASE II</v>
      </c>
      <c r="R195" s="155">
        <f t="shared" si="29"/>
        <v>5.76</v>
      </c>
      <c r="S195" s="156">
        <f t="shared" si="31"/>
        <v>754407</v>
      </c>
      <c r="T195" s="156">
        <f t="shared" si="32"/>
        <v>4345384.32</v>
      </c>
    </row>
    <row r="196" spans="1:20" s="9" customFormat="1" ht="35.1" customHeight="1" x14ac:dyDescent="0.25">
      <c r="A196" s="215"/>
      <c r="B196" s="255" t="s">
        <v>242</v>
      </c>
      <c r="C196" s="254" t="s">
        <v>229</v>
      </c>
      <c r="D196" s="240" t="s">
        <v>13</v>
      </c>
      <c r="E196" s="242">
        <v>0</v>
      </c>
      <c r="F196" s="242">
        <f t="shared" si="44"/>
        <v>4.8</v>
      </c>
      <c r="G196" s="242">
        <f t="shared" si="45"/>
        <v>4.8</v>
      </c>
      <c r="H196" s="243">
        <v>157095</v>
      </c>
      <c r="I196" s="243">
        <f t="shared" si="46"/>
        <v>754056</v>
      </c>
      <c r="J196" s="8"/>
      <c r="K196" s="8">
        <f t="shared" si="40"/>
        <v>159530</v>
      </c>
      <c r="L196" s="8">
        <f t="shared" si="30"/>
        <v>0</v>
      </c>
      <c r="M196" s="9" t="str">
        <f t="array" ref="M196:P196">_xlfn.XLOOKUP(B196,'Neiva 2022 FASE I ACTUAL (5)'!$B$6:$B$540,'Neiva 2022 FASE I ACTUAL (5)'!$C$6:$F$540,"NO ESTA")</f>
        <v>SUMINISTRO E INSTALACION PUERTA METALICA DOBLE HOJA TIPO P-7 Ver NOTAS GENERALES DE PLANCHA</v>
      </c>
      <c r="N196" s="9" t="str">
        <v>M2</v>
      </c>
      <c r="O196" s="9">
        <v>4.8</v>
      </c>
      <c r="P196" s="9">
        <v>150759</v>
      </c>
      <c r="Q196" s="124" t="str">
        <f t="shared" si="33"/>
        <v>FASE II</v>
      </c>
      <c r="R196" s="155">
        <f t="shared" si="29"/>
        <v>4.8</v>
      </c>
      <c r="S196" s="156">
        <f t="shared" si="31"/>
        <v>159530</v>
      </c>
      <c r="T196" s="156">
        <f t="shared" si="32"/>
        <v>765744</v>
      </c>
    </row>
    <row r="197" spans="1:20" s="9" customFormat="1" ht="35.1" customHeight="1" x14ac:dyDescent="0.25">
      <c r="A197" s="215"/>
      <c r="B197" s="255" t="s">
        <v>243</v>
      </c>
      <c r="C197" s="254" t="s">
        <v>244</v>
      </c>
      <c r="D197" s="240" t="s">
        <v>13</v>
      </c>
      <c r="E197" s="242">
        <v>0</v>
      </c>
      <c r="F197" s="242">
        <f t="shared" si="44"/>
        <v>24.8</v>
      </c>
      <c r="G197" s="242">
        <f t="shared" si="45"/>
        <v>24.8</v>
      </c>
      <c r="H197" s="243">
        <v>588809</v>
      </c>
      <c r="I197" s="243">
        <f t="shared" si="46"/>
        <v>14602463.199999999</v>
      </c>
      <c r="J197" s="8"/>
      <c r="K197" s="8">
        <f t="shared" si="40"/>
        <v>597936</v>
      </c>
      <c r="L197" s="8">
        <f t="shared" si="30"/>
        <v>0</v>
      </c>
      <c r="M197" s="9" t="str">
        <f t="array" ref="M197:P197">_xlfn.XLOOKUP(B197,'Neiva 2022 FASE I ACTUAL (5)'!$B$6:$B$540,'Neiva 2022 FASE I ACTUAL (5)'!$C$6:$F$540,"NO ESTA")</f>
        <v>SUMINISTRO E INSTALACION PUERTA DIVISORIA EN VIDRIO TIPO PV1 Ver NOTAS GENERALES DE PLANCHA</v>
      </c>
      <c r="N197" s="9" t="str">
        <v>M2</v>
      </c>
      <c r="O197" s="9">
        <v>24.8</v>
      </c>
      <c r="P197" s="9">
        <v>565064</v>
      </c>
      <c r="Q197" s="124" t="str">
        <f t="shared" si="33"/>
        <v>FASE II</v>
      </c>
      <c r="R197" s="155">
        <f t="shared" si="29"/>
        <v>24.8</v>
      </c>
      <c r="S197" s="156">
        <f t="shared" si="31"/>
        <v>597936</v>
      </c>
      <c r="T197" s="156">
        <f t="shared" si="32"/>
        <v>14828812.800000001</v>
      </c>
    </row>
    <row r="198" spans="1:20" s="9" customFormat="1" ht="35.1" customHeight="1" x14ac:dyDescent="0.25">
      <c r="A198" s="215"/>
      <c r="B198" s="244" t="s">
        <v>245</v>
      </c>
      <c r="C198" s="245" t="s">
        <v>246</v>
      </c>
      <c r="D198" s="244"/>
      <c r="E198" s="246"/>
      <c r="F198" s="246"/>
      <c r="G198" s="246"/>
      <c r="H198" s="303"/>
      <c r="I198" s="246"/>
      <c r="J198" s="8"/>
      <c r="K198" s="8">
        <f t="shared" si="40"/>
        <v>0</v>
      </c>
      <c r="L198" s="8">
        <f t="shared" si="30"/>
        <v>0</v>
      </c>
      <c r="M198" s="9" t="str">
        <f t="array" ref="M198:P198">_xlfn.XLOOKUP(B198,'Neiva 2022 FASE I ACTUAL (5)'!$B$6:$B$540,'Neiva 2022 FASE I ACTUAL (5)'!$C$6:$F$540,"NO ESTA")</f>
        <v>SUMINISTRO E INSTALACIÓN PUERTAS PISO 2</v>
      </c>
      <c r="N198" s="9">
        <v>0</v>
      </c>
      <c r="O198" s="9">
        <v>0</v>
      </c>
      <c r="P198" s="9">
        <v>0</v>
      </c>
      <c r="Q198" s="124">
        <f t="shared" si="33"/>
        <v>0</v>
      </c>
      <c r="R198" s="155">
        <f t="shared" ref="R198:R261" si="47">E198+O198</f>
        <v>0</v>
      </c>
      <c r="S198" s="156">
        <f t="shared" si="31"/>
        <v>0</v>
      </c>
      <c r="T198" s="156">
        <f t="shared" si="32"/>
        <v>0</v>
      </c>
    </row>
    <row r="199" spans="1:20" s="9" customFormat="1" ht="35.1" customHeight="1" x14ac:dyDescent="0.25">
      <c r="A199" s="215"/>
      <c r="B199" s="255" t="s">
        <v>247</v>
      </c>
      <c r="C199" s="254" t="s">
        <v>225</v>
      </c>
      <c r="D199" s="240" t="s">
        <v>13</v>
      </c>
      <c r="E199" s="242">
        <v>2.2000000000000002</v>
      </c>
      <c r="F199" s="242">
        <f t="shared" ref="F199:F204" si="48">+O199</f>
        <v>2.2000000000000002</v>
      </c>
      <c r="G199" s="242">
        <f t="shared" ref="G199:G204" si="49">+F199+E199</f>
        <v>4.4000000000000004</v>
      </c>
      <c r="H199" s="243">
        <v>1403411</v>
      </c>
      <c r="I199" s="243">
        <f t="shared" ref="I199:I204" si="50">ROUND(+H199*G199,2)</f>
        <v>6175008.4000000004</v>
      </c>
      <c r="J199" s="8"/>
      <c r="K199" s="8">
        <f t="shared" si="40"/>
        <v>1425164</v>
      </c>
      <c r="L199" s="8">
        <f t="shared" ref="L199:L262" si="51">+K199*E199</f>
        <v>3135360.8000000003</v>
      </c>
      <c r="M199" s="9" t="str">
        <f t="array" ref="M199:P199">_xlfn.XLOOKUP(B199,'Neiva 2022 FASE I ACTUAL (5)'!$B$6:$B$540,'Neiva 2022 FASE I ACTUAL (5)'!$C$6:$F$540,"NO ESTA")</f>
        <v>SUMINISTRO E INSTALACION PUERTA DE EVACUACIÓN TIPO P-1 Ver NOTAS GENERALES DE PLANCHA</v>
      </c>
      <c r="N199" s="9" t="str">
        <v>M2</v>
      </c>
      <c r="O199" s="9">
        <v>2.2000000000000002</v>
      </c>
      <c r="P199" s="9">
        <v>1346813</v>
      </c>
      <c r="Q199" s="124" t="str">
        <f t="shared" si="33"/>
        <v>FASE II</v>
      </c>
      <c r="R199" s="155">
        <f t="shared" si="47"/>
        <v>4.4000000000000004</v>
      </c>
      <c r="S199" s="156">
        <f t="shared" ref="S199:S262" si="52">MAX(P199,H199,K199)</f>
        <v>1425164</v>
      </c>
      <c r="T199" s="156">
        <f t="shared" ref="T199:T262" si="53">ROUND(R199*S199,2)</f>
        <v>6270721.5999999996</v>
      </c>
    </row>
    <row r="200" spans="1:20" s="9" customFormat="1" ht="35.1" customHeight="1" x14ac:dyDescent="0.25">
      <c r="A200" s="215"/>
      <c r="B200" s="255" t="s">
        <v>248</v>
      </c>
      <c r="C200" s="254" t="s">
        <v>227</v>
      </c>
      <c r="D200" s="240" t="s">
        <v>13</v>
      </c>
      <c r="E200" s="242">
        <v>2.16</v>
      </c>
      <c r="F200" s="242">
        <f t="shared" si="48"/>
        <v>2.16</v>
      </c>
      <c r="G200" s="242">
        <f t="shared" si="49"/>
        <v>4.32</v>
      </c>
      <c r="H200" s="243">
        <v>133587</v>
      </c>
      <c r="I200" s="243">
        <f t="shared" si="50"/>
        <v>577095.84</v>
      </c>
      <c r="J200" s="8">
        <f>ROUND(H200*(1+$J$3),0)</f>
        <v>260869</v>
      </c>
      <c r="K200" s="8">
        <f t="shared" si="40"/>
        <v>135658</v>
      </c>
      <c r="L200" s="8">
        <f t="shared" si="51"/>
        <v>293021.28000000003</v>
      </c>
      <c r="M200" s="9" t="str">
        <f t="array" ref="M200:P200">_xlfn.XLOOKUP(B200,'Neiva 2022 FASE I ACTUAL (5)'!$B$6:$B$540,'Neiva 2022 FASE I ACTUAL (5)'!$C$6:$F$540,"NO ESTA")</f>
        <v>SUMINISTRO E INSTALACION PUERTA METALICA DEPOSITOS TIPO P-2 Ver NOTAS GENERALES DE PLANCHA</v>
      </c>
      <c r="N200" s="9" t="str">
        <v>M2</v>
      </c>
      <c r="O200" s="9">
        <v>2.16</v>
      </c>
      <c r="P200" s="9">
        <v>128200</v>
      </c>
      <c r="Q200" s="124" t="str">
        <f t="shared" ref="Q200:Q263" si="54">IF(P200=0,0,(IF(H200&lt;P200, "FASE I","FASE II")))</f>
        <v>FASE II</v>
      </c>
      <c r="R200" s="155">
        <f t="shared" si="47"/>
        <v>4.32</v>
      </c>
      <c r="S200" s="156">
        <f t="shared" si="52"/>
        <v>135658</v>
      </c>
      <c r="T200" s="156">
        <f t="shared" si="53"/>
        <v>586042.56000000006</v>
      </c>
    </row>
    <row r="201" spans="1:20" s="9" customFormat="1" ht="35.1" customHeight="1" x14ac:dyDescent="0.25">
      <c r="A201" s="215"/>
      <c r="B201" s="255" t="s">
        <v>249</v>
      </c>
      <c r="C201" s="254" t="s">
        <v>237</v>
      </c>
      <c r="D201" s="240" t="s">
        <v>13</v>
      </c>
      <c r="E201" s="242">
        <v>4.8</v>
      </c>
      <c r="F201" s="242">
        <f t="shared" si="48"/>
        <v>4.8</v>
      </c>
      <c r="G201" s="242">
        <f t="shared" si="49"/>
        <v>9.6</v>
      </c>
      <c r="H201" s="243">
        <v>742892</v>
      </c>
      <c r="I201" s="243">
        <f t="shared" si="50"/>
        <v>7131763.2000000002</v>
      </c>
      <c r="J201" s="8"/>
      <c r="K201" s="8">
        <f t="shared" si="40"/>
        <v>754407</v>
      </c>
      <c r="L201" s="8">
        <f t="shared" si="51"/>
        <v>3621153.6</v>
      </c>
      <c r="M201" s="9" t="str">
        <f t="array" ref="M201:P201">_xlfn.XLOOKUP(B201,'Neiva 2022 FASE I ACTUAL (5)'!$B$6:$B$540,'Neiva 2022 FASE I ACTUAL (5)'!$C$6:$F$540,"NO ESTA")</f>
        <v>SUMINISTRO E INSTALACION PUERTA DIVISORIA DE MADERA TIPO P-3 Ver NOTAS GENERALES DE PLANCHA</v>
      </c>
      <c r="N201" s="9" t="str">
        <v>M2</v>
      </c>
      <c r="O201" s="9">
        <v>4.8</v>
      </c>
      <c r="P201" s="9">
        <v>712932</v>
      </c>
      <c r="Q201" s="124" t="str">
        <f t="shared" si="54"/>
        <v>FASE II</v>
      </c>
      <c r="R201" s="155">
        <f t="shared" si="47"/>
        <v>9.6</v>
      </c>
      <c r="S201" s="156">
        <f t="shared" si="52"/>
        <v>754407</v>
      </c>
      <c r="T201" s="156">
        <f t="shared" si="53"/>
        <v>7242307.2000000002</v>
      </c>
    </row>
    <row r="202" spans="1:20" s="9" customFormat="1" ht="35.1" customHeight="1" x14ac:dyDescent="0.25">
      <c r="A202" s="215"/>
      <c r="B202" s="255" t="s">
        <v>250</v>
      </c>
      <c r="C202" s="254" t="s">
        <v>239</v>
      </c>
      <c r="D202" s="240" t="s">
        <v>13</v>
      </c>
      <c r="E202" s="242">
        <v>2.16</v>
      </c>
      <c r="F202" s="242">
        <f t="shared" si="48"/>
        <v>2.16</v>
      </c>
      <c r="G202" s="242">
        <f t="shared" si="49"/>
        <v>4.32</v>
      </c>
      <c r="H202" s="243">
        <v>742892</v>
      </c>
      <c r="I202" s="243">
        <f t="shared" si="50"/>
        <v>3209293.44</v>
      </c>
      <c r="J202" s="8"/>
      <c r="K202" s="8">
        <f t="shared" si="40"/>
        <v>754407</v>
      </c>
      <c r="L202" s="8">
        <f t="shared" si="51"/>
        <v>1629519.12</v>
      </c>
      <c r="M202" s="9" t="str">
        <f t="array" ref="M202:P202">_xlfn.XLOOKUP(B202,'Neiva 2022 FASE I ACTUAL (5)'!$B$6:$B$540,'Neiva 2022 FASE I ACTUAL (5)'!$C$6:$F$540,"NO ESTA")</f>
        <v>SUMINISTRO E INSTALACION PUERTA DIVISORIA DE MADERA TIPO P-4 Ver NOTAS GENERALES DE PLANCHA</v>
      </c>
      <c r="N202" s="9" t="str">
        <v>M2</v>
      </c>
      <c r="O202" s="9">
        <v>2.16</v>
      </c>
      <c r="P202" s="9">
        <v>712932</v>
      </c>
      <c r="Q202" s="124" t="str">
        <f t="shared" si="54"/>
        <v>FASE II</v>
      </c>
      <c r="R202" s="155">
        <f t="shared" si="47"/>
        <v>4.32</v>
      </c>
      <c r="S202" s="156">
        <f t="shared" si="52"/>
        <v>754407</v>
      </c>
      <c r="T202" s="156">
        <f t="shared" si="53"/>
        <v>3259038.24</v>
      </c>
    </row>
    <row r="203" spans="1:20" s="9" customFormat="1" ht="35.1" customHeight="1" x14ac:dyDescent="0.25">
      <c r="A203" s="215"/>
      <c r="B203" s="255" t="s">
        <v>251</v>
      </c>
      <c r="C203" s="254" t="s">
        <v>241</v>
      </c>
      <c r="D203" s="240" t="s">
        <v>13</v>
      </c>
      <c r="E203" s="242">
        <v>2.88</v>
      </c>
      <c r="F203" s="242">
        <f t="shared" si="48"/>
        <v>2.88</v>
      </c>
      <c r="G203" s="242">
        <f t="shared" si="49"/>
        <v>5.76</v>
      </c>
      <c r="H203" s="243">
        <v>742892</v>
      </c>
      <c r="I203" s="243">
        <f t="shared" si="50"/>
        <v>4279057.92</v>
      </c>
      <c r="J203" s="8"/>
      <c r="K203" s="8">
        <f t="shared" si="40"/>
        <v>754407</v>
      </c>
      <c r="L203" s="8">
        <f t="shared" si="51"/>
        <v>2172692.16</v>
      </c>
      <c r="M203" s="9" t="str">
        <f t="array" ref="M203:P203">_xlfn.XLOOKUP(B203,'Neiva 2022 FASE I ACTUAL (5)'!$B$6:$B$540,'Neiva 2022 FASE I ACTUAL (5)'!$C$6:$F$540,"NO ESTA")</f>
        <v>SUMINISTRO E INSTALACION PUERTA DIVISORIA DE MADERA TIPO P-5 Ver NOTAS GENERALES DE PLANCHA</v>
      </c>
      <c r="N203" s="9" t="str">
        <v>M2</v>
      </c>
      <c r="O203" s="9">
        <v>2.88</v>
      </c>
      <c r="P203" s="9">
        <v>712932</v>
      </c>
      <c r="Q203" s="124" t="str">
        <f t="shared" si="54"/>
        <v>FASE II</v>
      </c>
      <c r="R203" s="155">
        <f t="shared" si="47"/>
        <v>5.76</v>
      </c>
      <c r="S203" s="156">
        <f t="shared" si="52"/>
        <v>754407</v>
      </c>
      <c r="T203" s="156">
        <f t="shared" si="53"/>
        <v>4345384.32</v>
      </c>
    </row>
    <row r="204" spans="1:20" s="9" customFormat="1" ht="35.1" customHeight="1" x14ac:dyDescent="0.25">
      <c r="A204" s="215"/>
      <c r="B204" s="255" t="s">
        <v>252</v>
      </c>
      <c r="C204" s="254" t="s">
        <v>244</v>
      </c>
      <c r="D204" s="240" t="s">
        <v>13</v>
      </c>
      <c r="E204" s="242">
        <v>14.3</v>
      </c>
      <c r="F204" s="242">
        <f t="shared" si="48"/>
        <v>14.21</v>
      </c>
      <c r="G204" s="242">
        <f t="shared" si="49"/>
        <v>28.51</v>
      </c>
      <c r="H204" s="243">
        <v>588809</v>
      </c>
      <c r="I204" s="243">
        <f t="shared" si="50"/>
        <v>16786944.59</v>
      </c>
      <c r="J204" s="8"/>
      <c r="K204" s="8">
        <f t="shared" si="40"/>
        <v>597936</v>
      </c>
      <c r="L204" s="8">
        <f t="shared" si="51"/>
        <v>8550484.8000000007</v>
      </c>
      <c r="M204" s="9" t="str">
        <f t="array" ref="M204:P204">_xlfn.XLOOKUP(B204,'Neiva 2022 FASE I ACTUAL (5)'!$B$6:$B$540,'Neiva 2022 FASE I ACTUAL (5)'!$C$6:$F$540,"NO ESTA")</f>
        <v>SUMINISTRO E INSTALACION PUERTA DIVISORIA EN VIDRIO TIPO PV1 Ver NOTAS GENERALES DE PLANCHA</v>
      </c>
      <c r="N204" s="9" t="str">
        <v>M2</v>
      </c>
      <c r="O204" s="9">
        <v>14.21</v>
      </c>
      <c r="P204" s="9">
        <v>565064</v>
      </c>
      <c r="Q204" s="124" t="str">
        <f t="shared" si="54"/>
        <v>FASE II</v>
      </c>
      <c r="R204" s="155">
        <f t="shared" si="47"/>
        <v>28.51</v>
      </c>
      <c r="S204" s="156">
        <f t="shared" si="52"/>
        <v>597936</v>
      </c>
      <c r="T204" s="156">
        <f t="shared" si="53"/>
        <v>17047155.359999999</v>
      </c>
    </row>
    <row r="205" spans="1:20" s="9" customFormat="1" ht="35.1" customHeight="1" x14ac:dyDescent="0.25">
      <c r="A205" s="215"/>
      <c r="B205" s="244" t="s">
        <v>1143</v>
      </c>
      <c r="C205" s="245" t="s">
        <v>1144</v>
      </c>
      <c r="D205" s="244"/>
      <c r="E205" s="246"/>
      <c r="F205" s="246"/>
      <c r="G205" s="246"/>
      <c r="H205" s="303"/>
      <c r="I205" s="246"/>
      <c r="J205" s="8"/>
      <c r="K205" s="8">
        <f t="shared" si="40"/>
        <v>0</v>
      </c>
      <c r="L205" s="8">
        <f t="shared" si="51"/>
        <v>0</v>
      </c>
      <c r="M205" s="9" t="str">
        <f t="array" ref="M205">_xlfn.XLOOKUP(B205,'Neiva 2022 FASE I ACTUAL (5)'!$B$6:$B$540,'Neiva 2022 FASE I ACTUAL (5)'!$C$6:$F$540,"NO ESTA")</f>
        <v>NO ESTA</v>
      </c>
      <c r="Q205" s="124">
        <f t="shared" si="54"/>
        <v>0</v>
      </c>
      <c r="R205" s="155">
        <f t="shared" si="47"/>
        <v>0</v>
      </c>
      <c r="S205" s="156">
        <f t="shared" si="52"/>
        <v>0</v>
      </c>
      <c r="T205" s="156">
        <f t="shared" si="53"/>
        <v>0</v>
      </c>
    </row>
    <row r="206" spans="1:20" s="9" customFormat="1" ht="35.1" customHeight="1" x14ac:dyDescent="0.25">
      <c r="A206" s="215"/>
      <c r="B206" s="255" t="s">
        <v>1145</v>
      </c>
      <c r="C206" s="254" t="s">
        <v>225</v>
      </c>
      <c r="D206" s="240" t="s">
        <v>13</v>
      </c>
      <c r="E206" s="242">
        <v>4.4000000000000004</v>
      </c>
      <c r="F206" s="242">
        <f t="shared" ref="F206:F211" si="55">+O206</f>
        <v>0</v>
      </c>
      <c r="G206" s="242">
        <f t="shared" ref="G206:G211" si="56">+F206+E206</f>
        <v>4.4000000000000004</v>
      </c>
      <c r="H206" s="243">
        <v>1403411</v>
      </c>
      <c r="I206" s="243">
        <f t="shared" ref="I206:I211" si="57">ROUND(+H206*G206,2)</f>
        <v>6175008.4000000004</v>
      </c>
      <c r="J206" s="8"/>
      <c r="K206" s="8">
        <f t="shared" si="40"/>
        <v>1425164</v>
      </c>
      <c r="L206" s="8">
        <f t="shared" si="51"/>
        <v>6270721.6000000006</v>
      </c>
      <c r="M206" s="9" t="str">
        <f t="array" ref="M206">_xlfn.XLOOKUP(B206,'Neiva 2022 FASE I ACTUAL (5)'!$B$6:$B$540,'Neiva 2022 FASE I ACTUAL (5)'!$C$6:$F$540,"NO ESTA")</f>
        <v>NO ESTA</v>
      </c>
      <c r="Q206" s="124">
        <f t="shared" si="54"/>
        <v>0</v>
      </c>
      <c r="R206" s="155">
        <f t="shared" si="47"/>
        <v>4.4000000000000004</v>
      </c>
      <c r="S206" s="156">
        <f t="shared" si="52"/>
        <v>1425164</v>
      </c>
      <c r="T206" s="156">
        <f t="shared" si="53"/>
        <v>6270721.5999999996</v>
      </c>
    </row>
    <row r="207" spans="1:20" s="9" customFormat="1" ht="35.1" customHeight="1" x14ac:dyDescent="0.25">
      <c r="A207" s="215"/>
      <c r="B207" s="255" t="s">
        <v>1146</v>
      </c>
      <c r="C207" s="254" t="s">
        <v>227</v>
      </c>
      <c r="D207" s="240" t="s">
        <v>13</v>
      </c>
      <c r="E207" s="242">
        <v>4.32</v>
      </c>
      <c r="F207" s="242">
        <f t="shared" si="55"/>
        <v>0</v>
      </c>
      <c r="G207" s="242">
        <f t="shared" si="56"/>
        <v>4.32</v>
      </c>
      <c r="H207" s="243">
        <v>133587</v>
      </c>
      <c r="I207" s="243">
        <f t="shared" si="57"/>
        <v>577095.84</v>
      </c>
      <c r="J207" s="8">
        <f>ROUND(H207*(1+$J$3),0)</f>
        <v>260869</v>
      </c>
      <c r="K207" s="8">
        <f t="shared" si="40"/>
        <v>135658</v>
      </c>
      <c r="L207" s="8">
        <f t="shared" si="51"/>
        <v>586042.56000000006</v>
      </c>
      <c r="M207" s="9" t="str">
        <f t="array" ref="M207">_xlfn.XLOOKUP(B207,'Neiva 2022 FASE I ACTUAL (5)'!$B$6:$B$540,'Neiva 2022 FASE I ACTUAL (5)'!$C$6:$F$540,"NO ESTA")</f>
        <v>NO ESTA</v>
      </c>
      <c r="Q207" s="124">
        <f t="shared" si="54"/>
        <v>0</v>
      </c>
      <c r="R207" s="155">
        <f t="shared" si="47"/>
        <v>4.32</v>
      </c>
      <c r="S207" s="156">
        <f t="shared" si="52"/>
        <v>135658</v>
      </c>
      <c r="T207" s="156">
        <f t="shared" si="53"/>
        <v>586042.56000000006</v>
      </c>
    </row>
    <row r="208" spans="1:20" s="9" customFormat="1" ht="35.1" customHeight="1" x14ac:dyDescent="0.25">
      <c r="A208" s="215"/>
      <c r="B208" s="255" t="s">
        <v>1147</v>
      </c>
      <c r="C208" s="254" t="s">
        <v>237</v>
      </c>
      <c r="D208" s="240" t="s">
        <v>13</v>
      </c>
      <c r="E208" s="242">
        <v>7.2</v>
      </c>
      <c r="F208" s="242">
        <f t="shared" si="55"/>
        <v>0</v>
      </c>
      <c r="G208" s="242">
        <f t="shared" si="56"/>
        <v>7.2</v>
      </c>
      <c r="H208" s="243">
        <v>742892</v>
      </c>
      <c r="I208" s="243">
        <f t="shared" si="57"/>
        <v>5348822.4000000004</v>
      </c>
      <c r="J208" s="8"/>
      <c r="K208" s="8">
        <f t="shared" si="40"/>
        <v>754407</v>
      </c>
      <c r="L208" s="8">
        <f t="shared" si="51"/>
        <v>5431730.4000000004</v>
      </c>
      <c r="M208" s="9" t="str">
        <f t="array" ref="M208">_xlfn.XLOOKUP(B208,'Neiva 2022 FASE I ACTUAL (5)'!$B$6:$B$540,'Neiva 2022 FASE I ACTUAL (5)'!$C$6:$F$540,"NO ESTA")</f>
        <v>NO ESTA</v>
      </c>
      <c r="Q208" s="124">
        <f t="shared" si="54"/>
        <v>0</v>
      </c>
      <c r="R208" s="155">
        <f t="shared" si="47"/>
        <v>7.2</v>
      </c>
      <c r="S208" s="156">
        <f t="shared" si="52"/>
        <v>754407</v>
      </c>
      <c r="T208" s="156">
        <f t="shared" si="53"/>
        <v>5431730.4000000004</v>
      </c>
    </row>
    <row r="209" spans="1:20" s="9" customFormat="1" ht="35.1" customHeight="1" x14ac:dyDescent="0.25">
      <c r="A209" s="215"/>
      <c r="B209" s="255" t="s">
        <v>1148</v>
      </c>
      <c r="C209" s="254" t="s">
        <v>239</v>
      </c>
      <c r="D209" s="240" t="s">
        <v>13</v>
      </c>
      <c r="E209" s="242">
        <v>2.16</v>
      </c>
      <c r="F209" s="242">
        <f t="shared" si="55"/>
        <v>0</v>
      </c>
      <c r="G209" s="242">
        <f t="shared" si="56"/>
        <v>2.16</v>
      </c>
      <c r="H209" s="243">
        <v>742892</v>
      </c>
      <c r="I209" s="243">
        <f t="shared" si="57"/>
        <v>1604646.72</v>
      </c>
      <c r="J209" s="8"/>
      <c r="K209" s="8">
        <f t="shared" si="40"/>
        <v>754407</v>
      </c>
      <c r="L209" s="8">
        <f t="shared" si="51"/>
        <v>1629519.12</v>
      </c>
      <c r="M209" s="9" t="str">
        <f t="array" ref="M209">_xlfn.XLOOKUP(B209,'Neiva 2022 FASE I ACTUAL (5)'!$B$6:$B$540,'Neiva 2022 FASE I ACTUAL (5)'!$C$6:$F$540,"NO ESTA")</f>
        <v>NO ESTA</v>
      </c>
      <c r="Q209" s="124">
        <f t="shared" si="54"/>
        <v>0</v>
      </c>
      <c r="R209" s="155">
        <f t="shared" si="47"/>
        <v>2.16</v>
      </c>
      <c r="S209" s="156">
        <f t="shared" si="52"/>
        <v>754407</v>
      </c>
      <c r="T209" s="156">
        <f t="shared" si="53"/>
        <v>1629519.12</v>
      </c>
    </row>
    <row r="210" spans="1:20" s="9" customFormat="1" ht="35.1" customHeight="1" x14ac:dyDescent="0.25">
      <c r="A210" s="215"/>
      <c r="B210" s="255" t="s">
        <v>1149</v>
      </c>
      <c r="C210" s="254" t="s">
        <v>241</v>
      </c>
      <c r="D210" s="240" t="s">
        <v>13</v>
      </c>
      <c r="E210" s="242">
        <v>5.76</v>
      </c>
      <c r="F210" s="242">
        <f t="shared" si="55"/>
        <v>0</v>
      </c>
      <c r="G210" s="242">
        <f t="shared" si="56"/>
        <v>5.76</v>
      </c>
      <c r="H210" s="243">
        <v>742892</v>
      </c>
      <c r="I210" s="243">
        <f t="shared" si="57"/>
        <v>4279057.92</v>
      </c>
      <c r="J210" s="8"/>
      <c r="K210" s="8">
        <f t="shared" si="40"/>
        <v>754407</v>
      </c>
      <c r="L210" s="8">
        <f t="shared" si="51"/>
        <v>4345384.32</v>
      </c>
      <c r="M210" s="9" t="str">
        <f t="array" ref="M210">_xlfn.XLOOKUP(B210,'Neiva 2022 FASE I ACTUAL (5)'!$B$6:$B$540,'Neiva 2022 FASE I ACTUAL (5)'!$C$6:$F$540,"NO ESTA")</f>
        <v>NO ESTA</v>
      </c>
      <c r="Q210" s="124">
        <f t="shared" si="54"/>
        <v>0</v>
      </c>
      <c r="R210" s="155">
        <f t="shared" si="47"/>
        <v>5.76</v>
      </c>
      <c r="S210" s="156">
        <f t="shared" si="52"/>
        <v>754407</v>
      </c>
      <c r="T210" s="156">
        <f t="shared" si="53"/>
        <v>4345384.32</v>
      </c>
    </row>
    <row r="211" spans="1:20" s="9" customFormat="1" ht="35.1" customHeight="1" x14ac:dyDescent="0.25">
      <c r="A211" s="215"/>
      <c r="B211" s="255" t="s">
        <v>1150</v>
      </c>
      <c r="C211" s="254" t="s">
        <v>244</v>
      </c>
      <c r="D211" s="240" t="s">
        <v>13</v>
      </c>
      <c r="E211" s="242">
        <v>24.12</v>
      </c>
      <c r="F211" s="242">
        <f t="shared" si="55"/>
        <v>0</v>
      </c>
      <c r="G211" s="242">
        <f t="shared" si="56"/>
        <v>24.12</v>
      </c>
      <c r="H211" s="243">
        <v>588809</v>
      </c>
      <c r="I211" s="243">
        <f t="shared" si="57"/>
        <v>14202073.08</v>
      </c>
      <c r="J211" s="8"/>
      <c r="K211" s="8">
        <f t="shared" si="40"/>
        <v>597936</v>
      </c>
      <c r="L211" s="8">
        <f t="shared" si="51"/>
        <v>14422216.32</v>
      </c>
      <c r="M211" s="9" t="str">
        <f t="array" ref="M211">_xlfn.XLOOKUP(B211,'Neiva 2022 FASE I ACTUAL (5)'!$B$6:$B$540,'Neiva 2022 FASE I ACTUAL (5)'!$C$6:$F$540,"NO ESTA")</f>
        <v>NO ESTA</v>
      </c>
      <c r="Q211" s="124">
        <f t="shared" si="54"/>
        <v>0</v>
      </c>
      <c r="R211" s="155">
        <f t="shared" si="47"/>
        <v>24.12</v>
      </c>
      <c r="S211" s="156">
        <f t="shared" si="52"/>
        <v>597936</v>
      </c>
      <c r="T211" s="156">
        <f t="shared" si="53"/>
        <v>14422216.32</v>
      </c>
    </row>
    <row r="212" spans="1:20" s="9" customFormat="1" ht="35.1" customHeight="1" x14ac:dyDescent="0.25">
      <c r="A212" s="215"/>
      <c r="B212" s="244" t="s">
        <v>1151</v>
      </c>
      <c r="C212" s="245" t="s">
        <v>1152</v>
      </c>
      <c r="D212" s="244"/>
      <c r="E212" s="246"/>
      <c r="F212" s="246"/>
      <c r="G212" s="246"/>
      <c r="H212" s="303"/>
      <c r="I212" s="246"/>
      <c r="J212" s="8"/>
      <c r="K212" s="8">
        <f t="shared" si="40"/>
        <v>0</v>
      </c>
      <c r="L212" s="8">
        <f t="shared" si="51"/>
        <v>0</v>
      </c>
      <c r="M212" s="9" t="str">
        <f t="array" ref="M212">_xlfn.XLOOKUP(B212,'Neiva 2022 FASE I ACTUAL (5)'!$B$6:$B$540,'Neiva 2022 FASE I ACTUAL (5)'!$C$6:$F$540,"NO ESTA")</f>
        <v>NO ESTA</v>
      </c>
      <c r="Q212" s="124">
        <f t="shared" si="54"/>
        <v>0</v>
      </c>
      <c r="R212" s="155">
        <f t="shared" si="47"/>
        <v>0</v>
      </c>
      <c r="S212" s="156">
        <f t="shared" si="52"/>
        <v>0</v>
      </c>
      <c r="T212" s="156">
        <f t="shared" si="53"/>
        <v>0</v>
      </c>
    </row>
    <row r="213" spans="1:20" s="9" customFormat="1" ht="35.1" customHeight="1" x14ac:dyDescent="0.25">
      <c r="A213" s="215"/>
      <c r="B213" s="255" t="s">
        <v>1153</v>
      </c>
      <c r="C213" s="254" t="s">
        <v>225</v>
      </c>
      <c r="D213" s="240" t="s">
        <v>13</v>
      </c>
      <c r="E213" s="242">
        <v>4.4000000000000004</v>
      </c>
      <c r="F213" s="242">
        <f t="shared" ref="F213:F220" si="58">+O213</f>
        <v>0</v>
      </c>
      <c r="G213" s="242">
        <f t="shared" ref="G213:G220" si="59">+F213+E213</f>
        <v>4.4000000000000004</v>
      </c>
      <c r="H213" s="243">
        <v>1403411</v>
      </c>
      <c r="I213" s="243">
        <f t="shared" ref="I213:I220" si="60">ROUND(+H213*G213,2)</f>
        <v>6175008.4000000004</v>
      </c>
      <c r="J213" s="8"/>
      <c r="K213" s="8">
        <f t="shared" si="40"/>
        <v>1425164</v>
      </c>
      <c r="L213" s="8">
        <f t="shared" si="51"/>
        <v>6270721.6000000006</v>
      </c>
      <c r="M213" s="9" t="str">
        <f t="array" ref="M213">_xlfn.XLOOKUP(B213,'Neiva 2022 FASE I ACTUAL (5)'!$B$6:$B$540,'Neiva 2022 FASE I ACTUAL (5)'!$C$6:$F$540,"NO ESTA")</f>
        <v>NO ESTA</v>
      </c>
      <c r="Q213" s="124">
        <f t="shared" si="54"/>
        <v>0</v>
      </c>
      <c r="R213" s="155">
        <f t="shared" si="47"/>
        <v>4.4000000000000004</v>
      </c>
      <c r="S213" s="156">
        <f t="shared" si="52"/>
        <v>1425164</v>
      </c>
      <c r="T213" s="156">
        <f t="shared" si="53"/>
        <v>6270721.5999999996</v>
      </c>
    </row>
    <row r="214" spans="1:20" s="9" customFormat="1" ht="35.1" customHeight="1" x14ac:dyDescent="0.25">
      <c r="A214" s="215"/>
      <c r="B214" s="255" t="s">
        <v>1154</v>
      </c>
      <c r="C214" s="254" t="s">
        <v>227</v>
      </c>
      <c r="D214" s="240" t="s">
        <v>13</v>
      </c>
      <c r="E214" s="242">
        <v>4.32</v>
      </c>
      <c r="F214" s="242">
        <f t="shared" si="58"/>
        <v>0</v>
      </c>
      <c r="G214" s="242">
        <f t="shared" si="59"/>
        <v>4.32</v>
      </c>
      <c r="H214" s="243">
        <v>133587</v>
      </c>
      <c r="I214" s="243">
        <f t="shared" si="60"/>
        <v>577095.84</v>
      </c>
      <c r="J214" s="8">
        <f>ROUND(H214*(1+$J$3),0)</f>
        <v>260869</v>
      </c>
      <c r="K214" s="8">
        <f t="shared" si="40"/>
        <v>135658</v>
      </c>
      <c r="L214" s="8">
        <f t="shared" si="51"/>
        <v>586042.56000000006</v>
      </c>
      <c r="M214" s="9" t="str">
        <f t="array" ref="M214">_xlfn.XLOOKUP(B214,'Neiva 2022 FASE I ACTUAL (5)'!$B$6:$B$540,'Neiva 2022 FASE I ACTUAL (5)'!$C$6:$F$540,"NO ESTA")</f>
        <v>NO ESTA</v>
      </c>
      <c r="Q214" s="124">
        <f t="shared" si="54"/>
        <v>0</v>
      </c>
      <c r="R214" s="155">
        <f t="shared" si="47"/>
        <v>4.32</v>
      </c>
      <c r="S214" s="156">
        <f t="shared" si="52"/>
        <v>135658</v>
      </c>
      <c r="T214" s="156">
        <f t="shared" si="53"/>
        <v>586042.56000000006</v>
      </c>
    </row>
    <row r="215" spans="1:20" s="9" customFormat="1" ht="35.1" customHeight="1" x14ac:dyDescent="0.25">
      <c r="A215" s="215"/>
      <c r="B215" s="255" t="s">
        <v>1155</v>
      </c>
      <c r="C215" s="254" t="s">
        <v>237</v>
      </c>
      <c r="D215" s="240" t="s">
        <v>13</v>
      </c>
      <c r="E215" s="242">
        <v>4.8</v>
      </c>
      <c r="F215" s="242">
        <f t="shared" si="58"/>
        <v>0</v>
      </c>
      <c r="G215" s="242">
        <f t="shared" si="59"/>
        <v>4.8</v>
      </c>
      <c r="H215" s="243">
        <v>742892</v>
      </c>
      <c r="I215" s="243">
        <f t="shared" si="60"/>
        <v>3565881.6</v>
      </c>
      <c r="J215" s="8"/>
      <c r="K215" s="8">
        <f t="shared" si="40"/>
        <v>754407</v>
      </c>
      <c r="L215" s="8">
        <f t="shared" si="51"/>
        <v>3621153.6</v>
      </c>
      <c r="M215" s="9" t="str">
        <f t="array" ref="M215">_xlfn.XLOOKUP(B215,'Neiva 2022 FASE I ACTUAL (5)'!$B$6:$B$540,'Neiva 2022 FASE I ACTUAL (5)'!$C$6:$F$540,"NO ESTA")</f>
        <v>NO ESTA</v>
      </c>
      <c r="Q215" s="124">
        <f t="shared" si="54"/>
        <v>0</v>
      </c>
      <c r="R215" s="155">
        <f t="shared" si="47"/>
        <v>4.8</v>
      </c>
      <c r="S215" s="156">
        <f t="shared" si="52"/>
        <v>754407</v>
      </c>
      <c r="T215" s="156">
        <f t="shared" si="53"/>
        <v>3621153.6</v>
      </c>
    </row>
    <row r="216" spans="1:20" s="9" customFormat="1" ht="35.1" customHeight="1" x14ac:dyDescent="0.25">
      <c r="A216" s="215"/>
      <c r="B216" s="255" t="s">
        <v>1156</v>
      </c>
      <c r="C216" s="254" t="s">
        <v>239</v>
      </c>
      <c r="D216" s="240" t="s">
        <v>13</v>
      </c>
      <c r="E216" s="242">
        <v>2.16</v>
      </c>
      <c r="F216" s="242">
        <f t="shared" si="58"/>
        <v>0</v>
      </c>
      <c r="G216" s="242">
        <f t="shared" si="59"/>
        <v>2.16</v>
      </c>
      <c r="H216" s="243">
        <v>742892</v>
      </c>
      <c r="I216" s="243">
        <f t="shared" si="60"/>
        <v>1604646.72</v>
      </c>
      <c r="J216" s="8"/>
      <c r="K216" s="8">
        <f t="shared" si="40"/>
        <v>754407</v>
      </c>
      <c r="L216" s="8">
        <f t="shared" si="51"/>
        <v>1629519.12</v>
      </c>
      <c r="M216" s="9" t="str">
        <f t="array" ref="M216">_xlfn.XLOOKUP(B216,'Neiva 2022 FASE I ACTUAL (5)'!$B$6:$B$540,'Neiva 2022 FASE I ACTUAL (5)'!$C$6:$F$540,"NO ESTA")</f>
        <v>NO ESTA</v>
      </c>
      <c r="Q216" s="124">
        <f t="shared" si="54"/>
        <v>0</v>
      </c>
      <c r="R216" s="155">
        <f t="shared" si="47"/>
        <v>2.16</v>
      </c>
      <c r="S216" s="156">
        <f t="shared" si="52"/>
        <v>754407</v>
      </c>
      <c r="T216" s="156">
        <f t="shared" si="53"/>
        <v>1629519.12</v>
      </c>
    </row>
    <row r="217" spans="1:20" s="9" customFormat="1" ht="35.1" customHeight="1" x14ac:dyDescent="0.25">
      <c r="A217" s="215"/>
      <c r="B217" s="255" t="s">
        <v>1157</v>
      </c>
      <c r="C217" s="254" t="s">
        <v>241</v>
      </c>
      <c r="D217" s="240" t="s">
        <v>13</v>
      </c>
      <c r="E217" s="242">
        <v>3.84</v>
      </c>
      <c r="F217" s="242">
        <f t="shared" si="58"/>
        <v>0</v>
      </c>
      <c r="G217" s="242">
        <f t="shared" si="59"/>
        <v>3.84</v>
      </c>
      <c r="H217" s="243">
        <v>742892</v>
      </c>
      <c r="I217" s="243">
        <f t="shared" si="60"/>
        <v>2852705.28</v>
      </c>
      <c r="J217" s="8"/>
      <c r="K217" s="8">
        <f t="shared" si="40"/>
        <v>754407</v>
      </c>
      <c r="L217" s="8">
        <f t="shared" si="51"/>
        <v>2896922.88</v>
      </c>
      <c r="M217" s="9" t="str">
        <f t="array" ref="M217">_xlfn.XLOOKUP(B217,'Neiva 2022 FASE I ACTUAL (5)'!$B$6:$B$540,'Neiva 2022 FASE I ACTUAL (5)'!$C$6:$F$540,"NO ESTA")</f>
        <v>NO ESTA</v>
      </c>
      <c r="Q217" s="124">
        <f t="shared" si="54"/>
        <v>0</v>
      </c>
      <c r="R217" s="155">
        <f t="shared" si="47"/>
        <v>3.84</v>
      </c>
      <c r="S217" s="156">
        <f t="shared" si="52"/>
        <v>754407</v>
      </c>
      <c r="T217" s="156">
        <f t="shared" si="53"/>
        <v>2896922.88</v>
      </c>
    </row>
    <row r="218" spans="1:20" s="9" customFormat="1" ht="35.1" customHeight="1" x14ac:dyDescent="0.25">
      <c r="A218" s="215"/>
      <c r="B218" s="255" t="s">
        <v>1158</v>
      </c>
      <c r="C218" s="254" t="s">
        <v>1159</v>
      </c>
      <c r="D218" s="240" t="s">
        <v>13</v>
      </c>
      <c r="E218" s="242">
        <v>3.36</v>
      </c>
      <c r="F218" s="242">
        <f t="shared" si="58"/>
        <v>0</v>
      </c>
      <c r="G218" s="242">
        <f t="shared" si="59"/>
        <v>3.36</v>
      </c>
      <c r="H218" s="243">
        <v>742892</v>
      </c>
      <c r="I218" s="243">
        <f t="shared" si="60"/>
        <v>2496117.12</v>
      </c>
      <c r="J218" s="8"/>
      <c r="K218" s="8">
        <f t="shared" si="40"/>
        <v>754407</v>
      </c>
      <c r="L218" s="8">
        <f t="shared" si="51"/>
        <v>2534807.52</v>
      </c>
      <c r="M218" s="9" t="str">
        <f t="array" ref="M218">_xlfn.XLOOKUP(B218,'Neiva 2022 FASE I ACTUAL (5)'!$B$6:$B$540,'Neiva 2022 FASE I ACTUAL (5)'!$C$6:$F$540,"NO ESTA")</f>
        <v>NO ESTA</v>
      </c>
      <c r="Q218" s="124">
        <f t="shared" si="54"/>
        <v>0</v>
      </c>
      <c r="R218" s="155">
        <f t="shared" si="47"/>
        <v>3.36</v>
      </c>
      <c r="S218" s="156">
        <f t="shared" si="52"/>
        <v>754407</v>
      </c>
      <c r="T218" s="156">
        <f t="shared" si="53"/>
        <v>2534807.52</v>
      </c>
    </row>
    <row r="219" spans="1:20" s="9" customFormat="1" ht="35.1" customHeight="1" x14ac:dyDescent="0.25">
      <c r="A219" s="215"/>
      <c r="B219" s="255" t="s">
        <v>1160</v>
      </c>
      <c r="C219" s="254" t="s">
        <v>229</v>
      </c>
      <c r="D219" s="240" t="s">
        <v>13</v>
      </c>
      <c r="E219" s="242">
        <v>4.8</v>
      </c>
      <c r="F219" s="242">
        <f t="shared" si="58"/>
        <v>0</v>
      </c>
      <c r="G219" s="242">
        <f t="shared" si="59"/>
        <v>4.8</v>
      </c>
      <c r="H219" s="243">
        <v>742892</v>
      </c>
      <c r="I219" s="243">
        <f t="shared" si="60"/>
        <v>3565881.6</v>
      </c>
      <c r="J219" s="8">
        <f>ROUND(H219*(1+$J$3),0)</f>
        <v>1450719</v>
      </c>
      <c r="K219" s="8">
        <f t="shared" si="40"/>
        <v>754407</v>
      </c>
      <c r="L219" s="8">
        <f t="shared" si="51"/>
        <v>3621153.6</v>
      </c>
      <c r="M219" s="9" t="str">
        <f t="array" ref="M219">_xlfn.XLOOKUP(B219,'Neiva 2022 FASE I ACTUAL (5)'!$B$6:$B$540,'Neiva 2022 FASE I ACTUAL (5)'!$C$6:$F$540,"NO ESTA")</f>
        <v>NO ESTA</v>
      </c>
      <c r="Q219" s="124">
        <f t="shared" si="54"/>
        <v>0</v>
      </c>
      <c r="R219" s="155">
        <f t="shared" si="47"/>
        <v>4.8</v>
      </c>
      <c r="S219" s="156">
        <f t="shared" si="52"/>
        <v>754407</v>
      </c>
      <c r="T219" s="156">
        <f t="shared" si="53"/>
        <v>3621153.6</v>
      </c>
    </row>
    <row r="220" spans="1:20" s="9" customFormat="1" ht="35.1" customHeight="1" x14ac:dyDescent="0.25">
      <c r="A220" s="215"/>
      <c r="B220" s="255" t="s">
        <v>1161</v>
      </c>
      <c r="C220" s="254" t="s">
        <v>244</v>
      </c>
      <c r="D220" s="240" t="s">
        <v>13</v>
      </c>
      <c r="E220" s="242">
        <v>24.89</v>
      </c>
      <c r="F220" s="242">
        <f t="shared" si="58"/>
        <v>0</v>
      </c>
      <c r="G220" s="242">
        <f t="shared" si="59"/>
        <v>24.89</v>
      </c>
      <c r="H220" s="243">
        <v>588809</v>
      </c>
      <c r="I220" s="243">
        <f t="shared" si="60"/>
        <v>14655456.01</v>
      </c>
      <c r="J220" s="8"/>
      <c r="K220" s="8">
        <f t="shared" si="40"/>
        <v>597936</v>
      </c>
      <c r="L220" s="8">
        <f t="shared" si="51"/>
        <v>14882627.040000001</v>
      </c>
      <c r="M220" s="9" t="str">
        <f t="array" ref="M220">_xlfn.XLOOKUP(B220,'Neiva 2022 FASE I ACTUAL (5)'!$B$6:$B$540,'Neiva 2022 FASE I ACTUAL (5)'!$C$6:$F$540,"NO ESTA")</f>
        <v>NO ESTA</v>
      </c>
      <c r="Q220" s="124">
        <f t="shared" si="54"/>
        <v>0</v>
      </c>
      <c r="R220" s="155">
        <f t="shared" si="47"/>
        <v>24.89</v>
      </c>
      <c r="S220" s="156">
        <f t="shared" si="52"/>
        <v>597936</v>
      </c>
      <c r="T220" s="156">
        <f t="shared" si="53"/>
        <v>14882627.039999999</v>
      </c>
    </row>
    <row r="221" spans="1:20" s="9" customFormat="1" ht="35.1" customHeight="1" x14ac:dyDescent="0.25">
      <c r="A221" s="215"/>
      <c r="B221" s="244" t="s">
        <v>1162</v>
      </c>
      <c r="C221" s="245" t="s">
        <v>1163</v>
      </c>
      <c r="D221" s="244"/>
      <c r="E221" s="246"/>
      <c r="F221" s="246"/>
      <c r="G221" s="246"/>
      <c r="H221" s="303"/>
      <c r="I221" s="246"/>
      <c r="J221" s="8"/>
      <c r="K221" s="8">
        <f t="shared" si="40"/>
        <v>0</v>
      </c>
      <c r="L221" s="8">
        <f t="shared" si="51"/>
        <v>0</v>
      </c>
      <c r="M221" s="9" t="str">
        <f t="array" ref="M221">_xlfn.XLOOKUP(B221,'Neiva 2022 FASE I ACTUAL (5)'!$B$6:$B$540,'Neiva 2022 FASE I ACTUAL (5)'!$C$6:$F$540,"NO ESTA")</f>
        <v>NO ESTA</v>
      </c>
      <c r="Q221" s="124">
        <f t="shared" si="54"/>
        <v>0</v>
      </c>
      <c r="R221" s="155">
        <f t="shared" si="47"/>
        <v>0</v>
      </c>
      <c r="S221" s="156">
        <f t="shared" si="52"/>
        <v>0</v>
      </c>
      <c r="T221" s="156">
        <f t="shared" si="53"/>
        <v>0</v>
      </c>
    </row>
    <row r="222" spans="1:20" s="9" customFormat="1" ht="35.1" customHeight="1" x14ac:dyDescent="0.25">
      <c r="A222" s="215"/>
      <c r="B222" s="255" t="s">
        <v>1164</v>
      </c>
      <c r="C222" s="254" t="s">
        <v>225</v>
      </c>
      <c r="D222" s="240" t="s">
        <v>13</v>
      </c>
      <c r="E222" s="242">
        <v>2.2000000000000002</v>
      </c>
      <c r="F222" s="242">
        <f>+O222</f>
        <v>0</v>
      </c>
      <c r="G222" s="242">
        <f>+F222+E222</f>
        <v>2.2000000000000002</v>
      </c>
      <c r="H222" s="243">
        <v>1403411</v>
      </c>
      <c r="I222" s="243">
        <f>ROUND(+H222*G222,2)</f>
        <v>3087504.2</v>
      </c>
      <c r="J222" s="8"/>
      <c r="K222" s="8">
        <f t="shared" si="40"/>
        <v>1425164</v>
      </c>
      <c r="L222" s="8">
        <f t="shared" si="51"/>
        <v>3135360.8000000003</v>
      </c>
      <c r="M222" s="9" t="str">
        <f t="array" ref="M222">_xlfn.XLOOKUP(B222,'Neiva 2022 FASE I ACTUAL (5)'!$B$6:$B$540,'Neiva 2022 FASE I ACTUAL (5)'!$C$6:$F$540,"NO ESTA")</f>
        <v>NO ESTA</v>
      </c>
      <c r="Q222" s="124">
        <f t="shared" si="54"/>
        <v>0</v>
      </c>
      <c r="R222" s="155">
        <f t="shared" si="47"/>
        <v>2.2000000000000002</v>
      </c>
      <c r="S222" s="156">
        <f t="shared" si="52"/>
        <v>1425164</v>
      </c>
      <c r="T222" s="156">
        <f t="shared" si="53"/>
        <v>3135360.8</v>
      </c>
    </row>
    <row r="223" spans="1:20" s="9" customFormat="1" ht="35.1" customHeight="1" x14ac:dyDescent="0.25">
      <c r="A223" s="215"/>
      <c r="B223" s="266">
        <v>10</v>
      </c>
      <c r="C223" s="267" t="s">
        <v>253</v>
      </c>
      <c r="D223" s="267"/>
      <c r="E223" s="268"/>
      <c r="F223" s="268"/>
      <c r="G223" s="268"/>
      <c r="H223" s="306"/>
      <c r="I223" s="268"/>
      <c r="J223" s="8"/>
      <c r="K223" s="8">
        <f t="shared" si="40"/>
        <v>0</v>
      </c>
      <c r="L223" s="8">
        <f t="shared" si="51"/>
        <v>0</v>
      </c>
      <c r="M223" s="9" t="str">
        <f t="array" ref="M223:P223">_xlfn.XLOOKUP(B223,'Neiva 2022 FASE I ACTUAL (5)'!$B$6:$B$540,'Neiva 2022 FASE I ACTUAL (5)'!$C$6:$F$540,"NO ESTA")</f>
        <v>OTROS ARQUITECTONICOS</v>
      </c>
      <c r="N223" s="9">
        <v>0</v>
      </c>
      <c r="O223" s="9">
        <v>0</v>
      </c>
      <c r="P223" s="9">
        <v>0</v>
      </c>
      <c r="Q223" s="124">
        <f t="shared" si="54"/>
        <v>0</v>
      </c>
      <c r="R223" s="155">
        <f t="shared" si="47"/>
        <v>0</v>
      </c>
      <c r="S223" s="156">
        <f t="shared" si="52"/>
        <v>0</v>
      </c>
      <c r="T223" s="156">
        <f t="shared" si="53"/>
        <v>0</v>
      </c>
    </row>
    <row r="224" spans="1:20" s="9" customFormat="1" ht="35.1" customHeight="1" x14ac:dyDescent="0.25">
      <c r="A224" s="215"/>
      <c r="B224" s="275" t="s">
        <v>1165</v>
      </c>
      <c r="C224" s="245" t="s">
        <v>1166</v>
      </c>
      <c r="D224" s="244"/>
      <c r="E224" s="246"/>
      <c r="F224" s="246"/>
      <c r="G224" s="246"/>
      <c r="H224" s="303"/>
      <c r="I224" s="246"/>
      <c r="J224" s="8"/>
      <c r="K224" s="8">
        <f t="shared" si="40"/>
        <v>0</v>
      </c>
      <c r="L224" s="8">
        <f t="shared" si="51"/>
        <v>0</v>
      </c>
      <c r="M224" s="9" t="str">
        <f t="array" ref="M224">_xlfn.XLOOKUP(B224,'Neiva 2022 FASE I ACTUAL (5)'!$B$6:$B$540,'Neiva 2022 FASE I ACTUAL (5)'!$C$6:$F$540,"NO ESTA")</f>
        <v>NO ESTA</v>
      </c>
      <c r="Q224" s="124">
        <f t="shared" si="54"/>
        <v>0</v>
      </c>
      <c r="R224" s="155">
        <f t="shared" si="47"/>
        <v>0</v>
      </c>
      <c r="S224" s="156">
        <f t="shared" si="52"/>
        <v>0</v>
      </c>
      <c r="T224" s="156">
        <f t="shared" si="53"/>
        <v>0</v>
      </c>
    </row>
    <row r="225" spans="1:20" s="9" customFormat="1" ht="35.1" customHeight="1" x14ac:dyDescent="0.25">
      <c r="A225" s="215"/>
      <c r="B225" s="255" t="s">
        <v>1167</v>
      </c>
      <c r="C225" s="254" t="s">
        <v>1168</v>
      </c>
      <c r="D225" s="255" t="s">
        <v>16</v>
      </c>
      <c r="E225" s="242">
        <v>2</v>
      </c>
      <c r="F225" s="242">
        <f>+O225</f>
        <v>0</v>
      </c>
      <c r="G225" s="242">
        <f>+F225+E225</f>
        <v>2</v>
      </c>
      <c r="H225" s="243">
        <v>135849381</v>
      </c>
      <c r="I225" s="243">
        <f>ROUND(+H225*G225,2)</f>
        <v>271698762</v>
      </c>
      <c r="J225" s="8"/>
      <c r="K225" s="8">
        <f t="shared" si="40"/>
        <v>137955046</v>
      </c>
      <c r="L225" s="8">
        <f t="shared" si="51"/>
        <v>275910092</v>
      </c>
      <c r="M225" s="9" t="str">
        <f t="array" ref="M225">_xlfn.XLOOKUP(B225,'Neiva 2022 FASE I ACTUAL (5)'!$B$6:$B$540,'Neiva 2022 FASE I ACTUAL (5)'!$C$6:$F$540,"NO ESTA")</f>
        <v>NO ESTA</v>
      </c>
      <c r="Q225" s="124">
        <f t="shared" si="54"/>
        <v>0</v>
      </c>
      <c r="R225" s="155">
        <f t="shared" si="47"/>
        <v>2</v>
      </c>
      <c r="S225" s="156">
        <f t="shared" si="52"/>
        <v>137955046</v>
      </c>
      <c r="T225" s="156">
        <f t="shared" si="53"/>
        <v>275910092</v>
      </c>
    </row>
    <row r="226" spans="1:20" s="9" customFormat="1" ht="35.1" customHeight="1" x14ac:dyDescent="0.25">
      <c r="A226" s="215"/>
      <c r="B226" s="276" t="s">
        <v>254</v>
      </c>
      <c r="C226" s="245" t="s">
        <v>255</v>
      </c>
      <c r="D226" s="244"/>
      <c r="E226" s="246"/>
      <c r="F226" s="246"/>
      <c r="G226" s="246"/>
      <c r="H226" s="303"/>
      <c r="I226" s="246"/>
      <c r="J226" s="8"/>
      <c r="K226" s="8">
        <f t="shared" si="40"/>
        <v>0</v>
      </c>
      <c r="L226" s="8">
        <f t="shared" si="51"/>
        <v>0</v>
      </c>
      <c r="M226" s="9" t="str">
        <f t="array" ref="M226:P226">_xlfn.XLOOKUP(B226,'Neiva 2022 FASE I ACTUAL (5)'!$B$6:$B$540,'Neiva 2022 FASE I ACTUAL (5)'!$C$6:$F$540,"NO ESTA")</f>
        <v>SUMINISTRO E INSTALACIÓN DE BARANDAS</v>
      </c>
      <c r="N226" s="9">
        <v>0</v>
      </c>
      <c r="O226" s="9">
        <v>0</v>
      </c>
      <c r="P226" s="9">
        <v>0</v>
      </c>
      <c r="Q226" s="124">
        <f t="shared" si="54"/>
        <v>0</v>
      </c>
      <c r="R226" s="155">
        <f t="shared" si="47"/>
        <v>0</v>
      </c>
      <c r="S226" s="156">
        <f t="shared" si="52"/>
        <v>0</v>
      </c>
      <c r="T226" s="156">
        <f t="shared" si="53"/>
        <v>0</v>
      </c>
    </row>
    <row r="227" spans="1:20" s="9" customFormat="1" ht="35.1" customHeight="1" x14ac:dyDescent="0.25">
      <c r="A227" s="215"/>
      <c r="B227" s="240" t="s">
        <v>256</v>
      </c>
      <c r="C227" s="254" t="s">
        <v>257</v>
      </c>
      <c r="D227" s="255" t="s">
        <v>94</v>
      </c>
      <c r="E227" s="242">
        <v>288.39999999999998</v>
      </c>
      <c r="F227" s="242">
        <f>+O227</f>
        <v>106</v>
      </c>
      <c r="G227" s="242">
        <f>+F227+E227</f>
        <v>394.4</v>
      </c>
      <c r="H227" s="243">
        <v>648864</v>
      </c>
      <c r="I227" s="243">
        <f>ROUND(+H227*G227,2)</f>
        <v>255911961.59999999</v>
      </c>
      <c r="J227" s="8"/>
      <c r="K227" s="8">
        <f t="shared" si="40"/>
        <v>658921</v>
      </c>
      <c r="L227" s="8">
        <f t="shared" si="51"/>
        <v>190032816.39999998</v>
      </c>
      <c r="M227" s="9" t="str">
        <f t="array" ref="M227:P227">_xlfn.XLOOKUP(B227,'Neiva 2022 FASE I ACTUAL (5)'!$B$6:$B$540,'Neiva 2022 FASE I ACTUAL (5)'!$C$6:$F$540,"NO ESTA")</f>
        <v>SUMINISTRO E INSTALACION BARANDA TIPO B1 EN ACERO INOXIDABLE (Incluye todos los accesorios para su instalación)</v>
      </c>
      <c r="N227" s="9" t="str">
        <v>ML</v>
      </c>
      <c r="O227" s="9">
        <v>106</v>
      </c>
      <c r="P227" s="9">
        <v>648864</v>
      </c>
      <c r="Q227" s="124" t="str">
        <f t="shared" si="54"/>
        <v>FASE II</v>
      </c>
      <c r="R227" s="155">
        <f t="shared" si="47"/>
        <v>394.4</v>
      </c>
      <c r="S227" s="156">
        <f t="shared" si="52"/>
        <v>658921</v>
      </c>
      <c r="T227" s="156">
        <f t="shared" si="53"/>
        <v>259878442.40000001</v>
      </c>
    </row>
    <row r="228" spans="1:20" s="9" customFormat="1" ht="35.1" customHeight="1" x14ac:dyDescent="0.25">
      <c r="A228" s="215"/>
      <c r="B228" s="240" t="s">
        <v>258</v>
      </c>
      <c r="C228" s="254" t="s">
        <v>259</v>
      </c>
      <c r="D228" s="255" t="s">
        <v>94</v>
      </c>
      <c r="E228" s="242">
        <v>44.13</v>
      </c>
      <c r="F228" s="242">
        <f>+O228</f>
        <v>16</v>
      </c>
      <c r="G228" s="242">
        <f>+F228+E228</f>
        <v>60.13</v>
      </c>
      <c r="H228" s="243">
        <v>257794</v>
      </c>
      <c r="I228" s="243">
        <f>ROUND(+H228*G228,2)</f>
        <v>15501153.220000001</v>
      </c>
      <c r="J228" s="8"/>
      <c r="K228" s="8">
        <f t="shared" si="40"/>
        <v>261790</v>
      </c>
      <c r="L228" s="8">
        <f t="shared" si="51"/>
        <v>11552792.700000001</v>
      </c>
      <c r="M228" s="9" t="str">
        <f t="array" ref="M228:P228">_xlfn.XLOOKUP(B228,'Neiva 2022 FASE I ACTUAL (5)'!$B$6:$B$540,'Neiva 2022 FASE I ACTUAL (5)'!$C$6:$F$540,"NO ESTA")</f>
        <v>SUMINISTRO E INSTALACION PASAMANOS PUNTO FIJO No. 1 (Incluye todos los accesorios para su instalación)</v>
      </c>
      <c r="N228" s="9" t="str">
        <v>ML</v>
      </c>
      <c r="O228" s="9">
        <v>16</v>
      </c>
      <c r="P228" s="9">
        <v>247397</v>
      </c>
      <c r="Q228" s="124" t="str">
        <f t="shared" si="54"/>
        <v>FASE II</v>
      </c>
      <c r="R228" s="155">
        <f t="shared" si="47"/>
        <v>60.13</v>
      </c>
      <c r="S228" s="156">
        <f t="shared" si="52"/>
        <v>261790</v>
      </c>
      <c r="T228" s="156">
        <f t="shared" si="53"/>
        <v>15741432.699999999</v>
      </c>
    </row>
    <row r="229" spans="1:20" s="9" customFormat="1" ht="35.1" customHeight="1" x14ac:dyDescent="0.25">
      <c r="A229" s="215"/>
      <c r="B229" s="276" t="s">
        <v>260</v>
      </c>
      <c r="C229" s="256" t="s">
        <v>261</v>
      </c>
      <c r="D229" s="256"/>
      <c r="E229" s="246"/>
      <c r="F229" s="246"/>
      <c r="G229" s="246"/>
      <c r="H229" s="303"/>
      <c r="I229" s="246"/>
      <c r="J229" s="8"/>
      <c r="K229" s="8">
        <f t="shared" si="40"/>
        <v>0</v>
      </c>
      <c r="L229" s="8">
        <f t="shared" si="51"/>
        <v>0</v>
      </c>
      <c r="M229" s="9" t="str">
        <f t="array" ref="M229:P229">_xlfn.XLOOKUP(B229,'Neiva 2022 FASE I ACTUAL (5)'!$B$6:$B$540,'Neiva 2022 FASE I ACTUAL (5)'!$C$6:$F$540,"NO ESTA")</f>
        <v>SUMINISTRO E INSTALACIÓN DE DIVISIONES DE BAÑOS</v>
      </c>
      <c r="N229" s="9">
        <v>0</v>
      </c>
      <c r="O229" s="9">
        <v>0</v>
      </c>
      <c r="P229" s="9">
        <v>0</v>
      </c>
      <c r="Q229" s="124">
        <f t="shared" si="54"/>
        <v>0</v>
      </c>
      <c r="R229" s="155">
        <f t="shared" si="47"/>
        <v>0</v>
      </c>
      <c r="S229" s="156">
        <f t="shared" si="52"/>
        <v>0</v>
      </c>
      <c r="T229" s="156">
        <f t="shared" si="53"/>
        <v>0</v>
      </c>
    </row>
    <row r="230" spans="1:20" s="9" customFormat="1" ht="35.1" customHeight="1" x14ac:dyDescent="0.25">
      <c r="A230" s="215"/>
      <c r="B230" s="240" t="s">
        <v>262</v>
      </c>
      <c r="C230" s="254" t="s">
        <v>263</v>
      </c>
      <c r="D230" s="255" t="s">
        <v>13</v>
      </c>
      <c r="E230" s="242">
        <v>83.5</v>
      </c>
      <c r="F230" s="242">
        <f>+O230</f>
        <v>83.5</v>
      </c>
      <c r="G230" s="242">
        <f>+F230+E230</f>
        <v>167</v>
      </c>
      <c r="H230" s="243">
        <v>618351</v>
      </c>
      <c r="I230" s="243">
        <f>ROUND(+H230*G230,2)</f>
        <v>103264617</v>
      </c>
      <c r="J230" s="8"/>
      <c r="K230" s="8">
        <f t="shared" si="40"/>
        <v>627935</v>
      </c>
      <c r="L230" s="8">
        <f t="shared" si="51"/>
        <v>52432572.5</v>
      </c>
      <c r="M230" s="9" t="str">
        <f t="array" ref="M230:P230">_xlfn.XLOOKUP(B230,'Neiva 2022 FASE I ACTUAL (5)'!$B$6:$B$540,'Neiva 2022 FASE I ACTUAL (5)'!$C$6:$F$540,"NO ESTA")</f>
        <v>SUMINISTRO E INSTALACION DIVISION EN ACERO INOXIDABLE BAÑOS (Incluye todos los accesorios para su instalación)</v>
      </c>
      <c r="N230" s="9" t="str">
        <v>M2</v>
      </c>
      <c r="O230" s="9">
        <v>83.5</v>
      </c>
      <c r="P230" s="9">
        <v>593414</v>
      </c>
      <c r="Q230" s="124" t="str">
        <f t="shared" si="54"/>
        <v>FASE II</v>
      </c>
      <c r="R230" s="155">
        <f t="shared" si="47"/>
        <v>167</v>
      </c>
      <c r="S230" s="156">
        <f t="shared" si="52"/>
        <v>627935</v>
      </c>
      <c r="T230" s="156">
        <f t="shared" si="53"/>
        <v>104865145</v>
      </c>
    </row>
    <row r="231" spans="1:20" s="9" customFormat="1" ht="35.1" customHeight="1" x14ac:dyDescent="0.25">
      <c r="A231" s="215"/>
      <c r="B231" s="266">
        <v>11</v>
      </c>
      <c r="C231" s="267" t="s">
        <v>1169</v>
      </c>
      <c r="D231" s="268"/>
      <c r="E231" s="268"/>
      <c r="F231" s="268"/>
      <c r="G231" s="268"/>
      <c r="H231" s="306"/>
      <c r="I231" s="268"/>
      <c r="J231" s="8"/>
      <c r="K231" s="8">
        <f t="shared" si="40"/>
        <v>0</v>
      </c>
      <c r="L231" s="8">
        <f t="shared" si="51"/>
        <v>0</v>
      </c>
      <c r="M231" s="9" t="str">
        <f t="array" ref="M231">_xlfn.XLOOKUP(B231,'Neiva 2022 FASE I ACTUAL (5)'!$B$6:$B$540,'Neiva 2022 FASE I ACTUAL (5)'!$C$6:$F$540,"NO ESTA")</f>
        <v>NO ESTA</v>
      </c>
      <c r="Q231" s="124">
        <f t="shared" si="54"/>
        <v>0</v>
      </c>
      <c r="R231" s="155">
        <f t="shared" si="47"/>
        <v>0</v>
      </c>
      <c r="S231" s="156">
        <f t="shared" si="52"/>
        <v>0</v>
      </c>
      <c r="T231" s="156">
        <f t="shared" si="53"/>
        <v>0</v>
      </c>
    </row>
    <row r="232" spans="1:20" s="9" customFormat="1" ht="35.1" customHeight="1" x14ac:dyDescent="0.25">
      <c r="A232" s="215"/>
      <c r="B232" s="244" t="s">
        <v>1170</v>
      </c>
      <c r="C232" s="245" t="s">
        <v>10</v>
      </c>
      <c r="D232" s="244"/>
      <c r="E232" s="246"/>
      <c r="F232" s="246"/>
      <c r="G232" s="246"/>
      <c r="H232" s="303"/>
      <c r="I232" s="246"/>
      <c r="J232" s="8"/>
      <c r="K232" s="8">
        <f t="shared" si="40"/>
        <v>0</v>
      </c>
      <c r="L232" s="8">
        <f t="shared" si="51"/>
        <v>0</v>
      </c>
      <c r="M232" s="9" t="str">
        <f t="array" ref="M232">_xlfn.XLOOKUP(B232,'Neiva 2022 FASE I ACTUAL (5)'!$B$6:$B$540,'Neiva 2022 FASE I ACTUAL (5)'!$C$6:$F$540,"NO ESTA")</f>
        <v>NO ESTA</v>
      </c>
      <c r="Q232" s="124">
        <f t="shared" si="54"/>
        <v>0</v>
      </c>
      <c r="R232" s="155">
        <f t="shared" si="47"/>
        <v>0</v>
      </c>
      <c r="S232" s="156">
        <f t="shared" si="52"/>
        <v>0</v>
      </c>
      <c r="T232" s="156">
        <f t="shared" si="53"/>
        <v>0</v>
      </c>
    </row>
    <row r="233" spans="1:20" s="9" customFormat="1" ht="35.1" customHeight="1" x14ac:dyDescent="0.25">
      <c r="A233" s="215"/>
      <c r="B233" s="255" t="s">
        <v>1171</v>
      </c>
      <c r="C233" s="254" t="s">
        <v>1050</v>
      </c>
      <c r="D233" s="255" t="s">
        <v>13</v>
      </c>
      <c r="E233" s="242">
        <v>745.71560000000011</v>
      </c>
      <c r="F233" s="242">
        <f>+O233</f>
        <v>0</v>
      </c>
      <c r="G233" s="242">
        <f>+F233+E233</f>
        <v>745.71560000000011</v>
      </c>
      <c r="H233" s="243">
        <v>3521</v>
      </c>
      <c r="I233" s="243">
        <f>ROUND(+H233*G233,2)</f>
        <v>2625664.63</v>
      </c>
      <c r="J233" s="8"/>
      <c r="K233" s="8">
        <f t="shared" si="40"/>
        <v>3576</v>
      </c>
      <c r="L233" s="8">
        <f t="shared" si="51"/>
        <v>2666678.9856000002</v>
      </c>
      <c r="M233" s="9" t="str">
        <f t="array" ref="M233">_xlfn.XLOOKUP(B233,'Neiva 2022 FASE I ACTUAL (5)'!$B$6:$B$540,'Neiva 2022 FASE I ACTUAL (5)'!$C$6:$F$540,"NO ESTA")</f>
        <v>NO ESTA</v>
      </c>
      <c r="Q233" s="124">
        <f t="shared" si="54"/>
        <v>0</v>
      </c>
      <c r="R233" s="155">
        <f t="shared" si="47"/>
        <v>745.71560000000011</v>
      </c>
      <c r="S233" s="156">
        <f t="shared" si="52"/>
        <v>3576</v>
      </c>
      <c r="T233" s="156">
        <f t="shared" si="53"/>
        <v>2666678.9900000002</v>
      </c>
    </row>
    <row r="234" spans="1:20" s="9" customFormat="1" ht="35.1" customHeight="1" x14ac:dyDescent="0.25">
      <c r="A234" s="215"/>
      <c r="B234" s="255" t="s">
        <v>1172</v>
      </c>
      <c r="C234" s="254" t="s">
        <v>12</v>
      </c>
      <c r="D234" s="255" t="s">
        <v>13</v>
      </c>
      <c r="E234" s="242">
        <v>745.71560000000011</v>
      </c>
      <c r="F234" s="242">
        <f>+O234</f>
        <v>0</v>
      </c>
      <c r="G234" s="242">
        <f>+F234+E234</f>
        <v>745.71560000000011</v>
      </c>
      <c r="H234" s="243">
        <v>27093</v>
      </c>
      <c r="I234" s="243">
        <f>ROUND(+H234*G234,2)</f>
        <v>20203672.75</v>
      </c>
      <c r="J234" s="8"/>
      <c r="K234" s="8">
        <f t="shared" si="40"/>
        <v>27513</v>
      </c>
      <c r="L234" s="8">
        <f t="shared" si="51"/>
        <v>20516873.302800003</v>
      </c>
      <c r="M234" s="9" t="str">
        <f t="array" ref="M234">_xlfn.XLOOKUP(B234,'Neiva 2022 FASE I ACTUAL (5)'!$B$6:$B$540,'Neiva 2022 FASE I ACTUAL (5)'!$C$6:$F$540,"NO ESTA")</f>
        <v>NO ESTA</v>
      </c>
      <c r="Q234" s="124">
        <f t="shared" si="54"/>
        <v>0</v>
      </c>
      <c r="R234" s="155">
        <f t="shared" si="47"/>
        <v>745.71560000000011</v>
      </c>
      <c r="S234" s="156">
        <f t="shared" si="52"/>
        <v>27513</v>
      </c>
      <c r="T234" s="156">
        <f t="shared" si="53"/>
        <v>20516873.300000001</v>
      </c>
    </row>
    <row r="235" spans="1:20" s="9" customFormat="1" ht="35.1" customHeight="1" x14ac:dyDescent="0.25">
      <c r="A235" s="215"/>
      <c r="B235" s="255" t="s">
        <v>1173</v>
      </c>
      <c r="C235" s="254" t="s">
        <v>1052</v>
      </c>
      <c r="D235" s="255" t="s">
        <v>94</v>
      </c>
      <c r="E235" s="242">
        <v>110.98</v>
      </c>
      <c r="F235" s="242">
        <f>+O235</f>
        <v>0</v>
      </c>
      <c r="G235" s="242">
        <f>+F235+E235</f>
        <v>110.98</v>
      </c>
      <c r="H235" s="243">
        <v>35024</v>
      </c>
      <c r="I235" s="243">
        <f>ROUND(+H235*G235,2)</f>
        <v>3886963.52</v>
      </c>
      <c r="J235" s="8"/>
      <c r="K235" s="8">
        <f t="shared" si="40"/>
        <v>35567</v>
      </c>
      <c r="L235" s="8">
        <f t="shared" si="51"/>
        <v>3947225.66</v>
      </c>
      <c r="M235" s="9" t="str">
        <f t="array" ref="M235">_xlfn.XLOOKUP(B235,'Neiva 2022 FASE I ACTUAL (5)'!$B$6:$B$540,'Neiva 2022 FASE I ACTUAL (5)'!$C$6:$F$540,"NO ESTA")</f>
        <v>NO ESTA</v>
      </c>
      <c r="Q235" s="124">
        <f t="shared" si="54"/>
        <v>0</v>
      </c>
      <c r="R235" s="155">
        <f t="shared" si="47"/>
        <v>110.98</v>
      </c>
      <c r="S235" s="156">
        <f t="shared" si="52"/>
        <v>35567</v>
      </c>
      <c r="T235" s="156">
        <f t="shared" si="53"/>
        <v>3947225.66</v>
      </c>
    </row>
    <row r="236" spans="1:20" s="9" customFormat="1" ht="35.1" customHeight="1" x14ac:dyDescent="0.25">
      <c r="A236" s="215"/>
      <c r="B236" s="244" t="s">
        <v>1174</v>
      </c>
      <c r="C236" s="245" t="s">
        <v>18</v>
      </c>
      <c r="D236" s="244"/>
      <c r="E236" s="246"/>
      <c r="F236" s="246"/>
      <c r="G236" s="246"/>
      <c r="H236" s="303"/>
      <c r="I236" s="246"/>
      <c r="J236" s="8"/>
      <c r="K236" s="8">
        <f t="shared" si="40"/>
        <v>0</v>
      </c>
      <c r="L236" s="8">
        <f t="shared" si="51"/>
        <v>0</v>
      </c>
      <c r="M236" s="9" t="str">
        <f t="array" ref="M236">_xlfn.XLOOKUP(B236,'Neiva 2022 FASE I ACTUAL (5)'!$B$6:$B$540,'Neiva 2022 FASE I ACTUAL (5)'!$C$6:$F$540,"NO ESTA")</f>
        <v>NO ESTA</v>
      </c>
      <c r="Q236" s="124">
        <f t="shared" si="54"/>
        <v>0</v>
      </c>
      <c r="R236" s="155">
        <f t="shared" si="47"/>
        <v>0</v>
      </c>
      <c r="S236" s="156">
        <f t="shared" si="52"/>
        <v>0</v>
      </c>
      <c r="T236" s="156">
        <f t="shared" si="53"/>
        <v>0</v>
      </c>
    </row>
    <row r="237" spans="1:20" s="9" customFormat="1" ht="35.1" customHeight="1" x14ac:dyDescent="0.25">
      <c r="A237" s="215"/>
      <c r="B237" s="255" t="s">
        <v>1175</v>
      </c>
      <c r="C237" s="254" t="s">
        <v>1176</v>
      </c>
      <c r="D237" s="255" t="s">
        <v>374</v>
      </c>
      <c r="E237" s="242">
        <v>1</v>
      </c>
      <c r="F237" s="242">
        <f>+O237</f>
        <v>0</v>
      </c>
      <c r="G237" s="242">
        <f>+F237+E237</f>
        <v>1</v>
      </c>
      <c r="H237" s="243">
        <v>558358</v>
      </c>
      <c r="I237" s="243">
        <f>ROUND(+H237*G237,2)</f>
        <v>558358</v>
      </c>
      <c r="J237" s="8"/>
      <c r="K237" s="8">
        <f t="shared" si="40"/>
        <v>567013</v>
      </c>
      <c r="L237" s="8">
        <f t="shared" si="51"/>
        <v>567013</v>
      </c>
      <c r="M237" s="9" t="str">
        <f t="array" ref="M237">_xlfn.XLOOKUP(B237,'Neiva 2022 FASE I ACTUAL (5)'!$B$6:$B$540,'Neiva 2022 FASE I ACTUAL (5)'!$C$6:$F$540,"NO ESTA")</f>
        <v>NO ESTA</v>
      </c>
      <c r="Q237" s="124">
        <f t="shared" si="54"/>
        <v>0</v>
      </c>
      <c r="R237" s="155">
        <f t="shared" si="47"/>
        <v>1</v>
      </c>
      <c r="S237" s="156">
        <f t="shared" si="52"/>
        <v>567013</v>
      </c>
      <c r="T237" s="156">
        <f t="shared" si="53"/>
        <v>567013</v>
      </c>
    </row>
    <row r="238" spans="1:20" s="9" customFormat="1" ht="35.1" customHeight="1" x14ac:dyDescent="0.25">
      <c r="A238" s="215"/>
      <c r="B238" s="255" t="s">
        <v>1177</v>
      </c>
      <c r="C238" s="254" t="s">
        <v>1178</v>
      </c>
      <c r="D238" s="255" t="s">
        <v>374</v>
      </c>
      <c r="E238" s="242">
        <v>1</v>
      </c>
      <c r="F238" s="242">
        <f>+O238</f>
        <v>0</v>
      </c>
      <c r="G238" s="242">
        <f>+F238+E238</f>
        <v>1</v>
      </c>
      <c r="H238" s="243">
        <v>4001595</v>
      </c>
      <c r="I238" s="243">
        <f>ROUND(+H238*G238,2)</f>
        <v>4001595</v>
      </c>
      <c r="J238" s="8"/>
      <c r="K238" s="8">
        <f t="shared" si="40"/>
        <v>4063620</v>
      </c>
      <c r="L238" s="8">
        <f t="shared" si="51"/>
        <v>4063620</v>
      </c>
      <c r="M238" s="9" t="str">
        <f t="array" ref="M238">_xlfn.XLOOKUP(B238,'Neiva 2022 FASE I ACTUAL (5)'!$B$6:$B$540,'Neiva 2022 FASE I ACTUAL (5)'!$C$6:$F$540,"NO ESTA")</f>
        <v>NO ESTA</v>
      </c>
      <c r="Q238" s="124">
        <f t="shared" si="54"/>
        <v>0</v>
      </c>
      <c r="R238" s="155">
        <f t="shared" si="47"/>
        <v>1</v>
      </c>
      <c r="S238" s="156">
        <f t="shared" si="52"/>
        <v>4063620</v>
      </c>
      <c r="T238" s="156">
        <f t="shared" si="53"/>
        <v>4063620</v>
      </c>
    </row>
    <row r="239" spans="1:20" s="9" customFormat="1" ht="35.1" customHeight="1" x14ac:dyDescent="0.25">
      <c r="A239" s="215"/>
      <c r="B239" s="244" t="s">
        <v>1179</v>
      </c>
      <c r="C239" s="245" t="s">
        <v>20</v>
      </c>
      <c r="D239" s="246"/>
      <c r="E239" s="246"/>
      <c r="F239" s="246"/>
      <c r="G239" s="246"/>
      <c r="H239" s="303"/>
      <c r="I239" s="246"/>
      <c r="J239" s="8"/>
      <c r="K239" s="8">
        <f t="shared" si="40"/>
        <v>0</v>
      </c>
      <c r="L239" s="8">
        <f t="shared" si="51"/>
        <v>0</v>
      </c>
      <c r="M239" s="9" t="str">
        <f t="array" ref="M239">_xlfn.XLOOKUP(B239,'Neiva 2022 FASE I ACTUAL (5)'!$B$6:$B$540,'Neiva 2022 FASE I ACTUAL (5)'!$C$6:$F$540,"NO ESTA")</f>
        <v>NO ESTA</v>
      </c>
      <c r="Q239" s="124">
        <f t="shared" si="54"/>
        <v>0</v>
      </c>
      <c r="R239" s="155">
        <f t="shared" si="47"/>
        <v>0</v>
      </c>
      <c r="S239" s="156">
        <f t="shared" si="52"/>
        <v>0</v>
      </c>
      <c r="T239" s="156">
        <f t="shared" si="53"/>
        <v>0</v>
      </c>
    </row>
    <row r="240" spans="1:20" s="9" customFormat="1" ht="35.1" customHeight="1" x14ac:dyDescent="0.25">
      <c r="A240" s="215"/>
      <c r="B240" s="255" t="s">
        <v>1180</v>
      </c>
      <c r="C240" s="254" t="s">
        <v>1181</v>
      </c>
      <c r="D240" s="255" t="s">
        <v>1182</v>
      </c>
      <c r="E240" s="242">
        <v>1</v>
      </c>
      <c r="F240" s="242">
        <f>+O240</f>
        <v>0</v>
      </c>
      <c r="G240" s="242">
        <f>+F240+E240</f>
        <v>1</v>
      </c>
      <c r="H240" s="243">
        <v>1956919</v>
      </c>
      <c r="I240" s="243">
        <f>ROUND(+H240*G240,2)</f>
        <v>1956919</v>
      </c>
      <c r="J240" s="8"/>
      <c r="K240" s="8">
        <f t="shared" si="40"/>
        <v>1987251</v>
      </c>
      <c r="L240" s="8">
        <f t="shared" si="51"/>
        <v>1987251</v>
      </c>
      <c r="M240" s="9" t="str">
        <f t="array" ref="M240">_xlfn.XLOOKUP(B240,'Neiva 2022 FASE I ACTUAL (5)'!$B$6:$B$540,'Neiva 2022 FASE I ACTUAL (5)'!$C$6:$F$540,"NO ESTA")</f>
        <v>NO ESTA</v>
      </c>
      <c r="Q240" s="124">
        <f t="shared" si="54"/>
        <v>0</v>
      </c>
      <c r="R240" s="155">
        <f t="shared" si="47"/>
        <v>1</v>
      </c>
      <c r="S240" s="156">
        <f t="shared" si="52"/>
        <v>1987251</v>
      </c>
      <c r="T240" s="156">
        <f t="shared" si="53"/>
        <v>1987251</v>
      </c>
    </row>
    <row r="241" spans="1:20" s="9" customFormat="1" ht="35.1" customHeight="1" x14ac:dyDescent="0.25">
      <c r="A241" s="215"/>
      <c r="B241" s="244" t="s">
        <v>1183</v>
      </c>
      <c r="C241" s="245" t="s">
        <v>1184</v>
      </c>
      <c r="D241" s="246"/>
      <c r="E241" s="246"/>
      <c r="F241" s="246"/>
      <c r="G241" s="246"/>
      <c r="H241" s="303"/>
      <c r="I241" s="246"/>
      <c r="J241" s="8"/>
      <c r="K241" s="8">
        <f t="shared" ref="K241:K304" si="61">+ROUND(H241*(1+$K$4),0)</f>
        <v>0</v>
      </c>
      <c r="L241" s="8">
        <f t="shared" si="51"/>
        <v>0</v>
      </c>
      <c r="M241" s="9" t="str">
        <f t="array" ref="M241">_xlfn.XLOOKUP(B241,'Neiva 2022 FASE I ACTUAL (5)'!$B$6:$B$540,'Neiva 2022 FASE I ACTUAL (5)'!$C$6:$F$540,"NO ESTA")</f>
        <v>NO ESTA</v>
      </c>
      <c r="Q241" s="124">
        <f t="shared" si="54"/>
        <v>0</v>
      </c>
      <c r="R241" s="155">
        <f t="shared" si="47"/>
        <v>0</v>
      </c>
      <c r="S241" s="156">
        <f t="shared" si="52"/>
        <v>0</v>
      </c>
      <c r="T241" s="156">
        <f t="shared" si="53"/>
        <v>0</v>
      </c>
    </row>
    <row r="242" spans="1:20" s="9" customFormat="1" ht="35.1" customHeight="1" x14ac:dyDescent="0.25">
      <c r="A242" s="215"/>
      <c r="B242" s="240" t="s">
        <v>1185</v>
      </c>
      <c r="C242" s="241" t="s">
        <v>1186</v>
      </c>
      <c r="D242" s="240" t="s">
        <v>30</v>
      </c>
      <c r="E242" s="242">
        <v>79.201499999999996</v>
      </c>
      <c r="F242" s="242">
        <f>+O242</f>
        <v>0</v>
      </c>
      <c r="G242" s="242">
        <f>+F242+E242</f>
        <v>79.201499999999996</v>
      </c>
      <c r="H242" s="243">
        <v>32132</v>
      </c>
      <c r="I242" s="243">
        <f>ROUND(+H242*G242,2)</f>
        <v>2544902.6</v>
      </c>
      <c r="J242" s="8"/>
      <c r="K242" s="8">
        <f t="shared" si="61"/>
        <v>32630</v>
      </c>
      <c r="L242" s="8">
        <f t="shared" si="51"/>
        <v>2584344.9449999998</v>
      </c>
      <c r="M242" s="9" t="str">
        <f t="array" ref="M242">_xlfn.XLOOKUP(B242,'Neiva 2022 FASE I ACTUAL (5)'!$B$6:$B$540,'Neiva 2022 FASE I ACTUAL (5)'!$C$6:$F$540,"NO ESTA")</f>
        <v>NO ESTA</v>
      </c>
      <c r="Q242" s="124">
        <f t="shared" si="54"/>
        <v>0</v>
      </c>
      <c r="R242" s="155">
        <f t="shared" si="47"/>
        <v>79.201499999999996</v>
      </c>
      <c r="S242" s="156">
        <f t="shared" si="52"/>
        <v>32630</v>
      </c>
      <c r="T242" s="156">
        <f t="shared" si="53"/>
        <v>2584344.9500000002</v>
      </c>
    </row>
    <row r="243" spans="1:20" s="9" customFormat="1" ht="35.1" customHeight="1" x14ac:dyDescent="0.25">
      <c r="A243" s="215"/>
      <c r="B243" s="240" t="s">
        <v>1187</v>
      </c>
      <c r="C243" s="251" t="s">
        <v>1188</v>
      </c>
      <c r="D243" s="240" t="s">
        <v>30</v>
      </c>
      <c r="E243" s="242">
        <v>110</v>
      </c>
      <c r="F243" s="242">
        <f>+O243</f>
        <v>0</v>
      </c>
      <c r="G243" s="242">
        <f>+F243+E243</f>
        <v>110</v>
      </c>
      <c r="H243" s="243">
        <v>145973</v>
      </c>
      <c r="I243" s="243">
        <f>ROUND(+H243*G243,2)</f>
        <v>16057030</v>
      </c>
      <c r="J243" s="8"/>
      <c r="K243" s="8">
        <f t="shared" si="61"/>
        <v>148236</v>
      </c>
      <c r="L243" s="8">
        <f t="shared" si="51"/>
        <v>16305960</v>
      </c>
      <c r="M243" s="9" t="str">
        <f t="array" ref="M243">_xlfn.XLOOKUP(B243,'Neiva 2022 FASE I ACTUAL (5)'!$B$6:$B$540,'Neiva 2022 FASE I ACTUAL (5)'!$C$6:$F$540,"NO ESTA")</f>
        <v>NO ESTA</v>
      </c>
      <c r="Q243" s="124">
        <f t="shared" si="54"/>
        <v>0</v>
      </c>
      <c r="R243" s="155">
        <f t="shared" si="47"/>
        <v>110</v>
      </c>
      <c r="S243" s="156">
        <f t="shared" si="52"/>
        <v>148236</v>
      </c>
      <c r="T243" s="156">
        <f t="shared" si="53"/>
        <v>16305960</v>
      </c>
    </row>
    <row r="244" spans="1:20" s="9" customFormat="1" ht="35.1" customHeight="1" x14ac:dyDescent="0.25">
      <c r="A244" s="215"/>
      <c r="B244" s="240" t="s">
        <v>1189</v>
      </c>
      <c r="C244" s="254" t="s">
        <v>422</v>
      </c>
      <c r="D244" s="240" t="s">
        <v>30</v>
      </c>
      <c r="E244" s="242">
        <v>64.790000000000006</v>
      </c>
      <c r="F244" s="242">
        <f>+O244</f>
        <v>0</v>
      </c>
      <c r="G244" s="242">
        <f>+F244+E244</f>
        <v>64.790000000000006</v>
      </c>
      <c r="H244" s="243">
        <v>76759</v>
      </c>
      <c r="I244" s="243">
        <f>ROUND(+H244*G244,2)</f>
        <v>4973215.6100000003</v>
      </c>
      <c r="J244" s="8"/>
      <c r="K244" s="8">
        <f t="shared" si="61"/>
        <v>77949</v>
      </c>
      <c r="L244" s="8">
        <f t="shared" si="51"/>
        <v>5050315.7100000009</v>
      </c>
      <c r="M244" s="9" t="str">
        <f t="array" ref="M244">_xlfn.XLOOKUP(B244,'Neiva 2022 FASE I ACTUAL (5)'!$B$6:$B$540,'Neiva 2022 FASE I ACTUAL (5)'!$C$6:$F$540,"NO ESTA")</f>
        <v>NO ESTA</v>
      </c>
      <c r="Q244" s="124">
        <f t="shared" si="54"/>
        <v>0</v>
      </c>
      <c r="R244" s="155">
        <f t="shared" si="47"/>
        <v>64.790000000000006</v>
      </c>
      <c r="S244" s="156">
        <f t="shared" si="52"/>
        <v>77949</v>
      </c>
      <c r="T244" s="156">
        <f t="shared" si="53"/>
        <v>5050315.71</v>
      </c>
    </row>
    <row r="245" spans="1:20" s="9" customFormat="1" ht="35.1" customHeight="1" x14ac:dyDescent="0.25">
      <c r="A245" s="215"/>
      <c r="B245" s="240" t="s">
        <v>1190</v>
      </c>
      <c r="C245" s="241" t="s">
        <v>1191</v>
      </c>
      <c r="D245" s="240" t="s">
        <v>30</v>
      </c>
      <c r="E245" s="242">
        <v>2</v>
      </c>
      <c r="F245" s="242">
        <f>+O245</f>
        <v>0</v>
      </c>
      <c r="G245" s="242">
        <f>+F245+E245</f>
        <v>2</v>
      </c>
      <c r="H245" s="243">
        <v>526978</v>
      </c>
      <c r="I245" s="243">
        <f>ROUND(+H245*G245,2)</f>
        <v>1053956</v>
      </c>
      <c r="J245" s="8"/>
      <c r="K245" s="8">
        <f t="shared" si="61"/>
        <v>535146</v>
      </c>
      <c r="L245" s="8">
        <f t="shared" si="51"/>
        <v>1070292</v>
      </c>
      <c r="M245" s="9" t="str">
        <f t="array" ref="M245">_xlfn.XLOOKUP(B245,'Neiva 2022 FASE I ACTUAL (5)'!$B$6:$B$540,'Neiva 2022 FASE I ACTUAL (5)'!$C$6:$F$540,"NO ESTA")</f>
        <v>NO ESTA</v>
      </c>
      <c r="Q245" s="124">
        <f t="shared" si="54"/>
        <v>0</v>
      </c>
      <c r="R245" s="155">
        <f t="shared" si="47"/>
        <v>2</v>
      </c>
      <c r="S245" s="156">
        <f t="shared" si="52"/>
        <v>535146</v>
      </c>
      <c r="T245" s="156">
        <f t="shared" si="53"/>
        <v>1070292</v>
      </c>
    </row>
    <row r="246" spans="1:20" s="9" customFormat="1" ht="35.1" customHeight="1" x14ac:dyDescent="0.25">
      <c r="A246" s="215"/>
      <c r="B246" s="240" t="s">
        <v>1192</v>
      </c>
      <c r="C246" s="241" t="s">
        <v>1193</v>
      </c>
      <c r="D246" s="240" t="s">
        <v>30</v>
      </c>
      <c r="E246" s="242">
        <v>139.05000000000001</v>
      </c>
      <c r="F246" s="242">
        <f>+O246</f>
        <v>0</v>
      </c>
      <c r="G246" s="242">
        <f>+F246+E246</f>
        <v>139.05000000000001</v>
      </c>
      <c r="H246" s="243">
        <v>34866</v>
      </c>
      <c r="I246" s="243">
        <f>ROUND(+H246*G246,2)</f>
        <v>4848117.3</v>
      </c>
      <c r="J246" s="8"/>
      <c r="K246" s="8">
        <f t="shared" si="61"/>
        <v>35406</v>
      </c>
      <c r="L246" s="8">
        <f t="shared" si="51"/>
        <v>4923204.3000000007</v>
      </c>
      <c r="M246" s="9" t="str">
        <f t="array" ref="M246">_xlfn.XLOOKUP(B246,'Neiva 2022 FASE I ACTUAL (5)'!$B$6:$B$540,'Neiva 2022 FASE I ACTUAL (5)'!$C$6:$F$540,"NO ESTA")</f>
        <v>NO ESTA</v>
      </c>
      <c r="Q246" s="124">
        <f t="shared" si="54"/>
        <v>0</v>
      </c>
      <c r="R246" s="155">
        <f t="shared" si="47"/>
        <v>139.05000000000001</v>
      </c>
      <c r="S246" s="156">
        <f t="shared" si="52"/>
        <v>35406</v>
      </c>
      <c r="T246" s="156">
        <f t="shared" si="53"/>
        <v>4923204.3</v>
      </c>
    </row>
    <row r="247" spans="1:20" s="9" customFormat="1" ht="35.1" customHeight="1" x14ac:dyDescent="0.25">
      <c r="A247" s="215"/>
      <c r="B247" s="265" t="s">
        <v>1194</v>
      </c>
      <c r="C247" s="245" t="s">
        <v>1195</v>
      </c>
      <c r="D247" s="256"/>
      <c r="E247" s="246"/>
      <c r="F247" s="246"/>
      <c r="G247" s="246"/>
      <c r="H247" s="303"/>
      <c r="I247" s="246"/>
      <c r="J247" s="8"/>
      <c r="K247" s="8">
        <f t="shared" si="61"/>
        <v>0</v>
      </c>
      <c r="L247" s="8">
        <f t="shared" si="51"/>
        <v>0</v>
      </c>
      <c r="M247" s="9" t="str">
        <f t="array" ref="M247">_xlfn.XLOOKUP(B247,'Neiva 2022 FASE I ACTUAL (5)'!$B$6:$B$540,'Neiva 2022 FASE I ACTUAL (5)'!$C$6:$F$540,"NO ESTA")</f>
        <v>NO ESTA</v>
      </c>
      <c r="Q247" s="124">
        <f t="shared" si="54"/>
        <v>0</v>
      </c>
      <c r="R247" s="155">
        <f t="shared" si="47"/>
        <v>0</v>
      </c>
      <c r="S247" s="156">
        <f t="shared" si="52"/>
        <v>0</v>
      </c>
      <c r="T247" s="156">
        <f t="shared" si="53"/>
        <v>0</v>
      </c>
    </row>
    <row r="248" spans="1:20" s="9" customFormat="1" ht="35.1" customHeight="1" x14ac:dyDescent="0.25">
      <c r="A248" s="215"/>
      <c r="B248" s="240" t="s">
        <v>1196</v>
      </c>
      <c r="C248" s="251" t="s">
        <v>1197</v>
      </c>
      <c r="D248" s="240" t="s">
        <v>13</v>
      </c>
      <c r="E248" s="242">
        <v>185.11</v>
      </c>
      <c r="F248" s="242">
        <f>+O248</f>
        <v>0</v>
      </c>
      <c r="G248" s="242">
        <f>+F248+E248</f>
        <v>185.11</v>
      </c>
      <c r="H248" s="243">
        <v>78945</v>
      </c>
      <c r="I248" s="243">
        <f>ROUND(+H248*G248,2)</f>
        <v>14613508.949999999</v>
      </c>
      <c r="J248" s="8"/>
      <c r="K248" s="8">
        <f t="shared" si="61"/>
        <v>80169</v>
      </c>
      <c r="L248" s="8">
        <f t="shared" si="51"/>
        <v>14840083.590000002</v>
      </c>
      <c r="M248" s="9" t="str">
        <f t="array" ref="M248">_xlfn.XLOOKUP(B248,'Neiva 2022 FASE I ACTUAL (5)'!$B$6:$B$540,'Neiva 2022 FASE I ACTUAL (5)'!$C$6:$F$540,"NO ESTA")</f>
        <v>NO ESTA</v>
      </c>
      <c r="Q248" s="124">
        <f t="shared" si="54"/>
        <v>0</v>
      </c>
      <c r="R248" s="155">
        <f t="shared" si="47"/>
        <v>185.11</v>
      </c>
      <c r="S248" s="156">
        <f t="shared" si="52"/>
        <v>80169</v>
      </c>
      <c r="T248" s="156">
        <f t="shared" si="53"/>
        <v>14840083.59</v>
      </c>
    </row>
    <row r="249" spans="1:20" s="9" customFormat="1" ht="35.1" customHeight="1" x14ac:dyDescent="0.25">
      <c r="A249" s="215"/>
      <c r="B249" s="240" t="s">
        <v>1198</v>
      </c>
      <c r="C249" s="241" t="s">
        <v>1199</v>
      </c>
      <c r="D249" s="240" t="s">
        <v>94</v>
      </c>
      <c r="E249" s="242">
        <v>72.05</v>
      </c>
      <c r="F249" s="242">
        <f>+O249</f>
        <v>0</v>
      </c>
      <c r="G249" s="242">
        <f>+F249+E249</f>
        <v>72.05</v>
      </c>
      <c r="H249" s="243">
        <v>46951</v>
      </c>
      <c r="I249" s="243">
        <f>ROUND(+H249*G249,2)</f>
        <v>3382819.55</v>
      </c>
      <c r="J249" s="8"/>
      <c r="K249" s="8">
        <f t="shared" si="61"/>
        <v>47679</v>
      </c>
      <c r="L249" s="8">
        <f t="shared" si="51"/>
        <v>3435271.9499999997</v>
      </c>
      <c r="M249" s="9" t="str">
        <f t="array" ref="M249">_xlfn.XLOOKUP(B249,'Neiva 2022 FASE I ACTUAL (5)'!$B$6:$B$540,'Neiva 2022 FASE I ACTUAL (5)'!$C$6:$F$540,"NO ESTA")</f>
        <v>NO ESTA</v>
      </c>
      <c r="Q249" s="124">
        <f t="shared" si="54"/>
        <v>0</v>
      </c>
      <c r="R249" s="155">
        <f t="shared" si="47"/>
        <v>72.05</v>
      </c>
      <c r="S249" s="156">
        <f t="shared" si="52"/>
        <v>47679</v>
      </c>
      <c r="T249" s="156">
        <f t="shared" si="53"/>
        <v>3435271.95</v>
      </c>
    </row>
    <row r="250" spans="1:20" s="9" customFormat="1" ht="35.1" customHeight="1" x14ac:dyDescent="0.25">
      <c r="A250" s="215"/>
      <c r="B250" s="240" t="s">
        <v>1200</v>
      </c>
      <c r="C250" s="241" t="s">
        <v>1201</v>
      </c>
      <c r="D250" s="240" t="s">
        <v>94</v>
      </c>
      <c r="E250" s="242">
        <v>303.41000000000003</v>
      </c>
      <c r="F250" s="242">
        <f>+O250</f>
        <v>0</v>
      </c>
      <c r="G250" s="242">
        <f>+F250+E250</f>
        <v>303.41000000000003</v>
      </c>
      <c r="H250" s="243">
        <v>71761</v>
      </c>
      <c r="I250" s="243">
        <f>ROUND(+H250*G250,2)</f>
        <v>21773005.010000002</v>
      </c>
      <c r="J250" s="8"/>
      <c r="K250" s="8">
        <f t="shared" si="61"/>
        <v>72873</v>
      </c>
      <c r="L250" s="8">
        <f t="shared" si="51"/>
        <v>22110396.930000003</v>
      </c>
      <c r="M250" s="9" t="str">
        <f t="array" ref="M250">_xlfn.XLOOKUP(B250,'Neiva 2022 FASE I ACTUAL (5)'!$B$6:$B$540,'Neiva 2022 FASE I ACTUAL (5)'!$C$6:$F$540,"NO ESTA")</f>
        <v>NO ESTA</v>
      </c>
      <c r="Q250" s="124">
        <f t="shared" si="54"/>
        <v>0</v>
      </c>
      <c r="R250" s="155">
        <f t="shared" si="47"/>
        <v>303.41000000000003</v>
      </c>
      <c r="S250" s="156">
        <f t="shared" si="52"/>
        <v>72873</v>
      </c>
      <c r="T250" s="156">
        <f t="shared" si="53"/>
        <v>22110396.93</v>
      </c>
    </row>
    <row r="251" spans="1:20" s="9" customFormat="1" ht="35.1" customHeight="1" x14ac:dyDescent="0.25">
      <c r="A251" s="215"/>
      <c r="B251" s="240" t="s">
        <v>1202</v>
      </c>
      <c r="C251" s="241" t="s">
        <v>1203</v>
      </c>
      <c r="D251" s="240" t="s">
        <v>13</v>
      </c>
      <c r="E251" s="242">
        <v>433</v>
      </c>
      <c r="F251" s="242">
        <f>+O251</f>
        <v>0</v>
      </c>
      <c r="G251" s="242">
        <f>+F251+E251</f>
        <v>433</v>
      </c>
      <c r="H251" s="243">
        <v>15872</v>
      </c>
      <c r="I251" s="243">
        <f>ROUND(+H251*G251,2)</f>
        <v>6872576</v>
      </c>
      <c r="J251" s="8"/>
      <c r="K251" s="8">
        <f t="shared" si="61"/>
        <v>16118</v>
      </c>
      <c r="L251" s="8">
        <f t="shared" si="51"/>
        <v>6979094</v>
      </c>
      <c r="M251" s="9" t="str">
        <f t="array" ref="M251">_xlfn.XLOOKUP(B251,'Neiva 2022 FASE I ACTUAL (5)'!$B$6:$B$540,'Neiva 2022 FASE I ACTUAL (5)'!$C$6:$F$540,"NO ESTA")</f>
        <v>NO ESTA</v>
      </c>
      <c r="Q251" s="124">
        <f t="shared" si="54"/>
        <v>0</v>
      </c>
      <c r="R251" s="155">
        <f t="shared" si="47"/>
        <v>433</v>
      </c>
      <c r="S251" s="156">
        <f t="shared" si="52"/>
        <v>16118</v>
      </c>
      <c r="T251" s="156">
        <f t="shared" si="53"/>
        <v>6979094</v>
      </c>
    </row>
    <row r="252" spans="1:20" s="9" customFormat="1" ht="35.1" customHeight="1" x14ac:dyDescent="0.25">
      <c r="A252" s="215"/>
      <c r="B252" s="244" t="s">
        <v>1204</v>
      </c>
      <c r="C252" s="245" t="s">
        <v>1205</v>
      </c>
      <c r="D252" s="244"/>
      <c r="E252" s="246"/>
      <c r="F252" s="246"/>
      <c r="G252" s="246"/>
      <c r="H252" s="303"/>
      <c r="I252" s="246"/>
      <c r="J252" s="8"/>
      <c r="K252" s="8">
        <f t="shared" si="61"/>
        <v>0</v>
      </c>
      <c r="L252" s="8">
        <f t="shared" si="51"/>
        <v>0</v>
      </c>
      <c r="M252" s="9" t="str">
        <f t="array" ref="M252">_xlfn.XLOOKUP(B252,'Neiva 2022 FASE I ACTUAL (5)'!$B$6:$B$540,'Neiva 2022 FASE I ACTUAL (5)'!$C$6:$F$540,"NO ESTA")</f>
        <v>NO ESTA</v>
      </c>
      <c r="Q252" s="124">
        <f t="shared" si="54"/>
        <v>0</v>
      </c>
      <c r="R252" s="155">
        <f t="shared" si="47"/>
        <v>0</v>
      </c>
      <c r="S252" s="156">
        <f t="shared" si="52"/>
        <v>0</v>
      </c>
      <c r="T252" s="156">
        <f t="shared" si="53"/>
        <v>0</v>
      </c>
    </row>
    <row r="253" spans="1:20" s="9" customFormat="1" ht="35.1" customHeight="1" x14ac:dyDescent="0.25">
      <c r="A253" s="215"/>
      <c r="B253" s="255" t="s">
        <v>1206</v>
      </c>
      <c r="C253" s="241" t="s">
        <v>1207</v>
      </c>
      <c r="D253" s="240" t="s">
        <v>16</v>
      </c>
      <c r="E253" s="242">
        <v>4</v>
      </c>
      <c r="F253" s="242">
        <f t="shared" ref="F253:F258" si="62">+O253</f>
        <v>0</v>
      </c>
      <c r="G253" s="242">
        <f t="shared" ref="G253:G258" si="63">+F253+E253</f>
        <v>4</v>
      </c>
      <c r="H253" s="243">
        <v>782902</v>
      </c>
      <c r="I253" s="243">
        <f t="shared" ref="I253:I258" si="64">ROUND(+H253*G253,2)</f>
        <v>3131608</v>
      </c>
      <c r="J253" s="8"/>
      <c r="K253" s="8">
        <f t="shared" si="61"/>
        <v>795037</v>
      </c>
      <c r="L253" s="8">
        <f t="shared" si="51"/>
        <v>3180148</v>
      </c>
      <c r="M253" s="9" t="str">
        <f t="array" ref="M253">_xlfn.XLOOKUP(B253,'Neiva 2022 FASE I ACTUAL (5)'!$B$6:$B$540,'Neiva 2022 FASE I ACTUAL (5)'!$C$6:$F$540,"NO ESTA")</f>
        <v>NO ESTA</v>
      </c>
      <c r="Q253" s="124">
        <f t="shared" si="54"/>
        <v>0</v>
      </c>
      <c r="R253" s="155">
        <f t="shared" si="47"/>
        <v>4</v>
      </c>
      <c r="S253" s="156">
        <f t="shared" si="52"/>
        <v>795037</v>
      </c>
      <c r="T253" s="156">
        <f t="shared" si="53"/>
        <v>3180148</v>
      </c>
    </row>
    <row r="254" spans="1:20" s="9" customFormat="1" ht="35.1" customHeight="1" x14ac:dyDescent="0.25">
      <c r="A254" s="215"/>
      <c r="B254" s="255" t="s">
        <v>1208</v>
      </c>
      <c r="C254" s="241" t="s">
        <v>1209</v>
      </c>
      <c r="D254" s="240" t="s">
        <v>16</v>
      </c>
      <c r="E254" s="242">
        <v>6</v>
      </c>
      <c r="F254" s="242">
        <f t="shared" si="62"/>
        <v>0</v>
      </c>
      <c r="G254" s="242">
        <f t="shared" si="63"/>
        <v>6</v>
      </c>
      <c r="H254" s="243">
        <v>391477</v>
      </c>
      <c r="I254" s="243">
        <f t="shared" si="64"/>
        <v>2348862</v>
      </c>
      <c r="J254" s="8"/>
      <c r="K254" s="8">
        <f t="shared" si="61"/>
        <v>397545</v>
      </c>
      <c r="L254" s="8">
        <f t="shared" si="51"/>
        <v>2385270</v>
      </c>
      <c r="M254" s="9" t="str">
        <f t="array" ref="M254">_xlfn.XLOOKUP(B254,'Neiva 2022 FASE I ACTUAL (5)'!$B$6:$B$540,'Neiva 2022 FASE I ACTUAL (5)'!$C$6:$F$540,"NO ESTA")</f>
        <v>NO ESTA</v>
      </c>
      <c r="Q254" s="124">
        <f t="shared" si="54"/>
        <v>0</v>
      </c>
      <c r="R254" s="155">
        <f t="shared" si="47"/>
        <v>6</v>
      </c>
      <c r="S254" s="156">
        <f t="shared" si="52"/>
        <v>397545</v>
      </c>
      <c r="T254" s="156">
        <f t="shared" si="53"/>
        <v>2385270</v>
      </c>
    </row>
    <row r="255" spans="1:20" s="9" customFormat="1" ht="35.1" customHeight="1" x14ac:dyDescent="0.25">
      <c r="A255" s="215"/>
      <c r="B255" s="255" t="s">
        <v>1210</v>
      </c>
      <c r="C255" s="241" t="s">
        <v>1211</v>
      </c>
      <c r="D255" s="240" t="s">
        <v>16</v>
      </c>
      <c r="E255" s="242">
        <v>1</v>
      </c>
      <c r="F255" s="242">
        <f t="shared" si="62"/>
        <v>0</v>
      </c>
      <c r="G255" s="242">
        <f t="shared" si="63"/>
        <v>1</v>
      </c>
      <c r="H255" s="243">
        <v>9785389</v>
      </c>
      <c r="I255" s="243">
        <f t="shared" si="64"/>
        <v>9785389</v>
      </c>
      <c r="J255" s="8"/>
      <c r="K255" s="8">
        <f t="shared" si="61"/>
        <v>9937063</v>
      </c>
      <c r="L255" s="8">
        <f t="shared" si="51"/>
        <v>9937063</v>
      </c>
      <c r="M255" s="9" t="str">
        <f t="array" ref="M255">_xlfn.XLOOKUP(B255,'Neiva 2022 FASE I ACTUAL (5)'!$B$6:$B$540,'Neiva 2022 FASE I ACTUAL (5)'!$C$6:$F$540,"NO ESTA")</f>
        <v>NO ESTA</v>
      </c>
      <c r="Q255" s="124">
        <f t="shared" si="54"/>
        <v>0</v>
      </c>
      <c r="R255" s="155">
        <f t="shared" si="47"/>
        <v>1</v>
      </c>
      <c r="S255" s="156">
        <f t="shared" si="52"/>
        <v>9937063</v>
      </c>
      <c r="T255" s="156">
        <f t="shared" si="53"/>
        <v>9937063</v>
      </c>
    </row>
    <row r="256" spans="1:20" s="9" customFormat="1" ht="35.1" customHeight="1" x14ac:dyDescent="0.25">
      <c r="A256" s="215"/>
      <c r="B256" s="255" t="s">
        <v>1212</v>
      </c>
      <c r="C256" s="254" t="s">
        <v>1213</v>
      </c>
      <c r="D256" s="240" t="s">
        <v>16</v>
      </c>
      <c r="E256" s="242">
        <v>3</v>
      </c>
      <c r="F256" s="242">
        <f t="shared" si="62"/>
        <v>0</v>
      </c>
      <c r="G256" s="242">
        <f t="shared" si="63"/>
        <v>3</v>
      </c>
      <c r="H256" s="243">
        <v>235261</v>
      </c>
      <c r="I256" s="243">
        <f t="shared" si="64"/>
        <v>705783</v>
      </c>
      <c r="J256" s="8"/>
      <c r="K256" s="8">
        <f t="shared" si="61"/>
        <v>238908</v>
      </c>
      <c r="L256" s="8">
        <f t="shared" si="51"/>
        <v>716724</v>
      </c>
      <c r="M256" s="9" t="str">
        <f t="array" ref="M256">_xlfn.XLOOKUP(B256,'Neiva 2022 FASE I ACTUAL (5)'!$B$6:$B$540,'Neiva 2022 FASE I ACTUAL (5)'!$C$6:$F$540,"NO ESTA")</f>
        <v>NO ESTA</v>
      </c>
      <c r="Q256" s="124">
        <f t="shared" si="54"/>
        <v>0</v>
      </c>
      <c r="R256" s="155">
        <f t="shared" si="47"/>
        <v>3</v>
      </c>
      <c r="S256" s="156">
        <f t="shared" si="52"/>
        <v>238908</v>
      </c>
      <c r="T256" s="156">
        <f t="shared" si="53"/>
        <v>716724</v>
      </c>
    </row>
    <row r="257" spans="1:20" s="9" customFormat="1" ht="35.1" customHeight="1" x14ac:dyDescent="0.25">
      <c r="A257" s="215"/>
      <c r="B257" s="255" t="s">
        <v>1214</v>
      </c>
      <c r="C257" s="254" t="s">
        <v>1215</v>
      </c>
      <c r="D257" s="240" t="s">
        <v>16</v>
      </c>
      <c r="E257" s="242">
        <v>3</v>
      </c>
      <c r="F257" s="242">
        <f t="shared" si="62"/>
        <v>0</v>
      </c>
      <c r="G257" s="242">
        <f t="shared" si="63"/>
        <v>3</v>
      </c>
      <c r="H257" s="243">
        <v>326317</v>
      </c>
      <c r="I257" s="243">
        <f t="shared" si="64"/>
        <v>978951</v>
      </c>
      <c r="J257" s="8"/>
      <c r="K257" s="8">
        <f t="shared" si="61"/>
        <v>331375</v>
      </c>
      <c r="L257" s="8">
        <f t="shared" si="51"/>
        <v>994125</v>
      </c>
      <c r="M257" s="9" t="str">
        <f t="array" ref="M257">_xlfn.XLOOKUP(B257,'Neiva 2022 FASE I ACTUAL (5)'!$B$6:$B$540,'Neiva 2022 FASE I ACTUAL (5)'!$C$6:$F$540,"NO ESTA")</f>
        <v>NO ESTA</v>
      </c>
      <c r="Q257" s="124">
        <f t="shared" si="54"/>
        <v>0</v>
      </c>
      <c r="R257" s="155">
        <f t="shared" si="47"/>
        <v>3</v>
      </c>
      <c r="S257" s="156">
        <f t="shared" si="52"/>
        <v>331375</v>
      </c>
      <c r="T257" s="156">
        <f t="shared" si="53"/>
        <v>994125</v>
      </c>
    </row>
    <row r="258" spans="1:20" s="9" customFormat="1" ht="35.1" customHeight="1" x14ac:dyDescent="0.25">
      <c r="A258" s="215"/>
      <c r="B258" s="255" t="s">
        <v>1216</v>
      </c>
      <c r="C258" s="254" t="s">
        <v>1217</v>
      </c>
      <c r="D258" s="240" t="s">
        <v>16</v>
      </c>
      <c r="E258" s="242">
        <v>1</v>
      </c>
      <c r="F258" s="242">
        <f t="shared" si="62"/>
        <v>0</v>
      </c>
      <c r="G258" s="242">
        <f t="shared" si="63"/>
        <v>1</v>
      </c>
      <c r="H258" s="243">
        <v>391547</v>
      </c>
      <c r="I258" s="243">
        <f t="shared" si="64"/>
        <v>391547</v>
      </c>
      <c r="J258" s="8"/>
      <c r="K258" s="8">
        <f t="shared" si="61"/>
        <v>397616</v>
      </c>
      <c r="L258" s="8">
        <f t="shared" si="51"/>
        <v>397616</v>
      </c>
      <c r="M258" s="9" t="str">
        <f t="array" ref="M258">_xlfn.XLOOKUP(B258,'Neiva 2022 FASE I ACTUAL (5)'!$B$6:$B$540,'Neiva 2022 FASE I ACTUAL (5)'!$C$6:$F$540,"NO ESTA")</f>
        <v>NO ESTA</v>
      </c>
      <c r="Q258" s="124">
        <f t="shared" si="54"/>
        <v>0</v>
      </c>
      <c r="R258" s="155">
        <f t="shared" si="47"/>
        <v>1</v>
      </c>
      <c r="S258" s="156">
        <f t="shared" si="52"/>
        <v>397616</v>
      </c>
      <c r="T258" s="156">
        <f t="shared" si="53"/>
        <v>397616</v>
      </c>
    </row>
    <row r="259" spans="1:20" s="9" customFormat="1" ht="35.1" customHeight="1" x14ac:dyDescent="0.25">
      <c r="A259" s="215"/>
      <c r="B259" s="244" t="s">
        <v>1218</v>
      </c>
      <c r="C259" s="245" t="s">
        <v>1219</v>
      </c>
      <c r="D259" s="244"/>
      <c r="E259" s="246"/>
      <c r="F259" s="246"/>
      <c r="G259" s="246"/>
      <c r="H259" s="303"/>
      <c r="I259" s="246"/>
      <c r="J259" s="8"/>
      <c r="K259" s="8">
        <f t="shared" si="61"/>
        <v>0</v>
      </c>
      <c r="L259" s="8">
        <f t="shared" si="51"/>
        <v>0</v>
      </c>
      <c r="M259" s="9" t="str">
        <f t="array" ref="M259">_xlfn.XLOOKUP(B259,'Neiva 2022 FASE I ACTUAL (5)'!$B$6:$B$540,'Neiva 2022 FASE I ACTUAL (5)'!$C$6:$F$540,"NO ESTA")</f>
        <v>NO ESTA</v>
      </c>
      <c r="Q259" s="124">
        <f t="shared" si="54"/>
        <v>0</v>
      </c>
      <c r="R259" s="155">
        <f t="shared" si="47"/>
        <v>0</v>
      </c>
      <c r="S259" s="156">
        <f t="shared" si="52"/>
        <v>0</v>
      </c>
      <c r="T259" s="156">
        <f t="shared" si="53"/>
        <v>0</v>
      </c>
    </row>
    <row r="260" spans="1:20" s="9" customFormat="1" ht="35.1" customHeight="1" x14ac:dyDescent="0.25">
      <c r="A260" s="215"/>
      <c r="B260" s="240" t="s">
        <v>1220</v>
      </c>
      <c r="C260" s="241" t="s">
        <v>1221</v>
      </c>
      <c r="D260" s="240" t="s">
        <v>16</v>
      </c>
      <c r="E260" s="242">
        <v>8</v>
      </c>
      <c r="F260" s="242">
        <f>+O260</f>
        <v>0</v>
      </c>
      <c r="G260" s="242">
        <f>+F260+E260</f>
        <v>8</v>
      </c>
      <c r="H260" s="243">
        <v>3267998</v>
      </c>
      <c r="I260" s="243">
        <f>ROUND(+H260*G260,2)</f>
        <v>26143984</v>
      </c>
      <c r="J260" s="8"/>
      <c r="K260" s="8">
        <f t="shared" si="61"/>
        <v>3318652</v>
      </c>
      <c r="L260" s="8">
        <f t="shared" si="51"/>
        <v>26549216</v>
      </c>
      <c r="M260" s="9" t="str">
        <f t="array" ref="M260">_xlfn.XLOOKUP(B260,'Neiva 2022 FASE I ACTUAL (5)'!$B$6:$B$540,'Neiva 2022 FASE I ACTUAL (5)'!$C$6:$F$540,"NO ESTA")</f>
        <v>NO ESTA</v>
      </c>
      <c r="Q260" s="124">
        <f t="shared" si="54"/>
        <v>0</v>
      </c>
      <c r="R260" s="155">
        <f t="shared" si="47"/>
        <v>8</v>
      </c>
      <c r="S260" s="156">
        <f t="shared" si="52"/>
        <v>3318652</v>
      </c>
      <c r="T260" s="156">
        <f t="shared" si="53"/>
        <v>26549216</v>
      </c>
    </row>
    <row r="261" spans="1:20" s="9" customFormat="1" ht="35.1" customHeight="1" x14ac:dyDescent="0.25">
      <c r="A261" s="215"/>
      <c r="B261" s="266">
        <v>12</v>
      </c>
      <c r="C261" s="267" t="s">
        <v>264</v>
      </c>
      <c r="D261" s="267"/>
      <c r="E261" s="268"/>
      <c r="F261" s="268"/>
      <c r="G261" s="268"/>
      <c r="H261" s="306"/>
      <c r="I261" s="268"/>
      <c r="J261" s="8"/>
      <c r="K261" s="8">
        <f t="shared" si="61"/>
        <v>0</v>
      </c>
      <c r="L261" s="8">
        <f t="shared" si="51"/>
        <v>0</v>
      </c>
      <c r="M261" s="9" t="str">
        <f t="array" ref="M261:P261">_xlfn.XLOOKUP(B261,'Neiva 2022 FASE I ACTUAL (5)'!$B$6:$B$540,'Neiva 2022 FASE I ACTUAL (5)'!$C$6:$F$540,"NO ESTA")</f>
        <v xml:space="preserve">RED HIDRÁULICO Y SANITARIO </v>
      </c>
      <c r="N261" s="9">
        <v>0</v>
      </c>
      <c r="O261" s="9">
        <v>0</v>
      </c>
      <c r="P261" s="9">
        <v>0</v>
      </c>
      <c r="Q261" s="124">
        <f t="shared" si="54"/>
        <v>0</v>
      </c>
      <c r="R261" s="155">
        <f t="shared" si="47"/>
        <v>0</v>
      </c>
      <c r="S261" s="156">
        <f t="shared" si="52"/>
        <v>0</v>
      </c>
      <c r="T261" s="156">
        <f t="shared" si="53"/>
        <v>0</v>
      </c>
    </row>
    <row r="262" spans="1:20" s="9" customFormat="1" ht="35.1" customHeight="1" x14ac:dyDescent="0.25">
      <c r="A262" s="215"/>
      <c r="B262" s="277" t="s">
        <v>265</v>
      </c>
      <c r="C262" s="278" t="s">
        <v>266</v>
      </c>
      <c r="D262" s="256"/>
      <c r="E262" s="246"/>
      <c r="F262" s="246"/>
      <c r="G262" s="246"/>
      <c r="H262" s="303"/>
      <c r="I262" s="246"/>
      <c r="J262" s="8"/>
      <c r="K262" s="8">
        <f t="shared" si="61"/>
        <v>0</v>
      </c>
      <c r="L262" s="8">
        <f t="shared" si="51"/>
        <v>0</v>
      </c>
      <c r="M262" s="9" t="str">
        <f t="array" ref="M262:P262">_xlfn.XLOOKUP(B262,'Neiva 2022 FASE I ACTUAL (5)'!$B$6:$B$540,'Neiva 2022 FASE I ACTUAL (5)'!$C$6:$F$540,"NO ESTA")</f>
        <v>SUMINISTRO E INSTALACIÓN RED AGUA POTABLE</v>
      </c>
      <c r="N262" s="9">
        <v>0</v>
      </c>
      <c r="O262" s="9">
        <v>0</v>
      </c>
      <c r="P262" s="9">
        <v>0</v>
      </c>
      <c r="Q262" s="124">
        <f t="shared" si="54"/>
        <v>0</v>
      </c>
      <c r="R262" s="155">
        <f t="shared" ref="R262:R325" si="65">E262+O262</f>
        <v>0</v>
      </c>
      <c r="S262" s="156">
        <f t="shared" si="52"/>
        <v>0</v>
      </c>
      <c r="T262" s="156">
        <f t="shared" si="53"/>
        <v>0</v>
      </c>
    </row>
    <row r="263" spans="1:20" s="9" customFormat="1" ht="35.1" customHeight="1" x14ac:dyDescent="0.25">
      <c r="A263" s="215"/>
      <c r="B263" s="279" t="s">
        <v>267</v>
      </c>
      <c r="C263" s="254" t="s">
        <v>268</v>
      </c>
      <c r="D263" s="255" t="s">
        <v>269</v>
      </c>
      <c r="E263" s="242">
        <v>121</v>
      </c>
      <c r="F263" s="242">
        <f t="shared" ref="F263:F291" si="66">+O263</f>
        <v>45</v>
      </c>
      <c r="G263" s="242">
        <f t="shared" ref="G263:G291" si="67">+F263+E263</f>
        <v>166</v>
      </c>
      <c r="H263" s="243">
        <v>12872</v>
      </c>
      <c r="I263" s="243">
        <f t="shared" ref="I263:I291" si="68">ROUND(+H263*G263,2)</f>
        <v>2136752</v>
      </c>
      <c r="J263" s="8"/>
      <c r="K263" s="8">
        <f t="shared" si="61"/>
        <v>13072</v>
      </c>
      <c r="L263" s="8">
        <f t="shared" ref="L263:L326" si="69">+K263*E263</f>
        <v>1581712</v>
      </c>
      <c r="M263" s="9" t="str">
        <f t="array" ref="M263:P263">_xlfn.XLOOKUP(B263,'Neiva 2022 FASE I ACTUAL (5)'!$B$6:$B$540,'Neiva 2022 FASE I ACTUAL (5)'!$C$6:$F$540,"NO ESTA")</f>
        <v>SUMINISTRO E INSTALACIÓN TUBERIA PVC-P DIAMETRO 1/2" RDE 9</v>
      </c>
      <c r="N263" s="9" t="str">
        <v xml:space="preserve">ML   </v>
      </c>
      <c r="O263" s="9">
        <v>45</v>
      </c>
      <c r="P263" s="9">
        <v>12354</v>
      </c>
      <c r="Q263" s="124" t="str">
        <f t="shared" si="54"/>
        <v>FASE II</v>
      </c>
      <c r="R263" s="155">
        <f t="shared" si="65"/>
        <v>166</v>
      </c>
      <c r="S263" s="156">
        <f t="shared" ref="S263:S326" si="70">MAX(P263,H263,K263)</f>
        <v>13072</v>
      </c>
      <c r="T263" s="156">
        <f t="shared" ref="T263:T326" si="71">ROUND(R263*S263,2)</f>
        <v>2169952</v>
      </c>
    </row>
    <row r="264" spans="1:20" s="9" customFormat="1" ht="35.1" customHeight="1" x14ac:dyDescent="0.25">
      <c r="A264" s="215"/>
      <c r="B264" s="279" t="s">
        <v>270</v>
      </c>
      <c r="C264" s="254" t="s">
        <v>271</v>
      </c>
      <c r="D264" s="255" t="s">
        <v>269</v>
      </c>
      <c r="E264" s="242">
        <v>49</v>
      </c>
      <c r="F264" s="242">
        <f t="shared" si="66"/>
        <v>18</v>
      </c>
      <c r="G264" s="242">
        <f t="shared" si="67"/>
        <v>67</v>
      </c>
      <c r="H264" s="243">
        <v>19153</v>
      </c>
      <c r="I264" s="243">
        <f t="shared" si="68"/>
        <v>1283251</v>
      </c>
      <c r="J264" s="8"/>
      <c r="K264" s="8">
        <f t="shared" si="61"/>
        <v>19450</v>
      </c>
      <c r="L264" s="8">
        <f t="shared" si="69"/>
        <v>953050</v>
      </c>
      <c r="M264" s="9" t="str">
        <f t="array" ref="M264:P264">_xlfn.XLOOKUP(B264,'Neiva 2022 FASE I ACTUAL (5)'!$B$6:$B$540,'Neiva 2022 FASE I ACTUAL (5)'!$C$6:$F$540,"NO ESTA")</f>
        <v>SUMINISTRO E INSTALACIÓN TUBERIA PCV-P DIAMETRO 3/4" RDE 11</v>
      </c>
      <c r="N264" s="9" t="str">
        <v xml:space="preserve">ML   </v>
      </c>
      <c r="O264" s="9">
        <v>18</v>
      </c>
      <c r="P264" s="9">
        <v>18380</v>
      </c>
      <c r="Q264" s="124" t="str">
        <f t="shared" ref="Q264:Q327" si="72">IF(P264=0,0,(IF(H264&lt;P264, "FASE I","FASE II")))</f>
        <v>FASE II</v>
      </c>
      <c r="R264" s="155">
        <f t="shared" si="65"/>
        <v>67</v>
      </c>
      <c r="S264" s="156">
        <f t="shared" si="70"/>
        <v>19450</v>
      </c>
      <c r="T264" s="156">
        <f t="shared" si="71"/>
        <v>1303150</v>
      </c>
    </row>
    <row r="265" spans="1:20" s="9" customFormat="1" ht="35.1" customHeight="1" x14ac:dyDescent="0.25">
      <c r="A265" s="215"/>
      <c r="B265" s="279" t="s">
        <v>272</v>
      </c>
      <c r="C265" s="254" t="s">
        <v>273</v>
      </c>
      <c r="D265" s="255" t="s">
        <v>269</v>
      </c>
      <c r="E265" s="242">
        <v>40</v>
      </c>
      <c r="F265" s="242">
        <f t="shared" si="66"/>
        <v>15</v>
      </c>
      <c r="G265" s="242">
        <f t="shared" si="67"/>
        <v>55</v>
      </c>
      <c r="H265" s="243">
        <v>20309</v>
      </c>
      <c r="I265" s="243">
        <f t="shared" si="68"/>
        <v>1116995</v>
      </c>
      <c r="J265" s="8"/>
      <c r="K265" s="8">
        <f t="shared" si="61"/>
        <v>20624</v>
      </c>
      <c r="L265" s="8">
        <f t="shared" si="69"/>
        <v>824960</v>
      </c>
      <c r="M265" s="9" t="str">
        <f t="array" ref="M265:P265">_xlfn.XLOOKUP(B265,'Neiva 2022 FASE I ACTUAL (5)'!$B$6:$B$540,'Neiva 2022 FASE I ACTUAL (5)'!$C$6:$F$540,"NO ESTA")</f>
        <v>SUMINISTRO E INSTALACIÓN TUBERIA PCV-P DIAMETRO 1" RDE 13,5</v>
      </c>
      <c r="N265" s="9" t="str">
        <v xml:space="preserve">ML   </v>
      </c>
      <c r="O265" s="9">
        <v>15</v>
      </c>
      <c r="P265" s="9">
        <v>19490</v>
      </c>
      <c r="Q265" s="124" t="str">
        <f t="shared" si="72"/>
        <v>FASE II</v>
      </c>
      <c r="R265" s="155">
        <f t="shared" si="65"/>
        <v>55</v>
      </c>
      <c r="S265" s="156">
        <f t="shared" si="70"/>
        <v>20624</v>
      </c>
      <c r="T265" s="156">
        <f t="shared" si="71"/>
        <v>1134320</v>
      </c>
    </row>
    <row r="266" spans="1:20" s="9" customFormat="1" ht="35.1" customHeight="1" x14ac:dyDescent="0.25">
      <c r="A266" s="215"/>
      <c r="B266" s="279" t="s">
        <v>274</v>
      </c>
      <c r="C266" s="254" t="s">
        <v>275</v>
      </c>
      <c r="D266" s="255" t="s">
        <v>269</v>
      </c>
      <c r="E266" s="242">
        <v>64</v>
      </c>
      <c r="F266" s="242">
        <f t="shared" si="66"/>
        <v>23</v>
      </c>
      <c r="G266" s="242">
        <f t="shared" si="67"/>
        <v>87</v>
      </c>
      <c r="H266" s="243">
        <v>21574</v>
      </c>
      <c r="I266" s="243">
        <f t="shared" si="68"/>
        <v>1876938</v>
      </c>
      <c r="J266" s="8"/>
      <c r="K266" s="8">
        <f t="shared" si="61"/>
        <v>21908</v>
      </c>
      <c r="L266" s="8">
        <f t="shared" si="69"/>
        <v>1402112</v>
      </c>
      <c r="M266" s="9" t="str">
        <f t="array" ref="M266:P266">_xlfn.XLOOKUP(B266,'Neiva 2022 FASE I ACTUAL (5)'!$B$6:$B$540,'Neiva 2022 FASE I ACTUAL (5)'!$C$6:$F$540,"NO ESTA")</f>
        <v>SUMINISTRO E INSTALACIÓN TUBERIA PCV-P DIAMETRO 1 1/4" RDE 21</v>
      </c>
      <c r="N266" s="9" t="str">
        <v xml:space="preserve">ML   </v>
      </c>
      <c r="O266" s="9">
        <v>23</v>
      </c>
      <c r="P266" s="9">
        <v>20704</v>
      </c>
      <c r="Q266" s="124" t="str">
        <f t="shared" si="72"/>
        <v>FASE II</v>
      </c>
      <c r="R266" s="155">
        <f t="shared" si="65"/>
        <v>87</v>
      </c>
      <c r="S266" s="156">
        <f t="shared" si="70"/>
        <v>21908</v>
      </c>
      <c r="T266" s="156">
        <f t="shared" si="71"/>
        <v>1905996</v>
      </c>
    </row>
    <row r="267" spans="1:20" s="9" customFormat="1" ht="35.1" customHeight="1" x14ac:dyDescent="0.25">
      <c r="A267" s="215"/>
      <c r="B267" s="279" t="s">
        <v>276</v>
      </c>
      <c r="C267" s="254" t="s">
        <v>277</v>
      </c>
      <c r="D267" s="255" t="s">
        <v>269</v>
      </c>
      <c r="E267" s="242">
        <v>57</v>
      </c>
      <c r="F267" s="242">
        <f t="shared" si="66"/>
        <v>21</v>
      </c>
      <c r="G267" s="242">
        <f t="shared" si="67"/>
        <v>78</v>
      </c>
      <c r="H267" s="243">
        <v>27732</v>
      </c>
      <c r="I267" s="243">
        <f t="shared" si="68"/>
        <v>2163096</v>
      </c>
      <c r="J267" s="8"/>
      <c r="K267" s="8">
        <f t="shared" si="61"/>
        <v>28162</v>
      </c>
      <c r="L267" s="8">
        <f t="shared" si="69"/>
        <v>1605234</v>
      </c>
      <c r="M267" s="9" t="str">
        <f t="array" ref="M267:P267">_xlfn.XLOOKUP(B267,'Neiva 2022 FASE I ACTUAL (5)'!$B$6:$B$540,'Neiva 2022 FASE I ACTUAL (5)'!$C$6:$F$540,"NO ESTA")</f>
        <v>SUMINISTRO E INSTALACIÓN TUBERIA PCV-P DIAMETRO 1 1/2" RDE 21</v>
      </c>
      <c r="N267" s="9" t="str">
        <v xml:space="preserve">ML   </v>
      </c>
      <c r="O267" s="9">
        <v>21</v>
      </c>
      <c r="P267" s="9">
        <v>26614</v>
      </c>
      <c r="Q267" s="124" t="str">
        <f t="shared" si="72"/>
        <v>FASE II</v>
      </c>
      <c r="R267" s="155">
        <f t="shared" si="65"/>
        <v>78</v>
      </c>
      <c r="S267" s="156">
        <f t="shared" si="70"/>
        <v>28162</v>
      </c>
      <c r="T267" s="156">
        <f t="shared" si="71"/>
        <v>2196636</v>
      </c>
    </row>
    <row r="268" spans="1:20" s="9" customFormat="1" ht="35.1" customHeight="1" x14ac:dyDescent="0.25">
      <c r="A268" s="215"/>
      <c r="B268" s="279" t="s">
        <v>278</v>
      </c>
      <c r="C268" s="254" t="s">
        <v>279</v>
      </c>
      <c r="D268" s="255" t="s">
        <v>269</v>
      </c>
      <c r="E268" s="242">
        <v>90</v>
      </c>
      <c r="F268" s="242">
        <f t="shared" si="66"/>
        <v>33</v>
      </c>
      <c r="G268" s="242">
        <f t="shared" si="67"/>
        <v>123</v>
      </c>
      <c r="H268" s="243">
        <v>39703</v>
      </c>
      <c r="I268" s="243">
        <f t="shared" si="68"/>
        <v>4883469</v>
      </c>
      <c r="J268" s="8"/>
      <c r="K268" s="8">
        <f t="shared" si="61"/>
        <v>40318</v>
      </c>
      <c r="L268" s="8">
        <f t="shared" si="69"/>
        <v>3628620</v>
      </c>
      <c r="M268" s="9" t="str">
        <f t="array" ref="M268:P268">_xlfn.XLOOKUP(B268,'Neiva 2022 FASE I ACTUAL (5)'!$B$6:$B$540,'Neiva 2022 FASE I ACTUAL (5)'!$C$6:$F$540,"NO ESTA")</f>
        <v>SUMINISTRO E INSTALACIÓN TUBERIA PCV-P DIAMETRO 2" RDE 21</v>
      </c>
      <c r="N268" s="9" t="str">
        <v xml:space="preserve">ML   </v>
      </c>
      <c r="O268" s="9">
        <v>33</v>
      </c>
      <c r="P268" s="9">
        <v>38103</v>
      </c>
      <c r="Q268" s="124" t="str">
        <f t="shared" si="72"/>
        <v>FASE II</v>
      </c>
      <c r="R268" s="155">
        <f t="shared" si="65"/>
        <v>123</v>
      </c>
      <c r="S268" s="156">
        <f t="shared" si="70"/>
        <v>40318</v>
      </c>
      <c r="T268" s="156">
        <f t="shared" si="71"/>
        <v>4959114</v>
      </c>
    </row>
    <row r="269" spans="1:20" s="9" customFormat="1" ht="35.1" customHeight="1" x14ac:dyDescent="0.25">
      <c r="A269" s="215"/>
      <c r="B269" s="279" t="s">
        <v>280</v>
      </c>
      <c r="C269" s="254" t="s">
        <v>281</v>
      </c>
      <c r="D269" s="255" t="s">
        <v>269</v>
      </c>
      <c r="E269" s="242">
        <v>18</v>
      </c>
      <c r="F269" s="242">
        <f t="shared" si="66"/>
        <v>7</v>
      </c>
      <c r="G269" s="242">
        <f t="shared" si="67"/>
        <v>25</v>
      </c>
      <c r="H269" s="243">
        <v>53591</v>
      </c>
      <c r="I269" s="243">
        <f t="shared" si="68"/>
        <v>1339775</v>
      </c>
      <c r="J269" s="8"/>
      <c r="K269" s="8">
        <f t="shared" si="61"/>
        <v>54422</v>
      </c>
      <c r="L269" s="8">
        <f t="shared" si="69"/>
        <v>979596</v>
      </c>
      <c r="M269" s="9" t="str">
        <f t="array" ref="M269:P269">_xlfn.XLOOKUP(B269,'Neiva 2022 FASE I ACTUAL (5)'!$B$6:$B$540,'Neiva 2022 FASE I ACTUAL (5)'!$C$6:$F$540,"NO ESTA")</f>
        <v>SUMINISTRO E INSTALACIÓN TUBERIA PCV-P DIAMETRO 2 1/2" RDE 21</v>
      </c>
      <c r="N269" s="9" t="str">
        <v xml:space="preserve">ML   </v>
      </c>
      <c r="O269" s="9">
        <v>7</v>
      </c>
      <c r="P269" s="9">
        <v>51430</v>
      </c>
      <c r="Q269" s="124" t="str">
        <f t="shared" si="72"/>
        <v>FASE II</v>
      </c>
      <c r="R269" s="155">
        <f t="shared" si="65"/>
        <v>25</v>
      </c>
      <c r="S269" s="156">
        <f t="shared" si="70"/>
        <v>54422</v>
      </c>
      <c r="T269" s="156">
        <f t="shared" si="71"/>
        <v>1360550</v>
      </c>
    </row>
    <row r="270" spans="1:20" s="9" customFormat="1" ht="35.1" customHeight="1" x14ac:dyDescent="0.25">
      <c r="A270" s="215"/>
      <c r="B270" s="279" t="s">
        <v>282</v>
      </c>
      <c r="C270" s="254" t="s">
        <v>283</v>
      </c>
      <c r="D270" s="255" t="s">
        <v>284</v>
      </c>
      <c r="E270" s="242">
        <v>105</v>
      </c>
      <c r="F270" s="242">
        <f t="shared" si="66"/>
        <v>39</v>
      </c>
      <c r="G270" s="242">
        <f t="shared" si="67"/>
        <v>144</v>
      </c>
      <c r="H270" s="243">
        <v>3332</v>
      </c>
      <c r="I270" s="243">
        <f t="shared" si="68"/>
        <v>479808</v>
      </c>
      <c r="J270" s="8"/>
      <c r="K270" s="8">
        <f t="shared" si="61"/>
        <v>3384</v>
      </c>
      <c r="L270" s="8">
        <f t="shared" si="69"/>
        <v>355320</v>
      </c>
      <c r="M270" s="9" t="str">
        <f t="array" ref="M270:P270">_xlfn.XLOOKUP(B270,'Neiva 2022 FASE I ACTUAL (5)'!$B$6:$B$540,'Neiva 2022 FASE I ACTUAL (5)'!$C$6:$F$540,"NO ESTA")</f>
        <v>SUMINISTRO E INSTALACIÓN ACCESORIOS PVC-P 1/2" SCH 40</v>
      </c>
      <c r="N270" s="9" t="str">
        <v xml:space="preserve">UN   </v>
      </c>
      <c r="O270" s="9">
        <v>39</v>
      </c>
      <c r="P270" s="9">
        <v>3198</v>
      </c>
      <c r="Q270" s="124" t="str">
        <f t="shared" si="72"/>
        <v>FASE II</v>
      </c>
      <c r="R270" s="155">
        <f t="shared" si="65"/>
        <v>144</v>
      </c>
      <c r="S270" s="156">
        <f t="shared" si="70"/>
        <v>3384</v>
      </c>
      <c r="T270" s="156">
        <f t="shared" si="71"/>
        <v>487296</v>
      </c>
    </row>
    <row r="271" spans="1:20" s="9" customFormat="1" ht="35.1" customHeight="1" x14ac:dyDescent="0.25">
      <c r="A271" s="215"/>
      <c r="B271" s="279" t="s">
        <v>285</v>
      </c>
      <c r="C271" s="254" t="s">
        <v>286</v>
      </c>
      <c r="D271" s="255" t="s">
        <v>284</v>
      </c>
      <c r="E271" s="242">
        <v>38</v>
      </c>
      <c r="F271" s="242">
        <f t="shared" si="66"/>
        <v>14</v>
      </c>
      <c r="G271" s="242">
        <f t="shared" si="67"/>
        <v>52</v>
      </c>
      <c r="H271" s="243">
        <v>3956</v>
      </c>
      <c r="I271" s="243">
        <f t="shared" si="68"/>
        <v>205712</v>
      </c>
      <c r="J271" s="8"/>
      <c r="K271" s="8">
        <f t="shared" si="61"/>
        <v>4017</v>
      </c>
      <c r="L271" s="8">
        <f t="shared" si="69"/>
        <v>152646</v>
      </c>
      <c r="M271" s="9" t="str">
        <f t="array" ref="M271:P271">_xlfn.XLOOKUP(B271,'Neiva 2022 FASE I ACTUAL (5)'!$B$6:$B$540,'Neiva 2022 FASE I ACTUAL (5)'!$C$6:$F$540,"NO ESTA")</f>
        <v>SUMINISTRO E INSTALACIÓN ACCESORIOS PVC-P 3/4" SCH 40</v>
      </c>
      <c r="N271" s="9" t="str">
        <v xml:space="preserve">UN   </v>
      </c>
      <c r="O271" s="9">
        <v>14</v>
      </c>
      <c r="P271" s="9">
        <v>3797</v>
      </c>
      <c r="Q271" s="124" t="str">
        <f t="shared" si="72"/>
        <v>FASE II</v>
      </c>
      <c r="R271" s="155">
        <f t="shared" si="65"/>
        <v>52</v>
      </c>
      <c r="S271" s="156">
        <f t="shared" si="70"/>
        <v>4017</v>
      </c>
      <c r="T271" s="156">
        <f t="shared" si="71"/>
        <v>208884</v>
      </c>
    </row>
    <row r="272" spans="1:20" s="9" customFormat="1" ht="35.1" customHeight="1" x14ac:dyDescent="0.25">
      <c r="A272" s="215"/>
      <c r="B272" s="279" t="s">
        <v>287</v>
      </c>
      <c r="C272" s="254" t="s">
        <v>288</v>
      </c>
      <c r="D272" s="255" t="s">
        <v>284</v>
      </c>
      <c r="E272" s="242">
        <v>30</v>
      </c>
      <c r="F272" s="242">
        <f t="shared" si="66"/>
        <v>11</v>
      </c>
      <c r="G272" s="242">
        <f t="shared" si="67"/>
        <v>41</v>
      </c>
      <c r="H272" s="243">
        <v>4673</v>
      </c>
      <c r="I272" s="243">
        <f t="shared" si="68"/>
        <v>191593</v>
      </c>
      <c r="J272" s="8"/>
      <c r="K272" s="8">
        <f t="shared" si="61"/>
        <v>4745</v>
      </c>
      <c r="L272" s="8">
        <f t="shared" si="69"/>
        <v>142350</v>
      </c>
      <c r="M272" s="9" t="str">
        <f t="array" ref="M272:P272">_xlfn.XLOOKUP(B272,'Neiva 2022 FASE I ACTUAL (5)'!$B$6:$B$540,'Neiva 2022 FASE I ACTUAL (5)'!$C$6:$F$540,"NO ESTA")</f>
        <v>SUMINISTRO E INSTALACIÓN ACCESORIOS PVC-P 1" SCH 40</v>
      </c>
      <c r="N272" s="9" t="str">
        <v xml:space="preserve">UN   </v>
      </c>
      <c r="O272" s="9">
        <v>11</v>
      </c>
      <c r="P272" s="9">
        <v>4486</v>
      </c>
      <c r="Q272" s="124" t="str">
        <f t="shared" si="72"/>
        <v>FASE II</v>
      </c>
      <c r="R272" s="155">
        <f t="shared" si="65"/>
        <v>41</v>
      </c>
      <c r="S272" s="156">
        <f t="shared" si="70"/>
        <v>4745</v>
      </c>
      <c r="T272" s="156">
        <f t="shared" si="71"/>
        <v>194545</v>
      </c>
    </row>
    <row r="273" spans="1:20" s="9" customFormat="1" ht="35.1" customHeight="1" x14ac:dyDescent="0.25">
      <c r="A273" s="215"/>
      <c r="B273" s="279" t="s">
        <v>289</v>
      </c>
      <c r="C273" s="254" t="s">
        <v>290</v>
      </c>
      <c r="D273" s="255" t="s">
        <v>284</v>
      </c>
      <c r="E273" s="242">
        <v>96</v>
      </c>
      <c r="F273" s="242">
        <f t="shared" si="66"/>
        <v>35</v>
      </c>
      <c r="G273" s="242">
        <f t="shared" si="67"/>
        <v>131</v>
      </c>
      <c r="H273" s="243">
        <v>7379</v>
      </c>
      <c r="I273" s="243">
        <f t="shared" si="68"/>
        <v>966649</v>
      </c>
      <c r="J273" s="8"/>
      <c r="K273" s="8">
        <f t="shared" si="61"/>
        <v>7493</v>
      </c>
      <c r="L273" s="8">
        <f t="shared" si="69"/>
        <v>719328</v>
      </c>
      <c r="M273" s="9" t="str">
        <f t="array" ref="M273:P273">_xlfn.XLOOKUP(B273,'Neiva 2022 FASE I ACTUAL (5)'!$B$6:$B$540,'Neiva 2022 FASE I ACTUAL (5)'!$C$6:$F$540,"NO ESTA")</f>
        <v>SUMINISTRO E INSTALACIÓN ACCESORIOS PVC-P 1 1/4" SCH 40</v>
      </c>
      <c r="N273" s="9" t="str">
        <v xml:space="preserve">UN   </v>
      </c>
      <c r="O273" s="9">
        <v>35</v>
      </c>
      <c r="P273" s="9">
        <v>7080</v>
      </c>
      <c r="Q273" s="124" t="str">
        <f t="shared" si="72"/>
        <v>FASE II</v>
      </c>
      <c r="R273" s="155">
        <f t="shared" si="65"/>
        <v>131</v>
      </c>
      <c r="S273" s="156">
        <f t="shared" si="70"/>
        <v>7493</v>
      </c>
      <c r="T273" s="156">
        <f t="shared" si="71"/>
        <v>981583</v>
      </c>
    </row>
    <row r="274" spans="1:20" s="9" customFormat="1" ht="35.1" customHeight="1" x14ac:dyDescent="0.25">
      <c r="A274" s="215"/>
      <c r="B274" s="279" t="s">
        <v>291</v>
      </c>
      <c r="C274" s="254" t="s">
        <v>292</v>
      </c>
      <c r="D274" s="255" t="s">
        <v>284</v>
      </c>
      <c r="E274" s="242">
        <v>82</v>
      </c>
      <c r="F274" s="242">
        <f t="shared" si="66"/>
        <v>30</v>
      </c>
      <c r="G274" s="242">
        <f t="shared" si="67"/>
        <v>112</v>
      </c>
      <c r="H274" s="243">
        <v>9097</v>
      </c>
      <c r="I274" s="243">
        <f t="shared" si="68"/>
        <v>1018864</v>
      </c>
      <c r="J274" s="8"/>
      <c r="K274" s="8">
        <f t="shared" si="61"/>
        <v>9238</v>
      </c>
      <c r="L274" s="8">
        <f t="shared" si="69"/>
        <v>757516</v>
      </c>
      <c r="M274" s="9" t="str">
        <f t="array" ref="M274:P274">_xlfn.XLOOKUP(B274,'Neiva 2022 FASE I ACTUAL (5)'!$B$6:$B$540,'Neiva 2022 FASE I ACTUAL (5)'!$C$6:$F$540,"NO ESTA")</f>
        <v xml:space="preserve">SUMINISTRO E INSTALACIÓN ACCESORIOS PVC-P 1 1/2" SCH 40                                                </v>
      </c>
      <c r="N274" s="9" t="str">
        <v xml:space="preserve">UN   </v>
      </c>
      <c r="O274" s="9">
        <v>30</v>
      </c>
      <c r="P274" s="9">
        <v>8729</v>
      </c>
      <c r="Q274" s="124" t="str">
        <f t="shared" si="72"/>
        <v>FASE II</v>
      </c>
      <c r="R274" s="155">
        <f t="shared" si="65"/>
        <v>112</v>
      </c>
      <c r="S274" s="156">
        <f t="shared" si="70"/>
        <v>9238</v>
      </c>
      <c r="T274" s="156">
        <f t="shared" si="71"/>
        <v>1034656</v>
      </c>
    </row>
    <row r="275" spans="1:20" s="9" customFormat="1" ht="35.1" customHeight="1" x14ac:dyDescent="0.25">
      <c r="A275" s="215"/>
      <c r="B275" s="279" t="s">
        <v>293</v>
      </c>
      <c r="C275" s="254" t="s">
        <v>294</v>
      </c>
      <c r="D275" s="255" t="s">
        <v>284</v>
      </c>
      <c r="E275" s="242">
        <v>55</v>
      </c>
      <c r="F275" s="242">
        <f t="shared" si="66"/>
        <v>21</v>
      </c>
      <c r="G275" s="242">
        <f t="shared" si="67"/>
        <v>76</v>
      </c>
      <c r="H275" s="243">
        <v>12398</v>
      </c>
      <c r="I275" s="243">
        <f t="shared" si="68"/>
        <v>942248</v>
      </c>
      <c r="J275" s="8"/>
      <c r="K275" s="8">
        <f t="shared" si="61"/>
        <v>12590</v>
      </c>
      <c r="L275" s="8">
        <f t="shared" si="69"/>
        <v>692450</v>
      </c>
      <c r="M275" s="9" t="str">
        <f t="array" ref="M275:P275">_xlfn.XLOOKUP(B275,'Neiva 2022 FASE I ACTUAL (5)'!$B$6:$B$540,'Neiva 2022 FASE I ACTUAL (5)'!$C$6:$F$540,"NO ESTA")</f>
        <v>SUMINISTRO E INSTALACIÓN ACCESORIOS PVC-P 2" SCH 40</v>
      </c>
      <c r="N275" s="9" t="str">
        <v xml:space="preserve">UN   </v>
      </c>
      <c r="O275" s="9">
        <v>21</v>
      </c>
      <c r="P275" s="9">
        <v>11898</v>
      </c>
      <c r="Q275" s="124" t="str">
        <f t="shared" si="72"/>
        <v>FASE II</v>
      </c>
      <c r="R275" s="155">
        <f t="shared" si="65"/>
        <v>76</v>
      </c>
      <c r="S275" s="156">
        <f t="shared" si="70"/>
        <v>12590</v>
      </c>
      <c r="T275" s="156">
        <f t="shared" si="71"/>
        <v>956840</v>
      </c>
    </row>
    <row r="276" spans="1:20" s="9" customFormat="1" ht="35.1" customHeight="1" x14ac:dyDescent="0.25">
      <c r="A276" s="215"/>
      <c r="B276" s="279" t="s">
        <v>295</v>
      </c>
      <c r="C276" s="254" t="s">
        <v>296</v>
      </c>
      <c r="D276" s="255" t="s">
        <v>284</v>
      </c>
      <c r="E276" s="242">
        <v>12</v>
      </c>
      <c r="F276" s="242">
        <f t="shared" si="66"/>
        <v>4</v>
      </c>
      <c r="G276" s="242">
        <f t="shared" si="67"/>
        <v>16</v>
      </c>
      <c r="H276" s="243">
        <v>30171</v>
      </c>
      <c r="I276" s="243">
        <f t="shared" si="68"/>
        <v>482736</v>
      </c>
      <c r="J276" s="8"/>
      <c r="K276" s="8">
        <f t="shared" si="61"/>
        <v>30639</v>
      </c>
      <c r="L276" s="8">
        <f t="shared" si="69"/>
        <v>367668</v>
      </c>
      <c r="M276" s="9" t="str">
        <f t="array" ref="M276:P276">_xlfn.XLOOKUP(B276,'Neiva 2022 FASE I ACTUAL (5)'!$B$6:$B$540,'Neiva 2022 FASE I ACTUAL (5)'!$C$6:$F$540,"NO ESTA")</f>
        <v xml:space="preserve">SUMINISTRO E INSTALACIÓN ACCESORIOS PVC-P 2 1/2" SCH 40                                           </v>
      </c>
      <c r="N276" s="9" t="str">
        <v xml:space="preserve">UN   </v>
      </c>
      <c r="O276" s="9">
        <v>4</v>
      </c>
      <c r="P276" s="9">
        <v>28954</v>
      </c>
      <c r="Q276" s="124" t="str">
        <f t="shared" si="72"/>
        <v>FASE II</v>
      </c>
      <c r="R276" s="155">
        <f t="shared" si="65"/>
        <v>16</v>
      </c>
      <c r="S276" s="156">
        <f t="shared" si="70"/>
        <v>30639</v>
      </c>
      <c r="T276" s="156">
        <f t="shared" si="71"/>
        <v>490224</v>
      </c>
    </row>
    <row r="277" spans="1:20" s="9" customFormat="1" ht="35.1" customHeight="1" x14ac:dyDescent="0.25">
      <c r="A277" s="215"/>
      <c r="B277" s="279" t="s">
        <v>297</v>
      </c>
      <c r="C277" s="254" t="s">
        <v>298</v>
      </c>
      <c r="D277" s="255" t="s">
        <v>284</v>
      </c>
      <c r="E277" s="242">
        <v>49</v>
      </c>
      <c r="F277" s="242">
        <f t="shared" si="66"/>
        <v>18</v>
      </c>
      <c r="G277" s="242">
        <f t="shared" si="67"/>
        <v>67</v>
      </c>
      <c r="H277" s="243">
        <v>1731</v>
      </c>
      <c r="I277" s="243">
        <f t="shared" si="68"/>
        <v>115977</v>
      </c>
      <c r="J277" s="8"/>
      <c r="K277" s="8">
        <f t="shared" si="61"/>
        <v>1758</v>
      </c>
      <c r="L277" s="8">
        <f t="shared" si="69"/>
        <v>86142</v>
      </c>
      <c r="M277" s="9" t="str">
        <f t="array" ref="M277:P277">_xlfn.XLOOKUP(B277,'Neiva 2022 FASE I ACTUAL (5)'!$B$6:$B$540,'Neiva 2022 FASE I ACTUAL (5)'!$C$6:$F$540,"NO ESTA")</f>
        <v xml:space="preserve">SUMINISTRO E INSTALACIÓN SOPORTE DE 1/2"                                                                 </v>
      </c>
      <c r="N277" s="9" t="str">
        <v xml:space="preserve">UN   </v>
      </c>
      <c r="O277" s="9">
        <v>18</v>
      </c>
      <c r="P277" s="9">
        <v>1662</v>
      </c>
      <c r="Q277" s="124" t="str">
        <f t="shared" si="72"/>
        <v>FASE II</v>
      </c>
      <c r="R277" s="155">
        <f t="shared" si="65"/>
        <v>67</v>
      </c>
      <c r="S277" s="156">
        <f t="shared" si="70"/>
        <v>1758</v>
      </c>
      <c r="T277" s="156">
        <f t="shared" si="71"/>
        <v>117786</v>
      </c>
    </row>
    <row r="278" spans="1:20" s="9" customFormat="1" ht="35.1" customHeight="1" x14ac:dyDescent="0.25">
      <c r="A278" s="215"/>
      <c r="B278" s="279" t="s">
        <v>299</v>
      </c>
      <c r="C278" s="254" t="s">
        <v>300</v>
      </c>
      <c r="D278" s="255" t="s">
        <v>284</v>
      </c>
      <c r="E278" s="242">
        <v>18</v>
      </c>
      <c r="F278" s="242">
        <f t="shared" si="66"/>
        <v>6</v>
      </c>
      <c r="G278" s="242">
        <f t="shared" si="67"/>
        <v>24</v>
      </c>
      <c r="H278" s="243">
        <v>2324</v>
      </c>
      <c r="I278" s="243">
        <f t="shared" si="68"/>
        <v>55776</v>
      </c>
      <c r="J278" s="8"/>
      <c r="K278" s="8">
        <f t="shared" si="61"/>
        <v>2360</v>
      </c>
      <c r="L278" s="8">
        <f t="shared" si="69"/>
        <v>42480</v>
      </c>
      <c r="M278" s="9" t="str">
        <f t="array" ref="M278:P278">_xlfn.XLOOKUP(B278,'Neiva 2022 FASE I ACTUAL (5)'!$B$6:$B$540,'Neiva 2022 FASE I ACTUAL (5)'!$C$6:$F$540,"NO ESTA")</f>
        <v xml:space="preserve">SUMINISTRO E INSTALACIÓN SOPORTE DE 3/4"                                                                 </v>
      </c>
      <c r="N278" s="9" t="str">
        <v xml:space="preserve">UN   </v>
      </c>
      <c r="O278" s="9">
        <v>6</v>
      </c>
      <c r="P278" s="9">
        <v>2232</v>
      </c>
      <c r="Q278" s="124" t="str">
        <f t="shared" si="72"/>
        <v>FASE II</v>
      </c>
      <c r="R278" s="155">
        <f t="shared" si="65"/>
        <v>24</v>
      </c>
      <c r="S278" s="156">
        <f t="shared" si="70"/>
        <v>2360</v>
      </c>
      <c r="T278" s="156">
        <f t="shared" si="71"/>
        <v>56640</v>
      </c>
    </row>
    <row r="279" spans="1:20" s="9" customFormat="1" ht="35.1" customHeight="1" x14ac:dyDescent="0.25">
      <c r="A279" s="215"/>
      <c r="B279" s="279" t="s">
        <v>301</v>
      </c>
      <c r="C279" s="254" t="s">
        <v>302</v>
      </c>
      <c r="D279" s="255" t="s">
        <v>284</v>
      </c>
      <c r="E279" s="242">
        <v>18</v>
      </c>
      <c r="F279" s="242">
        <f t="shared" si="66"/>
        <v>6</v>
      </c>
      <c r="G279" s="242">
        <f t="shared" si="67"/>
        <v>24</v>
      </c>
      <c r="H279" s="243">
        <v>2804</v>
      </c>
      <c r="I279" s="243">
        <f t="shared" si="68"/>
        <v>67296</v>
      </c>
      <c r="J279" s="8"/>
      <c r="K279" s="8">
        <f t="shared" si="61"/>
        <v>2847</v>
      </c>
      <c r="L279" s="8">
        <f t="shared" si="69"/>
        <v>51246</v>
      </c>
      <c r="M279" s="9" t="str">
        <f t="array" ref="M279:P279">_xlfn.XLOOKUP(B279,'Neiva 2022 FASE I ACTUAL (5)'!$B$6:$B$540,'Neiva 2022 FASE I ACTUAL (5)'!$C$6:$F$540,"NO ESTA")</f>
        <v xml:space="preserve">SUMINISTRO E INSTALACIÓN SOPORTE DE 1"                                                                   </v>
      </c>
      <c r="N279" s="9" t="str">
        <v xml:space="preserve">UN   </v>
      </c>
      <c r="O279" s="9">
        <v>6</v>
      </c>
      <c r="P279" s="9">
        <v>2690</v>
      </c>
      <c r="Q279" s="124" t="str">
        <f t="shared" si="72"/>
        <v>FASE II</v>
      </c>
      <c r="R279" s="155">
        <f t="shared" si="65"/>
        <v>24</v>
      </c>
      <c r="S279" s="156">
        <f t="shared" si="70"/>
        <v>2847</v>
      </c>
      <c r="T279" s="156">
        <f t="shared" si="71"/>
        <v>68328</v>
      </c>
    </row>
    <row r="280" spans="1:20" s="9" customFormat="1" ht="35.1" customHeight="1" x14ac:dyDescent="0.25">
      <c r="A280" s="215"/>
      <c r="B280" s="279" t="s">
        <v>303</v>
      </c>
      <c r="C280" s="254" t="s">
        <v>304</v>
      </c>
      <c r="D280" s="255" t="s">
        <v>284</v>
      </c>
      <c r="E280" s="242">
        <v>26</v>
      </c>
      <c r="F280" s="242">
        <f t="shared" si="66"/>
        <v>10</v>
      </c>
      <c r="G280" s="242">
        <f t="shared" si="67"/>
        <v>36</v>
      </c>
      <c r="H280" s="243">
        <v>3180</v>
      </c>
      <c r="I280" s="243">
        <f t="shared" si="68"/>
        <v>114480</v>
      </c>
      <c r="J280" s="8"/>
      <c r="K280" s="8">
        <f t="shared" si="61"/>
        <v>3229</v>
      </c>
      <c r="L280" s="8">
        <f t="shared" si="69"/>
        <v>83954</v>
      </c>
      <c r="M280" s="9" t="str">
        <f t="array" ref="M280:P280">_xlfn.XLOOKUP(B280,'Neiva 2022 FASE I ACTUAL (5)'!$B$6:$B$540,'Neiva 2022 FASE I ACTUAL (5)'!$C$6:$F$540,"NO ESTA")</f>
        <v xml:space="preserve">SUMINISTRO E INSTALACIÓN SOPORTE DE 1 1/4"                                                               </v>
      </c>
      <c r="N280" s="9" t="str">
        <v xml:space="preserve">UN   </v>
      </c>
      <c r="O280" s="9">
        <v>10</v>
      </c>
      <c r="P280" s="9">
        <v>3052</v>
      </c>
      <c r="Q280" s="124" t="str">
        <f t="shared" si="72"/>
        <v>FASE II</v>
      </c>
      <c r="R280" s="155">
        <f t="shared" si="65"/>
        <v>36</v>
      </c>
      <c r="S280" s="156">
        <f t="shared" si="70"/>
        <v>3229</v>
      </c>
      <c r="T280" s="156">
        <f t="shared" si="71"/>
        <v>116244</v>
      </c>
    </row>
    <row r="281" spans="1:20" s="9" customFormat="1" ht="35.1" customHeight="1" x14ac:dyDescent="0.25">
      <c r="A281" s="215"/>
      <c r="B281" s="279" t="s">
        <v>305</v>
      </c>
      <c r="C281" s="280" t="s">
        <v>306</v>
      </c>
      <c r="D281" s="255" t="s">
        <v>284</v>
      </c>
      <c r="E281" s="242">
        <v>24</v>
      </c>
      <c r="F281" s="242">
        <f t="shared" si="66"/>
        <v>9</v>
      </c>
      <c r="G281" s="242">
        <f t="shared" si="67"/>
        <v>33</v>
      </c>
      <c r="H281" s="243">
        <v>3850</v>
      </c>
      <c r="I281" s="243">
        <f t="shared" si="68"/>
        <v>127050</v>
      </c>
      <c r="J281" s="8"/>
      <c r="K281" s="8">
        <f t="shared" si="61"/>
        <v>3910</v>
      </c>
      <c r="L281" s="8">
        <f t="shared" si="69"/>
        <v>93840</v>
      </c>
      <c r="M281" s="9" t="str">
        <f t="array" ref="M281:P281">_xlfn.XLOOKUP(B281,'Neiva 2022 FASE I ACTUAL (5)'!$B$6:$B$540,'Neiva 2022 FASE I ACTUAL (5)'!$C$6:$F$540,"NO ESTA")</f>
        <v xml:space="preserve">SUMINISTRO E INSTALACIÓN SOPORTE DE 1 1/2"                                                               </v>
      </c>
      <c r="N281" s="9" t="str">
        <v xml:space="preserve">UN   </v>
      </c>
      <c r="O281" s="9">
        <v>9</v>
      </c>
      <c r="P281" s="9">
        <v>3695</v>
      </c>
      <c r="Q281" s="124" t="str">
        <f t="shared" si="72"/>
        <v>FASE II</v>
      </c>
      <c r="R281" s="155">
        <f t="shared" si="65"/>
        <v>33</v>
      </c>
      <c r="S281" s="156">
        <f t="shared" si="70"/>
        <v>3910</v>
      </c>
      <c r="T281" s="156">
        <f t="shared" si="71"/>
        <v>129030</v>
      </c>
    </row>
    <row r="282" spans="1:20" s="9" customFormat="1" ht="35.1" customHeight="1" x14ac:dyDescent="0.25">
      <c r="A282" s="215"/>
      <c r="B282" s="279" t="s">
        <v>307</v>
      </c>
      <c r="C282" s="254" t="s">
        <v>308</v>
      </c>
      <c r="D282" s="255" t="s">
        <v>284</v>
      </c>
      <c r="E282" s="242">
        <v>31</v>
      </c>
      <c r="F282" s="242">
        <f t="shared" si="66"/>
        <v>11</v>
      </c>
      <c r="G282" s="242">
        <f t="shared" si="67"/>
        <v>42</v>
      </c>
      <c r="H282" s="243">
        <v>4960</v>
      </c>
      <c r="I282" s="243">
        <f t="shared" si="68"/>
        <v>208320</v>
      </c>
      <c r="J282" s="8"/>
      <c r="K282" s="8">
        <f t="shared" si="61"/>
        <v>5037</v>
      </c>
      <c r="L282" s="8">
        <f t="shared" si="69"/>
        <v>156147</v>
      </c>
      <c r="M282" s="9" t="str">
        <f t="array" ref="M282:P282">_xlfn.XLOOKUP(B282,'Neiva 2022 FASE I ACTUAL (5)'!$B$6:$B$540,'Neiva 2022 FASE I ACTUAL (5)'!$C$6:$F$540,"NO ESTA")</f>
        <v xml:space="preserve">SUMINISTRO E INSTALACIÓN SOPORTE DE 2"                                                                   </v>
      </c>
      <c r="N282" s="9" t="str">
        <v xml:space="preserve">UN   </v>
      </c>
      <c r="O282" s="9">
        <v>11</v>
      </c>
      <c r="P282" s="9">
        <v>4760</v>
      </c>
      <c r="Q282" s="124" t="str">
        <f t="shared" si="72"/>
        <v>FASE II</v>
      </c>
      <c r="R282" s="155">
        <f t="shared" si="65"/>
        <v>42</v>
      </c>
      <c r="S282" s="156">
        <f t="shared" si="70"/>
        <v>5037</v>
      </c>
      <c r="T282" s="156">
        <f t="shared" si="71"/>
        <v>211554</v>
      </c>
    </row>
    <row r="283" spans="1:20" s="9" customFormat="1" ht="35.1" customHeight="1" x14ac:dyDescent="0.25">
      <c r="A283" s="215"/>
      <c r="B283" s="279" t="s">
        <v>309</v>
      </c>
      <c r="C283" s="254" t="s">
        <v>310</v>
      </c>
      <c r="D283" s="255" t="s">
        <v>284</v>
      </c>
      <c r="E283" s="242">
        <v>7</v>
      </c>
      <c r="F283" s="242">
        <f t="shared" si="66"/>
        <v>3</v>
      </c>
      <c r="G283" s="242">
        <f t="shared" si="67"/>
        <v>10</v>
      </c>
      <c r="H283" s="243">
        <v>5731</v>
      </c>
      <c r="I283" s="243">
        <f t="shared" si="68"/>
        <v>57310</v>
      </c>
      <c r="J283" s="8"/>
      <c r="K283" s="8">
        <f t="shared" si="61"/>
        <v>5820</v>
      </c>
      <c r="L283" s="8">
        <f t="shared" si="69"/>
        <v>40740</v>
      </c>
      <c r="M283" s="9" t="str">
        <f t="array" ref="M283:P283">_xlfn.XLOOKUP(B283,'Neiva 2022 FASE I ACTUAL (5)'!$B$6:$B$540,'Neiva 2022 FASE I ACTUAL (5)'!$C$6:$F$540,"NO ESTA")</f>
        <v xml:space="preserve">SUMINISTRO E INSTALACIÓN SOPORTE DE 2 1/2"                                                               </v>
      </c>
      <c r="N283" s="9" t="str">
        <v xml:space="preserve">UN   </v>
      </c>
      <c r="O283" s="9">
        <v>3</v>
      </c>
      <c r="P283" s="9">
        <v>5500</v>
      </c>
      <c r="Q283" s="124" t="str">
        <f t="shared" si="72"/>
        <v>FASE II</v>
      </c>
      <c r="R283" s="155">
        <f t="shared" si="65"/>
        <v>10</v>
      </c>
      <c r="S283" s="156">
        <f t="shared" si="70"/>
        <v>5820</v>
      </c>
      <c r="T283" s="156">
        <f t="shared" si="71"/>
        <v>58200</v>
      </c>
    </row>
    <row r="284" spans="1:20" s="9" customFormat="1" ht="35.1" customHeight="1" x14ac:dyDescent="0.25">
      <c r="A284" s="215"/>
      <c r="B284" s="279" t="s">
        <v>311</v>
      </c>
      <c r="C284" s="254" t="s">
        <v>312</v>
      </c>
      <c r="D284" s="255" t="s">
        <v>284</v>
      </c>
      <c r="E284" s="281">
        <v>41</v>
      </c>
      <c r="F284" s="242">
        <f t="shared" si="66"/>
        <v>15</v>
      </c>
      <c r="G284" s="242">
        <f t="shared" si="67"/>
        <v>56</v>
      </c>
      <c r="H284" s="243">
        <v>65223</v>
      </c>
      <c r="I284" s="243">
        <f t="shared" si="68"/>
        <v>3652488</v>
      </c>
      <c r="J284" s="8"/>
      <c r="K284" s="8">
        <f t="shared" si="61"/>
        <v>66234</v>
      </c>
      <c r="L284" s="8">
        <f t="shared" si="69"/>
        <v>2715594</v>
      </c>
      <c r="M284" s="9" t="str">
        <f t="array" ref="M284:P284">_xlfn.XLOOKUP(B284,'Neiva 2022 FASE I ACTUAL (5)'!$B$6:$B$540,'Neiva 2022 FASE I ACTUAL (5)'!$C$6:$F$540,"NO ESTA")</f>
        <v xml:space="preserve">SUMINISTRO E INSTALACIÓN PUNTO HIDRÁULICO PVC-P 1/2"                                                      </v>
      </c>
      <c r="N284" s="9" t="str">
        <v xml:space="preserve">UN   </v>
      </c>
      <c r="O284" s="9">
        <v>15</v>
      </c>
      <c r="P284" s="9">
        <v>62592</v>
      </c>
      <c r="Q284" s="124" t="str">
        <f t="shared" si="72"/>
        <v>FASE II</v>
      </c>
      <c r="R284" s="155">
        <f t="shared" si="65"/>
        <v>56</v>
      </c>
      <c r="S284" s="156">
        <f t="shared" si="70"/>
        <v>66234</v>
      </c>
      <c r="T284" s="156">
        <f t="shared" si="71"/>
        <v>3709104</v>
      </c>
    </row>
    <row r="285" spans="1:20" s="9" customFormat="1" ht="35.1" customHeight="1" x14ac:dyDescent="0.25">
      <c r="A285" s="215"/>
      <c r="B285" s="279" t="s">
        <v>313</v>
      </c>
      <c r="C285" s="254" t="s">
        <v>314</v>
      </c>
      <c r="D285" s="255" t="s">
        <v>284</v>
      </c>
      <c r="E285" s="242">
        <v>14</v>
      </c>
      <c r="F285" s="242">
        <f t="shared" si="66"/>
        <v>5</v>
      </c>
      <c r="G285" s="242">
        <f t="shared" si="67"/>
        <v>19</v>
      </c>
      <c r="H285" s="243">
        <v>69494</v>
      </c>
      <c r="I285" s="243">
        <f t="shared" si="68"/>
        <v>1320386</v>
      </c>
      <c r="J285" s="8"/>
      <c r="K285" s="8">
        <f t="shared" si="61"/>
        <v>70571</v>
      </c>
      <c r="L285" s="8">
        <f t="shared" si="69"/>
        <v>987994</v>
      </c>
      <c r="M285" s="9" t="str">
        <f t="array" ref="M285:P285">_xlfn.XLOOKUP(B285,'Neiva 2022 FASE I ACTUAL (5)'!$B$6:$B$540,'Neiva 2022 FASE I ACTUAL (5)'!$C$6:$F$540,"NO ESTA")</f>
        <v xml:space="preserve">SUMINISTRO E INSTALACIÓN PUNTO HIDRÁULICO PVC-P 3/4"                                                      </v>
      </c>
      <c r="N285" s="9" t="str">
        <v xml:space="preserve">UN   </v>
      </c>
      <c r="O285" s="9">
        <v>5</v>
      </c>
      <c r="P285" s="9">
        <v>66691</v>
      </c>
      <c r="Q285" s="124" t="str">
        <f t="shared" si="72"/>
        <v>FASE II</v>
      </c>
      <c r="R285" s="155">
        <f t="shared" si="65"/>
        <v>19</v>
      </c>
      <c r="S285" s="156">
        <f t="shared" si="70"/>
        <v>70571</v>
      </c>
      <c r="T285" s="156">
        <f t="shared" si="71"/>
        <v>1340849</v>
      </c>
    </row>
    <row r="286" spans="1:20" s="9" customFormat="1" ht="35.1" customHeight="1" x14ac:dyDescent="0.25">
      <c r="A286" s="215"/>
      <c r="B286" s="279" t="s">
        <v>315</v>
      </c>
      <c r="C286" s="254" t="s">
        <v>316</v>
      </c>
      <c r="D286" s="255" t="s">
        <v>284</v>
      </c>
      <c r="E286" s="242">
        <v>39</v>
      </c>
      <c r="F286" s="242">
        <f t="shared" si="66"/>
        <v>15</v>
      </c>
      <c r="G286" s="242">
        <f t="shared" si="67"/>
        <v>54</v>
      </c>
      <c r="H286" s="243">
        <v>98949</v>
      </c>
      <c r="I286" s="243">
        <f t="shared" si="68"/>
        <v>5343246</v>
      </c>
      <c r="J286" s="8"/>
      <c r="K286" s="8">
        <f t="shared" si="61"/>
        <v>100483</v>
      </c>
      <c r="L286" s="8">
        <f t="shared" si="69"/>
        <v>3918837</v>
      </c>
      <c r="M286" s="9" t="str">
        <f t="array" ref="M286:P286">_xlfn.XLOOKUP(B286,'Neiva 2022 FASE I ACTUAL (5)'!$B$6:$B$540,'Neiva 2022 FASE I ACTUAL (5)'!$C$6:$F$540,"NO ESTA")</f>
        <v xml:space="preserve">SUMINISTRO E INSTALACIÓN PUNTO HIDRÁULICO PVC-P 1 1/4"                                                    </v>
      </c>
      <c r="N286" s="9" t="str">
        <v xml:space="preserve">UN   </v>
      </c>
      <c r="O286" s="9">
        <v>15</v>
      </c>
      <c r="P286" s="9">
        <v>94960</v>
      </c>
      <c r="Q286" s="124" t="str">
        <f t="shared" si="72"/>
        <v>FASE II</v>
      </c>
      <c r="R286" s="155">
        <f t="shared" si="65"/>
        <v>54</v>
      </c>
      <c r="S286" s="156">
        <f t="shared" si="70"/>
        <v>100483</v>
      </c>
      <c r="T286" s="156">
        <f t="shared" si="71"/>
        <v>5426082</v>
      </c>
    </row>
    <row r="287" spans="1:20" s="9" customFormat="1" ht="35.1" customHeight="1" x14ac:dyDescent="0.25">
      <c r="A287" s="215"/>
      <c r="B287" s="279" t="s">
        <v>317</v>
      </c>
      <c r="C287" s="254" t="s">
        <v>318</v>
      </c>
      <c r="D287" s="255" t="s">
        <v>284</v>
      </c>
      <c r="E287" s="242">
        <v>12</v>
      </c>
      <c r="F287" s="242">
        <f t="shared" si="66"/>
        <v>5</v>
      </c>
      <c r="G287" s="242">
        <f t="shared" si="67"/>
        <v>17</v>
      </c>
      <c r="H287" s="243">
        <v>64294</v>
      </c>
      <c r="I287" s="243">
        <f t="shared" si="68"/>
        <v>1092998</v>
      </c>
      <c r="J287" s="8"/>
      <c r="K287" s="8">
        <f t="shared" si="61"/>
        <v>65291</v>
      </c>
      <c r="L287" s="8">
        <f t="shared" si="69"/>
        <v>783492</v>
      </c>
      <c r="M287" s="9" t="str">
        <f t="array" ref="M287:P287">_xlfn.XLOOKUP(B287,'Neiva 2022 FASE I ACTUAL (5)'!$B$6:$B$540,'Neiva 2022 FASE I ACTUAL (5)'!$C$6:$F$540,"NO ESTA")</f>
        <v xml:space="preserve">SUMINISTRO E INSTALACIÓN REGISTRO CORTINA ROSCAR 1/2"                                                   </v>
      </c>
      <c r="N287" s="9" t="str">
        <v xml:space="preserve">UN   </v>
      </c>
      <c r="O287" s="9">
        <v>5</v>
      </c>
      <c r="P287" s="9">
        <v>61701</v>
      </c>
      <c r="Q287" s="124" t="str">
        <f t="shared" si="72"/>
        <v>FASE II</v>
      </c>
      <c r="R287" s="155">
        <f t="shared" si="65"/>
        <v>17</v>
      </c>
      <c r="S287" s="156">
        <f t="shared" si="70"/>
        <v>65291</v>
      </c>
      <c r="T287" s="156">
        <f t="shared" si="71"/>
        <v>1109947</v>
      </c>
    </row>
    <row r="288" spans="1:20" s="9" customFormat="1" ht="35.1" customHeight="1" x14ac:dyDescent="0.25">
      <c r="A288" s="215"/>
      <c r="B288" s="279" t="s">
        <v>319</v>
      </c>
      <c r="C288" s="254" t="s">
        <v>320</v>
      </c>
      <c r="D288" s="255" t="s">
        <v>284</v>
      </c>
      <c r="E288" s="242">
        <v>6</v>
      </c>
      <c r="F288" s="242">
        <f t="shared" si="66"/>
        <v>2</v>
      </c>
      <c r="G288" s="242">
        <f t="shared" si="67"/>
        <v>8</v>
      </c>
      <c r="H288" s="243">
        <v>166627</v>
      </c>
      <c r="I288" s="243">
        <f t="shared" si="68"/>
        <v>1333016</v>
      </c>
      <c r="J288" s="8"/>
      <c r="K288" s="8">
        <f t="shared" si="61"/>
        <v>169210</v>
      </c>
      <c r="L288" s="8">
        <f t="shared" si="69"/>
        <v>1015260</v>
      </c>
      <c r="M288" s="9" t="str">
        <f t="array" ref="M288:P288">_xlfn.XLOOKUP(B288,'Neiva 2022 FASE I ACTUAL (5)'!$B$6:$B$540,'Neiva 2022 FASE I ACTUAL (5)'!$C$6:$F$540,"NO ESTA")</f>
        <v xml:space="preserve">SUMINISTRO E INSTALACIÓN REGISTRO CORTINA P/D ROSCAR 1 1/4"                                                 </v>
      </c>
      <c r="N288" s="9" t="str">
        <v xml:space="preserve">UN   </v>
      </c>
      <c r="O288" s="9">
        <v>2</v>
      </c>
      <c r="P288" s="9">
        <v>159908</v>
      </c>
      <c r="Q288" s="124" t="str">
        <f t="shared" si="72"/>
        <v>FASE II</v>
      </c>
      <c r="R288" s="155">
        <f t="shared" si="65"/>
        <v>8</v>
      </c>
      <c r="S288" s="156">
        <f t="shared" si="70"/>
        <v>169210</v>
      </c>
      <c r="T288" s="156">
        <f t="shared" si="71"/>
        <v>1353680</v>
      </c>
    </row>
    <row r="289" spans="1:20" s="9" customFormat="1" ht="35.1" customHeight="1" x14ac:dyDescent="0.25">
      <c r="A289" s="215"/>
      <c r="B289" s="279" t="s">
        <v>321</v>
      </c>
      <c r="C289" s="254" t="s">
        <v>322</v>
      </c>
      <c r="D289" s="255" t="s">
        <v>284</v>
      </c>
      <c r="E289" s="242">
        <v>6</v>
      </c>
      <c r="F289" s="242">
        <f t="shared" si="66"/>
        <v>2</v>
      </c>
      <c r="G289" s="242">
        <f t="shared" si="67"/>
        <v>8</v>
      </c>
      <c r="H289" s="243">
        <v>226206</v>
      </c>
      <c r="I289" s="243">
        <f t="shared" si="68"/>
        <v>1809648</v>
      </c>
      <c r="J289" s="8"/>
      <c r="K289" s="8">
        <f t="shared" si="61"/>
        <v>229712</v>
      </c>
      <c r="L289" s="8">
        <f t="shared" si="69"/>
        <v>1378272</v>
      </c>
      <c r="M289" s="9" t="str">
        <f t="array" ref="M289:P289">_xlfn.XLOOKUP(B289,'Neiva 2022 FASE I ACTUAL (5)'!$B$6:$B$540,'Neiva 2022 FASE I ACTUAL (5)'!$C$6:$F$540,"NO ESTA")</f>
        <v xml:space="preserve">SUMINISTRO E INSTALACIÓN REGISTRO CORTINA P/D ROSCAR 1 1/2"                                                 </v>
      </c>
      <c r="N289" s="9" t="str">
        <v xml:space="preserve">UN   </v>
      </c>
      <c r="O289" s="9">
        <v>2</v>
      </c>
      <c r="P289" s="9">
        <v>217082</v>
      </c>
      <c r="Q289" s="124" t="str">
        <f t="shared" si="72"/>
        <v>FASE II</v>
      </c>
      <c r="R289" s="155">
        <f t="shared" si="65"/>
        <v>8</v>
      </c>
      <c r="S289" s="156">
        <f t="shared" si="70"/>
        <v>229712</v>
      </c>
      <c r="T289" s="156">
        <f t="shared" si="71"/>
        <v>1837696</v>
      </c>
    </row>
    <row r="290" spans="1:20" s="9" customFormat="1" ht="35.1" customHeight="1" x14ac:dyDescent="0.25">
      <c r="A290" s="215"/>
      <c r="B290" s="279" t="s">
        <v>323</v>
      </c>
      <c r="C290" s="254" t="s">
        <v>324</v>
      </c>
      <c r="D290" s="255" t="s">
        <v>284</v>
      </c>
      <c r="E290" s="242">
        <v>0</v>
      </c>
      <c r="F290" s="242">
        <f t="shared" si="66"/>
        <v>2</v>
      </c>
      <c r="G290" s="242">
        <f t="shared" si="67"/>
        <v>2</v>
      </c>
      <c r="H290" s="243">
        <v>110117</v>
      </c>
      <c r="I290" s="243">
        <f t="shared" si="68"/>
        <v>220234</v>
      </c>
      <c r="J290" s="8"/>
      <c r="K290" s="8">
        <f t="shared" si="61"/>
        <v>111824</v>
      </c>
      <c r="L290" s="8">
        <f t="shared" si="69"/>
        <v>0</v>
      </c>
      <c r="M290" s="9" t="str">
        <f t="array" ref="M290:P290">_xlfn.XLOOKUP(B290,'Neiva 2022 FASE I ACTUAL (5)'!$B$6:$B$540,'Neiva 2022 FASE I ACTUAL (5)'!$C$6:$F$540,"NO ESTA")</f>
        <v xml:space="preserve">SUMINISTRO E INSTALACIÓN VÁLVULA FLOTADOR 1"                                                           </v>
      </c>
      <c r="N290" s="9" t="str">
        <v xml:space="preserve">UN   </v>
      </c>
      <c r="O290" s="9">
        <v>2</v>
      </c>
      <c r="P290" s="9">
        <v>105676</v>
      </c>
      <c r="Q290" s="124" t="str">
        <f t="shared" si="72"/>
        <v>FASE II</v>
      </c>
      <c r="R290" s="155">
        <f t="shared" si="65"/>
        <v>2</v>
      </c>
      <c r="S290" s="156">
        <f t="shared" si="70"/>
        <v>111824</v>
      </c>
      <c r="T290" s="156">
        <f t="shared" si="71"/>
        <v>223648</v>
      </c>
    </row>
    <row r="291" spans="1:20" s="9" customFormat="1" ht="35.1" customHeight="1" x14ac:dyDescent="0.25">
      <c r="A291" s="215"/>
      <c r="B291" s="279" t="s">
        <v>325</v>
      </c>
      <c r="C291" s="254" t="s">
        <v>326</v>
      </c>
      <c r="D291" s="255" t="s">
        <v>284</v>
      </c>
      <c r="E291" s="242">
        <v>0</v>
      </c>
      <c r="F291" s="242">
        <f t="shared" si="66"/>
        <v>1</v>
      </c>
      <c r="G291" s="242">
        <f t="shared" si="67"/>
        <v>1</v>
      </c>
      <c r="H291" s="243">
        <v>172193</v>
      </c>
      <c r="I291" s="243">
        <f t="shared" si="68"/>
        <v>172193</v>
      </c>
      <c r="J291" s="8"/>
      <c r="K291" s="8">
        <f t="shared" si="61"/>
        <v>174862</v>
      </c>
      <c r="L291" s="8">
        <f t="shared" si="69"/>
        <v>0</v>
      </c>
      <c r="M291" s="9" t="str">
        <f t="array" ref="M291:P291">_xlfn.XLOOKUP(B291,'Neiva 2022 FASE I ACTUAL (5)'!$B$6:$B$540,'Neiva 2022 FASE I ACTUAL (5)'!$C$6:$F$540,"NO ESTA")</f>
        <v xml:space="preserve">SUMINISTRO E INSTALACIÓN MEDIDOR VELOCIMETRICO  3/4"                                                   </v>
      </c>
      <c r="N291" s="9" t="str">
        <v xml:space="preserve">UN   </v>
      </c>
      <c r="O291" s="9">
        <v>1</v>
      </c>
      <c r="P291" s="9">
        <v>165249</v>
      </c>
      <c r="Q291" s="124" t="str">
        <f t="shared" si="72"/>
        <v>FASE II</v>
      </c>
      <c r="R291" s="155">
        <f t="shared" si="65"/>
        <v>1</v>
      </c>
      <c r="S291" s="156">
        <f t="shared" si="70"/>
        <v>174862</v>
      </c>
      <c r="T291" s="156">
        <f t="shared" si="71"/>
        <v>174862</v>
      </c>
    </row>
    <row r="292" spans="1:20" s="9" customFormat="1" ht="35.1" customHeight="1" x14ac:dyDescent="0.25">
      <c r="A292" s="215"/>
      <c r="B292" s="283" t="s">
        <v>327</v>
      </c>
      <c r="C292" s="256" t="s">
        <v>328</v>
      </c>
      <c r="D292" s="256"/>
      <c r="E292" s="246"/>
      <c r="F292" s="246"/>
      <c r="G292" s="246"/>
      <c r="H292" s="303"/>
      <c r="I292" s="246"/>
      <c r="J292" s="8"/>
      <c r="K292" s="8">
        <f t="shared" si="61"/>
        <v>0</v>
      </c>
      <c r="L292" s="8">
        <f t="shared" si="69"/>
        <v>0</v>
      </c>
      <c r="M292" s="9" t="str">
        <f t="array" ref="M292:P292">_xlfn.XLOOKUP(B292,'Neiva 2022 FASE I ACTUAL (5)'!$B$6:$B$540,'Neiva 2022 FASE I ACTUAL (5)'!$C$6:$F$540,"NO ESTA")</f>
        <v xml:space="preserve">SUMINISTRO E INSTALACION RED DESAGÜES AGUAS RESIDUALES                                                                              </v>
      </c>
      <c r="N292" s="9">
        <v>0</v>
      </c>
      <c r="O292" s="9">
        <v>0</v>
      </c>
      <c r="P292" s="9">
        <v>0</v>
      </c>
      <c r="Q292" s="124">
        <f t="shared" si="72"/>
        <v>0</v>
      </c>
      <c r="R292" s="155">
        <f t="shared" si="65"/>
        <v>0</v>
      </c>
      <c r="S292" s="156">
        <f t="shared" si="70"/>
        <v>0</v>
      </c>
      <c r="T292" s="156">
        <f t="shared" si="71"/>
        <v>0</v>
      </c>
    </row>
    <row r="293" spans="1:20" s="9" customFormat="1" ht="35.1" customHeight="1" x14ac:dyDescent="0.25">
      <c r="A293" s="215"/>
      <c r="B293" s="240" t="s">
        <v>329</v>
      </c>
      <c r="C293" s="284" t="s">
        <v>330</v>
      </c>
      <c r="D293" s="255" t="s">
        <v>269</v>
      </c>
      <c r="E293" s="242">
        <v>34</v>
      </c>
      <c r="F293" s="242">
        <f t="shared" ref="F293:F311" si="73">+O293</f>
        <v>12</v>
      </c>
      <c r="G293" s="242">
        <f t="shared" ref="G293:G311" si="74">+F293+E293</f>
        <v>46</v>
      </c>
      <c r="H293" s="243">
        <v>24935</v>
      </c>
      <c r="I293" s="243">
        <f t="shared" ref="I293:I311" si="75">ROUND(+H293*G293,2)</f>
        <v>1147010</v>
      </c>
      <c r="J293" s="8"/>
      <c r="K293" s="8">
        <f t="shared" si="61"/>
        <v>25321</v>
      </c>
      <c r="L293" s="8">
        <f t="shared" si="69"/>
        <v>860914</v>
      </c>
      <c r="M293" s="9" t="str">
        <f t="array" ref="M293:P293">_xlfn.XLOOKUP(B293,'Neiva 2022 FASE I ACTUAL (5)'!$B$6:$B$540,'Neiva 2022 FASE I ACTUAL (5)'!$C$6:$F$540,"NO ESTA")</f>
        <v xml:space="preserve">SUMINISTRO E INSTALACIÓN TUBERIA PVC-S DIAMETRO 2"                                                                        </v>
      </c>
      <c r="N293" s="9" t="str">
        <v xml:space="preserve">ML   </v>
      </c>
      <c r="O293" s="9">
        <v>12</v>
      </c>
      <c r="P293" s="9">
        <v>23929</v>
      </c>
      <c r="Q293" s="124" t="str">
        <f t="shared" si="72"/>
        <v>FASE II</v>
      </c>
      <c r="R293" s="155">
        <f t="shared" si="65"/>
        <v>46</v>
      </c>
      <c r="S293" s="156">
        <f t="shared" si="70"/>
        <v>25321</v>
      </c>
      <c r="T293" s="156">
        <f t="shared" si="71"/>
        <v>1164766</v>
      </c>
    </row>
    <row r="294" spans="1:20" s="9" customFormat="1" ht="35.1" customHeight="1" x14ac:dyDescent="0.25">
      <c r="A294" s="215"/>
      <c r="B294" s="240" t="s">
        <v>331</v>
      </c>
      <c r="C294" s="254" t="s">
        <v>332</v>
      </c>
      <c r="D294" s="255" t="s">
        <v>269</v>
      </c>
      <c r="E294" s="242">
        <v>157</v>
      </c>
      <c r="F294" s="242">
        <f t="shared" si="73"/>
        <v>58</v>
      </c>
      <c r="G294" s="242">
        <f t="shared" si="74"/>
        <v>215</v>
      </c>
      <c r="H294" s="243">
        <v>36695</v>
      </c>
      <c r="I294" s="243">
        <f t="shared" si="75"/>
        <v>7889425</v>
      </c>
      <c r="J294" s="8"/>
      <c r="K294" s="8">
        <f t="shared" si="61"/>
        <v>37264</v>
      </c>
      <c r="L294" s="8">
        <f t="shared" si="69"/>
        <v>5850448</v>
      </c>
      <c r="M294" s="9" t="str">
        <f t="array" ref="M294:P294">_xlfn.XLOOKUP(B294,'Neiva 2022 FASE I ACTUAL (5)'!$B$6:$B$540,'Neiva 2022 FASE I ACTUAL (5)'!$C$6:$F$540,"NO ESTA")</f>
        <v xml:space="preserve">SUMINISTRO E INSTALACIÓN TUBERIA PVC-S DIAMETRO 3"                                                                        </v>
      </c>
      <c r="N294" s="9" t="str">
        <v xml:space="preserve">ML   </v>
      </c>
      <c r="O294" s="9">
        <v>58</v>
      </c>
      <c r="P294" s="9">
        <v>35215</v>
      </c>
      <c r="Q294" s="124" t="str">
        <f t="shared" si="72"/>
        <v>FASE II</v>
      </c>
      <c r="R294" s="155">
        <f t="shared" si="65"/>
        <v>215</v>
      </c>
      <c r="S294" s="156">
        <f t="shared" si="70"/>
        <v>37264</v>
      </c>
      <c r="T294" s="156">
        <f t="shared" si="71"/>
        <v>8011760</v>
      </c>
    </row>
    <row r="295" spans="1:20" s="9" customFormat="1" ht="35.1" customHeight="1" x14ac:dyDescent="0.25">
      <c r="A295" s="215"/>
      <c r="B295" s="240" t="s">
        <v>333</v>
      </c>
      <c r="C295" s="254" t="s">
        <v>334</v>
      </c>
      <c r="D295" s="255" t="s">
        <v>269</v>
      </c>
      <c r="E295" s="242">
        <v>272</v>
      </c>
      <c r="F295" s="242">
        <f t="shared" si="73"/>
        <v>101</v>
      </c>
      <c r="G295" s="242">
        <f t="shared" si="74"/>
        <v>373</v>
      </c>
      <c r="H295" s="243">
        <v>52349</v>
      </c>
      <c r="I295" s="243">
        <f t="shared" si="75"/>
        <v>19526177</v>
      </c>
      <c r="J295" s="8"/>
      <c r="K295" s="8">
        <f t="shared" si="61"/>
        <v>53160</v>
      </c>
      <c r="L295" s="8">
        <f t="shared" si="69"/>
        <v>14459520</v>
      </c>
      <c r="M295" s="9" t="str">
        <f t="array" ref="M295:P295">_xlfn.XLOOKUP(B295,'Neiva 2022 FASE I ACTUAL (5)'!$B$6:$B$540,'Neiva 2022 FASE I ACTUAL (5)'!$C$6:$F$540,"NO ESTA")</f>
        <v xml:space="preserve">SUMINISTRO E INSTALACIÓN TUBERÍA PVC-S DIAMETRO 4"                                                                        </v>
      </c>
      <c r="N295" s="9" t="str">
        <v xml:space="preserve">ML   </v>
      </c>
      <c r="O295" s="9">
        <v>101</v>
      </c>
      <c r="P295" s="9">
        <v>50238</v>
      </c>
      <c r="Q295" s="124" t="str">
        <f t="shared" si="72"/>
        <v>FASE II</v>
      </c>
      <c r="R295" s="155">
        <f t="shared" si="65"/>
        <v>373</v>
      </c>
      <c r="S295" s="156">
        <f t="shared" si="70"/>
        <v>53160</v>
      </c>
      <c r="T295" s="156">
        <f t="shared" si="71"/>
        <v>19828680</v>
      </c>
    </row>
    <row r="296" spans="1:20" s="9" customFormat="1" ht="35.1" customHeight="1" x14ac:dyDescent="0.25">
      <c r="A296" s="215"/>
      <c r="B296" s="240" t="s">
        <v>335</v>
      </c>
      <c r="C296" s="254" t="s">
        <v>336</v>
      </c>
      <c r="D296" s="255" t="s">
        <v>269</v>
      </c>
      <c r="E296" s="242">
        <v>72</v>
      </c>
      <c r="F296" s="242">
        <f t="shared" si="73"/>
        <v>26</v>
      </c>
      <c r="G296" s="242">
        <f t="shared" si="74"/>
        <v>98</v>
      </c>
      <c r="H296" s="243">
        <v>21698</v>
      </c>
      <c r="I296" s="243">
        <f t="shared" si="75"/>
        <v>2126404</v>
      </c>
      <c r="J296" s="8"/>
      <c r="K296" s="8">
        <f t="shared" si="61"/>
        <v>22034</v>
      </c>
      <c r="L296" s="8">
        <f t="shared" si="69"/>
        <v>1586448</v>
      </c>
      <c r="M296" s="9" t="str">
        <f t="array" ref="M296:P296">_xlfn.XLOOKUP(B296,'Neiva 2022 FASE I ACTUAL (5)'!$B$6:$B$540,'Neiva 2022 FASE I ACTUAL (5)'!$C$6:$F$540,"NO ESTA")</f>
        <v xml:space="preserve">SUMINISTRO E INSTALACIÓN TUBERIA PVC-VENT DIAMETRO 2"                                                                     </v>
      </c>
      <c r="N296" s="9" t="str">
        <v xml:space="preserve">ML   </v>
      </c>
      <c r="O296" s="9">
        <v>26</v>
      </c>
      <c r="P296" s="9">
        <v>20823</v>
      </c>
      <c r="Q296" s="124" t="str">
        <f t="shared" si="72"/>
        <v>FASE II</v>
      </c>
      <c r="R296" s="155">
        <f t="shared" si="65"/>
        <v>98</v>
      </c>
      <c r="S296" s="156">
        <f t="shared" si="70"/>
        <v>22034</v>
      </c>
      <c r="T296" s="156">
        <f t="shared" si="71"/>
        <v>2159332</v>
      </c>
    </row>
    <row r="297" spans="1:20" s="9" customFormat="1" ht="35.1" customHeight="1" x14ac:dyDescent="0.25">
      <c r="A297" s="215"/>
      <c r="B297" s="240" t="s">
        <v>337</v>
      </c>
      <c r="C297" s="254" t="s">
        <v>338</v>
      </c>
      <c r="D297" s="255" t="s">
        <v>269</v>
      </c>
      <c r="E297" s="242">
        <v>97</v>
      </c>
      <c r="F297" s="242">
        <f t="shared" si="73"/>
        <v>36</v>
      </c>
      <c r="G297" s="242">
        <f t="shared" si="74"/>
        <v>133</v>
      </c>
      <c r="H297" s="243">
        <v>32259</v>
      </c>
      <c r="I297" s="243">
        <f t="shared" si="75"/>
        <v>4290447</v>
      </c>
      <c r="J297" s="8"/>
      <c r="K297" s="8">
        <f t="shared" si="61"/>
        <v>32759</v>
      </c>
      <c r="L297" s="8">
        <f t="shared" si="69"/>
        <v>3177623</v>
      </c>
      <c r="M297" s="9" t="str">
        <f t="array" ref="M297:P297">_xlfn.XLOOKUP(B297,'Neiva 2022 FASE I ACTUAL (5)'!$B$6:$B$540,'Neiva 2022 FASE I ACTUAL (5)'!$C$6:$F$540,"NO ESTA")</f>
        <v xml:space="preserve">SUMINISTRO E INSTALACIÓN TUBERIA PVC-VENT DIAMETRO 3"                                                                     </v>
      </c>
      <c r="N297" s="9" t="str">
        <v xml:space="preserve">ML   </v>
      </c>
      <c r="O297" s="9">
        <v>36</v>
      </c>
      <c r="P297" s="9">
        <v>30959</v>
      </c>
      <c r="Q297" s="124" t="str">
        <f t="shared" si="72"/>
        <v>FASE II</v>
      </c>
      <c r="R297" s="155">
        <f t="shared" si="65"/>
        <v>133</v>
      </c>
      <c r="S297" s="156">
        <f t="shared" si="70"/>
        <v>32759</v>
      </c>
      <c r="T297" s="156">
        <f t="shared" si="71"/>
        <v>4356947</v>
      </c>
    </row>
    <row r="298" spans="1:20" s="9" customFormat="1" ht="35.1" customHeight="1" x14ac:dyDescent="0.25">
      <c r="A298" s="215"/>
      <c r="B298" s="240" t="s">
        <v>339</v>
      </c>
      <c r="C298" s="254" t="s">
        <v>340</v>
      </c>
      <c r="D298" s="255" t="s">
        <v>284</v>
      </c>
      <c r="E298" s="242">
        <v>122</v>
      </c>
      <c r="F298" s="242">
        <f t="shared" si="73"/>
        <v>45</v>
      </c>
      <c r="G298" s="242">
        <f t="shared" si="74"/>
        <v>167</v>
      </c>
      <c r="H298" s="243">
        <v>7628</v>
      </c>
      <c r="I298" s="243">
        <f t="shared" si="75"/>
        <v>1273876</v>
      </c>
      <c r="J298" s="8"/>
      <c r="K298" s="8">
        <f t="shared" si="61"/>
        <v>7746</v>
      </c>
      <c r="L298" s="8">
        <f t="shared" si="69"/>
        <v>945012</v>
      </c>
      <c r="M298" s="9" t="str">
        <f t="array" ref="M298:P298">_xlfn.XLOOKUP(B298,'Neiva 2022 FASE I ACTUAL (5)'!$B$6:$B$540,'Neiva 2022 FASE I ACTUAL (5)'!$C$6:$F$540,"NO ESTA")</f>
        <v xml:space="preserve">SUMINISTRO E INSTALACIÓN ACCESORIOS PVC-S DIAMETRO  2"                                                             </v>
      </c>
      <c r="N298" s="9" t="str">
        <v xml:space="preserve">UN   </v>
      </c>
      <c r="O298" s="9">
        <v>45</v>
      </c>
      <c r="P298" s="9">
        <v>7320</v>
      </c>
      <c r="Q298" s="124" t="str">
        <f t="shared" si="72"/>
        <v>FASE II</v>
      </c>
      <c r="R298" s="155">
        <f t="shared" si="65"/>
        <v>167</v>
      </c>
      <c r="S298" s="156">
        <f t="shared" si="70"/>
        <v>7746</v>
      </c>
      <c r="T298" s="156">
        <f t="shared" si="71"/>
        <v>1293582</v>
      </c>
    </row>
    <row r="299" spans="1:20" s="9" customFormat="1" ht="35.1" customHeight="1" x14ac:dyDescent="0.25">
      <c r="A299" s="215"/>
      <c r="B299" s="240" t="s">
        <v>341</v>
      </c>
      <c r="C299" s="254" t="s">
        <v>342</v>
      </c>
      <c r="D299" s="255" t="s">
        <v>284</v>
      </c>
      <c r="E299" s="242">
        <v>161</v>
      </c>
      <c r="F299" s="242">
        <f t="shared" si="73"/>
        <v>60</v>
      </c>
      <c r="G299" s="242">
        <f t="shared" si="74"/>
        <v>221</v>
      </c>
      <c r="H299" s="243">
        <v>10866</v>
      </c>
      <c r="I299" s="243">
        <f t="shared" si="75"/>
        <v>2401386</v>
      </c>
      <c r="J299" s="8"/>
      <c r="K299" s="8">
        <f t="shared" si="61"/>
        <v>11034</v>
      </c>
      <c r="L299" s="8">
        <f t="shared" si="69"/>
        <v>1776474</v>
      </c>
      <c r="M299" s="9" t="str">
        <f t="array" ref="M299:P299">_xlfn.XLOOKUP(B299,'Neiva 2022 FASE I ACTUAL (5)'!$B$6:$B$540,'Neiva 2022 FASE I ACTUAL (5)'!$C$6:$F$540,"NO ESTA")</f>
        <v xml:space="preserve">SUMINISTRO E INSTALACIÓN ACCESORIOS PVC-S DIAMETRO  3"                                                             </v>
      </c>
      <c r="N299" s="9" t="str">
        <v xml:space="preserve">UN   </v>
      </c>
      <c r="O299" s="9">
        <v>60</v>
      </c>
      <c r="P299" s="9">
        <v>10429</v>
      </c>
      <c r="Q299" s="124" t="str">
        <f t="shared" si="72"/>
        <v>FASE II</v>
      </c>
      <c r="R299" s="155">
        <f t="shared" si="65"/>
        <v>221</v>
      </c>
      <c r="S299" s="156">
        <f t="shared" si="70"/>
        <v>11034</v>
      </c>
      <c r="T299" s="156">
        <f t="shared" si="71"/>
        <v>2438514</v>
      </c>
    </row>
    <row r="300" spans="1:20" s="9" customFormat="1" ht="35.1" customHeight="1" x14ac:dyDescent="0.25">
      <c r="A300" s="215"/>
      <c r="B300" s="240" t="s">
        <v>343</v>
      </c>
      <c r="C300" s="254" t="s">
        <v>344</v>
      </c>
      <c r="D300" s="255" t="s">
        <v>284</v>
      </c>
      <c r="E300" s="242">
        <v>288</v>
      </c>
      <c r="F300" s="242">
        <f t="shared" si="73"/>
        <v>106</v>
      </c>
      <c r="G300" s="242">
        <f t="shared" si="74"/>
        <v>394</v>
      </c>
      <c r="H300" s="243">
        <v>15969</v>
      </c>
      <c r="I300" s="243">
        <f t="shared" si="75"/>
        <v>6291786</v>
      </c>
      <c r="J300" s="8"/>
      <c r="K300" s="8">
        <f t="shared" si="61"/>
        <v>16217</v>
      </c>
      <c r="L300" s="8">
        <f t="shared" si="69"/>
        <v>4670496</v>
      </c>
      <c r="M300" s="9" t="str">
        <f t="array" ref="M300:P300">_xlfn.XLOOKUP(B300,'Neiva 2022 FASE I ACTUAL (5)'!$B$6:$B$540,'Neiva 2022 FASE I ACTUAL (5)'!$C$6:$F$540,"NO ESTA")</f>
        <v xml:space="preserve">SUMINISTRO E INSTALACIÓN ACCESORIOS PVC-S DIAMETRO  4"                                                             </v>
      </c>
      <c r="N300" s="9" t="str">
        <v xml:space="preserve">UN   </v>
      </c>
      <c r="O300" s="9">
        <v>106</v>
      </c>
      <c r="P300" s="9">
        <v>15324</v>
      </c>
      <c r="Q300" s="124" t="str">
        <f t="shared" si="72"/>
        <v>FASE II</v>
      </c>
      <c r="R300" s="155">
        <f t="shared" si="65"/>
        <v>394</v>
      </c>
      <c r="S300" s="156">
        <f t="shared" si="70"/>
        <v>16217</v>
      </c>
      <c r="T300" s="156">
        <f t="shared" si="71"/>
        <v>6389498</v>
      </c>
    </row>
    <row r="301" spans="1:20" s="9" customFormat="1" ht="35.1" customHeight="1" x14ac:dyDescent="0.25">
      <c r="A301" s="215"/>
      <c r="B301" s="240" t="s">
        <v>345</v>
      </c>
      <c r="C301" s="254" t="s">
        <v>346</v>
      </c>
      <c r="D301" s="255" t="s">
        <v>284</v>
      </c>
      <c r="E301" s="242">
        <v>14</v>
      </c>
      <c r="F301" s="242">
        <f t="shared" si="73"/>
        <v>5</v>
      </c>
      <c r="G301" s="242">
        <f t="shared" si="74"/>
        <v>19</v>
      </c>
      <c r="H301" s="243">
        <v>4960</v>
      </c>
      <c r="I301" s="243">
        <f t="shared" si="75"/>
        <v>94240</v>
      </c>
      <c r="J301" s="8"/>
      <c r="K301" s="8">
        <f t="shared" si="61"/>
        <v>5037</v>
      </c>
      <c r="L301" s="8">
        <f t="shared" si="69"/>
        <v>70518</v>
      </c>
      <c r="M301" s="9" t="str">
        <f t="array" ref="M301:P301">_xlfn.XLOOKUP(B301,'Neiva 2022 FASE I ACTUAL (5)'!$B$6:$B$540,'Neiva 2022 FASE I ACTUAL (5)'!$C$6:$F$540,"NO ESTA")</f>
        <v xml:space="preserve">SUMINISTRO E INSTALACIÓN SOPORTE 2"                                                                   </v>
      </c>
      <c r="N301" s="9" t="str">
        <v xml:space="preserve">UN   </v>
      </c>
      <c r="O301" s="9">
        <v>5</v>
      </c>
      <c r="P301" s="9">
        <v>4760</v>
      </c>
      <c r="Q301" s="124" t="str">
        <f t="shared" si="72"/>
        <v>FASE II</v>
      </c>
      <c r="R301" s="155">
        <f t="shared" si="65"/>
        <v>19</v>
      </c>
      <c r="S301" s="156">
        <f t="shared" si="70"/>
        <v>5037</v>
      </c>
      <c r="T301" s="156">
        <f t="shared" si="71"/>
        <v>95703</v>
      </c>
    </row>
    <row r="302" spans="1:20" s="9" customFormat="1" ht="35.1" customHeight="1" x14ac:dyDescent="0.25">
      <c r="A302" s="215"/>
      <c r="B302" s="240" t="s">
        <v>347</v>
      </c>
      <c r="C302" s="254" t="s">
        <v>348</v>
      </c>
      <c r="D302" s="255" t="s">
        <v>284</v>
      </c>
      <c r="E302" s="242">
        <v>64</v>
      </c>
      <c r="F302" s="242">
        <f t="shared" si="73"/>
        <v>23</v>
      </c>
      <c r="G302" s="242">
        <f t="shared" si="74"/>
        <v>87</v>
      </c>
      <c r="H302" s="243">
        <v>6308</v>
      </c>
      <c r="I302" s="243">
        <f t="shared" si="75"/>
        <v>548796</v>
      </c>
      <c r="J302" s="8"/>
      <c r="K302" s="8">
        <f t="shared" si="61"/>
        <v>6406</v>
      </c>
      <c r="L302" s="8">
        <f t="shared" si="69"/>
        <v>409984</v>
      </c>
      <c r="M302" s="9" t="str">
        <f t="array" ref="M302:P302">_xlfn.XLOOKUP(B302,'Neiva 2022 FASE I ACTUAL (5)'!$B$6:$B$540,'Neiva 2022 FASE I ACTUAL (5)'!$C$6:$F$540,"NO ESTA")</f>
        <v xml:space="preserve">SUMINISTRO E INSTALACIÓN SOPORTE 3"                                                                   </v>
      </c>
      <c r="N302" s="9" t="str">
        <v xml:space="preserve">UN   </v>
      </c>
      <c r="O302" s="9">
        <v>23</v>
      </c>
      <c r="P302" s="9">
        <v>6054</v>
      </c>
      <c r="Q302" s="124" t="str">
        <f t="shared" si="72"/>
        <v>FASE II</v>
      </c>
      <c r="R302" s="155">
        <f t="shared" si="65"/>
        <v>87</v>
      </c>
      <c r="S302" s="156">
        <f t="shared" si="70"/>
        <v>6406</v>
      </c>
      <c r="T302" s="156">
        <f t="shared" si="71"/>
        <v>557322</v>
      </c>
    </row>
    <row r="303" spans="1:20" s="9" customFormat="1" ht="35.1" customHeight="1" x14ac:dyDescent="0.25">
      <c r="A303" s="215"/>
      <c r="B303" s="240" t="s">
        <v>349</v>
      </c>
      <c r="C303" s="254" t="s">
        <v>350</v>
      </c>
      <c r="D303" s="255" t="s">
        <v>284</v>
      </c>
      <c r="E303" s="242">
        <v>101</v>
      </c>
      <c r="F303" s="242">
        <f t="shared" si="73"/>
        <v>38</v>
      </c>
      <c r="G303" s="242">
        <f t="shared" si="74"/>
        <v>139</v>
      </c>
      <c r="H303" s="243">
        <v>12520</v>
      </c>
      <c r="I303" s="243">
        <f t="shared" si="75"/>
        <v>1740280</v>
      </c>
      <c r="J303" s="8"/>
      <c r="K303" s="8">
        <f t="shared" si="61"/>
        <v>12714</v>
      </c>
      <c r="L303" s="8">
        <f t="shared" si="69"/>
        <v>1284114</v>
      </c>
      <c r="M303" s="9" t="str">
        <f t="array" ref="M303:P303">_xlfn.XLOOKUP(B303,'Neiva 2022 FASE I ACTUAL (5)'!$B$6:$B$540,'Neiva 2022 FASE I ACTUAL (5)'!$C$6:$F$540,"NO ESTA")</f>
        <v xml:space="preserve">SUMINISTRO E INSTALACIÓN SOPORTE 4"                                                                   </v>
      </c>
      <c r="N303" s="9" t="str">
        <v xml:space="preserve">UN   </v>
      </c>
      <c r="O303" s="9">
        <v>38</v>
      </c>
      <c r="P303" s="9">
        <v>12016</v>
      </c>
      <c r="Q303" s="124" t="str">
        <f t="shared" si="72"/>
        <v>FASE II</v>
      </c>
      <c r="R303" s="155">
        <f t="shared" si="65"/>
        <v>139</v>
      </c>
      <c r="S303" s="156">
        <f t="shared" si="70"/>
        <v>12714</v>
      </c>
      <c r="T303" s="156">
        <f t="shared" si="71"/>
        <v>1767246</v>
      </c>
    </row>
    <row r="304" spans="1:20" s="9" customFormat="1" ht="35.1" customHeight="1" x14ac:dyDescent="0.25">
      <c r="A304" s="215"/>
      <c r="B304" s="240" t="s">
        <v>351</v>
      </c>
      <c r="C304" s="254" t="s">
        <v>352</v>
      </c>
      <c r="D304" s="255" t="s">
        <v>284</v>
      </c>
      <c r="E304" s="242">
        <v>36</v>
      </c>
      <c r="F304" s="242">
        <f t="shared" si="73"/>
        <v>14</v>
      </c>
      <c r="G304" s="242">
        <f t="shared" si="74"/>
        <v>50</v>
      </c>
      <c r="H304" s="243">
        <v>42025</v>
      </c>
      <c r="I304" s="243">
        <f t="shared" si="75"/>
        <v>2101250</v>
      </c>
      <c r="J304" s="8"/>
      <c r="K304" s="8">
        <f t="shared" si="61"/>
        <v>42676</v>
      </c>
      <c r="L304" s="8">
        <f t="shared" si="69"/>
        <v>1536336</v>
      </c>
      <c r="M304" s="9" t="str">
        <f t="array" ref="M304:P304">_xlfn.XLOOKUP(B304,'Neiva 2022 FASE I ACTUAL (5)'!$B$6:$B$540,'Neiva 2022 FASE I ACTUAL (5)'!$C$6:$F$540,"NO ESTA")</f>
        <v xml:space="preserve">SUMINISTRO E INSTALACIÓN SALIDA SANITARIA 2"                                    </v>
      </c>
      <c r="N304" s="9" t="str">
        <v xml:space="preserve">UN   </v>
      </c>
      <c r="O304" s="9">
        <v>14</v>
      </c>
      <c r="P304" s="9">
        <v>40331</v>
      </c>
      <c r="Q304" s="124" t="str">
        <f t="shared" si="72"/>
        <v>FASE II</v>
      </c>
      <c r="R304" s="155">
        <f t="shared" si="65"/>
        <v>50</v>
      </c>
      <c r="S304" s="156">
        <f t="shared" si="70"/>
        <v>42676</v>
      </c>
      <c r="T304" s="156">
        <f t="shared" si="71"/>
        <v>2133800</v>
      </c>
    </row>
    <row r="305" spans="1:20" s="9" customFormat="1" ht="35.1" customHeight="1" x14ac:dyDescent="0.25">
      <c r="A305" s="215"/>
      <c r="B305" s="240" t="s">
        <v>353</v>
      </c>
      <c r="C305" s="254" t="s">
        <v>354</v>
      </c>
      <c r="D305" s="255" t="s">
        <v>284</v>
      </c>
      <c r="E305" s="242">
        <v>23</v>
      </c>
      <c r="F305" s="242">
        <f t="shared" si="73"/>
        <v>9</v>
      </c>
      <c r="G305" s="242">
        <f t="shared" si="74"/>
        <v>32</v>
      </c>
      <c r="H305" s="243">
        <v>50796</v>
      </c>
      <c r="I305" s="243">
        <f t="shared" si="75"/>
        <v>1625472</v>
      </c>
      <c r="J305" s="8"/>
      <c r="K305" s="8">
        <f t="shared" ref="K305:K368" si="76">+ROUND(H305*(1+$K$4),0)</f>
        <v>51583</v>
      </c>
      <c r="L305" s="8">
        <f t="shared" si="69"/>
        <v>1186409</v>
      </c>
      <c r="M305" s="9" t="str">
        <f t="array" ref="M305:P305">_xlfn.XLOOKUP(B305,'Neiva 2022 FASE I ACTUAL (5)'!$B$6:$B$540,'Neiva 2022 FASE I ACTUAL (5)'!$C$6:$F$540,"NO ESTA")</f>
        <v xml:space="preserve">SUMINISTRO E INSTALACIÓN SALIDA SANITARIA 3"                                    </v>
      </c>
      <c r="N305" s="9" t="str">
        <v xml:space="preserve">UN   </v>
      </c>
      <c r="O305" s="9">
        <v>9</v>
      </c>
      <c r="P305" s="9">
        <v>48749</v>
      </c>
      <c r="Q305" s="124" t="str">
        <f t="shared" si="72"/>
        <v>FASE II</v>
      </c>
      <c r="R305" s="155">
        <f t="shared" si="65"/>
        <v>32</v>
      </c>
      <c r="S305" s="156">
        <f t="shared" si="70"/>
        <v>51583</v>
      </c>
      <c r="T305" s="156">
        <f t="shared" si="71"/>
        <v>1650656</v>
      </c>
    </row>
    <row r="306" spans="1:20" s="9" customFormat="1" ht="35.1" customHeight="1" x14ac:dyDescent="0.25">
      <c r="A306" s="215"/>
      <c r="B306" s="240" t="s">
        <v>355</v>
      </c>
      <c r="C306" s="254" t="s">
        <v>356</v>
      </c>
      <c r="D306" s="255" t="s">
        <v>284</v>
      </c>
      <c r="E306" s="242">
        <v>42</v>
      </c>
      <c r="F306" s="242">
        <f t="shared" si="73"/>
        <v>16</v>
      </c>
      <c r="G306" s="242">
        <f t="shared" si="74"/>
        <v>58</v>
      </c>
      <c r="H306" s="243">
        <v>62425</v>
      </c>
      <c r="I306" s="243">
        <f t="shared" si="75"/>
        <v>3620650</v>
      </c>
      <c r="J306" s="8"/>
      <c r="K306" s="8">
        <f t="shared" si="76"/>
        <v>63393</v>
      </c>
      <c r="L306" s="8">
        <f t="shared" si="69"/>
        <v>2662506</v>
      </c>
      <c r="M306" s="9" t="str">
        <f t="array" ref="M306:P306">_xlfn.XLOOKUP(B306,'Neiva 2022 FASE I ACTUAL (5)'!$B$6:$B$540,'Neiva 2022 FASE I ACTUAL (5)'!$C$6:$F$540,"NO ESTA")</f>
        <v xml:space="preserve">SUMINISTRO E INSTALACIÓN SALIDA SANITARIA 4"                                    </v>
      </c>
      <c r="N306" s="9" t="str">
        <v xml:space="preserve">UN   </v>
      </c>
      <c r="O306" s="9">
        <v>16</v>
      </c>
      <c r="P306" s="9">
        <v>59907</v>
      </c>
      <c r="Q306" s="124" t="str">
        <f t="shared" si="72"/>
        <v>FASE II</v>
      </c>
      <c r="R306" s="155">
        <f t="shared" si="65"/>
        <v>58</v>
      </c>
      <c r="S306" s="156">
        <f t="shared" si="70"/>
        <v>63393</v>
      </c>
      <c r="T306" s="156">
        <f t="shared" si="71"/>
        <v>3676794</v>
      </c>
    </row>
    <row r="307" spans="1:20" s="9" customFormat="1" ht="35.1" customHeight="1" x14ac:dyDescent="0.25">
      <c r="A307" s="215"/>
      <c r="B307" s="240" t="s">
        <v>357</v>
      </c>
      <c r="C307" s="254" t="s">
        <v>358</v>
      </c>
      <c r="D307" s="255" t="s">
        <v>284</v>
      </c>
      <c r="E307" s="242">
        <v>1</v>
      </c>
      <c r="F307" s="242">
        <f t="shared" si="73"/>
        <v>1</v>
      </c>
      <c r="G307" s="242">
        <f t="shared" si="74"/>
        <v>2</v>
      </c>
      <c r="H307" s="243">
        <v>550714</v>
      </c>
      <c r="I307" s="243">
        <f t="shared" si="75"/>
        <v>1101428</v>
      </c>
      <c r="J307" s="8"/>
      <c r="K307" s="8">
        <f t="shared" si="76"/>
        <v>559250</v>
      </c>
      <c r="L307" s="8">
        <f t="shared" si="69"/>
        <v>559250</v>
      </c>
      <c r="M307" s="9" t="str">
        <f t="array" ref="M307:P307">_xlfn.XLOOKUP(B307,'Neiva 2022 FASE I ACTUAL (5)'!$B$6:$B$540,'Neiva 2022 FASE I ACTUAL (5)'!$C$6:$F$540,"NO ESTA")</f>
        <v xml:space="preserve">SUMINISTRO Y CONSTRUCCIÓN CAJA DE INSPECCIÓN 0.80mX0.80m H mäx:1.0m                                                                    </v>
      </c>
      <c r="N307" s="9" t="str">
        <v xml:space="preserve">UN   </v>
      </c>
      <c r="O307" s="9">
        <v>1</v>
      </c>
      <c r="P307" s="9">
        <v>528504</v>
      </c>
      <c r="Q307" s="124" t="str">
        <f t="shared" si="72"/>
        <v>FASE II</v>
      </c>
      <c r="R307" s="155">
        <f t="shared" si="65"/>
        <v>2</v>
      </c>
      <c r="S307" s="156">
        <f t="shared" si="70"/>
        <v>559250</v>
      </c>
      <c r="T307" s="156">
        <f t="shared" si="71"/>
        <v>1118500</v>
      </c>
    </row>
    <row r="308" spans="1:20" s="9" customFormat="1" ht="35.1" customHeight="1" x14ac:dyDescent="0.25">
      <c r="A308" s="215"/>
      <c r="B308" s="240" t="s">
        <v>359</v>
      </c>
      <c r="C308" s="254" t="s">
        <v>360</v>
      </c>
      <c r="D308" s="255" t="s">
        <v>269</v>
      </c>
      <c r="E308" s="242">
        <v>29</v>
      </c>
      <c r="F308" s="242">
        <f t="shared" si="73"/>
        <v>11</v>
      </c>
      <c r="G308" s="242">
        <f t="shared" si="74"/>
        <v>40</v>
      </c>
      <c r="H308" s="243">
        <v>46508</v>
      </c>
      <c r="I308" s="243">
        <f t="shared" si="75"/>
        <v>1860320</v>
      </c>
      <c r="J308" s="8"/>
      <c r="K308" s="8">
        <f t="shared" si="76"/>
        <v>47229</v>
      </c>
      <c r="L308" s="8">
        <f t="shared" si="69"/>
        <v>1369641</v>
      </c>
      <c r="M308" s="9" t="str">
        <f t="array" ref="M308:P308">_xlfn.XLOOKUP(B308,'Neiva 2022 FASE I ACTUAL (5)'!$B$6:$B$540,'Neiva 2022 FASE I ACTUAL (5)'!$C$6:$F$540,"NO ESTA")</f>
        <v xml:space="preserve">SUMINISTRO E INSTALACIÓN TUBERIA PVC-ALC DIAMETRO 160mm                                                                   </v>
      </c>
      <c r="N308" s="9" t="str">
        <v xml:space="preserve">ML   </v>
      </c>
      <c r="O308" s="9">
        <v>11</v>
      </c>
      <c r="P308" s="9">
        <v>44632</v>
      </c>
      <c r="Q308" s="124" t="str">
        <f t="shared" si="72"/>
        <v>FASE II</v>
      </c>
      <c r="R308" s="155">
        <f t="shared" si="65"/>
        <v>40</v>
      </c>
      <c r="S308" s="156">
        <f t="shared" si="70"/>
        <v>47229</v>
      </c>
      <c r="T308" s="156">
        <f t="shared" si="71"/>
        <v>1889160</v>
      </c>
    </row>
    <row r="309" spans="1:20" s="9" customFormat="1" ht="35.1" customHeight="1" x14ac:dyDescent="0.25">
      <c r="A309" s="215"/>
      <c r="B309" s="240" t="s">
        <v>361</v>
      </c>
      <c r="C309" s="254" t="s">
        <v>362</v>
      </c>
      <c r="D309" s="255" t="s">
        <v>269</v>
      </c>
      <c r="E309" s="242">
        <v>7</v>
      </c>
      <c r="F309" s="242">
        <f t="shared" si="73"/>
        <v>3</v>
      </c>
      <c r="G309" s="242">
        <f t="shared" si="74"/>
        <v>10</v>
      </c>
      <c r="H309" s="243">
        <v>64946</v>
      </c>
      <c r="I309" s="243">
        <f t="shared" si="75"/>
        <v>649460</v>
      </c>
      <c r="J309" s="8"/>
      <c r="K309" s="8">
        <f t="shared" si="76"/>
        <v>65953</v>
      </c>
      <c r="L309" s="8">
        <f t="shared" si="69"/>
        <v>461671</v>
      </c>
      <c r="M309" s="9" t="str">
        <f t="array" ref="M309:P309">_xlfn.XLOOKUP(B309,'Neiva 2022 FASE I ACTUAL (5)'!$B$6:$B$540,'Neiva 2022 FASE I ACTUAL (5)'!$C$6:$F$540,"NO ESTA")</f>
        <v xml:space="preserve">SUMINISTRO E INSTALACIÓN TUBERIA PVC-ALC DIAMETRO 200mm                                                                   </v>
      </c>
      <c r="N309" s="9" t="str">
        <v xml:space="preserve">ML   </v>
      </c>
      <c r="O309" s="9">
        <v>3</v>
      </c>
      <c r="P309" s="9">
        <v>62327</v>
      </c>
      <c r="Q309" s="124" t="str">
        <f t="shared" si="72"/>
        <v>FASE II</v>
      </c>
      <c r="R309" s="155">
        <f t="shared" si="65"/>
        <v>10</v>
      </c>
      <c r="S309" s="156">
        <f t="shared" si="70"/>
        <v>65953</v>
      </c>
      <c r="T309" s="156">
        <f t="shared" si="71"/>
        <v>659530</v>
      </c>
    </row>
    <row r="310" spans="1:20" s="9" customFormat="1" ht="35.1" customHeight="1" x14ac:dyDescent="0.25">
      <c r="A310" s="215"/>
      <c r="B310" s="240" t="s">
        <v>363</v>
      </c>
      <c r="C310" s="254" t="s">
        <v>364</v>
      </c>
      <c r="D310" s="255" t="s">
        <v>269</v>
      </c>
      <c r="E310" s="242">
        <v>29</v>
      </c>
      <c r="F310" s="242">
        <f t="shared" si="73"/>
        <v>11</v>
      </c>
      <c r="G310" s="242">
        <f t="shared" si="74"/>
        <v>40</v>
      </c>
      <c r="H310" s="243">
        <v>98674</v>
      </c>
      <c r="I310" s="243">
        <f t="shared" si="75"/>
        <v>3946960</v>
      </c>
      <c r="J310" s="8"/>
      <c r="K310" s="8">
        <f t="shared" si="76"/>
        <v>100203</v>
      </c>
      <c r="L310" s="8">
        <f t="shared" si="69"/>
        <v>2905887</v>
      </c>
      <c r="M310" s="9" t="str">
        <f t="array" ref="M310:P310">_xlfn.XLOOKUP(B310,'Neiva 2022 FASE I ACTUAL (5)'!$B$6:$B$540,'Neiva 2022 FASE I ACTUAL (5)'!$C$6:$F$540,"NO ESTA")</f>
        <v xml:space="preserve">SUMINISTRO E INSTALACIÓN TUBERÍA PVC-P DIAMETRO 4"                                                        </v>
      </c>
      <c r="N310" s="9" t="str">
        <v xml:space="preserve">ML   </v>
      </c>
      <c r="O310" s="9">
        <v>11</v>
      </c>
      <c r="P310" s="9">
        <v>94694</v>
      </c>
      <c r="Q310" s="124" t="str">
        <f t="shared" si="72"/>
        <v>FASE II</v>
      </c>
      <c r="R310" s="155">
        <f t="shared" si="65"/>
        <v>40</v>
      </c>
      <c r="S310" s="156">
        <f t="shared" si="70"/>
        <v>100203</v>
      </c>
      <c r="T310" s="156">
        <f t="shared" si="71"/>
        <v>4008120</v>
      </c>
    </row>
    <row r="311" spans="1:20" s="9" customFormat="1" ht="35.1" customHeight="1" x14ac:dyDescent="0.25">
      <c r="A311" s="215"/>
      <c r="B311" s="240" t="s">
        <v>365</v>
      </c>
      <c r="C311" s="254" t="s">
        <v>366</v>
      </c>
      <c r="D311" s="255" t="s">
        <v>284</v>
      </c>
      <c r="E311" s="242">
        <v>15</v>
      </c>
      <c r="F311" s="242">
        <f t="shared" si="73"/>
        <v>5</v>
      </c>
      <c r="G311" s="242">
        <f t="shared" si="74"/>
        <v>20</v>
      </c>
      <c r="H311" s="243">
        <v>79464</v>
      </c>
      <c r="I311" s="243">
        <f t="shared" si="75"/>
        <v>1589280</v>
      </c>
      <c r="J311" s="8"/>
      <c r="K311" s="8">
        <f t="shared" si="76"/>
        <v>80696</v>
      </c>
      <c r="L311" s="8">
        <f t="shared" si="69"/>
        <v>1210440</v>
      </c>
      <c r="M311" s="9" t="str">
        <f t="array" ref="M311:P311">_xlfn.XLOOKUP(B311,'Neiva 2022 FASE I ACTUAL (5)'!$B$6:$B$540,'Neiva 2022 FASE I ACTUAL (5)'!$C$6:$F$540,"NO ESTA")</f>
        <v xml:space="preserve">SUMINISTRO E INSTALACIÓN ACCESORIOS PVC-P DIAMETRO 4"                                                             </v>
      </c>
      <c r="N311" s="9" t="str">
        <v xml:space="preserve">UN   </v>
      </c>
      <c r="O311" s="9">
        <v>5</v>
      </c>
      <c r="P311" s="9">
        <v>76259</v>
      </c>
      <c r="Q311" s="124" t="str">
        <f t="shared" si="72"/>
        <v>FASE II</v>
      </c>
      <c r="R311" s="155">
        <f t="shared" si="65"/>
        <v>20</v>
      </c>
      <c r="S311" s="156">
        <f t="shared" si="70"/>
        <v>80696</v>
      </c>
      <c r="T311" s="156">
        <f t="shared" si="71"/>
        <v>1613920</v>
      </c>
    </row>
    <row r="312" spans="1:20" s="9" customFormat="1" ht="35.1" customHeight="1" x14ac:dyDescent="0.25">
      <c r="A312" s="215"/>
      <c r="B312" s="283" t="s">
        <v>367</v>
      </c>
      <c r="C312" s="256" t="s">
        <v>368</v>
      </c>
      <c r="D312" s="256" t="s">
        <v>369</v>
      </c>
      <c r="E312" s="246"/>
      <c r="F312" s="246"/>
      <c r="G312" s="246"/>
      <c r="H312" s="303"/>
      <c r="I312" s="246"/>
      <c r="J312" s="8"/>
      <c r="K312" s="8">
        <f t="shared" si="76"/>
        <v>0</v>
      </c>
      <c r="L312" s="8">
        <f t="shared" si="69"/>
        <v>0</v>
      </c>
      <c r="M312" s="9" t="str">
        <f t="array" ref="M312:P312">_xlfn.XLOOKUP(B312,'Neiva 2022 FASE I ACTUAL (5)'!$B$6:$B$540,'Neiva 2022 FASE I ACTUAL (5)'!$C$6:$F$540,"NO ESTA")</f>
        <v>SUMINISTRO E INSTALACIÓN DE APARATOS SANITARIOS</v>
      </c>
      <c r="N312" s="9" t="str">
        <v xml:space="preserve">     </v>
      </c>
      <c r="O312" s="9">
        <v>0</v>
      </c>
      <c r="P312" s="9">
        <v>0</v>
      </c>
      <c r="Q312" s="124">
        <f t="shared" si="72"/>
        <v>0</v>
      </c>
      <c r="R312" s="155">
        <f t="shared" si="65"/>
        <v>0</v>
      </c>
      <c r="S312" s="156">
        <f t="shared" si="70"/>
        <v>0</v>
      </c>
      <c r="T312" s="156">
        <f t="shared" si="71"/>
        <v>0</v>
      </c>
    </row>
    <row r="313" spans="1:20" s="9" customFormat="1" ht="35.1" customHeight="1" x14ac:dyDescent="0.25">
      <c r="A313" s="215"/>
      <c r="B313" s="255" t="s">
        <v>370</v>
      </c>
      <c r="C313" s="87" t="s">
        <v>371</v>
      </c>
      <c r="D313" s="255" t="s">
        <v>284</v>
      </c>
      <c r="E313" s="242">
        <v>24</v>
      </c>
      <c r="F313" s="242">
        <f t="shared" ref="F313:F320" si="77">+O313</f>
        <v>28</v>
      </c>
      <c r="G313" s="242">
        <f t="shared" ref="G313:G320" si="78">+F313+E313</f>
        <v>52</v>
      </c>
      <c r="H313" s="243">
        <v>1122964</v>
      </c>
      <c r="I313" s="243">
        <f t="shared" ref="I313:I320" si="79">ROUND(+H313*G313,2)</f>
        <v>58394128</v>
      </c>
      <c r="J313" s="8"/>
      <c r="K313" s="8">
        <f t="shared" si="76"/>
        <v>1140370</v>
      </c>
      <c r="L313" s="8">
        <f t="shared" si="69"/>
        <v>27368880</v>
      </c>
      <c r="M313" s="9" t="str">
        <f t="array" ref="M313:P313">_xlfn.XLOOKUP(B313,'Neiva 2022 FASE I ACTUAL (5)'!$B$6:$B$540,'Neiva 2022 FASE I ACTUAL (5)'!$C$6:$F$540,"NO ESTA")</f>
        <v>SUMINISTRO E INSTALACIÓN SANITARIO INSTITUCIONAL incluye FLUXOMETRO</v>
      </c>
      <c r="N313" s="9" t="str">
        <v xml:space="preserve">UN   </v>
      </c>
      <c r="O313" s="9">
        <v>28</v>
      </c>
      <c r="P313" s="9">
        <v>1077676</v>
      </c>
      <c r="Q313" s="124" t="str">
        <f t="shared" si="72"/>
        <v>FASE II</v>
      </c>
      <c r="R313" s="155">
        <f t="shared" si="65"/>
        <v>52</v>
      </c>
      <c r="S313" s="156">
        <f t="shared" si="70"/>
        <v>1140370</v>
      </c>
      <c r="T313" s="156">
        <f t="shared" si="71"/>
        <v>59299240</v>
      </c>
    </row>
    <row r="314" spans="1:20" s="9" customFormat="1" ht="35.1" customHeight="1" x14ac:dyDescent="0.25">
      <c r="A314" s="215"/>
      <c r="B314" s="255" t="s">
        <v>372</v>
      </c>
      <c r="C314" s="87" t="s">
        <v>373</v>
      </c>
      <c r="D314" s="255" t="s">
        <v>374</v>
      </c>
      <c r="E314" s="242">
        <v>4</v>
      </c>
      <c r="F314" s="242">
        <f t="shared" si="77"/>
        <v>4</v>
      </c>
      <c r="G314" s="242">
        <f t="shared" si="78"/>
        <v>8</v>
      </c>
      <c r="H314" s="243">
        <v>680428</v>
      </c>
      <c r="I314" s="243">
        <f t="shared" si="79"/>
        <v>5443424</v>
      </c>
      <c r="J314" s="8"/>
      <c r="K314" s="8">
        <f t="shared" si="76"/>
        <v>690975</v>
      </c>
      <c r="L314" s="8">
        <f t="shared" si="69"/>
        <v>2763900</v>
      </c>
      <c r="M314" s="9" t="str">
        <f t="array" ref="M314:P314">_xlfn.XLOOKUP(B314,'Neiva 2022 FASE I ACTUAL (5)'!$B$6:$B$540,'Neiva 2022 FASE I ACTUAL (5)'!$C$6:$F$540,"NO ESTA")</f>
        <v xml:space="preserve">SUMINISTRO E INSTALACIÓN SANITARIO DE BAJO CONSUMO </v>
      </c>
      <c r="N314" s="9" t="str">
        <v>UN</v>
      </c>
      <c r="O314" s="9">
        <v>4</v>
      </c>
      <c r="P314" s="9">
        <v>652986</v>
      </c>
      <c r="Q314" s="124" t="str">
        <f t="shared" si="72"/>
        <v>FASE II</v>
      </c>
      <c r="R314" s="155">
        <f t="shared" si="65"/>
        <v>8</v>
      </c>
      <c r="S314" s="156">
        <f t="shared" si="70"/>
        <v>690975</v>
      </c>
      <c r="T314" s="156">
        <f t="shared" si="71"/>
        <v>5527800</v>
      </c>
    </row>
    <row r="315" spans="1:20" s="9" customFormat="1" ht="35.1" customHeight="1" x14ac:dyDescent="0.25">
      <c r="A315" s="215"/>
      <c r="B315" s="255" t="s">
        <v>375</v>
      </c>
      <c r="C315" s="87" t="s">
        <v>376</v>
      </c>
      <c r="D315" s="255" t="s">
        <v>284</v>
      </c>
      <c r="E315" s="242">
        <v>9</v>
      </c>
      <c r="F315" s="242">
        <f t="shared" si="77"/>
        <v>12</v>
      </c>
      <c r="G315" s="242">
        <f t="shared" si="78"/>
        <v>21</v>
      </c>
      <c r="H315" s="243">
        <v>769455</v>
      </c>
      <c r="I315" s="243">
        <f t="shared" si="79"/>
        <v>16158555</v>
      </c>
      <c r="J315" s="8"/>
      <c r="K315" s="8">
        <f t="shared" si="76"/>
        <v>781382</v>
      </c>
      <c r="L315" s="8">
        <f t="shared" si="69"/>
        <v>7032438</v>
      </c>
      <c r="M315" s="9" t="str">
        <f t="array" ref="M315:P315">_xlfn.XLOOKUP(B315,'Neiva 2022 FASE I ACTUAL (5)'!$B$6:$B$540,'Neiva 2022 FASE I ACTUAL (5)'!$C$6:$F$540,"NO ESTA")</f>
        <v>SUMINISTRO E INSTALACIÓN ORINAL</v>
      </c>
      <c r="N315" s="9" t="str">
        <v xml:space="preserve">UN   </v>
      </c>
      <c r="O315" s="9">
        <v>12</v>
      </c>
      <c r="P315" s="9">
        <v>738424</v>
      </c>
      <c r="Q315" s="124" t="str">
        <f t="shared" si="72"/>
        <v>FASE II</v>
      </c>
      <c r="R315" s="155">
        <f t="shared" si="65"/>
        <v>21</v>
      </c>
      <c r="S315" s="156">
        <f t="shared" si="70"/>
        <v>781382</v>
      </c>
      <c r="T315" s="156">
        <f t="shared" si="71"/>
        <v>16409022</v>
      </c>
    </row>
    <row r="316" spans="1:20" s="9" customFormat="1" ht="35.1" customHeight="1" x14ac:dyDescent="0.25">
      <c r="A316" s="215"/>
      <c r="B316" s="255" t="s">
        <v>377</v>
      </c>
      <c r="C316" s="241" t="s">
        <v>378</v>
      </c>
      <c r="D316" s="255" t="s">
        <v>94</v>
      </c>
      <c r="E316" s="242">
        <v>13</v>
      </c>
      <c r="F316" s="242">
        <f t="shared" si="77"/>
        <v>14</v>
      </c>
      <c r="G316" s="242">
        <f t="shared" si="78"/>
        <v>27</v>
      </c>
      <c r="H316" s="243">
        <v>221497</v>
      </c>
      <c r="I316" s="243">
        <f t="shared" si="79"/>
        <v>5980419</v>
      </c>
      <c r="J316" s="8"/>
      <c r="K316" s="8">
        <f t="shared" si="76"/>
        <v>224930</v>
      </c>
      <c r="L316" s="8">
        <f t="shared" si="69"/>
        <v>2924090</v>
      </c>
      <c r="M316" s="9" t="str">
        <f t="array" ref="M316:P316">_xlfn.XLOOKUP(B316,'Neiva 2022 FASE I ACTUAL (5)'!$B$6:$B$540,'Neiva 2022 FASE I ACTUAL (5)'!$C$6:$F$540,"NO ESTA")</f>
        <v>SUMINISTRO E INSTALACIÓN MESÓN EN GRANITO NEGRO ABSOLUTO o similar, ANCHO 0.60m</v>
      </c>
      <c r="N316" s="9" t="str">
        <v>ML</v>
      </c>
      <c r="O316" s="9">
        <v>14</v>
      </c>
      <c r="P316" s="9">
        <v>212565</v>
      </c>
      <c r="Q316" s="124" t="str">
        <f t="shared" si="72"/>
        <v>FASE II</v>
      </c>
      <c r="R316" s="155">
        <f t="shared" si="65"/>
        <v>27</v>
      </c>
      <c r="S316" s="156">
        <f t="shared" si="70"/>
        <v>224930</v>
      </c>
      <c r="T316" s="156">
        <f t="shared" si="71"/>
        <v>6073110</v>
      </c>
    </row>
    <row r="317" spans="1:20" s="9" customFormat="1" ht="35.1" customHeight="1" x14ac:dyDescent="0.25">
      <c r="A317" s="215"/>
      <c r="B317" s="255" t="s">
        <v>379</v>
      </c>
      <c r="C317" s="87" t="s">
        <v>380</v>
      </c>
      <c r="D317" s="255" t="s">
        <v>284</v>
      </c>
      <c r="E317" s="242">
        <v>18</v>
      </c>
      <c r="F317" s="242">
        <f t="shared" si="77"/>
        <v>20</v>
      </c>
      <c r="G317" s="242">
        <f t="shared" si="78"/>
        <v>38</v>
      </c>
      <c r="H317" s="243">
        <v>597981</v>
      </c>
      <c r="I317" s="243">
        <f t="shared" si="79"/>
        <v>22723278</v>
      </c>
      <c r="J317" s="8"/>
      <c r="K317" s="8">
        <f t="shared" si="76"/>
        <v>607250</v>
      </c>
      <c r="L317" s="8">
        <f t="shared" si="69"/>
        <v>10930500</v>
      </c>
      <c r="M317" s="9" t="str">
        <f t="array" ref="M317:P317">_xlfn.XLOOKUP(B317,'Neiva 2022 FASE I ACTUAL (5)'!$B$6:$B$540,'Neiva 2022 FASE I ACTUAL (5)'!$C$6:$F$540,"NO ESTA")</f>
        <v xml:space="preserve">SUMINISTRO E INSTALACIÓN LAVAMANOS SOBREPONER </v>
      </c>
      <c r="N317" s="9" t="str">
        <v xml:space="preserve">UN   </v>
      </c>
      <c r="O317" s="9">
        <v>20</v>
      </c>
      <c r="P317" s="9">
        <v>573865</v>
      </c>
      <c r="Q317" s="124" t="str">
        <f t="shared" si="72"/>
        <v>FASE II</v>
      </c>
      <c r="R317" s="155">
        <f t="shared" si="65"/>
        <v>38</v>
      </c>
      <c r="S317" s="156">
        <f t="shared" si="70"/>
        <v>607250</v>
      </c>
      <c r="T317" s="156">
        <f t="shared" si="71"/>
        <v>23075500</v>
      </c>
    </row>
    <row r="318" spans="1:20" s="9" customFormat="1" ht="35.1" customHeight="1" x14ac:dyDescent="0.25">
      <c r="A318" s="215"/>
      <c r="B318" s="255" t="s">
        <v>381</v>
      </c>
      <c r="C318" s="87" t="s">
        <v>382</v>
      </c>
      <c r="D318" s="255" t="s">
        <v>284</v>
      </c>
      <c r="E318" s="242">
        <v>3</v>
      </c>
      <c r="F318" s="242">
        <f t="shared" si="77"/>
        <v>3</v>
      </c>
      <c r="G318" s="242">
        <f t="shared" si="78"/>
        <v>6</v>
      </c>
      <c r="H318" s="243">
        <v>565561</v>
      </c>
      <c r="I318" s="243">
        <f t="shared" si="79"/>
        <v>3393366</v>
      </c>
      <c r="J318" s="8"/>
      <c r="K318" s="8">
        <f t="shared" si="76"/>
        <v>574327</v>
      </c>
      <c r="L318" s="8">
        <f t="shared" si="69"/>
        <v>1722981</v>
      </c>
      <c r="M318" s="9" t="str">
        <f t="array" ref="M318:P318">_xlfn.XLOOKUP(B318,'Neiva 2022 FASE I ACTUAL (5)'!$B$6:$B$540,'Neiva 2022 FASE I ACTUAL (5)'!$C$6:$F$540,"NO ESTA")</f>
        <v>SUMINISTRO E INSTALACIÓN LAVAMANOS PEDESTAL</v>
      </c>
      <c r="N318" s="9" t="str">
        <v xml:space="preserve">UN   </v>
      </c>
      <c r="O318" s="9">
        <v>3</v>
      </c>
      <c r="P318" s="9">
        <v>542753</v>
      </c>
      <c r="Q318" s="124" t="str">
        <f t="shared" si="72"/>
        <v>FASE II</v>
      </c>
      <c r="R318" s="155">
        <f t="shared" si="65"/>
        <v>6</v>
      </c>
      <c r="S318" s="156">
        <f t="shared" si="70"/>
        <v>574327</v>
      </c>
      <c r="T318" s="156">
        <f t="shared" si="71"/>
        <v>3445962</v>
      </c>
    </row>
    <row r="319" spans="1:20" s="9" customFormat="1" ht="35.1" customHeight="1" x14ac:dyDescent="0.25">
      <c r="A319" s="215"/>
      <c r="B319" s="255" t="s">
        <v>383</v>
      </c>
      <c r="C319" s="241" t="s">
        <v>384</v>
      </c>
      <c r="D319" s="255" t="s">
        <v>13</v>
      </c>
      <c r="E319" s="242">
        <v>11</v>
      </c>
      <c r="F319" s="242">
        <f t="shared" si="77"/>
        <v>12</v>
      </c>
      <c r="G319" s="242">
        <f t="shared" si="78"/>
        <v>23</v>
      </c>
      <c r="H319" s="243">
        <v>92259</v>
      </c>
      <c r="I319" s="243">
        <f t="shared" si="79"/>
        <v>2121957</v>
      </c>
      <c r="J319" s="8"/>
      <c r="K319" s="8">
        <f t="shared" si="76"/>
        <v>93689</v>
      </c>
      <c r="L319" s="8">
        <f t="shared" si="69"/>
        <v>1030579</v>
      </c>
      <c r="M319" s="9" t="str">
        <f t="array" ref="M319:P319">_xlfn.XLOOKUP(B319,'Neiva 2022 FASE I ACTUAL (5)'!$B$6:$B$540,'Neiva 2022 FASE I ACTUAL (5)'!$C$6:$F$540,"NO ESTA")</f>
        <v>SUMINISTRO E INSTALACIÓN ESPEJO e=4MM PEGADO SOBRE BASTIDOR EN ALUMINIO DE 2X1</v>
      </c>
      <c r="N319" s="9" t="str">
        <v>M2</v>
      </c>
      <c r="O319" s="9">
        <v>12</v>
      </c>
      <c r="P319" s="9">
        <v>88538</v>
      </c>
      <c r="Q319" s="124" t="str">
        <f t="shared" si="72"/>
        <v>FASE II</v>
      </c>
      <c r="R319" s="155">
        <f t="shared" si="65"/>
        <v>23</v>
      </c>
      <c r="S319" s="156">
        <f t="shared" si="70"/>
        <v>93689</v>
      </c>
      <c r="T319" s="156">
        <f t="shared" si="71"/>
        <v>2154847</v>
      </c>
    </row>
    <row r="320" spans="1:20" s="9" customFormat="1" ht="35.1" customHeight="1" x14ac:dyDescent="0.25">
      <c r="A320" s="215"/>
      <c r="B320" s="255" t="s">
        <v>385</v>
      </c>
      <c r="C320" s="241" t="s">
        <v>386</v>
      </c>
      <c r="D320" s="255" t="s">
        <v>284</v>
      </c>
      <c r="E320" s="242">
        <v>1</v>
      </c>
      <c r="F320" s="242">
        <f t="shared" si="77"/>
        <v>2</v>
      </c>
      <c r="G320" s="242">
        <f t="shared" si="78"/>
        <v>3</v>
      </c>
      <c r="H320" s="243">
        <v>44812</v>
      </c>
      <c r="I320" s="243">
        <f t="shared" si="79"/>
        <v>134436</v>
      </c>
      <c r="J320" s="8"/>
      <c r="K320" s="8">
        <f t="shared" si="76"/>
        <v>45507</v>
      </c>
      <c r="L320" s="8">
        <f t="shared" si="69"/>
        <v>45507</v>
      </c>
      <c r="M320" s="9" t="str">
        <f t="array" ref="M320:P320">_xlfn.XLOOKUP(B320,'Neiva 2022 FASE I ACTUAL (5)'!$B$6:$B$540,'Neiva 2022 FASE I ACTUAL (5)'!$C$6:$F$540,"NO ESTA")</f>
        <v>SUMINISTRO E INSTALACIÓN LLAVES MANGUERA</v>
      </c>
      <c r="N320" s="9" t="str">
        <v xml:space="preserve">UN   </v>
      </c>
      <c r="O320" s="9">
        <v>2</v>
      </c>
      <c r="P320" s="9">
        <v>43005</v>
      </c>
      <c r="Q320" s="124" t="str">
        <f t="shared" si="72"/>
        <v>FASE II</v>
      </c>
      <c r="R320" s="155">
        <f t="shared" si="65"/>
        <v>3</v>
      </c>
      <c r="S320" s="156">
        <f t="shared" si="70"/>
        <v>45507</v>
      </c>
      <c r="T320" s="156">
        <f t="shared" si="71"/>
        <v>136521</v>
      </c>
    </row>
    <row r="321" spans="1:20" s="9" customFormat="1" ht="35.1" customHeight="1" x14ac:dyDescent="0.25">
      <c r="A321" s="215"/>
      <c r="B321" s="283" t="s">
        <v>387</v>
      </c>
      <c r="C321" s="256" t="s">
        <v>388</v>
      </c>
      <c r="D321" s="256"/>
      <c r="E321" s="246"/>
      <c r="F321" s="246"/>
      <c r="G321" s="246"/>
      <c r="H321" s="303"/>
      <c r="I321" s="246"/>
      <c r="J321" s="8"/>
      <c r="K321" s="8">
        <f t="shared" si="76"/>
        <v>0</v>
      </c>
      <c r="L321" s="8">
        <f t="shared" si="69"/>
        <v>0</v>
      </c>
      <c r="M321" s="9" t="str">
        <f t="array" ref="M321:P321">_xlfn.XLOOKUP(B321,'Neiva 2022 FASE I ACTUAL (5)'!$B$6:$B$540,'Neiva 2022 FASE I ACTUAL (5)'!$C$6:$F$540,"NO ESTA")</f>
        <v xml:space="preserve">SUMINISTRO E INSTALACION RED DESAGÜES AGUAS LLUVIAS                                                                                 </v>
      </c>
      <c r="N321" s="9">
        <v>0</v>
      </c>
      <c r="O321" s="9">
        <v>0</v>
      </c>
      <c r="P321" s="9">
        <v>0</v>
      </c>
      <c r="Q321" s="124">
        <f t="shared" si="72"/>
        <v>0</v>
      </c>
      <c r="R321" s="155">
        <f t="shared" si="65"/>
        <v>0</v>
      </c>
      <c r="S321" s="156">
        <f t="shared" si="70"/>
        <v>0</v>
      </c>
      <c r="T321" s="156">
        <f t="shared" si="71"/>
        <v>0</v>
      </c>
    </row>
    <row r="322" spans="1:20" s="9" customFormat="1" ht="35.1" customHeight="1" x14ac:dyDescent="0.25">
      <c r="A322" s="215"/>
      <c r="B322" s="255" t="s">
        <v>389</v>
      </c>
      <c r="C322" s="254" t="s">
        <v>390</v>
      </c>
      <c r="D322" s="255" t="s">
        <v>269</v>
      </c>
      <c r="E322" s="242">
        <v>248</v>
      </c>
      <c r="F322" s="242">
        <f t="shared" ref="F322:F335" si="80">+O322</f>
        <v>92</v>
      </c>
      <c r="G322" s="242">
        <f t="shared" ref="G322:G335" si="81">+F322+E322</f>
        <v>340</v>
      </c>
      <c r="H322" s="243">
        <v>36695</v>
      </c>
      <c r="I322" s="243">
        <f t="shared" ref="I322:I335" si="82">ROUND(+H322*G322,2)</f>
        <v>12476300</v>
      </c>
      <c r="J322" s="8"/>
      <c r="K322" s="8">
        <f t="shared" si="76"/>
        <v>37264</v>
      </c>
      <c r="L322" s="8">
        <f t="shared" si="69"/>
        <v>9241472</v>
      </c>
      <c r="M322" s="9" t="str">
        <f t="array" ref="M322:P322">_xlfn.XLOOKUP(B322,'Neiva 2022 FASE I ACTUAL (5)'!$B$6:$B$540,'Neiva 2022 FASE I ACTUAL (5)'!$C$6:$F$540,"NO ESTA")</f>
        <v xml:space="preserve">SUMINISTRO E INSTALACIÓN TUBERIA PVC-S DIAMETRO  3 PUL                                                                 </v>
      </c>
      <c r="N322" s="9" t="str">
        <v xml:space="preserve">ML   </v>
      </c>
      <c r="O322" s="9">
        <v>92</v>
      </c>
      <c r="P322" s="9">
        <v>35215</v>
      </c>
      <c r="Q322" s="124" t="str">
        <f t="shared" si="72"/>
        <v>FASE II</v>
      </c>
      <c r="R322" s="155">
        <f t="shared" si="65"/>
        <v>340</v>
      </c>
      <c r="S322" s="156">
        <f t="shared" si="70"/>
        <v>37264</v>
      </c>
      <c r="T322" s="156">
        <f t="shared" si="71"/>
        <v>12669760</v>
      </c>
    </row>
    <row r="323" spans="1:20" s="9" customFormat="1" ht="35.1" customHeight="1" x14ac:dyDescent="0.25">
      <c r="A323" s="215"/>
      <c r="B323" s="255" t="s">
        <v>391</v>
      </c>
      <c r="C323" s="241" t="s">
        <v>392</v>
      </c>
      <c r="D323" s="240" t="s">
        <v>269</v>
      </c>
      <c r="E323" s="242">
        <v>122</v>
      </c>
      <c r="F323" s="242">
        <f t="shared" si="80"/>
        <v>45</v>
      </c>
      <c r="G323" s="242">
        <f t="shared" si="81"/>
        <v>167</v>
      </c>
      <c r="H323" s="243">
        <v>52349</v>
      </c>
      <c r="I323" s="243">
        <f t="shared" si="82"/>
        <v>8742283</v>
      </c>
      <c r="J323" s="8"/>
      <c r="K323" s="8">
        <f t="shared" si="76"/>
        <v>53160</v>
      </c>
      <c r="L323" s="8">
        <f t="shared" si="69"/>
        <v>6485520</v>
      </c>
      <c r="M323" s="9" t="str">
        <f t="array" ref="M323:P323">_xlfn.XLOOKUP(B323,'Neiva 2022 FASE I ACTUAL (5)'!$B$6:$B$540,'Neiva 2022 FASE I ACTUAL (5)'!$C$6:$F$540,"NO ESTA")</f>
        <v xml:space="preserve">SUMINISTRO E INSTALACIÓN TUBERIA PVC-S DIAMETRO 4 PUL                                                                 </v>
      </c>
      <c r="N323" s="9" t="str">
        <v xml:space="preserve">ML   </v>
      </c>
      <c r="O323" s="9">
        <v>45</v>
      </c>
      <c r="P323" s="9">
        <v>50238</v>
      </c>
      <c r="Q323" s="124" t="str">
        <f t="shared" si="72"/>
        <v>FASE II</v>
      </c>
      <c r="R323" s="155">
        <f t="shared" si="65"/>
        <v>167</v>
      </c>
      <c r="S323" s="156">
        <f t="shared" si="70"/>
        <v>53160</v>
      </c>
      <c r="T323" s="156">
        <f t="shared" si="71"/>
        <v>8877720</v>
      </c>
    </row>
    <row r="324" spans="1:20" s="9" customFormat="1" ht="35.1" customHeight="1" x14ac:dyDescent="0.25">
      <c r="A324" s="215"/>
      <c r="B324" s="255" t="s">
        <v>393</v>
      </c>
      <c r="C324" s="241" t="s">
        <v>394</v>
      </c>
      <c r="D324" s="240" t="s">
        <v>269</v>
      </c>
      <c r="E324" s="242">
        <v>161</v>
      </c>
      <c r="F324" s="242">
        <f t="shared" si="80"/>
        <v>60</v>
      </c>
      <c r="G324" s="242">
        <f t="shared" si="81"/>
        <v>221</v>
      </c>
      <c r="H324" s="243">
        <v>94604</v>
      </c>
      <c r="I324" s="243">
        <f t="shared" si="82"/>
        <v>20907484</v>
      </c>
      <c r="J324" s="8"/>
      <c r="K324" s="8">
        <f t="shared" si="76"/>
        <v>96070</v>
      </c>
      <c r="L324" s="8">
        <f t="shared" si="69"/>
        <v>15467270</v>
      </c>
      <c r="M324" s="9" t="str">
        <f t="array" ref="M324:P324">_xlfn.XLOOKUP(B324,'Neiva 2022 FASE I ACTUAL (5)'!$B$6:$B$540,'Neiva 2022 FASE I ACTUAL (5)'!$C$6:$F$540,"NO ESTA")</f>
        <v xml:space="preserve">SUMINISTRO E INSTALACIÓN TUBERIA PVC-S DIAMETRO 6 PUL                                                                 </v>
      </c>
      <c r="N324" s="9" t="str">
        <v xml:space="preserve">ML   </v>
      </c>
      <c r="O324" s="9">
        <v>60</v>
      </c>
      <c r="P324" s="9">
        <v>90790</v>
      </c>
      <c r="Q324" s="124" t="str">
        <f t="shared" si="72"/>
        <v>FASE II</v>
      </c>
      <c r="R324" s="155">
        <f t="shared" si="65"/>
        <v>221</v>
      </c>
      <c r="S324" s="156">
        <f t="shared" si="70"/>
        <v>96070</v>
      </c>
      <c r="T324" s="156">
        <f t="shared" si="71"/>
        <v>21231470</v>
      </c>
    </row>
    <row r="325" spans="1:20" s="9" customFormat="1" ht="35.1" customHeight="1" x14ac:dyDescent="0.25">
      <c r="A325" s="215"/>
      <c r="B325" s="255" t="s">
        <v>395</v>
      </c>
      <c r="C325" s="241" t="s">
        <v>396</v>
      </c>
      <c r="D325" s="240" t="s">
        <v>374</v>
      </c>
      <c r="E325" s="242">
        <v>101</v>
      </c>
      <c r="F325" s="242">
        <f t="shared" si="80"/>
        <v>38</v>
      </c>
      <c r="G325" s="242">
        <f t="shared" si="81"/>
        <v>139</v>
      </c>
      <c r="H325" s="243">
        <v>10866</v>
      </c>
      <c r="I325" s="243">
        <f t="shared" si="82"/>
        <v>1510374</v>
      </c>
      <c r="J325" s="8"/>
      <c r="K325" s="8">
        <f t="shared" si="76"/>
        <v>11034</v>
      </c>
      <c r="L325" s="8">
        <f t="shared" si="69"/>
        <v>1114434</v>
      </c>
      <c r="M325" s="9" t="str">
        <f t="array" ref="M325:P325">_xlfn.XLOOKUP(B325,'Neiva 2022 FASE I ACTUAL (5)'!$B$6:$B$540,'Neiva 2022 FASE I ACTUAL (5)'!$C$6:$F$540,"NO ESTA")</f>
        <v xml:space="preserve">SUMINISTRO E INSTALACIÓN ACCESORIOS PVC-S DIAMETRO 3"                                                             </v>
      </c>
      <c r="N325" s="9" t="str">
        <v>UN</v>
      </c>
      <c r="O325" s="9">
        <v>38</v>
      </c>
      <c r="P325" s="9">
        <v>10429</v>
      </c>
      <c r="Q325" s="124" t="str">
        <f t="shared" si="72"/>
        <v>FASE II</v>
      </c>
      <c r="R325" s="155">
        <f t="shared" si="65"/>
        <v>139</v>
      </c>
      <c r="S325" s="156">
        <f t="shared" si="70"/>
        <v>11034</v>
      </c>
      <c r="T325" s="156">
        <f t="shared" si="71"/>
        <v>1533726</v>
      </c>
    </row>
    <row r="326" spans="1:20" s="9" customFormat="1" ht="35.1" customHeight="1" x14ac:dyDescent="0.25">
      <c r="A326" s="215"/>
      <c r="B326" s="255" t="s">
        <v>397</v>
      </c>
      <c r="C326" s="285" t="s">
        <v>398</v>
      </c>
      <c r="D326" s="240" t="s">
        <v>374</v>
      </c>
      <c r="E326" s="242">
        <v>58</v>
      </c>
      <c r="F326" s="242">
        <f t="shared" si="80"/>
        <v>21</v>
      </c>
      <c r="G326" s="242">
        <f t="shared" si="81"/>
        <v>79</v>
      </c>
      <c r="H326" s="243">
        <v>15969</v>
      </c>
      <c r="I326" s="243">
        <f t="shared" si="82"/>
        <v>1261551</v>
      </c>
      <c r="J326" s="8"/>
      <c r="K326" s="8">
        <f t="shared" si="76"/>
        <v>16217</v>
      </c>
      <c r="L326" s="8">
        <f t="shared" si="69"/>
        <v>940586</v>
      </c>
      <c r="M326" s="9" t="str">
        <f t="array" ref="M326:P326">_xlfn.XLOOKUP(B326,'Neiva 2022 FASE I ACTUAL (5)'!$B$6:$B$540,'Neiva 2022 FASE I ACTUAL (5)'!$C$6:$F$540,"NO ESTA")</f>
        <v xml:space="preserve">SUMINISTRO E INSTALACIÓN ACCESORIOS PVC-S DIAMETRO 4"                                                             </v>
      </c>
      <c r="N326" s="9" t="str">
        <v>UN</v>
      </c>
      <c r="O326" s="9">
        <v>21</v>
      </c>
      <c r="P326" s="9">
        <v>15324</v>
      </c>
      <c r="Q326" s="124" t="str">
        <f t="shared" si="72"/>
        <v>FASE II</v>
      </c>
      <c r="R326" s="155">
        <f t="shared" ref="R326:R389" si="83">E326+O326</f>
        <v>79</v>
      </c>
      <c r="S326" s="156">
        <f t="shared" si="70"/>
        <v>16217</v>
      </c>
      <c r="T326" s="156">
        <f t="shared" si="71"/>
        <v>1281143</v>
      </c>
    </row>
    <row r="327" spans="1:20" s="9" customFormat="1" ht="35.1" customHeight="1" x14ac:dyDescent="0.25">
      <c r="A327" s="215"/>
      <c r="B327" s="255" t="s">
        <v>399</v>
      </c>
      <c r="C327" s="241" t="s">
        <v>400</v>
      </c>
      <c r="D327" s="240" t="s">
        <v>374</v>
      </c>
      <c r="E327" s="242">
        <v>68</v>
      </c>
      <c r="F327" s="242">
        <f t="shared" si="80"/>
        <v>25</v>
      </c>
      <c r="G327" s="242">
        <f t="shared" si="81"/>
        <v>93</v>
      </c>
      <c r="H327" s="243">
        <v>76100</v>
      </c>
      <c r="I327" s="243">
        <f t="shared" si="82"/>
        <v>7077300</v>
      </c>
      <c r="J327" s="8"/>
      <c r="K327" s="8">
        <f t="shared" si="76"/>
        <v>77280</v>
      </c>
      <c r="L327" s="8">
        <f t="shared" ref="L327:L390" si="84">+K327*E327</f>
        <v>5255040</v>
      </c>
      <c r="M327" s="9" t="str">
        <f t="array" ref="M327:P327">_xlfn.XLOOKUP(B327,'Neiva 2022 FASE I ACTUAL (5)'!$B$6:$B$540,'Neiva 2022 FASE I ACTUAL (5)'!$C$6:$F$540,"NO ESTA")</f>
        <v xml:space="preserve">SUMINISTRO E INSTALACIÓN ACCESORIOS PVC-S DIAMETRO 6"                                                             </v>
      </c>
      <c r="N327" s="9" t="str">
        <v>UN</v>
      </c>
      <c r="O327" s="9">
        <v>25</v>
      </c>
      <c r="P327" s="9">
        <v>73031</v>
      </c>
      <c r="Q327" s="124" t="str">
        <f t="shared" si="72"/>
        <v>FASE II</v>
      </c>
      <c r="R327" s="155">
        <f t="shared" si="83"/>
        <v>93</v>
      </c>
      <c r="S327" s="156">
        <f t="shared" ref="S327:S390" si="85">MAX(P327,H327,K327)</f>
        <v>77280</v>
      </c>
      <c r="T327" s="156">
        <f t="shared" ref="T327:T390" si="86">ROUND(R327*S327,2)</f>
        <v>7187040</v>
      </c>
    </row>
    <row r="328" spans="1:20" s="9" customFormat="1" ht="35.1" customHeight="1" x14ac:dyDescent="0.25">
      <c r="A328" s="215"/>
      <c r="B328" s="255" t="s">
        <v>401</v>
      </c>
      <c r="C328" s="241" t="s">
        <v>402</v>
      </c>
      <c r="D328" s="240" t="s">
        <v>269</v>
      </c>
      <c r="E328" s="242">
        <v>31</v>
      </c>
      <c r="F328" s="242">
        <f t="shared" si="80"/>
        <v>12</v>
      </c>
      <c r="G328" s="242">
        <f t="shared" si="81"/>
        <v>43</v>
      </c>
      <c r="H328" s="243">
        <v>50796</v>
      </c>
      <c r="I328" s="243">
        <f t="shared" si="82"/>
        <v>2184228</v>
      </c>
      <c r="J328" s="8"/>
      <c r="K328" s="8">
        <f t="shared" si="76"/>
        <v>51583</v>
      </c>
      <c r="L328" s="8">
        <f t="shared" si="84"/>
        <v>1599073</v>
      </c>
      <c r="M328" s="9" t="str">
        <f t="array" ref="M328:P328">_xlfn.XLOOKUP(B328,'Neiva 2022 FASE I ACTUAL (5)'!$B$6:$B$540,'Neiva 2022 FASE I ACTUAL (5)'!$C$6:$F$540,"NO ESTA")</f>
        <v xml:space="preserve">SUMINISTRO E INSTALACIÓN SALIDA SANITARIA DIAMETRO 3 PULG                                                               </v>
      </c>
      <c r="N328" s="9" t="str">
        <v xml:space="preserve">ML   </v>
      </c>
      <c r="O328" s="9">
        <v>12</v>
      </c>
      <c r="P328" s="9">
        <v>48749</v>
      </c>
      <c r="Q328" s="124" t="str">
        <f t="shared" ref="Q328:Q391" si="87">IF(P328=0,0,(IF(H328&lt;P328, "FASE I","FASE II")))</f>
        <v>FASE II</v>
      </c>
      <c r="R328" s="155">
        <f t="shared" si="83"/>
        <v>43</v>
      </c>
      <c r="S328" s="156">
        <f t="shared" si="85"/>
        <v>51583</v>
      </c>
      <c r="T328" s="156">
        <f t="shared" si="86"/>
        <v>2218069</v>
      </c>
    </row>
    <row r="329" spans="1:20" s="9" customFormat="1" ht="35.1" customHeight="1" x14ac:dyDescent="0.25">
      <c r="A329" s="215"/>
      <c r="B329" s="255" t="s">
        <v>403</v>
      </c>
      <c r="C329" s="241" t="s">
        <v>404</v>
      </c>
      <c r="D329" s="240" t="s">
        <v>269</v>
      </c>
      <c r="E329" s="242">
        <v>23</v>
      </c>
      <c r="F329" s="242">
        <f t="shared" si="80"/>
        <v>8</v>
      </c>
      <c r="G329" s="242">
        <f t="shared" si="81"/>
        <v>31</v>
      </c>
      <c r="H329" s="243">
        <v>62425</v>
      </c>
      <c r="I329" s="243">
        <f t="shared" si="82"/>
        <v>1935175</v>
      </c>
      <c r="J329" s="8"/>
      <c r="K329" s="8">
        <f t="shared" si="76"/>
        <v>63393</v>
      </c>
      <c r="L329" s="8">
        <f t="shared" si="84"/>
        <v>1458039</v>
      </c>
      <c r="M329" s="9" t="str">
        <f t="array" ref="M329:P329">_xlfn.XLOOKUP(B329,'Neiva 2022 FASE I ACTUAL (5)'!$B$6:$B$540,'Neiva 2022 FASE I ACTUAL (5)'!$C$6:$F$540,"NO ESTA")</f>
        <v xml:space="preserve">SUMINISTRO E INSTALACIÓN SALIDA SANITARIA DIAMETRO 4 PULG                                                               </v>
      </c>
      <c r="N329" s="9" t="str">
        <v xml:space="preserve">ML   </v>
      </c>
      <c r="O329" s="9">
        <v>8</v>
      </c>
      <c r="P329" s="9">
        <v>59907</v>
      </c>
      <c r="Q329" s="124" t="str">
        <f t="shared" si="87"/>
        <v>FASE II</v>
      </c>
      <c r="R329" s="155">
        <f t="shared" si="83"/>
        <v>31</v>
      </c>
      <c r="S329" s="156">
        <f t="shared" si="85"/>
        <v>63393</v>
      </c>
      <c r="T329" s="156">
        <f t="shared" si="86"/>
        <v>1965183</v>
      </c>
    </row>
    <row r="330" spans="1:20" s="9" customFormat="1" ht="35.1" customHeight="1" x14ac:dyDescent="0.25">
      <c r="A330" s="215"/>
      <c r="B330" s="255" t="s">
        <v>405</v>
      </c>
      <c r="C330" s="241" t="s">
        <v>406</v>
      </c>
      <c r="D330" s="240" t="s">
        <v>269</v>
      </c>
      <c r="E330" s="242">
        <v>0</v>
      </c>
      <c r="F330" s="242">
        <f t="shared" si="80"/>
        <v>50</v>
      </c>
      <c r="G330" s="242">
        <f t="shared" si="81"/>
        <v>50</v>
      </c>
      <c r="H330" s="243">
        <v>54371</v>
      </c>
      <c r="I330" s="243">
        <f t="shared" si="82"/>
        <v>2718550</v>
      </c>
      <c r="J330" s="8"/>
      <c r="K330" s="8">
        <f t="shared" si="76"/>
        <v>55214</v>
      </c>
      <c r="L330" s="8">
        <f t="shared" si="84"/>
        <v>0</v>
      </c>
      <c r="M330" s="9" t="str">
        <f t="array" ref="M330:P330">_xlfn.XLOOKUP(B330,'Neiva 2022 FASE I ACTUAL (5)'!$B$6:$B$540,'Neiva 2022 FASE I ACTUAL (5)'!$C$6:$F$540,"NO ESTA")</f>
        <v xml:space="preserve">SUMINISTRO E INSTALACIÓN POLIETILENO PEAD PARA FILTRO 90 mm                                                                  </v>
      </c>
      <c r="N330" s="9" t="str">
        <v xml:space="preserve">ML   </v>
      </c>
      <c r="O330" s="9">
        <v>50</v>
      </c>
      <c r="P330" s="9">
        <v>52178</v>
      </c>
      <c r="Q330" s="124" t="str">
        <f t="shared" si="87"/>
        <v>FASE II</v>
      </c>
      <c r="R330" s="155">
        <f t="shared" si="83"/>
        <v>50</v>
      </c>
      <c r="S330" s="156">
        <f t="shared" si="85"/>
        <v>55214</v>
      </c>
      <c r="T330" s="156">
        <f t="shared" si="86"/>
        <v>2760700</v>
      </c>
    </row>
    <row r="331" spans="1:20" s="9" customFormat="1" ht="35.1" customHeight="1" x14ac:dyDescent="0.25">
      <c r="A331" s="215"/>
      <c r="B331" s="255" t="s">
        <v>407</v>
      </c>
      <c r="C331" s="241" t="s">
        <v>408</v>
      </c>
      <c r="D331" s="240" t="s">
        <v>269</v>
      </c>
      <c r="E331" s="242">
        <v>0</v>
      </c>
      <c r="F331" s="242">
        <f t="shared" si="80"/>
        <v>30</v>
      </c>
      <c r="G331" s="242">
        <f t="shared" si="81"/>
        <v>30</v>
      </c>
      <c r="H331" s="243">
        <v>28346</v>
      </c>
      <c r="I331" s="243">
        <f t="shared" si="82"/>
        <v>850380</v>
      </c>
      <c r="J331" s="8"/>
      <c r="K331" s="8">
        <f t="shared" si="76"/>
        <v>28785</v>
      </c>
      <c r="L331" s="8">
        <f t="shared" si="84"/>
        <v>0</v>
      </c>
      <c r="M331" s="9" t="str">
        <f t="array" ref="M331:P331">_xlfn.XLOOKUP(B331,'Neiva 2022 FASE I ACTUAL (5)'!$B$6:$B$540,'Neiva 2022 FASE I ACTUAL (5)'!$C$6:$F$540,"NO ESTA")</f>
        <v xml:space="preserve">SUMINISTRO E INSTALACIÓN TUBERIA PVC-ALC 90 mm                                                                  </v>
      </c>
      <c r="N331" s="9" t="str">
        <v xml:space="preserve">ML   </v>
      </c>
      <c r="O331" s="9">
        <v>30</v>
      </c>
      <c r="P331" s="9">
        <v>27202</v>
      </c>
      <c r="Q331" s="124" t="str">
        <f t="shared" si="87"/>
        <v>FASE II</v>
      </c>
      <c r="R331" s="155">
        <f t="shared" si="83"/>
        <v>30</v>
      </c>
      <c r="S331" s="156">
        <f t="shared" si="85"/>
        <v>28785</v>
      </c>
      <c r="T331" s="156">
        <f t="shared" si="86"/>
        <v>863550</v>
      </c>
    </row>
    <row r="332" spans="1:20" s="9" customFormat="1" ht="35.1" customHeight="1" x14ac:dyDescent="0.25">
      <c r="A332" s="215"/>
      <c r="B332" s="255" t="s">
        <v>409</v>
      </c>
      <c r="C332" s="241" t="s">
        <v>410</v>
      </c>
      <c r="D332" s="240" t="s">
        <v>269</v>
      </c>
      <c r="E332" s="242">
        <v>0</v>
      </c>
      <c r="F332" s="242">
        <f t="shared" si="80"/>
        <v>15</v>
      </c>
      <c r="G332" s="242">
        <f t="shared" si="81"/>
        <v>15</v>
      </c>
      <c r="H332" s="243">
        <v>34835</v>
      </c>
      <c r="I332" s="243">
        <f t="shared" si="82"/>
        <v>522525</v>
      </c>
      <c r="J332" s="8"/>
      <c r="K332" s="8">
        <f t="shared" si="76"/>
        <v>35375</v>
      </c>
      <c r="L332" s="8">
        <f t="shared" si="84"/>
        <v>0</v>
      </c>
      <c r="M332" s="9" t="str">
        <f t="array" ref="M332:P332">_xlfn.XLOOKUP(B332,'Neiva 2022 FASE I ACTUAL (5)'!$B$6:$B$540,'Neiva 2022 FASE I ACTUAL (5)'!$C$6:$F$540,"NO ESTA")</f>
        <v xml:space="preserve">SUMINISTRO E INSTALACIÓN TUBERIA PVC-ALC 110 mm                                                                 </v>
      </c>
      <c r="N332" s="9" t="str">
        <v xml:space="preserve">ML   </v>
      </c>
      <c r="O332" s="9">
        <v>15</v>
      </c>
      <c r="P332" s="9">
        <v>33430</v>
      </c>
      <c r="Q332" s="124" t="str">
        <f t="shared" si="87"/>
        <v>FASE II</v>
      </c>
      <c r="R332" s="155">
        <f t="shared" si="83"/>
        <v>15</v>
      </c>
      <c r="S332" s="156">
        <f t="shared" si="85"/>
        <v>35375</v>
      </c>
      <c r="T332" s="156">
        <f t="shared" si="86"/>
        <v>530625</v>
      </c>
    </row>
    <row r="333" spans="1:20" s="9" customFormat="1" ht="35.1" customHeight="1" x14ac:dyDescent="0.25">
      <c r="A333" s="215"/>
      <c r="B333" s="255" t="s">
        <v>411</v>
      </c>
      <c r="C333" s="241" t="s">
        <v>412</v>
      </c>
      <c r="D333" s="240" t="s">
        <v>269</v>
      </c>
      <c r="E333" s="242">
        <v>0</v>
      </c>
      <c r="F333" s="242">
        <f t="shared" si="80"/>
        <v>70</v>
      </c>
      <c r="G333" s="242">
        <f t="shared" si="81"/>
        <v>70</v>
      </c>
      <c r="H333" s="243">
        <v>46508</v>
      </c>
      <c r="I333" s="243">
        <f t="shared" si="82"/>
        <v>3255560</v>
      </c>
      <c r="J333" s="8"/>
      <c r="K333" s="8">
        <f t="shared" si="76"/>
        <v>47229</v>
      </c>
      <c r="L333" s="8">
        <f t="shared" si="84"/>
        <v>0</v>
      </c>
      <c r="M333" s="9" t="str">
        <f t="array" ref="M333:P333">_xlfn.XLOOKUP(B333,'Neiva 2022 FASE I ACTUAL (5)'!$B$6:$B$540,'Neiva 2022 FASE I ACTUAL (5)'!$C$6:$F$540,"NO ESTA")</f>
        <v xml:space="preserve">SUMINISTRO E INSTALACIÓN TUBERIA PVC-ALC 160 mm                                                                 </v>
      </c>
      <c r="N333" s="9" t="str">
        <v xml:space="preserve">ML   </v>
      </c>
      <c r="O333" s="9">
        <v>70</v>
      </c>
      <c r="P333" s="9">
        <v>44632</v>
      </c>
      <c r="Q333" s="124" t="str">
        <f t="shared" si="87"/>
        <v>FASE II</v>
      </c>
      <c r="R333" s="155">
        <f t="shared" si="83"/>
        <v>70</v>
      </c>
      <c r="S333" s="156">
        <f t="shared" si="85"/>
        <v>47229</v>
      </c>
      <c r="T333" s="156">
        <f t="shared" si="86"/>
        <v>3306030</v>
      </c>
    </row>
    <row r="334" spans="1:20" s="9" customFormat="1" ht="35.1" customHeight="1" x14ac:dyDescent="0.25">
      <c r="A334" s="215"/>
      <c r="B334" s="255" t="s">
        <v>413</v>
      </c>
      <c r="C334" s="241" t="s">
        <v>414</v>
      </c>
      <c r="D334" s="240" t="s">
        <v>269</v>
      </c>
      <c r="E334" s="242">
        <v>0</v>
      </c>
      <c r="F334" s="242">
        <f t="shared" si="80"/>
        <v>20</v>
      </c>
      <c r="G334" s="242">
        <f t="shared" si="81"/>
        <v>20</v>
      </c>
      <c r="H334" s="243">
        <v>81139</v>
      </c>
      <c r="I334" s="243">
        <f t="shared" si="82"/>
        <v>1622780</v>
      </c>
      <c r="J334" s="8"/>
      <c r="K334" s="8">
        <f t="shared" si="76"/>
        <v>82397</v>
      </c>
      <c r="L334" s="8">
        <f t="shared" si="84"/>
        <v>0</v>
      </c>
      <c r="M334" s="9" t="str">
        <f t="array" ref="M334:P334">_xlfn.XLOOKUP(B334,'Neiva 2022 FASE I ACTUAL (5)'!$B$6:$B$540,'Neiva 2022 FASE I ACTUAL (5)'!$C$6:$F$540,"NO ESTA")</f>
        <v xml:space="preserve">SUMINISTRO E INSTALACIÓN TUBERIA PVC-ALC 250mm                                                                   </v>
      </c>
      <c r="N334" s="9" t="str">
        <v xml:space="preserve">ML   </v>
      </c>
      <c r="O334" s="9">
        <v>20</v>
      </c>
      <c r="P334" s="9">
        <v>77866</v>
      </c>
      <c r="Q334" s="124" t="str">
        <f t="shared" si="87"/>
        <v>FASE II</v>
      </c>
      <c r="R334" s="155">
        <f t="shared" si="83"/>
        <v>20</v>
      </c>
      <c r="S334" s="156">
        <f t="shared" si="85"/>
        <v>82397</v>
      </c>
      <c r="T334" s="156">
        <f t="shared" si="86"/>
        <v>1647940</v>
      </c>
    </row>
    <row r="335" spans="1:20" s="9" customFormat="1" ht="35.1" customHeight="1" x14ac:dyDescent="0.25">
      <c r="A335" s="215"/>
      <c r="B335" s="255" t="s">
        <v>415</v>
      </c>
      <c r="C335" s="241" t="s">
        <v>358</v>
      </c>
      <c r="D335" s="240" t="s">
        <v>284</v>
      </c>
      <c r="E335" s="242">
        <v>0</v>
      </c>
      <c r="F335" s="242">
        <f t="shared" si="80"/>
        <v>4</v>
      </c>
      <c r="G335" s="242">
        <f t="shared" si="81"/>
        <v>4</v>
      </c>
      <c r="H335" s="243">
        <v>550714</v>
      </c>
      <c r="I335" s="243">
        <f t="shared" si="82"/>
        <v>2202856</v>
      </c>
      <c r="J335" s="8"/>
      <c r="K335" s="8">
        <f t="shared" si="76"/>
        <v>559250</v>
      </c>
      <c r="L335" s="8">
        <f t="shared" si="84"/>
        <v>0</v>
      </c>
      <c r="M335" s="9" t="str">
        <f t="array" ref="M335:P335">_xlfn.XLOOKUP(B335,'Neiva 2022 FASE I ACTUAL (5)'!$B$6:$B$540,'Neiva 2022 FASE I ACTUAL (5)'!$C$6:$F$540,"NO ESTA")</f>
        <v xml:space="preserve">SUMINISTRO Y CONSTRUCCIÓN CAJA DE INSPECCIÓN 0.80mX0.80m H mäx:1.0m                                                                    </v>
      </c>
      <c r="N335" s="9" t="str">
        <v xml:space="preserve">UN   </v>
      </c>
      <c r="O335" s="9">
        <v>4</v>
      </c>
      <c r="P335" s="9">
        <v>528504</v>
      </c>
      <c r="Q335" s="124" t="str">
        <f t="shared" si="87"/>
        <v>FASE II</v>
      </c>
      <c r="R335" s="155">
        <f t="shared" si="83"/>
        <v>4</v>
      </c>
      <c r="S335" s="156">
        <f t="shared" si="85"/>
        <v>559250</v>
      </c>
      <c r="T335" s="156">
        <f t="shared" si="86"/>
        <v>2237000</v>
      </c>
    </row>
    <row r="336" spans="1:20" s="9" customFormat="1" ht="35.1" customHeight="1" x14ac:dyDescent="0.25">
      <c r="A336" s="215"/>
      <c r="B336" s="283" t="s">
        <v>416</v>
      </c>
      <c r="C336" s="256" t="s">
        <v>417</v>
      </c>
      <c r="D336" s="256" t="s">
        <v>369</v>
      </c>
      <c r="E336" s="246"/>
      <c r="F336" s="246"/>
      <c r="G336" s="246"/>
      <c r="H336" s="303"/>
      <c r="I336" s="246"/>
      <c r="J336" s="8"/>
      <c r="K336" s="8">
        <f t="shared" si="76"/>
        <v>0</v>
      </c>
      <c r="L336" s="8">
        <f t="shared" si="84"/>
        <v>0</v>
      </c>
      <c r="M336" s="9" t="str">
        <f t="array" ref="M336:P336">_xlfn.XLOOKUP(B336,'Neiva 2022 FASE I ACTUAL (5)'!$B$6:$B$540,'Neiva 2022 FASE I ACTUAL (5)'!$C$6:$F$540,"NO ESTA")</f>
        <v xml:space="preserve">EXCAVACIONES Y RELLENOS                                                                                       </v>
      </c>
      <c r="N336" s="9">
        <v>0</v>
      </c>
      <c r="O336" s="9">
        <v>0</v>
      </c>
      <c r="P336" s="9">
        <v>0</v>
      </c>
      <c r="Q336" s="124">
        <f t="shared" si="87"/>
        <v>0</v>
      </c>
      <c r="R336" s="155">
        <f t="shared" si="83"/>
        <v>0</v>
      </c>
      <c r="S336" s="156">
        <f t="shared" si="85"/>
        <v>0</v>
      </c>
      <c r="T336" s="156">
        <f t="shared" si="86"/>
        <v>0</v>
      </c>
    </row>
    <row r="337" spans="1:20" s="9" customFormat="1" ht="35.1" customHeight="1" x14ac:dyDescent="0.25">
      <c r="A337" s="215"/>
      <c r="B337" s="240" t="s">
        <v>418</v>
      </c>
      <c r="C337" s="241" t="s">
        <v>1222</v>
      </c>
      <c r="D337" s="240" t="s">
        <v>420</v>
      </c>
      <c r="E337" s="242">
        <v>0</v>
      </c>
      <c r="F337" s="242">
        <f>+O337</f>
        <v>94</v>
      </c>
      <c r="G337" s="242">
        <f>+F337+E337</f>
        <v>94</v>
      </c>
      <c r="H337" s="243">
        <v>40591</v>
      </c>
      <c r="I337" s="243">
        <f>ROUND(+H337*G337,2)</f>
        <v>3815554</v>
      </c>
      <c r="J337" s="8"/>
      <c r="K337" s="8">
        <f t="shared" si="76"/>
        <v>41220</v>
      </c>
      <c r="L337" s="8">
        <f t="shared" si="84"/>
        <v>0</v>
      </c>
      <c r="M337" s="9" t="str">
        <f t="array" ref="M337:P337">_xlfn.XLOOKUP(B337,'Neiva 2022 FASE I ACTUAL (5)'!$B$6:$B$540,'Neiva 2022 FASE I ACTUAL (5)'!$C$6:$F$540,"NO ESTA")</f>
        <v>EXCAVACIÓN MANUAL EN MATERIAL COMÚN (Incluye cargue y retiro)</v>
      </c>
      <c r="N337" s="9" t="str">
        <v xml:space="preserve">M3   </v>
      </c>
      <c r="O337" s="9">
        <v>94</v>
      </c>
      <c r="P337" s="9">
        <v>38954</v>
      </c>
      <c r="Q337" s="124" t="str">
        <f t="shared" si="87"/>
        <v>FASE II</v>
      </c>
      <c r="R337" s="155">
        <f t="shared" si="83"/>
        <v>94</v>
      </c>
      <c r="S337" s="156">
        <f t="shared" si="85"/>
        <v>41220</v>
      </c>
      <c r="T337" s="156">
        <f t="shared" si="86"/>
        <v>3874680</v>
      </c>
    </row>
    <row r="338" spans="1:20" s="9" customFormat="1" ht="35.1" customHeight="1" x14ac:dyDescent="0.25">
      <c r="A338" s="215"/>
      <c r="B338" s="240" t="s">
        <v>421</v>
      </c>
      <c r="C338" s="241" t="s">
        <v>422</v>
      </c>
      <c r="D338" s="240" t="s">
        <v>420</v>
      </c>
      <c r="E338" s="242">
        <v>0</v>
      </c>
      <c r="F338" s="242">
        <f>+O338</f>
        <v>28</v>
      </c>
      <c r="G338" s="242">
        <f>+F338+E338</f>
        <v>28</v>
      </c>
      <c r="H338" s="243">
        <v>76759</v>
      </c>
      <c r="I338" s="243">
        <f>ROUND(+H338*G338,2)</f>
        <v>2149252</v>
      </c>
      <c r="J338" s="8"/>
      <c r="K338" s="8">
        <f t="shared" si="76"/>
        <v>77949</v>
      </c>
      <c r="L338" s="8">
        <f t="shared" si="84"/>
        <v>0</v>
      </c>
      <c r="M338" s="9" t="str">
        <f t="array" ref="M338:P338">_xlfn.XLOOKUP(B338,'Neiva 2022 FASE I ACTUAL (5)'!$B$6:$B$540,'Neiva 2022 FASE I ACTUAL (5)'!$C$6:$F$540,"NO ESTA")</f>
        <v xml:space="preserve">RELLENO EN ARENA INCLUYE TRANSPORTE Y COLOCACIÓN       </v>
      </c>
      <c r="N338" s="9" t="str">
        <v xml:space="preserve">M3   </v>
      </c>
      <c r="O338" s="9">
        <v>28</v>
      </c>
      <c r="P338" s="9">
        <v>73664</v>
      </c>
      <c r="Q338" s="124" t="str">
        <f t="shared" si="87"/>
        <v>FASE II</v>
      </c>
      <c r="R338" s="155">
        <f t="shared" si="83"/>
        <v>28</v>
      </c>
      <c r="S338" s="156">
        <f t="shared" si="85"/>
        <v>77949</v>
      </c>
      <c r="T338" s="156">
        <f t="shared" si="86"/>
        <v>2182572</v>
      </c>
    </row>
    <row r="339" spans="1:20" s="9" customFormat="1" ht="35.1" customHeight="1" x14ac:dyDescent="0.25">
      <c r="A339" s="215"/>
      <c r="B339" s="240" t="s">
        <v>423</v>
      </c>
      <c r="C339" s="241" t="s">
        <v>36</v>
      </c>
      <c r="D339" s="240" t="s">
        <v>420</v>
      </c>
      <c r="E339" s="242">
        <v>0</v>
      </c>
      <c r="F339" s="242">
        <f>+O339</f>
        <v>28</v>
      </c>
      <c r="G339" s="242">
        <f>+F339+E339</f>
        <v>28</v>
      </c>
      <c r="H339" s="243">
        <v>63907</v>
      </c>
      <c r="I339" s="243">
        <f>ROUND(+H339*G339,2)</f>
        <v>1789396</v>
      </c>
      <c r="J339" s="8"/>
      <c r="K339" s="8">
        <f t="shared" si="76"/>
        <v>64898</v>
      </c>
      <c r="L339" s="8">
        <f t="shared" si="84"/>
        <v>0</v>
      </c>
      <c r="M339" s="9" t="str">
        <f t="array" ref="M339:P339">_xlfn.XLOOKUP(B339,'Neiva 2022 FASE I ACTUAL (5)'!$B$6:$B$540,'Neiva 2022 FASE I ACTUAL (5)'!$C$6:$F$540,"NO ESTA")</f>
        <v>RELLENO EN RECEBO COMÚN (Incluye Compactación)</v>
      </c>
      <c r="N339" s="9" t="str">
        <v xml:space="preserve">M3   </v>
      </c>
      <c r="O339" s="9">
        <v>28</v>
      </c>
      <c r="P339" s="9">
        <v>61330</v>
      </c>
      <c r="Q339" s="124" t="str">
        <f t="shared" si="87"/>
        <v>FASE II</v>
      </c>
      <c r="R339" s="155">
        <f t="shared" si="83"/>
        <v>28</v>
      </c>
      <c r="S339" s="156">
        <f t="shared" si="85"/>
        <v>64898</v>
      </c>
      <c r="T339" s="156">
        <f t="shared" si="86"/>
        <v>1817144</v>
      </c>
    </row>
    <row r="340" spans="1:20" s="9" customFormat="1" ht="35.1" customHeight="1" x14ac:dyDescent="0.25">
      <c r="A340" s="215"/>
      <c r="B340" s="240" t="s">
        <v>424</v>
      </c>
      <c r="C340" s="241" t="s">
        <v>425</v>
      </c>
      <c r="D340" s="240" t="s">
        <v>420</v>
      </c>
      <c r="E340" s="242">
        <v>0</v>
      </c>
      <c r="F340" s="242">
        <f>+O340</f>
        <v>37</v>
      </c>
      <c r="G340" s="242">
        <f>+F340+E340</f>
        <v>37</v>
      </c>
      <c r="H340" s="243">
        <v>12694</v>
      </c>
      <c r="I340" s="243">
        <f>ROUND(+H340*G340,2)</f>
        <v>469678</v>
      </c>
      <c r="J340" s="8"/>
      <c r="K340" s="8">
        <f t="shared" si="76"/>
        <v>12891</v>
      </c>
      <c r="L340" s="8">
        <f t="shared" si="84"/>
        <v>0</v>
      </c>
      <c r="M340" s="9" t="str">
        <f t="array" ref="M340:P340">_xlfn.XLOOKUP(B340,'Neiva 2022 FASE I ACTUAL (5)'!$B$6:$B$540,'Neiva 2022 FASE I ACTUAL (5)'!$C$6:$F$540,"NO ESTA")</f>
        <v>RELLENO EN MATERIAL COMÚN SELECCIONADO DE OBRA (Incluye Compactación)</v>
      </c>
      <c r="N340" s="9" t="str">
        <v xml:space="preserve">M3   </v>
      </c>
      <c r="O340" s="9">
        <v>37</v>
      </c>
      <c r="P340" s="9">
        <v>12182</v>
      </c>
      <c r="Q340" s="124" t="str">
        <f t="shared" si="87"/>
        <v>FASE II</v>
      </c>
      <c r="R340" s="155">
        <f t="shared" si="83"/>
        <v>37</v>
      </c>
      <c r="S340" s="156">
        <f t="shared" si="85"/>
        <v>12891</v>
      </c>
      <c r="T340" s="156">
        <f t="shared" si="86"/>
        <v>476967</v>
      </c>
    </row>
    <row r="341" spans="1:20" s="9" customFormat="1" ht="35.1" customHeight="1" x14ac:dyDescent="0.25">
      <c r="A341" s="215"/>
      <c r="B341" s="283" t="s">
        <v>426</v>
      </c>
      <c r="C341" s="256" t="s">
        <v>427</v>
      </c>
      <c r="D341" s="256" t="s">
        <v>369</v>
      </c>
      <c r="E341" s="246"/>
      <c r="F341" s="246"/>
      <c r="G341" s="246"/>
      <c r="H341" s="303"/>
      <c r="I341" s="246"/>
      <c r="J341" s="8"/>
      <c r="K341" s="8">
        <f t="shared" si="76"/>
        <v>0</v>
      </c>
      <c r="L341" s="8">
        <f t="shared" si="84"/>
        <v>0</v>
      </c>
      <c r="M341" s="9" t="str">
        <f t="array" ref="M341:P341">_xlfn.XLOOKUP(B341,'Neiva 2022 FASE I ACTUAL (5)'!$B$6:$B$540,'Neiva 2022 FASE I ACTUAL (5)'!$C$6:$F$540,"NO ESTA")</f>
        <v xml:space="preserve">SUMINISTRO E INSTALACION DE EQUIPOS DE BOMBEO                                                                                             </v>
      </c>
      <c r="N341" s="9">
        <v>0</v>
      </c>
      <c r="O341" s="9">
        <v>0</v>
      </c>
      <c r="P341" s="9">
        <v>0</v>
      </c>
      <c r="Q341" s="124">
        <f t="shared" si="87"/>
        <v>0</v>
      </c>
      <c r="R341" s="155">
        <f t="shared" si="83"/>
        <v>0</v>
      </c>
      <c r="S341" s="156">
        <f t="shared" si="85"/>
        <v>0</v>
      </c>
      <c r="T341" s="156">
        <f t="shared" si="86"/>
        <v>0</v>
      </c>
    </row>
    <row r="342" spans="1:20" s="9" customFormat="1" ht="35.1" customHeight="1" x14ac:dyDescent="0.25">
      <c r="A342" s="215"/>
      <c r="B342" s="240" t="s">
        <v>428</v>
      </c>
      <c r="C342" s="241" t="s">
        <v>1223</v>
      </c>
      <c r="D342" s="240" t="s">
        <v>374</v>
      </c>
      <c r="E342" s="242">
        <v>0</v>
      </c>
      <c r="F342" s="242">
        <f>+O342</f>
        <v>1</v>
      </c>
      <c r="G342" s="242">
        <f>+F342+E342</f>
        <v>1</v>
      </c>
      <c r="H342" s="243">
        <v>35510244</v>
      </c>
      <c r="I342" s="243">
        <f>ROUND(+H342*G342,2)</f>
        <v>35510244</v>
      </c>
      <c r="J342" s="8"/>
      <c r="K342" s="8">
        <f t="shared" si="76"/>
        <v>36060653</v>
      </c>
      <c r="L342" s="8">
        <f t="shared" si="84"/>
        <v>0</v>
      </c>
      <c r="M342" s="9" t="str">
        <f t="array" ref="M342:P342">_xlfn.XLOOKUP(B342,'Neiva 2022 FASE I ACTUAL (5)'!$B$6:$B$540,'Neiva 2022 FASE I ACTUAL (5)'!$C$6:$F$540,"NO ESTA")</f>
        <v xml:space="preserve">SUMINISTRO E INSTALACIÓN EQUIPO DE BOMBEO AGUA POTABLE 3 BOMBAS. 4.0HP C/U INCLUYE VALVULAS, ADITAMENTOS, TUBERIAS. </v>
      </c>
      <c r="N342" s="9" t="str">
        <v>UN</v>
      </c>
      <c r="O342" s="9">
        <v>1</v>
      </c>
      <c r="P342" s="9">
        <v>34078165</v>
      </c>
      <c r="Q342" s="124" t="str">
        <f t="shared" si="87"/>
        <v>FASE II</v>
      </c>
      <c r="R342" s="155">
        <f t="shared" si="83"/>
        <v>1</v>
      </c>
      <c r="S342" s="156">
        <f t="shared" si="85"/>
        <v>36060653</v>
      </c>
      <c r="T342" s="156">
        <f t="shared" si="86"/>
        <v>36060653</v>
      </c>
    </row>
    <row r="343" spans="1:20" s="9" customFormat="1" ht="35.1" customHeight="1" x14ac:dyDescent="0.25">
      <c r="A343" s="215"/>
      <c r="B343" s="240" t="s">
        <v>430</v>
      </c>
      <c r="C343" s="241" t="s">
        <v>1224</v>
      </c>
      <c r="D343" s="240" t="s">
        <v>374</v>
      </c>
      <c r="E343" s="242">
        <v>0</v>
      </c>
      <c r="F343" s="242">
        <f>+O343</f>
        <v>1</v>
      </c>
      <c r="G343" s="242">
        <f>+F343+E343</f>
        <v>1</v>
      </c>
      <c r="H343" s="243">
        <v>97257036</v>
      </c>
      <c r="I343" s="243">
        <f>ROUND(+H343*G343,2)</f>
        <v>97257036</v>
      </c>
      <c r="J343" s="8"/>
      <c r="K343" s="8">
        <f t="shared" si="76"/>
        <v>98764520</v>
      </c>
      <c r="L343" s="8">
        <f t="shared" si="84"/>
        <v>0</v>
      </c>
      <c r="M343" s="9" t="str">
        <f t="array" ref="M343:P343">_xlfn.XLOOKUP(B343,'Neiva 2022 FASE I ACTUAL (5)'!$B$6:$B$540,'Neiva 2022 FASE I ACTUAL (5)'!$C$6:$F$540,"NO ESTA")</f>
        <v>SUMINISTRO E INSTALACIÓN DE EQUIPO PROTECCIÓN CONTRA INCENDIO 2 HP, 3500 RPM r completo conformado por bomba, motor, tablero de control y accesorios.</v>
      </c>
      <c r="N343" s="9" t="str">
        <v>UN</v>
      </c>
      <c r="O343" s="9">
        <v>1</v>
      </c>
      <c r="P343" s="9">
        <v>93334794</v>
      </c>
      <c r="Q343" s="124" t="str">
        <f t="shared" si="87"/>
        <v>FASE II</v>
      </c>
      <c r="R343" s="155">
        <f t="shared" si="83"/>
        <v>1</v>
      </c>
      <c r="S343" s="156">
        <f t="shared" si="85"/>
        <v>98764520</v>
      </c>
      <c r="T343" s="156">
        <f t="shared" si="86"/>
        <v>98764520</v>
      </c>
    </row>
    <row r="344" spans="1:20" s="9" customFormat="1" ht="35.1" customHeight="1" x14ac:dyDescent="0.25">
      <c r="A344" s="215"/>
      <c r="B344" s="255" t="s">
        <v>432</v>
      </c>
      <c r="C344" s="241" t="s">
        <v>433</v>
      </c>
      <c r="D344" s="240" t="s">
        <v>374</v>
      </c>
      <c r="E344" s="242">
        <v>0</v>
      </c>
      <c r="F344" s="242">
        <f>+O344</f>
        <v>1</v>
      </c>
      <c r="G344" s="242">
        <f>+F344+E344</f>
        <v>1</v>
      </c>
      <c r="H344" s="243">
        <v>14314206</v>
      </c>
      <c r="I344" s="243">
        <f>ROUND(+H344*G344,2)</f>
        <v>14314206</v>
      </c>
      <c r="J344" s="8"/>
      <c r="K344" s="8">
        <f t="shared" si="76"/>
        <v>14536076</v>
      </c>
      <c r="L344" s="8">
        <f t="shared" si="84"/>
        <v>0</v>
      </c>
      <c r="M344" s="9" t="str">
        <f t="array" ref="M344:P344">_xlfn.XLOOKUP(B344,'Neiva 2022 FASE I ACTUAL (5)'!$B$6:$B$540,'Neiva 2022 FASE I ACTUAL (5)'!$C$6:$F$540,"NO ESTA")</f>
        <v xml:space="preserve">SUMINISTRO E INSTALACIÓN DE EQUIPO EYECTOR 2 BOMBAS 3HP C/U </v>
      </c>
      <c r="N344" s="9" t="str">
        <v>UN</v>
      </c>
      <c r="O344" s="9">
        <v>1</v>
      </c>
      <c r="P344" s="9">
        <v>13736935</v>
      </c>
      <c r="Q344" s="124" t="str">
        <f t="shared" si="87"/>
        <v>FASE II</v>
      </c>
      <c r="R344" s="155">
        <f t="shared" si="83"/>
        <v>1</v>
      </c>
      <c r="S344" s="156">
        <f t="shared" si="85"/>
        <v>14536076</v>
      </c>
      <c r="T344" s="156">
        <f t="shared" si="86"/>
        <v>14536076</v>
      </c>
    </row>
    <row r="345" spans="1:20" s="9" customFormat="1" ht="35.1" customHeight="1" x14ac:dyDescent="0.25">
      <c r="A345" s="215"/>
      <c r="B345" s="247">
        <v>13</v>
      </c>
      <c r="C345" s="248" t="s">
        <v>434</v>
      </c>
      <c r="D345" s="248"/>
      <c r="E345" s="249"/>
      <c r="F345" s="249"/>
      <c r="G345" s="249"/>
      <c r="H345" s="305"/>
      <c r="I345" s="249"/>
      <c r="J345" s="8"/>
      <c r="K345" s="8">
        <f t="shared" si="76"/>
        <v>0</v>
      </c>
      <c r="L345" s="8">
        <f t="shared" si="84"/>
        <v>0</v>
      </c>
      <c r="M345" s="9" t="str">
        <f t="array" ref="M345:P345">_xlfn.XLOOKUP(B345,'Neiva 2022 FASE I ACTUAL (5)'!$B$6:$B$540,'Neiva 2022 FASE I ACTUAL (5)'!$C$6:$F$540,"NO ESTA")</f>
        <v xml:space="preserve">RED DE PROTECCION CONTRA INCENDIO </v>
      </c>
      <c r="N345" s="9">
        <v>0</v>
      </c>
      <c r="O345" s="9">
        <v>0</v>
      </c>
      <c r="P345" s="9">
        <v>0</v>
      </c>
      <c r="Q345" s="124">
        <f t="shared" si="87"/>
        <v>0</v>
      </c>
      <c r="R345" s="155">
        <f t="shared" si="83"/>
        <v>0</v>
      </c>
      <c r="S345" s="156">
        <f t="shared" si="85"/>
        <v>0</v>
      </c>
      <c r="T345" s="156">
        <f t="shared" si="86"/>
        <v>0</v>
      </c>
    </row>
    <row r="346" spans="1:20" s="9" customFormat="1" ht="35.1" customHeight="1" x14ac:dyDescent="0.25">
      <c r="A346" s="215"/>
      <c r="B346" s="286" t="s">
        <v>435</v>
      </c>
      <c r="C346" s="287" t="s">
        <v>436</v>
      </c>
      <c r="D346" s="287"/>
      <c r="E346" s="288"/>
      <c r="F346" s="288"/>
      <c r="G346" s="288"/>
      <c r="H346" s="309"/>
      <c r="I346" s="288"/>
      <c r="J346" s="8"/>
      <c r="K346" s="8">
        <f t="shared" si="76"/>
        <v>0</v>
      </c>
      <c r="L346" s="8">
        <f t="shared" si="84"/>
        <v>0</v>
      </c>
      <c r="M346" s="9" t="str">
        <f t="array" ref="M346:P346">_xlfn.XLOOKUP(B346,'Neiva 2022 FASE I ACTUAL (5)'!$B$6:$B$540,'Neiva 2022 FASE I ACTUAL (5)'!$C$6:$F$540,"NO ESTA")</f>
        <v>SUMINISTRO E INSTALACIÓN RED DE ACERO NEGRO SCH 40</v>
      </c>
      <c r="N346" s="9">
        <v>0</v>
      </c>
      <c r="O346" s="9">
        <v>0</v>
      </c>
      <c r="P346" s="9">
        <v>0</v>
      </c>
      <c r="Q346" s="124">
        <f t="shared" si="87"/>
        <v>0</v>
      </c>
      <c r="R346" s="155">
        <f t="shared" si="83"/>
        <v>0</v>
      </c>
      <c r="S346" s="156">
        <f t="shared" si="85"/>
        <v>0</v>
      </c>
      <c r="T346" s="156">
        <f t="shared" si="86"/>
        <v>0</v>
      </c>
    </row>
    <row r="347" spans="1:20" s="9" customFormat="1" ht="35.1" customHeight="1" x14ac:dyDescent="0.25">
      <c r="A347" s="215"/>
      <c r="B347" s="255" t="s">
        <v>437</v>
      </c>
      <c r="C347" s="254" t="s">
        <v>438</v>
      </c>
      <c r="D347" s="255" t="s">
        <v>269</v>
      </c>
      <c r="E347" s="242">
        <v>694</v>
      </c>
      <c r="F347" s="242">
        <f t="shared" ref="F347:F359" si="88">+O347</f>
        <v>257</v>
      </c>
      <c r="G347" s="242">
        <f t="shared" ref="G347:G359" si="89">+F347+E347</f>
        <v>951</v>
      </c>
      <c r="H347" s="243">
        <v>24708</v>
      </c>
      <c r="I347" s="243">
        <f t="shared" ref="I347:I359" si="90">ROUND(+H347*G347,2)</f>
        <v>23497308</v>
      </c>
      <c r="J347" s="8">
        <f>ROUND(H347*(1+$J$3),0)</f>
        <v>48250</v>
      </c>
      <c r="K347" s="8">
        <f t="shared" si="76"/>
        <v>25091</v>
      </c>
      <c r="L347" s="8">
        <f t="shared" si="84"/>
        <v>17413154</v>
      </c>
      <c r="M347" s="9" t="str">
        <f t="array" ref="M347:P347">_xlfn.XLOOKUP(B347,'Neiva 2022 FASE I ACTUAL (5)'!$B$6:$B$540,'Neiva 2022 FASE I ACTUAL (5)'!$C$6:$F$540,"NO ESTA")</f>
        <v xml:space="preserve">SUMINISTRO E INSTALACIÓN TUBERIA ACERO 1" SCH 40 INCLUYE. SOPORTES Y ADITAMENTOS                                 </v>
      </c>
      <c r="N347" s="9" t="str">
        <v xml:space="preserve">ML   </v>
      </c>
      <c r="O347" s="9">
        <v>257</v>
      </c>
      <c r="P347" s="9">
        <v>23711</v>
      </c>
      <c r="Q347" s="124" t="str">
        <f t="shared" si="87"/>
        <v>FASE II</v>
      </c>
      <c r="R347" s="155">
        <f t="shared" si="83"/>
        <v>951</v>
      </c>
      <c r="S347" s="156">
        <f t="shared" si="85"/>
        <v>25091</v>
      </c>
      <c r="T347" s="156">
        <f t="shared" si="86"/>
        <v>23861541</v>
      </c>
    </row>
    <row r="348" spans="1:20" s="9" customFormat="1" ht="35.1" customHeight="1" x14ac:dyDescent="0.25">
      <c r="A348" s="215"/>
      <c r="B348" s="255" t="s">
        <v>439</v>
      </c>
      <c r="C348" s="254" t="s">
        <v>440</v>
      </c>
      <c r="D348" s="255" t="s">
        <v>269</v>
      </c>
      <c r="E348" s="242">
        <v>350</v>
      </c>
      <c r="F348" s="242">
        <f t="shared" si="88"/>
        <v>129</v>
      </c>
      <c r="G348" s="242">
        <f t="shared" si="89"/>
        <v>479</v>
      </c>
      <c r="H348" s="243">
        <v>52921</v>
      </c>
      <c r="I348" s="243">
        <f t="shared" si="90"/>
        <v>25349159</v>
      </c>
      <c r="J348" s="8">
        <f t="shared" ref="J348:J357" si="91">ROUND(H348*(1+$J$3),0)</f>
        <v>103344</v>
      </c>
      <c r="K348" s="8">
        <f t="shared" si="76"/>
        <v>53741</v>
      </c>
      <c r="L348" s="8">
        <f t="shared" si="84"/>
        <v>18809350</v>
      </c>
      <c r="M348" s="9" t="str">
        <f t="array" ref="M348:P348">_xlfn.XLOOKUP(B348,'Neiva 2022 FASE I ACTUAL (5)'!$B$6:$B$540,'Neiva 2022 FASE I ACTUAL (5)'!$C$6:$F$540,"NO ESTA")</f>
        <v xml:space="preserve">SUMINISTRO E INSTALACIÓN TUBERIA ACERO 2" SCH 40 INCLUYE. SOPORTES Y ADITAMENTOS                                 </v>
      </c>
      <c r="N348" s="9" t="str">
        <v xml:space="preserve">ML   </v>
      </c>
      <c r="O348" s="9">
        <v>129</v>
      </c>
      <c r="P348" s="9">
        <v>50786</v>
      </c>
      <c r="Q348" s="124" t="str">
        <f t="shared" si="87"/>
        <v>FASE II</v>
      </c>
      <c r="R348" s="155">
        <f t="shared" si="83"/>
        <v>479</v>
      </c>
      <c r="S348" s="156">
        <f t="shared" si="85"/>
        <v>53741</v>
      </c>
      <c r="T348" s="156">
        <f t="shared" si="86"/>
        <v>25741939</v>
      </c>
    </row>
    <row r="349" spans="1:20" s="9" customFormat="1" ht="35.1" customHeight="1" x14ac:dyDescent="0.25">
      <c r="A349" s="215"/>
      <c r="B349" s="255" t="s">
        <v>441</v>
      </c>
      <c r="C349" s="254" t="s">
        <v>442</v>
      </c>
      <c r="D349" s="255" t="s">
        <v>269</v>
      </c>
      <c r="E349" s="242">
        <v>301</v>
      </c>
      <c r="F349" s="242">
        <f t="shared" si="88"/>
        <v>112</v>
      </c>
      <c r="G349" s="242">
        <f t="shared" si="89"/>
        <v>413</v>
      </c>
      <c r="H349" s="243">
        <v>98601</v>
      </c>
      <c r="I349" s="243">
        <f t="shared" si="90"/>
        <v>40722213</v>
      </c>
      <c r="J349" s="8">
        <f t="shared" si="91"/>
        <v>192548</v>
      </c>
      <c r="K349" s="8">
        <f t="shared" si="76"/>
        <v>100129</v>
      </c>
      <c r="L349" s="8">
        <f t="shared" si="84"/>
        <v>30138829</v>
      </c>
      <c r="M349" s="9" t="str">
        <f t="array" ref="M349:P349">_xlfn.XLOOKUP(B349,'Neiva 2022 FASE I ACTUAL (5)'!$B$6:$B$540,'Neiva 2022 FASE I ACTUAL (5)'!$C$6:$F$540,"NO ESTA")</f>
        <v xml:space="preserve">SUMINISTRO E INSTALACIÓN TUBERIA ACERO 3" SCH 40 INCLUYE. SOPORTES Y ADITAMENTOS                                 </v>
      </c>
      <c r="N349" s="9" t="str">
        <v xml:space="preserve">ML   </v>
      </c>
      <c r="O349" s="9">
        <v>112</v>
      </c>
      <c r="P349" s="9">
        <v>94625</v>
      </c>
      <c r="Q349" s="124" t="str">
        <f t="shared" si="87"/>
        <v>FASE II</v>
      </c>
      <c r="R349" s="155">
        <f t="shared" si="83"/>
        <v>413</v>
      </c>
      <c r="S349" s="156">
        <f t="shared" si="85"/>
        <v>100129</v>
      </c>
      <c r="T349" s="156">
        <f t="shared" si="86"/>
        <v>41353277</v>
      </c>
    </row>
    <row r="350" spans="1:20" s="9" customFormat="1" ht="35.1" customHeight="1" x14ac:dyDescent="0.25">
      <c r="A350" s="215"/>
      <c r="B350" s="255" t="s">
        <v>443</v>
      </c>
      <c r="C350" s="254" t="s">
        <v>444</v>
      </c>
      <c r="D350" s="255" t="s">
        <v>269</v>
      </c>
      <c r="E350" s="242">
        <v>44</v>
      </c>
      <c r="F350" s="242">
        <f t="shared" si="88"/>
        <v>16</v>
      </c>
      <c r="G350" s="242">
        <f t="shared" si="89"/>
        <v>60</v>
      </c>
      <c r="H350" s="243">
        <v>139137</v>
      </c>
      <c r="I350" s="243">
        <f t="shared" si="90"/>
        <v>8348220</v>
      </c>
      <c r="J350" s="8">
        <f t="shared" si="91"/>
        <v>271707</v>
      </c>
      <c r="K350" s="8">
        <f t="shared" si="76"/>
        <v>141294</v>
      </c>
      <c r="L350" s="8">
        <f t="shared" si="84"/>
        <v>6216936</v>
      </c>
      <c r="M350" s="9" t="str">
        <f t="array" ref="M350:P350">_xlfn.XLOOKUP(B350,'Neiva 2022 FASE I ACTUAL (5)'!$B$6:$B$540,'Neiva 2022 FASE I ACTUAL (5)'!$C$6:$F$540,"NO ESTA")</f>
        <v xml:space="preserve">SUMINISTRO E INSTALACIÓN TUBERIA ACERO 4" SCH 40 INCLUYE. SOPORTES Y ADITAMENTOS                                 </v>
      </c>
      <c r="N350" s="9" t="str">
        <v xml:space="preserve">ML   </v>
      </c>
      <c r="O350" s="9">
        <v>16</v>
      </c>
      <c r="P350" s="9">
        <v>133527</v>
      </c>
      <c r="Q350" s="124" t="str">
        <f t="shared" si="87"/>
        <v>FASE II</v>
      </c>
      <c r="R350" s="155">
        <f t="shared" si="83"/>
        <v>60</v>
      </c>
      <c r="S350" s="156">
        <f t="shared" si="85"/>
        <v>141294</v>
      </c>
      <c r="T350" s="156">
        <f t="shared" si="86"/>
        <v>8477640</v>
      </c>
    </row>
    <row r="351" spans="1:20" s="9" customFormat="1" ht="35.1" customHeight="1" x14ac:dyDescent="0.25">
      <c r="A351" s="215"/>
      <c r="B351" s="255" t="s">
        <v>445</v>
      </c>
      <c r="C351" s="254" t="s">
        <v>446</v>
      </c>
      <c r="D351" s="255" t="s">
        <v>284</v>
      </c>
      <c r="E351" s="242">
        <v>256</v>
      </c>
      <c r="F351" s="242">
        <f t="shared" si="88"/>
        <v>95</v>
      </c>
      <c r="G351" s="242">
        <f t="shared" si="89"/>
        <v>351</v>
      </c>
      <c r="H351" s="243">
        <v>8323</v>
      </c>
      <c r="I351" s="243">
        <f t="shared" si="90"/>
        <v>2921373</v>
      </c>
      <c r="J351" s="8">
        <f t="shared" si="91"/>
        <v>16253</v>
      </c>
      <c r="K351" s="8">
        <f t="shared" si="76"/>
        <v>8452</v>
      </c>
      <c r="L351" s="8">
        <f t="shared" si="84"/>
        <v>2163712</v>
      </c>
      <c r="M351" s="9" t="str">
        <f t="array" ref="M351:P351">_xlfn.XLOOKUP(B351,'Neiva 2022 FASE I ACTUAL (5)'!$B$6:$B$540,'Neiva 2022 FASE I ACTUAL (5)'!$C$6:$F$540,"NO ESTA")</f>
        <v xml:space="preserve">SUMINISTRO E INSTALACIÓN ACCESORIOS ACERO NEGRO 1"                                                       </v>
      </c>
      <c r="N351" s="9" t="str">
        <v xml:space="preserve">UN   </v>
      </c>
      <c r="O351" s="9">
        <v>95</v>
      </c>
      <c r="P351" s="9">
        <v>7988</v>
      </c>
      <c r="Q351" s="124" t="str">
        <f t="shared" si="87"/>
        <v>FASE II</v>
      </c>
      <c r="R351" s="155">
        <f t="shared" si="83"/>
        <v>351</v>
      </c>
      <c r="S351" s="156">
        <f t="shared" si="85"/>
        <v>8452</v>
      </c>
      <c r="T351" s="156">
        <f t="shared" si="86"/>
        <v>2966652</v>
      </c>
    </row>
    <row r="352" spans="1:20" s="9" customFormat="1" ht="35.1" customHeight="1" x14ac:dyDescent="0.25">
      <c r="A352" s="215"/>
      <c r="B352" s="255" t="s">
        <v>447</v>
      </c>
      <c r="C352" s="254" t="s">
        <v>448</v>
      </c>
      <c r="D352" s="255" t="s">
        <v>284</v>
      </c>
      <c r="E352" s="242">
        <v>95</v>
      </c>
      <c r="F352" s="242">
        <f t="shared" si="88"/>
        <v>35</v>
      </c>
      <c r="G352" s="242">
        <f t="shared" si="89"/>
        <v>130</v>
      </c>
      <c r="H352" s="243">
        <v>18109</v>
      </c>
      <c r="I352" s="243">
        <f t="shared" si="90"/>
        <v>2354170</v>
      </c>
      <c r="J352" s="8">
        <f t="shared" si="91"/>
        <v>35363</v>
      </c>
      <c r="K352" s="8">
        <f t="shared" si="76"/>
        <v>18390</v>
      </c>
      <c r="L352" s="8">
        <f t="shared" si="84"/>
        <v>1747050</v>
      </c>
      <c r="M352" s="9" t="str">
        <f t="array" ref="M352:P352">_xlfn.XLOOKUP(B352,'Neiva 2022 FASE I ACTUAL (5)'!$B$6:$B$540,'Neiva 2022 FASE I ACTUAL (5)'!$C$6:$F$540,"NO ESTA")</f>
        <v xml:space="preserve">SUMINISTRO E INSTALACIÓN ACCESORIOS ACERO NEGRO 2"                                                       </v>
      </c>
      <c r="N352" s="9" t="str">
        <v xml:space="preserve">UN   </v>
      </c>
      <c r="O352" s="9">
        <v>35</v>
      </c>
      <c r="P352" s="9">
        <v>17379</v>
      </c>
      <c r="Q352" s="124" t="str">
        <f t="shared" si="87"/>
        <v>FASE II</v>
      </c>
      <c r="R352" s="155">
        <f t="shared" si="83"/>
        <v>130</v>
      </c>
      <c r="S352" s="156">
        <f t="shared" si="85"/>
        <v>18390</v>
      </c>
      <c r="T352" s="156">
        <f t="shared" si="86"/>
        <v>2390700</v>
      </c>
    </row>
    <row r="353" spans="1:20" s="9" customFormat="1" ht="35.1" customHeight="1" x14ac:dyDescent="0.25">
      <c r="A353" s="215"/>
      <c r="B353" s="255" t="s">
        <v>449</v>
      </c>
      <c r="C353" s="254" t="s">
        <v>450</v>
      </c>
      <c r="D353" s="255" t="s">
        <v>284</v>
      </c>
      <c r="E353" s="242">
        <v>128</v>
      </c>
      <c r="F353" s="242">
        <f t="shared" si="88"/>
        <v>48</v>
      </c>
      <c r="G353" s="242">
        <f t="shared" si="89"/>
        <v>176</v>
      </c>
      <c r="H353" s="243">
        <v>28040</v>
      </c>
      <c r="I353" s="243">
        <f t="shared" si="90"/>
        <v>4935040</v>
      </c>
      <c r="J353" s="8">
        <f t="shared" si="91"/>
        <v>54757</v>
      </c>
      <c r="K353" s="8">
        <f t="shared" si="76"/>
        <v>28475</v>
      </c>
      <c r="L353" s="8">
        <f t="shared" si="84"/>
        <v>3644800</v>
      </c>
      <c r="M353" s="9" t="str">
        <f t="array" ref="M353:P353">_xlfn.XLOOKUP(B353,'Neiva 2022 FASE I ACTUAL (5)'!$B$6:$B$540,'Neiva 2022 FASE I ACTUAL (5)'!$C$6:$F$540,"NO ESTA")</f>
        <v xml:space="preserve">SUMINISTRO E INSTALACIÓN ACCESORIOS ACERO NEGRO 3"                                                       </v>
      </c>
      <c r="N353" s="9" t="str">
        <v xml:space="preserve">UN   </v>
      </c>
      <c r="O353" s="9">
        <v>48</v>
      </c>
      <c r="P353" s="9">
        <v>26909</v>
      </c>
      <c r="Q353" s="124" t="str">
        <f t="shared" si="87"/>
        <v>FASE II</v>
      </c>
      <c r="R353" s="155">
        <f t="shared" si="83"/>
        <v>176</v>
      </c>
      <c r="S353" s="156">
        <f t="shared" si="85"/>
        <v>28475</v>
      </c>
      <c r="T353" s="156">
        <f t="shared" si="86"/>
        <v>5011600</v>
      </c>
    </row>
    <row r="354" spans="1:20" s="9" customFormat="1" ht="35.1" customHeight="1" x14ac:dyDescent="0.25">
      <c r="A354" s="215"/>
      <c r="B354" s="255" t="s">
        <v>451</v>
      </c>
      <c r="C354" s="254" t="s">
        <v>452</v>
      </c>
      <c r="D354" s="255" t="s">
        <v>284</v>
      </c>
      <c r="E354" s="242">
        <v>19</v>
      </c>
      <c r="F354" s="242">
        <f t="shared" si="88"/>
        <v>7</v>
      </c>
      <c r="G354" s="242">
        <f t="shared" si="89"/>
        <v>26</v>
      </c>
      <c r="H354" s="243">
        <v>43817</v>
      </c>
      <c r="I354" s="243">
        <f t="shared" si="90"/>
        <v>1139242</v>
      </c>
      <c r="J354" s="8">
        <f t="shared" si="91"/>
        <v>85566</v>
      </c>
      <c r="K354" s="8">
        <f t="shared" si="76"/>
        <v>44496</v>
      </c>
      <c r="L354" s="8">
        <f t="shared" si="84"/>
        <v>845424</v>
      </c>
      <c r="M354" s="9" t="str">
        <f t="array" ref="M354:P354">_xlfn.XLOOKUP(B354,'Neiva 2022 FASE I ACTUAL (5)'!$B$6:$B$540,'Neiva 2022 FASE I ACTUAL (5)'!$C$6:$F$540,"NO ESTA")</f>
        <v xml:space="preserve">SUMINISTRO E INSTALACIÓN ACCESORIOS ACERO NEGRO 4"                                                       </v>
      </c>
      <c r="N354" s="9" t="str">
        <v xml:space="preserve">UN   </v>
      </c>
      <c r="O354" s="9">
        <v>7</v>
      </c>
      <c r="P354" s="9">
        <v>42049</v>
      </c>
      <c r="Q354" s="124" t="str">
        <f t="shared" si="87"/>
        <v>FASE II</v>
      </c>
      <c r="R354" s="155">
        <f t="shared" si="83"/>
        <v>26</v>
      </c>
      <c r="S354" s="156">
        <f t="shared" si="85"/>
        <v>44496</v>
      </c>
      <c r="T354" s="156">
        <f t="shared" si="86"/>
        <v>1156896</v>
      </c>
    </row>
    <row r="355" spans="1:20" s="9" customFormat="1" ht="35.1" customHeight="1" x14ac:dyDescent="0.25">
      <c r="A355" s="215"/>
      <c r="B355" s="255" t="s">
        <v>453</v>
      </c>
      <c r="C355" s="254" t="s">
        <v>454</v>
      </c>
      <c r="D355" s="255" t="s">
        <v>284</v>
      </c>
      <c r="E355" s="242">
        <v>55</v>
      </c>
      <c r="F355" s="242">
        <f t="shared" si="88"/>
        <v>21</v>
      </c>
      <c r="G355" s="242">
        <f t="shared" si="89"/>
        <v>76</v>
      </c>
      <c r="H355" s="243">
        <v>8449</v>
      </c>
      <c r="I355" s="243">
        <f t="shared" si="90"/>
        <v>642124</v>
      </c>
      <c r="J355" s="8">
        <f t="shared" si="91"/>
        <v>16499</v>
      </c>
      <c r="K355" s="8">
        <f t="shared" si="76"/>
        <v>8580</v>
      </c>
      <c r="L355" s="8">
        <f t="shared" si="84"/>
        <v>471900</v>
      </c>
      <c r="M355" s="9" t="str">
        <f t="array" ref="M355:P355">_xlfn.XLOOKUP(B355,'Neiva 2022 FASE I ACTUAL (5)'!$B$6:$B$540,'Neiva 2022 FASE I ACTUAL (5)'!$C$6:$F$540,"NO ESTA")</f>
        <v xml:space="preserve">SUMINISTRO E INSTALACIÓN ACOPLES HIERRO FUNDIDO DIAMETRO 2"                                                      </v>
      </c>
      <c r="N355" s="9" t="str">
        <v xml:space="preserve">UN   </v>
      </c>
      <c r="O355" s="9">
        <v>21</v>
      </c>
      <c r="P355" s="9">
        <v>8108</v>
      </c>
      <c r="Q355" s="124" t="str">
        <f t="shared" si="87"/>
        <v>FASE II</v>
      </c>
      <c r="R355" s="155">
        <f t="shared" si="83"/>
        <v>76</v>
      </c>
      <c r="S355" s="156">
        <f t="shared" si="85"/>
        <v>8580</v>
      </c>
      <c r="T355" s="156">
        <f t="shared" si="86"/>
        <v>652080</v>
      </c>
    </row>
    <row r="356" spans="1:20" s="9" customFormat="1" ht="35.1" customHeight="1" x14ac:dyDescent="0.25">
      <c r="A356" s="215"/>
      <c r="B356" s="255" t="s">
        <v>455</v>
      </c>
      <c r="C356" s="254" t="s">
        <v>456</v>
      </c>
      <c r="D356" s="255" t="s">
        <v>284</v>
      </c>
      <c r="E356" s="242">
        <v>58</v>
      </c>
      <c r="F356" s="242">
        <f t="shared" si="88"/>
        <v>22</v>
      </c>
      <c r="G356" s="242">
        <f t="shared" si="89"/>
        <v>80</v>
      </c>
      <c r="H356" s="243">
        <v>11214</v>
      </c>
      <c r="I356" s="243">
        <f t="shared" si="90"/>
        <v>897120</v>
      </c>
      <c r="J356" s="8">
        <f t="shared" si="91"/>
        <v>21899</v>
      </c>
      <c r="K356" s="8">
        <f t="shared" si="76"/>
        <v>11388</v>
      </c>
      <c r="L356" s="8">
        <f t="shared" si="84"/>
        <v>660504</v>
      </c>
      <c r="M356" s="9" t="str">
        <f t="array" ref="M356:P356">_xlfn.XLOOKUP(B356,'Neiva 2022 FASE I ACTUAL (5)'!$B$6:$B$540,'Neiva 2022 FASE I ACTUAL (5)'!$C$6:$F$540,"NO ESTA")</f>
        <v xml:space="preserve">SUMINISTRO E INSTALACIÓN ACOPLES HIERRO FUNDIDO DIAMETRO 3"                                                       </v>
      </c>
      <c r="N356" s="9" t="str">
        <v xml:space="preserve">UN   </v>
      </c>
      <c r="O356" s="9">
        <v>22</v>
      </c>
      <c r="P356" s="9">
        <v>10762</v>
      </c>
      <c r="Q356" s="124" t="str">
        <f t="shared" si="87"/>
        <v>FASE II</v>
      </c>
      <c r="R356" s="155">
        <f t="shared" si="83"/>
        <v>80</v>
      </c>
      <c r="S356" s="156">
        <f t="shared" si="85"/>
        <v>11388</v>
      </c>
      <c r="T356" s="156">
        <f t="shared" si="86"/>
        <v>911040</v>
      </c>
    </row>
    <row r="357" spans="1:20" s="9" customFormat="1" ht="35.1" customHeight="1" x14ac:dyDescent="0.25">
      <c r="A357" s="215"/>
      <c r="B357" s="255" t="s">
        <v>457</v>
      </c>
      <c r="C357" s="254" t="s">
        <v>458</v>
      </c>
      <c r="D357" s="255" t="s">
        <v>284</v>
      </c>
      <c r="E357" s="242">
        <v>9</v>
      </c>
      <c r="F357" s="242">
        <f t="shared" si="88"/>
        <v>3</v>
      </c>
      <c r="G357" s="242">
        <f t="shared" si="89"/>
        <v>12</v>
      </c>
      <c r="H357" s="243">
        <v>13875</v>
      </c>
      <c r="I357" s="243">
        <f t="shared" si="90"/>
        <v>166500</v>
      </c>
      <c r="J357" s="8">
        <f t="shared" si="91"/>
        <v>27095</v>
      </c>
      <c r="K357" s="8">
        <f t="shared" si="76"/>
        <v>14090</v>
      </c>
      <c r="L357" s="8">
        <f t="shared" si="84"/>
        <v>126810</v>
      </c>
      <c r="M357" s="9" t="str">
        <f t="array" ref="M357:P357">_xlfn.XLOOKUP(B357,'Neiva 2022 FASE I ACTUAL (5)'!$B$6:$B$540,'Neiva 2022 FASE I ACTUAL (5)'!$C$6:$F$540,"NO ESTA")</f>
        <v xml:space="preserve">SUMINISTRO E INSTALACIÓN ACOPLES HIERRO FUNDIDO DIAMETRO 4"                                                       </v>
      </c>
      <c r="N357" s="9" t="str">
        <v xml:space="preserve">UN   </v>
      </c>
      <c r="O357" s="9">
        <v>3</v>
      </c>
      <c r="P357" s="9">
        <v>13314</v>
      </c>
      <c r="Q357" s="124" t="str">
        <f t="shared" si="87"/>
        <v>FASE II</v>
      </c>
      <c r="R357" s="155">
        <f t="shared" si="83"/>
        <v>12</v>
      </c>
      <c r="S357" s="156">
        <f t="shared" si="85"/>
        <v>14090</v>
      </c>
      <c r="T357" s="156">
        <f t="shared" si="86"/>
        <v>169080</v>
      </c>
    </row>
    <row r="358" spans="1:20" s="9" customFormat="1" ht="35.1" customHeight="1" x14ac:dyDescent="0.25">
      <c r="A358" s="215"/>
      <c r="B358" s="255" t="s">
        <v>459</v>
      </c>
      <c r="C358" s="254" t="s">
        <v>460</v>
      </c>
      <c r="D358" s="255" t="s">
        <v>269</v>
      </c>
      <c r="E358" s="242">
        <v>602</v>
      </c>
      <c r="F358" s="242">
        <f t="shared" si="88"/>
        <v>222</v>
      </c>
      <c r="G358" s="242">
        <f t="shared" si="89"/>
        <v>824</v>
      </c>
      <c r="H358" s="243">
        <v>5979</v>
      </c>
      <c r="I358" s="243">
        <f t="shared" si="90"/>
        <v>4926696</v>
      </c>
      <c r="J358" s="8"/>
      <c r="K358" s="8">
        <f t="shared" si="76"/>
        <v>6072</v>
      </c>
      <c r="L358" s="8">
        <f t="shared" si="84"/>
        <v>3655344</v>
      </c>
      <c r="M358" s="9" t="str">
        <f t="array" ref="M358:P358">_xlfn.XLOOKUP(B358,'Neiva 2022 FASE I ACTUAL (5)'!$B$6:$B$540,'Neiva 2022 FASE I ACTUAL (5)'!$C$6:$F$540,"NO ESTA")</f>
        <v xml:space="preserve">SUMINISTRO Y APLICACIÓN PINTURA RED DE INCENDIO DIAMETRO DE 1" A 2"                                                              </v>
      </c>
      <c r="N358" s="9" t="str">
        <v xml:space="preserve">ML   </v>
      </c>
      <c r="O358" s="9">
        <v>222</v>
      </c>
      <c r="P358" s="9">
        <v>5737</v>
      </c>
      <c r="Q358" s="124" t="str">
        <f t="shared" si="87"/>
        <v>FASE II</v>
      </c>
      <c r="R358" s="155">
        <f t="shared" si="83"/>
        <v>824</v>
      </c>
      <c r="S358" s="156">
        <f t="shared" si="85"/>
        <v>6072</v>
      </c>
      <c r="T358" s="156">
        <f t="shared" si="86"/>
        <v>5003328</v>
      </c>
    </row>
    <row r="359" spans="1:20" s="9" customFormat="1" ht="35.1" customHeight="1" x14ac:dyDescent="0.25">
      <c r="A359" s="215"/>
      <c r="B359" s="255" t="s">
        <v>461</v>
      </c>
      <c r="C359" s="254" t="s">
        <v>462</v>
      </c>
      <c r="D359" s="255" t="s">
        <v>269</v>
      </c>
      <c r="E359" s="242">
        <v>107</v>
      </c>
      <c r="F359" s="242">
        <f t="shared" si="88"/>
        <v>40</v>
      </c>
      <c r="G359" s="242">
        <f t="shared" si="89"/>
        <v>147</v>
      </c>
      <c r="H359" s="243">
        <v>10169</v>
      </c>
      <c r="I359" s="243">
        <f t="shared" si="90"/>
        <v>1494843</v>
      </c>
      <c r="J359" s="8"/>
      <c r="K359" s="8">
        <f t="shared" si="76"/>
        <v>10327</v>
      </c>
      <c r="L359" s="8">
        <f t="shared" si="84"/>
        <v>1104989</v>
      </c>
      <c r="M359" s="9" t="str">
        <f t="array" ref="M359:P359">_xlfn.XLOOKUP(B359,'Neiva 2022 FASE I ACTUAL (5)'!$B$6:$B$540,'Neiva 2022 FASE I ACTUAL (5)'!$C$6:$F$540,"NO ESTA")</f>
        <v xml:space="preserve">SUMINISTRO Y APLICACIÓN PINTURA RED DE INCENDIO DIAMETRO DE  2 1/2" A 4"                                                          </v>
      </c>
      <c r="N359" s="9" t="str">
        <v xml:space="preserve">ML   </v>
      </c>
      <c r="O359" s="9">
        <v>40</v>
      </c>
      <c r="P359" s="9">
        <v>9760</v>
      </c>
      <c r="Q359" s="124" t="str">
        <f t="shared" si="87"/>
        <v>FASE II</v>
      </c>
      <c r="R359" s="155">
        <f t="shared" si="83"/>
        <v>147</v>
      </c>
      <c r="S359" s="156">
        <f t="shared" si="85"/>
        <v>10327</v>
      </c>
      <c r="T359" s="156">
        <f t="shared" si="86"/>
        <v>1518069</v>
      </c>
    </row>
    <row r="360" spans="1:20" s="9" customFormat="1" ht="35.1" customHeight="1" x14ac:dyDescent="0.25">
      <c r="A360" s="215"/>
      <c r="B360" s="286" t="s">
        <v>463</v>
      </c>
      <c r="C360" s="287" t="s">
        <v>464</v>
      </c>
      <c r="D360" s="287"/>
      <c r="E360" s="288"/>
      <c r="F360" s="288"/>
      <c r="G360" s="288"/>
      <c r="H360" s="309"/>
      <c r="I360" s="288"/>
      <c r="J360" s="8"/>
      <c r="K360" s="8">
        <f t="shared" si="76"/>
        <v>0</v>
      </c>
      <c r="L360" s="8">
        <f t="shared" si="84"/>
        <v>0</v>
      </c>
      <c r="M360" s="9" t="str">
        <f t="array" ref="M360:P360">_xlfn.XLOOKUP(B360,'Neiva 2022 FASE I ACTUAL (5)'!$B$6:$B$540,'Neiva 2022 FASE I ACTUAL (5)'!$C$6:$F$540,"NO ESTA")</f>
        <v>SUMINISTRO E INSTALACION ELEMENTOS RED CONTRA INCENDIO</v>
      </c>
      <c r="N360" s="9">
        <v>0</v>
      </c>
      <c r="O360" s="9">
        <v>0</v>
      </c>
      <c r="P360" s="9">
        <v>0</v>
      </c>
      <c r="Q360" s="124">
        <f t="shared" si="87"/>
        <v>0</v>
      </c>
      <c r="R360" s="155">
        <f t="shared" si="83"/>
        <v>0</v>
      </c>
      <c r="S360" s="156">
        <f t="shared" si="85"/>
        <v>0</v>
      </c>
      <c r="T360" s="156">
        <f t="shared" si="86"/>
        <v>0</v>
      </c>
    </row>
    <row r="361" spans="1:20" s="9" customFormat="1" ht="35.1" customHeight="1" x14ac:dyDescent="0.25">
      <c r="A361" s="215"/>
      <c r="B361" s="255" t="s">
        <v>465</v>
      </c>
      <c r="C361" s="254" t="s">
        <v>466</v>
      </c>
      <c r="D361" s="255" t="s">
        <v>284</v>
      </c>
      <c r="E361" s="242">
        <v>276</v>
      </c>
      <c r="F361" s="242">
        <f t="shared" ref="F361:F375" si="92">+O361</f>
        <v>102</v>
      </c>
      <c r="G361" s="242">
        <f t="shared" ref="G361:G375" si="93">+F361+E361</f>
        <v>378</v>
      </c>
      <c r="H361" s="243">
        <v>60286</v>
      </c>
      <c r="I361" s="243">
        <f t="shared" ref="I361:I375" si="94">ROUND(+H361*G361,2)</f>
        <v>22788108</v>
      </c>
      <c r="J361" s="8"/>
      <c r="K361" s="8">
        <f t="shared" si="76"/>
        <v>61220</v>
      </c>
      <c r="L361" s="8">
        <f t="shared" si="84"/>
        <v>16896720</v>
      </c>
      <c r="M361" s="9" t="str">
        <f t="array" ref="M361:P361">_xlfn.XLOOKUP(B361,'Neiva 2022 FASE I ACTUAL (5)'!$B$6:$B$540,'Neiva 2022 FASE I ACTUAL (5)'!$C$6:$F$540,"NO ESTA")</f>
        <v xml:space="preserve">SUMINISTRO E INSTALACIÓN ROCIADOR PENDENT K:5.6                                                          </v>
      </c>
      <c r="N361" s="9" t="str">
        <v xml:space="preserve">UN   </v>
      </c>
      <c r="O361" s="9">
        <v>102</v>
      </c>
      <c r="P361" s="9">
        <v>57855</v>
      </c>
      <c r="Q361" s="124" t="str">
        <f t="shared" si="87"/>
        <v>FASE II</v>
      </c>
      <c r="R361" s="155">
        <f t="shared" si="83"/>
        <v>378</v>
      </c>
      <c r="S361" s="156">
        <f t="shared" si="85"/>
        <v>61220</v>
      </c>
      <c r="T361" s="156">
        <f t="shared" si="86"/>
        <v>23141160</v>
      </c>
    </row>
    <row r="362" spans="1:20" s="9" customFormat="1" ht="35.1" customHeight="1" x14ac:dyDescent="0.25">
      <c r="A362" s="215"/>
      <c r="B362" s="255" t="s">
        <v>467</v>
      </c>
      <c r="C362" s="254" t="s">
        <v>468</v>
      </c>
      <c r="D362" s="255" t="s">
        <v>284</v>
      </c>
      <c r="E362" s="242">
        <v>38</v>
      </c>
      <c r="F362" s="242">
        <f t="shared" si="92"/>
        <v>14</v>
      </c>
      <c r="G362" s="242">
        <f t="shared" si="93"/>
        <v>52</v>
      </c>
      <c r="H362" s="243">
        <v>39502</v>
      </c>
      <c r="I362" s="243">
        <f t="shared" si="94"/>
        <v>2054104</v>
      </c>
      <c r="J362" s="8"/>
      <c r="K362" s="8">
        <f t="shared" si="76"/>
        <v>40114</v>
      </c>
      <c r="L362" s="8">
        <f t="shared" si="84"/>
        <v>1524332</v>
      </c>
      <c r="M362" s="9" t="str">
        <f t="array" ref="M362:P362">_xlfn.XLOOKUP(B362,'Neiva 2022 FASE I ACTUAL (5)'!$B$6:$B$540,'Neiva 2022 FASE I ACTUAL (5)'!$C$6:$F$540,"NO ESTA")</f>
        <v xml:space="preserve">SUMINISTRO E INSTALACIÓN ROCIADOR MONTANTE K:5.6                                                          </v>
      </c>
      <c r="N362" s="9" t="str">
        <v xml:space="preserve">UN   </v>
      </c>
      <c r="O362" s="9">
        <v>14</v>
      </c>
      <c r="P362" s="9">
        <v>37910</v>
      </c>
      <c r="Q362" s="124" t="str">
        <f t="shared" si="87"/>
        <v>FASE II</v>
      </c>
      <c r="R362" s="155">
        <f t="shared" si="83"/>
        <v>52</v>
      </c>
      <c r="S362" s="156">
        <f t="shared" si="85"/>
        <v>40114</v>
      </c>
      <c r="T362" s="156">
        <f t="shared" si="86"/>
        <v>2085928</v>
      </c>
    </row>
    <row r="363" spans="1:20" s="9" customFormat="1" ht="35.1" customHeight="1" x14ac:dyDescent="0.25">
      <c r="A363" s="215"/>
      <c r="B363" s="255" t="s">
        <v>469</v>
      </c>
      <c r="C363" s="254" t="s">
        <v>470</v>
      </c>
      <c r="D363" s="255" t="s">
        <v>284</v>
      </c>
      <c r="E363" s="242">
        <v>27</v>
      </c>
      <c r="F363" s="242">
        <f t="shared" si="92"/>
        <v>10</v>
      </c>
      <c r="G363" s="242">
        <f t="shared" si="93"/>
        <v>37</v>
      </c>
      <c r="H363" s="243">
        <v>130356</v>
      </c>
      <c r="I363" s="243">
        <f t="shared" si="94"/>
        <v>4823172</v>
      </c>
      <c r="J363" s="8"/>
      <c r="K363" s="8">
        <f t="shared" si="76"/>
        <v>132377</v>
      </c>
      <c r="L363" s="8">
        <f t="shared" si="84"/>
        <v>3574179</v>
      </c>
      <c r="M363" s="9" t="str">
        <f t="array" ref="M363:P363">_xlfn.XLOOKUP(B363,'Neiva 2022 FASE I ACTUAL (5)'!$B$6:$B$540,'Neiva 2022 FASE I ACTUAL (5)'!$C$6:$F$540,"NO ESTA")</f>
        <v xml:space="preserve">SUMINISTRO E INSTALACIÓN ROCIADOR PENDENT K:11.2                                                          </v>
      </c>
      <c r="N363" s="9" t="str">
        <v xml:space="preserve">UN   </v>
      </c>
      <c r="O363" s="9">
        <v>10</v>
      </c>
      <c r="P363" s="9">
        <v>125097</v>
      </c>
      <c r="Q363" s="124" t="str">
        <f t="shared" si="87"/>
        <v>FASE II</v>
      </c>
      <c r="R363" s="155">
        <f t="shared" si="83"/>
        <v>37</v>
      </c>
      <c r="S363" s="156">
        <f t="shared" si="85"/>
        <v>132377</v>
      </c>
      <c r="T363" s="156">
        <f t="shared" si="86"/>
        <v>4897949</v>
      </c>
    </row>
    <row r="364" spans="1:20" s="9" customFormat="1" ht="35.1" customHeight="1" x14ac:dyDescent="0.25">
      <c r="A364" s="215"/>
      <c r="B364" s="255" t="s">
        <v>471</v>
      </c>
      <c r="C364" s="254" t="s">
        <v>472</v>
      </c>
      <c r="D364" s="255" t="s">
        <v>284</v>
      </c>
      <c r="E364" s="242">
        <v>341</v>
      </c>
      <c r="F364" s="242">
        <f t="shared" si="92"/>
        <v>126</v>
      </c>
      <c r="G364" s="242">
        <f t="shared" si="93"/>
        <v>467</v>
      </c>
      <c r="H364" s="243">
        <v>47582</v>
      </c>
      <c r="I364" s="243">
        <f t="shared" si="94"/>
        <v>22220794</v>
      </c>
      <c r="J364" s="8"/>
      <c r="K364" s="8">
        <f t="shared" si="76"/>
        <v>48320</v>
      </c>
      <c r="L364" s="8">
        <f t="shared" si="84"/>
        <v>16477120</v>
      </c>
      <c r="M364" s="9" t="str">
        <f t="array" ref="M364:P364">_xlfn.XLOOKUP(B364,'Neiva 2022 FASE I ACTUAL (5)'!$B$6:$B$540,'Neiva 2022 FASE I ACTUAL (5)'!$C$6:$F$540,"NO ESTA")</f>
        <v xml:space="preserve">SUMINISTRO E INSTALACIÓN PUNTO HIDRÁULICO PARA ROCIADOR                                                  </v>
      </c>
      <c r="N364" s="9" t="str">
        <v xml:space="preserve">UN   </v>
      </c>
      <c r="O364" s="9">
        <v>126</v>
      </c>
      <c r="P364" s="9">
        <v>45662</v>
      </c>
      <c r="Q364" s="124" t="str">
        <f t="shared" si="87"/>
        <v>FASE II</v>
      </c>
      <c r="R364" s="155">
        <f t="shared" si="83"/>
        <v>467</v>
      </c>
      <c r="S364" s="156">
        <f t="shared" si="85"/>
        <v>48320</v>
      </c>
      <c r="T364" s="156">
        <f t="shared" si="86"/>
        <v>22565440</v>
      </c>
    </row>
    <row r="365" spans="1:20" s="9" customFormat="1" ht="35.1" customHeight="1" x14ac:dyDescent="0.25">
      <c r="A365" s="215"/>
      <c r="B365" s="255" t="s">
        <v>473</v>
      </c>
      <c r="C365" s="254" t="s">
        <v>474</v>
      </c>
      <c r="D365" s="255" t="s">
        <v>284</v>
      </c>
      <c r="E365" s="242">
        <v>2</v>
      </c>
      <c r="F365" s="242">
        <f t="shared" si="92"/>
        <v>3</v>
      </c>
      <c r="G365" s="242">
        <f t="shared" si="93"/>
        <v>5</v>
      </c>
      <c r="H365" s="243">
        <v>4249412</v>
      </c>
      <c r="I365" s="243">
        <f t="shared" si="94"/>
        <v>21247060</v>
      </c>
      <c r="J365" s="8"/>
      <c r="K365" s="8">
        <f t="shared" si="76"/>
        <v>4315278</v>
      </c>
      <c r="L365" s="8">
        <f t="shared" si="84"/>
        <v>8630556</v>
      </c>
      <c r="M365" s="9" t="str">
        <f t="array" ref="M365:P365">_xlfn.XLOOKUP(B365,'Neiva 2022 FASE I ACTUAL (5)'!$B$6:$B$540,'Neiva 2022 FASE I ACTUAL (5)'!$C$6:$F$540,"NO ESTA")</f>
        <v xml:space="preserve">SUMINISTRO E INSTALACIÓN ESTACIÓN DE CONTROL, PRUEBA Y DRENAJE 3"                                        </v>
      </c>
      <c r="N365" s="9" t="str">
        <v xml:space="preserve">UN   </v>
      </c>
      <c r="O365" s="9">
        <v>3</v>
      </c>
      <c r="P365" s="9">
        <v>4078038</v>
      </c>
      <c r="Q365" s="124" t="str">
        <f t="shared" si="87"/>
        <v>FASE II</v>
      </c>
      <c r="R365" s="155">
        <f t="shared" si="83"/>
        <v>5</v>
      </c>
      <c r="S365" s="156">
        <f t="shared" si="85"/>
        <v>4315278</v>
      </c>
      <c r="T365" s="156">
        <f t="shared" si="86"/>
        <v>21576390</v>
      </c>
    </row>
    <row r="366" spans="1:20" s="9" customFormat="1" ht="35.1" customHeight="1" x14ac:dyDescent="0.25">
      <c r="A366" s="215"/>
      <c r="B366" s="255" t="s">
        <v>475</v>
      </c>
      <c r="C366" s="254" t="s">
        <v>476</v>
      </c>
      <c r="D366" s="255" t="s">
        <v>284</v>
      </c>
      <c r="E366" s="242">
        <v>7</v>
      </c>
      <c r="F366" s="242">
        <f t="shared" si="92"/>
        <v>3</v>
      </c>
      <c r="G366" s="242">
        <f t="shared" si="93"/>
        <v>10</v>
      </c>
      <c r="H366" s="243">
        <v>81349</v>
      </c>
      <c r="I366" s="243">
        <f t="shared" si="94"/>
        <v>813490</v>
      </c>
      <c r="J366" s="8"/>
      <c r="K366" s="8">
        <f t="shared" si="76"/>
        <v>82610</v>
      </c>
      <c r="L366" s="8">
        <f t="shared" si="84"/>
        <v>578270</v>
      </c>
      <c r="M366" s="9" t="str">
        <f t="array" ref="M366:P366">_xlfn.XLOOKUP(B366,'Neiva 2022 FASE I ACTUAL (5)'!$B$6:$B$540,'Neiva 2022 FASE I ACTUAL (5)'!$C$6:$F$540,"NO ESTA")</f>
        <v xml:space="preserve">SUMINISTRO E INSTALACIÓN VÁLVULA TOMA Y DESC. AIRE 1" INCENDIO                                           </v>
      </c>
      <c r="N366" s="9" t="str">
        <v xml:space="preserve">UN   </v>
      </c>
      <c r="O366" s="9">
        <v>3</v>
      </c>
      <c r="P366" s="9">
        <v>78069</v>
      </c>
      <c r="Q366" s="124" t="str">
        <f t="shared" si="87"/>
        <v>FASE II</v>
      </c>
      <c r="R366" s="155">
        <f t="shared" si="83"/>
        <v>10</v>
      </c>
      <c r="S366" s="156">
        <f t="shared" si="85"/>
        <v>82610</v>
      </c>
      <c r="T366" s="156">
        <f t="shared" si="86"/>
        <v>826100</v>
      </c>
    </row>
    <row r="367" spans="1:20" s="9" customFormat="1" ht="35.1" customHeight="1" x14ac:dyDescent="0.25">
      <c r="A367" s="215"/>
      <c r="B367" s="255" t="s">
        <v>477</v>
      </c>
      <c r="C367" s="254" t="s">
        <v>478</v>
      </c>
      <c r="D367" s="255" t="s">
        <v>284</v>
      </c>
      <c r="E367" s="242">
        <v>1</v>
      </c>
      <c r="F367" s="242">
        <f t="shared" si="92"/>
        <v>1</v>
      </c>
      <c r="G367" s="242">
        <f t="shared" si="93"/>
        <v>2</v>
      </c>
      <c r="H367" s="243">
        <v>1509425</v>
      </c>
      <c r="I367" s="243">
        <f t="shared" si="94"/>
        <v>3018850</v>
      </c>
      <c r="J367" s="8"/>
      <c r="K367" s="8">
        <f t="shared" si="76"/>
        <v>1532821</v>
      </c>
      <c r="L367" s="8">
        <f t="shared" si="84"/>
        <v>1532821</v>
      </c>
      <c r="M367" s="9" t="str">
        <f t="array" ref="M367:P367">_xlfn.XLOOKUP(B367,'Neiva 2022 FASE I ACTUAL (5)'!$B$6:$B$540,'Neiva 2022 FASE I ACTUAL (5)'!$C$6:$F$540,"NO ESTA")</f>
        <v xml:space="preserve">SUMINISTRO E INSTALACIÓN SIAMESA DE INYECCIÓN                                                            </v>
      </c>
      <c r="N367" s="9" t="str">
        <v xml:space="preserve">UN   </v>
      </c>
      <c r="O367" s="9">
        <v>1</v>
      </c>
      <c r="P367" s="9">
        <v>1448552</v>
      </c>
      <c r="Q367" s="124" t="str">
        <f t="shared" si="87"/>
        <v>FASE II</v>
      </c>
      <c r="R367" s="155">
        <f t="shared" si="83"/>
        <v>2</v>
      </c>
      <c r="S367" s="156">
        <f t="shared" si="85"/>
        <v>1532821</v>
      </c>
      <c r="T367" s="156">
        <f t="shared" si="86"/>
        <v>3065642</v>
      </c>
    </row>
    <row r="368" spans="1:20" s="9" customFormat="1" ht="35.1" customHeight="1" x14ac:dyDescent="0.25">
      <c r="A368" s="215"/>
      <c r="B368" s="255" t="s">
        <v>479</v>
      </c>
      <c r="C368" s="254" t="s">
        <v>480</v>
      </c>
      <c r="D368" s="255" t="s">
        <v>284</v>
      </c>
      <c r="E368" s="242">
        <v>0</v>
      </c>
      <c r="F368" s="242">
        <f t="shared" si="92"/>
        <v>1</v>
      </c>
      <c r="G368" s="242">
        <f t="shared" si="93"/>
        <v>1</v>
      </c>
      <c r="H368" s="243">
        <v>5458959</v>
      </c>
      <c r="I368" s="243">
        <f t="shared" si="94"/>
        <v>5458959</v>
      </c>
      <c r="J368" s="8"/>
      <c r="K368" s="8">
        <f t="shared" si="76"/>
        <v>5543573</v>
      </c>
      <c r="L368" s="8">
        <f t="shared" si="84"/>
        <v>0</v>
      </c>
      <c r="M368" s="9" t="str">
        <f t="array" ref="M368:P368">_xlfn.XLOOKUP(B368,'Neiva 2022 FASE I ACTUAL (5)'!$B$6:$B$540,'Neiva 2022 FASE I ACTUAL (5)'!$C$6:$F$540,"NO ESTA")</f>
        <v xml:space="preserve">SUMINISTRO E INSTALACIÓN CABEZAL DE PRUEBAS                                                         </v>
      </c>
      <c r="N368" s="9" t="str">
        <v xml:space="preserve">UN   </v>
      </c>
      <c r="O368" s="9">
        <v>1</v>
      </c>
      <c r="P368" s="9">
        <v>5238807</v>
      </c>
      <c r="Q368" s="124" t="str">
        <f t="shared" si="87"/>
        <v>FASE II</v>
      </c>
      <c r="R368" s="155">
        <f t="shared" si="83"/>
        <v>1</v>
      </c>
      <c r="S368" s="156">
        <f t="shared" si="85"/>
        <v>5543573</v>
      </c>
      <c r="T368" s="156">
        <f t="shared" si="86"/>
        <v>5543573</v>
      </c>
    </row>
    <row r="369" spans="1:20" s="9" customFormat="1" ht="35.1" customHeight="1" x14ac:dyDescent="0.25">
      <c r="A369" s="215"/>
      <c r="B369" s="255" t="s">
        <v>481</v>
      </c>
      <c r="C369" s="254" t="s">
        <v>482</v>
      </c>
      <c r="D369" s="255" t="s">
        <v>284</v>
      </c>
      <c r="E369" s="242">
        <v>0</v>
      </c>
      <c r="F369" s="242">
        <f t="shared" si="92"/>
        <v>1</v>
      </c>
      <c r="G369" s="242">
        <f t="shared" si="93"/>
        <v>1</v>
      </c>
      <c r="H369" s="243">
        <v>436116</v>
      </c>
      <c r="I369" s="243">
        <f t="shared" si="94"/>
        <v>436116</v>
      </c>
      <c r="J369" s="8"/>
      <c r="K369" s="8">
        <f t="shared" ref="K369:K432" si="95">+ROUND(H369*(1+$K$4),0)</f>
        <v>442876</v>
      </c>
      <c r="L369" s="8">
        <f t="shared" si="84"/>
        <v>0</v>
      </c>
      <c r="M369" s="9" t="str">
        <f t="array" ref="M369:P369">_xlfn.XLOOKUP(B369,'Neiva 2022 FASE I ACTUAL (5)'!$B$6:$B$540,'Neiva 2022 FASE I ACTUAL (5)'!$C$6:$F$540,"NO ESTA")</f>
        <v xml:space="preserve">SUMINISTRO E INSTALACIÓN CHEQUE RANURADO 4"                                                              </v>
      </c>
      <c r="N369" s="9" t="str">
        <v xml:space="preserve">UN   </v>
      </c>
      <c r="O369" s="9">
        <v>1</v>
      </c>
      <c r="P369" s="9">
        <v>418527</v>
      </c>
      <c r="Q369" s="124" t="str">
        <f t="shared" si="87"/>
        <v>FASE II</v>
      </c>
      <c r="R369" s="155">
        <f t="shared" si="83"/>
        <v>1</v>
      </c>
      <c r="S369" s="156">
        <f t="shared" si="85"/>
        <v>442876</v>
      </c>
      <c r="T369" s="156">
        <f t="shared" si="86"/>
        <v>442876</v>
      </c>
    </row>
    <row r="370" spans="1:20" s="9" customFormat="1" ht="35.1" customHeight="1" x14ac:dyDescent="0.25">
      <c r="A370" s="215"/>
      <c r="B370" s="255" t="s">
        <v>483</v>
      </c>
      <c r="C370" s="254" t="s">
        <v>484</v>
      </c>
      <c r="D370" s="255" t="s">
        <v>284</v>
      </c>
      <c r="E370" s="242">
        <v>0</v>
      </c>
      <c r="F370" s="242">
        <f t="shared" si="92"/>
        <v>1</v>
      </c>
      <c r="G370" s="242">
        <f t="shared" si="93"/>
        <v>1</v>
      </c>
      <c r="H370" s="243">
        <v>1568916</v>
      </c>
      <c r="I370" s="243">
        <f t="shared" si="94"/>
        <v>1568916</v>
      </c>
      <c r="J370" s="8"/>
      <c r="K370" s="8">
        <f t="shared" si="95"/>
        <v>1593234</v>
      </c>
      <c r="L370" s="8">
        <f t="shared" si="84"/>
        <v>0</v>
      </c>
      <c r="M370" s="9" t="str">
        <f t="array" ref="M370:P370">_xlfn.XLOOKUP(B370,'Neiva 2022 FASE I ACTUAL (5)'!$B$6:$B$540,'Neiva 2022 FASE I ACTUAL (5)'!$C$6:$F$540,"NO ESTA")</f>
        <v xml:space="preserve">SUMINISTRO E INSTALACIÓN VÁLVULA OS&amp;Y 4"                                                                 </v>
      </c>
      <c r="N370" s="9" t="str">
        <v xml:space="preserve">UN   </v>
      </c>
      <c r="O370" s="9">
        <v>1</v>
      </c>
      <c r="P370" s="9">
        <v>1505643</v>
      </c>
      <c r="Q370" s="124" t="str">
        <f t="shared" si="87"/>
        <v>FASE II</v>
      </c>
      <c r="R370" s="155">
        <f t="shared" si="83"/>
        <v>1</v>
      </c>
      <c r="S370" s="156">
        <f t="shared" si="85"/>
        <v>1593234</v>
      </c>
      <c r="T370" s="156">
        <f t="shared" si="86"/>
        <v>1593234</v>
      </c>
    </row>
    <row r="371" spans="1:20" s="9" customFormat="1" ht="35.1" customHeight="1" x14ac:dyDescent="0.25">
      <c r="A371" s="215"/>
      <c r="B371" s="255" t="s">
        <v>485</v>
      </c>
      <c r="C371" s="254" t="s">
        <v>486</v>
      </c>
      <c r="D371" s="255" t="s">
        <v>284</v>
      </c>
      <c r="E371" s="242">
        <v>15</v>
      </c>
      <c r="F371" s="242">
        <f t="shared" si="92"/>
        <v>5</v>
      </c>
      <c r="G371" s="242">
        <f t="shared" si="93"/>
        <v>20</v>
      </c>
      <c r="H371" s="243">
        <v>141920</v>
      </c>
      <c r="I371" s="243">
        <f t="shared" si="94"/>
        <v>2838400</v>
      </c>
      <c r="J371" s="8"/>
      <c r="K371" s="8">
        <f t="shared" si="95"/>
        <v>144120</v>
      </c>
      <c r="L371" s="8">
        <f t="shared" si="84"/>
        <v>2161800</v>
      </c>
      <c r="M371" s="9" t="str">
        <f t="array" ref="M371:P371">_xlfn.XLOOKUP(B371,'Neiva 2022 FASE I ACTUAL (5)'!$B$6:$B$540,'Neiva 2022 FASE I ACTUAL (5)'!$C$6:$F$540,"NO ESTA")</f>
        <v xml:space="preserve">SUMINISTRO E INSTALACIÓN SOPORTE LONGITUDINAL 4 VÍAS 3"                                                               </v>
      </c>
      <c r="N371" s="9" t="str">
        <v xml:space="preserve">UN   </v>
      </c>
      <c r="O371" s="9">
        <v>5</v>
      </c>
      <c r="P371" s="9">
        <v>136196</v>
      </c>
      <c r="Q371" s="124" t="str">
        <f t="shared" si="87"/>
        <v>FASE II</v>
      </c>
      <c r="R371" s="155">
        <f t="shared" si="83"/>
        <v>20</v>
      </c>
      <c r="S371" s="156">
        <f t="shared" si="85"/>
        <v>144120</v>
      </c>
      <c r="T371" s="156">
        <f t="shared" si="86"/>
        <v>2882400</v>
      </c>
    </row>
    <row r="372" spans="1:20" s="9" customFormat="1" ht="35.1" customHeight="1" x14ac:dyDescent="0.25">
      <c r="A372" s="215"/>
      <c r="B372" s="255" t="s">
        <v>487</v>
      </c>
      <c r="C372" s="254" t="s">
        <v>488</v>
      </c>
      <c r="D372" s="255" t="s">
        <v>284</v>
      </c>
      <c r="E372" s="242">
        <v>2</v>
      </c>
      <c r="F372" s="242">
        <f t="shared" si="92"/>
        <v>1</v>
      </c>
      <c r="G372" s="242">
        <f t="shared" si="93"/>
        <v>3</v>
      </c>
      <c r="H372" s="243">
        <v>285428</v>
      </c>
      <c r="I372" s="243">
        <f t="shared" si="94"/>
        <v>856284</v>
      </c>
      <c r="J372" s="8"/>
      <c r="K372" s="8">
        <f t="shared" si="95"/>
        <v>289852</v>
      </c>
      <c r="L372" s="8">
        <f t="shared" si="84"/>
        <v>579704</v>
      </c>
      <c r="M372" s="9" t="str">
        <f t="array" ref="M372:P372">_xlfn.XLOOKUP(B372,'Neiva 2022 FASE I ACTUAL (5)'!$B$6:$B$540,'Neiva 2022 FASE I ACTUAL (5)'!$C$6:$F$540,"NO ESTA")</f>
        <v xml:space="preserve">SUMINISTRO E INSTALACIÓN SOPORTE LONGITUDINAL 4 VÍAS 4"                                                               </v>
      </c>
      <c r="N372" s="9" t="str">
        <v xml:space="preserve">UN   </v>
      </c>
      <c r="O372" s="9">
        <v>1</v>
      </c>
      <c r="P372" s="9">
        <v>273917</v>
      </c>
      <c r="Q372" s="124" t="str">
        <f t="shared" si="87"/>
        <v>FASE II</v>
      </c>
      <c r="R372" s="155">
        <f t="shared" si="83"/>
        <v>3</v>
      </c>
      <c r="S372" s="156">
        <f t="shared" si="85"/>
        <v>289852</v>
      </c>
      <c r="T372" s="156">
        <f t="shared" si="86"/>
        <v>869556</v>
      </c>
    </row>
    <row r="373" spans="1:20" s="9" customFormat="1" ht="35.1" customHeight="1" x14ac:dyDescent="0.25">
      <c r="A373" s="215"/>
      <c r="B373" s="255" t="s">
        <v>489</v>
      </c>
      <c r="C373" s="254" t="s">
        <v>490</v>
      </c>
      <c r="D373" s="255" t="s">
        <v>284</v>
      </c>
      <c r="E373" s="242">
        <v>32</v>
      </c>
      <c r="F373" s="242">
        <f t="shared" si="92"/>
        <v>12</v>
      </c>
      <c r="G373" s="242">
        <f t="shared" si="93"/>
        <v>44</v>
      </c>
      <c r="H373" s="243">
        <v>122058</v>
      </c>
      <c r="I373" s="243">
        <f t="shared" si="94"/>
        <v>5370552</v>
      </c>
      <c r="J373" s="8"/>
      <c r="K373" s="8">
        <f t="shared" si="95"/>
        <v>123950</v>
      </c>
      <c r="L373" s="8">
        <f t="shared" si="84"/>
        <v>3966400</v>
      </c>
      <c r="M373" s="9" t="str">
        <f t="array" ref="M373:P373">_xlfn.XLOOKUP(B373,'Neiva 2022 FASE I ACTUAL (5)'!$B$6:$B$540,'Neiva 2022 FASE I ACTUAL (5)'!$C$6:$F$540,"NO ESTA")</f>
        <v xml:space="preserve">SUMINISTRO E INSTALACIÓN SOPORTE LATERAL 2 VÍAS 2"                                                       </v>
      </c>
      <c r="N373" s="9" t="str">
        <v xml:space="preserve">UN   </v>
      </c>
      <c r="O373" s="9">
        <v>12</v>
      </c>
      <c r="P373" s="9">
        <v>117136</v>
      </c>
      <c r="Q373" s="124" t="str">
        <f t="shared" si="87"/>
        <v>FASE II</v>
      </c>
      <c r="R373" s="155">
        <f t="shared" si="83"/>
        <v>44</v>
      </c>
      <c r="S373" s="156">
        <f t="shared" si="85"/>
        <v>123950</v>
      </c>
      <c r="T373" s="156">
        <f t="shared" si="86"/>
        <v>5453800</v>
      </c>
    </row>
    <row r="374" spans="1:20" s="9" customFormat="1" ht="35.1" customHeight="1" x14ac:dyDescent="0.25">
      <c r="A374" s="215"/>
      <c r="B374" s="255" t="s">
        <v>491</v>
      </c>
      <c r="C374" s="254" t="s">
        <v>492</v>
      </c>
      <c r="D374" s="255" t="s">
        <v>284</v>
      </c>
      <c r="E374" s="242">
        <v>27</v>
      </c>
      <c r="F374" s="242">
        <f t="shared" si="92"/>
        <v>10</v>
      </c>
      <c r="G374" s="242">
        <f t="shared" si="93"/>
        <v>37</v>
      </c>
      <c r="H374" s="243">
        <v>128582</v>
      </c>
      <c r="I374" s="243">
        <f t="shared" si="94"/>
        <v>4757534</v>
      </c>
      <c r="J374" s="8"/>
      <c r="K374" s="8">
        <f t="shared" si="95"/>
        <v>130575</v>
      </c>
      <c r="L374" s="8">
        <f t="shared" si="84"/>
        <v>3525525</v>
      </c>
      <c r="M374" s="9" t="str">
        <f t="array" ref="M374:P374">_xlfn.XLOOKUP(B374,'Neiva 2022 FASE I ACTUAL (5)'!$B$6:$B$540,'Neiva 2022 FASE I ACTUAL (5)'!$C$6:$F$540,"NO ESTA")</f>
        <v xml:space="preserve">SUMINISTRO E INSTALACIÓN SOPORTE LATERAL 2 VÍAS 3"                                                       </v>
      </c>
      <c r="N374" s="9" t="str">
        <v xml:space="preserve">UN   </v>
      </c>
      <c r="O374" s="9">
        <v>10</v>
      </c>
      <c r="P374" s="9">
        <v>123396</v>
      </c>
      <c r="Q374" s="124" t="str">
        <f t="shared" si="87"/>
        <v>FASE II</v>
      </c>
      <c r="R374" s="155">
        <f t="shared" si="83"/>
        <v>37</v>
      </c>
      <c r="S374" s="156">
        <f t="shared" si="85"/>
        <v>130575</v>
      </c>
      <c r="T374" s="156">
        <f t="shared" si="86"/>
        <v>4831275</v>
      </c>
    </row>
    <row r="375" spans="1:20" s="9" customFormat="1" ht="35.1" customHeight="1" x14ac:dyDescent="0.25">
      <c r="A375" s="215"/>
      <c r="B375" s="255" t="s">
        <v>493</v>
      </c>
      <c r="C375" s="254" t="s">
        <v>494</v>
      </c>
      <c r="D375" s="255" t="s">
        <v>284</v>
      </c>
      <c r="E375" s="242">
        <v>6</v>
      </c>
      <c r="F375" s="242">
        <f t="shared" si="92"/>
        <v>2</v>
      </c>
      <c r="G375" s="242">
        <f t="shared" si="93"/>
        <v>8</v>
      </c>
      <c r="H375" s="243">
        <v>1630851</v>
      </c>
      <c r="I375" s="243">
        <f t="shared" si="94"/>
        <v>13046808</v>
      </c>
      <c r="J375" s="8"/>
      <c r="K375" s="8">
        <f t="shared" si="95"/>
        <v>1656129</v>
      </c>
      <c r="L375" s="8">
        <f t="shared" si="84"/>
        <v>9936774</v>
      </c>
      <c r="M375" s="9" t="str">
        <f t="array" ref="M375:P375">_xlfn.XLOOKUP(B375,'Neiva 2022 FASE I ACTUAL (5)'!$B$6:$B$540,'Neiva 2022 FASE I ACTUAL (5)'!$C$6:$F$540,"NO ESTA")</f>
        <v xml:space="preserve">SUMINISTRO E INSTALACIÓN GABINETE TIPO II </v>
      </c>
      <c r="N375" s="9" t="str">
        <v xml:space="preserve">UN   </v>
      </c>
      <c r="O375" s="9">
        <v>2</v>
      </c>
      <c r="P375" s="9">
        <v>1565081</v>
      </c>
      <c r="Q375" s="124" t="str">
        <f t="shared" si="87"/>
        <v>FASE II</v>
      </c>
      <c r="R375" s="155">
        <f t="shared" si="83"/>
        <v>8</v>
      </c>
      <c r="S375" s="156">
        <f t="shared" si="85"/>
        <v>1656129</v>
      </c>
      <c r="T375" s="156">
        <f t="shared" si="86"/>
        <v>13249032</v>
      </c>
    </row>
    <row r="376" spans="1:20" s="9" customFormat="1" ht="35.1" customHeight="1" x14ac:dyDescent="0.25">
      <c r="A376" s="215"/>
      <c r="B376" s="266">
        <v>14</v>
      </c>
      <c r="C376" s="267" t="s">
        <v>495</v>
      </c>
      <c r="D376" s="267"/>
      <c r="E376" s="268"/>
      <c r="F376" s="268"/>
      <c r="G376" s="268"/>
      <c r="H376" s="306"/>
      <c r="I376" s="268"/>
      <c r="J376" s="8"/>
      <c r="K376" s="8">
        <f t="shared" si="95"/>
        <v>0</v>
      </c>
      <c r="L376" s="8">
        <f t="shared" si="84"/>
        <v>0</v>
      </c>
      <c r="M376" s="9" t="str">
        <f t="array" ref="M376:P376">_xlfn.XLOOKUP(B376,'Neiva 2022 FASE I ACTUAL (5)'!$B$6:$B$540,'Neiva 2022 FASE I ACTUAL (5)'!$C$6:$F$540,"NO ESTA")</f>
        <v>SALIDAS DE ALUMBRADO Y TOMACORRIENTES ELÉCTRICOS</v>
      </c>
      <c r="N376" s="9">
        <v>0</v>
      </c>
      <c r="O376" s="9">
        <v>0</v>
      </c>
      <c r="P376" s="9">
        <v>0</v>
      </c>
      <c r="Q376" s="124">
        <f t="shared" si="87"/>
        <v>0</v>
      </c>
      <c r="R376" s="155">
        <f t="shared" si="83"/>
        <v>0</v>
      </c>
      <c r="S376" s="156">
        <f t="shared" si="85"/>
        <v>0</v>
      </c>
      <c r="T376" s="156">
        <f t="shared" si="86"/>
        <v>0</v>
      </c>
    </row>
    <row r="377" spans="1:20" s="9" customFormat="1" ht="35.1" customHeight="1" x14ac:dyDescent="0.25">
      <c r="A377" s="215"/>
      <c r="B377" s="283" t="s">
        <v>496</v>
      </c>
      <c r="C377" s="278" t="s">
        <v>497</v>
      </c>
      <c r="D377" s="256"/>
      <c r="E377" s="246"/>
      <c r="F377" s="246"/>
      <c r="G377" s="246"/>
      <c r="H377" s="303"/>
      <c r="I377" s="246"/>
      <c r="J377" s="8"/>
      <c r="K377" s="8">
        <f t="shared" si="95"/>
        <v>0</v>
      </c>
      <c r="L377" s="8">
        <f t="shared" si="84"/>
        <v>0</v>
      </c>
      <c r="M377" s="9" t="str">
        <f t="array" ref="M377:P377">_xlfn.XLOOKUP(B377,'Neiva 2022 FASE I ACTUAL (5)'!$B$6:$B$540,'Neiva 2022 FASE I ACTUAL (5)'!$C$6:$F$540,"NO ESTA")</f>
        <v>SUMINISTRO E INSTALACIÓN SALIDAS DE ALUMBRADO EN TUBERIA PVC INCRUSTRADA (NO SE INCLUYE LAS LUMINARIAS)</v>
      </c>
      <c r="N377" s="9">
        <v>0</v>
      </c>
      <c r="O377" s="9">
        <v>0</v>
      </c>
      <c r="P377" s="9">
        <v>0</v>
      </c>
      <c r="Q377" s="124">
        <f t="shared" si="87"/>
        <v>0</v>
      </c>
      <c r="R377" s="155">
        <f t="shared" si="83"/>
        <v>0</v>
      </c>
      <c r="S377" s="156">
        <f t="shared" si="85"/>
        <v>0</v>
      </c>
      <c r="T377" s="156">
        <f t="shared" si="86"/>
        <v>0</v>
      </c>
    </row>
    <row r="378" spans="1:20" s="9" customFormat="1" ht="35.1" customHeight="1" x14ac:dyDescent="0.25">
      <c r="A378" s="215"/>
      <c r="B378" s="255" t="s">
        <v>498</v>
      </c>
      <c r="C378" s="87" t="s">
        <v>499</v>
      </c>
      <c r="D378" s="255" t="s">
        <v>374</v>
      </c>
      <c r="E378" s="242">
        <v>153</v>
      </c>
      <c r="F378" s="242">
        <f t="shared" ref="F378:F393" si="96">+O378</f>
        <v>57</v>
      </c>
      <c r="G378" s="242">
        <f t="shared" ref="G378:G393" si="97">+F378+E378</f>
        <v>210</v>
      </c>
      <c r="H378" s="243">
        <v>84366</v>
      </c>
      <c r="I378" s="243">
        <f t="shared" ref="I378:I393" si="98">ROUND(+H378*G378,2)</f>
        <v>17716860</v>
      </c>
      <c r="J378" s="8"/>
      <c r="K378" s="8">
        <f t="shared" si="95"/>
        <v>85674</v>
      </c>
      <c r="L378" s="8">
        <f t="shared" si="84"/>
        <v>13108122</v>
      </c>
      <c r="M378" s="9" t="str">
        <f t="array" ref="M378:P378">_xlfn.XLOOKUP(B378,'Neiva 2022 FASE I ACTUAL (5)'!$B$6:$B$540,'Neiva 2022 FASE I ACTUAL (5)'!$C$6:$F$540,"NO ESTA")</f>
        <v>SUMINISTRO E INSTALACIÓN SALIDA PARA LAMPARA LED DE 1x28 W</v>
      </c>
      <c r="N378" s="9" t="str">
        <v>UN</v>
      </c>
      <c r="O378" s="9">
        <v>57</v>
      </c>
      <c r="P378" s="9">
        <v>80964</v>
      </c>
      <c r="Q378" s="124" t="str">
        <f t="shared" si="87"/>
        <v>FASE II</v>
      </c>
      <c r="R378" s="155">
        <f t="shared" si="83"/>
        <v>210</v>
      </c>
      <c r="S378" s="156">
        <f t="shared" si="85"/>
        <v>85674</v>
      </c>
      <c r="T378" s="156">
        <f t="shared" si="86"/>
        <v>17991540</v>
      </c>
    </row>
    <row r="379" spans="1:20" s="9" customFormat="1" ht="35.1" customHeight="1" x14ac:dyDescent="0.25">
      <c r="A379" s="215"/>
      <c r="B379" s="255" t="s">
        <v>500</v>
      </c>
      <c r="C379" s="87" t="s">
        <v>501</v>
      </c>
      <c r="D379" s="255" t="s">
        <v>374</v>
      </c>
      <c r="E379" s="242">
        <v>82</v>
      </c>
      <c r="F379" s="242">
        <f t="shared" si="96"/>
        <v>30</v>
      </c>
      <c r="G379" s="242">
        <f t="shared" si="97"/>
        <v>112</v>
      </c>
      <c r="H379" s="243">
        <v>76321</v>
      </c>
      <c r="I379" s="243">
        <f t="shared" si="98"/>
        <v>8547952</v>
      </c>
      <c r="J379" s="8"/>
      <c r="K379" s="8">
        <f t="shared" si="95"/>
        <v>77504</v>
      </c>
      <c r="L379" s="8">
        <f t="shared" si="84"/>
        <v>6355328</v>
      </c>
      <c r="M379" s="9" t="str">
        <f t="array" ref="M379:P379">_xlfn.XLOOKUP(B379,'Neiva 2022 FASE I ACTUAL (5)'!$B$6:$B$540,'Neiva 2022 FASE I ACTUAL (5)'!$C$6:$F$540,"NO ESTA")</f>
        <v>SUMINISTRO E INSTALACIÓN SALIDA PARA LAMPARA LED DE 2x54 W</v>
      </c>
      <c r="N379" s="9" t="str">
        <v>UN</v>
      </c>
      <c r="O379" s="9">
        <v>30</v>
      </c>
      <c r="P379" s="9">
        <v>73244</v>
      </c>
      <c r="Q379" s="124" t="str">
        <f t="shared" si="87"/>
        <v>FASE II</v>
      </c>
      <c r="R379" s="155">
        <f t="shared" si="83"/>
        <v>112</v>
      </c>
      <c r="S379" s="156">
        <f t="shared" si="85"/>
        <v>77504</v>
      </c>
      <c r="T379" s="156">
        <f t="shared" si="86"/>
        <v>8680448</v>
      </c>
    </row>
    <row r="380" spans="1:20" s="9" customFormat="1" ht="35.1" customHeight="1" x14ac:dyDescent="0.25">
      <c r="A380" s="215"/>
      <c r="B380" s="255" t="s">
        <v>502</v>
      </c>
      <c r="C380" s="254" t="s">
        <v>503</v>
      </c>
      <c r="D380" s="255" t="s">
        <v>374</v>
      </c>
      <c r="E380" s="242">
        <v>121</v>
      </c>
      <c r="F380" s="242">
        <f t="shared" si="96"/>
        <v>45</v>
      </c>
      <c r="G380" s="242">
        <f t="shared" si="97"/>
        <v>166</v>
      </c>
      <c r="H380" s="243">
        <v>71559</v>
      </c>
      <c r="I380" s="243">
        <f t="shared" si="98"/>
        <v>11878794</v>
      </c>
      <c r="J380" s="8"/>
      <c r="K380" s="8">
        <f t="shared" si="95"/>
        <v>72668</v>
      </c>
      <c r="L380" s="8">
        <f t="shared" si="84"/>
        <v>8792828</v>
      </c>
      <c r="M380" s="9" t="str">
        <f t="array" ref="M380:P380">_xlfn.XLOOKUP(B380,'Neiva 2022 FASE I ACTUAL (5)'!$B$6:$B$540,'Neiva 2022 FASE I ACTUAL (5)'!$C$6:$F$540,"NO ESTA")</f>
        <v>SUMINISTRO E INSTALACIÓN SALIDA PARA BALA DE LED 35W 120V</v>
      </c>
      <c r="N380" s="9" t="str">
        <v>UN</v>
      </c>
      <c r="O380" s="9">
        <v>45</v>
      </c>
      <c r="P380" s="9">
        <v>68674</v>
      </c>
      <c r="Q380" s="124" t="str">
        <f t="shared" si="87"/>
        <v>FASE II</v>
      </c>
      <c r="R380" s="155">
        <f t="shared" si="83"/>
        <v>166</v>
      </c>
      <c r="S380" s="156">
        <f t="shared" si="85"/>
        <v>72668</v>
      </c>
      <c r="T380" s="156">
        <f t="shared" si="86"/>
        <v>12062888</v>
      </c>
    </row>
    <row r="381" spans="1:20" s="9" customFormat="1" ht="35.1" customHeight="1" x14ac:dyDescent="0.25">
      <c r="A381" s="215"/>
      <c r="B381" s="255" t="s">
        <v>504</v>
      </c>
      <c r="C381" s="254" t="s">
        <v>505</v>
      </c>
      <c r="D381" s="255" t="s">
        <v>374</v>
      </c>
      <c r="E381" s="242">
        <v>50</v>
      </c>
      <c r="F381" s="242">
        <f t="shared" si="96"/>
        <v>19</v>
      </c>
      <c r="G381" s="242">
        <f t="shared" si="97"/>
        <v>69</v>
      </c>
      <c r="H381" s="243">
        <v>71559</v>
      </c>
      <c r="I381" s="243">
        <f t="shared" si="98"/>
        <v>4937571</v>
      </c>
      <c r="J381" s="8"/>
      <c r="K381" s="8">
        <f t="shared" si="95"/>
        <v>72668</v>
      </c>
      <c r="L381" s="8">
        <f t="shared" si="84"/>
        <v>3633400</v>
      </c>
      <c r="M381" s="9" t="str">
        <f t="array" ref="M381:P381">_xlfn.XLOOKUP(B381,'Neiva 2022 FASE I ACTUAL (5)'!$B$6:$B$540,'Neiva 2022 FASE I ACTUAL (5)'!$C$6:$F$540,"NO ESTA")</f>
        <v>SUMINISTRO E INSTALACIÓN SALIDA PARA BALA RECESADA LED 10W 120V</v>
      </c>
      <c r="N381" s="9" t="str">
        <v>UN</v>
      </c>
      <c r="O381" s="9">
        <v>19</v>
      </c>
      <c r="P381" s="9">
        <v>68674</v>
      </c>
      <c r="Q381" s="124" t="str">
        <f t="shared" si="87"/>
        <v>FASE II</v>
      </c>
      <c r="R381" s="155">
        <f t="shared" si="83"/>
        <v>69</v>
      </c>
      <c r="S381" s="156">
        <f t="shared" si="85"/>
        <v>72668</v>
      </c>
      <c r="T381" s="156">
        <f t="shared" si="86"/>
        <v>5014092</v>
      </c>
    </row>
    <row r="382" spans="1:20" s="9" customFormat="1" ht="35.1" customHeight="1" x14ac:dyDescent="0.25">
      <c r="A382" s="215"/>
      <c r="B382" s="255" t="s">
        <v>506</v>
      </c>
      <c r="C382" s="254" t="s">
        <v>507</v>
      </c>
      <c r="D382" s="255" t="s">
        <v>374</v>
      </c>
      <c r="E382" s="242">
        <v>184</v>
      </c>
      <c r="F382" s="242">
        <f t="shared" si="96"/>
        <v>68</v>
      </c>
      <c r="G382" s="242">
        <f t="shared" si="97"/>
        <v>252</v>
      </c>
      <c r="H382" s="243">
        <v>71559</v>
      </c>
      <c r="I382" s="243">
        <f t="shared" si="98"/>
        <v>18032868</v>
      </c>
      <c r="J382" s="8"/>
      <c r="K382" s="8">
        <f t="shared" si="95"/>
        <v>72668</v>
      </c>
      <c r="L382" s="8">
        <f t="shared" si="84"/>
        <v>13370912</v>
      </c>
      <c r="M382" s="9" t="str">
        <f t="array" ref="M382:P382">_xlfn.XLOOKUP(B382,'Neiva 2022 FASE I ACTUAL (5)'!$B$6:$B$540,'Neiva 2022 FASE I ACTUAL (5)'!$C$6:$F$540,"NO ESTA")</f>
        <v>SUMINISTRO E INSTALACIÓN SALIDA PARA LUMINARIA LED 2x26W 120V</v>
      </c>
      <c r="N382" s="9" t="str">
        <v>UN</v>
      </c>
      <c r="O382" s="9">
        <v>68</v>
      </c>
      <c r="P382" s="9">
        <v>68674</v>
      </c>
      <c r="Q382" s="124" t="str">
        <f t="shared" si="87"/>
        <v>FASE II</v>
      </c>
      <c r="R382" s="155">
        <f t="shared" si="83"/>
        <v>252</v>
      </c>
      <c r="S382" s="156">
        <f t="shared" si="85"/>
        <v>72668</v>
      </c>
      <c r="T382" s="156">
        <f t="shared" si="86"/>
        <v>18312336</v>
      </c>
    </row>
    <row r="383" spans="1:20" s="9" customFormat="1" ht="35.1" customHeight="1" x14ac:dyDescent="0.25">
      <c r="A383" s="215"/>
      <c r="B383" s="255" t="s">
        <v>508</v>
      </c>
      <c r="C383" s="254" t="s">
        <v>509</v>
      </c>
      <c r="D383" s="255" t="s">
        <v>374</v>
      </c>
      <c r="E383" s="242">
        <v>6</v>
      </c>
      <c r="F383" s="242">
        <f t="shared" si="96"/>
        <v>2</v>
      </c>
      <c r="G383" s="242">
        <f t="shared" si="97"/>
        <v>8</v>
      </c>
      <c r="H383" s="243">
        <v>69301</v>
      </c>
      <c r="I383" s="243">
        <f t="shared" si="98"/>
        <v>554408</v>
      </c>
      <c r="J383" s="8"/>
      <c r="K383" s="8">
        <f t="shared" si="95"/>
        <v>70375</v>
      </c>
      <c r="L383" s="8">
        <f t="shared" si="84"/>
        <v>422250</v>
      </c>
      <c r="M383" s="9" t="str">
        <f t="array" ref="M383:P383">_xlfn.XLOOKUP(B383,'Neiva 2022 FASE I ACTUAL (5)'!$B$6:$B$540,'Neiva 2022 FASE I ACTUAL (5)'!$C$6:$F$540,"NO ESTA")</f>
        <v>SUMINISTRO E INSTALACIÓN SALIDA PARA REFLECTOR DE LUZ DIRECTA</v>
      </c>
      <c r="N383" s="9" t="str">
        <v>UN</v>
      </c>
      <c r="O383" s="9">
        <v>2</v>
      </c>
      <c r="P383" s="9">
        <v>66507</v>
      </c>
      <c r="Q383" s="124" t="str">
        <f t="shared" si="87"/>
        <v>FASE II</v>
      </c>
      <c r="R383" s="155">
        <f t="shared" si="83"/>
        <v>8</v>
      </c>
      <c r="S383" s="156">
        <f t="shared" si="85"/>
        <v>70375</v>
      </c>
      <c r="T383" s="156">
        <f t="shared" si="86"/>
        <v>563000</v>
      </c>
    </row>
    <row r="384" spans="1:20" s="9" customFormat="1" ht="35.1" customHeight="1" x14ac:dyDescent="0.25">
      <c r="A384" s="215"/>
      <c r="B384" s="255" t="s">
        <v>510</v>
      </c>
      <c r="C384" s="254" t="s">
        <v>511</v>
      </c>
      <c r="D384" s="255" t="s">
        <v>374</v>
      </c>
      <c r="E384" s="242">
        <v>6</v>
      </c>
      <c r="F384" s="242">
        <f t="shared" si="96"/>
        <v>2</v>
      </c>
      <c r="G384" s="242">
        <f t="shared" si="97"/>
        <v>8</v>
      </c>
      <c r="H384" s="243">
        <v>75975</v>
      </c>
      <c r="I384" s="243">
        <f t="shared" si="98"/>
        <v>607800</v>
      </c>
      <c r="J384" s="8"/>
      <c r="K384" s="8">
        <f t="shared" si="95"/>
        <v>77153</v>
      </c>
      <c r="L384" s="8">
        <f t="shared" si="84"/>
        <v>462918</v>
      </c>
      <c r="M384" s="9" t="str">
        <f t="array" ref="M384:P384">_xlfn.XLOOKUP(B384,'Neiva 2022 FASE I ACTUAL (5)'!$B$6:$B$540,'Neiva 2022 FASE I ACTUAL (5)'!$C$6:$F$540,"NO ESTA")</f>
        <v>SUMINISTRO E INSTALACIÓN SALIDA PARA APLIQUE DE ESCALERA 1000W 120V</v>
      </c>
      <c r="N384" s="9" t="str">
        <v>UN</v>
      </c>
      <c r="O384" s="9">
        <v>2</v>
      </c>
      <c r="P384" s="9">
        <v>72910</v>
      </c>
      <c r="Q384" s="124" t="str">
        <f t="shared" si="87"/>
        <v>FASE II</v>
      </c>
      <c r="R384" s="155">
        <f t="shared" si="83"/>
        <v>8</v>
      </c>
      <c r="S384" s="156">
        <f t="shared" si="85"/>
        <v>77153</v>
      </c>
      <c r="T384" s="156">
        <f t="shared" si="86"/>
        <v>617224</v>
      </c>
    </row>
    <row r="385" spans="1:20" s="9" customFormat="1" ht="35.1" customHeight="1" x14ac:dyDescent="0.25">
      <c r="A385" s="215"/>
      <c r="B385" s="255" t="s">
        <v>512</v>
      </c>
      <c r="C385" s="254" t="s">
        <v>513</v>
      </c>
      <c r="D385" s="255" t="s">
        <v>374</v>
      </c>
      <c r="E385" s="242">
        <v>67</v>
      </c>
      <c r="F385" s="242">
        <f t="shared" si="96"/>
        <v>25</v>
      </c>
      <c r="G385" s="242">
        <f t="shared" si="97"/>
        <v>92</v>
      </c>
      <c r="H385" s="243">
        <v>75975</v>
      </c>
      <c r="I385" s="243">
        <f t="shared" si="98"/>
        <v>6989700</v>
      </c>
      <c r="J385" s="8"/>
      <c r="K385" s="8">
        <f t="shared" si="95"/>
        <v>77153</v>
      </c>
      <c r="L385" s="8">
        <f t="shared" si="84"/>
        <v>5169251</v>
      </c>
      <c r="M385" s="9" t="str">
        <f t="array" ref="M385:P385">_xlfn.XLOOKUP(B385,'Neiva 2022 FASE I ACTUAL (5)'!$B$6:$B$540,'Neiva 2022 FASE I ACTUAL (5)'!$C$6:$F$540,"NO ESTA")</f>
        <v>SUMINISTRO E INSTALACIÓN SALIDA PARA BALAS LED DE PISO 3W 120V</v>
      </c>
      <c r="N385" s="9" t="str">
        <v>UN</v>
      </c>
      <c r="O385" s="9">
        <v>25</v>
      </c>
      <c r="P385" s="9">
        <v>72910</v>
      </c>
      <c r="Q385" s="124" t="str">
        <f t="shared" si="87"/>
        <v>FASE II</v>
      </c>
      <c r="R385" s="155">
        <f t="shared" si="83"/>
        <v>92</v>
      </c>
      <c r="S385" s="156">
        <f t="shared" si="85"/>
        <v>77153</v>
      </c>
      <c r="T385" s="156">
        <f t="shared" si="86"/>
        <v>7098076</v>
      </c>
    </row>
    <row r="386" spans="1:20" s="9" customFormat="1" ht="35.1" customHeight="1" x14ac:dyDescent="0.25">
      <c r="A386" s="215"/>
      <c r="B386" s="255" t="s">
        <v>514</v>
      </c>
      <c r="C386" s="254" t="s">
        <v>515</v>
      </c>
      <c r="D386" s="255" t="s">
        <v>374</v>
      </c>
      <c r="E386" s="242">
        <v>10</v>
      </c>
      <c r="F386" s="242">
        <f t="shared" si="96"/>
        <v>4</v>
      </c>
      <c r="G386" s="242">
        <f t="shared" si="97"/>
        <v>14</v>
      </c>
      <c r="H386" s="243">
        <v>75975</v>
      </c>
      <c r="I386" s="243">
        <f t="shared" si="98"/>
        <v>1063650</v>
      </c>
      <c r="J386" s="8"/>
      <c r="K386" s="8">
        <f t="shared" si="95"/>
        <v>77153</v>
      </c>
      <c r="L386" s="8">
        <f t="shared" si="84"/>
        <v>771530</v>
      </c>
      <c r="M386" s="9" t="str">
        <f t="array" ref="M386:P386">_xlfn.XLOOKUP(B386,'Neiva 2022 FASE I ACTUAL (5)'!$B$6:$B$540,'Neiva 2022 FASE I ACTUAL (5)'!$C$6:$F$540,"NO ESTA")</f>
        <v>SUMINISTRO E INSTALACIÓN SALIDA PARA BALAS DE PISO 50W 120V</v>
      </c>
      <c r="N386" s="9" t="str">
        <v>UN</v>
      </c>
      <c r="O386" s="9">
        <v>4</v>
      </c>
      <c r="P386" s="9">
        <v>72910</v>
      </c>
      <c r="Q386" s="124" t="str">
        <f t="shared" si="87"/>
        <v>FASE II</v>
      </c>
      <c r="R386" s="155">
        <f t="shared" si="83"/>
        <v>14</v>
      </c>
      <c r="S386" s="156">
        <f t="shared" si="85"/>
        <v>77153</v>
      </c>
      <c r="T386" s="156">
        <f t="shared" si="86"/>
        <v>1080142</v>
      </c>
    </row>
    <row r="387" spans="1:20" s="9" customFormat="1" ht="35.1" customHeight="1" x14ac:dyDescent="0.25">
      <c r="A387" s="215"/>
      <c r="B387" s="255" t="s">
        <v>516</v>
      </c>
      <c r="C387" s="87" t="s">
        <v>517</v>
      </c>
      <c r="D387" s="255" t="s">
        <v>374</v>
      </c>
      <c r="E387" s="242">
        <v>42</v>
      </c>
      <c r="F387" s="242">
        <f t="shared" si="96"/>
        <v>16</v>
      </c>
      <c r="G387" s="242">
        <f t="shared" si="97"/>
        <v>58</v>
      </c>
      <c r="H387" s="243">
        <v>81251</v>
      </c>
      <c r="I387" s="243">
        <f t="shared" si="98"/>
        <v>4712558</v>
      </c>
      <c r="J387" s="8"/>
      <c r="K387" s="8">
        <f t="shared" si="95"/>
        <v>82510</v>
      </c>
      <c r="L387" s="8">
        <f t="shared" si="84"/>
        <v>3465420</v>
      </c>
      <c r="M387" s="9" t="str">
        <f t="array" ref="M387:P387">_xlfn.XLOOKUP(B387,'Neiva 2022 FASE I ACTUAL (5)'!$B$6:$B$540,'Neiva 2022 FASE I ACTUAL (5)'!$C$6:$F$540,"NO ESTA")</f>
        <v>SUMINISTRO E INSTALACIÓN SALIDA PARA INTERRUPTOR SENCILLO COLOR BLANCO</v>
      </c>
      <c r="N387" s="9" t="str">
        <v>UN</v>
      </c>
      <c r="O387" s="9">
        <v>16</v>
      </c>
      <c r="P387" s="9">
        <v>77975</v>
      </c>
      <c r="Q387" s="124" t="str">
        <f t="shared" si="87"/>
        <v>FASE II</v>
      </c>
      <c r="R387" s="155">
        <f t="shared" si="83"/>
        <v>58</v>
      </c>
      <c r="S387" s="156">
        <f t="shared" si="85"/>
        <v>82510</v>
      </c>
      <c r="T387" s="156">
        <f t="shared" si="86"/>
        <v>4785580</v>
      </c>
    </row>
    <row r="388" spans="1:20" s="9" customFormat="1" ht="35.1" customHeight="1" x14ac:dyDescent="0.25">
      <c r="A388" s="215"/>
      <c r="B388" s="255" t="s">
        <v>518</v>
      </c>
      <c r="C388" s="87" t="s">
        <v>519</v>
      </c>
      <c r="D388" s="255" t="s">
        <v>374</v>
      </c>
      <c r="E388" s="242">
        <v>18</v>
      </c>
      <c r="F388" s="242">
        <f t="shared" si="96"/>
        <v>6</v>
      </c>
      <c r="G388" s="242">
        <f t="shared" si="97"/>
        <v>24</v>
      </c>
      <c r="H388" s="243">
        <v>88101</v>
      </c>
      <c r="I388" s="243">
        <f t="shared" si="98"/>
        <v>2114424</v>
      </c>
      <c r="J388" s="8"/>
      <c r="K388" s="8">
        <f t="shared" si="95"/>
        <v>89467</v>
      </c>
      <c r="L388" s="8">
        <f t="shared" si="84"/>
        <v>1610406</v>
      </c>
      <c r="M388" s="9" t="str">
        <f t="array" ref="M388:P388">_xlfn.XLOOKUP(B388,'Neiva 2022 FASE I ACTUAL (5)'!$B$6:$B$540,'Neiva 2022 FASE I ACTUAL (5)'!$C$6:$F$540,"NO ESTA")</f>
        <v>SUMINISTRO E INSTALACIÓN SALIDA PARA INTERRUPTOR DOBLE COLOR BLANCO</v>
      </c>
      <c r="N388" s="9" t="str">
        <v>UN</v>
      </c>
      <c r="O388" s="9">
        <v>6</v>
      </c>
      <c r="P388" s="9">
        <v>84546</v>
      </c>
      <c r="Q388" s="124" t="str">
        <f t="shared" si="87"/>
        <v>FASE II</v>
      </c>
      <c r="R388" s="155">
        <f t="shared" si="83"/>
        <v>24</v>
      </c>
      <c r="S388" s="156">
        <f t="shared" si="85"/>
        <v>89467</v>
      </c>
      <c r="T388" s="156">
        <f t="shared" si="86"/>
        <v>2147208</v>
      </c>
    </row>
    <row r="389" spans="1:20" s="9" customFormat="1" ht="35.1" customHeight="1" x14ac:dyDescent="0.25">
      <c r="A389" s="215"/>
      <c r="B389" s="255" t="s">
        <v>520</v>
      </c>
      <c r="C389" s="87" t="s">
        <v>521</v>
      </c>
      <c r="D389" s="255" t="s">
        <v>374</v>
      </c>
      <c r="E389" s="242">
        <v>6</v>
      </c>
      <c r="F389" s="242">
        <f t="shared" si="96"/>
        <v>2</v>
      </c>
      <c r="G389" s="242">
        <f t="shared" si="97"/>
        <v>8</v>
      </c>
      <c r="H389" s="243">
        <v>89944</v>
      </c>
      <c r="I389" s="243">
        <f t="shared" si="98"/>
        <v>719552</v>
      </c>
      <c r="J389" s="8"/>
      <c r="K389" s="8">
        <f t="shared" si="95"/>
        <v>91338</v>
      </c>
      <c r="L389" s="8">
        <f t="shared" si="84"/>
        <v>548028</v>
      </c>
      <c r="M389" s="9" t="str">
        <f t="array" ref="M389:P389">_xlfn.XLOOKUP(B389,'Neiva 2022 FASE I ACTUAL (5)'!$B$6:$B$540,'Neiva 2022 FASE I ACTUAL (5)'!$C$6:$F$540,"NO ESTA")</f>
        <v>SUMINISTRO E INSTALACIÓN SALIDA PARA INTERRUPTOR SENCILLO CONMUTABLE COLOR BLANCO</v>
      </c>
      <c r="N389" s="9" t="str">
        <v>UN</v>
      </c>
      <c r="O389" s="9">
        <v>2</v>
      </c>
      <c r="P389" s="9">
        <v>86318</v>
      </c>
      <c r="Q389" s="124" t="str">
        <f t="shared" si="87"/>
        <v>FASE II</v>
      </c>
      <c r="R389" s="155">
        <f t="shared" si="83"/>
        <v>8</v>
      </c>
      <c r="S389" s="156">
        <f t="shared" si="85"/>
        <v>91338</v>
      </c>
      <c r="T389" s="156">
        <f t="shared" si="86"/>
        <v>730704</v>
      </c>
    </row>
    <row r="390" spans="1:20" s="9" customFormat="1" ht="35.1" customHeight="1" x14ac:dyDescent="0.25">
      <c r="A390" s="215"/>
      <c r="B390" s="255" t="s">
        <v>522</v>
      </c>
      <c r="C390" s="87" t="s">
        <v>523</v>
      </c>
      <c r="D390" s="255" t="s">
        <v>374</v>
      </c>
      <c r="E390" s="242">
        <v>4</v>
      </c>
      <c r="F390" s="242">
        <f t="shared" si="96"/>
        <v>2</v>
      </c>
      <c r="G390" s="242">
        <f t="shared" si="97"/>
        <v>6</v>
      </c>
      <c r="H390" s="243">
        <v>98279</v>
      </c>
      <c r="I390" s="243">
        <f t="shared" si="98"/>
        <v>589674</v>
      </c>
      <c r="J390" s="8"/>
      <c r="K390" s="8">
        <f t="shared" si="95"/>
        <v>99802</v>
      </c>
      <c r="L390" s="8">
        <f t="shared" si="84"/>
        <v>399208</v>
      </c>
      <c r="M390" s="9" t="str">
        <f t="array" ref="M390:P390">_xlfn.XLOOKUP(B390,'Neiva 2022 FASE I ACTUAL (5)'!$B$6:$B$540,'Neiva 2022 FASE I ACTUAL (5)'!$C$6:$F$540,"NO ESTA")</f>
        <v>SUMINISTRO E INSTALACIÓN SALIDA PARA INTERRUPTOR DOBLE CONMUTABLE COLOR BLANCO</v>
      </c>
      <c r="N390" s="9" t="str">
        <v>UN</v>
      </c>
      <c r="O390" s="9">
        <v>2</v>
      </c>
      <c r="P390" s="9">
        <v>94316</v>
      </c>
      <c r="Q390" s="124" t="str">
        <f t="shared" si="87"/>
        <v>FASE II</v>
      </c>
      <c r="R390" s="155">
        <f t="shared" ref="R390:R453" si="99">E390+O390</f>
        <v>6</v>
      </c>
      <c r="S390" s="156">
        <f t="shared" si="85"/>
        <v>99802</v>
      </c>
      <c r="T390" s="156">
        <f t="shared" si="86"/>
        <v>598812</v>
      </c>
    </row>
    <row r="391" spans="1:20" s="9" customFormat="1" ht="35.1" customHeight="1" x14ac:dyDescent="0.25">
      <c r="A391" s="215"/>
      <c r="B391" s="255" t="s">
        <v>524</v>
      </c>
      <c r="C391" s="254" t="s">
        <v>525</v>
      </c>
      <c r="D391" s="255" t="s">
        <v>374</v>
      </c>
      <c r="E391" s="242">
        <v>12</v>
      </c>
      <c r="F391" s="242">
        <f t="shared" si="96"/>
        <v>5</v>
      </c>
      <c r="G391" s="242">
        <f t="shared" si="97"/>
        <v>17</v>
      </c>
      <c r="H391" s="243">
        <v>92236</v>
      </c>
      <c r="I391" s="243">
        <f t="shared" si="98"/>
        <v>1568012</v>
      </c>
      <c r="J391" s="8"/>
      <c r="K391" s="8">
        <f t="shared" si="95"/>
        <v>93666</v>
      </c>
      <c r="L391" s="8">
        <f t="shared" ref="L391:L454" si="100">+K391*E391</f>
        <v>1123992</v>
      </c>
      <c r="M391" s="9" t="str">
        <f t="array" ref="M391:P391">_xlfn.XLOOKUP(B391,'Neiva 2022 FASE I ACTUAL (5)'!$B$6:$B$540,'Neiva 2022 FASE I ACTUAL (5)'!$C$6:$F$540,"NO ESTA")</f>
        <v>SUMINISTRO E INSTALACIÓN SALIDA PARA INTERRUPTOR DE SENSOR DE PRESENCIA</v>
      </c>
      <c r="N391" s="9" t="str">
        <v>UN</v>
      </c>
      <c r="O391" s="9">
        <v>5</v>
      </c>
      <c r="P391" s="9">
        <v>88516</v>
      </c>
      <c r="Q391" s="124" t="str">
        <f t="shared" si="87"/>
        <v>FASE II</v>
      </c>
      <c r="R391" s="155">
        <f t="shared" si="99"/>
        <v>17</v>
      </c>
      <c r="S391" s="156">
        <f t="shared" ref="S391:S454" si="101">MAX(P391,H391,K391)</f>
        <v>93666</v>
      </c>
      <c r="T391" s="156">
        <f t="shared" ref="T391:T454" si="102">ROUND(R391*S391,2)</f>
        <v>1592322</v>
      </c>
    </row>
    <row r="392" spans="1:20" s="9" customFormat="1" ht="35.1" customHeight="1" x14ac:dyDescent="0.25">
      <c r="A392" s="215"/>
      <c r="B392" s="255" t="s">
        <v>526</v>
      </c>
      <c r="C392" s="254" t="s">
        <v>527</v>
      </c>
      <c r="D392" s="255" t="s">
        <v>374</v>
      </c>
      <c r="E392" s="242">
        <v>4</v>
      </c>
      <c r="F392" s="242">
        <f t="shared" si="96"/>
        <v>1</v>
      </c>
      <c r="G392" s="242">
        <f t="shared" si="97"/>
        <v>5</v>
      </c>
      <c r="H392" s="243">
        <v>104001</v>
      </c>
      <c r="I392" s="243">
        <f t="shared" si="98"/>
        <v>520005</v>
      </c>
      <c r="J392" s="8"/>
      <c r="K392" s="8">
        <f t="shared" si="95"/>
        <v>105613</v>
      </c>
      <c r="L392" s="8">
        <f t="shared" si="100"/>
        <v>422452</v>
      </c>
      <c r="M392" s="9" t="str">
        <f t="array" ref="M392:P392">_xlfn.XLOOKUP(B392,'Neiva 2022 FASE I ACTUAL (5)'!$B$6:$B$540,'Neiva 2022 FASE I ACTUAL (5)'!$C$6:$F$540,"NO ESTA")</f>
        <v>SUMINISTRO E INSTALACIÓN SALIDA PARA SENSOR DE MOVIEMIENTO DE TECHO</v>
      </c>
      <c r="N392" s="9" t="str">
        <v>UN</v>
      </c>
      <c r="O392" s="9">
        <v>1</v>
      </c>
      <c r="P392" s="9">
        <v>99806</v>
      </c>
      <c r="Q392" s="124" t="str">
        <f t="shared" ref="Q392:Q455" si="103">IF(P392=0,0,(IF(H392&lt;P392, "FASE I","FASE II")))</f>
        <v>FASE II</v>
      </c>
      <c r="R392" s="155">
        <f t="shared" si="99"/>
        <v>5</v>
      </c>
      <c r="S392" s="156">
        <f t="shared" si="101"/>
        <v>105613</v>
      </c>
      <c r="T392" s="156">
        <f t="shared" si="102"/>
        <v>528065</v>
      </c>
    </row>
    <row r="393" spans="1:20" s="9" customFormat="1" ht="35.1" customHeight="1" x14ac:dyDescent="0.25">
      <c r="A393" s="215"/>
      <c r="B393" s="255" t="s">
        <v>528</v>
      </c>
      <c r="C393" s="254" t="s">
        <v>529</v>
      </c>
      <c r="D393" s="255" t="s">
        <v>269</v>
      </c>
      <c r="E393" s="242">
        <v>474</v>
      </c>
      <c r="F393" s="242">
        <f t="shared" si="96"/>
        <v>176</v>
      </c>
      <c r="G393" s="242">
        <f t="shared" si="97"/>
        <v>650</v>
      </c>
      <c r="H393" s="243">
        <v>1731</v>
      </c>
      <c r="I393" s="243">
        <f t="shared" si="98"/>
        <v>1125150</v>
      </c>
      <c r="J393" s="8"/>
      <c r="K393" s="8">
        <f t="shared" si="95"/>
        <v>1758</v>
      </c>
      <c r="L393" s="8">
        <f t="shared" si="100"/>
        <v>833292</v>
      </c>
      <c r="M393" s="9" t="str">
        <f t="array" ref="M393:P393">_xlfn.XLOOKUP(B393,'Neiva 2022 FASE I ACTUAL (5)'!$B$6:$B$540,'Neiva 2022 FASE I ACTUAL (5)'!$C$6:$F$540,"NO ESTA")</f>
        <v xml:space="preserve">SUMINISTRO E INSTALACIÓN SALIDAS PARCIALES DE CIRCUITO PARA SALIDAS DE ALUMBRADO Y TOMACORIRIENTE DE USO NORMAL EN CABLE #12 AWG THHN/THWN, DESDE EL TABLERO DE AUTOMATICOS POR EL DUCTO PORTACABLES HASTA LOS PRIMEROS PUNTOS DE DERIVACIÓN. </v>
      </c>
      <c r="N393" s="9" t="str">
        <v xml:space="preserve">ML   </v>
      </c>
      <c r="O393" s="9">
        <v>176</v>
      </c>
      <c r="P393" s="9">
        <v>1662</v>
      </c>
      <c r="Q393" s="124" t="str">
        <f t="shared" si="103"/>
        <v>FASE II</v>
      </c>
      <c r="R393" s="155">
        <f t="shared" si="99"/>
        <v>650</v>
      </c>
      <c r="S393" s="156">
        <f t="shared" si="101"/>
        <v>1758</v>
      </c>
      <c r="T393" s="156">
        <f t="shared" si="102"/>
        <v>1142700</v>
      </c>
    </row>
    <row r="394" spans="1:20" s="9" customFormat="1" ht="35.1" customHeight="1" x14ac:dyDescent="0.25">
      <c r="A394" s="215"/>
      <c r="B394" s="283" t="s">
        <v>530</v>
      </c>
      <c r="C394" s="256" t="s">
        <v>531</v>
      </c>
      <c r="D394" s="256"/>
      <c r="E394" s="246"/>
      <c r="F394" s="246"/>
      <c r="G394" s="246"/>
      <c r="H394" s="303"/>
      <c r="I394" s="246"/>
      <c r="J394" s="8"/>
      <c r="K394" s="8">
        <f t="shared" si="95"/>
        <v>0</v>
      </c>
      <c r="L394" s="8">
        <f t="shared" si="100"/>
        <v>0</v>
      </c>
      <c r="M394" s="9" t="str">
        <f t="array" ref="M394:P394">_xlfn.XLOOKUP(B394,'Neiva 2022 FASE I ACTUAL (5)'!$B$6:$B$540,'Neiva 2022 FASE I ACTUAL (5)'!$C$6:$F$540,"NO ESTA")</f>
        <v xml:space="preserve">SUMINISTRO E INSTALACIÓN SALIDAS PARA TOMACORRIENTES USO NORMAL EN TUBERIA PVC INCRUSTRADA </v>
      </c>
      <c r="N394" s="9">
        <v>0</v>
      </c>
      <c r="O394" s="9">
        <v>0</v>
      </c>
      <c r="P394" s="9">
        <v>0</v>
      </c>
      <c r="Q394" s="124">
        <f t="shared" si="103"/>
        <v>0</v>
      </c>
      <c r="R394" s="155">
        <f t="shared" si="99"/>
        <v>0</v>
      </c>
      <c r="S394" s="156">
        <f t="shared" si="101"/>
        <v>0</v>
      </c>
      <c r="T394" s="156">
        <f t="shared" si="102"/>
        <v>0</v>
      </c>
    </row>
    <row r="395" spans="1:20" s="9" customFormat="1" ht="35.1" customHeight="1" x14ac:dyDescent="0.25">
      <c r="A395" s="215"/>
      <c r="B395" s="255" t="s">
        <v>532</v>
      </c>
      <c r="C395" s="254" t="s">
        <v>533</v>
      </c>
      <c r="D395" s="255" t="s">
        <v>284</v>
      </c>
      <c r="E395" s="242">
        <v>264</v>
      </c>
      <c r="F395" s="242">
        <f>+O395</f>
        <v>97</v>
      </c>
      <c r="G395" s="242">
        <f>+F395+E395</f>
        <v>361</v>
      </c>
      <c r="H395" s="243">
        <v>83806</v>
      </c>
      <c r="I395" s="243">
        <f>ROUND(+H395*G395,2)</f>
        <v>30253966</v>
      </c>
      <c r="J395" s="8"/>
      <c r="K395" s="8">
        <f t="shared" si="95"/>
        <v>85105</v>
      </c>
      <c r="L395" s="8">
        <f t="shared" si="100"/>
        <v>22467720</v>
      </c>
      <c r="M395" s="9" t="str">
        <f t="array" ref="M395:P395">_xlfn.XLOOKUP(B395,'Neiva 2022 FASE I ACTUAL (5)'!$B$6:$B$540,'Neiva 2022 FASE I ACTUAL (5)'!$C$6:$F$540,"NO ESTA")</f>
        <v>SUMINISTRO E INSTALACIÓN SALIDA PARA TOMACORRIENTE DOBLE MONOFÁSICO CON POLO A TIERRA</v>
      </c>
      <c r="N395" s="9" t="str">
        <v xml:space="preserve">UN   </v>
      </c>
      <c r="O395" s="9">
        <v>97</v>
      </c>
      <c r="P395" s="9">
        <v>80427</v>
      </c>
      <c r="Q395" s="124" t="str">
        <f t="shared" si="103"/>
        <v>FASE II</v>
      </c>
      <c r="R395" s="155">
        <f t="shared" si="99"/>
        <v>361</v>
      </c>
      <c r="S395" s="156">
        <f t="shared" si="101"/>
        <v>85105</v>
      </c>
      <c r="T395" s="156">
        <f t="shared" si="102"/>
        <v>30722905</v>
      </c>
    </row>
    <row r="396" spans="1:20" s="9" customFormat="1" ht="35.1" customHeight="1" x14ac:dyDescent="0.25">
      <c r="A396" s="215"/>
      <c r="B396" s="255" t="s">
        <v>534</v>
      </c>
      <c r="C396" s="254" t="s">
        <v>535</v>
      </c>
      <c r="D396" s="255" t="s">
        <v>284</v>
      </c>
      <c r="E396" s="242">
        <v>5</v>
      </c>
      <c r="F396" s="242">
        <f>+O396</f>
        <v>2</v>
      </c>
      <c r="G396" s="242">
        <f>+F396+E396</f>
        <v>7</v>
      </c>
      <c r="H396" s="243">
        <v>113292</v>
      </c>
      <c r="I396" s="243">
        <f>ROUND(+H396*G396,2)</f>
        <v>793044</v>
      </c>
      <c r="J396" s="8"/>
      <c r="K396" s="8">
        <f t="shared" si="95"/>
        <v>115048</v>
      </c>
      <c r="L396" s="8">
        <f t="shared" si="100"/>
        <v>575240</v>
      </c>
      <c r="M396" s="9" t="str">
        <f t="array" ref="M396:P396">_xlfn.XLOOKUP(B396,'Neiva 2022 FASE I ACTUAL (5)'!$B$6:$B$540,'Neiva 2022 FASE I ACTUAL (5)'!$C$6:$F$540,"NO ESTA")</f>
        <v>SUMINISTRO E INSTALACIÓN SALIDA PARA TOMACORRIENTE DOBLE TIPO GFCI COLOR BLANCO MONOFÁSICODE MURO CON POLO A TIERRA</v>
      </c>
      <c r="N396" s="9" t="str">
        <v xml:space="preserve">UN   </v>
      </c>
      <c r="O396" s="9">
        <v>2</v>
      </c>
      <c r="P396" s="9">
        <v>108723</v>
      </c>
      <c r="Q396" s="124" t="str">
        <f t="shared" si="103"/>
        <v>FASE II</v>
      </c>
      <c r="R396" s="155">
        <f t="shared" si="99"/>
        <v>7</v>
      </c>
      <c r="S396" s="156">
        <f t="shared" si="101"/>
        <v>115048</v>
      </c>
      <c r="T396" s="156">
        <f t="shared" si="102"/>
        <v>805336</v>
      </c>
    </row>
    <row r="397" spans="1:20" s="9" customFormat="1" ht="35.1" customHeight="1" x14ac:dyDescent="0.25">
      <c r="A397" s="215"/>
      <c r="B397" s="255" t="s">
        <v>536</v>
      </c>
      <c r="C397" s="254" t="s">
        <v>537</v>
      </c>
      <c r="D397" s="255" t="s">
        <v>284</v>
      </c>
      <c r="E397" s="242">
        <v>18</v>
      </c>
      <c r="F397" s="242">
        <f>+O397</f>
        <v>7</v>
      </c>
      <c r="G397" s="242">
        <f>+F397+E397</f>
        <v>25</v>
      </c>
      <c r="H397" s="243">
        <v>84810</v>
      </c>
      <c r="I397" s="243">
        <f>ROUND(+H397*G397,2)</f>
        <v>2120250</v>
      </c>
      <c r="J397" s="8"/>
      <c r="K397" s="8">
        <f t="shared" si="95"/>
        <v>86125</v>
      </c>
      <c r="L397" s="8">
        <f t="shared" si="100"/>
        <v>1550250</v>
      </c>
      <c r="M397" s="9" t="str">
        <f t="array" ref="M397:P397">_xlfn.XLOOKUP(B397,'Neiva 2022 FASE I ACTUAL (5)'!$B$6:$B$540,'Neiva 2022 FASE I ACTUAL (5)'!$C$6:$F$540,"NO ESTA")</f>
        <v>SUMINISTRO E INSTALACIÓN SALIDA PARA SECADOR 20A-120V a 1.2 METROS DE ALTURA</v>
      </c>
      <c r="N397" s="9" t="str">
        <v xml:space="preserve">UN   </v>
      </c>
      <c r="O397" s="9">
        <v>7</v>
      </c>
      <c r="P397" s="9">
        <v>81390</v>
      </c>
      <c r="Q397" s="124" t="str">
        <f t="shared" si="103"/>
        <v>FASE II</v>
      </c>
      <c r="R397" s="155">
        <f t="shared" si="99"/>
        <v>25</v>
      </c>
      <c r="S397" s="156">
        <f t="shared" si="101"/>
        <v>86125</v>
      </c>
      <c r="T397" s="156">
        <f t="shared" si="102"/>
        <v>2153125</v>
      </c>
    </row>
    <row r="398" spans="1:20" s="9" customFormat="1" ht="35.1" customHeight="1" x14ac:dyDescent="0.25">
      <c r="A398" s="215"/>
      <c r="B398" s="255" t="s">
        <v>538</v>
      </c>
      <c r="C398" s="87" t="s">
        <v>539</v>
      </c>
      <c r="D398" s="255" t="s">
        <v>284</v>
      </c>
      <c r="E398" s="242">
        <v>3</v>
      </c>
      <c r="F398" s="242">
        <f>+O398</f>
        <v>1</v>
      </c>
      <c r="G398" s="242">
        <f>+F398+E398</f>
        <v>4</v>
      </c>
      <c r="H398" s="243">
        <v>102765</v>
      </c>
      <c r="I398" s="243">
        <f>ROUND(+H398*G398,2)</f>
        <v>411060</v>
      </c>
      <c r="J398" s="8"/>
      <c r="K398" s="8">
        <f t="shared" si="95"/>
        <v>104358</v>
      </c>
      <c r="L398" s="8">
        <f t="shared" si="100"/>
        <v>313074</v>
      </c>
      <c r="M398" s="9" t="str">
        <f t="array" ref="M398:P398">_xlfn.XLOOKUP(B398,'Neiva 2022 FASE I ACTUAL (5)'!$B$6:$B$540,'Neiva 2022 FASE I ACTUAL (5)'!$C$6:$F$540,"NO ESTA")</f>
        <v>SUMINISTRO E INSTALACIÓN SALIDA PARA TOMA TRIFÁSICA 208v 3FASES EN CAFETERIA</v>
      </c>
      <c r="N398" s="9" t="str">
        <v xml:space="preserve">UN   </v>
      </c>
      <c r="O398" s="9">
        <v>1</v>
      </c>
      <c r="P398" s="9">
        <v>98621</v>
      </c>
      <c r="Q398" s="124" t="str">
        <f t="shared" si="103"/>
        <v>FASE II</v>
      </c>
      <c r="R398" s="155">
        <f t="shared" si="99"/>
        <v>4</v>
      </c>
      <c r="S398" s="156">
        <f t="shared" si="101"/>
        <v>104358</v>
      </c>
      <c r="T398" s="156">
        <f t="shared" si="102"/>
        <v>417432</v>
      </c>
    </row>
    <row r="399" spans="1:20" s="9" customFormat="1" ht="35.1" customHeight="1" x14ac:dyDescent="0.25">
      <c r="A399" s="215"/>
      <c r="B399" s="255" t="s">
        <v>540</v>
      </c>
      <c r="C399" s="254" t="s">
        <v>541</v>
      </c>
      <c r="D399" s="255" t="s">
        <v>269</v>
      </c>
      <c r="E399" s="242">
        <v>985</v>
      </c>
      <c r="F399" s="242">
        <f>+O399</f>
        <v>365</v>
      </c>
      <c r="G399" s="242">
        <f>+F399+E399</f>
        <v>1350</v>
      </c>
      <c r="H399" s="243">
        <v>1731</v>
      </c>
      <c r="I399" s="243">
        <f>ROUND(+H399*G399,2)</f>
        <v>2336850</v>
      </c>
      <c r="J399" s="8"/>
      <c r="K399" s="8">
        <f t="shared" si="95"/>
        <v>1758</v>
      </c>
      <c r="L399" s="8">
        <f t="shared" si="100"/>
        <v>1731630</v>
      </c>
      <c r="M399" s="9" t="str">
        <f t="array" ref="M399:P399">_xlfn.XLOOKUP(B399,'Neiva 2022 FASE I ACTUAL (5)'!$B$6:$B$540,'Neiva 2022 FASE I ACTUAL (5)'!$C$6:$F$540,"NO ESTA")</f>
        <v xml:space="preserve">SUMINISTRO E INSTALACIÓN SALIDAS PARCIALES DE CIRCUITO PARA TOMACORIRIENTE DE USO NORMAL EN CABLE #12 AWG THHN/THWN, DESDE EL TABLERO DE AUTOMATICOS POR EL DUCTO PORTACABLES HASTA LOS PRIMEROS PUNTOS DE DERIVACIÓN. </v>
      </c>
      <c r="N399" s="9" t="str">
        <v xml:space="preserve">ML   </v>
      </c>
      <c r="O399" s="9">
        <v>365</v>
      </c>
      <c r="P399" s="9">
        <v>1662</v>
      </c>
      <c r="Q399" s="124" t="str">
        <f t="shared" si="103"/>
        <v>FASE II</v>
      </c>
      <c r="R399" s="155">
        <f t="shared" si="99"/>
        <v>1350</v>
      </c>
      <c r="S399" s="156">
        <f t="shared" si="101"/>
        <v>1758</v>
      </c>
      <c r="T399" s="156">
        <f t="shared" si="102"/>
        <v>2373300</v>
      </c>
    </row>
    <row r="400" spans="1:20" s="9" customFormat="1" ht="35.1" customHeight="1" x14ac:dyDescent="0.25">
      <c r="A400" s="215"/>
      <c r="B400" s="283" t="s">
        <v>542</v>
      </c>
      <c r="C400" s="256" t="s">
        <v>543</v>
      </c>
      <c r="D400" s="256"/>
      <c r="E400" s="246"/>
      <c r="F400" s="246"/>
      <c r="G400" s="246"/>
      <c r="H400" s="303"/>
      <c r="I400" s="246"/>
      <c r="J400" s="8"/>
      <c r="K400" s="8">
        <f t="shared" si="95"/>
        <v>0</v>
      </c>
      <c r="L400" s="8">
        <f t="shared" si="100"/>
        <v>0</v>
      </c>
      <c r="M400" s="9" t="str">
        <f t="array" ref="M400:P400">_xlfn.XLOOKUP(B400,'Neiva 2022 FASE I ACTUAL (5)'!$B$6:$B$540,'Neiva 2022 FASE I ACTUAL (5)'!$C$6:$F$540,"NO ESTA")</f>
        <v xml:space="preserve">SUMINISTRO E INSTALACIÓN SALIDAS PARA TOMACORRIENTES USO REGULADO EN TUBERIA PVC INCRUSTRADA </v>
      </c>
      <c r="N400" s="9">
        <v>0</v>
      </c>
      <c r="O400" s="9">
        <v>0</v>
      </c>
      <c r="P400" s="9">
        <v>0</v>
      </c>
      <c r="Q400" s="124">
        <f t="shared" si="103"/>
        <v>0</v>
      </c>
      <c r="R400" s="155">
        <f t="shared" si="99"/>
        <v>0</v>
      </c>
      <c r="S400" s="156">
        <f t="shared" si="101"/>
        <v>0</v>
      </c>
      <c r="T400" s="156">
        <f t="shared" si="102"/>
        <v>0</v>
      </c>
    </row>
    <row r="401" spans="1:20" s="9" customFormat="1" ht="35.1" customHeight="1" x14ac:dyDescent="0.25">
      <c r="A401" s="215"/>
      <c r="B401" s="255" t="s">
        <v>544</v>
      </c>
      <c r="C401" s="87" t="s">
        <v>545</v>
      </c>
      <c r="D401" s="255" t="s">
        <v>374</v>
      </c>
      <c r="E401" s="242">
        <v>39</v>
      </c>
      <c r="F401" s="242">
        <f>+O401</f>
        <v>15</v>
      </c>
      <c r="G401" s="242">
        <f>+F401+E401</f>
        <v>54</v>
      </c>
      <c r="H401" s="243">
        <v>123968</v>
      </c>
      <c r="I401" s="243">
        <f>ROUND(+H401*G401,2)</f>
        <v>6694272</v>
      </c>
      <c r="J401" s="8"/>
      <c r="K401" s="8">
        <f t="shared" si="95"/>
        <v>125890</v>
      </c>
      <c r="L401" s="8">
        <f t="shared" si="100"/>
        <v>4909710</v>
      </c>
      <c r="M401" s="9" t="str">
        <f t="array" ref="M401:P401">_xlfn.XLOOKUP(B401,'Neiva 2022 FASE I ACTUAL (5)'!$B$6:$B$540,'Neiva 2022 FASE I ACTUAL (5)'!$C$6:$F$540,"NO ESTA")</f>
        <v>SUMINISTRO E INSTALACIÓN SALIDA PARA TOMACORRIENTE DOBLE DE COLOR NARAJA, PARA INSTALAR EN MURO</v>
      </c>
      <c r="N401" s="9" t="str">
        <v>UN</v>
      </c>
      <c r="O401" s="9">
        <v>15</v>
      </c>
      <c r="P401" s="9">
        <v>118969</v>
      </c>
      <c r="Q401" s="124" t="str">
        <f t="shared" si="103"/>
        <v>FASE II</v>
      </c>
      <c r="R401" s="155">
        <f t="shared" si="99"/>
        <v>54</v>
      </c>
      <c r="S401" s="156">
        <f t="shared" si="101"/>
        <v>125890</v>
      </c>
      <c r="T401" s="156">
        <f t="shared" si="102"/>
        <v>6798060</v>
      </c>
    </row>
    <row r="402" spans="1:20" s="9" customFormat="1" ht="35.1" customHeight="1" x14ac:dyDescent="0.25">
      <c r="A402" s="215"/>
      <c r="B402" s="255" t="s">
        <v>546</v>
      </c>
      <c r="C402" s="87" t="s">
        <v>547</v>
      </c>
      <c r="D402" s="255" t="s">
        <v>374</v>
      </c>
      <c r="E402" s="242">
        <v>80</v>
      </c>
      <c r="F402" s="242">
        <f>+O402</f>
        <v>29</v>
      </c>
      <c r="G402" s="242">
        <f>+F402+E402</f>
        <v>109</v>
      </c>
      <c r="H402" s="243">
        <v>114268</v>
      </c>
      <c r="I402" s="243">
        <f>ROUND(+H402*G402,2)</f>
        <v>12455212</v>
      </c>
      <c r="J402" s="8"/>
      <c r="K402" s="8">
        <f t="shared" si="95"/>
        <v>116039</v>
      </c>
      <c r="L402" s="8">
        <f t="shared" si="100"/>
        <v>9283120</v>
      </c>
      <c r="M402" s="9" t="str">
        <f t="array" ref="M402:P402">_xlfn.XLOOKUP(B402,'Neiva 2022 FASE I ACTUAL (5)'!$B$6:$B$540,'Neiva 2022 FASE I ACTUAL (5)'!$C$6:$F$540,"NO ESTA")</f>
        <v xml:space="preserve">SUMINISTRO E INSTALACIÓN SALIDA PARA TOMACORRIENTE DOBLE DE COLOR NARAJA, PARA INSTALAR EN CANALETA PERIMETRAL </v>
      </c>
      <c r="N402" s="9" t="str">
        <v>UN</v>
      </c>
      <c r="O402" s="9">
        <v>29</v>
      </c>
      <c r="P402" s="9">
        <v>109659</v>
      </c>
      <c r="Q402" s="124" t="str">
        <f t="shared" si="103"/>
        <v>FASE II</v>
      </c>
      <c r="R402" s="155">
        <f t="shared" si="99"/>
        <v>109</v>
      </c>
      <c r="S402" s="156">
        <f t="shared" si="101"/>
        <v>116039</v>
      </c>
      <c r="T402" s="156">
        <f t="shared" si="102"/>
        <v>12648251</v>
      </c>
    </row>
    <row r="403" spans="1:20" s="9" customFormat="1" ht="35.1" customHeight="1" x14ac:dyDescent="0.25">
      <c r="A403" s="215"/>
      <c r="B403" s="255" t="s">
        <v>548</v>
      </c>
      <c r="C403" s="87" t="s">
        <v>549</v>
      </c>
      <c r="D403" s="255" t="s">
        <v>269</v>
      </c>
      <c r="E403" s="242">
        <v>36</v>
      </c>
      <c r="F403" s="242">
        <f>+O403</f>
        <v>14</v>
      </c>
      <c r="G403" s="242">
        <f>+F403+E403</f>
        <v>50</v>
      </c>
      <c r="H403" s="243">
        <v>11607</v>
      </c>
      <c r="I403" s="243">
        <f>ROUND(+H403*G403,2)</f>
        <v>580350</v>
      </c>
      <c r="J403" s="8"/>
      <c r="K403" s="8">
        <f t="shared" si="95"/>
        <v>11787</v>
      </c>
      <c r="L403" s="8">
        <f t="shared" si="100"/>
        <v>424332</v>
      </c>
      <c r="M403" s="9" t="str">
        <f t="array" ref="M403:P403">_xlfn.XLOOKUP(B403,'Neiva 2022 FASE I ACTUAL (5)'!$B$6:$B$540,'Neiva 2022 FASE I ACTUAL (5)'!$C$6:$F$540,"NO ESTA")</f>
        <v>SUMINISTRO E INSTALACIÓN INTERCONEXIÓN ENTRE EL DUCTO PORTACABLES Y LA CANALETA PERIMETRAL EN ø 1 1/2" CON 4#12 AWG THHN/THWN</v>
      </c>
      <c r="N403" s="9" t="str">
        <v xml:space="preserve">ML   </v>
      </c>
      <c r="O403" s="9">
        <v>14</v>
      </c>
      <c r="P403" s="9">
        <v>11140</v>
      </c>
      <c r="Q403" s="124" t="str">
        <f t="shared" si="103"/>
        <v>FASE II</v>
      </c>
      <c r="R403" s="155">
        <f t="shared" si="99"/>
        <v>50</v>
      </c>
      <c r="S403" s="156">
        <f t="shared" si="101"/>
        <v>11787</v>
      </c>
      <c r="T403" s="156">
        <f t="shared" si="102"/>
        <v>589350</v>
      </c>
    </row>
    <row r="404" spans="1:20" s="9" customFormat="1" ht="35.1" customHeight="1" x14ac:dyDescent="0.25">
      <c r="A404" s="215"/>
      <c r="B404" s="255" t="s">
        <v>550</v>
      </c>
      <c r="C404" s="87" t="s">
        <v>551</v>
      </c>
      <c r="D404" s="255" t="s">
        <v>269</v>
      </c>
      <c r="E404" s="242">
        <v>1496</v>
      </c>
      <c r="F404" s="242">
        <f>+O404</f>
        <v>554</v>
      </c>
      <c r="G404" s="242">
        <f>+F404+E404</f>
        <v>2050</v>
      </c>
      <c r="H404" s="243">
        <v>1731</v>
      </c>
      <c r="I404" s="243">
        <f>ROUND(+H404*G404,2)</f>
        <v>3548550</v>
      </c>
      <c r="J404" s="8"/>
      <c r="K404" s="8">
        <f t="shared" si="95"/>
        <v>1758</v>
      </c>
      <c r="L404" s="8">
        <f t="shared" si="100"/>
        <v>2629968</v>
      </c>
      <c r="M404" s="9" t="str">
        <f t="array" ref="M404:P404">_xlfn.XLOOKUP(B404,'Neiva 2022 FASE I ACTUAL (5)'!$B$6:$B$540,'Neiva 2022 FASE I ACTUAL (5)'!$C$6:$F$540,"NO ESTA")</f>
        <v xml:space="preserve">SUMINISTRO E INSTALACIÓN SALIDAS PARCIALES DE CIRCUITO PARA TOMACORIRIENTE DE USO REGULADO EN CABLE #12 AWG THHN/THWN, DESDE EL TABLERO DE AUTOMATICOS POR EL DUCTO PORTACABLES HASTA LOS PRIMEROS PUNTOS DE DERIVACIÓN. </v>
      </c>
      <c r="N404" s="9" t="str">
        <v xml:space="preserve">ML   </v>
      </c>
      <c r="O404" s="9">
        <v>554</v>
      </c>
      <c r="P404" s="9">
        <v>1662</v>
      </c>
      <c r="Q404" s="124" t="str">
        <f t="shared" si="103"/>
        <v>FASE II</v>
      </c>
      <c r="R404" s="155">
        <f t="shared" si="99"/>
        <v>2050</v>
      </c>
      <c r="S404" s="156">
        <f t="shared" si="101"/>
        <v>1758</v>
      </c>
      <c r="T404" s="156">
        <f t="shared" si="102"/>
        <v>3603900</v>
      </c>
    </row>
    <row r="405" spans="1:20" s="9" customFormat="1" ht="35.1" customHeight="1" x14ac:dyDescent="0.25">
      <c r="A405" s="215"/>
      <c r="B405" s="266">
        <v>15</v>
      </c>
      <c r="C405" s="267" t="s">
        <v>552</v>
      </c>
      <c r="D405" s="267"/>
      <c r="E405" s="268"/>
      <c r="F405" s="268"/>
      <c r="G405" s="268"/>
      <c r="H405" s="306"/>
      <c r="I405" s="268"/>
      <c r="J405" s="8"/>
      <c r="K405" s="8">
        <f t="shared" si="95"/>
        <v>0</v>
      </c>
      <c r="L405" s="8">
        <f t="shared" si="100"/>
        <v>0</v>
      </c>
      <c r="M405" s="9" t="str">
        <f t="array" ref="M405:P405">_xlfn.XLOOKUP(B405,'Neiva 2022 FASE I ACTUAL (5)'!$B$6:$B$540,'Neiva 2022 FASE I ACTUAL (5)'!$C$6:$F$540,"NO ESTA")</f>
        <v>DUCTOS, ACOMETIDAS, TABLEROS, PUESTA A TIERRA, PARARRAYOS Y PLANTA ELÉCTRICA</v>
      </c>
      <c r="N405" s="9">
        <v>0</v>
      </c>
      <c r="O405" s="9">
        <v>0</v>
      </c>
      <c r="P405" s="9">
        <v>0</v>
      </c>
      <c r="Q405" s="124">
        <f t="shared" si="103"/>
        <v>0</v>
      </c>
      <c r="R405" s="155">
        <f t="shared" si="99"/>
        <v>0</v>
      </c>
      <c r="S405" s="156">
        <f t="shared" si="101"/>
        <v>0</v>
      </c>
      <c r="T405" s="156">
        <f t="shared" si="102"/>
        <v>0</v>
      </c>
    </row>
    <row r="406" spans="1:20" s="9" customFormat="1" ht="35.1" customHeight="1" x14ac:dyDescent="0.25">
      <c r="A406" s="215"/>
      <c r="B406" s="289" t="s">
        <v>553</v>
      </c>
      <c r="C406" s="256" t="s">
        <v>554</v>
      </c>
      <c r="D406" s="256"/>
      <c r="E406" s="246"/>
      <c r="F406" s="246"/>
      <c r="G406" s="246"/>
      <c r="H406" s="303"/>
      <c r="I406" s="246"/>
      <c r="J406" s="8"/>
      <c r="K406" s="8">
        <f t="shared" si="95"/>
        <v>0</v>
      </c>
      <c r="L406" s="8">
        <f t="shared" si="100"/>
        <v>0</v>
      </c>
      <c r="M406" s="9" t="str">
        <f t="array" ref="M406:P406">_xlfn.XLOOKUP(B406,'Neiva 2022 FASE I ACTUAL (5)'!$B$6:$B$540,'Neiva 2022 FASE I ACTUAL (5)'!$C$6:$F$540,"NO ESTA")</f>
        <v>SUMINISTRO E INSTALACIÓN DE DUCTOS PORTACABLES</v>
      </c>
      <c r="N406" s="9">
        <v>0</v>
      </c>
      <c r="O406" s="9">
        <v>0</v>
      </c>
      <c r="P406" s="9">
        <v>0</v>
      </c>
      <c r="Q406" s="124">
        <f t="shared" si="103"/>
        <v>0</v>
      </c>
      <c r="R406" s="155">
        <f t="shared" si="99"/>
        <v>0</v>
      </c>
      <c r="S406" s="156">
        <f t="shared" si="101"/>
        <v>0</v>
      </c>
      <c r="T406" s="156">
        <f t="shared" si="102"/>
        <v>0</v>
      </c>
    </row>
    <row r="407" spans="1:20" s="9" customFormat="1" ht="35.1" customHeight="1" x14ac:dyDescent="0.25">
      <c r="A407" s="215"/>
      <c r="B407" s="255" t="s">
        <v>555</v>
      </c>
      <c r="C407" s="87" t="s">
        <v>556</v>
      </c>
      <c r="D407" s="255" t="s">
        <v>269</v>
      </c>
      <c r="E407" s="242">
        <v>194</v>
      </c>
      <c r="F407" s="242">
        <f t="shared" ref="F407:F412" si="104">+O407</f>
        <v>72</v>
      </c>
      <c r="G407" s="242">
        <f t="shared" ref="G407:G412" si="105">+F407+E407</f>
        <v>266</v>
      </c>
      <c r="H407" s="243">
        <v>106926</v>
      </c>
      <c r="I407" s="243">
        <f t="shared" ref="I407:I412" si="106">ROUND(+H407*G407,2)</f>
        <v>28442316</v>
      </c>
      <c r="J407" s="8"/>
      <c r="K407" s="8">
        <f t="shared" si="95"/>
        <v>108583</v>
      </c>
      <c r="L407" s="8">
        <f t="shared" si="100"/>
        <v>21065102</v>
      </c>
      <c r="M407" s="9" t="str">
        <f t="array" ref="M407:P407">_xlfn.XLOOKUP(B407,'Neiva 2022 FASE I ACTUAL (5)'!$B$6:$B$540,'Neiva 2022 FASE I ACTUAL (5)'!$C$6:$F$540,"NO ESTA")</f>
        <v>SUMINISTRO E INSTALACIÓN DUCTO PORTACABLES CERRADO PREVISTO PARA LA ALIMENTACIÓN DE CIRCUITOS ELÉCTRICOS DE ALUMBRADO, TOMACORRIENTES NORMALES Y REGULADOS CON DIVISIÓN PARA DATOS EN LÁMINA COLD ROLLED CAL. 18 DE SECCIÓN 30x10 cm CON TAPA CLIP T ACABADO ELECTROSTÁTICO GRIS NOPAL TEXTURIZADO</v>
      </c>
      <c r="N407" s="9" t="str">
        <v xml:space="preserve">ML   </v>
      </c>
      <c r="O407" s="9">
        <v>72</v>
      </c>
      <c r="P407" s="9">
        <v>102614</v>
      </c>
      <c r="Q407" s="124" t="str">
        <f t="shared" si="103"/>
        <v>FASE II</v>
      </c>
      <c r="R407" s="155">
        <f t="shared" si="99"/>
        <v>266</v>
      </c>
      <c r="S407" s="156">
        <f t="shared" si="101"/>
        <v>108583</v>
      </c>
      <c r="T407" s="156">
        <f t="shared" si="102"/>
        <v>28883078</v>
      </c>
    </row>
    <row r="408" spans="1:20" s="9" customFormat="1" ht="35.1" customHeight="1" x14ac:dyDescent="0.25">
      <c r="A408" s="215"/>
      <c r="B408" s="255" t="s">
        <v>557</v>
      </c>
      <c r="C408" s="254" t="s">
        <v>558</v>
      </c>
      <c r="D408" s="255" t="s">
        <v>284</v>
      </c>
      <c r="E408" s="242">
        <v>8</v>
      </c>
      <c r="F408" s="242">
        <f t="shared" si="104"/>
        <v>3</v>
      </c>
      <c r="G408" s="242">
        <f t="shared" si="105"/>
        <v>11</v>
      </c>
      <c r="H408" s="243">
        <v>137302</v>
      </c>
      <c r="I408" s="243">
        <f t="shared" si="106"/>
        <v>1510322</v>
      </c>
      <c r="J408" s="8"/>
      <c r="K408" s="8">
        <f t="shared" si="95"/>
        <v>139430</v>
      </c>
      <c r="L408" s="8">
        <f t="shared" si="100"/>
        <v>1115440</v>
      </c>
      <c r="M408" s="9" t="str">
        <f t="array" ref="M408:P408">_xlfn.XLOOKUP(B408,'Neiva 2022 FASE I ACTUAL (5)'!$B$6:$B$540,'Neiva 2022 FASE I ACTUAL (5)'!$C$6:$F$540,"NO ESTA")</f>
        <v>SUMINISTRO E INSTALACIÓN TÉE PARA DUCTO PORTACABLES TROQUELADO DE 30x10 cm</v>
      </c>
      <c r="N408" s="9" t="str">
        <v xml:space="preserve">UN   </v>
      </c>
      <c r="O408" s="9">
        <v>3</v>
      </c>
      <c r="P408" s="9">
        <v>131764</v>
      </c>
      <c r="Q408" s="124" t="str">
        <f t="shared" si="103"/>
        <v>FASE II</v>
      </c>
      <c r="R408" s="155">
        <f t="shared" si="99"/>
        <v>11</v>
      </c>
      <c r="S408" s="156">
        <f t="shared" si="101"/>
        <v>139430</v>
      </c>
      <c r="T408" s="156">
        <f t="shared" si="102"/>
        <v>1533730</v>
      </c>
    </row>
    <row r="409" spans="1:20" s="9" customFormat="1" ht="35.1" customHeight="1" x14ac:dyDescent="0.25">
      <c r="A409" s="215"/>
      <c r="B409" s="255" t="s">
        <v>559</v>
      </c>
      <c r="C409" s="254" t="s">
        <v>560</v>
      </c>
      <c r="D409" s="255" t="s">
        <v>284</v>
      </c>
      <c r="E409" s="242">
        <v>91</v>
      </c>
      <c r="F409" s="242">
        <f t="shared" si="104"/>
        <v>34</v>
      </c>
      <c r="G409" s="242">
        <f t="shared" si="105"/>
        <v>125</v>
      </c>
      <c r="H409" s="243">
        <v>30452</v>
      </c>
      <c r="I409" s="243">
        <f t="shared" si="106"/>
        <v>3806500</v>
      </c>
      <c r="J409" s="8"/>
      <c r="K409" s="8">
        <f t="shared" si="95"/>
        <v>30924</v>
      </c>
      <c r="L409" s="8">
        <f t="shared" si="100"/>
        <v>2814084</v>
      </c>
      <c r="M409" s="9" t="str">
        <f t="array" ref="M409:P409">_xlfn.XLOOKUP(B409,'Neiva 2022 FASE I ACTUAL (5)'!$B$6:$B$540,'Neiva 2022 FASE I ACTUAL (5)'!$C$6:$F$540,"NO ESTA")</f>
        <v>SUMINISTRO E INSTALACIÓN SOPORTES DE FIJACIÓN TIPO PELDAÑO DESCOLGADO PARA DUCTOS PORTACABLES TROQUELADO</v>
      </c>
      <c r="N409" s="9" t="str">
        <v xml:space="preserve">UN   </v>
      </c>
      <c r="O409" s="9">
        <v>34</v>
      </c>
      <c r="P409" s="9">
        <v>29224</v>
      </c>
      <c r="Q409" s="124" t="str">
        <f t="shared" si="103"/>
        <v>FASE II</v>
      </c>
      <c r="R409" s="155">
        <f t="shared" si="99"/>
        <v>125</v>
      </c>
      <c r="S409" s="156">
        <f t="shared" si="101"/>
        <v>30924</v>
      </c>
      <c r="T409" s="156">
        <f t="shared" si="102"/>
        <v>3865500</v>
      </c>
    </row>
    <row r="410" spans="1:20" s="9" customFormat="1" ht="35.1" customHeight="1" x14ac:dyDescent="0.25">
      <c r="A410" s="215"/>
      <c r="B410" s="255" t="s">
        <v>561</v>
      </c>
      <c r="C410" s="87" t="s">
        <v>562</v>
      </c>
      <c r="D410" s="255" t="s">
        <v>269</v>
      </c>
      <c r="E410" s="242">
        <v>67</v>
      </c>
      <c r="F410" s="242">
        <f t="shared" si="104"/>
        <v>25</v>
      </c>
      <c r="G410" s="242">
        <f t="shared" si="105"/>
        <v>92</v>
      </c>
      <c r="H410" s="243">
        <v>199045</v>
      </c>
      <c r="I410" s="243">
        <f t="shared" si="106"/>
        <v>18312140</v>
      </c>
      <c r="J410" s="8"/>
      <c r="K410" s="8">
        <f t="shared" si="95"/>
        <v>202130</v>
      </c>
      <c r="L410" s="8">
        <f t="shared" si="100"/>
        <v>13542710</v>
      </c>
      <c r="M410" s="9" t="str">
        <f t="array" ref="M410:P410">_xlfn.XLOOKUP(B410,'Neiva 2022 FASE I ACTUAL (5)'!$B$6:$B$540,'Neiva 2022 FASE I ACTUAL (5)'!$C$6:$F$540,"NO ESTA")</f>
        <v>SUMINISTRO E INSTALACIÓN DUCTO PORTACABLES CERRADO PREVISTO PARA LA ALIMENTACIÓN DE TABLEROS ELÉCTRICOS POR MEDIO DE ACOMETIDAS, CON DIVISIÓN PARA DATOS EN LÁMINA COLD ROLLED CAL. 18 DE SECCIÓN 100x30 cm CON TAPA CLIP T ACABADO ELECTROSTÁTICO GRIS NOPAL TEXTURIZADO</v>
      </c>
      <c r="N410" s="9" t="str">
        <v xml:space="preserve">ML   </v>
      </c>
      <c r="O410" s="9">
        <v>25</v>
      </c>
      <c r="P410" s="9">
        <v>191017</v>
      </c>
      <c r="Q410" s="124" t="str">
        <f t="shared" si="103"/>
        <v>FASE II</v>
      </c>
      <c r="R410" s="155">
        <f t="shared" si="99"/>
        <v>92</v>
      </c>
      <c r="S410" s="156">
        <f t="shared" si="101"/>
        <v>202130</v>
      </c>
      <c r="T410" s="156">
        <f t="shared" si="102"/>
        <v>18595960</v>
      </c>
    </row>
    <row r="411" spans="1:20" s="9" customFormat="1" ht="35.1" customHeight="1" x14ac:dyDescent="0.25">
      <c r="A411" s="215"/>
      <c r="B411" s="255" t="s">
        <v>563</v>
      </c>
      <c r="C411" s="254" t="s">
        <v>564</v>
      </c>
      <c r="D411" s="255" t="s">
        <v>284</v>
      </c>
      <c r="E411" s="242">
        <v>2</v>
      </c>
      <c r="F411" s="242">
        <f t="shared" si="104"/>
        <v>1</v>
      </c>
      <c r="G411" s="242">
        <f t="shared" si="105"/>
        <v>3</v>
      </c>
      <c r="H411" s="243">
        <v>164760</v>
      </c>
      <c r="I411" s="243">
        <f t="shared" si="106"/>
        <v>494280</v>
      </c>
      <c r="J411" s="8"/>
      <c r="K411" s="8">
        <f t="shared" si="95"/>
        <v>167314</v>
      </c>
      <c r="L411" s="8">
        <f t="shared" si="100"/>
        <v>334628</v>
      </c>
      <c r="M411" s="9" t="str">
        <f t="array" ref="M411:P411">_xlfn.XLOOKUP(B411,'Neiva 2022 FASE I ACTUAL (5)'!$B$6:$B$540,'Neiva 2022 FASE I ACTUAL (5)'!$C$6:$F$540,"NO ESTA")</f>
        <v>SUMINISTRO E INSTALACIÓN TÉE PARA DUCTO PORTACABLES TROQUELADO DE 100x30 cm</v>
      </c>
      <c r="N411" s="9" t="str">
        <v xml:space="preserve">UN   </v>
      </c>
      <c r="O411" s="9">
        <v>1</v>
      </c>
      <c r="P411" s="9">
        <v>158115</v>
      </c>
      <c r="Q411" s="124" t="str">
        <f t="shared" si="103"/>
        <v>FASE II</v>
      </c>
      <c r="R411" s="155">
        <f t="shared" si="99"/>
        <v>3</v>
      </c>
      <c r="S411" s="156">
        <f t="shared" si="101"/>
        <v>167314</v>
      </c>
      <c r="T411" s="156">
        <f t="shared" si="102"/>
        <v>501942</v>
      </c>
    </row>
    <row r="412" spans="1:20" s="9" customFormat="1" ht="35.1" customHeight="1" x14ac:dyDescent="0.25">
      <c r="A412" s="215"/>
      <c r="B412" s="255" t="s">
        <v>565</v>
      </c>
      <c r="C412" s="254" t="s">
        <v>566</v>
      </c>
      <c r="D412" s="255" t="s">
        <v>284</v>
      </c>
      <c r="E412" s="242">
        <v>34</v>
      </c>
      <c r="F412" s="242">
        <f t="shared" si="104"/>
        <v>12</v>
      </c>
      <c r="G412" s="242">
        <f t="shared" si="105"/>
        <v>46</v>
      </c>
      <c r="H412" s="243">
        <v>30452</v>
      </c>
      <c r="I412" s="243">
        <f t="shared" si="106"/>
        <v>1400792</v>
      </c>
      <c r="J412" s="8"/>
      <c r="K412" s="8">
        <f t="shared" si="95"/>
        <v>30924</v>
      </c>
      <c r="L412" s="8">
        <f t="shared" si="100"/>
        <v>1051416</v>
      </c>
      <c r="M412" s="9" t="str">
        <f t="array" ref="M412:P412">_xlfn.XLOOKUP(B412,'Neiva 2022 FASE I ACTUAL (5)'!$B$6:$B$540,'Neiva 2022 FASE I ACTUAL (5)'!$C$6:$F$540,"NO ESTA")</f>
        <v>SUMINISTRO E INSTALACIÓN SOPORTES DE FIJACIÓN TIPO PELDAÑO DESCOLGADO PARA DUCTO PORTACABLES TROQUELADO</v>
      </c>
      <c r="N412" s="9" t="str">
        <v xml:space="preserve">UN   </v>
      </c>
      <c r="O412" s="9">
        <v>12</v>
      </c>
      <c r="P412" s="9">
        <v>29224</v>
      </c>
      <c r="Q412" s="124" t="str">
        <f t="shared" si="103"/>
        <v>FASE II</v>
      </c>
      <c r="R412" s="155">
        <f t="shared" si="99"/>
        <v>46</v>
      </c>
      <c r="S412" s="156">
        <f t="shared" si="101"/>
        <v>30924</v>
      </c>
      <c r="T412" s="156">
        <f t="shared" si="102"/>
        <v>1422504</v>
      </c>
    </row>
    <row r="413" spans="1:20" s="9" customFormat="1" ht="35.1" customHeight="1" x14ac:dyDescent="0.25">
      <c r="A413" s="215"/>
      <c r="B413" s="289" t="s">
        <v>567</v>
      </c>
      <c r="C413" s="256" t="s">
        <v>568</v>
      </c>
      <c r="D413" s="256"/>
      <c r="E413" s="246"/>
      <c r="F413" s="246"/>
      <c r="G413" s="246"/>
      <c r="H413" s="303"/>
      <c r="I413" s="246"/>
      <c r="J413" s="8"/>
      <c r="K413" s="8">
        <f t="shared" si="95"/>
        <v>0</v>
      </c>
      <c r="L413" s="8">
        <f t="shared" si="100"/>
        <v>0</v>
      </c>
      <c r="M413" s="9" t="str">
        <f t="array" ref="M413:P413">_xlfn.XLOOKUP(B413,'Neiva 2022 FASE I ACTUAL (5)'!$B$6:$B$540,'Neiva 2022 FASE I ACTUAL (5)'!$C$6:$F$540,"NO ESTA")</f>
        <v>CANALETA PERIMETRAL MULTITOMA</v>
      </c>
      <c r="N413" s="9">
        <v>0</v>
      </c>
      <c r="O413" s="9">
        <v>0</v>
      </c>
      <c r="P413" s="9">
        <v>0</v>
      </c>
      <c r="Q413" s="124">
        <f t="shared" si="103"/>
        <v>0</v>
      </c>
      <c r="R413" s="155">
        <f t="shared" si="99"/>
        <v>0</v>
      </c>
      <c r="S413" s="156">
        <f t="shared" si="101"/>
        <v>0</v>
      </c>
      <c r="T413" s="156">
        <f t="shared" si="102"/>
        <v>0</v>
      </c>
    </row>
    <row r="414" spans="1:20" s="9" customFormat="1" ht="35.1" customHeight="1" x14ac:dyDescent="0.25">
      <c r="A414" s="215"/>
      <c r="B414" s="255" t="s">
        <v>569</v>
      </c>
      <c r="C414" s="254" t="s">
        <v>570</v>
      </c>
      <c r="D414" s="255" t="s">
        <v>269</v>
      </c>
      <c r="E414" s="242">
        <v>182</v>
      </c>
      <c r="F414" s="242">
        <f>+O414</f>
        <v>68</v>
      </c>
      <c r="G414" s="242">
        <f>+F414+E414</f>
        <v>250</v>
      </c>
      <c r="H414" s="243">
        <v>30305</v>
      </c>
      <c r="I414" s="243">
        <f>ROUND(+H414*G414,2)</f>
        <v>7576250</v>
      </c>
      <c r="J414" s="8"/>
      <c r="K414" s="8">
        <f t="shared" si="95"/>
        <v>30775</v>
      </c>
      <c r="L414" s="8">
        <f t="shared" si="100"/>
        <v>5601050</v>
      </c>
      <c r="M414" s="9" t="str">
        <f t="array" ref="M414:P414">_xlfn.XLOOKUP(B414,'Neiva 2022 FASE I ACTUAL (5)'!$B$6:$B$540,'Neiva 2022 FASE I ACTUAL (5)'!$C$6:$F$540,"NO ESTA")</f>
        <v>SUMINISTRO E INSTALACIÓN CANALETA MULTITOMA DE DOS COMPARTIMIENTOS EN LÁMINA COLD ROLLED CAL. 18 DE SECCIÓN 10x4 cm CON TAPA CLIP Y ACABADO ELECTROESTÁTICO GRIS NOPAL TEXTURIZADO</v>
      </c>
      <c r="N414" s="9" t="str">
        <v xml:space="preserve">ML   </v>
      </c>
      <c r="O414" s="9">
        <v>68</v>
      </c>
      <c r="P414" s="9">
        <v>29082</v>
      </c>
      <c r="Q414" s="124" t="str">
        <f t="shared" si="103"/>
        <v>FASE II</v>
      </c>
      <c r="R414" s="155">
        <f t="shared" si="99"/>
        <v>250</v>
      </c>
      <c r="S414" s="156">
        <f t="shared" si="101"/>
        <v>30775</v>
      </c>
      <c r="T414" s="156">
        <f t="shared" si="102"/>
        <v>7693750</v>
      </c>
    </row>
    <row r="415" spans="1:20" s="9" customFormat="1" ht="35.1" customHeight="1" x14ac:dyDescent="0.25">
      <c r="A415" s="215"/>
      <c r="B415" s="255" t="s">
        <v>571</v>
      </c>
      <c r="C415" s="254" t="s">
        <v>572</v>
      </c>
      <c r="D415" s="255" t="s">
        <v>374</v>
      </c>
      <c r="E415" s="242">
        <v>80</v>
      </c>
      <c r="F415" s="242">
        <f>+O415</f>
        <v>29</v>
      </c>
      <c r="G415" s="242">
        <f>+F415+E415</f>
        <v>109</v>
      </c>
      <c r="H415" s="243">
        <v>23645</v>
      </c>
      <c r="I415" s="243">
        <f>ROUND(+H415*G415,2)</f>
        <v>2577305</v>
      </c>
      <c r="J415" s="8"/>
      <c r="K415" s="8">
        <f t="shared" si="95"/>
        <v>24011</v>
      </c>
      <c r="L415" s="8">
        <f t="shared" si="100"/>
        <v>1920880</v>
      </c>
      <c r="M415" s="9" t="str">
        <f t="array" ref="M415:P415">_xlfn.XLOOKUP(B415,'Neiva 2022 FASE I ACTUAL (5)'!$B$6:$B$540,'Neiva 2022 FASE I ACTUAL (5)'!$C$6:$F$540,"NO ESTA")</f>
        <v>SUMINISTRO E INSTALACIÓN PLACA TOMA TROQUELADA PARA CANALETA 10x4 cm, CON PERFORACIONES PARA UNA (1) TOMA DOBLE COLOR BLANCO, UNA (1) TOMA DOBLE COLOR NARANJA Y UNA (1) TOMA RJ-45</v>
      </c>
      <c r="N415" s="9" t="str">
        <v>UN</v>
      </c>
      <c r="O415" s="9">
        <v>29</v>
      </c>
      <c r="P415" s="9">
        <v>22690</v>
      </c>
      <c r="Q415" s="124" t="str">
        <f t="shared" si="103"/>
        <v>FASE II</v>
      </c>
      <c r="R415" s="155">
        <f t="shared" si="99"/>
        <v>109</v>
      </c>
      <c r="S415" s="156">
        <f t="shared" si="101"/>
        <v>24011</v>
      </c>
      <c r="T415" s="156">
        <f t="shared" si="102"/>
        <v>2617199</v>
      </c>
    </row>
    <row r="416" spans="1:20" s="9" customFormat="1" ht="35.1" customHeight="1" x14ac:dyDescent="0.25">
      <c r="A416" s="215"/>
      <c r="B416" s="289" t="s">
        <v>573</v>
      </c>
      <c r="C416" s="256" t="s">
        <v>574</v>
      </c>
      <c r="D416" s="256"/>
      <c r="E416" s="246"/>
      <c r="F416" s="246"/>
      <c r="G416" s="246"/>
      <c r="H416" s="303"/>
      <c r="I416" s="246"/>
      <c r="J416" s="8"/>
      <c r="K416" s="8">
        <f t="shared" si="95"/>
        <v>0</v>
      </c>
      <c r="L416" s="8">
        <f t="shared" si="100"/>
        <v>0</v>
      </c>
      <c r="M416" s="9" t="str">
        <f t="array" ref="M416:P416">_xlfn.XLOOKUP(B416,'Neiva 2022 FASE I ACTUAL (5)'!$B$6:$B$540,'Neiva 2022 FASE I ACTUAL (5)'!$C$6:$F$540,"NO ESTA")</f>
        <v>SUMINISTRO E INSTALACIÓN COMETIDA RED MEDIA TENSIÓN (SEGÚN NORMAS CODENSA SA ESP)</v>
      </c>
      <c r="N416" s="9">
        <v>0</v>
      </c>
      <c r="O416" s="9">
        <v>0</v>
      </c>
      <c r="P416" s="9">
        <v>0</v>
      </c>
      <c r="Q416" s="124">
        <f t="shared" si="103"/>
        <v>0</v>
      </c>
      <c r="R416" s="155">
        <f t="shared" si="99"/>
        <v>0</v>
      </c>
      <c r="S416" s="156">
        <f t="shared" si="101"/>
        <v>0</v>
      </c>
      <c r="T416" s="156">
        <f t="shared" si="102"/>
        <v>0</v>
      </c>
    </row>
    <row r="417" spans="1:20" s="9" customFormat="1" ht="35.1" customHeight="1" x14ac:dyDescent="0.25">
      <c r="A417" s="215"/>
      <c r="B417" s="255" t="s">
        <v>575</v>
      </c>
      <c r="C417" s="254" t="s">
        <v>576</v>
      </c>
      <c r="D417" s="255" t="s">
        <v>374</v>
      </c>
      <c r="E417" s="242">
        <v>0</v>
      </c>
      <c r="F417" s="242">
        <f t="shared" ref="F417:F426" si="107">+O417</f>
        <v>1</v>
      </c>
      <c r="G417" s="242">
        <f t="shared" ref="G417:G426" si="108">+F417+E417</f>
        <v>1</v>
      </c>
      <c r="H417" s="243">
        <v>72809145</v>
      </c>
      <c r="I417" s="243">
        <f t="shared" ref="I417:I426" si="109">ROUND(+H417*G417,2)</f>
        <v>72809145</v>
      </c>
      <c r="J417" s="8"/>
      <c r="K417" s="8">
        <f t="shared" si="95"/>
        <v>73937687</v>
      </c>
      <c r="L417" s="8">
        <f t="shared" si="100"/>
        <v>0</v>
      </c>
      <c r="M417" s="9" t="str">
        <f t="array" ref="M417:P417">_xlfn.XLOOKUP(B417,'Neiva 2022 FASE I ACTUAL (5)'!$B$6:$B$540,'Neiva 2022 FASE I ACTUAL (5)'!$C$6:$F$540,"NO ESTA")</f>
        <v>SUMINISTRO E INSTALACIÓN TRANSFORMADOR DE DISTRIBUCIÓN DE 500 Kva, NIVEL DE TENSIÓN PRIMARIO 13.200 VOLTIOS, NIVEL DE TENSIÓN SECUNDARIO 208/120 VOLTIOS. INCLUYE: RIEL DE SOPORTE PARA TRANSFORMADOR (PATIN), RUEDAS PARA RIEL CON FRENO MECANICO</v>
      </c>
      <c r="N417" s="9" t="str">
        <v>UN</v>
      </c>
      <c r="O417" s="9">
        <v>1</v>
      </c>
      <c r="P417" s="9">
        <v>69872853</v>
      </c>
      <c r="Q417" s="124" t="str">
        <f t="shared" si="103"/>
        <v>FASE II</v>
      </c>
      <c r="R417" s="155">
        <f t="shared" si="99"/>
        <v>1</v>
      </c>
      <c r="S417" s="156">
        <f t="shared" si="101"/>
        <v>73937687</v>
      </c>
      <c r="T417" s="156">
        <f t="shared" si="102"/>
        <v>73937687</v>
      </c>
    </row>
    <row r="418" spans="1:20" s="9" customFormat="1" ht="35.1" customHeight="1" x14ac:dyDescent="0.25">
      <c r="A418" s="215"/>
      <c r="B418" s="255" t="s">
        <v>577</v>
      </c>
      <c r="C418" s="254" t="s">
        <v>578</v>
      </c>
      <c r="D418" s="255" t="s">
        <v>374</v>
      </c>
      <c r="E418" s="242">
        <v>0</v>
      </c>
      <c r="F418" s="242">
        <f t="shared" si="107"/>
        <v>1</v>
      </c>
      <c r="G418" s="242">
        <f t="shared" si="108"/>
        <v>1</v>
      </c>
      <c r="H418" s="243">
        <v>5390799</v>
      </c>
      <c r="I418" s="243">
        <f t="shared" si="109"/>
        <v>5390799</v>
      </c>
      <c r="J418" s="8"/>
      <c r="K418" s="8">
        <f t="shared" si="95"/>
        <v>5474356</v>
      </c>
      <c r="L418" s="8">
        <f t="shared" si="100"/>
        <v>0</v>
      </c>
      <c r="M418" s="9" t="str">
        <f t="array" ref="M418:P418">_xlfn.XLOOKUP(B418,'Neiva 2022 FASE I ACTUAL (5)'!$B$6:$B$540,'Neiva 2022 FASE I ACTUAL (5)'!$C$6:$F$540,"NO ESTA")</f>
        <v>SUMINISTRO E INSTALACIÓN PUERTA CORTAFUEGO PINTURA ELECTROESTÁTICA Y SEÑALES DE RIESGO ELÉCTRICO. INCLUYE ACCESORIOS PARA ENCLAVAMIENTO</v>
      </c>
      <c r="N418" s="9" t="str">
        <v>UN</v>
      </c>
      <c r="O418" s="9">
        <v>1</v>
      </c>
      <c r="P418" s="9">
        <v>5173395</v>
      </c>
      <c r="Q418" s="124" t="str">
        <f t="shared" si="103"/>
        <v>FASE II</v>
      </c>
      <c r="R418" s="155">
        <f t="shared" si="99"/>
        <v>1</v>
      </c>
      <c r="S418" s="156">
        <f t="shared" si="101"/>
        <v>5474356</v>
      </c>
      <c r="T418" s="156">
        <f t="shared" si="102"/>
        <v>5474356</v>
      </c>
    </row>
    <row r="419" spans="1:20" s="9" customFormat="1" ht="35.1" customHeight="1" x14ac:dyDescent="0.25">
      <c r="A419" s="215"/>
      <c r="B419" s="255" t="s">
        <v>579</v>
      </c>
      <c r="C419" s="254" t="s">
        <v>580</v>
      </c>
      <c r="D419" s="255" t="s">
        <v>374</v>
      </c>
      <c r="E419" s="242">
        <v>0</v>
      </c>
      <c r="F419" s="242">
        <f t="shared" si="107"/>
        <v>1</v>
      </c>
      <c r="G419" s="242">
        <f t="shared" si="108"/>
        <v>1</v>
      </c>
      <c r="H419" s="243">
        <v>200628</v>
      </c>
      <c r="I419" s="243">
        <f t="shared" si="109"/>
        <v>200628</v>
      </c>
      <c r="J419" s="8"/>
      <c r="K419" s="8">
        <f t="shared" si="95"/>
        <v>203738</v>
      </c>
      <c r="L419" s="8">
        <f t="shared" si="100"/>
        <v>0</v>
      </c>
      <c r="M419" s="9" t="str">
        <f t="array" ref="M419:P419">_xlfn.XLOOKUP(B419,'Neiva 2022 FASE I ACTUAL (5)'!$B$6:$B$540,'Neiva 2022 FASE I ACTUAL (5)'!$C$6:$F$540,"NO ESTA")</f>
        <v>SUMINISTRO E INSTALACIÓN BARRERA DE PROTECCIÓN PARA EVITAR CONTACTO DIRECTO CON TRANSFORMADOR. INCLUYE INDUMENTARIA PARA ASEGURAR LA BARRERA A LA DISTANCIA ADECUADA DEL TRANSFORMADOR</v>
      </c>
      <c r="N419" s="9" t="str">
        <v>UN</v>
      </c>
      <c r="O419" s="9">
        <v>1</v>
      </c>
      <c r="P419" s="9">
        <v>192537</v>
      </c>
      <c r="Q419" s="124" t="str">
        <f t="shared" si="103"/>
        <v>FASE II</v>
      </c>
      <c r="R419" s="155">
        <f t="shared" si="99"/>
        <v>1</v>
      </c>
      <c r="S419" s="156">
        <f t="shared" si="101"/>
        <v>203738</v>
      </c>
      <c r="T419" s="156">
        <f t="shared" si="102"/>
        <v>203738</v>
      </c>
    </row>
    <row r="420" spans="1:20" s="9" customFormat="1" ht="35.1" customHeight="1" x14ac:dyDescent="0.25">
      <c r="A420" s="215"/>
      <c r="B420" s="255" t="s">
        <v>581</v>
      </c>
      <c r="C420" s="254" t="s">
        <v>1225</v>
      </c>
      <c r="D420" s="255" t="s">
        <v>374</v>
      </c>
      <c r="E420" s="242">
        <v>0</v>
      </c>
      <c r="F420" s="242">
        <f t="shared" si="107"/>
        <v>1</v>
      </c>
      <c r="G420" s="242">
        <f t="shared" si="108"/>
        <v>1</v>
      </c>
      <c r="H420" s="243">
        <v>163506</v>
      </c>
      <c r="I420" s="243">
        <f t="shared" si="109"/>
        <v>163506</v>
      </c>
      <c r="J420" s="8"/>
      <c r="K420" s="8">
        <f t="shared" si="95"/>
        <v>166040</v>
      </c>
      <c r="L420" s="8">
        <f t="shared" si="100"/>
        <v>0</v>
      </c>
      <c r="M420" s="9" t="str">
        <f t="array" ref="M420:P420">_xlfn.XLOOKUP(B420,'Neiva 2022 FASE I ACTUAL (5)'!$B$6:$B$540,'Neiva 2022 FASE I ACTUAL (5)'!$C$6:$F$540,"NO ESTA")</f>
        <v>SUMINISTRO E INSTALACIÓN ENCLAVAMIENTO EN MURO PARA SOPORTE DE ACOMETIDA DE MEDIA TENSIÓN EN ENTRADA DE TRANSFORMADOR</v>
      </c>
      <c r="N420" s="9" t="str">
        <v>UN</v>
      </c>
      <c r="O420" s="9">
        <v>1</v>
      </c>
      <c r="P420" s="9">
        <v>156913</v>
      </c>
      <c r="Q420" s="124" t="str">
        <f t="shared" si="103"/>
        <v>FASE II</v>
      </c>
      <c r="R420" s="155">
        <f t="shared" si="99"/>
        <v>1</v>
      </c>
      <c r="S420" s="156">
        <f t="shared" si="101"/>
        <v>166040</v>
      </c>
      <c r="T420" s="156">
        <f t="shared" si="102"/>
        <v>166040</v>
      </c>
    </row>
    <row r="421" spans="1:20" s="9" customFormat="1" ht="35.1" customHeight="1" x14ac:dyDescent="0.25">
      <c r="A421" s="215"/>
      <c r="B421" s="255" t="s">
        <v>583</v>
      </c>
      <c r="C421" s="254" t="s">
        <v>584</v>
      </c>
      <c r="D421" s="255" t="s">
        <v>374</v>
      </c>
      <c r="E421" s="242">
        <v>0</v>
      </c>
      <c r="F421" s="242">
        <f t="shared" si="107"/>
        <v>1</v>
      </c>
      <c r="G421" s="242">
        <f t="shared" si="108"/>
        <v>1</v>
      </c>
      <c r="H421" s="243">
        <v>329572</v>
      </c>
      <c r="I421" s="243">
        <f t="shared" si="109"/>
        <v>329572</v>
      </c>
      <c r="J421" s="8"/>
      <c r="K421" s="8">
        <f t="shared" si="95"/>
        <v>334680</v>
      </c>
      <c r="L421" s="8">
        <f t="shared" si="100"/>
        <v>0</v>
      </c>
      <c r="M421" s="9" t="str">
        <f t="array" ref="M421:P421">_xlfn.XLOOKUP(B421,'Neiva 2022 FASE I ACTUAL (5)'!$B$6:$B$540,'Neiva 2022 FASE I ACTUAL (5)'!$C$6:$F$540,"NO ESTA")</f>
        <v>SUMINISTRO E INSTALACIÓN PASAMUROS DE MEDIA TENSIÓN, PASA MUROS EN PVC INCLUYE OBRAS NECESARIAS PARA LA INSTALACIÓN DE LAS MISMAS (JUEGO)</v>
      </c>
      <c r="N421" s="9" t="str">
        <v>UN</v>
      </c>
      <c r="O421" s="9">
        <v>1</v>
      </c>
      <c r="P421" s="9">
        <v>316281</v>
      </c>
      <c r="Q421" s="124" t="str">
        <f t="shared" si="103"/>
        <v>FASE II</v>
      </c>
      <c r="R421" s="155">
        <f t="shared" si="99"/>
        <v>1</v>
      </c>
      <c r="S421" s="156">
        <f t="shared" si="101"/>
        <v>334680</v>
      </c>
      <c r="T421" s="156">
        <f t="shared" si="102"/>
        <v>334680</v>
      </c>
    </row>
    <row r="422" spans="1:20" s="9" customFormat="1" ht="35.1" customHeight="1" x14ac:dyDescent="0.25">
      <c r="A422" s="215"/>
      <c r="B422" s="255" t="s">
        <v>585</v>
      </c>
      <c r="C422" s="254" t="s">
        <v>586</v>
      </c>
      <c r="D422" s="255" t="s">
        <v>374</v>
      </c>
      <c r="E422" s="242">
        <v>0</v>
      </c>
      <c r="F422" s="242">
        <f t="shared" si="107"/>
        <v>1</v>
      </c>
      <c r="G422" s="242">
        <f t="shared" si="108"/>
        <v>1</v>
      </c>
      <c r="H422" s="243">
        <v>401794</v>
      </c>
      <c r="I422" s="243">
        <f t="shared" si="109"/>
        <v>401794</v>
      </c>
      <c r="J422" s="8"/>
      <c r="K422" s="8">
        <f t="shared" si="95"/>
        <v>408022</v>
      </c>
      <c r="L422" s="8">
        <f t="shared" si="100"/>
        <v>0</v>
      </c>
      <c r="M422" s="9" t="str">
        <f t="array" ref="M422:P422">_xlfn.XLOOKUP(B422,'Neiva 2022 FASE I ACTUAL (5)'!$B$6:$B$540,'Neiva 2022 FASE I ACTUAL (5)'!$C$6:$F$540,"NO ESTA")</f>
        <v>SUMINISTRO E INSTALACIÓN DUCTO DE VENTILACIÓN CON DÁMPER FIRE, INCLUYE REJILLA DAMPER PARA EMERGENCIA</v>
      </c>
      <c r="N422" s="9" t="str">
        <v>UN</v>
      </c>
      <c r="O422" s="9">
        <v>1</v>
      </c>
      <c r="P422" s="9">
        <v>385590</v>
      </c>
      <c r="Q422" s="124" t="str">
        <f t="shared" si="103"/>
        <v>FASE II</v>
      </c>
      <c r="R422" s="155">
        <f t="shared" si="99"/>
        <v>1</v>
      </c>
      <c r="S422" s="156">
        <f t="shared" si="101"/>
        <v>408022</v>
      </c>
      <c r="T422" s="156">
        <f t="shared" si="102"/>
        <v>408022</v>
      </c>
    </row>
    <row r="423" spans="1:20" s="9" customFormat="1" ht="35.1" customHeight="1" x14ac:dyDescent="0.25">
      <c r="A423" s="215"/>
      <c r="B423" s="255" t="s">
        <v>587</v>
      </c>
      <c r="C423" s="254" t="s">
        <v>1226</v>
      </c>
      <c r="D423" s="255" t="s">
        <v>374</v>
      </c>
      <c r="E423" s="242">
        <v>0</v>
      </c>
      <c r="F423" s="242">
        <f t="shared" si="107"/>
        <v>1</v>
      </c>
      <c r="G423" s="242">
        <f t="shared" si="108"/>
        <v>1</v>
      </c>
      <c r="H423" s="243">
        <v>294145</v>
      </c>
      <c r="I423" s="243">
        <f t="shared" si="109"/>
        <v>294145</v>
      </c>
      <c r="J423" s="8"/>
      <c r="K423" s="8">
        <f t="shared" si="95"/>
        <v>298704</v>
      </c>
      <c r="L423" s="8">
        <f t="shared" si="100"/>
        <v>0</v>
      </c>
      <c r="M423" s="9" t="str">
        <f t="array" ref="M423:P423">_xlfn.XLOOKUP(B423,'Neiva 2022 FASE I ACTUAL (5)'!$B$6:$B$540,'Neiva 2022 FASE I ACTUAL (5)'!$C$6:$F$540,"NO ESTA")</f>
        <v xml:space="preserve">SUMINISTRO E INSTALACIÓN PUESTA A TIERRA DE TODAS LAS PARTES METALICAS DE EQUIPOS Y ELEMENTOS QUE SE ENCUENTREN DENTRO DEL CUARTO DEL TRANSFORMADOR. INCLUYE: 10m DE CABLE DESNUDO #2/0 PARA PUESTA A TIERRA, SOLDADURA EXOTERMICA 115gr, MOLDE PARA SOLDADURA VARILLA CABLE, MOLDE PARA SOLDADURA CABLE CABLE. </v>
      </c>
      <c r="N423" s="9" t="str">
        <v>UN</v>
      </c>
      <c r="O423" s="9">
        <v>1</v>
      </c>
      <c r="P423" s="9">
        <v>282282</v>
      </c>
      <c r="Q423" s="124" t="str">
        <f t="shared" si="103"/>
        <v>FASE II</v>
      </c>
      <c r="R423" s="155">
        <f t="shared" si="99"/>
        <v>1</v>
      </c>
      <c r="S423" s="156">
        <f t="shared" si="101"/>
        <v>298704</v>
      </c>
      <c r="T423" s="156">
        <f t="shared" si="102"/>
        <v>298704</v>
      </c>
    </row>
    <row r="424" spans="1:20" s="9" customFormat="1" ht="35.1" customHeight="1" x14ac:dyDescent="0.25">
      <c r="A424" s="215"/>
      <c r="B424" s="255" t="s">
        <v>589</v>
      </c>
      <c r="C424" s="254" t="s">
        <v>590</v>
      </c>
      <c r="D424" s="255" t="s">
        <v>374</v>
      </c>
      <c r="E424" s="242">
        <v>1</v>
      </c>
      <c r="F424" s="242">
        <f t="shared" si="107"/>
        <v>1</v>
      </c>
      <c r="G424" s="242">
        <f t="shared" si="108"/>
        <v>2</v>
      </c>
      <c r="H424" s="243">
        <v>593180</v>
      </c>
      <c r="I424" s="243">
        <f t="shared" si="109"/>
        <v>1186360</v>
      </c>
      <c r="J424" s="8"/>
      <c r="K424" s="8">
        <f t="shared" si="95"/>
        <v>602374</v>
      </c>
      <c r="L424" s="8">
        <f t="shared" si="100"/>
        <v>602374</v>
      </c>
      <c r="M424" s="9" t="str">
        <f t="array" ref="M424:P424">_xlfn.XLOOKUP(B424,'Neiva 2022 FASE I ACTUAL (5)'!$B$6:$B$540,'Neiva 2022 FASE I ACTUAL (5)'!$C$6:$F$540,"NO ESTA")</f>
        <v>SUMINISTRO E INSTALACIÓN DE DPS (DISPOSITIVO DE PROTECCIÓN CONTRA SOBRETENSIONES)</v>
      </c>
      <c r="N424" s="9" t="str">
        <v>UN</v>
      </c>
      <c r="O424" s="9">
        <v>1</v>
      </c>
      <c r="P424" s="9">
        <v>569258</v>
      </c>
      <c r="Q424" s="124" t="str">
        <f t="shared" si="103"/>
        <v>FASE II</v>
      </c>
      <c r="R424" s="155">
        <f t="shared" si="99"/>
        <v>2</v>
      </c>
      <c r="S424" s="156">
        <f t="shared" si="101"/>
        <v>602374</v>
      </c>
      <c r="T424" s="156">
        <f t="shared" si="102"/>
        <v>1204748</v>
      </c>
    </row>
    <row r="425" spans="1:20" s="9" customFormat="1" ht="35.1" customHeight="1" x14ac:dyDescent="0.25">
      <c r="A425" s="215"/>
      <c r="B425" s="255" t="s">
        <v>591</v>
      </c>
      <c r="C425" s="254" t="s">
        <v>1227</v>
      </c>
      <c r="D425" s="255" t="s">
        <v>374</v>
      </c>
      <c r="E425" s="242">
        <v>0</v>
      </c>
      <c r="F425" s="242">
        <f t="shared" si="107"/>
        <v>1</v>
      </c>
      <c r="G425" s="242">
        <f t="shared" si="108"/>
        <v>1</v>
      </c>
      <c r="H425" s="243">
        <v>19037974</v>
      </c>
      <c r="I425" s="243">
        <f t="shared" si="109"/>
        <v>19037974</v>
      </c>
      <c r="J425" s="8"/>
      <c r="K425" s="8">
        <f t="shared" si="95"/>
        <v>19333063</v>
      </c>
      <c r="L425" s="8">
        <f t="shared" si="100"/>
        <v>0</v>
      </c>
      <c r="M425" s="9" t="str">
        <f t="array" ref="M425:P425">_xlfn.XLOOKUP(B425,'Neiva 2022 FASE I ACTUAL (5)'!$B$6:$B$540,'Neiva 2022 FASE I ACTUAL (5)'!$C$6:$F$540,"NO ESTA")</f>
        <v>SUMINISTRO E INSTALACIÓN CELDA DE PROTECCIÓN TRIPLEX PARA SUBESTACIÓN, INCLUYE 3 JUEGOS DE SECCIONADORES CON SUS RESPECTIVOS FUSIBLES Y TERMINALES PROMOLDEADOS</v>
      </c>
      <c r="N425" s="9" t="str">
        <v>UN</v>
      </c>
      <c r="O425" s="9">
        <v>1</v>
      </c>
      <c r="P425" s="9">
        <v>18270199</v>
      </c>
      <c r="Q425" s="124" t="str">
        <f t="shared" si="103"/>
        <v>FASE II</v>
      </c>
      <c r="R425" s="155">
        <f t="shared" si="99"/>
        <v>1</v>
      </c>
      <c r="S425" s="156">
        <f t="shared" si="101"/>
        <v>19333063</v>
      </c>
      <c r="T425" s="156">
        <f t="shared" si="102"/>
        <v>19333063</v>
      </c>
    </row>
    <row r="426" spans="1:20" s="9" customFormat="1" ht="35.1" customHeight="1" x14ac:dyDescent="0.25">
      <c r="A426" s="215"/>
      <c r="B426" s="255" t="s">
        <v>593</v>
      </c>
      <c r="C426" s="254" t="s">
        <v>594</v>
      </c>
      <c r="D426" s="255" t="s">
        <v>374</v>
      </c>
      <c r="E426" s="242">
        <v>2</v>
      </c>
      <c r="F426" s="242">
        <f t="shared" si="107"/>
        <v>1</v>
      </c>
      <c r="G426" s="242">
        <f t="shared" si="108"/>
        <v>3</v>
      </c>
      <c r="H426" s="243">
        <v>1513130</v>
      </c>
      <c r="I426" s="243">
        <f t="shared" si="109"/>
        <v>4539390</v>
      </c>
      <c r="J426" s="8"/>
      <c r="K426" s="8">
        <f t="shared" si="95"/>
        <v>1536584</v>
      </c>
      <c r="L426" s="8">
        <f t="shared" si="100"/>
        <v>3073168</v>
      </c>
      <c r="M426" s="9" t="str">
        <f t="array" ref="M426:P426">_xlfn.XLOOKUP(B426,'Neiva 2022 FASE I ACTUAL (5)'!$B$6:$B$540,'Neiva 2022 FASE I ACTUAL (5)'!$C$6:$F$540,"NO ESTA")</f>
        <v xml:space="preserve">SUMINISTRO E INSTALACIÓN CAJA DE INSPECCIÓN SENCILLA CON TAPA EN CONCRETO SEGÚN NORMA CS-276 CODENSA S.A. ESP PARA RED DE MEDIA Y BAJA TENSIÓN. </v>
      </c>
      <c r="N426" s="9" t="str">
        <v>UN</v>
      </c>
      <c r="O426" s="9">
        <v>1</v>
      </c>
      <c r="P426" s="9">
        <v>1452107</v>
      </c>
      <c r="Q426" s="124" t="str">
        <f t="shared" si="103"/>
        <v>FASE II</v>
      </c>
      <c r="R426" s="155">
        <f t="shared" si="99"/>
        <v>3</v>
      </c>
      <c r="S426" s="156">
        <f t="shared" si="101"/>
        <v>1536584</v>
      </c>
      <c r="T426" s="156">
        <f t="shared" si="102"/>
        <v>4609752</v>
      </c>
    </row>
    <row r="427" spans="1:20" s="9" customFormat="1" ht="35.1" customHeight="1" x14ac:dyDescent="0.25">
      <c r="A427" s="215"/>
      <c r="B427" s="289" t="s">
        <v>595</v>
      </c>
      <c r="C427" s="256" t="s">
        <v>596</v>
      </c>
      <c r="D427" s="256"/>
      <c r="E427" s="246"/>
      <c r="F427" s="246"/>
      <c r="G427" s="246"/>
      <c r="H427" s="303"/>
      <c r="I427" s="246"/>
      <c r="J427" s="8"/>
      <c r="K427" s="8">
        <f t="shared" si="95"/>
        <v>0</v>
      </c>
      <c r="L427" s="8">
        <f t="shared" si="100"/>
        <v>0</v>
      </c>
      <c r="M427" s="9" t="str">
        <f t="array" ref="M427:P427">_xlfn.XLOOKUP(B427,'Neiva 2022 FASE I ACTUAL (5)'!$B$6:$B$540,'Neiva 2022 FASE I ACTUAL (5)'!$C$6:$F$540,"NO ESTA")</f>
        <v>SUMINISTRO E INSTALACIÓN ALIMENTADORES ELÉCTRICOS PRINCIPALES</v>
      </c>
      <c r="N427" s="9">
        <v>0</v>
      </c>
      <c r="O427" s="9">
        <v>0</v>
      </c>
      <c r="P427" s="9">
        <v>0</v>
      </c>
      <c r="Q427" s="124">
        <f t="shared" si="103"/>
        <v>0</v>
      </c>
      <c r="R427" s="155">
        <f t="shared" si="99"/>
        <v>0</v>
      </c>
      <c r="S427" s="156">
        <f t="shared" si="101"/>
        <v>0</v>
      </c>
      <c r="T427" s="156">
        <f t="shared" si="102"/>
        <v>0</v>
      </c>
    </row>
    <row r="428" spans="1:20" s="9" customFormat="1" ht="35.1" customHeight="1" x14ac:dyDescent="0.25">
      <c r="A428" s="215"/>
      <c r="B428" s="255" t="s">
        <v>597</v>
      </c>
      <c r="C428" s="254" t="s">
        <v>598</v>
      </c>
      <c r="D428" s="255" t="s">
        <v>269</v>
      </c>
      <c r="E428" s="242">
        <v>0</v>
      </c>
      <c r="F428" s="242">
        <f>+O428</f>
        <v>20</v>
      </c>
      <c r="G428" s="242">
        <f>+F428+E428</f>
        <v>20</v>
      </c>
      <c r="H428" s="243">
        <v>319734</v>
      </c>
      <c r="I428" s="243">
        <f>ROUND(+H428*G428,2)</f>
        <v>6394680</v>
      </c>
      <c r="J428" s="8"/>
      <c r="K428" s="8">
        <f t="shared" si="95"/>
        <v>324690</v>
      </c>
      <c r="L428" s="8">
        <f t="shared" si="100"/>
        <v>0</v>
      </c>
      <c r="M428" s="9" t="str">
        <f t="array" ref="M428:P428">_xlfn.XLOOKUP(B428,'Neiva 2022 FASE I ACTUAL (5)'!$B$6:$B$540,'Neiva 2022 FASE I ACTUAL (5)'!$C$6:$F$540,"NO ESTA")</f>
        <v>SUMINISTRO E INSTALACIÓN INTERCONEXIÓN ENTRE CAJA CS-276 Y CELDA DE MEDIDA CABLE XLPE 15KV T AWG EN TUBERÍA PVC 6".</v>
      </c>
      <c r="N428" s="9" t="str">
        <v xml:space="preserve">ML   </v>
      </c>
      <c r="O428" s="9">
        <v>20</v>
      </c>
      <c r="P428" s="9">
        <v>306841</v>
      </c>
      <c r="Q428" s="124" t="str">
        <f t="shared" si="103"/>
        <v>FASE II</v>
      </c>
      <c r="R428" s="155">
        <f t="shared" si="99"/>
        <v>20</v>
      </c>
      <c r="S428" s="156">
        <f t="shared" si="101"/>
        <v>324690</v>
      </c>
      <c r="T428" s="156">
        <f t="shared" si="102"/>
        <v>6493800</v>
      </c>
    </row>
    <row r="429" spans="1:20" s="9" customFormat="1" ht="35.1" customHeight="1" x14ac:dyDescent="0.25">
      <c r="A429" s="215"/>
      <c r="B429" s="255" t="s">
        <v>599</v>
      </c>
      <c r="C429" s="254" t="s">
        <v>1228</v>
      </c>
      <c r="D429" s="255" t="s">
        <v>269</v>
      </c>
      <c r="E429" s="242">
        <v>0</v>
      </c>
      <c r="F429" s="242">
        <f>+O429</f>
        <v>6</v>
      </c>
      <c r="G429" s="242">
        <f>+F429+E429</f>
        <v>6</v>
      </c>
      <c r="H429" s="243">
        <v>1180084</v>
      </c>
      <c r="I429" s="243">
        <f>ROUND(+H429*G429,2)</f>
        <v>7080504</v>
      </c>
      <c r="J429" s="8"/>
      <c r="K429" s="8">
        <f t="shared" si="95"/>
        <v>1198375</v>
      </c>
      <c r="L429" s="8">
        <f t="shared" si="100"/>
        <v>0</v>
      </c>
      <c r="M429" s="9" t="str">
        <f t="array" ref="M429:P429">_xlfn.XLOOKUP(B429,'Neiva 2022 FASE I ACTUAL (5)'!$B$6:$B$540,'Neiva 2022 FASE I ACTUAL (5)'!$C$6:$F$540,"NO ESTA")</f>
        <v>SUMINISTRO E INSTALACIÓN ALIMENTADOR DESDE CELDA DE MEDIDA HASTA EL TABLERO DE DISTRIBUCIÓN Y TRANSFERENCIA TD-GENERAL EN 3(3x500) +3(400) +3/0 T AWG INCLUYENDO TERMINALES DE CONEXIÓN.</v>
      </c>
      <c r="N429" s="9" t="str">
        <v xml:space="preserve">ML   </v>
      </c>
      <c r="O429" s="9">
        <v>6</v>
      </c>
      <c r="P429" s="9">
        <v>1132493</v>
      </c>
      <c r="Q429" s="124" t="str">
        <f t="shared" si="103"/>
        <v>FASE II</v>
      </c>
      <c r="R429" s="155">
        <f t="shared" si="99"/>
        <v>6</v>
      </c>
      <c r="S429" s="156">
        <f t="shared" si="101"/>
        <v>1198375</v>
      </c>
      <c r="T429" s="156">
        <f t="shared" si="102"/>
        <v>7190250</v>
      </c>
    </row>
    <row r="430" spans="1:20" s="9" customFormat="1" ht="35.1" customHeight="1" x14ac:dyDescent="0.25">
      <c r="A430" s="215"/>
      <c r="B430" s="255" t="s">
        <v>601</v>
      </c>
      <c r="C430" s="254" t="s">
        <v>1229</v>
      </c>
      <c r="D430" s="255" t="s">
        <v>269</v>
      </c>
      <c r="E430" s="242">
        <v>0</v>
      </c>
      <c r="F430" s="242">
        <f>+O430</f>
        <v>5</v>
      </c>
      <c r="G430" s="242">
        <f>+F430+E430</f>
        <v>5</v>
      </c>
      <c r="H430" s="243">
        <v>1241508</v>
      </c>
      <c r="I430" s="243">
        <f>ROUND(+H430*G430,2)</f>
        <v>6207540</v>
      </c>
      <c r="J430" s="8"/>
      <c r="K430" s="8">
        <f t="shared" si="95"/>
        <v>1260751</v>
      </c>
      <c r="L430" s="8">
        <f t="shared" si="100"/>
        <v>0</v>
      </c>
      <c r="M430" s="9" t="str">
        <f t="array" ref="M430:P430">_xlfn.XLOOKUP(B430,'Neiva 2022 FASE I ACTUAL (5)'!$B$6:$B$540,'Neiva 2022 FASE I ACTUAL (5)'!$C$6:$F$540,"NO ESTA")</f>
        <v>SUMINISTRO E INSTALACIÓN INTERCONEXION ENTRE BORNES DEL GENERADOR Y CELDA DE TRANSFERENCIA PLANTA RED DE LA BOMBA CONTRA INCENDIO EN 3(3x500) +3(400) +3/0 T AWG EN TUBERÍA PVC 6"</v>
      </c>
      <c r="N430" s="9" t="str">
        <v xml:space="preserve">ML   </v>
      </c>
      <c r="O430" s="9">
        <v>5</v>
      </c>
      <c r="P430" s="9">
        <v>1191440</v>
      </c>
      <c r="Q430" s="124" t="str">
        <f t="shared" si="103"/>
        <v>FASE II</v>
      </c>
      <c r="R430" s="155">
        <f t="shared" si="99"/>
        <v>5</v>
      </c>
      <c r="S430" s="156">
        <f t="shared" si="101"/>
        <v>1260751</v>
      </c>
      <c r="T430" s="156">
        <f t="shared" si="102"/>
        <v>6303755</v>
      </c>
    </row>
    <row r="431" spans="1:20" s="9" customFormat="1" ht="35.1" customHeight="1" x14ac:dyDescent="0.25">
      <c r="A431" s="215"/>
      <c r="B431" s="289" t="s">
        <v>603</v>
      </c>
      <c r="C431" s="256" t="s">
        <v>596</v>
      </c>
      <c r="D431" s="256"/>
      <c r="E431" s="246"/>
      <c r="F431" s="246"/>
      <c r="G431" s="246"/>
      <c r="H431" s="303"/>
      <c r="I431" s="246"/>
      <c r="J431" s="8"/>
      <c r="K431" s="8">
        <f t="shared" si="95"/>
        <v>0</v>
      </c>
      <c r="L431" s="8">
        <f t="shared" si="100"/>
        <v>0</v>
      </c>
      <c r="M431" s="9" t="str">
        <f t="array" ref="M431:P431">_xlfn.XLOOKUP(B431,'Neiva 2022 FASE I ACTUAL (5)'!$B$6:$B$540,'Neiva 2022 FASE I ACTUAL (5)'!$C$6:$F$540,"NO ESTA")</f>
        <v>SUMINISTRO E INSTALACIÓN ALIMENTADORES ELÉCTRICOS PRINCIPALES</v>
      </c>
      <c r="N431" s="9">
        <v>0</v>
      </c>
      <c r="O431" s="9">
        <v>0</v>
      </c>
      <c r="P431" s="9">
        <v>0</v>
      </c>
      <c r="Q431" s="124">
        <f t="shared" si="103"/>
        <v>0</v>
      </c>
      <c r="R431" s="155">
        <f t="shared" si="99"/>
        <v>0</v>
      </c>
      <c r="S431" s="156">
        <f t="shared" si="101"/>
        <v>0</v>
      </c>
      <c r="T431" s="156">
        <f t="shared" si="102"/>
        <v>0</v>
      </c>
    </row>
    <row r="432" spans="1:20" s="9" customFormat="1" ht="35.1" customHeight="1" x14ac:dyDescent="0.25">
      <c r="A432" s="215"/>
      <c r="B432" s="255" t="s">
        <v>604</v>
      </c>
      <c r="C432" s="254" t="s">
        <v>605</v>
      </c>
      <c r="D432" s="255" t="s">
        <v>269</v>
      </c>
      <c r="E432" s="242">
        <v>0</v>
      </c>
      <c r="F432" s="242">
        <f t="shared" ref="F432:F447" si="110">+O432</f>
        <v>8</v>
      </c>
      <c r="G432" s="242">
        <f t="shared" ref="G432:G447" si="111">+F432+E432</f>
        <v>8</v>
      </c>
      <c r="H432" s="243">
        <v>193851</v>
      </c>
      <c r="I432" s="243">
        <f t="shared" ref="I432:I447" si="112">ROUND(+H432*G432,2)</f>
        <v>1550808</v>
      </c>
      <c r="J432" s="8"/>
      <c r="K432" s="8">
        <f t="shared" si="95"/>
        <v>196856</v>
      </c>
      <c r="L432" s="8">
        <f t="shared" si="100"/>
        <v>0</v>
      </c>
      <c r="M432" s="9" t="str">
        <f t="array" ref="M432:P432">_xlfn.XLOOKUP(B432,'Neiva 2022 FASE I ACTUAL (5)'!$B$6:$B$540,'Neiva 2022 FASE I ACTUAL (5)'!$C$6:$F$540,"NO ESTA")</f>
        <v>SUMINISTRO E INSTALACIÓN ALIMENTADOR DESDE TRANSFERENCIA HASTA TABLERO GENERAL DE MAQUINAS EN 3#4/0+1#4/0N+1#2T AWG EN BANDEJA PORTA CABLES</v>
      </c>
      <c r="N432" s="9" t="str">
        <v xml:space="preserve">ML   </v>
      </c>
      <c r="O432" s="9">
        <v>8</v>
      </c>
      <c r="P432" s="9">
        <v>186035</v>
      </c>
      <c r="Q432" s="124" t="str">
        <f t="shared" si="103"/>
        <v>FASE II</v>
      </c>
      <c r="R432" s="155">
        <f t="shared" si="99"/>
        <v>8</v>
      </c>
      <c r="S432" s="156">
        <f t="shared" si="101"/>
        <v>196856</v>
      </c>
      <c r="T432" s="156">
        <f t="shared" si="102"/>
        <v>1574848</v>
      </c>
    </row>
    <row r="433" spans="1:20" s="9" customFormat="1" ht="35.1" customHeight="1" x14ac:dyDescent="0.25">
      <c r="A433" s="215"/>
      <c r="B433" s="255" t="s">
        <v>606</v>
      </c>
      <c r="C433" s="254" t="s">
        <v>607</v>
      </c>
      <c r="D433" s="255" t="s">
        <v>269</v>
      </c>
      <c r="E433" s="242">
        <v>0</v>
      </c>
      <c r="F433" s="242">
        <f t="shared" si="110"/>
        <v>52</v>
      </c>
      <c r="G433" s="242">
        <f t="shared" si="111"/>
        <v>52</v>
      </c>
      <c r="H433" s="243">
        <v>62264</v>
      </c>
      <c r="I433" s="243">
        <f t="shared" si="112"/>
        <v>3237728</v>
      </c>
      <c r="J433" s="8"/>
      <c r="K433" s="8">
        <f t="shared" ref="K433:K496" si="113">+ROUND(H433*(1+$K$4),0)</f>
        <v>63229</v>
      </c>
      <c r="L433" s="8">
        <f t="shared" si="100"/>
        <v>0</v>
      </c>
      <c r="M433" s="9" t="str">
        <f t="array" ref="M433:P433">_xlfn.XLOOKUP(B433,'Neiva 2022 FASE I ACTUAL (5)'!$B$6:$B$540,'Neiva 2022 FASE I ACTUAL (5)'!$C$6:$F$540,"NO ESTA")</f>
        <v>SUMINISTRO E INSTALACIÓN ALIMENTADOR DESDE EL TABLERO GENERAL MAQUINAS HASTA EL TABLERO DE ASCENSOR EN 3#6+1#6N+1#8T AWG EN TUBERIA PVC ø 1 1/2" INCLUYENDO DE TERMINALES DE CONEXIÓN</v>
      </c>
      <c r="N433" s="9" t="str">
        <v xml:space="preserve">ML   </v>
      </c>
      <c r="O433" s="9">
        <v>52</v>
      </c>
      <c r="P433" s="9">
        <v>59752</v>
      </c>
      <c r="Q433" s="124" t="str">
        <f t="shared" si="103"/>
        <v>FASE II</v>
      </c>
      <c r="R433" s="155">
        <f t="shared" si="99"/>
        <v>52</v>
      </c>
      <c r="S433" s="156">
        <f t="shared" si="101"/>
        <v>63229</v>
      </c>
      <c r="T433" s="156">
        <f t="shared" si="102"/>
        <v>3287908</v>
      </c>
    </row>
    <row r="434" spans="1:20" s="9" customFormat="1" ht="35.1" customHeight="1" x14ac:dyDescent="0.25">
      <c r="A434" s="215"/>
      <c r="B434" s="255" t="s">
        <v>608</v>
      </c>
      <c r="C434" s="254" t="s">
        <v>609</v>
      </c>
      <c r="D434" s="255" t="s">
        <v>269</v>
      </c>
      <c r="E434" s="242">
        <v>0</v>
      </c>
      <c r="F434" s="242">
        <f t="shared" si="110"/>
        <v>106</v>
      </c>
      <c r="G434" s="242">
        <f t="shared" si="111"/>
        <v>106</v>
      </c>
      <c r="H434" s="243">
        <v>62264</v>
      </c>
      <c r="I434" s="243">
        <f t="shared" si="112"/>
        <v>6599984</v>
      </c>
      <c r="J434" s="8"/>
      <c r="K434" s="8">
        <f t="shared" si="113"/>
        <v>63229</v>
      </c>
      <c r="L434" s="8">
        <f t="shared" si="100"/>
        <v>0</v>
      </c>
      <c r="M434" s="9" t="str">
        <f t="array" ref="M434:P434">_xlfn.XLOOKUP(B434,'Neiva 2022 FASE I ACTUAL (5)'!$B$6:$B$540,'Neiva 2022 FASE I ACTUAL (5)'!$C$6:$F$540,"NO ESTA")</f>
        <v>SUMINISTRO E INSTALACIÓN ALIMENTADOR DESDE EL TABLERO GENERAL MAQUINAS HASTA EL TABLERO NORMAL BOMBAS EN 3#6+1#6N+1#8T AWG EN TUBERIA PVC 1 ø 1 1/2" INCLUYENDO DE TERMINALES DE CONEXIÓN</v>
      </c>
      <c r="N434" s="9" t="str">
        <v xml:space="preserve">ML   </v>
      </c>
      <c r="O434" s="9">
        <v>106</v>
      </c>
      <c r="P434" s="9">
        <v>59752</v>
      </c>
      <c r="Q434" s="124" t="str">
        <f t="shared" si="103"/>
        <v>FASE II</v>
      </c>
      <c r="R434" s="155">
        <f t="shared" si="99"/>
        <v>106</v>
      </c>
      <c r="S434" s="156">
        <f t="shared" si="101"/>
        <v>63229</v>
      </c>
      <c r="T434" s="156">
        <f t="shared" si="102"/>
        <v>6702274</v>
      </c>
    </row>
    <row r="435" spans="1:20" s="9" customFormat="1" ht="35.1" customHeight="1" x14ac:dyDescent="0.25">
      <c r="A435" s="215"/>
      <c r="B435" s="255" t="s">
        <v>610</v>
      </c>
      <c r="C435" s="254" t="s">
        <v>611</v>
      </c>
      <c r="D435" s="255" t="s">
        <v>269</v>
      </c>
      <c r="E435" s="242">
        <v>0</v>
      </c>
      <c r="F435" s="242">
        <f t="shared" si="110"/>
        <v>5</v>
      </c>
      <c r="G435" s="242">
        <f t="shared" si="111"/>
        <v>5</v>
      </c>
      <c r="H435" s="243">
        <v>364016</v>
      </c>
      <c r="I435" s="243">
        <f t="shared" si="112"/>
        <v>1820080</v>
      </c>
      <c r="J435" s="8"/>
      <c r="K435" s="8">
        <f t="shared" si="113"/>
        <v>369658</v>
      </c>
      <c r="L435" s="8">
        <f t="shared" si="100"/>
        <v>0</v>
      </c>
      <c r="M435" s="9" t="str">
        <f t="array" ref="M435:P435">_xlfn.XLOOKUP(B435,'Neiva 2022 FASE I ACTUAL (5)'!$B$6:$B$540,'Neiva 2022 FASE I ACTUAL (5)'!$C$6:$F$540,"NO ESTA")</f>
        <v>SUMINISTRO E INSTALACIÓN ALIMENTADOR DESDE TRANSFERENCIA HASTA EL TABLERO GENERAL DE DISTRIBUCIÓN EN 6#4/0+2#4/0N+1#4T EN BANDEJA PORTACABLES</v>
      </c>
      <c r="N435" s="9" t="str">
        <v xml:space="preserve">ML   </v>
      </c>
      <c r="O435" s="9">
        <v>5</v>
      </c>
      <c r="P435" s="9">
        <v>349335</v>
      </c>
      <c r="Q435" s="124" t="str">
        <f t="shared" si="103"/>
        <v>FASE II</v>
      </c>
      <c r="R435" s="155">
        <f t="shared" si="99"/>
        <v>5</v>
      </c>
      <c r="S435" s="156">
        <f t="shared" si="101"/>
        <v>369658</v>
      </c>
      <c r="T435" s="156">
        <f t="shared" si="102"/>
        <v>1848290</v>
      </c>
    </row>
    <row r="436" spans="1:20" s="9" customFormat="1" ht="35.1" customHeight="1" x14ac:dyDescent="0.25">
      <c r="A436" s="215"/>
      <c r="B436" s="255" t="s">
        <v>612</v>
      </c>
      <c r="C436" s="254" t="s">
        <v>613</v>
      </c>
      <c r="D436" s="255" t="s">
        <v>269</v>
      </c>
      <c r="E436" s="242">
        <v>0</v>
      </c>
      <c r="F436" s="242">
        <f t="shared" si="110"/>
        <v>6</v>
      </c>
      <c r="G436" s="242">
        <f t="shared" si="111"/>
        <v>6</v>
      </c>
      <c r="H436" s="243">
        <v>62264</v>
      </c>
      <c r="I436" s="243">
        <f t="shared" si="112"/>
        <v>373584</v>
      </c>
      <c r="J436" s="8"/>
      <c r="K436" s="8">
        <f t="shared" si="113"/>
        <v>63229</v>
      </c>
      <c r="L436" s="8">
        <f t="shared" si="100"/>
        <v>0</v>
      </c>
      <c r="M436" s="9" t="str">
        <f t="array" ref="M436:P436">_xlfn.XLOOKUP(B436,'Neiva 2022 FASE I ACTUAL (5)'!$B$6:$B$540,'Neiva 2022 FASE I ACTUAL (5)'!$C$6:$F$540,"NO ESTA")</f>
        <v>SUMINISTRO E INSTALACIÓN ALIMENTADOR DESDE EL TABLERO GENERAL DE DISTRIBUCIÓN HASTA EL TNS SOTANO POR CARCAMO CON 3#6+1#6N+1#8T AWG INCLUYE TERMINALES DE CONEXIÓN</v>
      </c>
      <c r="N436" s="9" t="str">
        <v xml:space="preserve">ML   </v>
      </c>
      <c r="O436" s="9">
        <v>6</v>
      </c>
      <c r="P436" s="9">
        <v>59752</v>
      </c>
      <c r="Q436" s="124" t="str">
        <f t="shared" si="103"/>
        <v>FASE II</v>
      </c>
      <c r="R436" s="155">
        <f t="shared" si="99"/>
        <v>6</v>
      </c>
      <c r="S436" s="156">
        <f t="shared" si="101"/>
        <v>63229</v>
      </c>
      <c r="T436" s="156">
        <f t="shared" si="102"/>
        <v>379374</v>
      </c>
    </row>
    <row r="437" spans="1:20" s="9" customFormat="1" ht="35.1" customHeight="1" x14ac:dyDescent="0.25">
      <c r="A437" s="215"/>
      <c r="B437" s="255" t="s">
        <v>614</v>
      </c>
      <c r="C437" s="254" t="s">
        <v>615</v>
      </c>
      <c r="D437" s="255" t="s">
        <v>269</v>
      </c>
      <c r="E437" s="242">
        <v>0</v>
      </c>
      <c r="F437" s="242">
        <f t="shared" si="110"/>
        <v>60</v>
      </c>
      <c r="G437" s="242">
        <f t="shared" si="111"/>
        <v>60</v>
      </c>
      <c r="H437" s="243">
        <v>130765</v>
      </c>
      <c r="I437" s="243">
        <f t="shared" si="112"/>
        <v>7845900</v>
      </c>
      <c r="J437" s="8"/>
      <c r="K437" s="8">
        <f t="shared" si="113"/>
        <v>132792</v>
      </c>
      <c r="L437" s="8">
        <f t="shared" si="100"/>
        <v>0</v>
      </c>
      <c r="M437" s="9" t="str">
        <f t="array" ref="M437:P437">_xlfn.XLOOKUP(B437,'Neiva 2022 FASE I ACTUAL (5)'!$B$6:$B$540,'Neiva 2022 FASE I ACTUAL (5)'!$C$6:$F$540,"NO ESTA")</f>
        <v>SUMINISTRO E INSTALACIÓN ALIMENTADOR DESDE EL TABLERO GENERAL DE DISTRIBUCIÓN HASTA EL TNP1 PISO 1 EN 1 ø 2" CON 3#2/0+1#2/0N+1#4T AWG INCLUYE TERMINALES DE CONEXIÓN</v>
      </c>
      <c r="N437" s="9" t="str">
        <v xml:space="preserve">ML   </v>
      </c>
      <c r="O437" s="9">
        <v>60</v>
      </c>
      <c r="P437" s="9">
        <v>125491</v>
      </c>
      <c r="Q437" s="124" t="str">
        <f t="shared" si="103"/>
        <v>FASE II</v>
      </c>
      <c r="R437" s="155">
        <f t="shared" si="99"/>
        <v>60</v>
      </c>
      <c r="S437" s="156">
        <f t="shared" si="101"/>
        <v>132792</v>
      </c>
      <c r="T437" s="156">
        <f t="shared" si="102"/>
        <v>7967520</v>
      </c>
    </row>
    <row r="438" spans="1:20" s="9" customFormat="1" ht="35.1" customHeight="1" x14ac:dyDescent="0.25">
      <c r="A438" s="215"/>
      <c r="B438" s="255" t="s">
        <v>616</v>
      </c>
      <c r="C438" s="254" t="s">
        <v>617</v>
      </c>
      <c r="D438" s="255" t="s">
        <v>269</v>
      </c>
      <c r="E438" s="242">
        <v>0</v>
      </c>
      <c r="F438" s="242">
        <f t="shared" si="110"/>
        <v>64</v>
      </c>
      <c r="G438" s="242">
        <f t="shared" si="111"/>
        <v>64</v>
      </c>
      <c r="H438" s="243">
        <v>193530</v>
      </c>
      <c r="I438" s="243">
        <f t="shared" si="112"/>
        <v>12385920</v>
      </c>
      <c r="J438" s="8"/>
      <c r="K438" s="8">
        <f t="shared" si="113"/>
        <v>196530</v>
      </c>
      <c r="L438" s="8">
        <f t="shared" si="100"/>
        <v>0</v>
      </c>
      <c r="M438" s="9" t="str">
        <f t="array" ref="M438:P438">_xlfn.XLOOKUP(B438,'Neiva 2022 FASE I ACTUAL (5)'!$B$6:$B$540,'Neiva 2022 FASE I ACTUAL (5)'!$C$6:$F$540,"NO ESTA")</f>
        <v>SUMINISTRO E INSTALACIÓN ALIMENTADOR DESDE EL TABLERO GENERAL DE DISTRIBUCIÓN HASTA EL TNP2 PISO 2 EN 1 ø 3" CON 3#4/0+1#2/0N+1#4T AWG INCLUYE TERMINALES DE CONEXIÓN</v>
      </c>
      <c r="N438" s="9" t="str">
        <v xml:space="preserve">ML   </v>
      </c>
      <c r="O438" s="9">
        <v>64</v>
      </c>
      <c r="P438" s="9">
        <v>185726</v>
      </c>
      <c r="Q438" s="124" t="str">
        <f t="shared" si="103"/>
        <v>FASE II</v>
      </c>
      <c r="R438" s="155">
        <f t="shared" si="99"/>
        <v>64</v>
      </c>
      <c r="S438" s="156">
        <f t="shared" si="101"/>
        <v>196530</v>
      </c>
      <c r="T438" s="156">
        <f t="shared" si="102"/>
        <v>12577920</v>
      </c>
    </row>
    <row r="439" spans="1:20" s="9" customFormat="1" ht="35.1" customHeight="1" x14ac:dyDescent="0.25">
      <c r="A439" s="215"/>
      <c r="B439" s="255" t="s">
        <v>618</v>
      </c>
      <c r="C439" s="254" t="s">
        <v>619</v>
      </c>
      <c r="D439" s="255" t="s">
        <v>269</v>
      </c>
      <c r="E439" s="242">
        <v>0</v>
      </c>
      <c r="F439" s="242">
        <f t="shared" si="110"/>
        <v>68</v>
      </c>
      <c r="G439" s="242">
        <f t="shared" si="111"/>
        <v>68</v>
      </c>
      <c r="H439" s="243">
        <v>193530</v>
      </c>
      <c r="I439" s="243">
        <f t="shared" si="112"/>
        <v>13160040</v>
      </c>
      <c r="J439" s="8"/>
      <c r="K439" s="8">
        <f t="shared" si="113"/>
        <v>196530</v>
      </c>
      <c r="L439" s="8">
        <f t="shared" si="100"/>
        <v>0</v>
      </c>
      <c r="M439" s="9" t="str">
        <f t="array" ref="M439:P439">_xlfn.XLOOKUP(B439,'Neiva 2022 FASE I ACTUAL (5)'!$B$6:$B$540,'Neiva 2022 FASE I ACTUAL (5)'!$C$6:$F$540,"NO ESTA")</f>
        <v>SUMINISTRO E INSTALACIÓN ALIMENTADOR DESDE EL TABLERO GENERAL DE DISTRIBUCIÓN HASTA EL TNP3 PISO 3 EN 1 ø 3" CON 3#4/0+1#2/0N+1#4T AWG INCLUYE TERMINALES DE CONEXIÓN</v>
      </c>
      <c r="N439" s="9" t="str">
        <v xml:space="preserve">ML   </v>
      </c>
      <c r="O439" s="9">
        <v>68</v>
      </c>
      <c r="P439" s="9">
        <v>185726</v>
      </c>
      <c r="Q439" s="124" t="str">
        <f t="shared" si="103"/>
        <v>FASE II</v>
      </c>
      <c r="R439" s="155">
        <f t="shared" si="99"/>
        <v>68</v>
      </c>
      <c r="S439" s="156">
        <f t="shared" si="101"/>
        <v>196530</v>
      </c>
      <c r="T439" s="156">
        <f t="shared" si="102"/>
        <v>13364040</v>
      </c>
    </row>
    <row r="440" spans="1:20" s="9" customFormat="1" ht="35.1" customHeight="1" x14ac:dyDescent="0.25">
      <c r="A440" s="215"/>
      <c r="B440" s="255" t="s">
        <v>620</v>
      </c>
      <c r="C440" s="254" t="s">
        <v>621</v>
      </c>
      <c r="D440" s="255" t="s">
        <v>269</v>
      </c>
      <c r="E440" s="242">
        <v>0</v>
      </c>
      <c r="F440" s="242">
        <f t="shared" si="110"/>
        <v>72</v>
      </c>
      <c r="G440" s="242">
        <f t="shared" si="111"/>
        <v>72</v>
      </c>
      <c r="H440" s="243">
        <v>193530</v>
      </c>
      <c r="I440" s="243">
        <f t="shared" si="112"/>
        <v>13934160</v>
      </c>
      <c r="J440" s="8"/>
      <c r="K440" s="8">
        <f t="shared" si="113"/>
        <v>196530</v>
      </c>
      <c r="L440" s="8">
        <f t="shared" si="100"/>
        <v>0</v>
      </c>
      <c r="M440" s="9" t="str">
        <f t="array" ref="M440:P440">_xlfn.XLOOKUP(B440,'Neiva 2022 FASE I ACTUAL (5)'!$B$6:$B$540,'Neiva 2022 FASE I ACTUAL (5)'!$C$6:$F$540,"NO ESTA")</f>
        <v>SUMINISTRO E INSTALACIÓN ALIMENTADOR DESDE EL TABLERO GENERAL DE DISTRIBUCIÓN HASTA EL TNP3 PISO 4 EN 1 Ø 3" CON 3#4/0+1#2/0N+1#4T AWG INCLUYE TERMINALES DE CONEXIÓN</v>
      </c>
      <c r="N440" s="9" t="str">
        <v xml:space="preserve">ML   </v>
      </c>
      <c r="O440" s="9">
        <v>72</v>
      </c>
      <c r="P440" s="9">
        <v>185726</v>
      </c>
      <c r="Q440" s="124" t="str">
        <f t="shared" si="103"/>
        <v>FASE II</v>
      </c>
      <c r="R440" s="155">
        <f t="shared" si="99"/>
        <v>72</v>
      </c>
      <c r="S440" s="156">
        <f t="shared" si="101"/>
        <v>196530</v>
      </c>
      <c r="T440" s="156">
        <f t="shared" si="102"/>
        <v>14150160</v>
      </c>
    </row>
    <row r="441" spans="1:20" s="9" customFormat="1" ht="35.1" customHeight="1" x14ac:dyDescent="0.25">
      <c r="A441" s="215"/>
      <c r="B441" s="255" t="s">
        <v>622</v>
      </c>
      <c r="C441" s="254" t="s">
        <v>623</v>
      </c>
      <c r="D441" s="255" t="s">
        <v>269</v>
      </c>
      <c r="E441" s="242">
        <v>0</v>
      </c>
      <c r="F441" s="242">
        <f t="shared" si="110"/>
        <v>60</v>
      </c>
      <c r="G441" s="242">
        <f t="shared" si="111"/>
        <v>60</v>
      </c>
      <c r="H441" s="243">
        <v>173556</v>
      </c>
      <c r="I441" s="243">
        <f t="shared" si="112"/>
        <v>10413360</v>
      </c>
      <c r="J441" s="8"/>
      <c r="K441" s="8">
        <f t="shared" si="113"/>
        <v>176246</v>
      </c>
      <c r="L441" s="8">
        <f t="shared" si="100"/>
        <v>0</v>
      </c>
      <c r="M441" s="9" t="str">
        <f t="array" ref="M441:P441">_xlfn.XLOOKUP(B441,'Neiva 2022 FASE I ACTUAL (5)'!$B$6:$B$540,'Neiva 2022 FASE I ACTUAL (5)'!$C$6:$F$540,"NO ESTA")</f>
        <v xml:space="preserve">SUMINISTRO E INSTALACIÓNALIMENTADOR DESDE EL TABLERO GENERAL DE DISTRIBUCIÓN HASTA LA UPS1 PISO 1 EN 1 Ø 2" con 3#3/0+1#2/0N+1#2/OT AWG INCLUYENDO TERMINALES DE CONEXIÓN </v>
      </c>
      <c r="N441" s="9" t="str">
        <v xml:space="preserve">ML   </v>
      </c>
      <c r="O441" s="9">
        <v>60</v>
      </c>
      <c r="P441" s="9">
        <v>166558</v>
      </c>
      <c r="Q441" s="124" t="str">
        <f t="shared" si="103"/>
        <v>FASE II</v>
      </c>
      <c r="R441" s="155">
        <f t="shared" si="99"/>
        <v>60</v>
      </c>
      <c r="S441" s="156">
        <f t="shared" si="101"/>
        <v>176246</v>
      </c>
      <c r="T441" s="156">
        <f t="shared" si="102"/>
        <v>10574760</v>
      </c>
    </row>
    <row r="442" spans="1:20" s="9" customFormat="1" ht="35.1" customHeight="1" x14ac:dyDescent="0.25">
      <c r="A442" s="215"/>
      <c r="B442" s="255" t="s">
        <v>624</v>
      </c>
      <c r="C442" s="254" t="s">
        <v>625</v>
      </c>
      <c r="D442" s="255" t="s">
        <v>269</v>
      </c>
      <c r="E442" s="242">
        <v>0</v>
      </c>
      <c r="F442" s="242">
        <f t="shared" si="110"/>
        <v>7</v>
      </c>
      <c r="G442" s="242">
        <f t="shared" si="111"/>
        <v>7</v>
      </c>
      <c r="H442" s="243">
        <v>101268</v>
      </c>
      <c r="I442" s="243">
        <f t="shared" si="112"/>
        <v>708876</v>
      </c>
      <c r="J442" s="8"/>
      <c r="K442" s="8">
        <f t="shared" si="113"/>
        <v>102838</v>
      </c>
      <c r="L442" s="8">
        <f t="shared" si="100"/>
        <v>0</v>
      </c>
      <c r="M442" s="9" t="str">
        <f t="array" ref="M442:P442">_xlfn.XLOOKUP(B442,'Neiva 2022 FASE I ACTUAL (5)'!$B$6:$B$540,'Neiva 2022 FASE I ACTUAL (5)'!$C$6:$F$540,"NO ESTA")</f>
        <v xml:space="preserve">SUMINISTRO E INSTALACIÓN ALIMENTADOR DESDE UPS1 HASTA EL TABLERO REGULADO 1 PISO 1 EN 1 Ø 2" con 3#2+1#2N+1#8T AWG INCLUYENDO TERMINALES DE CONEXIÓN </v>
      </c>
      <c r="N442" s="9" t="str">
        <v xml:space="preserve">ML   </v>
      </c>
      <c r="O442" s="9">
        <v>7</v>
      </c>
      <c r="P442" s="9">
        <v>97183</v>
      </c>
      <c r="Q442" s="124" t="str">
        <f t="shared" si="103"/>
        <v>FASE II</v>
      </c>
      <c r="R442" s="155">
        <f t="shared" si="99"/>
        <v>7</v>
      </c>
      <c r="S442" s="156">
        <f t="shared" si="101"/>
        <v>102838</v>
      </c>
      <c r="T442" s="156">
        <f t="shared" si="102"/>
        <v>719866</v>
      </c>
    </row>
    <row r="443" spans="1:20" s="9" customFormat="1" ht="35.1" customHeight="1" x14ac:dyDescent="0.25">
      <c r="A443" s="215"/>
      <c r="B443" s="255" t="s">
        <v>1230</v>
      </c>
      <c r="C443" s="254" t="s">
        <v>1231</v>
      </c>
      <c r="D443" s="255" t="s">
        <v>269</v>
      </c>
      <c r="E443" s="242">
        <v>72</v>
      </c>
      <c r="F443" s="242">
        <f t="shared" si="110"/>
        <v>0</v>
      </c>
      <c r="G443" s="242">
        <f t="shared" si="111"/>
        <v>72</v>
      </c>
      <c r="H443" s="243">
        <v>173628</v>
      </c>
      <c r="I443" s="243">
        <f t="shared" si="112"/>
        <v>12501216</v>
      </c>
      <c r="J443" s="8"/>
      <c r="K443" s="8">
        <f t="shared" si="113"/>
        <v>176319</v>
      </c>
      <c r="L443" s="8">
        <f t="shared" si="100"/>
        <v>12694968</v>
      </c>
      <c r="M443" s="9" t="str">
        <f t="array" ref="M443">_xlfn.XLOOKUP(B443,'Neiva 2022 FASE I ACTUAL (5)'!$B$6:$B$540,'Neiva 2022 FASE I ACTUAL (5)'!$C$6:$F$540,"NO ESTA")</f>
        <v>NO ESTA</v>
      </c>
      <c r="Q443" s="124">
        <f t="shared" si="103"/>
        <v>0</v>
      </c>
      <c r="R443" s="155">
        <f t="shared" si="99"/>
        <v>72</v>
      </c>
      <c r="S443" s="156">
        <f t="shared" si="101"/>
        <v>176319</v>
      </c>
      <c r="T443" s="156">
        <f t="shared" si="102"/>
        <v>12694968</v>
      </c>
    </row>
    <row r="444" spans="1:20" s="9" customFormat="1" ht="35.1" customHeight="1" x14ac:dyDescent="0.25">
      <c r="A444" s="215"/>
      <c r="B444" s="255" t="s">
        <v>1232</v>
      </c>
      <c r="C444" s="254" t="s">
        <v>1233</v>
      </c>
      <c r="D444" s="255" t="s">
        <v>269</v>
      </c>
      <c r="E444" s="242">
        <v>7</v>
      </c>
      <c r="F444" s="242">
        <f t="shared" si="110"/>
        <v>0</v>
      </c>
      <c r="G444" s="242">
        <f t="shared" si="111"/>
        <v>7</v>
      </c>
      <c r="H444" s="243">
        <v>101268</v>
      </c>
      <c r="I444" s="243">
        <f t="shared" si="112"/>
        <v>708876</v>
      </c>
      <c r="J444" s="8"/>
      <c r="K444" s="8">
        <f t="shared" si="113"/>
        <v>102838</v>
      </c>
      <c r="L444" s="8">
        <f t="shared" si="100"/>
        <v>719866</v>
      </c>
      <c r="M444" s="9" t="str">
        <f t="array" ref="M444">_xlfn.XLOOKUP(B444,'Neiva 2022 FASE I ACTUAL (5)'!$B$6:$B$540,'Neiva 2022 FASE I ACTUAL (5)'!$C$6:$F$540,"NO ESTA")</f>
        <v>NO ESTA</v>
      </c>
      <c r="Q444" s="124">
        <f t="shared" si="103"/>
        <v>0</v>
      </c>
      <c r="R444" s="155">
        <f t="shared" si="99"/>
        <v>7</v>
      </c>
      <c r="S444" s="156">
        <f t="shared" si="101"/>
        <v>102838</v>
      </c>
      <c r="T444" s="156">
        <f t="shared" si="102"/>
        <v>719866</v>
      </c>
    </row>
    <row r="445" spans="1:20" s="9" customFormat="1" ht="35.1" customHeight="1" x14ac:dyDescent="0.25">
      <c r="A445" s="215"/>
      <c r="B445" s="255" t="s">
        <v>1234</v>
      </c>
      <c r="C445" s="254" t="s">
        <v>1235</v>
      </c>
      <c r="D445" s="255" t="s">
        <v>269</v>
      </c>
      <c r="E445" s="242">
        <v>76</v>
      </c>
      <c r="F445" s="242">
        <f t="shared" si="110"/>
        <v>0</v>
      </c>
      <c r="G445" s="242">
        <f t="shared" si="111"/>
        <v>76</v>
      </c>
      <c r="H445" s="243">
        <v>481509</v>
      </c>
      <c r="I445" s="243">
        <f t="shared" si="112"/>
        <v>36594684</v>
      </c>
      <c r="J445" s="8"/>
      <c r="K445" s="8">
        <f t="shared" si="113"/>
        <v>488972</v>
      </c>
      <c r="L445" s="8">
        <f t="shared" si="100"/>
        <v>37161872</v>
      </c>
      <c r="M445" s="9" t="str">
        <f t="array" ref="M445">_xlfn.XLOOKUP(B445,'Neiva 2022 FASE I ACTUAL (5)'!$B$6:$B$540,'Neiva 2022 FASE I ACTUAL (5)'!$C$6:$F$540,"NO ESTA")</f>
        <v>NO ESTA</v>
      </c>
      <c r="Q445" s="124">
        <f t="shared" si="103"/>
        <v>0</v>
      </c>
      <c r="R445" s="155">
        <f t="shared" si="99"/>
        <v>76</v>
      </c>
      <c r="S445" s="156">
        <f t="shared" si="101"/>
        <v>488972</v>
      </c>
      <c r="T445" s="156">
        <f t="shared" si="102"/>
        <v>37161872</v>
      </c>
    </row>
    <row r="446" spans="1:20" s="9" customFormat="1" ht="35.1" customHeight="1" x14ac:dyDescent="0.25">
      <c r="A446" s="215"/>
      <c r="B446" s="255" t="s">
        <v>1236</v>
      </c>
      <c r="C446" s="254" t="s">
        <v>1237</v>
      </c>
      <c r="D446" s="255" t="s">
        <v>269</v>
      </c>
      <c r="E446" s="242">
        <v>76</v>
      </c>
      <c r="F446" s="242">
        <f t="shared" si="110"/>
        <v>0</v>
      </c>
      <c r="G446" s="242">
        <f t="shared" si="111"/>
        <v>76</v>
      </c>
      <c r="H446" s="243">
        <v>481509</v>
      </c>
      <c r="I446" s="243">
        <f t="shared" si="112"/>
        <v>36594684</v>
      </c>
      <c r="J446" s="8"/>
      <c r="K446" s="8">
        <f t="shared" si="113"/>
        <v>488972</v>
      </c>
      <c r="L446" s="8">
        <f t="shared" si="100"/>
        <v>37161872</v>
      </c>
      <c r="M446" s="9" t="str">
        <f t="array" ref="M446">_xlfn.XLOOKUP(B446,'Neiva 2022 FASE I ACTUAL (5)'!$B$6:$B$540,'Neiva 2022 FASE I ACTUAL (5)'!$C$6:$F$540,"NO ESTA")</f>
        <v>NO ESTA</v>
      </c>
      <c r="Q446" s="124">
        <f t="shared" si="103"/>
        <v>0</v>
      </c>
      <c r="R446" s="155">
        <f t="shared" si="99"/>
        <v>76</v>
      </c>
      <c r="S446" s="156">
        <f t="shared" si="101"/>
        <v>488972</v>
      </c>
      <c r="T446" s="156">
        <f t="shared" si="102"/>
        <v>37161872</v>
      </c>
    </row>
    <row r="447" spans="1:20" s="9" customFormat="1" ht="35.1" customHeight="1" x14ac:dyDescent="0.25">
      <c r="A447" s="215"/>
      <c r="B447" s="255" t="s">
        <v>626</v>
      </c>
      <c r="C447" s="254" t="s">
        <v>1238</v>
      </c>
      <c r="D447" s="255" t="s">
        <v>269</v>
      </c>
      <c r="E447" s="242">
        <v>0</v>
      </c>
      <c r="F447" s="242">
        <f t="shared" si="110"/>
        <v>102</v>
      </c>
      <c r="G447" s="242">
        <f t="shared" si="111"/>
        <v>102</v>
      </c>
      <c r="H447" s="243">
        <v>164953</v>
      </c>
      <c r="I447" s="243">
        <f t="shared" si="112"/>
        <v>16825206</v>
      </c>
      <c r="J447" s="8"/>
      <c r="K447" s="8">
        <f t="shared" si="113"/>
        <v>167510</v>
      </c>
      <c r="L447" s="8">
        <f t="shared" si="100"/>
        <v>0</v>
      </c>
      <c r="M447" s="9" t="str">
        <f t="array" ref="M447:P447">_xlfn.XLOOKUP(B447,'Neiva 2022 FASE I ACTUAL (5)'!$B$6:$B$540,'Neiva 2022 FASE I ACTUAL (5)'!$C$6:$F$540,"NO ESTA")</f>
        <v>SUMINISTRO E INSTALACIÓN ALIMENTADOR DESDE TRANSFERENCIA HASTA BOMBA CONTRA INCENDIOS EN 1Ø3" CON  3#4/0+1#2/0N+1#4T AWG INCLUYENDO TERMINALES DE CONEXIÓN.</v>
      </c>
      <c r="N447" s="9" t="str">
        <v xml:space="preserve">ML   </v>
      </c>
      <c r="O447" s="9">
        <v>102</v>
      </c>
      <c r="P447" s="9">
        <v>158300</v>
      </c>
      <c r="Q447" s="124" t="str">
        <f t="shared" si="103"/>
        <v>FASE II</v>
      </c>
      <c r="R447" s="155">
        <f t="shared" si="99"/>
        <v>102</v>
      </c>
      <c r="S447" s="156">
        <f t="shared" si="101"/>
        <v>167510</v>
      </c>
      <c r="T447" s="156">
        <f t="shared" si="102"/>
        <v>17086020</v>
      </c>
    </row>
    <row r="448" spans="1:20" s="9" customFormat="1" ht="35.1" customHeight="1" x14ac:dyDescent="0.25">
      <c r="A448" s="215"/>
      <c r="B448" s="289" t="s">
        <v>628</v>
      </c>
      <c r="C448" s="256" t="s">
        <v>629</v>
      </c>
      <c r="D448" s="256"/>
      <c r="E448" s="246"/>
      <c r="F448" s="246"/>
      <c r="G448" s="246"/>
      <c r="H448" s="303"/>
      <c r="I448" s="246"/>
      <c r="J448" s="8"/>
      <c r="K448" s="8">
        <f t="shared" si="113"/>
        <v>0</v>
      </c>
      <c r="L448" s="8">
        <f t="shared" si="100"/>
        <v>0</v>
      </c>
      <c r="M448" s="9" t="str">
        <f t="array" ref="M448:P448">_xlfn.XLOOKUP(B448,'Neiva 2022 FASE I ACTUAL (5)'!$B$6:$B$540,'Neiva 2022 FASE I ACTUAL (5)'!$C$6:$F$540,"NO ESTA")</f>
        <v xml:space="preserve">SUMINISTRO E INSTALACIÓN DE CANALIZACIONES </v>
      </c>
      <c r="N448" s="9">
        <v>0</v>
      </c>
      <c r="O448" s="9">
        <v>0</v>
      </c>
      <c r="P448" s="9">
        <v>0</v>
      </c>
      <c r="Q448" s="124">
        <f t="shared" si="103"/>
        <v>0</v>
      </c>
      <c r="R448" s="155">
        <f t="shared" si="99"/>
        <v>0</v>
      </c>
      <c r="S448" s="156">
        <f t="shared" si="101"/>
        <v>0</v>
      </c>
      <c r="T448" s="156">
        <f t="shared" si="102"/>
        <v>0</v>
      </c>
    </row>
    <row r="449" spans="1:20" s="9" customFormat="1" ht="35.1" customHeight="1" x14ac:dyDescent="0.25">
      <c r="A449" s="215"/>
      <c r="B449" s="255" t="s">
        <v>630</v>
      </c>
      <c r="C449" s="254" t="s">
        <v>631</v>
      </c>
      <c r="D449" s="255" t="s">
        <v>269</v>
      </c>
      <c r="E449" s="242">
        <v>0</v>
      </c>
      <c r="F449" s="242">
        <f>+O449</f>
        <v>50</v>
      </c>
      <c r="G449" s="242">
        <f>+F449+E449</f>
        <v>50</v>
      </c>
      <c r="H449" s="243">
        <v>36915</v>
      </c>
      <c r="I449" s="243">
        <f>ROUND(+H449*G449,2)</f>
        <v>1845750</v>
      </c>
      <c r="J449" s="8"/>
      <c r="K449" s="8">
        <f t="shared" si="113"/>
        <v>37487</v>
      </c>
      <c r="L449" s="8">
        <f t="shared" si="100"/>
        <v>0</v>
      </c>
      <c r="M449" s="9" t="str">
        <f t="array" ref="M449:P449">_xlfn.XLOOKUP(B449,'Neiva 2022 FASE I ACTUAL (5)'!$B$6:$B$540,'Neiva 2022 FASE I ACTUAL (5)'!$C$6:$F$540,"NO ESTA")</f>
        <v>SUMINISTRO E INSTALACIÓN TUBERÍA PVC Ø 4" (Incluye todos los materiales para su instalación)</v>
      </c>
      <c r="N449" s="9" t="str">
        <v xml:space="preserve">ML   </v>
      </c>
      <c r="O449" s="9">
        <v>50</v>
      </c>
      <c r="P449" s="9">
        <v>35427</v>
      </c>
      <c r="Q449" s="124" t="str">
        <f t="shared" si="103"/>
        <v>FASE II</v>
      </c>
      <c r="R449" s="155">
        <f t="shared" si="99"/>
        <v>50</v>
      </c>
      <c r="S449" s="156">
        <f t="shared" si="101"/>
        <v>37487</v>
      </c>
      <c r="T449" s="156">
        <f t="shared" si="102"/>
        <v>1874350</v>
      </c>
    </row>
    <row r="450" spans="1:20" s="9" customFormat="1" ht="35.1" customHeight="1" x14ac:dyDescent="0.25">
      <c r="A450" s="215"/>
      <c r="B450" s="255" t="s">
        <v>632</v>
      </c>
      <c r="C450" s="254" t="s">
        <v>1239</v>
      </c>
      <c r="D450" s="255" t="s">
        <v>269</v>
      </c>
      <c r="E450" s="242">
        <v>0</v>
      </c>
      <c r="F450" s="242">
        <f>+O450</f>
        <v>100</v>
      </c>
      <c r="G450" s="242">
        <f>+F450+E450</f>
        <v>100</v>
      </c>
      <c r="H450" s="243">
        <v>66856</v>
      </c>
      <c r="I450" s="243">
        <f>ROUND(+H450*G450,2)</f>
        <v>6685600</v>
      </c>
      <c r="J450" s="8"/>
      <c r="K450" s="8">
        <f t="shared" si="113"/>
        <v>67892</v>
      </c>
      <c r="L450" s="8">
        <f t="shared" si="100"/>
        <v>0</v>
      </c>
      <c r="M450" s="9" t="str">
        <f t="array" ref="M450:P450">_xlfn.XLOOKUP(B450,'Neiva 2022 FASE I ACTUAL (5)'!$B$6:$B$540,'Neiva 2022 FASE I ACTUAL (5)'!$C$6:$F$540,"NO ESTA")</f>
        <v>SUMINISTRO E INSTALACIÓN TUBERÍA PVC Ø 6" (Incluye todos los materiales para su instalación)</v>
      </c>
      <c r="N450" s="9" t="str">
        <v xml:space="preserve">ML   </v>
      </c>
      <c r="O450" s="9">
        <v>100</v>
      </c>
      <c r="P450" s="9">
        <v>64159</v>
      </c>
      <c r="Q450" s="124" t="str">
        <f t="shared" si="103"/>
        <v>FASE II</v>
      </c>
      <c r="R450" s="155">
        <f t="shared" si="99"/>
        <v>100</v>
      </c>
      <c r="S450" s="156">
        <f t="shared" si="101"/>
        <v>67892</v>
      </c>
      <c r="T450" s="156">
        <f t="shared" si="102"/>
        <v>6789200</v>
      </c>
    </row>
    <row r="451" spans="1:20" s="9" customFormat="1" ht="39.950000000000003" customHeight="1" x14ac:dyDescent="0.25">
      <c r="A451" s="215"/>
      <c r="B451" s="289" t="s">
        <v>634</v>
      </c>
      <c r="C451" s="256" t="s">
        <v>635</v>
      </c>
      <c r="D451" s="256"/>
      <c r="E451" s="246"/>
      <c r="F451" s="246"/>
      <c r="G451" s="246"/>
      <c r="H451" s="303"/>
      <c r="I451" s="246"/>
      <c r="J451" s="8"/>
      <c r="K451" s="8">
        <f t="shared" si="113"/>
        <v>0</v>
      </c>
      <c r="L451" s="8">
        <f t="shared" si="100"/>
        <v>0</v>
      </c>
      <c r="M451" s="9" t="str">
        <f t="array" ref="M451:P451">_xlfn.XLOOKUP(B451,'Neiva 2022 FASE I ACTUAL (5)'!$B$6:$B$540,'Neiva 2022 FASE I ACTUAL (5)'!$C$6:$F$540,"NO ESTA")</f>
        <v>SUMINISTRO E INSTALACIÓN DE TABLEROS E INTERRUPTORES</v>
      </c>
      <c r="N451" s="9">
        <v>0</v>
      </c>
      <c r="O451" s="9">
        <v>0</v>
      </c>
      <c r="P451" s="9">
        <v>0</v>
      </c>
      <c r="Q451" s="124">
        <f t="shared" si="103"/>
        <v>0</v>
      </c>
      <c r="R451" s="155">
        <f t="shared" si="99"/>
        <v>0</v>
      </c>
      <c r="S451" s="156">
        <f t="shared" si="101"/>
        <v>0</v>
      </c>
      <c r="T451" s="156">
        <f t="shared" si="102"/>
        <v>0</v>
      </c>
    </row>
    <row r="452" spans="1:20" s="9" customFormat="1" ht="39.950000000000003" customHeight="1" x14ac:dyDescent="0.25">
      <c r="A452" s="215"/>
      <c r="B452" s="255" t="s">
        <v>636</v>
      </c>
      <c r="C452" s="254" t="s">
        <v>637</v>
      </c>
      <c r="D452" s="255" t="s">
        <v>374</v>
      </c>
      <c r="E452" s="242">
        <v>0</v>
      </c>
      <c r="F452" s="242">
        <f t="shared" ref="F452:F458" si="114">+O452</f>
        <v>1</v>
      </c>
      <c r="G452" s="242">
        <f t="shared" ref="G452:G458" si="115">+F452+E452</f>
        <v>1</v>
      </c>
      <c r="H452" s="243">
        <v>863376</v>
      </c>
      <c r="I452" s="243">
        <f t="shared" ref="I452:I458" si="116">ROUND(+H452*G452,2)</f>
        <v>863376</v>
      </c>
      <c r="J452" s="8"/>
      <c r="K452" s="8">
        <f t="shared" si="113"/>
        <v>876758</v>
      </c>
      <c r="L452" s="8">
        <f t="shared" si="100"/>
        <v>0</v>
      </c>
      <c r="M452" s="9" t="str">
        <f t="array" ref="M452:P452">_xlfn.XLOOKUP(B452,'Neiva 2022 FASE I ACTUAL (5)'!$B$6:$B$540,'Neiva 2022 FASE I ACTUAL (5)'!$C$6:$F$540,"NO ESTA")</f>
        <v>SUMINISTRO E INSTALACIÓN TABLERO AUTOMATICO DE 38 CIRCUITOS TIPO PESADO CON PUERTA Y CERRRADURA DE CIERRE, CERRADURA Y ESPACIO TOTALIZADOR INDUSTRIAL (TNP4)</v>
      </c>
      <c r="N452" s="9" t="str">
        <v>UN</v>
      </c>
      <c r="O452" s="9">
        <v>1</v>
      </c>
      <c r="P452" s="9">
        <v>828556</v>
      </c>
      <c r="Q452" s="124" t="str">
        <f t="shared" si="103"/>
        <v>FASE II</v>
      </c>
      <c r="R452" s="155">
        <f t="shared" si="99"/>
        <v>1</v>
      </c>
      <c r="S452" s="156">
        <f t="shared" si="101"/>
        <v>876758</v>
      </c>
      <c r="T452" s="156">
        <f t="shared" si="102"/>
        <v>876758</v>
      </c>
    </row>
    <row r="453" spans="1:20" s="9" customFormat="1" ht="39.950000000000003" customHeight="1" x14ac:dyDescent="0.25">
      <c r="A453" s="215"/>
      <c r="B453" s="255" t="s">
        <v>638</v>
      </c>
      <c r="C453" s="254" t="s">
        <v>639</v>
      </c>
      <c r="D453" s="255" t="s">
        <v>374</v>
      </c>
      <c r="E453" s="242">
        <v>0</v>
      </c>
      <c r="F453" s="242">
        <f t="shared" si="114"/>
        <v>1</v>
      </c>
      <c r="G453" s="242">
        <f t="shared" si="115"/>
        <v>1</v>
      </c>
      <c r="H453" s="243">
        <v>693505</v>
      </c>
      <c r="I453" s="243">
        <f t="shared" si="116"/>
        <v>693505</v>
      </c>
      <c r="J453" s="8"/>
      <c r="K453" s="8">
        <f t="shared" si="113"/>
        <v>704254</v>
      </c>
      <c r="L453" s="8">
        <f t="shared" si="100"/>
        <v>0</v>
      </c>
      <c r="M453" s="9" t="str">
        <f t="array" ref="M453:P453">_xlfn.XLOOKUP(B453,'Neiva 2022 FASE I ACTUAL (5)'!$B$6:$B$540,'Neiva 2022 FASE I ACTUAL (5)'!$C$6:$F$540,"NO ESTA")</f>
        <v xml:space="preserve">SUMINISTRO E INSTALACIÓN TABLERO AUTOMATICO DE 18 CIRCUITOS TIPO PESADO CON PUERTA Y CERRRADURA DE CIERRE, CERRADURA Y ESPACIO TOTALIZADOR INDUSTRIAL CON BARRAJE DE TIERRA AISLADA. </v>
      </c>
      <c r="N453" s="9" t="str">
        <v>UN</v>
      </c>
      <c r="O453" s="9">
        <v>1</v>
      </c>
      <c r="P453" s="9">
        <v>665537</v>
      </c>
      <c r="Q453" s="124" t="str">
        <f t="shared" si="103"/>
        <v>FASE II</v>
      </c>
      <c r="R453" s="155">
        <f t="shared" si="99"/>
        <v>1</v>
      </c>
      <c r="S453" s="156">
        <f t="shared" si="101"/>
        <v>704254</v>
      </c>
      <c r="T453" s="156">
        <f t="shared" si="102"/>
        <v>704254</v>
      </c>
    </row>
    <row r="454" spans="1:20" s="9" customFormat="1" ht="39.950000000000003" customHeight="1" x14ac:dyDescent="0.25">
      <c r="A454" s="215"/>
      <c r="B454" s="255" t="s">
        <v>640</v>
      </c>
      <c r="C454" s="254" t="s">
        <v>641</v>
      </c>
      <c r="D454" s="255" t="s">
        <v>374</v>
      </c>
      <c r="E454" s="242">
        <v>0</v>
      </c>
      <c r="F454" s="242">
        <f t="shared" si="114"/>
        <v>3</v>
      </c>
      <c r="G454" s="242">
        <f t="shared" si="115"/>
        <v>3</v>
      </c>
      <c r="H454" s="243">
        <v>696874</v>
      </c>
      <c r="I454" s="243">
        <f t="shared" si="116"/>
        <v>2090622</v>
      </c>
      <c r="J454" s="8"/>
      <c r="K454" s="8">
        <f t="shared" si="113"/>
        <v>707676</v>
      </c>
      <c r="L454" s="8">
        <f t="shared" si="100"/>
        <v>0</v>
      </c>
      <c r="M454" s="9" t="str">
        <f t="array" ref="M454:P454">_xlfn.XLOOKUP(B454,'Neiva 2022 FASE I ACTUAL (5)'!$B$6:$B$540,'Neiva 2022 FASE I ACTUAL (5)'!$C$6:$F$540,"NO ESTA")</f>
        <v>SUMINISTRO E INSTALACIÓN TABLERO AUTOMATICO DE 24 CIRCUITOS TIPO PESADO CON PUERTA Y CERRRADURA DE CIERRE, CERRADURA Y ESPACIO TOTALIZADOR INDUSTRIAL CON BARRAJE DE TIERRA AISLADA (TNS, TR1, TR2)</v>
      </c>
      <c r="N454" s="9" t="str">
        <v>UN</v>
      </c>
      <c r="O454" s="9">
        <v>3</v>
      </c>
      <c r="P454" s="9">
        <v>668770</v>
      </c>
      <c r="Q454" s="124" t="str">
        <f t="shared" si="103"/>
        <v>FASE II</v>
      </c>
      <c r="R454" s="155">
        <f t="shared" ref="R454:R517" si="117">E454+O454</f>
        <v>3</v>
      </c>
      <c r="S454" s="156">
        <f t="shared" si="101"/>
        <v>707676</v>
      </c>
      <c r="T454" s="156">
        <f t="shared" si="102"/>
        <v>2123028</v>
      </c>
    </row>
    <row r="455" spans="1:20" s="9" customFormat="1" ht="39.950000000000003" customHeight="1" x14ac:dyDescent="0.25">
      <c r="A455" s="215"/>
      <c r="B455" s="255" t="s">
        <v>642</v>
      </c>
      <c r="C455" s="254" t="s">
        <v>643</v>
      </c>
      <c r="D455" s="255" t="s">
        <v>374</v>
      </c>
      <c r="E455" s="242">
        <v>0</v>
      </c>
      <c r="F455" s="242">
        <f t="shared" si="114"/>
        <v>3</v>
      </c>
      <c r="G455" s="242">
        <f t="shared" si="115"/>
        <v>3</v>
      </c>
      <c r="H455" s="243">
        <v>978225</v>
      </c>
      <c r="I455" s="243">
        <f t="shared" si="116"/>
        <v>2934675</v>
      </c>
      <c r="J455" s="8"/>
      <c r="K455" s="8">
        <f t="shared" si="113"/>
        <v>993387</v>
      </c>
      <c r="L455" s="8">
        <f t="shared" ref="L455:L518" si="118">+K455*E455</f>
        <v>0</v>
      </c>
      <c r="M455" s="9" t="str">
        <f t="array" ref="M455:P455">_xlfn.XLOOKUP(B455,'Neiva 2022 FASE I ACTUAL (5)'!$B$6:$B$540,'Neiva 2022 FASE I ACTUAL (5)'!$C$6:$F$540,"NO ESTA")</f>
        <v>SUMINISTRO E INSTALACIÓN TABLERO AUTOMATICO DE 42 CIRCUITOS TIPO PESADO CON PUERTA Y CERRRADURA DE CIERRE, CERRADURA Y ESPACIO TOTALIZADOR INDUSTRIAL (TNP1, TNP2, TNP3)</v>
      </c>
      <c r="N455" s="9" t="str">
        <v>UN</v>
      </c>
      <c r="O455" s="9">
        <v>3</v>
      </c>
      <c r="P455" s="9">
        <v>938774</v>
      </c>
      <c r="Q455" s="124" t="str">
        <f t="shared" si="103"/>
        <v>FASE II</v>
      </c>
      <c r="R455" s="155">
        <f t="shared" si="117"/>
        <v>3</v>
      </c>
      <c r="S455" s="156">
        <f t="shared" ref="S455:S518" si="119">MAX(P455,H455,K455)</f>
        <v>993387</v>
      </c>
      <c r="T455" s="156">
        <f t="shared" ref="T455:T518" si="120">ROUND(R455*S455,2)</f>
        <v>2980161</v>
      </c>
    </row>
    <row r="456" spans="1:20" s="9" customFormat="1" ht="39.950000000000003" customHeight="1" x14ac:dyDescent="0.25">
      <c r="A456" s="215"/>
      <c r="B456" s="255" t="s">
        <v>644</v>
      </c>
      <c r="C456" s="87" t="s">
        <v>645</v>
      </c>
      <c r="D456" s="255" t="s">
        <v>374</v>
      </c>
      <c r="E456" s="242">
        <v>51</v>
      </c>
      <c r="F456" s="242">
        <f t="shared" si="114"/>
        <v>19</v>
      </c>
      <c r="G456" s="242">
        <f t="shared" si="115"/>
        <v>70</v>
      </c>
      <c r="H456" s="243">
        <v>20874</v>
      </c>
      <c r="I456" s="243">
        <f t="shared" si="116"/>
        <v>1461180</v>
      </c>
      <c r="J456" s="8"/>
      <c r="K456" s="8">
        <f t="shared" si="113"/>
        <v>21198</v>
      </c>
      <c r="L456" s="8">
        <f t="shared" si="118"/>
        <v>1081098</v>
      </c>
      <c r="M456" s="9" t="str">
        <f t="array" ref="M456:P456">_xlfn.XLOOKUP(B456,'Neiva 2022 FASE I ACTUAL (5)'!$B$6:$B$540,'Neiva 2022 FASE I ACTUAL (5)'!$C$6:$F$540,"NO ESTA")</f>
        <v>SUMINISTRO E INSTALACIÓN INTERRUPTORES AUTOMÁTICOS ENCHUFABLES 240 V. 10kA 1x20 AMPS. TIPO ENCHUFABLE 10 Ka 240V.</v>
      </c>
      <c r="N456" s="9" t="str">
        <v>UN</v>
      </c>
      <c r="O456" s="9">
        <v>19</v>
      </c>
      <c r="P456" s="9">
        <v>20032</v>
      </c>
      <c r="Q456" s="124" t="str">
        <f t="shared" ref="Q456:Q519" si="121">IF(P456=0,0,(IF(H456&lt;P456, "FASE I","FASE II")))</f>
        <v>FASE II</v>
      </c>
      <c r="R456" s="155">
        <f t="shared" si="117"/>
        <v>70</v>
      </c>
      <c r="S456" s="156">
        <f t="shared" si="119"/>
        <v>21198</v>
      </c>
      <c r="T456" s="156">
        <f t="shared" si="120"/>
        <v>1483860</v>
      </c>
    </row>
    <row r="457" spans="1:20" s="9" customFormat="1" ht="39.950000000000003" customHeight="1" x14ac:dyDescent="0.25">
      <c r="A457" s="215"/>
      <c r="B457" s="255" t="s">
        <v>646</v>
      </c>
      <c r="C457" s="87" t="s">
        <v>647</v>
      </c>
      <c r="D457" s="255" t="s">
        <v>374</v>
      </c>
      <c r="E457" s="242">
        <v>36</v>
      </c>
      <c r="F457" s="242">
        <f t="shared" si="114"/>
        <v>14</v>
      </c>
      <c r="G457" s="242">
        <f t="shared" si="115"/>
        <v>50</v>
      </c>
      <c r="H457" s="243">
        <v>20874</v>
      </c>
      <c r="I457" s="243">
        <f t="shared" si="116"/>
        <v>1043700</v>
      </c>
      <c r="J457" s="8"/>
      <c r="K457" s="8">
        <f t="shared" si="113"/>
        <v>21198</v>
      </c>
      <c r="L457" s="8">
        <f t="shared" si="118"/>
        <v>763128</v>
      </c>
      <c r="M457" s="9" t="str">
        <f t="array" ref="M457:P457">_xlfn.XLOOKUP(B457,'Neiva 2022 FASE I ACTUAL (5)'!$B$6:$B$540,'Neiva 2022 FASE I ACTUAL (5)'!$C$6:$F$540,"NO ESTA")</f>
        <v>SUMINISTRO E INSTALACIÓN INTERRUPTORES AUTOMÁTICOS ENCHUFABLES 240 V. 10kA 1x30 AMPS. TIPO ENCHUFABLE 10 Ka 240V.</v>
      </c>
      <c r="N457" s="9" t="str">
        <v>UN</v>
      </c>
      <c r="O457" s="9">
        <v>14</v>
      </c>
      <c r="P457" s="9">
        <v>20032</v>
      </c>
      <c r="Q457" s="124" t="str">
        <f t="shared" si="121"/>
        <v>FASE II</v>
      </c>
      <c r="R457" s="155">
        <f t="shared" si="117"/>
        <v>50</v>
      </c>
      <c r="S457" s="156">
        <f t="shared" si="119"/>
        <v>21198</v>
      </c>
      <c r="T457" s="156">
        <f t="shared" si="120"/>
        <v>1059900</v>
      </c>
    </row>
    <row r="458" spans="1:20" s="9" customFormat="1" ht="39.950000000000003" customHeight="1" x14ac:dyDescent="0.25">
      <c r="A458" s="215"/>
      <c r="B458" s="255" t="s">
        <v>648</v>
      </c>
      <c r="C458" s="87" t="s">
        <v>649</v>
      </c>
      <c r="D458" s="255" t="s">
        <v>374</v>
      </c>
      <c r="E458" s="242">
        <v>4</v>
      </c>
      <c r="F458" s="242">
        <f t="shared" si="114"/>
        <v>2</v>
      </c>
      <c r="G458" s="242">
        <f t="shared" si="115"/>
        <v>6</v>
      </c>
      <c r="H458" s="243">
        <v>58941</v>
      </c>
      <c r="I458" s="243">
        <f t="shared" si="116"/>
        <v>353646</v>
      </c>
      <c r="J458" s="8"/>
      <c r="K458" s="8">
        <f t="shared" si="113"/>
        <v>59855</v>
      </c>
      <c r="L458" s="8">
        <f t="shared" si="118"/>
        <v>239420</v>
      </c>
      <c r="M458" s="9" t="str">
        <f t="array" ref="M458:P458">_xlfn.XLOOKUP(B458,'Neiva 2022 FASE I ACTUAL (5)'!$B$6:$B$540,'Neiva 2022 FASE I ACTUAL (5)'!$C$6:$F$540,"NO ESTA")</f>
        <v>SUMINISTRO E INSTALACIÓN INTERRUPTORES AUTOMÁTICOS ENCHUFABLES 240 V. 10kA 3x30 AMPS. TIPO ENCHUFABLE 10 Ka 240V.</v>
      </c>
      <c r="N458" s="9" t="str">
        <v>UN</v>
      </c>
      <c r="O458" s="9">
        <v>2</v>
      </c>
      <c r="P458" s="9">
        <v>56563</v>
      </c>
      <c r="Q458" s="124" t="str">
        <f t="shared" si="121"/>
        <v>FASE II</v>
      </c>
      <c r="R458" s="155">
        <f t="shared" si="117"/>
        <v>6</v>
      </c>
      <c r="S458" s="156">
        <f t="shared" si="119"/>
        <v>59855</v>
      </c>
      <c r="T458" s="156">
        <f t="shared" si="120"/>
        <v>359130</v>
      </c>
    </row>
    <row r="459" spans="1:20" s="9" customFormat="1" ht="39.950000000000003" customHeight="1" x14ac:dyDescent="0.25">
      <c r="A459" s="215"/>
      <c r="B459" s="289" t="s">
        <v>650</v>
      </c>
      <c r="C459" s="256" t="s">
        <v>1240</v>
      </c>
      <c r="D459" s="256"/>
      <c r="E459" s="256"/>
      <c r="F459" s="256"/>
      <c r="G459" s="256"/>
      <c r="H459" s="310"/>
      <c r="I459" s="256"/>
      <c r="J459" s="8"/>
      <c r="K459" s="8">
        <f t="shared" si="113"/>
        <v>0</v>
      </c>
      <c r="L459" s="8">
        <f t="shared" si="118"/>
        <v>0</v>
      </c>
      <c r="M459" s="9" t="str">
        <f t="array" ref="M459:P459">_xlfn.XLOOKUP(B459,'Neiva 2022 FASE I ACTUAL (5)'!$B$6:$B$540,'Neiva 2022 FASE I ACTUAL (5)'!$C$6:$F$540,"NO ESTA")</f>
        <v>SUMINISTRO E INSTALACIÓN CONSOLA DE CONTROL REMOTO ALUMBRADO ZONAS COMUNES Y EXTERIOR UBICADA EN LA RECEPCIÓN</v>
      </c>
      <c r="N459" s="9">
        <v>0</v>
      </c>
      <c r="O459" s="9">
        <v>0</v>
      </c>
      <c r="P459" s="9">
        <v>0</v>
      </c>
      <c r="Q459" s="124">
        <f t="shared" si="121"/>
        <v>0</v>
      </c>
      <c r="R459" s="155">
        <f t="shared" si="117"/>
        <v>0</v>
      </c>
      <c r="S459" s="156">
        <f t="shared" si="119"/>
        <v>0</v>
      </c>
      <c r="T459" s="156">
        <f t="shared" si="120"/>
        <v>0</v>
      </c>
    </row>
    <row r="460" spans="1:20" s="9" customFormat="1" ht="39.950000000000003" customHeight="1" x14ac:dyDescent="0.25">
      <c r="A460" s="215"/>
      <c r="B460" s="255" t="s">
        <v>652</v>
      </c>
      <c r="C460" s="254" t="s">
        <v>1241</v>
      </c>
      <c r="D460" s="255" t="s">
        <v>374</v>
      </c>
      <c r="E460" s="242">
        <v>0</v>
      </c>
      <c r="F460" s="242">
        <f>+O460</f>
        <v>1</v>
      </c>
      <c r="G460" s="242">
        <f>+F460+E460</f>
        <v>1</v>
      </c>
      <c r="H460" s="243">
        <v>591231</v>
      </c>
      <c r="I460" s="243">
        <f>ROUND(+H460*G460,2)</f>
        <v>591231</v>
      </c>
      <c r="J460" s="8"/>
      <c r="K460" s="8">
        <f t="shared" si="113"/>
        <v>600395</v>
      </c>
      <c r="L460" s="8">
        <f t="shared" si="118"/>
        <v>0</v>
      </c>
      <c r="M460" s="9" t="str">
        <f t="array" ref="M460:P460">_xlfn.XLOOKUP(B460,'Neiva 2022 FASE I ACTUAL (5)'!$B$6:$B$540,'Neiva 2022 FASE I ACTUAL (5)'!$C$6:$F$540,"NO ESTA")</f>
        <v>SUMINISTRO E INSTALACIÓN GABINETE DE 30x30x15 cm, CONSTRUIDO EN LÁMINA CALIBRE 18 QUE INCLUYA: SEIS (6) CONMUTADORES DE MULETILLA CONTACTO MANTENIDO 2 POSICIONES, BORNERAS, CANALETAS DE CABLEADO Y TERMINALES DE IDENTIFICACIÓN Y SEIS (6) BOMBILLOS DE NEON QUE INDICAN EL ENCENDIDO DE LOS CONTACTORES (13 ÚTILES)</v>
      </c>
      <c r="N460" s="9" t="str">
        <v>UN</v>
      </c>
      <c r="O460" s="9">
        <v>1</v>
      </c>
      <c r="P460" s="9">
        <v>567387</v>
      </c>
      <c r="Q460" s="124" t="str">
        <f t="shared" si="121"/>
        <v>FASE II</v>
      </c>
      <c r="R460" s="155">
        <f t="shared" si="117"/>
        <v>1</v>
      </c>
      <c r="S460" s="156">
        <f t="shared" si="119"/>
        <v>600395</v>
      </c>
      <c r="T460" s="156">
        <f t="shared" si="120"/>
        <v>600395</v>
      </c>
    </row>
    <row r="461" spans="1:20" s="9" customFormat="1" ht="39.950000000000003" customHeight="1" x14ac:dyDescent="0.25">
      <c r="A461" s="215"/>
      <c r="B461" s="289" t="s">
        <v>654</v>
      </c>
      <c r="C461" s="256" t="s">
        <v>655</v>
      </c>
      <c r="D461" s="256"/>
      <c r="E461" s="246"/>
      <c r="F461" s="256"/>
      <c r="G461" s="256"/>
      <c r="H461" s="310"/>
      <c r="I461" s="256"/>
      <c r="J461" s="8"/>
      <c r="K461" s="8">
        <f t="shared" si="113"/>
        <v>0</v>
      </c>
      <c r="L461" s="8">
        <f t="shared" si="118"/>
        <v>0</v>
      </c>
      <c r="M461" s="9" t="str">
        <f t="array" ref="M461:P461">_xlfn.XLOOKUP(B461,'Neiva 2022 FASE I ACTUAL (5)'!$B$6:$B$540,'Neiva 2022 FASE I ACTUAL (5)'!$C$6:$F$540,"NO ESTA")</f>
        <v>SUMINISTRO E INSTALACIÓN TABLEROS DE DISTRIBUCIÓN GENERAL</v>
      </c>
      <c r="N461" s="9">
        <v>0</v>
      </c>
      <c r="O461" s="9">
        <v>0</v>
      </c>
      <c r="P461" s="9">
        <v>0</v>
      </c>
      <c r="Q461" s="124">
        <f t="shared" si="121"/>
        <v>0</v>
      </c>
      <c r="R461" s="155">
        <f t="shared" si="117"/>
        <v>0</v>
      </c>
      <c r="S461" s="156">
        <f t="shared" si="119"/>
        <v>0</v>
      </c>
      <c r="T461" s="156">
        <f t="shared" si="120"/>
        <v>0</v>
      </c>
    </row>
    <row r="462" spans="1:20" s="9" customFormat="1" ht="39.950000000000003" customHeight="1" x14ac:dyDescent="0.25">
      <c r="A462" s="215"/>
      <c r="B462" s="255" t="s">
        <v>656</v>
      </c>
      <c r="C462" s="254" t="s">
        <v>1242</v>
      </c>
      <c r="D462" s="255" t="s">
        <v>374</v>
      </c>
      <c r="E462" s="242">
        <v>0</v>
      </c>
      <c r="F462" s="242">
        <f>+O462</f>
        <v>1</v>
      </c>
      <c r="G462" s="242">
        <f>+F462+E462</f>
        <v>1</v>
      </c>
      <c r="H462" s="243">
        <v>16022406</v>
      </c>
      <c r="I462" s="243">
        <f>ROUND(+H462*G462,2)</f>
        <v>16022406</v>
      </c>
      <c r="J462" s="8"/>
      <c r="K462" s="8">
        <f t="shared" si="113"/>
        <v>16270753</v>
      </c>
      <c r="L462" s="8">
        <f t="shared" si="118"/>
        <v>0</v>
      </c>
      <c r="M462" s="9" t="str">
        <f t="array" ref="M462:P462">_xlfn.XLOOKUP(B462,'Neiva 2022 FASE I ACTUAL (5)'!$B$6:$B$540,'Neiva 2022 FASE I ACTUAL (5)'!$C$6:$F$540,"NO ESTA")</f>
        <v>SUMINISTRO E INSTALACIÓN GABINETE METÁLICO CONSTRUIDO EN LÁMINA COLD ROLLED CALIBRE 16 TIPO AUTOSOPORTADO, CON TRATAMIENTO SUPERFICIAL PARA PROTEGERLO DE LA OXIDACIÓN Y FOSFATADO), CON ACABADO FINAL PINTURA EN POLVO ELECTROSTÁTICA EN RAAL 7030. DIMENSIONES: ANCHO = 1.00 M. ALTO = 2.00 M Y PROF. = 0.40 M. ESPACIO PARA ALOJAR UNA TRANSFERENCIA SUMINISTRADA POR EL PROPIETARIO VER ESPECIFICACIÓN PARA ESTE ÍTEM.</v>
      </c>
      <c r="N462" s="9" t="str">
        <v>UN</v>
      </c>
      <c r="O462" s="9">
        <v>1</v>
      </c>
      <c r="P462" s="9">
        <v>15376244</v>
      </c>
      <c r="Q462" s="124" t="str">
        <f t="shared" si="121"/>
        <v>FASE II</v>
      </c>
      <c r="R462" s="155">
        <f t="shared" si="117"/>
        <v>1</v>
      </c>
      <c r="S462" s="156">
        <f t="shared" si="119"/>
        <v>16270753</v>
      </c>
      <c r="T462" s="156">
        <f t="shared" si="120"/>
        <v>16270753</v>
      </c>
    </row>
    <row r="463" spans="1:20" s="9" customFormat="1" ht="39.950000000000003" customHeight="1" x14ac:dyDescent="0.25">
      <c r="A463" s="215"/>
      <c r="B463" s="255" t="s">
        <v>658</v>
      </c>
      <c r="C463" s="87" t="s">
        <v>659</v>
      </c>
      <c r="D463" s="255" t="s">
        <v>374</v>
      </c>
      <c r="E463" s="242">
        <v>1</v>
      </c>
      <c r="F463" s="242">
        <f>+O463</f>
        <v>1</v>
      </c>
      <c r="G463" s="242">
        <f>+F463+E463</f>
        <v>2</v>
      </c>
      <c r="H463" s="243">
        <v>12108567</v>
      </c>
      <c r="I463" s="243">
        <f>ROUND(+H463*G463,2)</f>
        <v>24217134</v>
      </c>
      <c r="J463" s="8"/>
      <c r="K463" s="8">
        <f t="shared" si="113"/>
        <v>12296250</v>
      </c>
      <c r="L463" s="8">
        <f t="shared" si="118"/>
        <v>12296250</v>
      </c>
      <c r="M463" s="9" t="str">
        <f t="array" ref="M463:P463">_xlfn.XLOOKUP(B463,'Neiva 2022 FASE I ACTUAL (5)'!$B$6:$B$540,'Neiva 2022 FASE I ACTUAL (5)'!$C$6:$F$540,"NO ESTA")</f>
        <v>SUMINISTRO E INSTALACIÓN GABINETE METÁLICO CONSTRUIDO EN LÁMINA COLD ROLLED CALIBRE 16 TIPO AUTOSOPORTADO, CON TRATAMIENTO SUPERFICIAL PARA PROTEGERLO DE LA OXIDACIÓN Y FOSFATADO), CON ACABADO FINAL PINTURA EN POLVO ELECTROSTÁTICA EN RAAL 7030. DIMENSIONES: ANCHO = 0.60 M. ALTO = 1,20 M Y PROF. = 0.30 M. VER ESPECIFICACIÓN PARA ESTE ÍTEM.</v>
      </c>
      <c r="N463" s="9" t="str">
        <v>UN</v>
      </c>
      <c r="O463" s="9">
        <v>1</v>
      </c>
      <c r="P463" s="9">
        <v>11620247</v>
      </c>
      <c r="Q463" s="124" t="str">
        <f t="shared" si="121"/>
        <v>FASE II</v>
      </c>
      <c r="R463" s="155">
        <f t="shared" si="117"/>
        <v>2</v>
      </c>
      <c r="S463" s="156">
        <f t="shared" si="119"/>
        <v>12296250</v>
      </c>
      <c r="T463" s="156">
        <f t="shared" si="120"/>
        <v>24592500</v>
      </c>
    </row>
    <row r="464" spans="1:20" s="9" customFormat="1" ht="39.950000000000003" customHeight="1" x14ac:dyDescent="0.25">
      <c r="A464" s="215"/>
      <c r="B464" s="255" t="s">
        <v>660</v>
      </c>
      <c r="C464" s="254" t="s">
        <v>1243</v>
      </c>
      <c r="D464" s="255" t="s">
        <v>374</v>
      </c>
      <c r="E464" s="242">
        <v>0</v>
      </c>
      <c r="F464" s="242">
        <f>+O464</f>
        <v>1</v>
      </c>
      <c r="G464" s="242">
        <f>+F464+E464</f>
        <v>1</v>
      </c>
      <c r="H464" s="243">
        <v>14065486</v>
      </c>
      <c r="I464" s="243">
        <f>ROUND(+H464*G464,2)</f>
        <v>14065486</v>
      </c>
      <c r="J464" s="8"/>
      <c r="K464" s="8">
        <f t="shared" si="113"/>
        <v>14283501</v>
      </c>
      <c r="L464" s="8">
        <f t="shared" si="118"/>
        <v>0</v>
      </c>
      <c r="M464" s="9" t="str">
        <f t="array" ref="M464:P464">_xlfn.XLOOKUP(B464,'Neiva 2022 FASE I ACTUAL (5)'!$B$6:$B$540,'Neiva 2022 FASE I ACTUAL (5)'!$C$6:$F$540,"NO ESTA")</f>
        <v>SUMINISTRO E INSTALACIÓN GABINETE METÁLICO CONSTRUIDO SEGÚN NORMAS AE-319 DE CODENSA EN LÁMINA COLD ROLLED CALIBRE 16, CON TRATAMIENTO SUPERFICIAL CON DESENGRASANTE, FOSFATIZADO Y ACABADO FINAL EN PINTURA ELECTROSTÁTICA HORNEABLE RAAL 7032. DIMENSIONES: ANCHO = 0.80 M. ALTO = 2,00 M Y PROF. = 0.40 M. VER ESPECIFICACIÓN PARA ESTE ÍTEM.</v>
      </c>
      <c r="N464" s="9" t="str">
        <v>UN</v>
      </c>
      <c r="O464" s="9">
        <v>1</v>
      </c>
      <c r="P464" s="9">
        <v>13498246</v>
      </c>
      <c r="Q464" s="124" t="str">
        <f t="shared" si="121"/>
        <v>FASE II</v>
      </c>
      <c r="R464" s="155">
        <f t="shared" si="117"/>
        <v>1</v>
      </c>
      <c r="S464" s="156">
        <f t="shared" si="119"/>
        <v>14283501</v>
      </c>
      <c r="T464" s="156">
        <f t="shared" si="120"/>
        <v>14283501</v>
      </c>
    </row>
    <row r="465" spans="1:20" s="9" customFormat="1" ht="39.950000000000003" customHeight="1" x14ac:dyDescent="0.25">
      <c r="A465" s="215"/>
      <c r="B465" s="290" t="s">
        <v>662</v>
      </c>
      <c r="C465" s="256" t="s">
        <v>663</v>
      </c>
      <c r="D465" s="256"/>
      <c r="E465" s="246"/>
      <c r="F465" s="246"/>
      <c r="G465" s="246"/>
      <c r="H465" s="303"/>
      <c r="I465" s="246"/>
      <c r="J465" s="8"/>
      <c r="K465" s="8">
        <f t="shared" si="113"/>
        <v>0</v>
      </c>
      <c r="L465" s="8">
        <f t="shared" si="118"/>
        <v>0</v>
      </c>
      <c r="M465" s="9" t="str">
        <f t="array" ref="M465:P465">_xlfn.XLOOKUP(B465,'Neiva 2022 FASE I ACTUAL (5)'!$B$6:$B$540,'Neiva 2022 FASE I ACTUAL (5)'!$C$6:$F$540,"NO ESTA")</f>
        <v xml:space="preserve">SUMINISTRO E INSTALACIÓN PUESTA A TIERRA TRANSFORMADOR Y SUBESTACIÓN (Incluye preparación de tierra con la solución Sanick Gel para obtener una elevada conductividad eléctrica (ver especificaciones técnicas de diseño anexas) </v>
      </c>
      <c r="N465" s="9">
        <v>0</v>
      </c>
      <c r="O465" s="9">
        <v>0</v>
      </c>
      <c r="P465" s="9">
        <v>0</v>
      </c>
      <c r="Q465" s="124">
        <f t="shared" si="121"/>
        <v>0</v>
      </c>
      <c r="R465" s="155">
        <f t="shared" si="117"/>
        <v>0</v>
      </c>
      <c r="S465" s="156">
        <f t="shared" si="119"/>
        <v>0</v>
      </c>
      <c r="T465" s="156">
        <f t="shared" si="120"/>
        <v>0</v>
      </c>
    </row>
    <row r="466" spans="1:20" s="9" customFormat="1" ht="35.1" customHeight="1" x14ac:dyDescent="0.25">
      <c r="A466" s="215"/>
      <c r="B466" s="255" t="s">
        <v>664</v>
      </c>
      <c r="C466" s="254" t="s">
        <v>665</v>
      </c>
      <c r="D466" s="255" t="s">
        <v>269</v>
      </c>
      <c r="E466" s="242">
        <v>0</v>
      </c>
      <c r="F466" s="242">
        <f>+O466</f>
        <v>35</v>
      </c>
      <c r="G466" s="242">
        <f>+F466+E466</f>
        <v>35</v>
      </c>
      <c r="H466" s="243">
        <v>24787</v>
      </c>
      <c r="I466" s="243">
        <f>ROUND(+H466*G466,2)</f>
        <v>867545</v>
      </c>
      <c r="J466" s="8"/>
      <c r="K466" s="8">
        <f t="shared" si="113"/>
        <v>25171</v>
      </c>
      <c r="L466" s="8">
        <f t="shared" si="118"/>
        <v>0</v>
      </c>
      <c r="M466" s="9" t="str">
        <f t="array" ref="M466:P466">_xlfn.XLOOKUP(B466,'Neiva 2022 FASE I ACTUAL (5)'!$B$6:$B$540,'Neiva 2022 FASE I ACTUAL (5)'!$C$6:$F$540,"NO ESTA")</f>
        <v>SUMINISTRO E INSTALACIÓN CONDUCTOR 2/0 Cu. TEMPLE DURO</v>
      </c>
      <c r="N466" s="9" t="str">
        <v xml:space="preserve">ML   </v>
      </c>
      <c r="O466" s="9">
        <v>35</v>
      </c>
      <c r="P466" s="9">
        <v>23788</v>
      </c>
      <c r="Q466" s="124" t="str">
        <f t="shared" si="121"/>
        <v>FASE II</v>
      </c>
      <c r="R466" s="155">
        <f t="shared" si="117"/>
        <v>35</v>
      </c>
      <c r="S466" s="156">
        <f t="shared" si="119"/>
        <v>25171</v>
      </c>
      <c r="T466" s="156">
        <f t="shared" si="120"/>
        <v>880985</v>
      </c>
    </row>
    <row r="467" spans="1:20" s="9" customFormat="1" ht="35.1" customHeight="1" x14ac:dyDescent="0.25">
      <c r="A467" s="215"/>
      <c r="B467" s="255" t="s">
        <v>666</v>
      </c>
      <c r="C467" s="254" t="s">
        <v>1244</v>
      </c>
      <c r="D467" s="255" t="s">
        <v>374</v>
      </c>
      <c r="E467" s="242">
        <v>0</v>
      </c>
      <c r="F467" s="242">
        <f>+O467</f>
        <v>6</v>
      </c>
      <c r="G467" s="242">
        <f>+F467+E467</f>
        <v>6</v>
      </c>
      <c r="H467" s="243">
        <v>129612</v>
      </c>
      <c r="I467" s="243">
        <f>ROUND(+H467*G467,2)</f>
        <v>777672</v>
      </c>
      <c r="J467" s="8"/>
      <c r="K467" s="8">
        <f t="shared" si="113"/>
        <v>131621</v>
      </c>
      <c r="L467" s="8">
        <f t="shared" si="118"/>
        <v>0</v>
      </c>
      <c r="M467" s="9" t="str">
        <f t="array" ref="M467:P467">_xlfn.XLOOKUP(B467,'Neiva 2022 FASE I ACTUAL (5)'!$B$6:$B$540,'Neiva 2022 FASE I ACTUAL (5)'!$C$6:$F$540,"NO ESTA")</f>
        <v>SUMINISTRO E INSTALACIÓN ELECTROSOLDADA DE PUESTA A TIERRA EN VARILLA DE COBRE DE 5/8" x 2.40m</v>
      </c>
      <c r="N467" s="9" t="str">
        <v>UN</v>
      </c>
      <c r="O467" s="9">
        <v>6</v>
      </c>
      <c r="P467" s="9">
        <v>124386</v>
      </c>
      <c r="Q467" s="124" t="str">
        <f t="shared" si="121"/>
        <v>FASE II</v>
      </c>
      <c r="R467" s="155">
        <f t="shared" si="117"/>
        <v>6</v>
      </c>
      <c r="S467" s="156">
        <f t="shared" si="119"/>
        <v>131621</v>
      </c>
      <c r="T467" s="156">
        <f t="shared" si="120"/>
        <v>789726</v>
      </c>
    </row>
    <row r="468" spans="1:20" s="9" customFormat="1" ht="35.1" customHeight="1" x14ac:dyDescent="0.25">
      <c r="A468" s="215"/>
      <c r="B468" s="255" t="s">
        <v>668</v>
      </c>
      <c r="C468" s="254" t="s">
        <v>1245</v>
      </c>
      <c r="D468" s="255" t="s">
        <v>374</v>
      </c>
      <c r="E468" s="242">
        <v>0</v>
      </c>
      <c r="F468" s="242">
        <f>+O468</f>
        <v>6</v>
      </c>
      <c r="G468" s="242">
        <f>+F468+E468</f>
        <v>6</v>
      </c>
      <c r="H468" s="243">
        <v>134174</v>
      </c>
      <c r="I468" s="243">
        <f>ROUND(+H468*G468,2)</f>
        <v>805044</v>
      </c>
      <c r="J468" s="8"/>
      <c r="K468" s="8">
        <f t="shared" si="113"/>
        <v>136254</v>
      </c>
      <c r="L468" s="8">
        <f t="shared" si="118"/>
        <v>0</v>
      </c>
      <c r="M468" s="9" t="str">
        <f t="array" ref="M468:P468">_xlfn.XLOOKUP(B468,'Neiva 2022 FASE I ACTUAL (5)'!$B$6:$B$540,'Neiva 2022 FASE I ACTUAL (5)'!$C$6:$F$540,"NO ESTA")</f>
        <v>SUMINISTRO E INSTALACIÓN CONEXIÓN TERMOSOLDADA DE VARILLA A CABLE DE COBRE DESNUDO # 2/0 AWG, INCLUYE SUMINISTRO DE MOLDE, FÚNDENTE Y DEMÁS ACCESORIOS.</v>
      </c>
      <c r="N468" s="9" t="str">
        <v>UN</v>
      </c>
      <c r="O468" s="9">
        <v>6</v>
      </c>
      <c r="P468" s="9">
        <v>128763</v>
      </c>
      <c r="Q468" s="124" t="str">
        <f t="shared" si="121"/>
        <v>FASE II</v>
      </c>
      <c r="R468" s="155">
        <f t="shared" si="117"/>
        <v>6</v>
      </c>
      <c r="S468" s="156">
        <f t="shared" si="119"/>
        <v>136254</v>
      </c>
      <c r="T468" s="156">
        <f t="shared" si="120"/>
        <v>817524</v>
      </c>
    </row>
    <row r="469" spans="1:20" s="9" customFormat="1" ht="35.1" customHeight="1" x14ac:dyDescent="0.25">
      <c r="A469" s="215"/>
      <c r="B469" s="255" t="s">
        <v>670</v>
      </c>
      <c r="C469" s="254" t="s">
        <v>1246</v>
      </c>
      <c r="D469" s="255" t="s">
        <v>374</v>
      </c>
      <c r="E469" s="242">
        <v>0</v>
      </c>
      <c r="F469" s="242">
        <f>+O469</f>
        <v>2</v>
      </c>
      <c r="G469" s="242">
        <f>+F469+E469</f>
        <v>2</v>
      </c>
      <c r="H469" s="243">
        <v>134174</v>
      </c>
      <c r="I469" s="243">
        <f>ROUND(+H469*G469,2)</f>
        <v>268348</v>
      </c>
      <c r="J469" s="8"/>
      <c r="K469" s="8">
        <f t="shared" si="113"/>
        <v>136254</v>
      </c>
      <c r="L469" s="8">
        <f t="shared" si="118"/>
        <v>0</v>
      </c>
      <c r="M469" s="9" t="str">
        <f t="array" ref="M469:P469">_xlfn.XLOOKUP(B469,'Neiva 2022 FASE I ACTUAL (5)'!$B$6:$B$540,'Neiva 2022 FASE I ACTUAL (5)'!$C$6:$F$540,"NO ESTA")</f>
        <v>SUMINISTRO E INSTALACIÓN CONEXIÓN TERMOSOLDADA DE CABLE A CABLE EN “T” DE COBRE DESNUDO # 2/0 AWG, INCLUYE SUMINISTRO DE MOLDE, FÚNDENTE Y DEMÁS ACCESORIOS.</v>
      </c>
      <c r="N469" s="9" t="str">
        <v>UN</v>
      </c>
      <c r="O469" s="9">
        <v>2</v>
      </c>
      <c r="P469" s="9">
        <v>128763</v>
      </c>
      <c r="Q469" s="124" t="str">
        <f t="shared" si="121"/>
        <v>FASE II</v>
      </c>
      <c r="R469" s="155">
        <f t="shared" si="117"/>
        <v>2</v>
      </c>
      <c r="S469" s="156">
        <f t="shared" si="119"/>
        <v>136254</v>
      </c>
      <c r="T469" s="156">
        <f t="shared" si="120"/>
        <v>272508</v>
      </c>
    </row>
    <row r="470" spans="1:20" s="9" customFormat="1" ht="35.1" customHeight="1" x14ac:dyDescent="0.25">
      <c r="A470" s="215"/>
      <c r="B470" s="255" t="s">
        <v>672</v>
      </c>
      <c r="C470" s="291" t="s">
        <v>1247</v>
      </c>
      <c r="D470" s="292" t="s">
        <v>16</v>
      </c>
      <c r="E470" s="242">
        <v>0</v>
      </c>
      <c r="F470" s="242">
        <f>+O470</f>
        <v>6</v>
      </c>
      <c r="G470" s="242">
        <f>+F470+E470</f>
        <v>6</v>
      </c>
      <c r="H470" s="243">
        <v>169463</v>
      </c>
      <c r="I470" s="243">
        <f>ROUND(+H470*G470,2)</f>
        <v>1016778</v>
      </c>
      <c r="J470" s="8"/>
      <c r="K470" s="8">
        <f t="shared" si="113"/>
        <v>172090</v>
      </c>
      <c r="L470" s="8">
        <f t="shared" si="118"/>
        <v>0</v>
      </c>
      <c r="M470" s="9" t="str">
        <f t="array" ref="M470:P470">_xlfn.XLOOKUP(B470,'Neiva 2022 FASE I ACTUAL (5)'!$B$6:$B$540,'Neiva 2022 FASE I ACTUAL (5)'!$C$6:$F$540,"NO ESTA")</f>
        <v>SUMINISTRO E INSTALACIÓN POZO CONSTRUIDO EN CEFIPLAST CONCRETO PARA ALBERGAR UN ELECTRODO DE PUESTA A TIERRA EN CU DE 5/8” X 8' COMPUESTO DE TUBO Y TAPA DE INSPECCIÓN. EL TUBO TENDRÁ LAS SIGUIENTES DIMENSIONES: 80 CM. DE ALTO, DIÁMETRO EXTERIOR SUPERIOR E 25 CM., DIÁMETRO EXTERIOR INFERIOR DE 32 CM. LA TAPA TENDRÁ LAS SIGUIENTES DIMENSIONES: 30 CM. DE DIÁMETRO EXTERIOR.</v>
      </c>
      <c r="N470" s="9" t="str">
        <v>UND</v>
      </c>
      <c r="O470" s="9">
        <v>6</v>
      </c>
      <c r="P470" s="9">
        <v>162630</v>
      </c>
      <c r="Q470" s="124" t="str">
        <f t="shared" si="121"/>
        <v>FASE II</v>
      </c>
      <c r="R470" s="155">
        <f t="shared" si="117"/>
        <v>6</v>
      </c>
      <c r="S470" s="156">
        <f t="shared" si="119"/>
        <v>172090</v>
      </c>
      <c r="T470" s="156">
        <f t="shared" si="120"/>
        <v>1032540</v>
      </c>
    </row>
    <row r="471" spans="1:20" s="9" customFormat="1" ht="35.1" customHeight="1" x14ac:dyDescent="0.25">
      <c r="A471" s="215"/>
      <c r="B471" s="290" t="s">
        <v>674</v>
      </c>
      <c r="C471" s="256" t="s">
        <v>675</v>
      </c>
      <c r="D471" s="256"/>
      <c r="E471" s="246"/>
      <c r="F471" s="246"/>
      <c r="G471" s="246"/>
      <c r="H471" s="303"/>
      <c r="I471" s="246"/>
      <c r="J471" s="8"/>
      <c r="K471" s="8">
        <f t="shared" si="113"/>
        <v>0</v>
      </c>
      <c r="L471" s="8">
        <f t="shared" si="118"/>
        <v>0</v>
      </c>
      <c r="M471" s="9" t="str">
        <f t="array" ref="M471:P471">_xlfn.XLOOKUP(B471,'Neiva 2022 FASE I ACTUAL (5)'!$B$6:$B$540,'Neiva 2022 FASE I ACTUAL (5)'!$C$6:$F$540,"NO ESTA")</f>
        <v xml:space="preserve">SUMINISTRO E INSTALACIÓN PUESTA A TIERRA TABLERO DE DISTRIBUCIÓN Y GENERAL (Incluye preparación de tierra con la solución Sanick Gel para obtener una elevada conductividad eléctrica (ver especificaciones técnicas de diseño anexas) </v>
      </c>
      <c r="N471" s="9">
        <v>0</v>
      </c>
      <c r="O471" s="9">
        <v>0</v>
      </c>
      <c r="P471" s="9">
        <v>0</v>
      </c>
      <c r="Q471" s="124">
        <f t="shared" si="121"/>
        <v>0</v>
      </c>
      <c r="R471" s="155">
        <f t="shared" si="117"/>
        <v>0</v>
      </c>
      <c r="S471" s="156">
        <f t="shared" si="119"/>
        <v>0</v>
      </c>
      <c r="T471" s="156">
        <f t="shared" si="120"/>
        <v>0</v>
      </c>
    </row>
    <row r="472" spans="1:20" s="9" customFormat="1" ht="35.1" customHeight="1" x14ac:dyDescent="0.25">
      <c r="A472" s="215"/>
      <c r="B472" s="255" t="s">
        <v>676</v>
      </c>
      <c r="C472" s="254" t="s">
        <v>677</v>
      </c>
      <c r="D472" s="255" t="s">
        <v>269</v>
      </c>
      <c r="E472" s="242">
        <v>0</v>
      </c>
      <c r="F472" s="242">
        <f>+O472</f>
        <v>10</v>
      </c>
      <c r="G472" s="242">
        <f>+F472+E472</f>
        <v>10</v>
      </c>
      <c r="H472" s="243">
        <v>7306</v>
      </c>
      <c r="I472" s="243">
        <f>ROUND(+H472*G472,2)</f>
        <v>73060</v>
      </c>
      <c r="J472" s="8"/>
      <c r="K472" s="8">
        <f t="shared" si="113"/>
        <v>7419</v>
      </c>
      <c r="L472" s="8">
        <f t="shared" si="118"/>
        <v>0</v>
      </c>
      <c r="M472" s="9" t="str">
        <f t="array" ref="M472:P472">_xlfn.XLOOKUP(B472,'Neiva 2022 FASE I ACTUAL (5)'!$B$6:$B$540,'Neiva 2022 FASE I ACTUAL (5)'!$C$6:$F$540,"NO ESTA")</f>
        <v>SUMINISTRO E INSTALACIÓN CONDUCTOR 6 Cu TEMPLE DURO</v>
      </c>
      <c r="N472" s="9" t="str">
        <v xml:space="preserve">ML   </v>
      </c>
      <c r="O472" s="9">
        <v>10</v>
      </c>
      <c r="P472" s="9">
        <v>7012</v>
      </c>
      <c r="Q472" s="124" t="str">
        <f t="shared" si="121"/>
        <v>FASE II</v>
      </c>
      <c r="R472" s="155">
        <f t="shared" si="117"/>
        <v>10</v>
      </c>
      <c r="S472" s="156">
        <f t="shared" si="119"/>
        <v>7419</v>
      </c>
      <c r="T472" s="156">
        <f t="shared" si="120"/>
        <v>74190</v>
      </c>
    </row>
    <row r="473" spans="1:20" s="9" customFormat="1" ht="35.1" customHeight="1" x14ac:dyDescent="0.25">
      <c r="A473" s="215"/>
      <c r="B473" s="255" t="s">
        <v>678</v>
      </c>
      <c r="C473" s="254" t="s">
        <v>679</v>
      </c>
      <c r="D473" s="255" t="s">
        <v>374</v>
      </c>
      <c r="E473" s="242">
        <v>0</v>
      </c>
      <c r="F473" s="242">
        <f>+O473</f>
        <v>1</v>
      </c>
      <c r="G473" s="242">
        <f>+F473+E473</f>
        <v>1</v>
      </c>
      <c r="H473" s="243">
        <v>129612</v>
      </c>
      <c r="I473" s="243">
        <f>ROUND(+H473*G473,2)</f>
        <v>129612</v>
      </c>
      <c r="J473" s="8"/>
      <c r="K473" s="8">
        <f t="shared" si="113"/>
        <v>131621</v>
      </c>
      <c r="L473" s="8">
        <f t="shared" si="118"/>
        <v>0</v>
      </c>
      <c r="M473" s="9" t="str">
        <f t="array" ref="M473:P473">_xlfn.XLOOKUP(B473,'Neiva 2022 FASE I ACTUAL (5)'!$B$6:$B$540,'Neiva 2022 FASE I ACTUAL (5)'!$C$6:$F$540,"NO ESTA")</f>
        <v>SUMINISTRO E INSTALACIÓN ELECTRODO DE PUESTA A TIERRA EN VARILLA DE COBRE DE 5/8" X 2.40 M</v>
      </c>
      <c r="N473" s="9" t="str">
        <v>UN</v>
      </c>
      <c r="O473" s="9">
        <v>1</v>
      </c>
      <c r="P473" s="9">
        <v>124386</v>
      </c>
      <c r="Q473" s="124" t="str">
        <f t="shared" si="121"/>
        <v>FASE II</v>
      </c>
      <c r="R473" s="155">
        <f t="shared" si="117"/>
        <v>1</v>
      </c>
      <c r="S473" s="156">
        <f t="shared" si="119"/>
        <v>131621</v>
      </c>
      <c r="T473" s="156">
        <f t="shared" si="120"/>
        <v>131621</v>
      </c>
    </row>
    <row r="474" spans="1:20" s="9" customFormat="1" ht="35.1" customHeight="1" x14ac:dyDescent="0.25">
      <c r="A474" s="215"/>
      <c r="B474" s="255" t="s">
        <v>680</v>
      </c>
      <c r="C474" s="254" t="s">
        <v>681</v>
      </c>
      <c r="D474" s="255" t="s">
        <v>374</v>
      </c>
      <c r="E474" s="242">
        <v>0</v>
      </c>
      <c r="F474" s="242">
        <f>+O474</f>
        <v>1</v>
      </c>
      <c r="G474" s="242">
        <f>+F474+E474</f>
        <v>1</v>
      </c>
      <c r="H474" s="243">
        <v>134174</v>
      </c>
      <c r="I474" s="243">
        <f>ROUND(+H474*G474,2)</f>
        <v>134174</v>
      </c>
      <c r="J474" s="8"/>
      <c r="K474" s="8">
        <f t="shared" si="113"/>
        <v>136254</v>
      </c>
      <c r="L474" s="8">
        <f t="shared" si="118"/>
        <v>0</v>
      </c>
      <c r="M474" s="9" t="str">
        <f t="array" ref="M474:P474">_xlfn.XLOOKUP(B474,'Neiva 2022 FASE I ACTUAL (5)'!$B$6:$B$540,'Neiva 2022 FASE I ACTUAL (5)'!$C$6:$F$540,"NO ESTA")</f>
        <v>SUMINISTRO E INSTALACIÓN CONEXIÓN TERMOSOLDADA DE VARILLA A CABLE DE COBRE DESNUDO # 6 AWG, INCLUYE SUMINISTRO DE MOLDE, FÚNDENTE Y DEMÁS ACCESORIOS.</v>
      </c>
      <c r="N474" s="9" t="str">
        <v>UN</v>
      </c>
      <c r="O474" s="9">
        <v>1</v>
      </c>
      <c r="P474" s="9">
        <v>128763</v>
      </c>
      <c r="Q474" s="124" t="str">
        <f t="shared" si="121"/>
        <v>FASE II</v>
      </c>
      <c r="R474" s="155">
        <f t="shared" si="117"/>
        <v>1</v>
      </c>
      <c r="S474" s="156">
        <f t="shared" si="119"/>
        <v>136254</v>
      </c>
      <c r="T474" s="156">
        <f t="shared" si="120"/>
        <v>136254</v>
      </c>
    </row>
    <row r="475" spans="1:20" s="9" customFormat="1" ht="35.1" customHeight="1" x14ac:dyDescent="0.25">
      <c r="A475" s="215"/>
      <c r="B475" s="255" t="s">
        <v>682</v>
      </c>
      <c r="C475" s="254" t="s">
        <v>1248</v>
      </c>
      <c r="D475" s="255" t="s">
        <v>374</v>
      </c>
      <c r="E475" s="242">
        <v>0</v>
      </c>
      <c r="F475" s="242">
        <f>+O475</f>
        <v>2</v>
      </c>
      <c r="G475" s="242">
        <f>+F475+E475</f>
        <v>2</v>
      </c>
      <c r="H475" s="243">
        <v>134174</v>
      </c>
      <c r="I475" s="243">
        <f>ROUND(+H475*G475,2)</f>
        <v>268348</v>
      </c>
      <c r="J475" s="8"/>
      <c r="K475" s="8">
        <f t="shared" si="113"/>
        <v>136254</v>
      </c>
      <c r="L475" s="8">
        <f t="shared" si="118"/>
        <v>0</v>
      </c>
      <c r="M475" s="9" t="str">
        <f t="array" ref="M475:P475">_xlfn.XLOOKUP(B475,'Neiva 2022 FASE I ACTUAL (5)'!$B$6:$B$540,'Neiva 2022 FASE I ACTUAL (5)'!$C$6:$F$540,"NO ESTA")</f>
        <v>SUMINISTRO E INSTALACIÓN CONEXIÓN TERMOSOLDADA DE CABLE A CABLE EN “T” DE COBRE DESNUDO # 6 AWG, INCLUYE SUMINISTRO DE MOLDE, FÚNDENTE Y DEMÁS ACCESORIOS.</v>
      </c>
      <c r="N475" s="9" t="str">
        <v>UN</v>
      </c>
      <c r="O475" s="9">
        <v>2</v>
      </c>
      <c r="P475" s="9">
        <v>128763</v>
      </c>
      <c r="Q475" s="124" t="str">
        <f t="shared" si="121"/>
        <v>FASE II</v>
      </c>
      <c r="R475" s="155">
        <f t="shared" si="117"/>
        <v>2</v>
      </c>
      <c r="S475" s="156">
        <f t="shared" si="119"/>
        <v>136254</v>
      </c>
      <c r="T475" s="156">
        <f t="shared" si="120"/>
        <v>272508</v>
      </c>
    </row>
    <row r="476" spans="1:20" s="9" customFormat="1" ht="39.950000000000003" customHeight="1" x14ac:dyDescent="0.25">
      <c r="A476" s="215"/>
      <c r="B476" s="255" t="s">
        <v>684</v>
      </c>
      <c r="C476" s="254" t="s">
        <v>1247</v>
      </c>
      <c r="D476" s="255" t="s">
        <v>374</v>
      </c>
      <c r="E476" s="242">
        <v>0</v>
      </c>
      <c r="F476" s="242">
        <f>+O476</f>
        <v>1</v>
      </c>
      <c r="G476" s="242">
        <f>+F476+E476</f>
        <v>1</v>
      </c>
      <c r="H476" s="243">
        <v>169463</v>
      </c>
      <c r="I476" s="243">
        <f>ROUND(+H476*G476,2)</f>
        <v>169463</v>
      </c>
      <c r="J476" s="8"/>
      <c r="K476" s="8">
        <f t="shared" si="113"/>
        <v>172090</v>
      </c>
      <c r="L476" s="8">
        <f t="shared" si="118"/>
        <v>0</v>
      </c>
      <c r="M476" s="9" t="str">
        <f t="array" ref="M476:P476">_xlfn.XLOOKUP(B476,'Neiva 2022 FASE I ACTUAL (5)'!$B$6:$B$540,'Neiva 2022 FASE I ACTUAL (5)'!$C$6:$F$540,"NO ESTA")</f>
        <v>SUMINISTRO E INSTALACIÓN POZO CONSTRUIDO EN CEFIPLAST CONCRETO PARA ALBERGAR UN ELECTRODO DE PUESTA A TIERRA EN CU DE 5/8” X 8' COMPUESTO DE TUBO Y TAPA DE INSPECCIÓN. EL TUBO TENDRÁ LAS SIGUIENTES DIMENSIONES: 80 CM. DE ALTO, DIÁMETRO EXTERIOR SUPERIOR E 25 CM., DIÁMETRO EXTERIOR INFERIOR DE 32 CM. LA TAPA TENDRÁ LAS SIGUIENTES DIMENSIONES: 30 CM. DE DIÁMETRO EXTERIOR.</v>
      </c>
      <c r="N476" s="9" t="str">
        <v>UN</v>
      </c>
      <c r="O476" s="9">
        <v>1</v>
      </c>
      <c r="P476" s="9">
        <v>162630</v>
      </c>
      <c r="Q476" s="124" t="str">
        <f t="shared" si="121"/>
        <v>FASE II</v>
      </c>
      <c r="R476" s="155">
        <f t="shared" si="117"/>
        <v>1</v>
      </c>
      <c r="S476" s="156">
        <f t="shared" si="119"/>
        <v>172090</v>
      </c>
      <c r="T476" s="156">
        <f t="shared" si="120"/>
        <v>172090</v>
      </c>
    </row>
    <row r="477" spans="1:20" s="9" customFormat="1" ht="35.1" customHeight="1" x14ac:dyDescent="0.25">
      <c r="A477" s="215"/>
      <c r="B477" s="290" t="s">
        <v>685</v>
      </c>
      <c r="C477" s="256" t="s">
        <v>686</v>
      </c>
      <c r="D477" s="256"/>
      <c r="E477" s="256"/>
      <c r="F477" s="256"/>
      <c r="G477" s="256"/>
      <c r="H477" s="310"/>
      <c r="I477" s="256"/>
      <c r="J477" s="8"/>
      <c r="K477" s="8">
        <f t="shared" si="113"/>
        <v>0</v>
      </c>
      <c r="L477" s="8">
        <f t="shared" si="118"/>
        <v>0</v>
      </c>
      <c r="M477" s="9" t="str">
        <f t="array" ref="M477:P477">_xlfn.XLOOKUP(B477,'Neiva 2022 FASE I ACTUAL (5)'!$B$6:$B$540,'Neiva 2022 FASE I ACTUAL (5)'!$C$6:$F$540,"NO ESTA")</f>
        <v xml:space="preserve">SUMINISTRO E INSTALACIÓN PUESTA A TIERRA PLANTA GENERADORA (Incluye preparación de tierra con la solución Sanick Gel para obtener una elevada conductividad eléctrica (ver especificaciones técnicas de diseño anexas) </v>
      </c>
      <c r="N477" s="9">
        <v>0</v>
      </c>
      <c r="O477" s="9">
        <v>0</v>
      </c>
      <c r="P477" s="9">
        <v>0</v>
      </c>
      <c r="Q477" s="124">
        <f t="shared" si="121"/>
        <v>0</v>
      </c>
      <c r="R477" s="155">
        <f t="shared" si="117"/>
        <v>0</v>
      </c>
      <c r="S477" s="156">
        <f t="shared" si="119"/>
        <v>0</v>
      </c>
      <c r="T477" s="156">
        <f t="shared" si="120"/>
        <v>0</v>
      </c>
    </row>
    <row r="478" spans="1:20" s="9" customFormat="1" ht="35.1" customHeight="1" x14ac:dyDescent="0.25">
      <c r="A478" s="215"/>
      <c r="B478" s="255" t="s">
        <v>687</v>
      </c>
      <c r="C478" s="254" t="s">
        <v>665</v>
      </c>
      <c r="D478" s="255" t="s">
        <v>269</v>
      </c>
      <c r="E478" s="242">
        <v>0</v>
      </c>
      <c r="F478" s="242">
        <f>+O478</f>
        <v>8</v>
      </c>
      <c r="G478" s="242">
        <f>+F478+E478</f>
        <v>8</v>
      </c>
      <c r="H478" s="243">
        <v>24787</v>
      </c>
      <c r="I478" s="243">
        <f>ROUND(+H478*G478,2)</f>
        <v>198296</v>
      </c>
      <c r="J478" s="8"/>
      <c r="K478" s="8">
        <f t="shared" si="113"/>
        <v>25171</v>
      </c>
      <c r="L478" s="8">
        <f t="shared" si="118"/>
        <v>0</v>
      </c>
      <c r="M478" s="9" t="str">
        <f t="array" ref="M478:P478">_xlfn.XLOOKUP(B478,'Neiva 2022 FASE I ACTUAL (5)'!$B$6:$B$540,'Neiva 2022 FASE I ACTUAL (5)'!$C$6:$F$540,"NO ESTA")</f>
        <v>SUMINISTRO E INSTALACIÓN CONDUCTOR 2/0 Cu. TEMPLE DURO</v>
      </c>
      <c r="N478" s="9" t="str">
        <v xml:space="preserve">ML   </v>
      </c>
      <c r="O478" s="9">
        <v>8</v>
      </c>
      <c r="P478" s="9">
        <v>23788</v>
      </c>
      <c r="Q478" s="124" t="str">
        <f t="shared" si="121"/>
        <v>FASE II</v>
      </c>
      <c r="R478" s="155">
        <f t="shared" si="117"/>
        <v>8</v>
      </c>
      <c r="S478" s="156">
        <f t="shared" si="119"/>
        <v>25171</v>
      </c>
      <c r="T478" s="156">
        <f t="shared" si="120"/>
        <v>201368</v>
      </c>
    </row>
    <row r="479" spans="1:20" s="9" customFormat="1" ht="57" customHeight="1" x14ac:dyDescent="0.25">
      <c r="A479" s="215"/>
      <c r="B479" s="255" t="s">
        <v>688</v>
      </c>
      <c r="C479" s="254" t="s">
        <v>1249</v>
      </c>
      <c r="D479" s="255" t="s">
        <v>374</v>
      </c>
      <c r="E479" s="242">
        <v>0</v>
      </c>
      <c r="F479" s="242">
        <f>+O479</f>
        <v>1</v>
      </c>
      <c r="G479" s="242">
        <f>+F479+E479</f>
        <v>1</v>
      </c>
      <c r="H479" s="243">
        <v>718779</v>
      </c>
      <c r="I479" s="243">
        <f>ROUND(+H479*G479,2)</f>
        <v>718779</v>
      </c>
      <c r="J479" s="8"/>
      <c r="K479" s="8">
        <f t="shared" si="113"/>
        <v>729920</v>
      </c>
      <c r="L479" s="8">
        <f t="shared" si="118"/>
        <v>0</v>
      </c>
      <c r="M479" s="9" t="str">
        <f t="array" ref="M479:P479">_xlfn.XLOOKUP(B479,'Neiva 2022 FASE I ACTUAL (5)'!$B$6:$B$540,'Neiva 2022 FASE I ACTUAL (5)'!$C$6:$F$540,"NO ESTA")</f>
        <v>SUMINISTRO E INSTALACIÓN DE UNA VÍA DE CHISPAS DE SEPARACIÓN PARA INTERCONECTAR LA PUESTA A TIERRA DE PARARRAYOS Y LA PUESTA A TIERRA DEL SISTEMA ELÉCTRICO, DE LAS SIGUIENTES CARACTERÍSTICAS: TENSIÓN ALTERNA DE RESPUESTA: 2.5 KV, TENSIÓN DE RESPUESTA A CHOQUE DE RAYO: 5.0 KV, INTENSIDAD NOMINAL DE DESCARGA: 100 KA</v>
      </c>
      <c r="N479" s="9" t="str">
        <v>UN</v>
      </c>
      <c r="O479" s="9">
        <v>1</v>
      </c>
      <c r="P479" s="9">
        <v>689792</v>
      </c>
      <c r="Q479" s="124" t="str">
        <f t="shared" si="121"/>
        <v>FASE II</v>
      </c>
      <c r="R479" s="155">
        <f t="shared" si="117"/>
        <v>1</v>
      </c>
      <c r="S479" s="156">
        <f t="shared" si="119"/>
        <v>729920</v>
      </c>
      <c r="T479" s="156">
        <f t="shared" si="120"/>
        <v>729920</v>
      </c>
    </row>
    <row r="480" spans="1:20" s="9" customFormat="1" ht="35.1" customHeight="1" x14ac:dyDescent="0.25">
      <c r="A480" s="215"/>
      <c r="B480" s="244" t="s">
        <v>690</v>
      </c>
      <c r="C480" s="256" t="s">
        <v>691</v>
      </c>
      <c r="D480" s="256"/>
      <c r="E480" s="256"/>
      <c r="F480" s="256"/>
      <c r="G480" s="256"/>
      <c r="H480" s="310"/>
      <c r="I480" s="256"/>
      <c r="J480" s="8"/>
      <c r="K480" s="8">
        <f t="shared" si="113"/>
        <v>0</v>
      </c>
      <c r="L480" s="8">
        <f t="shared" si="118"/>
        <v>0</v>
      </c>
      <c r="M480" s="9" t="str">
        <f t="array" ref="M480:P480">_xlfn.XLOOKUP(B480,'Neiva 2022 FASE I ACTUAL (5)'!$B$6:$B$540,'Neiva 2022 FASE I ACTUAL (5)'!$C$6:$F$540,"NO ESTA")</f>
        <v>SISTEMA DE PROTECCIÓN EXTERNA CONTRA DESCARGAS ATMOSFÉRICAS BAJANTES DE PARARRAYOS DESDE CUBIERTA A TERRENO</v>
      </c>
      <c r="N480" s="9">
        <v>0</v>
      </c>
      <c r="O480" s="9">
        <v>0</v>
      </c>
      <c r="P480" s="9">
        <v>0</v>
      </c>
      <c r="Q480" s="124">
        <f t="shared" si="121"/>
        <v>0</v>
      </c>
      <c r="R480" s="155">
        <f t="shared" si="117"/>
        <v>0</v>
      </c>
      <c r="S480" s="156">
        <f t="shared" si="119"/>
        <v>0</v>
      </c>
      <c r="T480" s="156">
        <f t="shared" si="120"/>
        <v>0</v>
      </c>
    </row>
    <row r="481" spans="1:20" s="9" customFormat="1" ht="35.1" customHeight="1" x14ac:dyDescent="0.25">
      <c r="A481" s="215"/>
      <c r="B481" s="255" t="s">
        <v>692</v>
      </c>
      <c r="C481" s="254" t="s">
        <v>693</v>
      </c>
      <c r="D481" s="255" t="s">
        <v>269</v>
      </c>
      <c r="E481" s="242">
        <v>0</v>
      </c>
      <c r="F481" s="242">
        <f t="shared" ref="F481:F490" si="122">+O481</f>
        <v>65</v>
      </c>
      <c r="G481" s="242">
        <f t="shared" ref="G481:G490" si="123">+F481+E481</f>
        <v>65</v>
      </c>
      <c r="H481" s="243">
        <v>4829</v>
      </c>
      <c r="I481" s="243">
        <f t="shared" ref="I481:I490" si="124">ROUND(+H481*G481,2)</f>
        <v>313885</v>
      </c>
      <c r="J481" s="8"/>
      <c r="K481" s="8">
        <f t="shared" si="113"/>
        <v>4904</v>
      </c>
      <c r="L481" s="8">
        <f t="shared" si="118"/>
        <v>0</v>
      </c>
      <c r="M481" s="9" t="str">
        <f t="array" ref="M481:P481">_xlfn.XLOOKUP(B481,'Neiva 2022 FASE I ACTUAL (5)'!$B$6:$B$540,'Neiva 2022 FASE I ACTUAL (5)'!$C$6:$F$540,"NO ESTA")</f>
        <v>SUMINISTRO E INSTALACIÓN TENDIDO DE TUBERÍA Ø 3/4” PVC EMBEBIDO EN LAS COLUMNAS DE CONCRETO, DESDE LA CUBIERTA HASTA EL TERRENO.</v>
      </c>
      <c r="N481" s="9" t="str">
        <v xml:space="preserve">ML   </v>
      </c>
      <c r="O481" s="9">
        <v>65</v>
      </c>
      <c r="P481" s="9">
        <v>4633</v>
      </c>
      <c r="Q481" s="124" t="str">
        <f t="shared" si="121"/>
        <v>FASE II</v>
      </c>
      <c r="R481" s="155">
        <f t="shared" si="117"/>
        <v>65</v>
      </c>
      <c r="S481" s="156">
        <f t="shared" si="119"/>
        <v>4904</v>
      </c>
      <c r="T481" s="156">
        <f t="shared" si="120"/>
        <v>318760</v>
      </c>
    </row>
    <row r="482" spans="1:20" s="9" customFormat="1" ht="35.1" customHeight="1" x14ac:dyDescent="0.25">
      <c r="A482" s="215"/>
      <c r="B482" s="255" t="s">
        <v>694</v>
      </c>
      <c r="C482" s="254" t="s">
        <v>695</v>
      </c>
      <c r="D482" s="255" t="s">
        <v>269</v>
      </c>
      <c r="E482" s="242">
        <v>0</v>
      </c>
      <c r="F482" s="242">
        <f t="shared" si="122"/>
        <v>69</v>
      </c>
      <c r="G482" s="242">
        <f t="shared" si="123"/>
        <v>69</v>
      </c>
      <c r="H482" s="243">
        <v>15003</v>
      </c>
      <c r="I482" s="243">
        <f t="shared" si="124"/>
        <v>1035207</v>
      </c>
      <c r="J482" s="8"/>
      <c r="K482" s="8">
        <f t="shared" si="113"/>
        <v>15236</v>
      </c>
      <c r="L482" s="8">
        <f t="shared" si="118"/>
        <v>0</v>
      </c>
      <c r="M482" s="9" t="str">
        <f t="array" ref="M482:P482">_xlfn.XLOOKUP(B482,'Neiva 2022 FASE I ACTUAL (5)'!$B$6:$B$540,'Neiva 2022 FASE I ACTUAL (5)'!$C$6:$F$540,"NO ESTA")</f>
        <v>SUMINISTRO E INSTALACIÓN TENDIDO DE CONDUCTOR DE COBRE DESNUDO # 2 AWG, DESDE LA CUBIERTA HASTA EL TERRENO POR LAS BAJANTES.</v>
      </c>
      <c r="N482" s="9" t="str">
        <v xml:space="preserve">ML   </v>
      </c>
      <c r="O482" s="9">
        <v>69</v>
      </c>
      <c r="P482" s="9">
        <v>14398</v>
      </c>
      <c r="Q482" s="124" t="str">
        <f t="shared" si="121"/>
        <v>FASE II</v>
      </c>
      <c r="R482" s="155">
        <f t="shared" si="117"/>
        <v>69</v>
      </c>
      <c r="S482" s="156">
        <f t="shared" si="119"/>
        <v>15236</v>
      </c>
      <c r="T482" s="156">
        <f t="shared" si="120"/>
        <v>1051284</v>
      </c>
    </row>
    <row r="483" spans="1:20" s="9" customFormat="1" ht="35.1" customHeight="1" x14ac:dyDescent="0.25">
      <c r="A483" s="215"/>
      <c r="B483" s="255" t="s">
        <v>696</v>
      </c>
      <c r="C483" s="254" t="s">
        <v>697</v>
      </c>
      <c r="D483" s="255" t="s">
        <v>269</v>
      </c>
      <c r="E483" s="242">
        <v>0</v>
      </c>
      <c r="F483" s="242">
        <f t="shared" si="122"/>
        <v>244</v>
      </c>
      <c r="G483" s="242">
        <f t="shared" si="123"/>
        <v>244</v>
      </c>
      <c r="H483" s="243">
        <v>5480</v>
      </c>
      <c r="I483" s="243">
        <f t="shared" si="124"/>
        <v>1337120</v>
      </c>
      <c r="J483" s="8"/>
      <c r="K483" s="8">
        <f t="shared" si="113"/>
        <v>5565</v>
      </c>
      <c r="L483" s="8">
        <f t="shared" si="118"/>
        <v>0</v>
      </c>
      <c r="M483" s="9" t="str">
        <f t="array" ref="M483:P483">_xlfn.XLOOKUP(B483,'Neiva 2022 FASE I ACTUAL (5)'!$B$6:$B$540,'Neiva 2022 FASE I ACTUAL (5)'!$C$6:$F$540,"NO ESTA")</f>
        <v>SUMINISTRO E INSTALACIÓN TENDIDO DE ALAMBRON 8MM SOBREPUESTO EN LOS BORDES DE LA CUBIERTA PARA INTERCONEXIÓN DE PUNTAS CAPTADORAS Y BAJANTES A MALLA A TIERRA.</v>
      </c>
      <c r="N483" s="9" t="str">
        <v xml:space="preserve">ML   </v>
      </c>
      <c r="O483" s="9">
        <v>244</v>
      </c>
      <c r="P483" s="9">
        <v>5259</v>
      </c>
      <c r="Q483" s="124" t="str">
        <f t="shared" si="121"/>
        <v>FASE II</v>
      </c>
      <c r="R483" s="155">
        <f t="shared" si="117"/>
        <v>244</v>
      </c>
      <c r="S483" s="156">
        <f t="shared" si="119"/>
        <v>5565</v>
      </c>
      <c r="T483" s="156">
        <f t="shared" si="120"/>
        <v>1357860</v>
      </c>
    </row>
    <row r="484" spans="1:20" s="9" customFormat="1" ht="35.1" customHeight="1" x14ac:dyDescent="0.25">
      <c r="A484" s="215"/>
      <c r="B484" s="255" t="s">
        <v>698</v>
      </c>
      <c r="C484" s="254" t="s">
        <v>1250</v>
      </c>
      <c r="D484" s="255" t="s">
        <v>269</v>
      </c>
      <c r="E484" s="242">
        <v>0</v>
      </c>
      <c r="F484" s="242">
        <f t="shared" si="122"/>
        <v>190</v>
      </c>
      <c r="G484" s="242">
        <f t="shared" si="123"/>
        <v>190</v>
      </c>
      <c r="H484" s="243">
        <v>15003</v>
      </c>
      <c r="I484" s="243">
        <f t="shared" si="124"/>
        <v>2850570</v>
      </c>
      <c r="J484" s="8"/>
      <c r="K484" s="8">
        <f t="shared" si="113"/>
        <v>15236</v>
      </c>
      <c r="L484" s="8">
        <f t="shared" si="118"/>
        <v>0</v>
      </c>
      <c r="M484" s="9" t="str">
        <f t="array" ref="M484:P484">_xlfn.XLOOKUP(B484,'Neiva 2022 FASE I ACTUAL (5)'!$B$6:$B$540,'Neiva 2022 FASE I ACTUAL (5)'!$C$6:$F$540,"NO ESTA")</f>
        <v>SUMINISTRO E INSTALACIÓN TENDIDO DE ALAMBRE SÓLIDO DE COBRE ESTAÑADO # 2 AWG DESNUDO SUBTERRÁNEO DESDE BAJANTES, INTERCONECTANDO CON MALLA DE TIERRA DE SUBESTACION.</v>
      </c>
      <c r="N484" s="9" t="str">
        <v xml:space="preserve">ML   </v>
      </c>
      <c r="O484" s="9">
        <v>190</v>
      </c>
      <c r="P484" s="9">
        <v>14398</v>
      </c>
      <c r="Q484" s="124" t="str">
        <f t="shared" si="121"/>
        <v>FASE II</v>
      </c>
      <c r="R484" s="155">
        <f t="shared" si="117"/>
        <v>190</v>
      </c>
      <c r="S484" s="156">
        <f t="shared" si="119"/>
        <v>15236</v>
      </c>
      <c r="T484" s="156">
        <f t="shared" si="120"/>
        <v>2894840</v>
      </c>
    </row>
    <row r="485" spans="1:20" s="9" customFormat="1" ht="54" customHeight="1" x14ac:dyDescent="0.25">
      <c r="A485" s="215"/>
      <c r="B485" s="255" t="s">
        <v>700</v>
      </c>
      <c r="C485" s="254" t="s">
        <v>1251</v>
      </c>
      <c r="D485" s="255" t="s">
        <v>374</v>
      </c>
      <c r="E485" s="242">
        <v>0</v>
      </c>
      <c r="F485" s="242">
        <f t="shared" si="122"/>
        <v>14</v>
      </c>
      <c r="G485" s="242">
        <f t="shared" si="123"/>
        <v>14</v>
      </c>
      <c r="H485" s="243">
        <v>217215</v>
      </c>
      <c r="I485" s="243">
        <f t="shared" si="124"/>
        <v>3041010</v>
      </c>
      <c r="J485" s="8"/>
      <c r="K485" s="8">
        <f t="shared" si="113"/>
        <v>220582</v>
      </c>
      <c r="L485" s="8">
        <f t="shared" si="118"/>
        <v>0</v>
      </c>
      <c r="M485" s="9" t="str">
        <f t="array" ref="M485:P485">_xlfn.XLOOKUP(B485,'Neiva 2022 FASE I ACTUAL (5)'!$B$6:$B$540,'Neiva 2022 FASE I ACTUAL (5)'!$C$6:$F$540,"NO ESTA")</f>
        <v>SUMINISTRO E INSTALACIÓN DE UN KIT DE MONTAJE PARA PUNTA CAPTADORA COMPUESTO DE LOS SIGUIENTES ELEMENTOS: BASE EN BRONCE CON TORNILLOS DE FIJACIÓN A LA SUPERFICIE DE CONCRETO. PUNTA CAPTADORA FRANKLIN DE 0.60 M. DE ALTURA. EN ACERO INOXIDABLE DE Ø 3/8” TIPO 1. ABRAZADERA PARA FIJACIÓN DE CABLE</v>
      </c>
      <c r="N485" s="9" t="str">
        <v>UN</v>
      </c>
      <c r="O485" s="9">
        <v>14</v>
      </c>
      <c r="P485" s="9">
        <v>208455</v>
      </c>
      <c r="Q485" s="124" t="str">
        <f t="shared" si="121"/>
        <v>FASE II</v>
      </c>
      <c r="R485" s="155">
        <f t="shared" si="117"/>
        <v>14</v>
      </c>
      <c r="S485" s="156">
        <f t="shared" si="119"/>
        <v>220582</v>
      </c>
      <c r="T485" s="156">
        <f t="shared" si="120"/>
        <v>3088148</v>
      </c>
    </row>
    <row r="486" spans="1:20" s="9" customFormat="1" ht="35.1" customHeight="1" x14ac:dyDescent="0.25">
      <c r="A486" s="215"/>
      <c r="B486" s="255" t="s">
        <v>702</v>
      </c>
      <c r="C486" s="254" t="s">
        <v>703</v>
      </c>
      <c r="D486" s="255" t="s">
        <v>374</v>
      </c>
      <c r="E486" s="242">
        <v>0</v>
      </c>
      <c r="F486" s="242">
        <f t="shared" si="122"/>
        <v>86</v>
      </c>
      <c r="G486" s="242">
        <f t="shared" si="123"/>
        <v>86</v>
      </c>
      <c r="H486" s="243">
        <v>21438</v>
      </c>
      <c r="I486" s="243">
        <f t="shared" si="124"/>
        <v>1843668</v>
      </c>
      <c r="J486" s="8"/>
      <c r="K486" s="8">
        <f t="shared" si="113"/>
        <v>21770</v>
      </c>
      <c r="L486" s="8">
        <f t="shared" si="118"/>
        <v>0</v>
      </c>
      <c r="M486" s="9" t="str">
        <f t="array" ref="M486:P486">_xlfn.XLOOKUP(B486,'Neiva 2022 FASE I ACTUAL (5)'!$B$6:$B$540,'Neiva 2022 FASE I ACTUAL (5)'!$C$6:$F$540,"NO ESTA")</f>
        <v>SUMINISTRO E INSTALACIÓN ABRAZADERAS DE BRONCE PARA SOPORTAR EL CABLE AL MURO DE CONCRETO APROBADAS PARA INTEMPERIE.</v>
      </c>
      <c r="N486" s="9" t="str">
        <v>UN</v>
      </c>
      <c r="O486" s="9">
        <v>86</v>
      </c>
      <c r="P486" s="9">
        <v>20574</v>
      </c>
      <c r="Q486" s="124" t="str">
        <f t="shared" si="121"/>
        <v>FASE II</v>
      </c>
      <c r="R486" s="155">
        <f t="shared" si="117"/>
        <v>86</v>
      </c>
      <c r="S486" s="156">
        <f t="shared" si="119"/>
        <v>21770</v>
      </c>
      <c r="T486" s="156">
        <f t="shared" si="120"/>
        <v>1872220</v>
      </c>
    </row>
    <row r="487" spans="1:20" s="9" customFormat="1" ht="35.1" customHeight="1" x14ac:dyDescent="0.25">
      <c r="A487" s="215"/>
      <c r="B487" s="255" t="s">
        <v>704</v>
      </c>
      <c r="C487" s="254" t="s">
        <v>705</v>
      </c>
      <c r="D487" s="255" t="s">
        <v>374</v>
      </c>
      <c r="E487" s="242">
        <v>0</v>
      </c>
      <c r="F487" s="242">
        <f t="shared" si="122"/>
        <v>4</v>
      </c>
      <c r="G487" s="242">
        <f t="shared" si="123"/>
        <v>4</v>
      </c>
      <c r="H487" s="243">
        <v>26602</v>
      </c>
      <c r="I487" s="243">
        <f t="shared" si="124"/>
        <v>106408</v>
      </c>
      <c r="J487" s="8"/>
      <c r="K487" s="8">
        <f t="shared" si="113"/>
        <v>27014</v>
      </c>
      <c r="L487" s="8">
        <f t="shared" si="118"/>
        <v>0</v>
      </c>
      <c r="M487" s="9" t="str">
        <f t="array" ref="M487:P487">_xlfn.XLOOKUP(B487,'Neiva 2022 FASE I ACTUAL (5)'!$B$6:$B$540,'Neiva 2022 FASE I ACTUAL (5)'!$C$6:$F$540,"NO ESTA")</f>
        <v>SUMINISTRO E INSTALACIÓN GRAPA DERIVACIÓN EN T DE BRONCE PARA SOPORTAR EL CABLE AL MURO DE CONCRETO APROBADAS PARA INTEMPERIE.</v>
      </c>
      <c r="N487" s="9" t="str">
        <v>UN</v>
      </c>
      <c r="O487" s="9">
        <v>4</v>
      </c>
      <c r="P487" s="9">
        <v>25530</v>
      </c>
      <c r="Q487" s="124" t="str">
        <f t="shared" si="121"/>
        <v>FASE II</v>
      </c>
      <c r="R487" s="155">
        <f t="shared" si="117"/>
        <v>4</v>
      </c>
      <c r="S487" s="156">
        <f t="shared" si="119"/>
        <v>27014</v>
      </c>
      <c r="T487" s="156">
        <f t="shared" si="120"/>
        <v>108056</v>
      </c>
    </row>
    <row r="488" spans="1:20" s="9" customFormat="1" ht="35.1" customHeight="1" x14ac:dyDescent="0.25">
      <c r="A488" s="215"/>
      <c r="B488" s="255" t="s">
        <v>706</v>
      </c>
      <c r="C488" s="254" t="s">
        <v>707</v>
      </c>
      <c r="D488" s="255" t="s">
        <v>374</v>
      </c>
      <c r="E488" s="242">
        <v>0</v>
      </c>
      <c r="F488" s="242">
        <f t="shared" si="122"/>
        <v>4</v>
      </c>
      <c r="G488" s="242">
        <f t="shared" si="123"/>
        <v>4</v>
      </c>
      <c r="H488" s="243">
        <v>218309</v>
      </c>
      <c r="I488" s="243">
        <f t="shared" si="124"/>
        <v>873236</v>
      </c>
      <c r="J488" s="8"/>
      <c r="K488" s="8">
        <f t="shared" si="113"/>
        <v>221693</v>
      </c>
      <c r="L488" s="8">
        <f t="shared" si="118"/>
        <v>0</v>
      </c>
      <c r="M488" s="9" t="str">
        <f t="array" ref="M488:P488">_xlfn.XLOOKUP(B488,'Neiva 2022 FASE I ACTUAL (5)'!$B$6:$B$540,'Neiva 2022 FASE I ACTUAL (5)'!$C$6:$F$540,"NO ESTA")</f>
        <v>SUMINISTRO E INSTALACIÓN ELECTRODO DE PUESTA A TIERRA EN CU DE 5/8"X 8' + CONECTOR</v>
      </c>
      <c r="N488" s="9" t="str">
        <v>UN</v>
      </c>
      <c r="O488" s="9">
        <v>4</v>
      </c>
      <c r="P488" s="9">
        <v>209505</v>
      </c>
      <c r="Q488" s="124" t="str">
        <f t="shared" si="121"/>
        <v>FASE II</v>
      </c>
      <c r="R488" s="155">
        <f t="shared" si="117"/>
        <v>4</v>
      </c>
      <c r="S488" s="156">
        <f t="shared" si="119"/>
        <v>221693</v>
      </c>
      <c r="T488" s="156">
        <f t="shared" si="120"/>
        <v>886772</v>
      </c>
    </row>
    <row r="489" spans="1:20" s="9" customFormat="1" ht="35.1" customHeight="1" x14ac:dyDescent="0.25">
      <c r="A489" s="215"/>
      <c r="B489" s="255" t="s">
        <v>708</v>
      </c>
      <c r="C489" s="254" t="s">
        <v>709</v>
      </c>
      <c r="D489" s="255" t="s">
        <v>374</v>
      </c>
      <c r="E489" s="242">
        <v>0</v>
      </c>
      <c r="F489" s="242">
        <f t="shared" si="122"/>
        <v>4</v>
      </c>
      <c r="G489" s="242">
        <f t="shared" si="123"/>
        <v>4</v>
      </c>
      <c r="H489" s="243">
        <v>134174</v>
      </c>
      <c r="I489" s="243">
        <f t="shared" si="124"/>
        <v>536696</v>
      </c>
      <c r="J489" s="8"/>
      <c r="K489" s="8">
        <f t="shared" si="113"/>
        <v>136254</v>
      </c>
      <c r="L489" s="8">
        <f t="shared" si="118"/>
        <v>0</v>
      </c>
      <c r="M489" s="9" t="str">
        <f t="array" ref="M489:P489">_xlfn.XLOOKUP(B489,'Neiva 2022 FASE I ACTUAL (5)'!$B$6:$B$540,'Neiva 2022 FASE I ACTUAL (5)'!$C$6:$F$540,"NO ESTA")</f>
        <v>SUMINISTRO E INSTALACIÓN CONEXIÓN EXOTÉRMICA VARILLA-CABLE CALIBRE #2 AWG. INCLUYE SUMINISTRO DE MOLDE FÚNDENTE Y DEMÁS ACCESORIOS.</v>
      </c>
      <c r="N489" s="9" t="str">
        <v>UN</v>
      </c>
      <c r="O489" s="9">
        <v>4</v>
      </c>
      <c r="P489" s="9">
        <v>128763</v>
      </c>
      <c r="Q489" s="124" t="str">
        <f t="shared" si="121"/>
        <v>FASE II</v>
      </c>
      <c r="R489" s="155">
        <f t="shared" si="117"/>
        <v>4</v>
      </c>
      <c r="S489" s="156">
        <f t="shared" si="119"/>
        <v>136254</v>
      </c>
      <c r="T489" s="156">
        <f t="shared" si="120"/>
        <v>545016</v>
      </c>
    </row>
    <row r="490" spans="1:20" s="9" customFormat="1" ht="35.1" customHeight="1" x14ac:dyDescent="0.25">
      <c r="A490" s="215"/>
      <c r="B490" s="255" t="s">
        <v>710</v>
      </c>
      <c r="C490" s="254" t="s">
        <v>1252</v>
      </c>
      <c r="D490" s="255" t="s">
        <v>374</v>
      </c>
      <c r="E490" s="242">
        <v>0</v>
      </c>
      <c r="F490" s="242">
        <f t="shared" si="122"/>
        <v>4</v>
      </c>
      <c r="G490" s="242">
        <f t="shared" si="123"/>
        <v>4</v>
      </c>
      <c r="H490" s="243">
        <v>266807</v>
      </c>
      <c r="I490" s="243">
        <f t="shared" si="124"/>
        <v>1067228</v>
      </c>
      <c r="J490" s="8"/>
      <c r="K490" s="8">
        <f t="shared" si="113"/>
        <v>270943</v>
      </c>
      <c r="L490" s="8">
        <f t="shared" si="118"/>
        <v>0</v>
      </c>
      <c r="M490" s="9" t="str">
        <f t="array" ref="M490:P490">_xlfn.XLOOKUP(B490,'Neiva 2022 FASE I ACTUAL (5)'!$B$6:$B$540,'Neiva 2022 FASE I ACTUAL (5)'!$C$6:$F$540,"NO ESTA")</f>
        <v>SUMINISTRO E INSTALACIÓN CAJA DE 30 CM X 30 CM, COMPUESTA DE TAPA DE INSPECCIÓN EN CONCRETO DE 2500 PSI Y MANIJA, PARA ALBERGAR UN ELECTRODO DE PUESTA A TIERRA EN CU DE 5/8” X 8'.</v>
      </c>
      <c r="N490" s="9" t="str">
        <v>UN</v>
      </c>
      <c r="O490" s="9">
        <v>4</v>
      </c>
      <c r="P490" s="9">
        <v>256047</v>
      </c>
      <c r="Q490" s="124" t="str">
        <f t="shared" si="121"/>
        <v>FASE II</v>
      </c>
      <c r="R490" s="155">
        <f t="shared" si="117"/>
        <v>4</v>
      </c>
      <c r="S490" s="156">
        <f t="shared" si="119"/>
        <v>270943</v>
      </c>
      <c r="T490" s="156">
        <f t="shared" si="120"/>
        <v>1083772</v>
      </c>
    </row>
    <row r="491" spans="1:20" s="9" customFormat="1" ht="35.1" customHeight="1" x14ac:dyDescent="0.25">
      <c r="A491" s="215"/>
      <c r="B491" s="244" t="s">
        <v>1253</v>
      </c>
      <c r="C491" s="256" t="s">
        <v>1254</v>
      </c>
      <c r="D491" s="256"/>
      <c r="E491" s="246"/>
      <c r="F491" s="246"/>
      <c r="G491" s="246"/>
      <c r="H491" s="303"/>
      <c r="I491" s="246"/>
      <c r="J491" s="8"/>
      <c r="K491" s="8">
        <f t="shared" si="113"/>
        <v>0</v>
      </c>
      <c r="L491" s="8">
        <f t="shared" si="118"/>
        <v>0</v>
      </c>
      <c r="M491" s="9" t="str">
        <f t="array" ref="M491">_xlfn.XLOOKUP(B491,'Neiva 2022 FASE I ACTUAL (5)'!$B$6:$B$540,'Neiva 2022 FASE I ACTUAL (5)'!$C$6:$F$540,"NO ESTA")</f>
        <v>NO ESTA</v>
      </c>
      <c r="Q491" s="124">
        <f t="shared" si="121"/>
        <v>0</v>
      </c>
      <c r="R491" s="155">
        <f t="shared" si="117"/>
        <v>0</v>
      </c>
      <c r="S491" s="156">
        <f t="shared" si="119"/>
        <v>0</v>
      </c>
      <c r="T491" s="156">
        <f t="shared" si="120"/>
        <v>0</v>
      </c>
    </row>
    <row r="492" spans="1:20" s="9" customFormat="1" ht="108.75" customHeight="1" x14ac:dyDescent="0.25">
      <c r="A492" s="215"/>
      <c r="B492" s="255" t="s">
        <v>1255</v>
      </c>
      <c r="C492" s="254" t="s">
        <v>1256</v>
      </c>
      <c r="D492" s="255" t="s">
        <v>374</v>
      </c>
      <c r="E492" s="242">
        <v>1</v>
      </c>
      <c r="F492" s="242">
        <f t="shared" ref="F492:F503" si="125">+O492</f>
        <v>0</v>
      </c>
      <c r="G492" s="242">
        <f t="shared" ref="G492:G503" si="126">+F492+E492</f>
        <v>1</v>
      </c>
      <c r="H492" s="243">
        <v>209388432</v>
      </c>
      <c r="I492" s="243">
        <f t="shared" ref="I492:I503" si="127">ROUND(+H492*G492,2)</f>
        <v>209388432</v>
      </c>
      <c r="J492" s="8"/>
      <c r="K492" s="8">
        <f t="shared" si="113"/>
        <v>212633953</v>
      </c>
      <c r="L492" s="8">
        <f t="shared" si="118"/>
        <v>212633953</v>
      </c>
      <c r="M492" s="9" t="str">
        <f t="array" ref="M492">_xlfn.XLOOKUP(B492,'Neiva 2022 FASE I ACTUAL (5)'!$B$6:$B$540,'Neiva 2022 FASE I ACTUAL (5)'!$C$6:$F$540,"NO ESTA")</f>
        <v>NO ESTA</v>
      </c>
      <c r="Q492" s="124">
        <f t="shared" si="121"/>
        <v>0</v>
      </c>
      <c r="R492" s="155">
        <f t="shared" si="117"/>
        <v>1</v>
      </c>
      <c r="S492" s="156">
        <f t="shared" si="119"/>
        <v>212633953</v>
      </c>
      <c r="T492" s="156">
        <f t="shared" si="120"/>
        <v>212633953</v>
      </c>
    </row>
    <row r="493" spans="1:20" s="9" customFormat="1" ht="35.1" customHeight="1" x14ac:dyDescent="0.25">
      <c r="A493" s="215"/>
      <c r="B493" s="255" t="s">
        <v>1257</v>
      </c>
      <c r="C493" s="254" t="s">
        <v>1258</v>
      </c>
      <c r="D493" s="255" t="s">
        <v>374</v>
      </c>
      <c r="E493" s="242">
        <v>1</v>
      </c>
      <c r="F493" s="242">
        <f t="shared" si="125"/>
        <v>0</v>
      </c>
      <c r="G493" s="242">
        <f t="shared" si="126"/>
        <v>1</v>
      </c>
      <c r="H493" s="243">
        <v>1018263</v>
      </c>
      <c r="I493" s="243">
        <f t="shared" si="127"/>
        <v>1018263</v>
      </c>
      <c r="J493" s="8"/>
      <c r="K493" s="8">
        <f t="shared" si="113"/>
        <v>1034046</v>
      </c>
      <c r="L493" s="8">
        <f t="shared" si="118"/>
        <v>1034046</v>
      </c>
      <c r="M493" s="9" t="str">
        <f t="array" ref="M493">_xlfn.XLOOKUP(B493,'Neiva 2022 FASE I ACTUAL (5)'!$B$6:$B$540,'Neiva 2022 FASE I ACTUAL (5)'!$C$6:$F$540,"NO ESTA")</f>
        <v>NO ESTA</v>
      </c>
      <c r="Q493" s="124">
        <f t="shared" si="121"/>
        <v>0</v>
      </c>
      <c r="R493" s="155">
        <f t="shared" si="117"/>
        <v>1</v>
      </c>
      <c r="S493" s="156">
        <f t="shared" si="119"/>
        <v>1034046</v>
      </c>
      <c r="T493" s="156">
        <f t="shared" si="120"/>
        <v>1034046</v>
      </c>
    </row>
    <row r="494" spans="1:20" s="9" customFormat="1" ht="35.1" customHeight="1" x14ac:dyDescent="0.25">
      <c r="A494" s="215"/>
      <c r="B494" s="255" t="s">
        <v>1259</v>
      </c>
      <c r="C494" s="254" t="s">
        <v>1260</v>
      </c>
      <c r="D494" s="255" t="s">
        <v>374</v>
      </c>
      <c r="E494" s="242">
        <v>4</v>
      </c>
      <c r="F494" s="242">
        <f t="shared" si="125"/>
        <v>0</v>
      </c>
      <c r="G494" s="242">
        <f t="shared" si="126"/>
        <v>4</v>
      </c>
      <c r="H494" s="243">
        <v>190719</v>
      </c>
      <c r="I494" s="243">
        <f t="shared" si="127"/>
        <v>762876</v>
      </c>
      <c r="J494" s="8"/>
      <c r="K494" s="8">
        <f t="shared" si="113"/>
        <v>193675</v>
      </c>
      <c r="L494" s="8">
        <f t="shared" si="118"/>
        <v>774700</v>
      </c>
      <c r="M494" s="9" t="str">
        <f t="array" ref="M494">_xlfn.XLOOKUP(B494,'Neiva 2022 FASE I ACTUAL (5)'!$B$6:$B$540,'Neiva 2022 FASE I ACTUAL (5)'!$C$6:$F$540,"NO ESTA")</f>
        <v>NO ESTA</v>
      </c>
      <c r="Q494" s="124">
        <f t="shared" si="121"/>
        <v>0</v>
      </c>
      <c r="R494" s="155">
        <f t="shared" si="117"/>
        <v>4</v>
      </c>
      <c r="S494" s="156">
        <f t="shared" si="119"/>
        <v>193675</v>
      </c>
      <c r="T494" s="156">
        <f t="shared" si="120"/>
        <v>774700</v>
      </c>
    </row>
    <row r="495" spans="1:20" s="9" customFormat="1" ht="50.25" customHeight="1" x14ac:dyDescent="0.25">
      <c r="A495" s="215"/>
      <c r="B495" s="255" t="s">
        <v>1261</v>
      </c>
      <c r="C495" s="254" t="s">
        <v>1262</v>
      </c>
      <c r="D495" s="255" t="s">
        <v>374</v>
      </c>
      <c r="E495" s="242">
        <v>1</v>
      </c>
      <c r="F495" s="242">
        <f t="shared" si="125"/>
        <v>0</v>
      </c>
      <c r="G495" s="242">
        <f t="shared" si="126"/>
        <v>1</v>
      </c>
      <c r="H495" s="243">
        <v>1570059</v>
      </c>
      <c r="I495" s="243">
        <f t="shared" si="127"/>
        <v>1570059</v>
      </c>
      <c r="J495" s="8"/>
      <c r="K495" s="8">
        <f t="shared" si="113"/>
        <v>1594395</v>
      </c>
      <c r="L495" s="8">
        <f t="shared" si="118"/>
        <v>1594395</v>
      </c>
      <c r="M495" s="9" t="str">
        <f t="array" ref="M495">_xlfn.XLOOKUP(B495,'Neiva 2022 FASE I ACTUAL (5)'!$B$6:$B$540,'Neiva 2022 FASE I ACTUAL (5)'!$C$6:$F$540,"NO ESTA")</f>
        <v>NO ESTA</v>
      </c>
      <c r="Q495" s="124">
        <f t="shared" si="121"/>
        <v>0</v>
      </c>
      <c r="R495" s="155">
        <f t="shared" si="117"/>
        <v>1</v>
      </c>
      <c r="S495" s="156">
        <f t="shared" si="119"/>
        <v>1594395</v>
      </c>
      <c r="T495" s="156">
        <f t="shared" si="120"/>
        <v>1594395</v>
      </c>
    </row>
    <row r="496" spans="1:20" s="9" customFormat="1" ht="35.1" customHeight="1" x14ac:dyDescent="0.25">
      <c r="A496" s="215"/>
      <c r="B496" s="255" t="s">
        <v>1263</v>
      </c>
      <c r="C496" s="254" t="s">
        <v>1264</v>
      </c>
      <c r="D496" s="255" t="s">
        <v>374</v>
      </c>
      <c r="E496" s="242">
        <v>1</v>
      </c>
      <c r="F496" s="242">
        <f t="shared" si="125"/>
        <v>0</v>
      </c>
      <c r="G496" s="242">
        <f t="shared" si="126"/>
        <v>1</v>
      </c>
      <c r="H496" s="243">
        <v>791187</v>
      </c>
      <c r="I496" s="243">
        <f t="shared" si="127"/>
        <v>791187</v>
      </c>
      <c r="J496" s="8"/>
      <c r="K496" s="8">
        <f t="shared" si="113"/>
        <v>803450</v>
      </c>
      <c r="L496" s="8">
        <f t="shared" si="118"/>
        <v>803450</v>
      </c>
      <c r="M496" s="9" t="str">
        <f t="array" ref="M496">_xlfn.XLOOKUP(B496,'Neiva 2022 FASE I ACTUAL (5)'!$B$6:$B$540,'Neiva 2022 FASE I ACTUAL (5)'!$C$6:$F$540,"NO ESTA")</f>
        <v>NO ESTA</v>
      </c>
      <c r="Q496" s="124">
        <f t="shared" si="121"/>
        <v>0</v>
      </c>
      <c r="R496" s="155">
        <f t="shared" si="117"/>
        <v>1</v>
      </c>
      <c r="S496" s="156">
        <f t="shared" si="119"/>
        <v>803450</v>
      </c>
      <c r="T496" s="156">
        <f t="shared" si="120"/>
        <v>803450</v>
      </c>
    </row>
    <row r="497" spans="1:20" s="9" customFormat="1" ht="35.1" customHeight="1" x14ac:dyDescent="0.25">
      <c r="A497" s="215"/>
      <c r="B497" s="255" t="s">
        <v>1265</v>
      </c>
      <c r="C497" s="254" t="s">
        <v>1266</v>
      </c>
      <c r="D497" s="255" t="s">
        <v>374</v>
      </c>
      <c r="E497" s="242">
        <v>1</v>
      </c>
      <c r="F497" s="242">
        <f t="shared" si="125"/>
        <v>0</v>
      </c>
      <c r="G497" s="242">
        <f t="shared" si="126"/>
        <v>1</v>
      </c>
      <c r="H497" s="243">
        <v>1497265</v>
      </c>
      <c r="I497" s="243">
        <f t="shared" si="127"/>
        <v>1497265</v>
      </c>
      <c r="J497" s="8"/>
      <c r="K497" s="8">
        <f t="shared" ref="K497:K560" si="128">+ROUND(H497*(1+$K$4),0)</f>
        <v>1520473</v>
      </c>
      <c r="L497" s="8">
        <f t="shared" si="118"/>
        <v>1520473</v>
      </c>
      <c r="M497" s="9" t="str">
        <f t="array" ref="M497">_xlfn.XLOOKUP(B497,'Neiva 2022 FASE I ACTUAL (5)'!$B$6:$B$540,'Neiva 2022 FASE I ACTUAL (5)'!$C$6:$F$540,"NO ESTA")</f>
        <v>NO ESTA</v>
      </c>
      <c r="Q497" s="124">
        <f t="shared" si="121"/>
        <v>0</v>
      </c>
      <c r="R497" s="155">
        <f t="shared" si="117"/>
        <v>1</v>
      </c>
      <c r="S497" s="156">
        <f t="shared" si="119"/>
        <v>1520473</v>
      </c>
      <c r="T497" s="156">
        <f t="shared" si="120"/>
        <v>1520473</v>
      </c>
    </row>
    <row r="498" spans="1:20" s="9" customFormat="1" ht="42.75" customHeight="1" x14ac:dyDescent="0.25">
      <c r="A498" s="215"/>
      <c r="B498" s="255" t="s">
        <v>1267</v>
      </c>
      <c r="C498" s="254" t="s">
        <v>1268</v>
      </c>
      <c r="D498" s="255" t="s">
        <v>269</v>
      </c>
      <c r="E498" s="242">
        <v>8</v>
      </c>
      <c r="F498" s="242">
        <f t="shared" si="125"/>
        <v>0</v>
      </c>
      <c r="G498" s="242">
        <f t="shared" si="126"/>
        <v>8</v>
      </c>
      <c r="H498" s="243">
        <v>221978</v>
      </c>
      <c r="I498" s="243">
        <f t="shared" si="127"/>
        <v>1775824</v>
      </c>
      <c r="J498" s="8"/>
      <c r="K498" s="8">
        <f t="shared" si="128"/>
        <v>225419</v>
      </c>
      <c r="L498" s="8">
        <f t="shared" si="118"/>
        <v>1803352</v>
      </c>
      <c r="M498" s="9" t="str">
        <f t="array" ref="M498">_xlfn.XLOOKUP(B498,'Neiva 2022 FASE I ACTUAL (5)'!$B$6:$B$540,'Neiva 2022 FASE I ACTUAL (5)'!$C$6:$F$540,"NO ESTA")</f>
        <v>NO ESTA</v>
      </c>
      <c r="Q498" s="124">
        <f t="shared" si="121"/>
        <v>0</v>
      </c>
      <c r="R498" s="155">
        <f t="shared" si="117"/>
        <v>8</v>
      </c>
      <c r="S498" s="156">
        <f t="shared" si="119"/>
        <v>225419</v>
      </c>
      <c r="T498" s="156">
        <f t="shared" si="120"/>
        <v>1803352</v>
      </c>
    </row>
    <row r="499" spans="1:20" s="9" customFormat="1" ht="35.1" customHeight="1" x14ac:dyDescent="0.25">
      <c r="A499" s="215"/>
      <c r="B499" s="255" t="s">
        <v>1269</v>
      </c>
      <c r="C499" s="254" t="s">
        <v>1270</v>
      </c>
      <c r="D499" s="255" t="s">
        <v>374</v>
      </c>
      <c r="E499" s="242">
        <v>2</v>
      </c>
      <c r="F499" s="242">
        <f t="shared" si="125"/>
        <v>0</v>
      </c>
      <c r="G499" s="242">
        <f t="shared" si="126"/>
        <v>2</v>
      </c>
      <c r="H499" s="243">
        <v>221978</v>
      </c>
      <c r="I499" s="243">
        <f t="shared" si="127"/>
        <v>443956</v>
      </c>
      <c r="J499" s="8"/>
      <c r="K499" s="8">
        <f t="shared" si="128"/>
        <v>225419</v>
      </c>
      <c r="L499" s="8">
        <f t="shared" si="118"/>
        <v>450838</v>
      </c>
      <c r="M499" s="9" t="str">
        <f t="array" ref="M499">_xlfn.XLOOKUP(B499,'Neiva 2022 FASE I ACTUAL (5)'!$B$6:$B$540,'Neiva 2022 FASE I ACTUAL (5)'!$C$6:$F$540,"NO ESTA")</f>
        <v>NO ESTA</v>
      </c>
      <c r="Q499" s="124">
        <f t="shared" si="121"/>
        <v>0</v>
      </c>
      <c r="R499" s="155">
        <f t="shared" si="117"/>
        <v>2</v>
      </c>
      <c r="S499" s="156">
        <f t="shared" si="119"/>
        <v>225419</v>
      </c>
      <c r="T499" s="156">
        <f t="shared" si="120"/>
        <v>450838</v>
      </c>
    </row>
    <row r="500" spans="1:20" s="9" customFormat="1" ht="35.1" customHeight="1" x14ac:dyDescent="0.25">
      <c r="A500" s="215"/>
      <c r="B500" s="255" t="s">
        <v>1271</v>
      </c>
      <c r="C500" s="254" t="s">
        <v>1272</v>
      </c>
      <c r="D500" s="255" t="s">
        <v>374</v>
      </c>
      <c r="E500" s="242">
        <v>1</v>
      </c>
      <c r="F500" s="242">
        <f t="shared" si="125"/>
        <v>0</v>
      </c>
      <c r="G500" s="242">
        <f t="shared" si="126"/>
        <v>1</v>
      </c>
      <c r="H500" s="243">
        <v>499997</v>
      </c>
      <c r="I500" s="243">
        <f t="shared" si="127"/>
        <v>499997</v>
      </c>
      <c r="J500" s="8"/>
      <c r="K500" s="8">
        <f t="shared" si="128"/>
        <v>507747</v>
      </c>
      <c r="L500" s="8">
        <f t="shared" si="118"/>
        <v>507747</v>
      </c>
      <c r="M500" s="9" t="str">
        <f t="array" ref="M500">_xlfn.XLOOKUP(B500,'Neiva 2022 FASE I ACTUAL (5)'!$B$6:$B$540,'Neiva 2022 FASE I ACTUAL (5)'!$C$6:$F$540,"NO ESTA")</f>
        <v>NO ESTA</v>
      </c>
      <c r="Q500" s="124">
        <f t="shared" si="121"/>
        <v>0</v>
      </c>
      <c r="R500" s="155">
        <f t="shared" si="117"/>
        <v>1</v>
      </c>
      <c r="S500" s="156">
        <f t="shared" si="119"/>
        <v>507747</v>
      </c>
      <c r="T500" s="156">
        <f t="shared" si="120"/>
        <v>507747</v>
      </c>
    </row>
    <row r="501" spans="1:20" s="9" customFormat="1" ht="37.5" customHeight="1" x14ac:dyDescent="0.25">
      <c r="A501" s="215"/>
      <c r="B501" s="255" t="s">
        <v>1273</v>
      </c>
      <c r="C501" s="254" t="s">
        <v>1274</v>
      </c>
      <c r="D501" s="255" t="s">
        <v>374</v>
      </c>
      <c r="E501" s="242">
        <v>1</v>
      </c>
      <c r="F501" s="242">
        <f t="shared" si="125"/>
        <v>0</v>
      </c>
      <c r="G501" s="242">
        <f t="shared" si="126"/>
        <v>1</v>
      </c>
      <c r="H501" s="243">
        <v>455716</v>
      </c>
      <c r="I501" s="243">
        <f t="shared" si="127"/>
        <v>455716</v>
      </c>
      <c r="J501" s="8"/>
      <c r="K501" s="8">
        <f t="shared" si="128"/>
        <v>462780</v>
      </c>
      <c r="L501" s="8">
        <f t="shared" si="118"/>
        <v>462780</v>
      </c>
      <c r="M501" s="9" t="str">
        <f t="array" ref="M501">_xlfn.XLOOKUP(B501,'Neiva 2022 FASE I ACTUAL (5)'!$B$6:$B$540,'Neiva 2022 FASE I ACTUAL (5)'!$C$6:$F$540,"NO ESTA")</f>
        <v>NO ESTA</v>
      </c>
      <c r="Q501" s="124">
        <f t="shared" si="121"/>
        <v>0</v>
      </c>
      <c r="R501" s="155">
        <f t="shared" si="117"/>
        <v>1</v>
      </c>
      <c r="S501" s="156">
        <f t="shared" si="119"/>
        <v>462780</v>
      </c>
      <c r="T501" s="156">
        <f t="shared" si="120"/>
        <v>462780</v>
      </c>
    </row>
    <row r="502" spans="1:20" s="9" customFormat="1" ht="35.1" customHeight="1" x14ac:dyDescent="0.25">
      <c r="A502" s="215"/>
      <c r="B502" s="255" t="s">
        <v>1275</v>
      </c>
      <c r="C502" s="254" t="s">
        <v>1276</v>
      </c>
      <c r="D502" s="255" t="s">
        <v>269</v>
      </c>
      <c r="E502" s="242">
        <v>8</v>
      </c>
      <c r="F502" s="242">
        <f t="shared" si="125"/>
        <v>0</v>
      </c>
      <c r="G502" s="242">
        <f t="shared" si="126"/>
        <v>8</v>
      </c>
      <c r="H502" s="243">
        <v>111770</v>
      </c>
      <c r="I502" s="243">
        <f t="shared" si="127"/>
        <v>894160</v>
      </c>
      <c r="J502" s="8"/>
      <c r="K502" s="8">
        <f t="shared" si="128"/>
        <v>113502</v>
      </c>
      <c r="L502" s="8">
        <f t="shared" si="118"/>
        <v>908016</v>
      </c>
      <c r="M502" s="9" t="str">
        <f t="array" ref="M502">_xlfn.XLOOKUP(B502,'Neiva 2022 FASE I ACTUAL (5)'!$B$6:$B$540,'Neiva 2022 FASE I ACTUAL (5)'!$C$6:$F$540,"NO ESTA")</f>
        <v>NO ESTA</v>
      </c>
      <c r="Q502" s="124">
        <f t="shared" si="121"/>
        <v>0</v>
      </c>
      <c r="R502" s="155">
        <f t="shared" si="117"/>
        <v>8</v>
      </c>
      <c r="S502" s="156">
        <f t="shared" si="119"/>
        <v>113502</v>
      </c>
      <c r="T502" s="156">
        <f t="shared" si="120"/>
        <v>908016</v>
      </c>
    </row>
    <row r="503" spans="1:20" s="9" customFormat="1" ht="35.1" customHeight="1" x14ac:dyDescent="0.25">
      <c r="A503" s="215"/>
      <c r="B503" s="255" t="s">
        <v>1277</v>
      </c>
      <c r="C503" s="254" t="s">
        <v>1278</v>
      </c>
      <c r="D503" s="255" t="s">
        <v>269</v>
      </c>
      <c r="E503" s="242">
        <v>2</v>
      </c>
      <c r="F503" s="242">
        <f t="shared" si="125"/>
        <v>0</v>
      </c>
      <c r="G503" s="242">
        <f t="shared" si="126"/>
        <v>2</v>
      </c>
      <c r="H503" s="243">
        <v>111770</v>
      </c>
      <c r="I503" s="243">
        <f t="shared" si="127"/>
        <v>223540</v>
      </c>
      <c r="J503" s="8"/>
      <c r="K503" s="8">
        <f t="shared" si="128"/>
        <v>113502</v>
      </c>
      <c r="L503" s="8">
        <f t="shared" si="118"/>
        <v>227004</v>
      </c>
      <c r="M503" s="9" t="str">
        <f t="array" ref="M503">_xlfn.XLOOKUP(B503,'Neiva 2022 FASE I ACTUAL (5)'!$B$6:$B$540,'Neiva 2022 FASE I ACTUAL (5)'!$C$6:$F$540,"NO ESTA")</f>
        <v>NO ESTA</v>
      </c>
      <c r="Q503" s="124">
        <f t="shared" si="121"/>
        <v>0</v>
      </c>
      <c r="R503" s="155">
        <f t="shared" si="117"/>
        <v>2</v>
      </c>
      <c r="S503" s="156">
        <f t="shared" si="119"/>
        <v>113502</v>
      </c>
      <c r="T503" s="156">
        <f t="shared" si="120"/>
        <v>227004</v>
      </c>
    </row>
    <row r="504" spans="1:20" s="9" customFormat="1" ht="35.1" customHeight="1" x14ac:dyDescent="0.25">
      <c r="A504" s="215"/>
      <c r="B504" s="244" t="s">
        <v>1279</v>
      </c>
      <c r="C504" s="245" t="s">
        <v>1280</v>
      </c>
      <c r="D504" s="256"/>
      <c r="E504" s="246"/>
      <c r="F504" s="246"/>
      <c r="G504" s="246"/>
      <c r="H504" s="303"/>
      <c r="I504" s="246"/>
      <c r="J504" s="8"/>
      <c r="K504" s="8">
        <f t="shared" si="128"/>
        <v>0</v>
      </c>
      <c r="L504" s="8">
        <f t="shared" si="118"/>
        <v>0</v>
      </c>
      <c r="M504" s="9" t="str">
        <f t="array" ref="M504">_xlfn.XLOOKUP(B504,'Neiva 2022 FASE I ACTUAL (5)'!$B$6:$B$540,'Neiva 2022 FASE I ACTUAL (5)'!$C$6:$F$540,"NO ESTA")</f>
        <v>NO ESTA</v>
      </c>
      <c r="Q504" s="124">
        <f t="shared" si="121"/>
        <v>0</v>
      </c>
      <c r="R504" s="155">
        <f t="shared" si="117"/>
        <v>0</v>
      </c>
      <c r="S504" s="156">
        <f t="shared" si="119"/>
        <v>0</v>
      </c>
      <c r="T504" s="156">
        <f t="shared" si="120"/>
        <v>0</v>
      </c>
    </row>
    <row r="505" spans="1:20" s="9" customFormat="1" ht="35.1" customHeight="1" x14ac:dyDescent="0.25">
      <c r="A505" s="215"/>
      <c r="B505" s="255" t="s">
        <v>1281</v>
      </c>
      <c r="C505" s="254" t="s">
        <v>1282</v>
      </c>
      <c r="D505" s="255" t="s">
        <v>374</v>
      </c>
      <c r="E505" s="242">
        <v>1</v>
      </c>
      <c r="F505" s="242">
        <f>+O505</f>
        <v>0</v>
      </c>
      <c r="G505" s="242">
        <f>+F505+E505</f>
        <v>1</v>
      </c>
      <c r="H505" s="243">
        <v>23579376</v>
      </c>
      <c r="I505" s="243">
        <f>ROUND(+H505*G505,2)</f>
        <v>23579376</v>
      </c>
      <c r="J505" s="8"/>
      <c r="K505" s="8">
        <f t="shared" si="128"/>
        <v>23944856</v>
      </c>
      <c r="L505" s="8">
        <f t="shared" si="118"/>
        <v>23944856</v>
      </c>
      <c r="M505" s="9" t="str">
        <f t="array" ref="M505">_xlfn.XLOOKUP(B505,'Neiva 2022 FASE I ACTUAL (5)'!$B$6:$B$540,'Neiva 2022 FASE I ACTUAL (5)'!$C$6:$F$540,"NO ESTA")</f>
        <v>NO ESTA</v>
      </c>
      <c r="Q505" s="124">
        <f t="shared" si="121"/>
        <v>0</v>
      </c>
      <c r="R505" s="155">
        <f t="shared" si="117"/>
        <v>1</v>
      </c>
      <c r="S505" s="156">
        <f t="shared" si="119"/>
        <v>23944856</v>
      </c>
      <c r="T505" s="156">
        <f t="shared" si="120"/>
        <v>23944856</v>
      </c>
    </row>
    <row r="506" spans="1:20" s="9" customFormat="1" ht="39.950000000000003" customHeight="1" x14ac:dyDescent="0.25">
      <c r="A506" s="215"/>
      <c r="B506" s="244" t="s">
        <v>1283</v>
      </c>
      <c r="C506" s="245" t="s">
        <v>1284</v>
      </c>
      <c r="D506" s="256"/>
      <c r="E506" s="246"/>
      <c r="F506" s="246"/>
      <c r="G506" s="246"/>
      <c r="H506" s="303"/>
      <c r="I506" s="246"/>
      <c r="J506" s="8"/>
      <c r="K506" s="8">
        <f t="shared" si="128"/>
        <v>0</v>
      </c>
      <c r="L506" s="8">
        <f t="shared" si="118"/>
        <v>0</v>
      </c>
      <c r="M506" s="9" t="str">
        <f t="array" ref="M506">_xlfn.XLOOKUP(B506,'Neiva 2022 FASE I ACTUAL (5)'!$B$6:$B$540,'Neiva 2022 FASE I ACTUAL (5)'!$C$6:$F$540,"NO ESTA")</f>
        <v>NO ESTA</v>
      </c>
      <c r="Q506" s="124">
        <f t="shared" si="121"/>
        <v>0</v>
      </c>
      <c r="R506" s="155">
        <f t="shared" si="117"/>
        <v>0</v>
      </c>
      <c r="S506" s="156">
        <f t="shared" si="119"/>
        <v>0</v>
      </c>
      <c r="T506" s="156">
        <f t="shared" si="120"/>
        <v>0</v>
      </c>
    </row>
    <row r="507" spans="1:20" s="9" customFormat="1" ht="39.950000000000003" customHeight="1" x14ac:dyDescent="0.25">
      <c r="A507" s="215"/>
      <c r="B507" s="255" t="s">
        <v>1285</v>
      </c>
      <c r="C507" s="254" t="s">
        <v>1286</v>
      </c>
      <c r="D507" s="255" t="s">
        <v>374</v>
      </c>
      <c r="E507" s="242">
        <v>1</v>
      </c>
      <c r="F507" s="242">
        <f>+O507</f>
        <v>0</v>
      </c>
      <c r="G507" s="242">
        <f>+F507+E507</f>
        <v>1</v>
      </c>
      <c r="H507" s="243">
        <v>2304340</v>
      </c>
      <c r="I507" s="243">
        <f>ROUND(+H507*G507,2)</f>
        <v>2304340</v>
      </c>
      <c r="J507" s="8"/>
      <c r="K507" s="8">
        <f t="shared" si="128"/>
        <v>2340057</v>
      </c>
      <c r="L507" s="8">
        <f t="shared" si="118"/>
        <v>2340057</v>
      </c>
      <c r="M507" s="9" t="str">
        <f t="array" ref="M507">_xlfn.XLOOKUP(B507,'Neiva 2022 FASE I ACTUAL (5)'!$B$6:$B$540,'Neiva 2022 FASE I ACTUAL (5)'!$C$6:$F$540,"NO ESTA")</f>
        <v>NO ESTA</v>
      </c>
      <c r="Q507" s="124">
        <f t="shared" si="121"/>
        <v>0</v>
      </c>
      <c r="R507" s="155">
        <f t="shared" si="117"/>
        <v>1</v>
      </c>
      <c r="S507" s="156">
        <f t="shared" si="119"/>
        <v>2340057</v>
      </c>
      <c r="T507" s="156">
        <f t="shared" si="120"/>
        <v>2340057</v>
      </c>
    </row>
    <row r="508" spans="1:20" s="9" customFormat="1" ht="39.950000000000003" customHeight="1" x14ac:dyDescent="0.25">
      <c r="A508" s="215"/>
      <c r="B508" s="255" t="s">
        <v>1287</v>
      </c>
      <c r="C508" s="254" t="s">
        <v>1288</v>
      </c>
      <c r="D508" s="255" t="s">
        <v>269</v>
      </c>
      <c r="E508" s="242">
        <v>10</v>
      </c>
      <c r="F508" s="242">
        <f>+O508</f>
        <v>0</v>
      </c>
      <c r="G508" s="242">
        <f>+F508+E508</f>
        <v>10</v>
      </c>
      <c r="H508" s="243">
        <v>102294</v>
      </c>
      <c r="I508" s="243">
        <f>ROUND(+H508*G508,2)</f>
        <v>1022940</v>
      </c>
      <c r="J508" s="8">
        <f>ROUND(H508*(1+$J$3),0)</f>
        <v>199760</v>
      </c>
      <c r="K508" s="8">
        <f t="shared" si="128"/>
        <v>103880</v>
      </c>
      <c r="L508" s="8">
        <f t="shared" si="118"/>
        <v>1038800</v>
      </c>
      <c r="M508" s="9" t="str">
        <f t="array" ref="M508">_xlfn.XLOOKUP(B508,'Neiva 2022 FASE I ACTUAL (5)'!$B$6:$B$540,'Neiva 2022 FASE I ACTUAL (5)'!$C$6:$F$540,"NO ESTA")</f>
        <v>NO ESTA</v>
      </c>
      <c r="Q508" s="124">
        <f t="shared" si="121"/>
        <v>0</v>
      </c>
      <c r="R508" s="155">
        <f t="shared" si="117"/>
        <v>10</v>
      </c>
      <c r="S508" s="156">
        <f t="shared" si="119"/>
        <v>103880</v>
      </c>
      <c r="T508" s="156">
        <f t="shared" si="120"/>
        <v>1038800</v>
      </c>
    </row>
    <row r="509" spans="1:20" s="9" customFormat="1" ht="39.950000000000003" customHeight="1" x14ac:dyDescent="0.25">
      <c r="A509" s="215"/>
      <c r="B509" s="255" t="s">
        <v>1289</v>
      </c>
      <c r="C509" s="254" t="s">
        <v>1290</v>
      </c>
      <c r="D509" s="255" t="s">
        <v>269</v>
      </c>
      <c r="E509" s="242">
        <v>5</v>
      </c>
      <c r="F509" s="242">
        <f>+O509</f>
        <v>0</v>
      </c>
      <c r="G509" s="242">
        <f>+F509+E509</f>
        <v>5</v>
      </c>
      <c r="H509" s="243">
        <v>187144</v>
      </c>
      <c r="I509" s="243">
        <f>ROUND(+H509*G509,2)</f>
        <v>935720</v>
      </c>
      <c r="J509" s="8">
        <f>ROUND(H509*(1+$J$3),0)</f>
        <v>365455</v>
      </c>
      <c r="K509" s="8">
        <f t="shared" si="128"/>
        <v>190045</v>
      </c>
      <c r="L509" s="8">
        <f t="shared" si="118"/>
        <v>950225</v>
      </c>
      <c r="M509" s="9" t="str">
        <f t="array" ref="M509">_xlfn.XLOOKUP(B509,'Neiva 2022 FASE I ACTUAL (5)'!$B$6:$B$540,'Neiva 2022 FASE I ACTUAL (5)'!$C$6:$F$540,"NO ESTA")</f>
        <v>NO ESTA</v>
      </c>
      <c r="Q509" s="124">
        <f t="shared" si="121"/>
        <v>0</v>
      </c>
      <c r="R509" s="155">
        <f t="shared" si="117"/>
        <v>5</v>
      </c>
      <c r="S509" s="156">
        <f t="shared" si="119"/>
        <v>190045</v>
      </c>
      <c r="T509" s="156">
        <f t="shared" si="120"/>
        <v>950225</v>
      </c>
    </row>
    <row r="510" spans="1:20" s="9" customFormat="1" ht="39.950000000000003" customHeight="1" x14ac:dyDescent="0.25">
      <c r="A510" s="215"/>
      <c r="B510" s="255" t="s">
        <v>1291</v>
      </c>
      <c r="C510" s="254" t="s">
        <v>1292</v>
      </c>
      <c r="D510" s="255" t="s">
        <v>269</v>
      </c>
      <c r="E510" s="242">
        <v>5</v>
      </c>
      <c r="F510" s="242">
        <f>+O510</f>
        <v>0</v>
      </c>
      <c r="G510" s="242">
        <f>+F510+E510</f>
        <v>5</v>
      </c>
      <c r="H510" s="243">
        <v>187144</v>
      </c>
      <c r="I510" s="243">
        <f>ROUND(+H510*G510,2)</f>
        <v>935720</v>
      </c>
      <c r="J510" s="8">
        <f>ROUND(H510*(1+$J$3),0)</f>
        <v>365455</v>
      </c>
      <c r="K510" s="8">
        <f t="shared" si="128"/>
        <v>190045</v>
      </c>
      <c r="L510" s="8">
        <f t="shared" si="118"/>
        <v>950225</v>
      </c>
      <c r="M510" s="9" t="str">
        <f t="array" ref="M510">_xlfn.XLOOKUP(B510,'Neiva 2022 FASE I ACTUAL (5)'!$B$6:$B$540,'Neiva 2022 FASE I ACTUAL (5)'!$C$6:$F$540,"NO ESTA")</f>
        <v>NO ESTA</v>
      </c>
      <c r="Q510" s="124">
        <f t="shared" si="121"/>
        <v>0</v>
      </c>
      <c r="R510" s="155">
        <f t="shared" si="117"/>
        <v>5</v>
      </c>
      <c r="S510" s="156">
        <f t="shared" si="119"/>
        <v>190045</v>
      </c>
      <c r="T510" s="156">
        <f t="shared" si="120"/>
        <v>950225</v>
      </c>
    </row>
    <row r="511" spans="1:20" s="9" customFormat="1" ht="35.1" customHeight="1" x14ac:dyDescent="0.25">
      <c r="A511" s="215"/>
      <c r="B511" s="255" t="s">
        <v>1293</v>
      </c>
      <c r="C511" s="254" t="s">
        <v>1294</v>
      </c>
      <c r="D511" s="255" t="s">
        <v>1182</v>
      </c>
      <c r="E511" s="242">
        <v>200</v>
      </c>
      <c r="F511" s="242">
        <f>+O511</f>
        <v>0</v>
      </c>
      <c r="G511" s="242">
        <f>+F511+E511</f>
        <v>200</v>
      </c>
      <c r="H511" s="243">
        <v>12565</v>
      </c>
      <c r="I511" s="243">
        <f>ROUND(+H511*G511,2)</f>
        <v>2513000</v>
      </c>
      <c r="J511" s="8"/>
      <c r="K511" s="8">
        <f t="shared" si="128"/>
        <v>12760</v>
      </c>
      <c r="L511" s="8">
        <f t="shared" si="118"/>
        <v>2552000</v>
      </c>
      <c r="M511" s="9" t="str">
        <f t="array" ref="M511">_xlfn.XLOOKUP(B511,'Neiva 2022 FASE I ACTUAL (5)'!$B$6:$B$540,'Neiva 2022 FASE I ACTUAL (5)'!$C$6:$F$540,"NO ESTA")</f>
        <v>NO ESTA</v>
      </c>
      <c r="Q511" s="124">
        <f t="shared" si="121"/>
        <v>0</v>
      </c>
      <c r="R511" s="155">
        <f t="shared" si="117"/>
        <v>200</v>
      </c>
      <c r="S511" s="156">
        <f t="shared" si="119"/>
        <v>12760</v>
      </c>
      <c r="T511" s="156">
        <f t="shared" si="120"/>
        <v>2552000</v>
      </c>
    </row>
    <row r="512" spans="1:20" s="9" customFormat="1" ht="35.1" customHeight="1" x14ac:dyDescent="0.25">
      <c r="A512" s="215"/>
      <c r="B512" s="293">
        <v>16</v>
      </c>
      <c r="C512" s="294" t="s">
        <v>712</v>
      </c>
      <c r="D512" s="267"/>
      <c r="E512" s="268"/>
      <c r="F512" s="268"/>
      <c r="G512" s="268"/>
      <c r="H512" s="306"/>
      <c r="I512" s="268"/>
      <c r="J512" s="8"/>
      <c r="K512" s="8">
        <f t="shared" si="128"/>
        <v>0</v>
      </c>
      <c r="L512" s="8">
        <f t="shared" si="118"/>
        <v>0</v>
      </c>
      <c r="M512" s="9" t="str">
        <f t="array" ref="M512:P512">_xlfn.XLOOKUP(B512,'Neiva 2022 FASE I ACTUAL (5)'!$B$6:$B$540,'Neiva 2022 FASE I ACTUAL (5)'!$C$6:$F$540,"NO ESTA")</f>
        <v>LUMINARIAS Y LAMPARAS</v>
      </c>
      <c r="N512" s="9">
        <v>0</v>
      </c>
      <c r="O512" s="9">
        <v>0</v>
      </c>
      <c r="P512" s="9">
        <v>0</v>
      </c>
      <c r="Q512" s="124">
        <f t="shared" si="121"/>
        <v>0</v>
      </c>
      <c r="R512" s="155">
        <f t="shared" si="117"/>
        <v>0</v>
      </c>
      <c r="S512" s="156">
        <f t="shared" si="119"/>
        <v>0</v>
      </c>
      <c r="T512" s="156">
        <f t="shared" si="120"/>
        <v>0</v>
      </c>
    </row>
    <row r="513" spans="1:20" s="9" customFormat="1" ht="35.1" customHeight="1" x14ac:dyDescent="0.25">
      <c r="A513" s="215"/>
      <c r="B513" s="244" t="s">
        <v>713</v>
      </c>
      <c r="C513" s="256" t="s">
        <v>714</v>
      </c>
      <c r="D513" s="256"/>
      <c r="E513" s="246"/>
      <c r="F513" s="246"/>
      <c r="G513" s="246"/>
      <c r="H513" s="303"/>
      <c r="I513" s="246"/>
      <c r="J513" s="8"/>
      <c r="K513" s="8">
        <f t="shared" si="128"/>
        <v>0</v>
      </c>
      <c r="L513" s="8">
        <f t="shared" si="118"/>
        <v>0</v>
      </c>
      <c r="M513" s="9" t="str">
        <f t="array" ref="M513:P513">_xlfn.XLOOKUP(B513,'Neiva 2022 FASE I ACTUAL (5)'!$B$6:$B$540,'Neiva 2022 FASE I ACTUAL (5)'!$C$6:$F$540,"NO ESTA")</f>
        <v xml:space="preserve">SUMINISTRO E INSTALACIÓN DE LÁMPARAS FLUORESCENTES </v>
      </c>
      <c r="N513" s="9">
        <v>0</v>
      </c>
      <c r="O513" s="9">
        <v>0</v>
      </c>
      <c r="P513" s="9">
        <v>0</v>
      </c>
      <c r="Q513" s="124">
        <f t="shared" si="121"/>
        <v>0</v>
      </c>
      <c r="R513" s="155">
        <f t="shared" si="117"/>
        <v>0</v>
      </c>
      <c r="S513" s="156">
        <f t="shared" si="119"/>
        <v>0</v>
      </c>
      <c r="T513" s="156">
        <f t="shared" si="120"/>
        <v>0</v>
      </c>
    </row>
    <row r="514" spans="1:20" s="9" customFormat="1" ht="35.1" customHeight="1" x14ac:dyDescent="0.25">
      <c r="A514" s="215"/>
      <c r="B514" s="255" t="s">
        <v>715</v>
      </c>
      <c r="C514" s="87" t="s">
        <v>716</v>
      </c>
      <c r="D514" s="255" t="s">
        <v>374</v>
      </c>
      <c r="E514" s="242">
        <v>153</v>
      </c>
      <c r="F514" s="242">
        <f t="shared" ref="F514:F522" si="129">+O514</f>
        <v>57</v>
      </c>
      <c r="G514" s="242">
        <f t="shared" ref="G514:G522" si="130">+F514+E514</f>
        <v>210</v>
      </c>
      <c r="H514" s="243">
        <v>132419</v>
      </c>
      <c r="I514" s="243">
        <f t="shared" ref="I514:I522" si="131">ROUND(+H514*G514,2)</f>
        <v>27807990</v>
      </c>
      <c r="J514" s="8"/>
      <c r="K514" s="8">
        <f t="shared" si="128"/>
        <v>134471</v>
      </c>
      <c r="L514" s="8">
        <f t="shared" si="118"/>
        <v>20574063</v>
      </c>
      <c r="M514" s="9" t="str">
        <f t="array" ref="M514:P514">_xlfn.XLOOKUP(B514,'Neiva 2022 FASE I ACTUAL (5)'!$B$6:$B$540,'Neiva 2022 FASE I ACTUAL (5)'!$C$6:$F$540,"NO ESTA")</f>
        <v>SUMINISTRO E INSTALACIÓN LÁMPARA LED 1x28 W</v>
      </c>
      <c r="N514" s="9" t="str">
        <v>UN</v>
      </c>
      <c r="O514" s="9">
        <v>57</v>
      </c>
      <c r="P514" s="9">
        <v>132419</v>
      </c>
      <c r="Q514" s="124" t="str">
        <f t="shared" si="121"/>
        <v>FASE II</v>
      </c>
      <c r="R514" s="155">
        <f t="shared" si="117"/>
        <v>210</v>
      </c>
      <c r="S514" s="156">
        <f t="shared" si="119"/>
        <v>134471</v>
      </c>
      <c r="T514" s="156">
        <f t="shared" si="120"/>
        <v>28238910</v>
      </c>
    </row>
    <row r="515" spans="1:20" s="9" customFormat="1" ht="35.1" customHeight="1" x14ac:dyDescent="0.25">
      <c r="A515" s="215"/>
      <c r="B515" s="255" t="s">
        <v>717</v>
      </c>
      <c r="C515" s="87" t="s">
        <v>718</v>
      </c>
      <c r="D515" s="255" t="s">
        <v>374</v>
      </c>
      <c r="E515" s="242">
        <v>82</v>
      </c>
      <c r="F515" s="242">
        <f t="shared" si="129"/>
        <v>30</v>
      </c>
      <c r="G515" s="242">
        <f t="shared" si="130"/>
        <v>112</v>
      </c>
      <c r="H515" s="243">
        <v>214137</v>
      </c>
      <c r="I515" s="243">
        <f t="shared" si="131"/>
        <v>23983344</v>
      </c>
      <c r="J515" s="8"/>
      <c r="K515" s="8">
        <f t="shared" si="128"/>
        <v>217456</v>
      </c>
      <c r="L515" s="8">
        <f t="shared" si="118"/>
        <v>17831392</v>
      </c>
      <c r="M515" s="9" t="str">
        <f t="array" ref="M515:P515">_xlfn.XLOOKUP(B515,'Neiva 2022 FASE I ACTUAL (5)'!$B$6:$B$540,'Neiva 2022 FASE I ACTUAL (5)'!$C$6:$F$540,"NO ESTA")</f>
        <v>SUMINISTRO E INSTALACIÓN LÁMPARA LED 2x54 W</v>
      </c>
      <c r="N515" s="9" t="str">
        <v>UN</v>
      </c>
      <c r="O515" s="9">
        <v>30</v>
      </c>
      <c r="P515" s="9">
        <v>214137</v>
      </c>
      <c r="Q515" s="124" t="str">
        <f t="shared" si="121"/>
        <v>FASE II</v>
      </c>
      <c r="R515" s="155">
        <f t="shared" si="117"/>
        <v>112</v>
      </c>
      <c r="S515" s="156">
        <f t="shared" si="119"/>
        <v>217456</v>
      </c>
      <c r="T515" s="156">
        <f t="shared" si="120"/>
        <v>24355072</v>
      </c>
    </row>
    <row r="516" spans="1:20" s="9" customFormat="1" ht="35.1" customHeight="1" x14ac:dyDescent="0.25">
      <c r="A516" s="215"/>
      <c r="B516" s="255" t="s">
        <v>719</v>
      </c>
      <c r="C516" s="254" t="s">
        <v>720</v>
      </c>
      <c r="D516" s="255" t="s">
        <v>374</v>
      </c>
      <c r="E516" s="242">
        <v>121</v>
      </c>
      <c r="F516" s="242">
        <f t="shared" si="129"/>
        <v>45</v>
      </c>
      <c r="G516" s="242">
        <f t="shared" si="130"/>
        <v>166</v>
      </c>
      <c r="H516" s="243">
        <v>193905</v>
      </c>
      <c r="I516" s="243">
        <f t="shared" si="131"/>
        <v>32188230</v>
      </c>
      <c r="J516" s="8"/>
      <c r="K516" s="8">
        <f t="shared" si="128"/>
        <v>196911</v>
      </c>
      <c r="L516" s="8">
        <f t="shared" si="118"/>
        <v>23826231</v>
      </c>
      <c r="M516" s="9" t="str">
        <f t="array" ref="M516:P516">_xlfn.XLOOKUP(B516,'Neiva 2022 FASE I ACTUAL (5)'!$B$6:$B$540,'Neiva 2022 FASE I ACTUAL (5)'!$C$6:$F$540,"NO ESTA")</f>
        <v>SUMINISTRO E INSTALACIÓN BALA LED 35W 120 V</v>
      </c>
      <c r="N516" s="9" t="str">
        <v>UN</v>
      </c>
      <c r="O516" s="9">
        <v>45</v>
      </c>
      <c r="P516" s="9">
        <v>186084</v>
      </c>
      <c r="Q516" s="124" t="str">
        <f t="shared" si="121"/>
        <v>FASE II</v>
      </c>
      <c r="R516" s="155">
        <f t="shared" si="117"/>
        <v>166</v>
      </c>
      <c r="S516" s="156">
        <f t="shared" si="119"/>
        <v>196911</v>
      </c>
      <c r="T516" s="156">
        <f t="shared" si="120"/>
        <v>32687226</v>
      </c>
    </row>
    <row r="517" spans="1:20" s="9" customFormat="1" ht="35.1" customHeight="1" x14ac:dyDescent="0.25">
      <c r="A517" s="215"/>
      <c r="B517" s="255" t="s">
        <v>721</v>
      </c>
      <c r="C517" s="254" t="s">
        <v>722</v>
      </c>
      <c r="D517" s="255" t="s">
        <v>374</v>
      </c>
      <c r="E517" s="242">
        <v>50</v>
      </c>
      <c r="F517" s="242">
        <f t="shared" si="129"/>
        <v>19</v>
      </c>
      <c r="G517" s="242">
        <f t="shared" si="130"/>
        <v>69</v>
      </c>
      <c r="H517" s="243">
        <v>143025</v>
      </c>
      <c r="I517" s="243">
        <f t="shared" si="131"/>
        <v>9868725</v>
      </c>
      <c r="J517" s="8"/>
      <c r="K517" s="8">
        <f t="shared" si="128"/>
        <v>145242</v>
      </c>
      <c r="L517" s="8">
        <f t="shared" si="118"/>
        <v>7262100</v>
      </c>
      <c r="M517" s="9" t="str">
        <f t="array" ref="M517:P517">_xlfn.XLOOKUP(B517,'Neiva 2022 FASE I ACTUAL (5)'!$B$6:$B$540,'Neiva 2022 FASE I ACTUAL (5)'!$C$6:$F$540,"NO ESTA")</f>
        <v>SUMINISTRO E INSTALACIÓN BALA RECESADA LED 10W 120 V</v>
      </c>
      <c r="N517" s="9" t="str">
        <v>UN</v>
      </c>
      <c r="O517" s="9">
        <v>19</v>
      </c>
      <c r="P517" s="9">
        <v>137257</v>
      </c>
      <c r="Q517" s="124" t="str">
        <f t="shared" si="121"/>
        <v>FASE II</v>
      </c>
      <c r="R517" s="155">
        <f t="shared" si="117"/>
        <v>69</v>
      </c>
      <c r="S517" s="156">
        <f t="shared" si="119"/>
        <v>145242</v>
      </c>
      <c r="T517" s="156">
        <f t="shared" si="120"/>
        <v>10021698</v>
      </c>
    </row>
    <row r="518" spans="1:20" s="9" customFormat="1" ht="35.1" customHeight="1" x14ac:dyDescent="0.25">
      <c r="A518" s="215"/>
      <c r="B518" s="255" t="s">
        <v>723</v>
      </c>
      <c r="C518" s="254" t="s">
        <v>724</v>
      </c>
      <c r="D518" s="255" t="s">
        <v>374</v>
      </c>
      <c r="E518" s="242">
        <v>184</v>
      </c>
      <c r="F518" s="242">
        <f t="shared" si="129"/>
        <v>68</v>
      </c>
      <c r="G518" s="242">
        <f t="shared" si="130"/>
        <v>252</v>
      </c>
      <c r="H518" s="243">
        <v>230434</v>
      </c>
      <c r="I518" s="243">
        <f t="shared" si="131"/>
        <v>58069368</v>
      </c>
      <c r="J518" s="8"/>
      <c r="K518" s="8">
        <f t="shared" si="128"/>
        <v>234006</v>
      </c>
      <c r="L518" s="8">
        <f t="shared" si="118"/>
        <v>43057104</v>
      </c>
      <c r="M518" s="9" t="str">
        <f t="array" ref="M518:P518">_xlfn.XLOOKUP(B518,'Neiva 2022 FASE I ACTUAL (5)'!$B$6:$B$540,'Neiva 2022 FASE I ACTUAL (5)'!$C$6:$F$540,"NO ESTA")</f>
        <v>SUMINISTRO E INSTALACIÓN LUMINARIA LED 2x26W 120V</v>
      </c>
      <c r="N518" s="9" t="str">
        <v>UN</v>
      </c>
      <c r="O518" s="9">
        <v>68</v>
      </c>
      <c r="P518" s="9">
        <v>221141</v>
      </c>
      <c r="Q518" s="124" t="str">
        <f t="shared" si="121"/>
        <v>FASE II</v>
      </c>
      <c r="R518" s="155">
        <f t="shared" ref="R518:R581" si="132">E518+O518</f>
        <v>252</v>
      </c>
      <c r="S518" s="156">
        <f t="shared" si="119"/>
        <v>234006</v>
      </c>
      <c r="T518" s="156">
        <f t="shared" si="120"/>
        <v>58969512</v>
      </c>
    </row>
    <row r="519" spans="1:20" s="9" customFormat="1" ht="35.1" customHeight="1" x14ac:dyDescent="0.25">
      <c r="A519" s="215"/>
      <c r="B519" s="255" t="s">
        <v>725</v>
      </c>
      <c r="C519" s="254" t="s">
        <v>726</v>
      </c>
      <c r="D519" s="255" t="s">
        <v>374</v>
      </c>
      <c r="E519" s="242">
        <v>6</v>
      </c>
      <c r="F519" s="242">
        <f t="shared" si="129"/>
        <v>2</v>
      </c>
      <c r="G519" s="242">
        <f t="shared" si="130"/>
        <v>8</v>
      </c>
      <c r="H519" s="243">
        <v>274761</v>
      </c>
      <c r="I519" s="243">
        <f t="shared" si="131"/>
        <v>2198088</v>
      </c>
      <c r="J519" s="8"/>
      <c r="K519" s="8">
        <f t="shared" si="128"/>
        <v>279020</v>
      </c>
      <c r="L519" s="8">
        <f t="shared" ref="L519:L582" si="133">+K519*E519</f>
        <v>1674120</v>
      </c>
      <c r="M519" s="9" t="str">
        <f t="array" ref="M519:P519">_xlfn.XLOOKUP(B519,'Neiva 2022 FASE I ACTUAL (5)'!$B$6:$B$540,'Neiva 2022 FASE I ACTUAL (5)'!$C$6:$F$540,"NO ESTA")</f>
        <v>SUMINISTRO E INSTALACIÓN REFLECTOR DE LUZ INDIRECTA</v>
      </c>
      <c r="N519" s="9" t="str">
        <v>UN</v>
      </c>
      <c r="O519" s="9">
        <v>2</v>
      </c>
      <c r="P519" s="9">
        <v>263680</v>
      </c>
      <c r="Q519" s="124" t="str">
        <f t="shared" si="121"/>
        <v>FASE II</v>
      </c>
      <c r="R519" s="155">
        <f t="shared" si="132"/>
        <v>8</v>
      </c>
      <c r="S519" s="156">
        <f t="shared" ref="S519:S582" si="134">MAX(P519,H519,K519)</f>
        <v>279020</v>
      </c>
      <c r="T519" s="156">
        <f t="shared" ref="T519:T582" si="135">ROUND(R519*S519,2)</f>
        <v>2232160</v>
      </c>
    </row>
    <row r="520" spans="1:20" s="9" customFormat="1" ht="35.1" customHeight="1" x14ac:dyDescent="0.25">
      <c r="A520" s="215"/>
      <c r="B520" s="255" t="s">
        <v>727</v>
      </c>
      <c r="C520" s="254" t="s">
        <v>728</v>
      </c>
      <c r="D520" s="255" t="s">
        <v>374</v>
      </c>
      <c r="E520" s="242">
        <v>6</v>
      </c>
      <c r="F520" s="242">
        <f t="shared" si="129"/>
        <v>2</v>
      </c>
      <c r="G520" s="242">
        <f t="shared" si="130"/>
        <v>8</v>
      </c>
      <c r="H520" s="243">
        <v>203007</v>
      </c>
      <c r="I520" s="243">
        <f t="shared" si="131"/>
        <v>1624056</v>
      </c>
      <c r="J520" s="8"/>
      <c r="K520" s="8">
        <f t="shared" si="128"/>
        <v>206154</v>
      </c>
      <c r="L520" s="8">
        <f t="shared" si="133"/>
        <v>1236924</v>
      </c>
      <c r="M520" s="9" t="str">
        <f t="array" ref="M520:P520">_xlfn.XLOOKUP(B520,'Neiva 2022 FASE I ACTUAL (5)'!$B$6:$B$540,'Neiva 2022 FASE I ACTUAL (5)'!$C$6:$F$540,"NO ESTA")</f>
        <v>SUMINISTRO E INSTALACIÓN APLIQUE DE ESCALERA 1000W 120V</v>
      </c>
      <c r="N520" s="9" t="str">
        <v>UN</v>
      </c>
      <c r="O520" s="9">
        <v>2</v>
      </c>
      <c r="P520" s="9">
        <v>194820</v>
      </c>
      <c r="Q520" s="124" t="str">
        <f t="shared" ref="Q520:Q583" si="136">IF(P520=0,0,(IF(H520&lt;P520, "FASE I","FASE II")))</f>
        <v>FASE II</v>
      </c>
      <c r="R520" s="155">
        <f t="shared" si="132"/>
        <v>8</v>
      </c>
      <c r="S520" s="156">
        <f t="shared" si="134"/>
        <v>206154</v>
      </c>
      <c r="T520" s="156">
        <f t="shared" si="135"/>
        <v>1649232</v>
      </c>
    </row>
    <row r="521" spans="1:20" s="9" customFormat="1" ht="35.1" customHeight="1" x14ac:dyDescent="0.25">
      <c r="A521" s="215"/>
      <c r="B521" s="255" t="s">
        <v>729</v>
      </c>
      <c r="C521" s="291" t="s">
        <v>730</v>
      </c>
      <c r="D521" s="292" t="s">
        <v>374</v>
      </c>
      <c r="E521" s="242">
        <v>67</v>
      </c>
      <c r="F521" s="242">
        <f t="shared" si="129"/>
        <v>25</v>
      </c>
      <c r="G521" s="242">
        <f t="shared" si="130"/>
        <v>92</v>
      </c>
      <c r="H521" s="243">
        <v>98638</v>
      </c>
      <c r="I521" s="243">
        <f t="shared" si="131"/>
        <v>9074696</v>
      </c>
      <c r="J521" s="8"/>
      <c r="K521" s="8">
        <f t="shared" si="128"/>
        <v>100167</v>
      </c>
      <c r="L521" s="8">
        <f t="shared" si="133"/>
        <v>6711189</v>
      </c>
      <c r="M521" s="9" t="str">
        <f t="array" ref="M521:P521">_xlfn.XLOOKUP(B521,'Neiva 2022 FASE I ACTUAL (5)'!$B$6:$B$540,'Neiva 2022 FASE I ACTUAL (5)'!$C$6:$F$540,"NO ESTA")</f>
        <v>SUMINISTRO E INSTALACIÓN BALAS LED DE PISO 3W 120V</v>
      </c>
      <c r="N521" s="9" t="str">
        <v>UN</v>
      </c>
      <c r="O521" s="9">
        <v>25</v>
      </c>
      <c r="P521" s="9">
        <v>94659</v>
      </c>
      <c r="Q521" s="124" t="str">
        <f t="shared" si="136"/>
        <v>FASE II</v>
      </c>
      <c r="R521" s="155">
        <f t="shared" si="132"/>
        <v>92</v>
      </c>
      <c r="S521" s="156">
        <f t="shared" si="134"/>
        <v>100167</v>
      </c>
      <c r="T521" s="156">
        <f t="shared" si="135"/>
        <v>9215364</v>
      </c>
    </row>
    <row r="522" spans="1:20" s="9" customFormat="1" ht="35.1" customHeight="1" x14ac:dyDescent="0.25">
      <c r="A522" s="215"/>
      <c r="B522" s="255" t="s">
        <v>731</v>
      </c>
      <c r="C522" s="254" t="s">
        <v>732</v>
      </c>
      <c r="D522" s="255" t="s">
        <v>374</v>
      </c>
      <c r="E522" s="242">
        <v>10</v>
      </c>
      <c r="F522" s="242">
        <f t="shared" si="129"/>
        <v>4</v>
      </c>
      <c r="G522" s="242">
        <f t="shared" si="130"/>
        <v>14</v>
      </c>
      <c r="H522" s="243">
        <v>79069</v>
      </c>
      <c r="I522" s="243">
        <f t="shared" si="131"/>
        <v>1106966</v>
      </c>
      <c r="J522" s="8"/>
      <c r="K522" s="8">
        <f t="shared" si="128"/>
        <v>80295</v>
      </c>
      <c r="L522" s="8">
        <f t="shared" si="133"/>
        <v>802950</v>
      </c>
      <c r="M522" s="9" t="str">
        <f t="array" ref="M522:P522">_xlfn.XLOOKUP(B522,'Neiva 2022 FASE I ACTUAL (5)'!$B$6:$B$540,'Neiva 2022 FASE I ACTUAL (5)'!$C$6:$F$540,"NO ESTA")</f>
        <v>SUMINISTRO E INSTALACIÓN BALAS DE PISO 50W 120 V</v>
      </c>
      <c r="N522" s="9" t="str">
        <v>UN</v>
      </c>
      <c r="O522" s="9">
        <v>4</v>
      </c>
      <c r="P522" s="9">
        <v>75880</v>
      </c>
      <c r="Q522" s="124" t="str">
        <f t="shared" si="136"/>
        <v>FASE II</v>
      </c>
      <c r="R522" s="155">
        <f t="shared" si="132"/>
        <v>14</v>
      </c>
      <c r="S522" s="156">
        <f t="shared" si="134"/>
        <v>80295</v>
      </c>
      <c r="T522" s="156">
        <f t="shared" si="135"/>
        <v>1124130</v>
      </c>
    </row>
    <row r="523" spans="1:20" s="9" customFormat="1" ht="35.1" customHeight="1" x14ac:dyDescent="0.25">
      <c r="A523" s="215"/>
      <c r="B523" s="266">
        <v>17</v>
      </c>
      <c r="C523" s="267" t="s">
        <v>733</v>
      </c>
      <c r="D523" s="267"/>
      <c r="E523" s="268"/>
      <c r="F523" s="268"/>
      <c r="G523" s="268"/>
      <c r="H523" s="306"/>
      <c r="I523" s="268"/>
      <c r="J523" s="8"/>
      <c r="K523" s="8">
        <f t="shared" si="128"/>
        <v>0</v>
      </c>
      <c r="L523" s="8">
        <f t="shared" si="133"/>
        <v>0</v>
      </c>
      <c r="M523" s="9" t="str">
        <f t="array" ref="M523:P523">_xlfn.XLOOKUP(B523,'Neiva 2022 FASE I ACTUAL (5)'!$B$6:$B$540,'Neiva 2022 FASE I ACTUAL (5)'!$C$6:$F$540,"NO ESTA")</f>
        <v>AIRE ACONDICIONADO</v>
      </c>
      <c r="N523" s="9">
        <v>0</v>
      </c>
      <c r="O523" s="9">
        <v>0</v>
      </c>
      <c r="P523" s="9">
        <v>0</v>
      </c>
      <c r="Q523" s="124">
        <f t="shared" si="136"/>
        <v>0</v>
      </c>
      <c r="R523" s="155">
        <f t="shared" si="132"/>
        <v>0</v>
      </c>
      <c r="S523" s="156">
        <f t="shared" si="134"/>
        <v>0</v>
      </c>
      <c r="T523" s="156">
        <f t="shared" si="135"/>
        <v>0</v>
      </c>
    </row>
    <row r="524" spans="1:20" s="9" customFormat="1" ht="35.1" customHeight="1" x14ac:dyDescent="0.25">
      <c r="A524" s="215"/>
      <c r="B524" s="244" t="s">
        <v>1295</v>
      </c>
      <c r="C524" s="256" t="s">
        <v>1296</v>
      </c>
      <c r="D524" s="256"/>
      <c r="E524" s="246"/>
      <c r="F524" s="246"/>
      <c r="G524" s="246"/>
      <c r="H524" s="303"/>
      <c r="I524" s="246"/>
      <c r="J524" s="8"/>
      <c r="K524" s="8">
        <f t="shared" si="128"/>
        <v>0</v>
      </c>
      <c r="L524" s="8">
        <f t="shared" si="133"/>
        <v>0</v>
      </c>
      <c r="M524" s="9" t="str">
        <f t="array" ref="M524">_xlfn.XLOOKUP(B524,'Neiva 2022 FASE I ACTUAL (5)'!$B$6:$B$540,'Neiva 2022 FASE I ACTUAL (5)'!$C$6:$F$540,"NO ESTA")</f>
        <v>NO ESTA</v>
      </c>
      <c r="Q524" s="124">
        <f t="shared" si="136"/>
        <v>0</v>
      </c>
      <c r="R524" s="155">
        <f t="shared" si="132"/>
        <v>0</v>
      </c>
      <c r="S524" s="156">
        <f t="shared" si="134"/>
        <v>0</v>
      </c>
      <c r="T524" s="156">
        <f t="shared" si="135"/>
        <v>0</v>
      </c>
    </row>
    <row r="525" spans="1:20" s="9" customFormat="1" ht="35.1" customHeight="1" x14ac:dyDescent="0.25">
      <c r="A525" s="215"/>
      <c r="B525" s="255" t="s">
        <v>1297</v>
      </c>
      <c r="C525" s="254" t="s">
        <v>1298</v>
      </c>
      <c r="D525" s="240" t="s">
        <v>16</v>
      </c>
      <c r="E525" s="242">
        <v>1</v>
      </c>
      <c r="F525" s="242">
        <f t="shared" ref="F525:F539" si="137">+O525</f>
        <v>0</v>
      </c>
      <c r="G525" s="242">
        <f t="shared" ref="G525:G539" si="138">+F525+E525</f>
        <v>1</v>
      </c>
      <c r="H525" s="243">
        <v>243889495</v>
      </c>
      <c r="I525" s="243">
        <f t="shared" ref="I525:I539" si="139">ROUND(+H525*G525,2)</f>
        <v>243889495</v>
      </c>
      <c r="J525" s="8"/>
      <c r="K525" s="8">
        <f t="shared" si="128"/>
        <v>247669782</v>
      </c>
      <c r="L525" s="8">
        <f t="shared" si="133"/>
        <v>247669782</v>
      </c>
      <c r="M525" s="9" t="str">
        <f t="array" ref="M525">_xlfn.XLOOKUP(B525,'Neiva 2022 FASE I ACTUAL (5)'!$B$6:$B$540,'Neiva 2022 FASE I ACTUAL (5)'!$C$6:$F$540,"NO ESTA")</f>
        <v>NO ESTA</v>
      </c>
      <c r="Q525" s="124">
        <f t="shared" si="136"/>
        <v>0</v>
      </c>
      <c r="R525" s="155">
        <f t="shared" si="132"/>
        <v>1</v>
      </c>
      <c r="S525" s="156">
        <f t="shared" si="134"/>
        <v>247669782</v>
      </c>
      <c r="T525" s="156">
        <f t="shared" si="135"/>
        <v>247669782</v>
      </c>
    </row>
    <row r="526" spans="1:20" s="9" customFormat="1" ht="35.1" customHeight="1" x14ac:dyDescent="0.25">
      <c r="A526" s="215"/>
      <c r="B526" s="255" t="s">
        <v>1299</v>
      </c>
      <c r="C526" s="254" t="s">
        <v>1300</v>
      </c>
      <c r="D526" s="240" t="s">
        <v>16</v>
      </c>
      <c r="E526" s="242">
        <v>1</v>
      </c>
      <c r="F526" s="242">
        <f t="shared" si="137"/>
        <v>0</v>
      </c>
      <c r="G526" s="242">
        <f t="shared" si="138"/>
        <v>1</v>
      </c>
      <c r="H526" s="243">
        <v>195618820</v>
      </c>
      <c r="I526" s="243">
        <f t="shared" si="139"/>
        <v>195618820</v>
      </c>
      <c r="J526" s="8"/>
      <c r="K526" s="8">
        <f t="shared" si="128"/>
        <v>198650912</v>
      </c>
      <c r="L526" s="8">
        <f t="shared" si="133"/>
        <v>198650912</v>
      </c>
      <c r="M526" s="9" t="str">
        <f t="array" ref="M526">_xlfn.XLOOKUP(B526,'Neiva 2022 FASE I ACTUAL (5)'!$B$6:$B$540,'Neiva 2022 FASE I ACTUAL (5)'!$C$6:$F$540,"NO ESTA")</f>
        <v>NO ESTA</v>
      </c>
      <c r="Q526" s="124">
        <f t="shared" si="136"/>
        <v>0</v>
      </c>
      <c r="R526" s="155">
        <f t="shared" si="132"/>
        <v>1</v>
      </c>
      <c r="S526" s="156">
        <f t="shared" si="134"/>
        <v>198650912</v>
      </c>
      <c r="T526" s="156">
        <f t="shared" si="135"/>
        <v>198650912</v>
      </c>
    </row>
    <row r="527" spans="1:20" s="9" customFormat="1" ht="35.1" customHeight="1" x14ac:dyDescent="0.25">
      <c r="A527" s="215"/>
      <c r="B527" s="255" t="s">
        <v>1301</v>
      </c>
      <c r="C527" s="254" t="s">
        <v>1302</v>
      </c>
      <c r="D527" s="240" t="s">
        <v>16</v>
      </c>
      <c r="E527" s="242">
        <v>2</v>
      </c>
      <c r="F527" s="242">
        <f t="shared" si="137"/>
        <v>0</v>
      </c>
      <c r="G527" s="242">
        <f t="shared" si="138"/>
        <v>2</v>
      </c>
      <c r="H527" s="243">
        <v>848091</v>
      </c>
      <c r="I527" s="243">
        <f t="shared" si="139"/>
        <v>1696182</v>
      </c>
      <c r="J527" s="8"/>
      <c r="K527" s="8">
        <f t="shared" si="128"/>
        <v>861236</v>
      </c>
      <c r="L527" s="8">
        <f t="shared" si="133"/>
        <v>1722472</v>
      </c>
      <c r="M527" s="9" t="str">
        <f t="array" ref="M527">_xlfn.XLOOKUP(B527,'Neiva 2022 FASE I ACTUAL (5)'!$B$6:$B$540,'Neiva 2022 FASE I ACTUAL (5)'!$C$6:$F$540,"NO ESTA")</f>
        <v>NO ESTA</v>
      </c>
      <c r="Q527" s="124">
        <f t="shared" si="136"/>
        <v>0</v>
      </c>
      <c r="R527" s="155">
        <f t="shared" si="132"/>
        <v>2</v>
      </c>
      <c r="S527" s="156">
        <f t="shared" si="134"/>
        <v>861236</v>
      </c>
      <c r="T527" s="156">
        <f t="shared" si="135"/>
        <v>1722472</v>
      </c>
    </row>
    <row r="528" spans="1:20" s="9" customFormat="1" ht="35.1" customHeight="1" x14ac:dyDescent="0.25">
      <c r="A528" s="215"/>
      <c r="B528" s="255" t="s">
        <v>1303</v>
      </c>
      <c r="C528" s="254" t="s">
        <v>1304</v>
      </c>
      <c r="D528" s="240" t="s">
        <v>16</v>
      </c>
      <c r="E528" s="242">
        <v>9</v>
      </c>
      <c r="F528" s="242">
        <f t="shared" si="137"/>
        <v>0</v>
      </c>
      <c r="G528" s="242">
        <f t="shared" si="138"/>
        <v>9</v>
      </c>
      <c r="H528" s="243">
        <v>3260174</v>
      </c>
      <c r="I528" s="243">
        <f t="shared" si="139"/>
        <v>29341566</v>
      </c>
      <c r="J528" s="8"/>
      <c r="K528" s="8">
        <f t="shared" si="128"/>
        <v>3310707</v>
      </c>
      <c r="L528" s="8">
        <f t="shared" si="133"/>
        <v>29796363</v>
      </c>
      <c r="M528" s="9" t="str">
        <f t="array" ref="M528">_xlfn.XLOOKUP(B528,'Neiva 2022 FASE I ACTUAL (5)'!$B$6:$B$540,'Neiva 2022 FASE I ACTUAL (5)'!$C$6:$F$540,"NO ESTA")</f>
        <v>NO ESTA</v>
      </c>
      <c r="Q528" s="124">
        <f t="shared" si="136"/>
        <v>0</v>
      </c>
      <c r="R528" s="155">
        <f t="shared" si="132"/>
        <v>9</v>
      </c>
      <c r="S528" s="156">
        <f t="shared" si="134"/>
        <v>3310707</v>
      </c>
      <c r="T528" s="156">
        <f t="shared" si="135"/>
        <v>29796363</v>
      </c>
    </row>
    <row r="529" spans="1:20" s="9" customFormat="1" ht="35.1" customHeight="1" x14ac:dyDescent="0.25">
      <c r="A529" s="215"/>
      <c r="B529" s="255" t="s">
        <v>1305</v>
      </c>
      <c r="C529" s="254" t="s">
        <v>1306</v>
      </c>
      <c r="D529" s="240" t="s">
        <v>16</v>
      </c>
      <c r="E529" s="242">
        <v>16</v>
      </c>
      <c r="F529" s="242">
        <f t="shared" si="137"/>
        <v>0</v>
      </c>
      <c r="G529" s="242">
        <f t="shared" si="138"/>
        <v>16</v>
      </c>
      <c r="H529" s="243">
        <v>2216484</v>
      </c>
      <c r="I529" s="243">
        <f t="shared" si="139"/>
        <v>35463744</v>
      </c>
      <c r="J529" s="8"/>
      <c r="K529" s="8">
        <f t="shared" si="128"/>
        <v>2250840</v>
      </c>
      <c r="L529" s="8">
        <f t="shared" si="133"/>
        <v>36013440</v>
      </c>
      <c r="M529" s="9" t="str">
        <f t="array" ref="M529">_xlfn.XLOOKUP(B529,'Neiva 2022 FASE I ACTUAL (5)'!$B$6:$B$540,'Neiva 2022 FASE I ACTUAL (5)'!$C$6:$F$540,"NO ESTA")</f>
        <v>NO ESTA</v>
      </c>
      <c r="Q529" s="124">
        <f t="shared" si="136"/>
        <v>0</v>
      </c>
      <c r="R529" s="155">
        <f t="shared" si="132"/>
        <v>16</v>
      </c>
      <c r="S529" s="156">
        <f t="shared" si="134"/>
        <v>2250840</v>
      </c>
      <c r="T529" s="156">
        <f t="shared" si="135"/>
        <v>36013440</v>
      </c>
    </row>
    <row r="530" spans="1:20" s="9" customFormat="1" ht="35.1" customHeight="1" x14ac:dyDescent="0.25">
      <c r="A530" s="215"/>
      <c r="B530" s="255" t="s">
        <v>1307</v>
      </c>
      <c r="C530" s="254" t="s">
        <v>1308</v>
      </c>
      <c r="D530" s="240" t="s">
        <v>16</v>
      </c>
      <c r="E530" s="242">
        <v>1</v>
      </c>
      <c r="F530" s="242">
        <f t="shared" si="137"/>
        <v>0</v>
      </c>
      <c r="G530" s="242">
        <f t="shared" si="138"/>
        <v>1</v>
      </c>
      <c r="H530" s="243">
        <v>2086023</v>
      </c>
      <c r="I530" s="243">
        <f t="shared" si="139"/>
        <v>2086023</v>
      </c>
      <c r="J530" s="8"/>
      <c r="K530" s="8">
        <f t="shared" si="128"/>
        <v>2118356</v>
      </c>
      <c r="L530" s="8">
        <f t="shared" si="133"/>
        <v>2118356</v>
      </c>
      <c r="M530" s="9" t="str">
        <f t="array" ref="M530">_xlfn.XLOOKUP(B530,'Neiva 2022 FASE I ACTUAL (5)'!$B$6:$B$540,'Neiva 2022 FASE I ACTUAL (5)'!$C$6:$F$540,"NO ESTA")</f>
        <v>NO ESTA</v>
      </c>
      <c r="Q530" s="124">
        <f t="shared" si="136"/>
        <v>0</v>
      </c>
      <c r="R530" s="155">
        <f t="shared" si="132"/>
        <v>1</v>
      </c>
      <c r="S530" s="156">
        <f t="shared" si="134"/>
        <v>2118356</v>
      </c>
      <c r="T530" s="156">
        <f t="shared" si="135"/>
        <v>2118356</v>
      </c>
    </row>
    <row r="531" spans="1:20" s="9" customFormat="1" ht="35.1" customHeight="1" x14ac:dyDescent="0.25">
      <c r="A531" s="215"/>
      <c r="B531" s="255" t="s">
        <v>1309</v>
      </c>
      <c r="C531" s="254" t="s">
        <v>1310</v>
      </c>
      <c r="D531" s="240" t="s">
        <v>16</v>
      </c>
      <c r="E531" s="242">
        <v>1</v>
      </c>
      <c r="F531" s="242">
        <f t="shared" si="137"/>
        <v>0</v>
      </c>
      <c r="G531" s="242">
        <f t="shared" si="138"/>
        <v>1</v>
      </c>
      <c r="H531" s="243">
        <v>1955562</v>
      </c>
      <c r="I531" s="243">
        <f t="shared" si="139"/>
        <v>1955562</v>
      </c>
      <c r="J531" s="8"/>
      <c r="K531" s="8">
        <f t="shared" si="128"/>
        <v>1985873</v>
      </c>
      <c r="L531" s="8">
        <f t="shared" si="133"/>
        <v>1985873</v>
      </c>
      <c r="M531" s="9" t="str">
        <f t="array" ref="M531">_xlfn.XLOOKUP(B531,'Neiva 2022 FASE I ACTUAL (5)'!$B$6:$B$540,'Neiva 2022 FASE I ACTUAL (5)'!$C$6:$F$540,"NO ESTA")</f>
        <v>NO ESTA</v>
      </c>
      <c r="Q531" s="124">
        <f t="shared" si="136"/>
        <v>0</v>
      </c>
      <c r="R531" s="155">
        <f t="shared" si="132"/>
        <v>1</v>
      </c>
      <c r="S531" s="156">
        <f t="shared" si="134"/>
        <v>1985873</v>
      </c>
      <c r="T531" s="156">
        <f t="shared" si="135"/>
        <v>1985873</v>
      </c>
    </row>
    <row r="532" spans="1:20" s="9" customFormat="1" ht="35.1" customHeight="1" x14ac:dyDescent="0.25">
      <c r="A532" s="215"/>
      <c r="B532" s="255" t="s">
        <v>1311</v>
      </c>
      <c r="C532" s="254" t="s">
        <v>1312</v>
      </c>
      <c r="D532" s="240" t="s">
        <v>16</v>
      </c>
      <c r="E532" s="242">
        <v>3</v>
      </c>
      <c r="F532" s="242">
        <f t="shared" si="137"/>
        <v>0</v>
      </c>
      <c r="G532" s="242">
        <f t="shared" si="138"/>
        <v>3</v>
      </c>
      <c r="H532" s="243">
        <v>1172794</v>
      </c>
      <c r="I532" s="243">
        <f t="shared" si="139"/>
        <v>3518382</v>
      </c>
      <c r="J532" s="8"/>
      <c r="K532" s="8">
        <f t="shared" si="128"/>
        <v>1190972</v>
      </c>
      <c r="L532" s="8">
        <f t="shared" si="133"/>
        <v>3572916</v>
      </c>
      <c r="M532" s="9" t="str">
        <f t="array" ref="M532">_xlfn.XLOOKUP(B532,'Neiva 2022 FASE I ACTUAL (5)'!$B$6:$B$540,'Neiva 2022 FASE I ACTUAL (5)'!$C$6:$F$540,"NO ESTA")</f>
        <v>NO ESTA</v>
      </c>
      <c r="Q532" s="124">
        <f t="shared" si="136"/>
        <v>0</v>
      </c>
      <c r="R532" s="155">
        <f t="shared" si="132"/>
        <v>3</v>
      </c>
      <c r="S532" s="156">
        <f t="shared" si="134"/>
        <v>1190972</v>
      </c>
      <c r="T532" s="156">
        <f t="shared" si="135"/>
        <v>3572916</v>
      </c>
    </row>
    <row r="533" spans="1:20" s="9" customFormat="1" ht="35.1" customHeight="1" x14ac:dyDescent="0.25">
      <c r="A533" s="215"/>
      <c r="B533" s="255" t="s">
        <v>1313</v>
      </c>
      <c r="C533" s="254" t="s">
        <v>1314</v>
      </c>
      <c r="D533" s="240" t="s">
        <v>16</v>
      </c>
      <c r="E533" s="242">
        <v>3</v>
      </c>
      <c r="F533" s="242">
        <f t="shared" si="137"/>
        <v>0</v>
      </c>
      <c r="G533" s="242">
        <f t="shared" si="138"/>
        <v>3</v>
      </c>
      <c r="H533" s="243">
        <v>1551132</v>
      </c>
      <c r="I533" s="243">
        <f t="shared" si="139"/>
        <v>4653396</v>
      </c>
      <c r="J533" s="8"/>
      <c r="K533" s="8">
        <f t="shared" si="128"/>
        <v>1575175</v>
      </c>
      <c r="L533" s="8">
        <f t="shared" si="133"/>
        <v>4725525</v>
      </c>
      <c r="M533" s="9" t="str">
        <f t="array" ref="M533">_xlfn.XLOOKUP(B533,'Neiva 2022 FASE I ACTUAL (5)'!$B$6:$B$540,'Neiva 2022 FASE I ACTUAL (5)'!$C$6:$F$540,"NO ESTA")</f>
        <v>NO ESTA</v>
      </c>
      <c r="Q533" s="124">
        <f t="shared" si="136"/>
        <v>0</v>
      </c>
      <c r="R533" s="155">
        <f t="shared" si="132"/>
        <v>3</v>
      </c>
      <c r="S533" s="156">
        <f t="shared" si="134"/>
        <v>1575175</v>
      </c>
      <c r="T533" s="156">
        <f t="shared" si="135"/>
        <v>4725525</v>
      </c>
    </row>
    <row r="534" spans="1:20" s="9" customFormat="1" ht="35.1" customHeight="1" x14ac:dyDescent="0.25">
      <c r="A534" s="215"/>
      <c r="B534" s="255" t="s">
        <v>1315</v>
      </c>
      <c r="C534" s="254" t="s">
        <v>1316</v>
      </c>
      <c r="D534" s="240" t="s">
        <v>16</v>
      </c>
      <c r="E534" s="242">
        <v>1</v>
      </c>
      <c r="F534" s="242">
        <f t="shared" si="137"/>
        <v>0</v>
      </c>
      <c r="G534" s="242">
        <f t="shared" si="138"/>
        <v>1</v>
      </c>
      <c r="H534" s="243">
        <v>1675069</v>
      </c>
      <c r="I534" s="243">
        <f t="shared" si="139"/>
        <v>1675069</v>
      </c>
      <c r="J534" s="8"/>
      <c r="K534" s="8">
        <f t="shared" si="128"/>
        <v>1701033</v>
      </c>
      <c r="L534" s="8">
        <f t="shared" si="133"/>
        <v>1701033</v>
      </c>
      <c r="M534" s="9" t="str">
        <f t="array" ref="M534">_xlfn.XLOOKUP(B534,'Neiva 2022 FASE I ACTUAL (5)'!$B$6:$B$540,'Neiva 2022 FASE I ACTUAL (5)'!$C$6:$F$540,"NO ESTA")</f>
        <v>NO ESTA</v>
      </c>
      <c r="Q534" s="124">
        <f t="shared" si="136"/>
        <v>0</v>
      </c>
      <c r="R534" s="155">
        <f t="shared" si="132"/>
        <v>1</v>
      </c>
      <c r="S534" s="156">
        <f t="shared" si="134"/>
        <v>1701033</v>
      </c>
      <c r="T534" s="156">
        <f t="shared" si="135"/>
        <v>1701033</v>
      </c>
    </row>
    <row r="535" spans="1:20" s="9" customFormat="1" ht="35.1" customHeight="1" x14ac:dyDescent="0.25">
      <c r="A535" s="215"/>
      <c r="B535" s="255" t="s">
        <v>1317</v>
      </c>
      <c r="C535" s="254" t="s">
        <v>1318</v>
      </c>
      <c r="D535" s="240" t="s">
        <v>16</v>
      </c>
      <c r="E535" s="242">
        <v>1</v>
      </c>
      <c r="F535" s="242">
        <f t="shared" si="137"/>
        <v>0</v>
      </c>
      <c r="G535" s="242">
        <f t="shared" si="138"/>
        <v>1</v>
      </c>
      <c r="H535" s="243">
        <v>1825100</v>
      </c>
      <c r="I535" s="243">
        <f t="shared" si="139"/>
        <v>1825100</v>
      </c>
      <c r="J535" s="8"/>
      <c r="K535" s="8">
        <f t="shared" si="128"/>
        <v>1853389</v>
      </c>
      <c r="L535" s="8">
        <f t="shared" si="133"/>
        <v>1853389</v>
      </c>
      <c r="M535" s="9" t="str">
        <f t="array" ref="M535">_xlfn.XLOOKUP(B535,'Neiva 2022 FASE I ACTUAL (5)'!$B$6:$B$540,'Neiva 2022 FASE I ACTUAL (5)'!$C$6:$F$540,"NO ESTA")</f>
        <v>NO ESTA</v>
      </c>
      <c r="Q535" s="124">
        <f t="shared" si="136"/>
        <v>0</v>
      </c>
      <c r="R535" s="155">
        <f t="shared" si="132"/>
        <v>1</v>
      </c>
      <c r="S535" s="156">
        <f t="shared" si="134"/>
        <v>1853389</v>
      </c>
      <c r="T535" s="156">
        <f t="shared" si="135"/>
        <v>1853389</v>
      </c>
    </row>
    <row r="536" spans="1:20" s="9" customFormat="1" ht="35.1" customHeight="1" x14ac:dyDescent="0.25">
      <c r="A536" s="215"/>
      <c r="B536" s="255" t="s">
        <v>1319</v>
      </c>
      <c r="C536" s="254" t="s">
        <v>1320</v>
      </c>
      <c r="D536" s="240" t="s">
        <v>16</v>
      </c>
      <c r="E536" s="242">
        <v>2</v>
      </c>
      <c r="F536" s="242">
        <f t="shared" si="137"/>
        <v>0</v>
      </c>
      <c r="G536" s="242">
        <f t="shared" si="138"/>
        <v>2</v>
      </c>
      <c r="H536" s="243">
        <v>10045890</v>
      </c>
      <c r="I536" s="243">
        <f t="shared" si="139"/>
        <v>20091780</v>
      </c>
      <c r="J536" s="8"/>
      <c r="K536" s="8">
        <f t="shared" si="128"/>
        <v>10201601</v>
      </c>
      <c r="L536" s="8">
        <f t="shared" si="133"/>
        <v>20403202</v>
      </c>
      <c r="M536" s="9" t="str">
        <f t="array" ref="M536">_xlfn.XLOOKUP(B536,'Neiva 2022 FASE I ACTUAL (5)'!$B$6:$B$540,'Neiva 2022 FASE I ACTUAL (5)'!$C$6:$F$540,"NO ESTA")</f>
        <v>NO ESTA</v>
      </c>
      <c r="Q536" s="124">
        <f t="shared" si="136"/>
        <v>0</v>
      </c>
      <c r="R536" s="155">
        <f t="shared" si="132"/>
        <v>2</v>
      </c>
      <c r="S536" s="156">
        <f t="shared" si="134"/>
        <v>10201601</v>
      </c>
      <c r="T536" s="156">
        <f t="shared" si="135"/>
        <v>20403202</v>
      </c>
    </row>
    <row r="537" spans="1:20" s="9" customFormat="1" ht="35.1" customHeight="1" x14ac:dyDescent="0.25">
      <c r="A537" s="215"/>
      <c r="B537" s="255" t="s">
        <v>1321</v>
      </c>
      <c r="C537" s="254" t="s">
        <v>1322</v>
      </c>
      <c r="D537" s="240" t="s">
        <v>16</v>
      </c>
      <c r="E537" s="242">
        <v>1</v>
      </c>
      <c r="F537" s="242">
        <f t="shared" si="137"/>
        <v>0</v>
      </c>
      <c r="G537" s="242">
        <f t="shared" si="138"/>
        <v>1</v>
      </c>
      <c r="H537" s="243">
        <v>16177662</v>
      </c>
      <c r="I537" s="243">
        <f t="shared" si="139"/>
        <v>16177662</v>
      </c>
      <c r="J537" s="8"/>
      <c r="K537" s="8">
        <f t="shared" si="128"/>
        <v>16428416</v>
      </c>
      <c r="L537" s="8">
        <f t="shared" si="133"/>
        <v>16428416</v>
      </c>
      <c r="M537" s="9" t="str">
        <f t="array" ref="M537">_xlfn.XLOOKUP(B537,'Neiva 2022 FASE I ACTUAL (5)'!$B$6:$B$540,'Neiva 2022 FASE I ACTUAL (5)'!$C$6:$F$540,"NO ESTA")</f>
        <v>NO ESTA</v>
      </c>
      <c r="Q537" s="124">
        <f t="shared" si="136"/>
        <v>0</v>
      </c>
      <c r="R537" s="155">
        <f t="shared" si="132"/>
        <v>1</v>
      </c>
      <c r="S537" s="156">
        <f t="shared" si="134"/>
        <v>16428416</v>
      </c>
      <c r="T537" s="156">
        <f t="shared" si="135"/>
        <v>16428416</v>
      </c>
    </row>
    <row r="538" spans="1:20" s="9" customFormat="1" ht="35.1" customHeight="1" x14ac:dyDescent="0.25">
      <c r="A538" s="215"/>
      <c r="B538" s="255" t="s">
        <v>1323</v>
      </c>
      <c r="C538" s="254" t="s">
        <v>1324</v>
      </c>
      <c r="D538" s="240" t="s">
        <v>16</v>
      </c>
      <c r="E538" s="242">
        <v>4</v>
      </c>
      <c r="F538" s="242">
        <f t="shared" si="137"/>
        <v>0</v>
      </c>
      <c r="G538" s="242">
        <f t="shared" si="138"/>
        <v>4</v>
      </c>
      <c r="H538" s="243">
        <v>6740609</v>
      </c>
      <c r="I538" s="243">
        <f t="shared" si="139"/>
        <v>26962436</v>
      </c>
      <c r="J538" s="8"/>
      <c r="K538" s="8">
        <f t="shared" si="128"/>
        <v>6845088</v>
      </c>
      <c r="L538" s="8">
        <f t="shared" si="133"/>
        <v>27380352</v>
      </c>
      <c r="M538" s="9" t="str">
        <f t="array" ref="M538">_xlfn.XLOOKUP(B538,'Neiva 2022 FASE I ACTUAL (5)'!$B$6:$B$540,'Neiva 2022 FASE I ACTUAL (5)'!$C$6:$F$540,"NO ESTA")</f>
        <v>NO ESTA</v>
      </c>
      <c r="Q538" s="124">
        <f t="shared" si="136"/>
        <v>0</v>
      </c>
      <c r="R538" s="155">
        <f t="shared" si="132"/>
        <v>4</v>
      </c>
      <c r="S538" s="156">
        <f t="shared" si="134"/>
        <v>6845088</v>
      </c>
      <c r="T538" s="156">
        <f t="shared" si="135"/>
        <v>27380352</v>
      </c>
    </row>
    <row r="539" spans="1:20" s="9" customFormat="1" ht="35.1" customHeight="1" x14ac:dyDescent="0.25">
      <c r="A539" s="215"/>
      <c r="B539" s="255" t="s">
        <v>1325</v>
      </c>
      <c r="C539" s="254" t="s">
        <v>1326</v>
      </c>
      <c r="D539" s="240" t="s">
        <v>16</v>
      </c>
      <c r="E539" s="242">
        <v>2</v>
      </c>
      <c r="F539" s="242">
        <f t="shared" si="137"/>
        <v>0</v>
      </c>
      <c r="G539" s="242">
        <f t="shared" si="138"/>
        <v>2</v>
      </c>
      <c r="H539" s="243">
        <v>23588101</v>
      </c>
      <c r="I539" s="243">
        <f t="shared" si="139"/>
        <v>47176202</v>
      </c>
      <c r="J539" s="8"/>
      <c r="K539" s="8">
        <f t="shared" si="128"/>
        <v>23953717</v>
      </c>
      <c r="L539" s="8">
        <f t="shared" si="133"/>
        <v>47907434</v>
      </c>
      <c r="M539" s="9" t="str">
        <f t="array" ref="M539">_xlfn.XLOOKUP(B539,'Neiva 2022 FASE I ACTUAL (5)'!$B$6:$B$540,'Neiva 2022 FASE I ACTUAL (5)'!$C$6:$F$540,"NO ESTA")</f>
        <v>NO ESTA</v>
      </c>
      <c r="Q539" s="124">
        <f t="shared" si="136"/>
        <v>0</v>
      </c>
      <c r="R539" s="155">
        <f t="shared" si="132"/>
        <v>2</v>
      </c>
      <c r="S539" s="156">
        <f t="shared" si="134"/>
        <v>23953717</v>
      </c>
      <c r="T539" s="156">
        <f t="shared" si="135"/>
        <v>47907434</v>
      </c>
    </row>
    <row r="540" spans="1:20" s="9" customFormat="1" ht="35.1" customHeight="1" x14ac:dyDescent="0.25">
      <c r="A540" s="215"/>
      <c r="B540" s="244" t="s">
        <v>734</v>
      </c>
      <c r="C540" s="256" t="s">
        <v>735</v>
      </c>
      <c r="D540" s="256"/>
      <c r="E540" s="246"/>
      <c r="F540" s="246"/>
      <c r="G540" s="246"/>
      <c r="H540" s="303"/>
      <c r="I540" s="246"/>
      <c r="J540" s="8"/>
      <c r="K540" s="8">
        <f t="shared" si="128"/>
        <v>0</v>
      </c>
      <c r="L540" s="8">
        <f t="shared" si="133"/>
        <v>0</v>
      </c>
      <c r="M540" s="9" t="str">
        <f t="array" ref="M540:P540">_xlfn.XLOOKUP(B540,'Neiva 2022 FASE I ACTUAL (5)'!$B$6:$B$540,'Neiva 2022 FASE I ACTUAL (5)'!$C$6:$F$540,"NO ESTA")</f>
        <v>SUMINISTRO E INSTALACION DE TUBERIA AGUA FRIA PVC</v>
      </c>
      <c r="N540" s="9">
        <v>0</v>
      </c>
      <c r="O540" s="9">
        <v>0</v>
      </c>
      <c r="P540" s="9">
        <v>0</v>
      </c>
      <c r="Q540" s="124">
        <f t="shared" si="136"/>
        <v>0</v>
      </c>
      <c r="R540" s="155">
        <f t="shared" si="132"/>
        <v>0</v>
      </c>
      <c r="S540" s="156">
        <f t="shared" si="134"/>
        <v>0</v>
      </c>
      <c r="T540" s="156">
        <f t="shared" si="135"/>
        <v>0</v>
      </c>
    </row>
    <row r="541" spans="1:20" s="9" customFormat="1" ht="35.1" customHeight="1" x14ac:dyDescent="0.25">
      <c r="A541" s="215"/>
      <c r="B541" s="255" t="s">
        <v>736</v>
      </c>
      <c r="C541" s="254" t="s">
        <v>737</v>
      </c>
      <c r="D541" s="240" t="s">
        <v>94</v>
      </c>
      <c r="E541" s="242">
        <v>45</v>
      </c>
      <c r="F541" s="242">
        <f t="shared" ref="F541:F548" si="140">+O541</f>
        <v>17</v>
      </c>
      <c r="G541" s="242">
        <f t="shared" ref="G541:G548" si="141">+F541+E541</f>
        <v>62</v>
      </c>
      <c r="H541" s="243">
        <v>72791</v>
      </c>
      <c r="I541" s="243">
        <f t="shared" ref="I541:I548" si="142">ROUND(+H541*G541,2)</f>
        <v>4513042</v>
      </c>
      <c r="J541" s="8"/>
      <c r="K541" s="8">
        <f t="shared" si="128"/>
        <v>73919</v>
      </c>
      <c r="L541" s="8">
        <f t="shared" si="133"/>
        <v>3326355</v>
      </c>
      <c r="M541" s="9" t="str">
        <f t="array" ref="M541:P541">_xlfn.XLOOKUP(B541,'Neiva 2022 FASE I ACTUAL (5)'!$B$6:$B$540,'Neiva 2022 FASE I ACTUAL (5)'!$C$6:$F$540,"NO ESTA")</f>
        <v>SUMINISTRO E INSTALACION TUBERIA Y ACCESORIOS RDE 21 Ø DIAMETRO  4"</v>
      </c>
      <c r="N541" s="9" t="str">
        <v>ML</v>
      </c>
      <c r="O541" s="9">
        <v>17</v>
      </c>
      <c r="P541" s="9">
        <v>69855</v>
      </c>
      <c r="Q541" s="124" t="str">
        <f t="shared" si="136"/>
        <v>FASE II</v>
      </c>
      <c r="R541" s="155">
        <f t="shared" si="132"/>
        <v>62</v>
      </c>
      <c r="S541" s="156">
        <f t="shared" si="134"/>
        <v>73919</v>
      </c>
      <c r="T541" s="156">
        <f t="shared" si="135"/>
        <v>4582978</v>
      </c>
    </row>
    <row r="542" spans="1:20" s="9" customFormat="1" ht="35.1" customHeight="1" x14ac:dyDescent="0.25">
      <c r="A542" s="215"/>
      <c r="B542" s="255" t="s">
        <v>738</v>
      </c>
      <c r="C542" s="254" t="s">
        <v>739</v>
      </c>
      <c r="D542" s="240" t="s">
        <v>94</v>
      </c>
      <c r="E542" s="242">
        <v>24</v>
      </c>
      <c r="F542" s="242">
        <f t="shared" si="140"/>
        <v>9</v>
      </c>
      <c r="G542" s="242">
        <f t="shared" si="141"/>
        <v>33</v>
      </c>
      <c r="H542" s="243">
        <v>47331</v>
      </c>
      <c r="I542" s="243">
        <f t="shared" si="142"/>
        <v>1561923</v>
      </c>
      <c r="J542" s="8"/>
      <c r="K542" s="8">
        <f t="shared" si="128"/>
        <v>48065</v>
      </c>
      <c r="L542" s="8">
        <f t="shared" si="133"/>
        <v>1153560</v>
      </c>
      <c r="M542" s="9" t="str">
        <f t="array" ref="M542:P542">_xlfn.XLOOKUP(B542,'Neiva 2022 FASE I ACTUAL (5)'!$B$6:$B$540,'Neiva 2022 FASE I ACTUAL (5)'!$C$6:$F$540,"NO ESTA")</f>
        <v>SUMINISTRO E INSTALACION TUBERIA Y ACCESORIOS RDE 21 Ø DIAMETRO  3"</v>
      </c>
      <c r="N542" s="9" t="str">
        <v>ML</v>
      </c>
      <c r="O542" s="9">
        <v>9</v>
      </c>
      <c r="P542" s="9">
        <v>45421</v>
      </c>
      <c r="Q542" s="124" t="str">
        <f t="shared" si="136"/>
        <v>FASE II</v>
      </c>
      <c r="R542" s="155">
        <f t="shared" si="132"/>
        <v>33</v>
      </c>
      <c r="S542" s="156">
        <f t="shared" si="134"/>
        <v>48065</v>
      </c>
      <c r="T542" s="156">
        <f t="shared" si="135"/>
        <v>1586145</v>
      </c>
    </row>
    <row r="543" spans="1:20" s="9" customFormat="1" ht="35.1" customHeight="1" x14ac:dyDescent="0.25">
      <c r="A543" s="215"/>
      <c r="B543" s="255" t="s">
        <v>740</v>
      </c>
      <c r="C543" s="254" t="s">
        <v>741</v>
      </c>
      <c r="D543" s="240" t="s">
        <v>94</v>
      </c>
      <c r="E543" s="242">
        <v>64</v>
      </c>
      <c r="F543" s="242">
        <f t="shared" si="140"/>
        <v>24</v>
      </c>
      <c r="G543" s="242">
        <f t="shared" si="141"/>
        <v>88</v>
      </c>
      <c r="H543" s="243">
        <v>35274</v>
      </c>
      <c r="I543" s="243">
        <f t="shared" si="142"/>
        <v>3104112</v>
      </c>
      <c r="J543" s="8"/>
      <c r="K543" s="8">
        <f t="shared" si="128"/>
        <v>35821</v>
      </c>
      <c r="L543" s="8">
        <f t="shared" si="133"/>
        <v>2292544</v>
      </c>
      <c r="M543" s="9" t="str">
        <f t="array" ref="M543:P543">_xlfn.XLOOKUP(B543,'Neiva 2022 FASE I ACTUAL (5)'!$B$6:$B$540,'Neiva 2022 FASE I ACTUAL (5)'!$C$6:$F$540,"NO ESTA")</f>
        <v>SUMINISTRO E INSTALACION TUBERIA Y ACCESORIOS RDE 21 Ø DIAMETRO  2 1/2"</v>
      </c>
      <c r="N543" s="9" t="str">
        <v>ML</v>
      </c>
      <c r="O543" s="9">
        <v>24</v>
      </c>
      <c r="P543" s="9">
        <v>33851</v>
      </c>
      <c r="Q543" s="124" t="str">
        <f t="shared" si="136"/>
        <v>FASE II</v>
      </c>
      <c r="R543" s="155">
        <f t="shared" si="132"/>
        <v>88</v>
      </c>
      <c r="S543" s="156">
        <f t="shared" si="134"/>
        <v>35821</v>
      </c>
      <c r="T543" s="156">
        <f t="shared" si="135"/>
        <v>3152248</v>
      </c>
    </row>
    <row r="544" spans="1:20" s="9" customFormat="1" ht="35.1" customHeight="1" x14ac:dyDescent="0.25">
      <c r="A544" s="215"/>
      <c r="B544" s="255" t="s">
        <v>742</v>
      </c>
      <c r="C544" s="254" t="s">
        <v>743</v>
      </c>
      <c r="D544" s="240" t="s">
        <v>94</v>
      </c>
      <c r="E544" s="242">
        <v>185.4</v>
      </c>
      <c r="F544" s="242">
        <f t="shared" si="140"/>
        <v>68</v>
      </c>
      <c r="G544" s="242">
        <f t="shared" si="141"/>
        <v>253.4</v>
      </c>
      <c r="H544" s="243">
        <v>24014</v>
      </c>
      <c r="I544" s="243">
        <f t="shared" si="142"/>
        <v>6085147.5999999996</v>
      </c>
      <c r="J544" s="8"/>
      <c r="K544" s="8">
        <f t="shared" si="128"/>
        <v>24386</v>
      </c>
      <c r="L544" s="8">
        <f t="shared" si="133"/>
        <v>4521164.4000000004</v>
      </c>
      <c r="M544" s="9" t="str">
        <f t="array" ref="M544:P544">_xlfn.XLOOKUP(B544,'Neiva 2022 FASE I ACTUAL (5)'!$B$6:$B$540,'Neiva 2022 FASE I ACTUAL (5)'!$C$6:$F$540,"NO ESTA")</f>
        <v>SUMINISTRO E INSTALACION TUBERIA Y ACCESORIOS RDE 21 Ø DIAMETRO  2"</v>
      </c>
      <c r="N544" s="9" t="str">
        <v>ML</v>
      </c>
      <c r="O544" s="9">
        <v>68</v>
      </c>
      <c r="P544" s="9">
        <v>23046</v>
      </c>
      <c r="Q544" s="124" t="str">
        <f t="shared" si="136"/>
        <v>FASE II</v>
      </c>
      <c r="R544" s="155">
        <f t="shared" si="132"/>
        <v>253.4</v>
      </c>
      <c r="S544" s="156">
        <f t="shared" si="134"/>
        <v>24386</v>
      </c>
      <c r="T544" s="156">
        <f t="shared" si="135"/>
        <v>6179412.4000000004</v>
      </c>
    </row>
    <row r="545" spans="1:20" s="9" customFormat="1" ht="35.1" customHeight="1" x14ac:dyDescent="0.25">
      <c r="A545" s="215"/>
      <c r="B545" s="255" t="s">
        <v>744</v>
      </c>
      <c r="C545" s="254" t="s">
        <v>745</v>
      </c>
      <c r="D545" s="240" t="s">
        <v>94</v>
      </c>
      <c r="E545" s="242">
        <v>106.80000000000001</v>
      </c>
      <c r="F545" s="242">
        <f t="shared" si="140"/>
        <v>40</v>
      </c>
      <c r="G545" s="242">
        <f t="shared" si="141"/>
        <v>146.80000000000001</v>
      </c>
      <c r="H545" s="243">
        <v>17497</v>
      </c>
      <c r="I545" s="243">
        <f t="shared" si="142"/>
        <v>2568559.6</v>
      </c>
      <c r="J545" s="8"/>
      <c r="K545" s="8">
        <f t="shared" si="128"/>
        <v>17768</v>
      </c>
      <c r="L545" s="8">
        <f t="shared" si="133"/>
        <v>1897622.4000000001</v>
      </c>
      <c r="M545" s="9" t="str">
        <f t="array" ref="M545:P545">_xlfn.XLOOKUP(B545,'Neiva 2022 FASE I ACTUAL (5)'!$B$6:$B$540,'Neiva 2022 FASE I ACTUAL (5)'!$C$6:$F$540,"NO ESTA")</f>
        <v>SUMINISTRO E INSTALACION TUBERIA Y ACCESORIOS RDE 21 Ø DIAMETRO  1 1/2"</v>
      </c>
      <c r="N545" s="9" t="str">
        <v>ML</v>
      </c>
      <c r="O545" s="9">
        <v>40</v>
      </c>
      <c r="P545" s="9">
        <v>16792</v>
      </c>
      <c r="Q545" s="124" t="str">
        <f t="shared" si="136"/>
        <v>FASE II</v>
      </c>
      <c r="R545" s="155">
        <f t="shared" si="132"/>
        <v>146.80000000000001</v>
      </c>
      <c r="S545" s="156">
        <f t="shared" si="134"/>
        <v>17768</v>
      </c>
      <c r="T545" s="156">
        <f t="shared" si="135"/>
        <v>2608342.4</v>
      </c>
    </row>
    <row r="546" spans="1:20" s="9" customFormat="1" ht="35.1" customHeight="1" x14ac:dyDescent="0.25">
      <c r="A546" s="215"/>
      <c r="B546" s="255" t="s">
        <v>746</v>
      </c>
      <c r="C546" s="254" t="s">
        <v>747</v>
      </c>
      <c r="D546" s="240" t="s">
        <v>94</v>
      </c>
      <c r="E546" s="242">
        <v>165.6</v>
      </c>
      <c r="F546" s="242">
        <f t="shared" si="140"/>
        <v>61</v>
      </c>
      <c r="G546" s="242">
        <f t="shared" si="141"/>
        <v>226.6</v>
      </c>
      <c r="H546" s="243">
        <v>14885</v>
      </c>
      <c r="I546" s="243">
        <f t="shared" si="142"/>
        <v>3372941</v>
      </c>
      <c r="J546" s="8"/>
      <c r="K546" s="8">
        <f t="shared" si="128"/>
        <v>15116</v>
      </c>
      <c r="L546" s="8">
        <f t="shared" si="133"/>
        <v>2503209.6</v>
      </c>
      <c r="M546" s="9" t="str">
        <f t="array" ref="M546:P546">_xlfn.XLOOKUP(B546,'Neiva 2022 FASE I ACTUAL (5)'!$B$6:$B$540,'Neiva 2022 FASE I ACTUAL (5)'!$C$6:$F$540,"NO ESTA")</f>
        <v>SUMINISTRO E INSTALACION TUBERIA Y ACCESORIOS RDE 21 Ø DIAMETRO  1 1/4"</v>
      </c>
      <c r="N546" s="9" t="str">
        <v>ML</v>
      </c>
      <c r="O546" s="9">
        <v>61</v>
      </c>
      <c r="P546" s="9">
        <v>14285</v>
      </c>
      <c r="Q546" s="124" t="str">
        <f t="shared" si="136"/>
        <v>FASE II</v>
      </c>
      <c r="R546" s="155">
        <f t="shared" si="132"/>
        <v>226.6</v>
      </c>
      <c r="S546" s="156">
        <f t="shared" si="134"/>
        <v>15116</v>
      </c>
      <c r="T546" s="156">
        <f t="shared" si="135"/>
        <v>3425285.6</v>
      </c>
    </row>
    <row r="547" spans="1:20" s="9" customFormat="1" ht="35.1" customHeight="1" x14ac:dyDescent="0.25">
      <c r="A547" s="215"/>
      <c r="B547" s="255" t="s">
        <v>748</v>
      </c>
      <c r="C547" s="254" t="s">
        <v>749</v>
      </c>
      <c r="D547" s="240" t="s">
        <v>94</v>
      </c>
      <c r="E547" s="242">
        <v>28.799999999999997</v>
      </c>
      <c r="F547" s="242">
        <f t="shared" si="140"/>
        <v>10</v>
      </c>
      <c r="G547" s="242">
        <f t="shared" si="141"/>
        <v>38.799999999999997</v>
      </c>
      <c r="H547" s="243">
        <v>10891</v>
      </c>
      <c r="I547" s="243">
        <f t="shared" si="142"/>
        <v>422570.8</v>
      </c>
      <c r="J547" s="8"/>
      <c r="K547" s="8">
        <f t="shared" si="128"/>
        <v>11060</v>
      </c>
      <c r="L547" s="8">
        <f t="shared" si="133"/>
        <v>318527.99999999994</v>
      </c>
      <c r="M547" s="9" t="str">
        <f t="array" ref="M547:P547">_xlfn.XLOOKUP(B547,'Neiva 2022 FASE I ACTUAL (5)'!$B$6:$B$540,'Neiva 2022 FASE I ACTUAL (5)'!$C$6:$F$540,"NO ESTA")</f>
        <v>SUMINISTRO E INSTALACION TUBERIA Y ACCESORIOS RDE 21 Ø DIAMETRO  1"</v>
      </c>
      <c r="N547" s="9" t="str">
        <v>ML</v>
      </c>
      <c r="O547" s="9">
        <v>10</v>
      </c>
      <c r="P547" s="9">
        <v>10451</v>
      </c>
      <c r="Q547" s="124" t="str">
        <f t="shared" si="136"/>
        <v>FASE II</v>
      </c>
      <c r="R547" s="155">
        <f t="shared" si="132"/>
        <v>38.799999999999997</v>
      </c>
      <c r="S547" s="156">
        <f t="shared" si="134"/>
        <v>11060</v>
      </c>
      <c r="T547" s="156">
        <f t="shared" si="135"/>
        <v>429128</v>
      </c>
    </row>
    <row r="548" spans="1:20" s="9" customFormat="1" ht="35.1" customHeight="1" x14ac:dyDescent="0.25">
      <c r="A548" s="215"/>
      <c r="B548" s="255" t="s">
        <v>750</v>
      </c>
      <c r="C548" s="254" t="s">
        <v>751</v>
      </c>
      <c r="D548" s="240" t="s">
        <v>94</v>
      </c>
      <c r="E548" s="242">
        <v>32</v>
      </c>
      <c r="F548" s="242">
        <f t="shared" si="140"/>
        <v>12</v>
      </c>
      <c r="G548" s="242">
        <f t="shared" si="141"/>
        <v>44</v>
      </c>
      <c r="H548" s="243">
        <v>9567</v>
      </c>
      <c r="I548" s="243">
        <f t="shared" si="142"/>
        <v>420948</v>
      </c>
      <c r="J548" s="8"/>
      <c r="K548" s="8">
        <f t="shared" si="128"/>
        <v>9715</v>
      </c>
      <c r="L548" s="8">
        <f t="shared" si="133"/>
        <v>310880</v>
      </c>
      <c r="M548" s="9" t="str">
        <f t="array" ref="M548:P548">_xlfn.XLOOKUP(B548,'Neiva 2022 FASE I ACTUAL (5)'!$B$6:$B$540,'Neiva 2022 FASE I ACTUAL (5)'!$C$6:$F$540,"NO ESTA")</f>
        <v>SUMINISTRO E INSTALACION TUBERIA Y ACCESORIOS RDE 21 Ø DIAMETRO  3/4"</v>
      </c>
      <c r="N548" s="9" t="str">
        <v>ML</v>
      </c>
      <c r="O548" s="9">
        <v>12</v>
      </c>
      <c r="P548" s="9">
        <v>9181</v>
      </c>
      <c r="Q548" s="124" t="str">
        <f t="shared" si="136"/>
        <v>FASE II</v>
      </c>
      <c r="R548" s="155">
        <f t="shared" si="132"/>
        <v>44</v>
      </c>
      <c r="S548" s="156">
        <f t="shared" si="134"/>
        <v>9715</v>
      </c>
      <c r="T548" s="156">
        <f t="shared" si="135"/>
        <v>427460</v>
      </c>
    </row>
    <row r="549" spans="1:20" s="9" customFormat="1" ht="35.1" customHeight="1" x14ac:dyDescent="0.25">
      <c r="A549" s="215"/>
      <c r="B549" s="244" t="s">
        <v>752</v>
      </c>
      <c r="C549" s="256" t="s">
        <v>1327</v>
      </c>
      <c r="D549" s="256"/>
      <c r="E549" s="246"/>
      <c r="F549" s="246"/>
      <c r="G549" s="246"/>
      <c r="H549" s="303"/>
      <c r="I549" s="246"/>
      <c r="J549" s="8"/>
      <c r="K549" s="8">
        <f t="shared" si="128"/>
        <v>0</v>
      </c>
      <c r="L549" s="8">
        <f t="shared" si="133"/>
        <v>0</v>
      </c>
      <c r="M549" s="9" t="str">
        <f t="array" ref="M549:P549">_xlfn.XLOOKUP(B549,'Neiva 2022 FASE I ACTUAL (5)'!$B$6:$B$540,'Neiva 2022 FASE I ACTUAL (5)'!$C$6:$F$540,"NO ESTA")</f>
        <v>SUMINISTRO, MONTAJE E INSTALACIÓN DE AISLAMIENTO TÉRMICO RED DE AGUA FRIA</v>
      </c>
      <c r="N549" s="9">
        <v>0</v>
      </c>
      <c r="O549" s="9">
        <v>0</v>
      </c>
      <c r="P549" s="9">
        <v>0</v>
      </c>
      <c r="Q549" s="124">
        <f t="shared" si="136"/>
        <v>0</v>
      </c>
      <c r="R549" s="155">
        <f t="shared" si="132"/>
        <v>0</v>
      </c>
      <c r="S549" s="156">
        <f t="shared" si="134"/>
        <v>0</v>
      </c>
      <c r="T549" s="156">
        <f t="shared" si="135"/>
        <v>0</v>
      </c>
    </row>
    <row r="550" spans="1:20" s="9" customFormat="1" ht="35.1" customHeight="1" x14ac:dyDescent="0.25">
      <c r="A550" s="215"/>
      <c r="B550" s="240" t="s">
        <v>754</v>
      </c>
      <c r="C550" s="254" t="s">
        <v>755</v>
      </c>
      <c r="D550" s="240" t="s">
        <v>94</v>
      </c>
      <c r="E550" s="242">
        <v>45</v>
      </c>
      <c r="F550" s="242">
        <f t="shared" ref="F550:F557" si="143">+O550</f>
        <v>17</v>
      </c>
      <c r="G550" s="242">
        <f t="shared" ref="G550:G557" si="144">+F550+E550</f>
        <v>62</v>
      </c>
      <c r="H550" s="243">
        <v>42025</v>
      </c>
      <c r="I550" s="243">
        <f t="shared" ref="I550:I557" si="145">ROUND(+H550*G550,2)</f>
        <v>2605550</v>
      </c>
      <c r="J550" s="8"/>
      <c r="K550" s="8">
        <f t="shared" si="128"/>
        <v>42676</v>
      </c>
      <c r="L550" s="8">
        <f t="shared" si="133"/>
        <v>1920420</v>
      </c>
      <c r="M550" s="9" t="str">
        <f t="array" ref="M550:P550">_xlfn.XLOOKUP(B550,'Neiva 2022 FASE I ACTUAL (5)'!$B$6:$B$540,'Neiva 2022 FASE I ACTUAL (5)'!$C$6:$F$540,"NO ESTA")</f>
        <v>SUMINISTRO E INSTALACION DE AISLAMIENTO TERMICO TUBERIA Y ACCESORIOS RDE 21 Ø DIAMETRO  4"</v>
      </c>
      <c r="N550" s="9" t="str">
        <v>ML</v>
      </c>
      <c r="O550" s="9">
        <v>17</v>
      </c>
      <c r="P550" s="9">
        <v>40331</v>
      </c>
      <c r="Q550" s="124" t="str">
        <f t="shared" si="136"/>
        <v>FASE II</v>
      </c>
      <c r="R550" s="155">
        <f t="shared" si="132"/>
        <v>62</v>
      </c>
      <c r="S550" s="156">
        <f t="shared" si="134"/>
        <v>42676</v>
      </c>
      <c r="T550" s="156">
        <f t="shared" si="135"/>
        <v>2645912</v>
      </c>
    </row>
    <row r="551" spans="1:20" s="9" customFormat="1" ht="35.1" customHeight="1" x14ac:dyDescent="0.25">
      <c r="A551" s="215"/>
      <c r="B551" s="240" t="s">
        <v>756</v>
      </c>
      <c r="C551" s="87" t="s">
        <v>757</v>
      </c>
      <c r="D551" s="240" t="s">
        <v>94</v>
      </c>
      <c r="E551" s="242">
        <v>24</v>
      </c>
      <c r="F551" s="242">
        <f t="shared" si="143"/>
        <v>9</v>
      </c>
      <c r="G551" s="242">
        <f t="shared" si="144"/>
        <v>33</v>
      </c>
      <c r="H551" s="243">
        <v>37751</v>
      </c>
      <c r="I551" s="243">
        <f t="shared" si="145"/>
        <v>1245783</v>
      </c>
      <c r="J551" s="8"/>
      <c r="K551" s="8">
        <f t="shared" si="128"/>
        <v>38336</v>
      </c>
      <c r="L551" s="8">
        <f t="shared" si="133"/>
        <v>920064</v>
      </c>
      <c r="M551" s="9" t="str">
        <f t="array" ref="M551:P551">_xlfn.XLOOKUP(B551,'Neiva 2022 FASE I ACTUAL (5)'!$B$6:$B$540,'Neiva 2022 FASE I ACTUAL (5)'!$C$6:$F$540,"NO ESTA")</f>
        <v>SUMINISTRO E INSTALACION DE AISLAMIENTO TERMICO TUBERIA Y ACCESORIOS RDE 21 Ø DIAMETRO  3"</v>
      </c>
      <c r="N551" s="9" t="str">
        <v>ML</v>
      </c>
      <c r="O551" s="9">
        <v>9</v>
      </c>
      <c r="P551" s="9">
        <v>36230</v>
      </c>
      <c r="Q551" s="124" t="str">
        <f t="shared" si="136"/>
        <v>FASE II</v>
      </c>
      <c r="R551" s="155">
        <f t="shared" si="132"/>
        <v>33</v>
      </c>
      <c r="S551" s="156">
        <f t="shared" si="134"/>
        <v>38336</v>
      </c>
      <c r="T551" s="156">
        <f t="shared" si="135"/>
        <v>1265088</v>
      </c>
    </row>
    <row r="552" spans="1:20" s="9" customFormat="1" ht="35.1" customHeight="1" x14ac:dyDescent="0.25">
      <c r="A552" s="215"/>
      <c r="B552" s="255" t="s">
        <v>758</v>
      </c>
      <c r="C552" s="254" t="s">
        <v>759</v>
      </c>
      <c r="D552" s="240" t="s">
        <v>94</v>
      </c>
      <c r="E552" s="242">
        <v>64</v>
      </c>
      <c r="F552" s="242">
        <f t="shared" si="143"/>
        <v>24</v>
      </c>
      <c r="G552" s="242">
        <f t="shared" si="144"/>
        <v>88</v>
      </c>
      <c r="H552" s="243">
        <v>28947</v>
      </c>
      <c r="I552" s="243">
        <f t="shared" si="145"/>
        <v>2547336</v>
      </c>
      <c r="J552" s="8"/>
      <c r="K552" s="8">
        <f t="shared" si="128"/>
        <v>29396</v>
      </c>
      <c r="L552" s="8">
        <f t="shared" si="133"/>
        <v>1881344</v>
      </c>
      <c r="M552" s="9" t="str">
        <f t="array" ref="M552:P552">_xlfn.XLOOKUP(B552,'Neiva 2022 FASE I ACTUAL (5)'!$B$6:$B$540,'Neiva 2022 FASE I ACTUAL (5)'!$C$6:$F$540,"NO ESTA")</f>
        <v>SUMINISTRO E INSTALACION DE AISLAMIENTO TERMICO TUBERIA Y ACCESORIOS RDE 21 Ø DIAMETRO  2 1/2"</v>
      </c>
      <c r="N552" s="9" t="str">
        <v>ML</v>
      </c>
      <c r="O552" s="9">
        <v>24</v>
      </c>
      <c r="P552" s="9">
        <v>27779</v>
      </c>
      <c r="Q552" s="124" t="str">
        <f t="shared" si="136"/>
        <v>FASE II</v>
      </c>
      <c r="R552" s="155">
        <f t="shared" si="132"/>
        <v>88</v>
      </c>
      <c r="S552" s="156">
        <f t="shared" si="134"/>
        <v>29396</v>
      </c>
      <c r="T552" s="156">
        <f t="shared" si="135"/>
        <v>2586848</v>
      </c>
    </row>
    <row r="553" spans="1:20" s="9" customFormat="1" ht="35.1" customHeight="1" x14ac:dyDescent="0.25">
      <c r="A553" s="215"/>
      <c r="B553" s="255" t="s">
        <v>760</v>
      </c>
      <c r="C553" s="254" t="s">
        <v>761</v>
      </c>
      <c r="D553" s="240" t="s">
        <v>94</v>
      </c>
      <c r="E553" s="242">
        <v>185.4</v>
      </c>
      <c r="F553" s="242">
        <f t="shared" si="143"/>
        <v>68</v>
      </c>
      <c r="G553" s="242">
        <f t="shared" si="144"/>
        <v>253.4</v>
      </c>
      <c r="H553" s="243">
        <v>22834</v>
      </c>
      <c r="I553" s="243">
        <f t="shared" si="145"/>
        <v>5786135.5999999996</v>
      </c>
      <c r="J553" s="8"/>
      <c r="K553" s="8">
        <f t="shared" si="128"/>
        <v>23188</v>
      </c>
      <c r="L553" s="8">
        <f t="shared" si="133"/>
        <v>4299055.2</v>
      </c>
      <c r="M553" s="9" t="str">
        <f t="array" ref="M553:P553">_xlfn.XLOOKUP(B553,'Neiva 2022 FASE I ACTUAL (5)'!$B$6:$B$540,'Neiva 2022 FASE I ACTUAL (5)'!$C$6:$F$540,"NO ESTA")</f>
        <v>SUMINISTRO E INSTALACION DE AISLAMIENTO TERMICO TUBERIA Y ACCESORIOS RDE 21 Ø DIAMETRO  2"</v>
      </c>
      <c r="N553" s="9" t="str">
        <v>ML</v>
      </c>
      <c r="O553" s="9">
        <v>68</v>
      </c>
      <c r="P553" s="9">
        <v>21912</v>
      </c>
      <c r="Q553" s="124" t="str">
        <f t="shared" si="136"/>
        <v>FASE II</v>
      </c>
      <c r="R553" s="155">
        <f t="shared" si="132"/>
        <v>253.4</v>
      </c>
      <c r="S553" s="156">
        <f t="shared" si="134"/>
        <v>23188</v>
      </c>
      <c r="T553" s="156">
        <f t="shared" si="135"/>
        <v>5875839.2000000002</v>
      </c>
    </row>
    <row r="554" spans="1:20" s="9" customFormat="1" ht="35.1" customHeight="1" x14ac:dyDescent="0.25">
      <c r="A554" s="215"/>
      <c r="B554" s="255" t="s">
        <v>762</v>
      </c>
      <c r="C554" s="87" t="s">
        <v>763</v>
      </c>
      <c r="D554" s="240" t="s">
        <v>94</v>
      </c>
      <c r="E554" s="242">
        <v>106.80000000000001</v>
      </c>
      <c r="F554" s="242">
        <f t="shared" si="143"/>
        <v>40</v>
      </c>
      <c r="G554" s="242">
        <f t="shared" si="144"/>
        <v>146.80000000000001</v>
      </c>
      <c r="H554" s="243">
        <v>17221</v>
      </c>
      <c r="I554" s="243">
        <f t="shared" si="145"/>
        <v>2528042.7999999998</v>
      </c>
      <c r="J554" s="8"/>
      <c r="K554" s="8">
        <f t="shared" si="128"/>
        <v>17488</v>
      </c>
      <c r="L554" s="8">
        <f t="shared" si="133"/>
        <v>1867718.4000000001</v>
      </c>
      <c r="M554" s="9" t="str">
        <f t="array" ref="M554:P554">_xlfn.XLOOKUP(B554,'Neiva 2022 FASE I ACTUAL (5)'!$B$6:$B$540,'Neiva 2022 FASE I ACTUAL (5)'!$C$6:$F$540,"NO ESTA")</f>
        <v>SUMINISTRO E INSTALACION DE AISLAMIENTO TERMICO TUBERIA Y ACCESORIOS RDE 21 Ø DIAMETRO  1 1/2"</v>
      </c>
      <c r="N554" s="9" t="str">
        <v>ML</v>
      </c>
      <c r="O554" s="9">
        <v>40</v>
      </c>
      <c r="P554" s="9">
        <v>16527</v>
      </c>
      <c r="Q554" s="124" t="str">
        <f t="shared" si="136"/>
        <v>FASE II</v>
      </c>
      <c r="R554" s="155">
        <f t="shared" si="132"/>
        <v>146.80000000000001</v>
      </c>
      <c r="S554" s="156">
        <f t="shared" si="134"/>
        <v>17488</v>
      </c>
      <c r="T554" s="156">
        <f t="shared" si="135"/>
        <v>2567238.4</v>
      </c>
    </row>
    <row r="555" spans="1:20" s="9" customFormat="1" ht="35.1" customHeight="1" x14ac:dyDescent="0.25">
      <c r="A555" s="215"/>
      <c r="B555" s="255" t="s">
        <v>764</v>
      </c>
      <c r="C555" s="87" t="s">
        <v>765</v>
      </c>
      <c r="D555" s="240" t="s">
        <v>94</v>
      </c>
      <c r="E555" s="242">
        <v>165.6</v>
      </c>
      <c r="F555" s="242">
        <f t="shared" si="143"/>
        <v>61</v>
      </c>
      <c r="G555" s="242">
        <f t="shared" si="144"/>
        <v>226.6</v>
      </c>
      <c r="H555" s="243">
        <v>14768</v>
      </c>
      <c r="I555" s="243">
        <f t="shared" si="145"/>
        <v>3346428.8</v>
      </c>
      <c r="J555" s="8"/>
      <c r="K555" s="8">
        <f t="shared" si="128"/>
        <v>14997</v>
      </c>
      <c r="L555" s="8">
        <f t="shared" si="133"/>
        <v>2483503.1999999997</v>
      </c>
      <c r="M555" s="9" t="str">
        <f t="array" ref="M555:P555">_xlfn.XLOOKUP(B555,'Neiva 2022 FASE I ACTUAL (5)'!$B$6:$B$540,'Neiva 2022 FASE I ACTUAL (5)'!$C$6:$F$540,"NO ESTA")</f>
        <v>SUMINISTRO E INSTALACION DE AISLAMIENTO TERMICO TUBERIA Y ACCESORIOS RDE 21 Ø DIAMETRO  1 1/4"</v>
      </c>
      <c r="N555" s="9" t="str">
        <v>ML</v>
      </c>
      <c r="O555" s="9">
        <v>61</v>
      </c>
      <c r="P555" s="9">
        <v>14173</v>
      </c>
      <c r="Q555" s="124" t="str">
        <f t="shared" si="136"/>
        <v>FASE II</v>
      </c>
      <c r="R555" s="155">
        <f t="shared" si="132"/>
        <v>226.6</v>
      </c>
      <c r="S555" s="156">
        <f t="shared" si="134"/>
        <v>14997</v>
      </c>
      <c r="T555" s="156">
        <f t="shared" si="135"/>
        <v>3398320.2</v>
      </c>
    </row>
    <row r="556" spans="1:20" s="9" customFormat="1" ht="35.1" customHeight="1" x14ac:dyDescent="0.25">
      <c r="A556" s="215"/>
      <c r="B556" s="255" t="s">
        <v>766</v>
      </c>
      <c r="C556" s="254" t="s">
        <v>767</v>
      </c>
      <c r="D556" s="240" t="s">
        <v>94</v>
      </c>
      <c r="E556" s="242">
        <v>28.799999999999997</v>
      </c>
      <c r="F556" s="242">
        <f t="shared" si="143"/>
        <v>10</v>
      </c>
      <c r="G556" s="242">
        <f t="shared" si="144"/>
        <v>38.799999999999997</v>
      </c>
      <c r="H556" s="243">
        <v>10763</v>
      </c>
      <c r="I556" s="243">
        <f t="shared" si="145"/>
        <v>417604.4</v>
      </c>
      <c r="J556" s="8"/>
      <c r="K556" s="8">
        <f t="shared" si="128"/>
        <v>10930</v>
      </c>
      <c r="L556" s="8">
        <f t="shared" si="133"/>
        <v>314783.99999999994</v>
      </c>
      <c r="M556" s="9" t="str">
        <f t="array" ref="M556:P556">_xlfn.XLOOKUP(B556,'Neiva 2022 FASE I ACTUAL (5)'!$B$6:$B$540,'Neiva 2022 FASE I ACTUAL (5)'!$C$6:$F$540,"NO ESTA")</f>
        <v>SUMINISTRO E INSTALACION DE AISLAMIENTO TERMICO TUBERIA Y ACCESORIOS RDE 21 Ø DIAMETRO  1"</v>
      </c>
      <c r="N556" s="9" t="str">
        <v>ML</v>
      </c>
      <c r="O556" s="9">
        <v>10</v>
      </c>
      <c r="P556" s="9">
        <v>10329</v>
      </c>
      <c r="Q556" s="124" t="str">
        <f t="shared" si="136"/>
        <v>FASE II</v>
      </c>
      <c r="R556" s="155">
        <f t="shared" si="132"/>
        <v>38.799999999999997</v>
      </c>
      <c r="S556" s="156">
        <f t="shared" si="134"/>
        <v>10930</v>
      </c>
      <c r="T556" s="156">
        <f t="shared" si="135"/>
        <v>424084</v>
      </c>
    </row>
    <row r="557" spans="1:20" s="9" customFormat="1" ht="35.1" customHeight="1" x14ac:dyDescent="0.25">
      <c r="A557" s="215"/>
      <c r="B557" s="255" t="s">
        <v>768</v>
      </c>
      <c r="C557" s="254" t="s">
        <v>769</v>
      </c>
      <c r="D557" s="240" t="s">
        <v>94</v>
      </c>
      <c r="E557" s="242">
        <v>32</v>
      </c>
      <c r="F557" s="242">
        <f t="shared" si="143"/>
        <v>12</v>
      </c>
      <c r="G557" s="242">
        <f t="shared" si="144"/>
        <v>44</v>
      </c>
      <c r="H557" s="243">
        <v>9393</v>
      </c>
      <c r="I557" s="243">
        <f t="shared" si="145"/>
        <v>413292</v>
      </c>
      <c r="J557" s="8"/>
      <c r="K557" s="8">
        <f t="shared" si="128"/>
        <v>9539</v>
      </c>
      <c r="L557" s="8">
        <f t="shared" si="133"/>
        <v>305248</v>
      </c>
      <c r="M557" s="9" t="str">
        <f t="array" ref="M557:P557">_xlfn.XLOOKUP(B557,'Neiva 2022 FASE I ACTUAL (5)'!$B$6:$B$540,'Neiva 2022 FASE I ACTUAL (5)'!$C$6:$F$540,"NO ESTA")</f>
        <v>SUMINISTRO E INSTALACION DE AISLAMIENTO TERMICO TUBERIA Y ACCESORIOS RDE 21 Ø DIAMETRO  3/4"</v>
      </c>
      <c r="N557" s="9" t="str">
        <v>ML</v>
      </c>
      <c r="O557" s="9">
        <v>12</v>
      </c>
      <c r="P557" s="9">
        <v>9015</v>
      </c>
      <c r="Q557" s="124" t="str">
        <f t="shared" si="136"/>
        <v>FASE II</v>
      </c>
      <c r="R557" s="155">
        <f t="shared" si="132"/>
        <v>44</v>
      </c>
      <c r="S557" s="156">
        <f t="shared" si="134"/>
        <v>9539</v>
      </c>
      <c r="T557" s="156">
        <f t="shared" si="135"/>
        <v>419716</v>
      </c>
    </row>
    <row r="558" spans="1:20" s="9" customFormat="1" ht="35.1" customHeight="1" x14ac:dyDescent="0.25">
      <c r="A558" s="215"/>
      <c r="B558" s="244" t="s">
        <v>770</v>
      </c>
      <c r="C558" s="256" t="s">
        <v>1328</v>
      </c>
      <c r="D558" s="256"/>
      <c r="E558" s="246"/>
      <c r="F558" s="246"/>
      <c r="G558" s="246"/>
      <c r="H558" s="303"/>
      <c r="I558" s="246"/>
      <c r="J558" s="8"/>
      <c r="K558" s="8">
        <f t="shared" si="128"/>
        <v>0</v>
      </c>
      <c r="L558" s="8">
        <f t="shared" si="133"/>
        <v>0</v>
      </c>
      <c r="M558" s="9" t="str">
        <f t="array" ref="M558:P558">_xlfn.XLOOKUP(B558,'Neiva 2022 FASE I ACTUAL (5)'!$B$6:$B$540,'Neiva 2022 FASE I ACTUAL (5)'!$C$6:$F$540,"NO ESTA")</f>
        <v>SUMINISTRO, MONTAJE E INSTALACIÓN DE ACCESORIOS RED DE AGUA</v>
      </c>
      <c r="N558" s="9">
        <v>0</v>
      </c>
      <c r="O558" s="9">
        <v>0</v>
      </c>
      <c r="P558" s="9">
        <v>0</v>
      </c>
      <c r="Q558" s="124">
        <f t="shared" si="136"/>
        <v>0</v>
      </c>
      <c r="R558" s="155">
        <f t="shared" si="132"/>
        <v>0</v>
      </c>
      <c r="S558" s="156">
        <f t="shared" si="134"/>
        <v>0</v>
      </c>
      <c r="T558" s="156">
        <f t="shared" si="135"/>
        <v>0</v>
      </c>
    </row>
    <row r="559" spans="1:20" s="9" customFormat="1" ht="35.1" customHeight="1" x14ac:dyDescent="0.25">
      <c r="A559" s="215"/>
      <c r="B559" s="255" t="s">
        <v>772</v>
      </c>
      <c r="C559" s="254" t="s">
        <v>773</v>
      </c>
      <c r="D559" s="240" t="s">
        <v>16</v>
      </c>
      <c r="E559" s="242">
        <v>3</v>
      </c>
      <c r="F559" s="242">
        <f t="shared" ref="F559:F595" si="146">+O559</f>
        <v>1</v>
      </c>
      <c r="G559" s="242">
        <f t="shared" ref="G559:G595" si="147">+F559+E559</f>
        <v>4</v>
      </c>
      <c r="H559" s="243">
        <v>293004</v>
      </c>
      <c r="I559" s="243">
        <f t="shared" ref="I559:I595" si="148">ROUND(+H559*G559,2)</f>
        <v>1172016</v>
      </c>
      <c r="J559" s="8"/>
      <c r="K559" s="8">
        <f t="shared" si="128"/>
        <v>297546</v>
      </c>
      <c r="L559" s="8">
        <f t="shared" si="133"/>
        <v>892638</v>
      </c>
      <c r="M559" s="9" t="str">
        <f t="array" ref="M559:P559">_xlfn.XLOOKUP(B559,'Neiva 2022 FASE I ACTUAL (5)'!$B$6:$B$540,'Neiva 2022 FASE I ACTUAL (5)'!$C$6:$F$540,"NO ESTA")</f>
        <v>SUMINISTRO E INSTALACION MANOMETROS 4", INCLUYE GRIFOS DE PRUEBA Y ACCESORIOS</v>
      </c>
      <c r="N559" s="9" t="str">
        <v>UND</v>
      </c>
      <c r="O559" s="9">
        <v>1</v>
      </c>
      <c r="P559" s="9">
        <v>281188</v>
      </c>
      <c r="Q559" s="124" t="str">
        <f t="shared" si="136"/>
        <v>FASE II</v>
      </c>
      <c r="R559" s="155">
        <f t="shared" si="132"/>
        <v>4</v>
      </c>
      <c r="S559" s="156">
        <f t="shared" si="134"/>
        <v>297546</v>
      </c>
      <c r="T559" s="156">
        <f t="shared" si="135"/>
        <v>1190184</v>
      </c>
    </row>
    <row r="560" spans="1:20" s="9" customFormat="1" ht="35.1" customHeight="1" x14ac:dyDescent="0.25">
      <c r="A560" s="215"/>
      <c r="B560" s="255" t="s">
        <v>774</v>
      </c>
      <c r="C560" s="254" t="s">
        <v>775</v>
      </c>
      <c r="D560" s="240" t="s">
        <v>16</v>
      </c>
      <c r="E560" s="242">
        <v>3</v>
      </c>
      <c r="F560" s="242">
        <f t="shared" si="146"/>
        <v>1</v>
      </c>
      <c r="G560" s="242">
        <f t="shared" si="147"/>
        <v>4</v>
      </c>
      <c r="H560" s="243">
        <v>563797</v>
      </c>
      <c r="I560" s="243">
        <f t="shared" si="148"/>
        <v>2255188</v>
      </c>
      <c r="J560" s="8"/>
      <c r="K560" s="8">
        <f t="shared" si="128"/>
        <v>572536</v>
      </c>
      <c r="L560" s="8">
        <f t="shared" si="133"/>
        <v>1717608</v>
      </c>
      <c r="M560" s="9" t="str">
        <f t="array" ref="M560:P560">_xlfn.XLOOKUP(B560,'Neiva 2022 FASE I ACTUAL (5)'!$B$6:$B$540,'Neiva 2022 FASE I ACTUAL (5)'!$C$6:$F$540,"NO ESTA")</f>
        <v>SUMINISTRO E INSTALACION TERMOMETROS 0-100F DE COLUMNA 7"</v>
      </c>
      <c r="N560" s="9" t="str">
        <v>UND</v>
      </c>
      <c r="O560" s="9">
        <v>1</v>
      </c>
      <c r="P560" s="9">
        <v>541061</v>
      </c>
      <c r="Q560" s="124" t="str">
        <f t="shared" si="136"/>
        <v>FASE II</v>
      </c>
      <c r="R560" s="155">
        <f t="shared" si="132"/>
        <v>4</v>
      </c>
      <c r="S560" s="156">
        <f t="shared" si="134"/>
        <v>572536</v>
      </c>
      <c r="T560" s="156">
        <f t="shared" si="135"/>
        <v>2290144</v>
      </c>
    </row>
    <row r="561" spans="1:20" s="9" customFormat="1" ht="35.1" customHeight="1" x14ac:dyDescent="0.25">
      <c r="A561" s="215"/>
      <c r="B561" s="255" t="s">
        <v>776</v>
      </c>
      <c r="C561" s="254" t="s">
        <v>777</v>
      </c>
      <c r="D561" s="240" t="s">
        <v>16</v>
      </c>
      <c r="E561" s="242">
        <v>3</v>
      </c>
      <c r="F561" s="242">
        <f t="shared" si="146"/>
        <v>1</v>
      </c>
      <c r="G561" s="242">
        <f t="shared" si="147"/>
        <v>4</v>
      </c>
      <c r="H561" s="243">
        <v>198506</v>
      </c>
      <c r="I561" s="243">
        <f t="shared" si="148"/>
        <v>794024</v>
      </c>
      <c r="J561" s="8"/>
      <c r="K561" s="8">
        <f t="shared" ref="K561:K624" si="149">+ROUND(H561*(1+$K$4),0)</f>
        <v>201583</v>
      </c>
      <c r="L561" s="8">
        <f t="shared" si="133"/>
        <v>604749</v>
      </c>
      <c r="M561" s="9" t="str">
        <f t="array" ref="M561:P561">_xlfn.XLOOKUP(B561,'Neiva 2022 FASE I ACTUAL (5)'!$B$6:$B$540,'Neiva 2022 FASE I ACTUAL (5)'!$C$6:$F$540,"NO ESTA")</f>
        <v>SUMINISTRO E INSTALACION ELIMINADORES DE AIRE</v>
      </c>
      <c r="N561" s="9" t="str">
        <v>UND</v>
      </c>
      <c r="O561" s="9">
        <v>1</v>
      </c>
      <c r="P561" s="9">
        <v>190501</v>
      </c>
      <c r="Q561" s="124" t="str">
        <f t="shared" si="136"/>
        <v>FASE II</v>
      </c>
      <c r="R561" s="155">
        <f t="shared" si="132"/>
        <v>4</v>
      </c>
      <c r="S561" s="156">
        <f t="shared" si="134"/>
        <v>201583</v>
      </c>
      <c r="T561" s="156">
        <f t="shared" si="135"/>
        <v>806332</v>
      </c>
    </row>
    <row r="562" spans="1:20" s="9" customFormat="1" ht="35.1" customHeight="1" x14ac:dyDescent="0.25">
      <c r="A562" s="215"/>
      <c r="B562" s="255" t="s">
        <v>778</v>
      </c>
      <c r="C562" s="254" t="s">
        <v>779</v>
      </c>
      <c r="D562" s="240" t="s">
        <v>16</v>
      </c>
      <c r="E562" s="242">
        <v>1</v>
      </c>
      <c r="F562" s="242">
        <f t="shared" si="146"/>
        <v>1</v>
      </c>
      <c r="G562" s="242">
        <f t="shared" si="147"/>
        <v>2</v>
      </c>
      <c r="H562" s="243">
        <v>459428</v>
      </c>
      <c r="I562" s="243">
        <f t="shared" si="148"/>
        <v>918856</v>
      </c>
      <c r="J562" s="8"/>
      <c r="K562" s="8">
        <f t="shared" si="149"/>
        <v>466549</v>
      </c>
      <c r="L562" s="8">
        <f t="shared" si="133"/>
        <v>466549</v>
      </c>
      <c r="M562" s="9" t="str">
        <f t="array" ref="M562:P562">_xlfn.XLOOKUP(B562,'Neiva 2022 FASE I ACTUAL (5)'!$B$6:$B$540,'Neiva 2022 FASE I ACTUAL (5)'!$C$6:$F$540,"NO ESTA")</f>
        <v xml:space="preserve">SUMINISTRO E INSTALACION TANQUE DE EXPANSIÓN PVC CON VALVULA DE NIVEL </v>
      </c>
      <c r="N562" s="9" t="str">
        <v>UND</v>
      </c>
      <c r="O562" s="9">
        <v>1</v>
      </c>
      <c r="P562" s="9">
        <v>440902</v>
      </c>
      <c r="Q562" s="124" t="str">
        <f t="shared" si="136"/>
        <v>FASE II</v>
      </c>
      <c r="R562" s="155">
        <f t="shared" si="132"/>
        <v>2</v>
      </c>
      <c r="S562" s="156">
        <f t="shared" si="134"/>
        <v>466549</v>
      </c>
      <c r="T562" s="156">
        <f t="shared" si="135"/>
        <v>933098</v>
      </c>
    </row>
    <row r="563" spans="1:20" s="9" customFormat="1" ht="35.1" customHeight="1" x14ac:dyDescent="0.25">
      <c r="A563" s="215"/>
      <c r="B563" s="255" t="s">
        <v>780</v>
      </c>
      <c r="C563" s="254" t="s">
        <v>781</v>
      </c>
      <c r="D563" s="240" t="s">
        <v>16</v>
      </c>
      <c r="E563" s="242">
        <v>3</v>
      </c>
      <c r="F563" s="242">
        <f t="shared" si="146"/>
        <v>1</v>
      </c>
      <c r="G563" s="242">
        <f t="shared" si="147"/>
        <v>4</v>
      </c>
      <c r="H563" s="243">
        <v>2370551</v>
      </c>
      <c r="I563" s="243">
        <f t="shared" si="148"/>
        <v>9482204</v>
      </c>
      <c r="J563" s="8"/>
      <c r="K563" s="8">
        <f t="shared" si="149"/>
        <v>2407295</v>
      </c>
      <c r="L563" s="8">
        <f t="shared" si="133"/>
        <v>7221885</v>
      </c>
      <c r="M563" s="9" t="str">
        <f t="array" ref="M563:P563">_xlfn.XLOOKUP(B563,'Neiva 2022 FASE I ACTUAL (5)'!$B$6:$B$540,'Neiva 2022 FASE I ACTUAL (5)'!$C$6:$F$540,"NO ESTA")</f>
        <v>SUMINISTRO E INSTALACION VALVULAS MARIPOSA DE 4" SUCCIÓN DE BOMBA</v>
      </c>
      <c r="N563" s="9" t="str">
        <v>UND</v>
      </c>
      <c r="O563" s="9">
        <v>1</v>
      </c>
      <c r="P563" s="9">
        <v>2274950</v>
      </c>
      <c r="Q563" s="124" t="str">
        <f t="shared" si="136"/>
        <v>FASE II</v>
      </c>
      <c r="R563" s="155">
        <f t="shared" si="132"/>
        <v>4</v>
      </c>
      <c r="S563" s="156">
        <f t="shared" si="134"/>
        <v>2407295</v>
      </c>
      <c r="T563" s="156">
        <f t="shared" si="135"/>
        <v>9629180</v>
      </c>
    </row>
    <row r="564" spans="1:20" s="9" customFormat="1" ht="35.1" customHeight="1" x14ac:dyDescent="0.25">
      <c r="A564" s="215"/>
      <c r="B564" s="255" t="s">
        <v>782</v>
      </c>
      <c r="C564" s="254" t="s">
        <v>783</v>
      </c>
      <c r="D564" s="240" t="s">
        <v>16</v>
      </c>
      <c r="E564" s="242">
        <v>3</v>
      </c>
      <c r="F564" s="242">
        <f t="shared" si="146"/>
        <v>1</v>
      </c>
      <c r="G564" s="242">
        <f t="shared" si="147"/>
        <v>4</v>
      </c>
      <c r="H564" s="243">
        <v>2370551</v>
      </c>
      <c r="I564" s="243">
        <f t="shared" si="148"/>
        <v>9482204</v>
      </c>
      <c r="J564" s="8"/>
      <c r="K564" s="8">
        <f t="shared" si="149"/>
        <v>2407295</v>
      </c>
      <c r="L564" s="8">
        <f t="shared" si="133"/>
        <v>7221885</v>
      </c>
      <c r="M564" s="9" t="str">
        <f t="array" ref="M564:P564">_xlfn.XLOOKUP(B564,'Neiva 2022 FASE I ACTUAL (5)'!$B$6:$B$540,'Neiva 2022 FASE I ACTUAL (5)'!$C$6:$F$540,"NO ESTA")</f>
        <v>SUMINISTRO E INSTALACION VALVULAS MARIPOSA DE 4" DESCARGA DE BOMBA</v>
      </c>
      <c r="N564" s="9" t="str">
        <v>UND</v>
      </c>
      <c r="O564" s="9">
        <v>1</v>
      </c>
      <c r="P564" s="9">
        <v>2274950</v>
      </c>
      <c r="Q564" s="124" t="str">
        <f t="shared" si="136"/>
        <v>FASE II</v>
      </c>
      <c r="R564" s="155">
        <f t="shared" si="132"/>
        <v>4</v>
      </c>
      <c r="S564" s="156">
        <f t="shared" si="134"/>
        <v>2407295</v>
      </c>
      <c r="T564" s="156">
        <f t="shared" si="135"/>
        <v>9629180</v>
      </c>
    </row>
    <row r="565" spans="1:20" s="9" customFormat="1" ht="35.1" customHeight="1" x14ac:dyDescent="0.25">
      <c r="A565" s="215"/>
      <c r="B565" s="255" t="s">
        <v>784</v>
      </c>
      <c r="C565" s="254" t="s">
        <v>785</v>
      </c>
      <c r="D565" s="240" t="s">
        <v>16</v>
      </c>
      <c r="E565" s="242">
        <v>1</v>
      </c>
      <c r="F565" s="242">
        <f t="shared" si="146"/>
        <v>1</v>
      </c>
      <c r="G565" s="242">
        <f t="shared" si="147"/>
        <v>2</v>
      </c>
      <c r="H565" s="243">
        <v>1252502</v>
      </c>
      <c r="I565" s="243">
        <f t="shared" si="148"/>
        <v>2505004</v>
      </c>
      <c r="J565" s="8"/>
      <c r="K565" s="8">
        <f t="shared" si="149"/>
        <v>1271916</v>
      </c>
      <c r="L565" s="8">
        <f t="shared" si="133"/>
        <v>1271916</v>
      </c>
      <c r="M565" s="9" t="str">
        <f t="array" ref="M565:P565">_xlfn.XLOOKUP(B565,'Neiva 2022 FASE I ACTUAL (5)'!$B$6:$B$540,'Neiva 2022 FASE I ACTUAL (5)'!$C$6:$F$540,"NO ESTA")</f>
        <v>SUMINISTRO E INSTALACION VALVULA TRIPLE - FLOTREX</v>
      </c>
      <c r="N565" s="9" t="str">
        <v>UND</v>
      </c>
      <c r="O565" s="9">
        <v>1</v>
      </c>
      <c r="P565" s="9">
        <v>1201991</v>
      </c>
      <c r="Q565" s="124" t="str">
        <f t="shared" si="136"/>
        <v>FASE II</v>
      </c>
      <c r="R565" s="155">
        <f t="shared" si="132"/>
        <v>2</v>
      </c>
      <c r="S565" s="156">
        <f t="shared" si="134"/>
        <v>1271916</v>
      </c>
      <c r="T565" s="156">
        <f t="shared" si="135"/>
        <v>2543832</v>
      </c>
    </row>
    <row r="566" spans="1:20" s="9" customFormat="1" ht="35.1" customHeight="1" x14ac:dyDescent="0.25">
      <c r="A566" s="215"/>
      <c r="B566" s="255" t="s">
        <v>786</v>
      </c>
      <c r="C566" s="254" t="s">
        <v>787</v>
      </c>
      <c r="D566" s="240" t="s">
        <v>16</v>
      </c>
      <c r="E566" s="242">
        <v>0</v>
      </c>
      <c r="F566" s="242">
        <f t="shared" si="146"/>
        <v>1</v>
      </c>
      <c r="G566" s="242">
        <f t="shared" si="147"/>
        <v>1</v>
      </c>
      <c r="H566" s="243">
        <v>368800</v>
      </c>
      <c r="I566" s="243">
        <f t="shared" si="148"/>
        <v>368800</v>
      </c>
      <c r="J566" s="8"/>
      <c r="K566" s="8">
        <f t="shared" si="149"/>
        <v>374516</v>
      </c>
      <c r="L566" s="8">
        <f t="shared" si="133"/>
        <v>0</v>
      </c>
      <c r="M566" s="9" t="str">
        <f t="array" ref="M566:P566">_xlfn.XLOOKUP(B566,'Neiva 2022 FASE I ACTUAL (5)'!$B$6:$B$540,'Neiva 2022 FASE I ACTUAL (5)'!$C$6:$F$540,"NO ESTA")</f>
        <v>SUMINISTRO E INSTALACION VALVULA CORTINA 3" 125PSI - PISO 3</v>
      </c>
      <c r="N566" s="9" t="str">
        <v>UND</v>
      </c>
      <c r="O566" s="9">
        <v>1</v>
      </c>
      <c r="P566" s="9">
        <v>353927</v>
      </c>
      <c r="Q566" s="124" t="str">
        <f t="shared" si="136"/>
        <v>FASE II</v>
      </c>
      <c r="R566" s="155">
        <f t="shared" si="132"/>
        <v>1</v>
      </c>
      <c r="S566" s="156">
        <f t="shared" si="134"/>
        <v>374516</v>
      </c>
      <c r="T566" s="156">
        <f t="shared" si="135"/>
        <v>374516</v>
      </c>
    </row>
    <row r="567" spans="1:20" s="9" customFormat="1" ht="35.1" customHeight="1" x14ac:dyDescent="0.25">
      <c r="A567" s="215"/>
      <c r="B567" s="255" t="s">
        <v>788</v>
      </c>
      <c r="C567" s="254" t="s">
        <v>789</v>
      </c>
      <c r="D567" s="240" t="s">
        <v>16</v>
      </c>
      <c r="E567" s="242">
        <v>0</v>
      </c>
      <c r="F567" s="242">
        <f t="shared" si="146"/>
        <v>1</v>
      </c>
      <c r="G567" s="242">
        <f t="shared" si="147"/>
        <v>1</v>
      </c>
      <c r="H567" s="243">
        <v>515568</v>
      </c>
      <c r="I567" s="243">
        <f t="shared" si="148"/>
        <v>515568</v>
      </c>
      <c r="J567" s="8"/>
      <c r="K567" s="8">
        <f t="shared" si="149"/>
        <v>523559</v>
      </c>
      <c r="L567" s="8">
        <f t="shared" si="133"/>
        <v>0</v>
      </c>
      <c r="M567" s="9" t="str">
        <f t="array" ref="M567:P567">_xlfn.XLOOKUP(B567,'Neiva 2022 FASE I ACTUAL (5)'!$B$6:$B$540,'Neiva 2022 FASE I ACTUAL (5)'!$C$6:$F$540,"NO ESTA")</f>
        <v>SUMINISTRO E INSTALACION VALVULA GLOBO 3" 125PSI - PISO 3</v>
      </c>
      <c r="N567" s="9" t="str">
        <v>UND</v>
      </c>
      <c r="O567" s="9">
        <v>1</v>
      </c>
      <c r="P567" s="9">
        <v>494776</v>
      </c>
      <c r="Q567" s="124" t="str">
        <f t="shared" si="136"/>
        <v>FASE II</v>
      </c>
      <c r="R567" s="155">
        <f t="shared" si="132"/>
        <v>1</v>
      </c>
      <c r="S567" s="156">
        <f t="shared" si="134"/>
        <v>523559</v>
      </c>
      <c r="T567" s="156">
        <f t="shared" si="135"/>
        <v>523559</v>
      </c>
    </row>
    <row r="568" spans="1:20" s="9" customFormat="1" ht="35.1" customHeight="1" x14ac:dyDescent="0.25">
      <c r="A568" s="215"/>
      <c r="B568" s="255" t="s">
        <v>790</v>
      </c>
      <c r="C568" s="254" t="s">
        <v>791</v>
      </c>
      <c r="D568" s="240" t="s">
        <v>16</v>
      </c>
      <c r="E568" s="242">
        <v>5</v>
      </c>
      <c r="F568" s="242">
        <f t="shared" si="146"/>
        <v>2</v>
      </c>
      <c r="G568" s="242">
        <f t="shared" si="147"/>
        <v>7</v>
      </c>
      <c r="H568" s="243">
        <v>327705</v>
      </c>
      <c r="I568" s="243">
        <f t="shared" si="148"/>
        <v>2293935</v>
      </c>
      <c r="J568" s="8"/>
      <c r="K568" s="8">
        <f t="shared" si="149"/>
        <v>332784</v>
      </c>
      <c r="L568" s="8">
        <f t="shared" si="133"/>
        <v>1663920</v>
      </c>
      <c r="M568" s="9" t="str">
        <f t="array" ref="M568:P568">_xlfn.XLOOKUP(B568,'Neiva 2022 FASE I ACTUAL (5)'!$B$6:$B$540,'Neiva 2022 FASE I ACTUAL (5)'!$C$6:$F$540,"NO ESTA")</f>
        <v>SUMINISTRO E INSTALACION VALVULAS CORTINA 2 1/2" 125PSI - PISOS 2,3,4</v>
      </c>
      <c r="N568" s="9" t="str">
        <v>UND</v>
      </c>
      <c r="O568" s="9">
        <v>2</v>
      </c>
      <c r="P568" s="9">
        <v>314488</v>
      </c>
      <c r="Q568" s="124" t="str">
        <f t="shared" si="136"/>
        <v>FASE II</v>
      </c>
      <c r="R568" s="155">
        <f t="shared" si="132"/>
        <v>7</v>
      </c>
      <c r="S568" s="156">
        <f t="shared" si="134"/>
        <v>332784</v>
      </c>
      <c r="T568" s="156">
        <f t="shared" si="135"/>
        <v>2329488</v>
      </c>
    </row>
    <row r="569" spans="1:20" s="9" customFormat="1" ht="35.1" customHeight="1" x14ac:dyDescent="0.25">
      <c r="A569" s="215"/>
      <c r="B569" s="255" t="s">
        <v>792</v>
      </c>
      <c r="C569" s="254" t="s">
        <v>793</v>
      </c>
      <c r="D569" s="240" t="s">
        <v>16</v>
      </c>
      <c r="E569" s="242">
        <v>5</v>
      </c>
      <c r="F569" s="242">
        <f t="shared" si="146"/>
        <v>2</v>
      </c>
      <c r="G569" s="242">
        <f t="shared" si="147"/>
        <v>7</v>
      </c>
      <c r="H569" s="243">
        <v>462341</v>
      </c>
      <c r="I569" s="243">
        <f t="shared" si="148"/>
        <v>3236387</v>
      </c>
      <c r="J569" s="8"/>
      <c r="K569" s="8">
        <f t="shared" si="149"/>
        <v>469507</v>
      </c>
      <c r="L569" s="8">
        <f t="shared" si="133"/>
        <v>2347535</v>
      </c>
      <c r="M569" s="9" t="str">
        <f t="array" ref="M569:P569">_xlfn.XLOOKUP(B569,'Neiva 2022 FASE I ACTUAL (5)'!$B$6:$B$540,'Neiva 2022 FASE I ACTUAL (5)'!$C$6:$F$540,"NO ESTA")</f>
        <v>SUMINISTRO E INSTALACION VALVULAS GLOBO 2 1/2" 125PSI - PISOS 2,3,4</v>
      </c>
      <c r="N569" s="9" t="str">
        <v>UND</v>
      </c>
      <c r="O569" s="9">
        <v>2</v>
      </c>
      <c r="P569" s="9">
        <v>443695</v>
      </c>
      <c r="Q569" s="124" t="str">
        <f t="shared" si="136"/>
        <v>FASE II</v>
      </c>
      <c r="R569" s="155">
        <f t="shared" si="132"/>
        <v>7</v>
      </c>
      <c r="S569" s="156">
        <f t="shared" si="134"/>
        <v>469507</v>
      </c>
      <c r="T569" s="156">
        <f t="shared" si="135"/>
        <v>3286549</v>
      </c>
    </row>
    <row r="570" spans="1:20" s="9" customFormat="1" ht="35.1" customHeight="1" x14ac:dyDescent="0.25">
      <c r="A570" s="215"/>
      <c r="B570" s="255" t="s">
        <v>794</v>
      </c>
      <c r="C570" s="254" t="s">
        <v>795</v>
      </c>
      <c r="D570" s="240" t="s">
        <v>16</v>
      </c>
      <c r="E570" s="242">
        <v>1</v>
      </c>
      <c r="F570" s="242">
        <f t="shared" si="146"/>
        <v>1</v>
      </c>
      <c r="G570" s="242">
        <f t="shared" si="147"/>
        <v>2</v>
      </c>
      <c r="H570" s="243">
        <v>242383</v>
      </c>
      <c r="I570" s="243">
        <f t="shared" si="148"/>
        <v>484766</v>
      </c>
      <c r="J570" s="8"/>
      <c r="K570" s="8">
        <f t="shared" si="149"/>
        <v>246140</v>
      </c>
      <c r="L570" s="8">
        <f t="shared" si="133"/>
        <v>246140</v>
      </c>
      <c r="M570" s="9" t="str">
        <f t="array" ref="M570:P570">_xlfn.XLOOKUP(B570,'Neiva 2022 FASE I ACTUAL (5)'!$B$6:$B$540,'Neiva 2022 FASE I ACTUAL (5)'!$C$6:$F$540,"NO ESTA")</f>
        <v>SUMINISTRO E INSTALACION VALVULAS CORTINA 2" 125PSI - PISO 1,4</v>
      </c>
      <c r="N570" s="9" t="str">
        <v>UND</v>
      </c>
      <c r="O570" s="9">
        <v>1</v>
      </c>
      <c r="P570" s="9">
        <v>232608</v>
      </c>
      <c r="Q570" s="124" t="str">
        <f t="shared" si="136"/>
        <v>FASE II</v>
      </c>
      <c r="R570" s="155">
        <f t="shared" si="132"/>
        <v>2</v>
      </c>
      <c r="S570" s="156">
        <f t="shared" si="134"/>
        <v>246140</v>
      </c>
      <c r="T570" s="156">
        <f t="shared" si="135"/>
        <v>492280</v>
      </c>
    </row>
    <row r="571" spans="1:20" s="9" customFormat="1" ht="35.1" customHeight="1" x14ac:dyDescent="0.25">
      <c r="A571" s="215"/>
      <c r="B571" s="255" t="s">
        <v>796</v>
      </c>
      <c r="C571" s="254" t="s">
        <v>797</v>
      </c>
      <c r="D571" s="240" t="s">
        <v>16</v>
      </c>
      <c r="E571" s="242">
        <v>1</v>
      </c>
      <c r="F571" s="242">
        <f t="shared" si="146"/>
        <v>1</v>
      </c>
      <c r="G571" s="242">
        <f t="shared" si="147"/>
        <v>2</v>
      </c>
      <c r="H571" s="243">
        <v>264184</v>
      </c>
      <c r="I571" s="243">
        <f t="shared" si="148"/>
        <v>528368</v>
      </c>
      <c r="J571" s="8"/>
      <c r="K571" s="8">
        <f t="shared" si="149"/>
        <v>268279</v>
      </c>
      <c r="L571" s="8">
        <f t="shared" si="133"/>
        <v>268279</v>
      </c>
      <c r="M571" s="9" t="str">
        <f t="array" ref="M571:P571">_xlfn.XLOOKUP(B571,'Neiva 2022 FASE I ACTUAL (5)'!$B$6:$B$540,'Neiva 2022 FASE I ACTUAL (5)'!$C$6:$F$540,"NO ESTA")</f>
        <v>SUMINISTRO E INSTALACION VALVULAS GLOBO 2" 125PSI - PISO 1,4</v>
      </c>
      <c r="N571" s="9" t="str">
        <v>UND</v>
      </c>
      <c r="O571" s="9">
        <v>1</v>
      </c>
      <c r="P571" s="9">
        <v>253530</v>
      </c>
      <c r="Q571" s="124" t="str">
        <f t="shared" si="136"/>
        <v>FASE II</v>
      </c>
      <c r="R571" s="155">
        <f t="shared" si="132"/>
        <v>2</v>
      </c>
      <c r="S571" s="156">
        <f t="shared" si="134"/>
        <v>268279</v>
      </c>
      <c r="T571" s="156">
        <f t="shared" si="135"/>
        <v>536558</v>
      </c>
    </row>
    <row r="572" spans="1:20" s="9" customFormat="1" ht="35.1" customHeight="1" x14ac:dyDescent="0.25">
      <c r="A572" s="215"/>
      <c r="B572" s="255" t="s">
        <v>1329</v>
      </c>
      <c r="C572" s="254" t="s">
        <v>1330</v>
      </c>
      <c r="D572" s="240" t="s">
        <v>16</v>
      </c>
      <c r="E572" s="242">
        <v>2</v>
      </c>
      <c r="F572" s="242">
        <f t="shared" si="146"/>
        <v>0</v>
      </c>
      <c r="G572" s="242">
        <f t="shared" si="147"/>
        <v>2</v>
      </c>
      <c r="H572" s="243">
        <v>127446</v>
      </c>
      <c r="I572" s="243">
        <f t="shared" si="148"/>
        <v>254892</v>
      </c>
      <c r="J572" s="8"/>
      <c r="K572" s="8">
        <f t="shared" si="149"/>
        <v>129421</v>
      </c>
      <c r="L572" s="8">
        <f t="shared" si="133"/>
        <v>258842</v>
      </c>
      <c r="M572" s="9" t="str">
        <f t="array" ref="M572">_xlfn.XLOOKUP(B572,'Neiva 2022 FASE I ACTUAL (5)'!$B$6:$B$540,'Neiva 2022 FASE I ACTUAL (5)'!$C$6:$F$540,"NO ESTA")</f>
        <v>NO ESTA</v>
      </c>
      <c r="Q572" s="124">
        <f t="shared" si="136"/>
        <v>0</v>
      </c>
      <c r="R572" s="155">
        <f t="shared" si="132"/>
        <v>2</v>
      </c>
      <c r="S572" s="156">
        <f t="shared" si="134"/>
        <v>129421</v>
      </c>
      <c r="T572" s="156">
        <f t="shared" si="135"/>
        <v>258842</v>
      </c>
    </row>
    <row r="573" spans="1:20" s="9" customFormat="1" ht="35.1" customHeight="1" x14ac:dyDescent="0.25">
      <c r="A573" s="215"/>
      <c r="B573" s="255" t="s">
        <v>1331</v>
      </c>
      <c r="C573" s="254" t="s">
        <v>1332</v>
      </c>
      <c r="D573" s="240" t="s">
        <v>16</v>
      </c>
      <c r="E573" s="242">
        <v>2</v>
      </c>
      <c r="F573" s="242">
        <f t="shared" si="146"/>
        <v>0</v>
      </c>
      <c r="G573" s="242">
        <f t="shared" si="147"/>
        <v>2</v>
      </c>
      <c r="H573" s="243">
        <v>163323</v>
      </c>
      <c r="I573" s="243">
        <f t="shared" si="148"/>
        <v>326646</v>
      </c>
      <c r="J573" s="8"/>
      <c r="K573" s="8">
        <f t="shared" si="149"/>
        <v>165855</v>
      </c>
      <c r="L573" s="8">
        <f t="shared" si="133"/>
        <v>331710</v>
      </c>
      <c r="M573" s="9" t="str">
        <f t="array" ref="M573">_xlfn.XLOOKUP(B573,'Neiva 2022 FASE I ACTUAL (5)'!$B$6:$B$540,'Neiva 2022 FASE I ACTUAL (5)'!$C$6:$F$540,"NO ESTA")</f>
        <v>NO ESTA</v>
      </c>
      <c r="Q573" s="124">
        <f t="shared" si="136"/>
        <v>0</v>
      </c>
      <c r="R573" s="155">
        <f t="shared" si="132"/>
        <v>2</v>
      </c>
      <c r="S573" s="156">
        <f t="shared" si="134"/>
        <v>165855</v>
      </c>
      <c r="T573" s="156">
        <f t="shared" si="135"/>
        <v>331710</v>
      </c>
    </row>
    <row r="574" spans="1:20" s="9" customFormat="1" ht="35.1" customHeight="1" x14ac:dyDescent="0.25">
      <c r="A574" s="215"/>
      <c r="B574" s="255" t="s">
        <v>798</v>
      </c>
      <c r="C574" s="254" t="s">
        <v>799</v>
      </c>
      <c r="D574" s="240" t="s">
        <v>16</v>
      </c>
      <c r="E574" s="242">
        <v>1</v>
      </c>
      <c r="F574" s="242">
        <f t="shared" si="146"/>
        <v>1</v>
      </c>
      <c r="G574" s="242">
        <f t="shared" si="147"/>
        <v>2</v>
      </c>
      <c r="H574" s="243">
        <v>593845</v>
      </c>
      <c r="I574" s="243">
        <f t="shared" si="148"/>
        <v>1187690</v>
      </c>
      <c r="J574" s="8"/>
      <c r="K574" s="8">
        <f t="shared" si="149"/>
        <v>603050</v>
      </c>
      <c r="L574" s="8">
        <f t="shared" si="133"/>
        <v>603050</v>
      </c>
      <c r="M574" s="9" t="str">
        <f t="array" ref="M574:P574">_xlfn.XLOOKUP(B574,'Neiva 2022 FASE I ACTUAL (5)'!$B$6:$B$540,'Neiva 2022 FASE I ACTUAL (5)'!$C$6:$F$540,"NO ESTA")</f>
        <v>SUMINISTRO E INSTALACION FILTRO / STRAINER incluye SOPORTERIA</v>
      </c>
      <c r="N574" s="9" t="str">
        <v>UND</v>
      </c>
      <c r="O574" s="9">
        <v>1</v>
      </c>
      <c r="P574" s="9">
        <v>569896</v>
      </c>
      <c r="Q574" s="124" t="str">
        <f t="shared" si="136"/>
        <v>FASE II</v>
      </c>
      <c r="R574" s="155">
        <f t="shared" si="132"/>
        <v>2</v>
      </c>
      <c r="S574" s="156">
        <f t="shared" si="134"/>
        <v>603050</v>
      </c>
      <c r="T574" s="156">
        <f t="shared" si="135"/>
        <v>1206100</v>
      </c>
    </row>
    <row r="575" spans="1:20" s="9" customFormat="1" ht="35.1" customHeight="1" x14ac:dyDescent="0.25">
      <c r="A575" s="215"/>
      <c r="B575" s="255" t="s">
        <v>800</v>
      </c>
      <c r="C575" s="254" t="s">
        <v>801</v>
      </c>
      <c r="D575" s="240" t="s">
        <v>16</v>
      </c>
      <c r="E575" s="242">
        <v>1</v>
      </c>
      <c r="F575" s="242">
        <f t="shared" si="146"/>
        <v>1</v>
      </c>
      <c r="G575" s="242">
        <f t="shared" si="147"/>
        <v>2</v>
      </c>
      <c r="H575" s="243">
        <v>3263022</v>
      </c>
      <c r="I575" s="243">
        <f t="shared" si="148"/>
        <v>6526044</v>
      </c>
      <c r="J575" s="8"/>
      <c r="K575" s="8">
        <f t="shared" si="149"/>
        <v>3313599</v>
      </c>
      <c r="L575" s="8">
        <f t="shared" si="133"/>
        <v>3313599</v>
      </c>
      <c r="M575" s="9" t="str">
        <f t="array" ref="M575:P575">_xlfn.XLOOKUP(B575,'Neiva 2022 FASE I ACTUAL (5)'!$B$6:$B$540,'Neiva 2022 FASE I ACTUAL (5)'!$C$6:$F$540,"NO ESTA")</f>
        <v>SUMINISTRO E INSTALACION FLANCHES, CABEZALES Y ACCESORIOS VARIOS ASOCIADOS</v>
      </c>
      <c r="N575" s="9" t="str">
        <v>UND</v>
      </c>
      <c r="O575" s="9">
        <v>1</v>
      </c>
      <c r="P575" s="9">
        <v>3131428</v>
      </c>
      <c r="Q575" s="124" t="str">
        <f t="shared" si="136"/>
        <v>FASE II</v>
      </c>
      <c r="R575" s="155">
        <f t="shared" si="132"/>
        <v>2</v>
      </c>
      <c r="S575" s="156">
        <f t="shared" si="134"/>
        <v>3313599</v>
      </c>
      <c r="T575" s="156">
        <f t="shared" si="135"/>
        <v>6627198</v>
      </c>
    </row>
    <row r="576" spans="1:20" s="9" customFormat="1" ht="35.1" customHeight="1" x14ac:dyDescent="0.25">
      <c r="A576" s="215"/>
      <c r="B576" s="255" t="s">
        <v>802</v>
      </c>
      <c r="C576" s="254" t="s">
        <v>803</v>
      </c>
      <c r="D576" s="240" t="s">
        <v>16</v>
      </c>
      <c r="E576" s="242">
        <v>2</v>
      </c>
      <c r="F576" s="242">
        <f t="shared" si="146"/>
        <v>2</v>
      </c>
      <c r="G576" s="242">
        <f t="shared" si="147"/>
        <v>4</v>
      </c>
      <c r="H576" s="243">
        <v>1021661</v>
      </c>
      <c r="I576" s="243">
        <f t="shared" si="148"/>
        <v>4086644</v>
      </c>
      <c r="J576" s="8"/>
      <c r="K576" s="8">
        <f t="shared" si="149"/>
        <v>1037497</v>
      </c>
      <c r="L576" s="8">
        <f t="shared" si="133"/>
        <v>2074994</v>
      </c>
      <c r="M576" s="9" t="str">
        <f t="array" ref="M576:P576">_xlfn.XLOOKUP(B576,'Neiva 2022 FASE I ACTUAL (5)'!$B$6:$B$540,'Neiva 2022 FASE I ACTUAL (5)'!$C$6:$F$540,"NO ESTA")</f>
        <v>SUMINISTRO E INSTALACION JUNTAS FLEXIBLES CHILLER 4"</v>
      </c>
      <c r="N576" s="9" t="str">
        <v>UND</v>
      </c>
      <c r="O576" s="9">
        <v>2</v>
      </c>
      <c r="P576" s="9">
        <v>980458</v>
      </c>
      <c r="Q576" s="124" t="str">
        <f t="shared" si="136"/>
        <v>FASE II</v>
      </c>
      <c r="R576" s="155">
        <f t="shared" si="132"/>
        <v>4</v>
      </c>
      <c r="S576" s="156">
        <f t="shared" si="134"/>
        <v>1037497</v>
      </c>
      <c r="T576" s="156">
        <f t="shared" si="135"/>
        <v>4149988</v>
      </c>
    </row>
    <row r="577" spans="1:20" s="9" customFormat="1" ht="35.1" customHeight="1" x14ac:dyDescent="0.25">
      <c r="A577" s="215"/>
      <c r="B577" s="255" t="s">
        <v>804</v>
      </c>
      <c r="C577" s="254" t="s">
        <v>805</v>
      </c>
      <c r="D577" s="240" t="s">
        <v>16</v>
      </c>
      <c r="E577" s="242">
        <v>2</v>
      </c>
      <c r="F577" s="242">
        <f t="shared" si="146"/>
        <v>2</v>
      </c>
      <c r="G577" s="242">
        <f t="shared" si="147"/>
        <v>4</v>
      </c>
      <c r="H577" s="243">
        <v>975828</v>
      </c>
      <c r="I577" s="243">
        <f t="shared" si="148"/>
        <v>3903312</v>
      </c>
      <c r="J577" s="8"/>
      <c r="K577" s="8">
        <f t="shared" si="149"/>
        <v>990953</v>
      </c>
      <c r="L577" s="8">
        <f t="shared" si="133"/>
        <v>1981906</v>
      </c>
      <c r="M577" s="9" t="str">
        <f t="array" ref="M577:P577">_xlfn.XLOOKUP(B577,'Neiva 2022 FASE I ACTUAL (5)'!$B$6:$B$540,'Neiva 2022 FASE I ACTUAL (5)'!$C$6:$F$540,"NO ESTA")</f>
        <v>SUMINISTRO E INSTALACION JUNTAS FLEXIBLES BOMBA VERTICAL 3"</v>
      </c>
      <c r="N577" s="9" t="str">
        <v>UND</v>
      </c>
      <c r="O577" s="9">
        <v>2</v>
      </c>
      <c r="P577" s="9">
        <v>936475</v>
      </c>
      <c r="Q577" s="124" t="str">
        <f t="shared" si="136"/>
        <v>FASE II</v>
      </c>
      <c r="R577" s="155">
        <f t="shared" si="132"/>
        <v>4</v>
      </c>
      <c r="S577" s="156">
        <f t="shared" si="134"/>
        <v>990953</v>
      </c>
      <c r="T577" s="156">
        <f t="shared" si="135"/>
        <v>3963812</v>
      </c>
    </row>
    <row r="578" spans="1:20" s="9" customFormat="1" ht="35.1" customHeight="1" x14ac:dyDescent="0.25">
      <c r="A578" s="215"/>
      <c r="B578" s="255" t="s">
        <v>806</v>
      </c>
      <c r="C578" s="254" t="s">
        <v>807</v>
      </c>
      <c r="D578" s="240" t="s">
        <v>16</v>
      </c>
      <c r="E578" s="242">
        <v>0</v>
      </c>
      <c r="F578" s="242">
        <f t="shared" si="146"/>
        <v>1</v>
      </c>
      <c r="G578" s="242">
        <f t="shared" si="147"/>
        <v>1</v>
      </c>
      <c r="H578" s="243">
        <v>258053</v>
      </c>
      <c r="I578" s="243">
        <f t="shared" si="148"/>
        <v>258053</v>
      </c>
      <c r="J578" s="8"/>
      <c r="K578" s="8">
        <f t="shared" si="149"/>
        <v>262053</v>
      </c>
      <c r="L578" s="8">
        <f t="shared" si="133"/>
        <v>0</v>
      </c>
      <c r="M578" s="9" t="str">
        <f t="array" ref="M578:P578">_xlfn.XLOOKUP(B578,'Neiva 2022 FASE I ACTUAL (5)'!$B$6:$B$540,'Neiva 2022 FASE I ACTUAL (5)'!$C$6:$F$540,"NO ESTA")</f>
        <v>SUMINISTRO E INSTALACION VALVULA DE CORTINA 2" FC 150 PSI</v>
      </c>
      <c r="N578" s="9" t="str">
        <v>UND</v>
      </c>
      <c r="O578" s="9">
        <v>1</v>
      </c>
      <c r="P578" s="9">
        <v>247647</v>
      </c>
      <c r="Q578" s="124" t="str">
        <f t="shared" si="136"/>
        <v>FASE II</v>
      </c>
      <c r="R578" s="155">
        <f t="shared" si="132"/>
        <v>1</v>
      </c>
      <c r="S578" s="156">
        <f t="shared" si="134"/>
        <v>262053</v>
      </c>
      <c r="T578" s="156">
        <f t="shared" si="135"/>
        <v>262053</v>
      </c>
    </row>
    <row r="579" spans="1:20" s="9" customFormat="1" ht="35.1" customHeight="1" x14ac:dyDescent="0.25">
      <c r="A579" s="215"/>
      <c r="B579" s="255" t="s">
        <v>808</v>
      </c>
      <c r="C579" s="254" t="s">
        <v>809</v>
      </c>
      <c r="D579" s="240" t="s">
        <v>16</v>
      </c>
      <c r="E579" s="242">
        <v>0</v>
      </c>
      <c r="F579" s="242">
        <f t="shared" si="146"/>
        <v>1</v>
      </c>
      <c r="G579" s="242">
        <f t="shared" si="147"/>
        <v>1</v>
      </c>
      <c r="H579" s="243">
        <v>287211</v>
      </c>
      <c r="I579" s="243">
        <f t="shared" si="148"/>
        <v>287211</v>
      </c>
      <c r="J579" s="8"/>
      <c r="K579" s="8">
        <f t="shared" si="149"/>
        <v>291663</v>
      </c>
      <c r="L579" s="8">
        <f t="shared" si="133"/>
        <v>0</v>
      </c>
      <c r="M579" s="9" t="str">
        <f t="array" ref="M579:P579">_xlfn.XLOOKUP(B579,'Neiva 2022 FASE I ACTUAL (5)'!$B$6:$B$540,'Neiva 2022 FASE I ACTUAL (5)'!$C$6:$F$540,"NO ESTA")</f>
        <v>SUMINISTRO E INSTALACION VALVULA DE GLOBO 2" FC 150 PSI</v>
      </c>
      <c r="N579" s="9" t="str">
        <v>UND</v>
      </c>
      <c r="O579" s="9">
        <v>1</v>
      </c>
      <c r="P579" s="9">
        <v>275628</v>
      </c>
      <c r="Q579" s="124" t="str">
        <f t="shared" si="136"/>
        <v>FASE II</v>
      </c>
      <c r="R579" s="155">
        <f t="shared" si="132"/>
        <v>1</v>
      </c>
      <c r="S579" s="156">
        <f t="shared" si="134"/>
        <v>291663</v>
      </c>
      <c r="T579" s="156">
        <f t="shared" si="135"/>
        <v>291663</v>
      </c>
    </row>
    <row r="580" spans="1:20" s="9" customFormat="1" ht="35.1" customHeight="1" x14ac:dyDescent="0.25">
      <c r="A580" s="215"/>
      <c r="B580" s="255" t="s">
        <v>810</v>
      </c>
      <c r="C580" s="87" t="s">
        <v>811</v>
      </c>
      <c r="D580" s="240" t="s">
        <v>16</v>
      </c>
      <c r="E580" s="242">
        <v>17</v>
      </c>
      <c r="F580" s="242">
        <f t="shared" si="146"/>
        <v>6</v>
      </c>
      <c r="G580" s="242">
        <f t="shared" si="147"/>
        <v>23</v>
      </c>
      <c r="H580" s="243">
        <v>218076</v>
      </c>
      <c r="I580" s="243">
        <f t="shared" si="148"/>
        <v>5015748</v>
      </c>
      <c r="J580" s="8"/>
      <c r="K580" s="8">
        <f t="shared" si="149"/>
        <v>221456</v>
      </c>
      <c r="L580" s="8">
        <f t="shared" si="133"/>
        <v>3764752</v>
      </c>
      <c r="M580" s="9" t="str">
        <f t="array" ref="M580:P580">_xlfn.XLOOKUP(B580,'Neiva 2022 FASE I ACTUAL (5)'!$B$6:$B$540,'Neiva 2022 FASE I ACTUAL (5)'!$C$6:$F$540,"NO ESTA")</f>
        <v>SUMINISTRO E INSTALACION VALVULAS DE CORTINA 1 1/4" FC 125 PSI</v>
      </c>
      <c r="N580" s="9" t="str">
        <v>UND</v>
      </c>
      <c r="O580" s="9">
        <v>6</v>
      </c>
      <c r="P580" s="9">
        <v>209281</v>
      </c>
      <c r="Q580" s="124" t="str">
        <f t="shared" si="136"/>
        <v>FASE II</v>
      </c>
      <c r="R580" s="155">
        <f t="shared" si="132"/>
        <v>23</v>
      </c>
      <c r="S580" s="156">
        <f t="shared" si="134"/>
        <v>221456</v>
      </c>
      <c r="T580" s="156">
        <f t="shared" si="135"/>
        <v>5093488</v>
      </c>
    </row>
    <row r="581" spans="1:20" s="9" customFormat="1" ht="35.1" customHeight="1" x14ac:dyDescent="0.25">
      <c r="A581" s="215"/>
      <c r="B581" s="255" t="s">
        <v>812</v>
      </c>
      <c r="C581" s="87" t="s">
        <v>813</v>
      </c>
      <c r="D581" s="240" t="s">
        <v>16</v>
      </c>
      <c r="E581" s="242">
        <v>17</v>
      </c>
      <c r="F581" s="242">
        <f t="shared" si="146"/>
        <v>6</v>
      </c>
      <c r="G581" s="242">
        <f t="shared" si="147"/>
        <v>23</v>
      </c>
      <c r="H581" s="243">
        <v>329228</v>
      </c>
      <c r="I581" s="243">
        <f t="shared" si="148"/>
        <v>7572244</v>
      </c>
      <c r="J581" s="8"/>
      <c r="K581" s="8">
        <f t="shared" si="149"/>
        <v>334331</v>
      </c>
      <c r="L581" s="8">
        <f t="shared" si="133"/>
        <v>5683627</v>
      </c>
      <c r="M581" s="9" t="str">
        <f t="array" ref="M581:P581">_xlfn.XLOOKUP(B581,'Neiva 2022 FASE I ACTUAL (5)'!$B$6:$B$540,'Neiva 2022 FASE I ACTUAL (5)'!$C$6:$F$540,"NO ESTA")</f>
        <v>SUMINISTRO E INSTALACION VALVULAS DE GLOBO 1 1/4" FC 125 PSI</v>
      </c>
      <c r="N581" s="9" t="str">
        <v>UND</v>
      </c>
      <c r="O581" s="9">
        <v>6</v>
      </c>
      <c r="P581" s="9">
        <v>315952</v>
      </c>
      <c r="Q581" s="124" t="str">
        <f t="shared" si="136"/>
        <v>FASE II</v>
      </c>
      <c r="R581" s="155">
        <f t="shared" si="132"/>
        <v>23</v>
      </c>
      <c r="S581" s="156">
        <f t="shared" si="134"/>
        <v>334331</v>
      </c>
      <c r="T581" s="156">
        <f t="shared" si="135"/>
        <v>7689613</v>
      </c>
    </row>
    <row r="582" spans="1:20" s="9" customFormat="1" ht="35.1" customHeight="1" x14ac:dyDescent="0.25">
      <c r="A582" s="215"/>
      <c r="B582" s="255" t="s">
        <v>814</v>
      </c>
      <c r="C582" s="87" t="s">
        <v>815</v>
      </c>
      <c r="D582" s="240" t="s">
        <v>16</v>
      </c>
      <c r="E582" s="242">
        <v>1</v>
      </c>
      <c r="F582" s="242">
        <f t="shared" si="146"/>
        <v>1</v>
      </c>
      <c r="G582" s="242">
        <f t="shared" si="147"/>
        <v>2</v>
      </c>
      <c r="H582" s="243">
        <v>237644</v>
      </c>
      <c r="I582" s="243">
        <f t="shared" si="148"/>
        <v>475288</v>
      </c>
      <c r="J582" s="59"/>
      <c r="K582" s="8">
        <f t="shared" si="149"/>
        <v>241327</v>
      </c>
      <c r="L582" s="8">
        <f t="shared" si="133"/>
        <v>241327</v>
      </c>
      <c r="M582" s="9" t="str">
        <f t="array" ref="M582:P582">_xlfn.XLOOKUP(B582,'Neiva 2022 FASE I ACTUAL (5)'!$B$6:$B$540,'Neiva 2022 FASE I ACTUAL (5)'!$C$6:$F$540,"NO ESTA")</f>
        <v>SUMINISTRO E INSTALACION VALVULAS DE CORTINA 1 1/2" FC 125-150 PSI</v>
      </c>
      <c r="N582" s="9" t="str">
        <v>UND</v>
      </c>
      <c r="O582" s="9">
        <v>1</v>
      </c>
      <c r="P582" s="9">
        <v>228061</v>
      </c>
      <c r="Q582" s="124" t="str">
        <f t="shared" si="136"/>
        <v>FASE II</v>
      </c>
      <c r="R582" s="155">
        <f t="shared" ref="R582:R645" si="150">E582+O582</f>
        <v>2</v>
      </c>
      <c r="S582" s="156">
        <f t="shared" si="134"/>
        <v>241327</v>
      </c>
      <c r="T582" s="156">
        <f t="shared" si="135"/>
        <v>482654</v>
      </c>
    </row>
    <row r="583" spans="1:20" s="9" customFormat="1" ht="35.1" customHeight="1" x14ac:dyDescent="0.25">
      <c r="A583" s="215"/>
      <c r="B583" s="255" t="s">
        <v>816</v>
      </c>
      <c r="C583" s="87" t="s">
        <v>817</v>
      </c>
      <c r="D583" s="240" t="s">
        <v>16</v>
      </c>
      <c r="E583" s="242">
        <v>1</v>
      </c>
      <c r="F583" s="242">
        <f t="shared" si="146"/>
        <v>1</v>
      </c>
      <c r="G583" s="242">
        <f t="shared" si="147"/>
        <v>2</v>
      </c>
      <c r="H583" s="243">
        <v>342013</v>
      </c>
      <c r="I583" s="243">
        <f t="shared" si="148"/>
        <v>684026</v>
      </c>
      <c r="J583" s="8"/>
      <c r="K583" s="8">
        <f t="shared" si="149"/>
        <v>347314</v>
      </c>
      <c r="L583" s="8">
        <f t="shared" ref="L583:L646" si="151">+K583*E583</f>
        <v>347314</v>
      </c>
      <c r="M583" s="9" t="str">
        <f t="array" ref="M583:P583">_xlfn.XLOOKUP(B583,'Neiva 2022 FASE I ACTUAL (5)'!$B$6:$B$540,'Neiva 2022 FASE I ACTUAL (5)'!$C$6:$F$540,"NO ESTA")</f>
        <v>SUMINISTRO E INSTALACIONVALVULAS DE GLOBO 1   1/2" FC 125-150 PSI</v>
      </c>
      <c r="N583" s="9" t="str">
        <v>UND</v>
      </c>
      <c r="O583" s="9">
        <v>1</v>
      </c>
      <c r="P583" s="9">
        <v>328221</v>
      </c>
      <c r="Q583" s="124" t="str">
        <f t="shared" si="136"/>
        <v>FASE II</v>
      </c>
      <c r="R583" s="155">
        <f t="shared" si="150"/>
        <v>2</v>
      </c>
      <c r="S583" s="156">
        <f t="shared" ref="S583:S646" si="152">MAX(P583,H583,K583)</f>
        <v>347314</v>
      </c>
      <c r="T583" s="156">
        <f t="shared" ref="T583:T646" si="153">ROUND(R583*S583,2)</f>
        <v>694628</v>
      </c>
    </row>
    <row r="584" spans="1:20" s="9" customFormat="1" ht="35.1" customHeight="1" x14ac:dyDescent="0.25">
      <c r="A584" s="215"/>
      <c r="B584" s="255" t="s">
        <v>818</v>
      </c>
      <c r="C584" s="87" t="s">
        <v>819</v>
      </c>
      <c r="D584" s="240" t="s">
        <v>16</v>
      </c>
      <c r="E584" s="242">
        <v>2</v>
      </c>
      <c r="F584" s="242">
        <f t="shared" si="146"/>
        <v>2</v>
      </c>
      <c r="G584" s="242">
        <f t="shared" si="147"/>
        <v>4</v>
      </c>
      <c r="H584" s="243">
        <v>159367</v>
      </c>
      <c r="I584" s="243">
        <f t="shared" si="148"/>
        <v>637468</v>
      </c>
      <c r="J584" s="8"/>
      <c r="K584" s="8">
        <f t="shared" si="149"/>
        <v>161837</v>
      </c>
      <c r="L584" s="8">
        <f t="shared" si="151"/>
        <v>323674</v>
      </c>
      <c r="M584" s="9" t="str">
        <f t="array" ref="M584:P584">_xlfn.XLOOKUP(B584,'Neiva 2022 FASE I ACTUAL (5)'!$B$6:$B$540,'Neiva 2022 FASE I ACTUAL (5)'!$C$6:$F$540,"NO ESTA")</f>
        <v>SUMINISTRO E INSTALACION VALVULAS DE CORTINA 1" FC 125 PSI</v>
      </c>
      <c r="N584" s="9" t="str">
        <v>UND</v>
      </c>
      <c r="O584" s="9">
        <v>2</v>
      </c>
      <c r="P584" s="9">
        <v>152941</v>
      </c>
      <c r="Q584" s="124" t="str">
        <f t="shared" ref="Q584:Q647" si="154">IF(P584=0,0,(IF(H584&lt;P584, "FASE I","FASE II")))</f>
        <v>FASE II</v>
      </c>
      <c r="R584" s="155">
        <f t="shared" si="150"/>
        <v>4</v>
      </c>
      <c r="S584" s="156">
        <f t="shared" si="152"/>
        <v>161837</v>
      </c>
      <c r="T584" s="156">
        <f t="shared" si="153"/>
        <v>647348</v>
      </c>
    </row>
    <row r="585" spans="1:20" s="9" customFormat="1" ht="35.1" customHeight="1" x14ac:dyDescent="0.25">
      <c r="A585" s="215"/>
      <c r="B585" s="255" t="s">
        <v>820</v>
      </c>
      <c r="C585" s="254" t="s">
        <v>821</v>
      </c>
      <c r="D585" s="240" t="s">
        <v>16</v>
      </c>
      <c r="E585" s="242">
        <v>2</v>
      </c>
      <c r="F585" s="242">
        <f t="shared" si="146"/>
        <v>2</v>
      </c>
      <c r="G585" s="242">
        <f t="shared" si="147"/>
        <v>4</v>
      </c>
      <c r="H585" s="243">
        <v>198506</v>
      </c>
      <c r="I585" s="243">
        <f t="shared" si="148"/>
        <v>794024</v>
      </c>
      <c r="J585" s="8"/>
      <c r="K585" s="8">
        <f t="shared" si="149"/>
        <v>201583</v>
      </c>
      <c r="L585" s="8">
        <f t="shared" si="151"/>
        <v>403166</v>
      </c>
      <c r="M585" s="9" t="str">
        <f t="array" ref="M585:P585">_xlfn.XLOOKUP(B585,'Neiva 2022 FASE I ACTUAL (5)'!$B$6:$B$540,'Neiva 2022 FASE I ACTUAL (5)'!$C$6:$F$540,"NO ESTA")</f>
        <v>SUMINISTRO E INSTALACION VALVULAS DE GLOBO 1" FC 125 PSI</v>
      </c>
      <c r="N585" s="9" t="str">
        <v>UND</v>
      </c>
      <c r="O585" s="9">
        <v>2</v>
      </c>
      <c r="P585" s="9">
        <v>190501</v>
      </c>
      <c r="Q585" s="124" t="str">
        <f t="shared" si="154"/>
        <v>FASE II</v>
      </c>
      <c r="R585" s="155">
        <f t="shared" si="150"/>
        <v>4</v>
      </c>
      <c r="S585" s="156">
        <f t="shared" si="152"/>
        <v>201583</v>
      </c>
      <c r="T585" s="156">
        <f t="shared" si="153"/>
        <v>806332</v>
      </c>
    </row>
    <row r="586" spans="1:20" s="9" customFormat="1" ht="35.1" customHeight="1" x14ac:dyDescent="0.25">
      <c r="A586" s="215"/>
      <c r="B586" s="255" t="s">
        <v>822</v>
      </c>
      <c r="C586" s="87" t="s">
        <v>823</v>
      </c>
      <c r="D586" s="240" t="s">
        <v>16</v>
      </c>
      <c r="E586" s="242">
        <v>4</v>
      </c>
      <c r="F586" s="242">
        <f t="shared" si="146"/>
        <v>4</v>
      </c>
      <c r="G586" s="242">
        <f t="shared" si="147"/>
        <v>8</v>
      </c>
      <c r="H586" s="243">
        <v>127446</v>
      </c>
      <c r="I586" s="243">
        <f t="shared" si="148"/>
        <v>1019568</v>
      </c>
      <c r="J586" s="8"/>
      <c r="K586" s="8">
        <f t="shared" si="149"/>
        <v>129421</v>
      </c>
      <c r="L586" s="8">
        <f t="shared" si="151"/>
        <v>517684</v>
      </c>
      <c r="M586" s="9" t="str">
        <f t="array" ref="M586:P586">_xlfn.XLOOKUP(B586,'Neiva 2022 FASE I ACTUAL (5)'!$B$6:$B$540,'Neiva 2022 FASE I ACTUAL (5)'!$C$6:$F$540,"NO ESTA")</f>
        <v>SUMINISTRO E INSTALACION VALVULAS DE CORTINA 3/4" FC 125 PSI</v>
      </c>
      <c r="N586" s="9" t="str">
        <v>UND</v>
      </c>
      <c r="O586" s="9">
        <v>4</v>
      </c>
      <c r="P586" s="9">
        <v>122306</v>
      </c>
      <c r="Q586" s="124" t="str">
        <f t="shared" si="154"/>
        <v>FASE II</v>
      </c>
      <c r="R586" s="155">
        <f t="shared" si="150"/>
        <v>8</v>
      </c>
      <c r="S586" s="156">
        <f t="shared" si="152"/>
        <v>129421</v>
      </c>
      <c r="T586" s="156">
        <f t="shared" si="153"/>
        <v>1035368</v>
      </c>
    </row>
    <row r="587" spans="1:20" s="9" customFormat="1" ht="35.1" customHeight="1" x14ac:dyDescent="0.25">
      <c r="A587" s="215"/>
      <c r="B587" s="255" t="s">
        <v>824</v>
      </c>
      <c r="C587" s="254" t="s">
        <v>825</v>
      </c>
      <c r="D587" s="240" t="s">
        <v>16</v>
      </c>
      <c r="E587" s="242">
        <v>4</v>
      </c>
      <c r="F587" s="242">
        <f t="shared" si="146"/>
        <v>4</v>
      </c>
      <c r="G587" s="242">
        <f t="shared" si="147"/>
        <v>8</v>
      </c>
      <c r="H587" s="243">
        <v>163323</v>
      </c>
      <c r="I587" s="243">
        <f t="shared" si="148"/>
        <v>1306584</v>
      </c>
      <c r="J587" s="8"/>
      <c r="K587" s="8">
        <f t="shared" si="149"/>
        <v>165855</v>
      </c>
      <c r="L587" s="8">
        <f t="shared" si="151"/>
        <v>663420</v>
      </c>
      <c r="M587" s="9" t="str">
        <f t="array" ref="M587:P587">_xlfn.XLOOKUP(B587,'Neiva 2022 FASE I ACTUAL (5)'!$B$6:$B$540,'Neiva 2022 FASE I ACTUAL (5)'!$C$6:$F$540,"NO ESTA")</f>
        <v>SUMINISTRO E INSTALACION VALVULAS DE GLOBO 3/4" FC 125 PSI</v>
      </c>
      <c r="N587" s="9" t="str">
        <v>UND</v>
      </c>
      <c r="O587" s="9">
        <v>4</v>
      </c>
      <c r="P587" s="9">
        <v>156737</v>
      </c>
      <c r="Q587" s="124" t="str">
        <f t="shared" si="154"/>
        <v>FASE II</v>
      </c>
      <c r="R587" s="155">
        <f t="shared" si="150"/>
        <v>8</v>
      </c>
      <c r="S587" s="156">
        <f t="shared" si="152"/>
        <v>165855</v>
      </c>
      <c r="T587" s="156">
        <f t="shared" si="153"/>
        <v>1326840</v>
      </c>
    </row>
    <row r="588" spans="1:20" s="9" customFormat="1" ht="35.1" customHeight="1" x14ac:dyDescent="0.25">
      <c r="A588" s="215"/>
      <c r="B588" s="255" t="s">
        <v>826</v>
      </c>
      <c r="C588" s="254" t="s">
        <v>827</v>
      </c>
      <c r="D588" s="240" t="s">
        <v>16</v>
      </c>
      <c r="E588" s="242">
        <v>6</v>
      </c>
      <c r="F588" s="242">
        <f t="shared" si="146"/>
        <v>2</v>
      </c>
      <c r="G588" s="242">
        <f t="shared" si="147"/>
        <v>8</v>
      </c>
      <c r="H588" s="243">
        <v>198506</v>
      </c>
      <c r="I588" s="243">
        <f t="shared" si="148"/>
        <v>1588048</v>
      </c>
      <c r="J588" s="8"/>
      <c r="K588" s="8">
        <f t="shared" si="149"/>
        <v>201583</v>
      </c>
      <c r="L588" s="8">
        <f t="shared" si="151"/>
        <v>1209498</v>
      </c>
      <c r="M588" s="9" t="str">
        <f t="array" ref="M588:P588">_xlfn.XLOOKUP(B588,'Neiva 2022 FASE I ACTUAL (5)'!$B$6:$B$540,'Neiva 2022 FASE I ACTUAL (5)'!$C$6:$F$540,"NO ESTA")</f>
        <v>SUMINISTRO E INSTALACION TERMOTATOS DIGITALES NO PROGRAMABLES FC</v>
      </c>
      <c r="N588" s="9" t="str">
        <v>UND</v>
      </c>
      <c r="O588" s="9">
        <v>2</v>
      </c>
      <c r="P588" s="9">
        <v>190501</v>
      </c>
      <c r="Q588" s="124" t="str">
        <f t="shared" si="154"/>
        <v>FASE II</v>
      </c>
      <c r="R588" s="155">
        <f t="shared" si="150"/>
        <v>8</v>
      </c>
      <c r="S588" s="156">
        <f t="shared" si="152"/>
        <v>201583</v>
      </c>
      <c r="T588" s="156">
        <f t="shared" si="153"/>
        <v>1612664</v>
      </c>
    </row>
    <row r="589" spans="1:20" s="9" customFormat="1" ht="35.1" customHeight="1" x14ac:dyDescent="0.25">
      <c r="A589" s="215"/>
      <c r="B589" s="255" t="s">
        <v>828</v>
      </c>
      <c r="C589" s="254" t="s">
        <v>829</v>
      </c>
      <c r="D589" s="240" t="s">
        <v>16</v>
      </c>
      <c r="E589" s="242">
        <v>22</v>
      </c>
      <c r="F589" s="242">
        <f t="shared" si="146"/>
        <v>8</v>
      </c>
      <c r="G589" s="242">
        <f t="shared" si="147"/>
        <v>30</v>
      </c>
      <c r="H589" s="243">
        <v>328967</v>
      </c>
      <c r="I589" s="243">
        <f t="shared" si="148"/>
        <v>9869010</v>
      </c>
      <c r="J589" s="8"/>
      <c r="K589" s="8">
        <f t="shared" si="149"/>
        <v>334066</v>
      </c>
      <c r="L589" s="8">
        <f t="shared" si="151"/>
        <v>7349452</v>
      </c>
      <c r="M589" s="9" t="str">
        <f t="array" ref="M589:P589">_xlfn.XLOOKUP(B589,'Neiva 2022 FASE I ACTUAL (5)'!$B$6:$B$540,'Neiva 2022 FASE I ACTUAL (5)'!$C$6:$F$540,"NO ESTA")</f>
        <v xml:space="preserve">SUMINISTRO E INSTALACION TERMOSTATOS PROPORCIONALES DIGITALES </v>
      </c>
      <c r="N589" s="9" t="str">
        <v>UND</v>
      </c>
      <c r="O589" s="9">
        <v>8</v>
      </c>
      <c r="P589" s="9">
        <v>315701</v>
      </c>
      <c r="Q589" s="124" t="str">
        <f t="shared" si="154"/>
        <v>FASE II</v>
      </c>
      <c r="R589" s="155">
        <f t="shared" si="150"/>
        <v>30</v>
      </c>
      <c r="S589" s="156">
        <f t="shared" si="152"/>
        <v>334066</v>
      </c>
      <c r="T589" s="156">
        <f t="shared" si="153"/>
        <v>10021980</v>
      </c>
    </row>
    <row r="590" spans="1:20" s="9" customFormat="1" ht="35.1" customHeight="1" x14ac:dyDescent="0.25">
      <c r="A590" s="215"/>
      <c r="B590" s="255" t="s">
        <v>830</v>
      </c>
      <c r="C590" s="254" t="s">
        <v>831</v>
      </c>
      <c r="D590" s="240" t="s">
        <v>16</v>
      </c>
      <c r="E590" s="242">
        <v>6</v>
      </c>
      <c r="F590" s="242">
        <f t="shared" si="146"/>
        <v>2</v>
      </c>
      <c r="G590" s="242">
        <f t="shared" si="147"/>
        <v>8</v>
      </c>
      <c r="H590" s="243">
        <v>250690</v>
      </c>
      <c r="I590" s="243">
        <f t="shared" si="148"/>
        <v>2005520</v>
      </c>
      <c r="J590" s="8"/>
      <c r="K590" s="8">
        <f t="shared" si="149"/>
        <v>254576</v>
      </c>
      <c r="L590" s="8">
        <f t="shared" si="151"/>
        <v>1527456</v>
      </c>
      <c r="M590" s="9" t="str">
        <f t="array" ref="M590:P590">_xlfn.XLOOKUP(B590,'Neiva 2022 FASE I ACTUAL (5)'!$B$6:$B$540,'Neiva 2022 FASE I ACTUAL (5)'!$C$6:$F$540,"NO ESTA")</f>
        <v>SUMINISTRO E INSTALACION ELECTROVALVULAS ON-OFF  110V</v>
      </c>
      <c r="N590" s="9" t="str">
        <v>UND</v>
      </c>
      <c r="O590" s="9">
        <v>2</v>
      </c>
      <c r="P590" s="9">
        <v>240581</v>
      </c>
      <c r="Q590" s="124" t="str">
        <f t="shared" si="154"/>
        <v>FASE II</v>
      </c>
      <c r="R590" s="155">
        <f t="shared" si="150"/>
        <v>8</v>
      </c>
      <c r="S590" s="156">
        <f t="shared" si="152"/>
        <v>254576</v>
      </c>
      <c r="T590" s="156">
        <f t="shared" si="153"/>
        <v>2036608</v>
      </c>
    </row>
    <row r="591" spans="1:20" s="9" customFormat="1" ht="35.1" customHeight="1" x14ac:dyDescent="0.25">
      <c r="A591" s="215"/>
      <c r="B591" s="255" t="s">
        <v>832</v>
      </c>
      <c r="C591" s="254" t="s">
        <v>833</v>
      </c>
      <c r="D591" s="240" t="s">
        <v>16</v>
      </c>
      <c r="E591" s="242">
        <v>0</v>
      </c>
      <c r="F591" s="242">
        <f t="shared" si="146"/>
        <v>1</v>
      </c>
      <c r="G591" s="242">
        <f t="shared" si="147"/>
        <v>1</v>
      </c>
      <c r="H591" s="243">
        <v>831244</v>
      </c>
      <c r="I591" s="243">
        <f t="shared" si="148"/>
        <v>831244</v>
      </c>
      <c r="J591" s="8"/>
      <c r="K591" s="8">
        <f t="shared" si="149"/>
        <v>844128</v>
      </c>
      <c r="L591" s="8">
        <f t="shared" si="151"/>
        <v>0</v>
      </c>
      <c r="M591" s="9" t="str">
        <f t="array" ref="M591:P591">_xlfn.XLOOKUP(B591,'Neiva 2022 FASE I ACTUAL (5)'!$B$6:$B$540,'Neiva 2022 FASE I ACTUAL (5)'!$C$6:$F$540,"NO ESTA")</f>
        <v>SUMINISTRO E INSTALACION ELECTROVALVULAS PROPORCIONALES 2 " - 2 VIAS - 24V</v>
      </c>
      <c r="N591" s="9" t="str">
        <v>UND</v>
      </c>
      <c r="O591" s="9">
        <v>1</v>
      </c>
      <c r="P591" s="9">
        <v>797720</v>
      </c>
      <c r="Q591" s="124" t="str">
        <f t="shared" si="154"/>
        <v>FASE II</v>
      </c>
      <c r="R591" s="155">
        <f t="shared" si="150"/>
        <v>1</v>
      </c>
      <c r="S591" s="156">
        <f t="shared" si="152"/>
        <v>844128</v>
      </c>
      <c r="T591" s="156">
        <f t="shared" si="153"/>
        <v>844128</v>
      </c>
    </row>
    <row r="592" spans="1:20" s="9" customFormat="1" ht="35.1" customHeight="1" x14ac:dyDescent="0.25">
      <c r="A592" s="215"/>
      <c r="B592" s="255" t="s">
        <v>834</v>
      </c>
      <c r="C592" s="87" t="s">
        <v>835</v>
      </c>
      <c r="D592" s="240" t="s">
        <v>16</v>
      </c>
      <c r="E592" s="242">
        <v>2</v>
      </c>
      <c r="F592" s="242">
        <f t="shared" si="146"/>
        <v>1</v>
      </c>
      <c r="G592" s="242">
        <f t="shared" si="147"/>
        <v>3</v>
      </c>
      <c r="H592" s="243">
        <v>831244</v>
      </c>
      <c r="I592" s="243">
        <f t="shared" si="148"/>
        <v>2493732</v>
      </c>
      <c r="J592" s="8"/>
      <c r="K592" s="8">
        <f t="shared" si="149"/>
        <v>844128</v>
      </c>
      <c r="L592" s="8">
        <f t="shared" si="151"/>
        <v>1688256</v>
      </c>
      <c r="M592" s="9" t="str">
        <f t="array" ref="M592:P592">_xlfn.XLOOKUP(B592,'Neiva 2022 FASE I ACTUAL (5)'!$B$6:$B$540,'Neiva 2022 FASE I ACTUAL (5)'!$C$6:$F$540,"NO ESTA")</f>
        <v>SUMINISTRO E INSTALACION ELECTROVALVULAS PROPORCIONALES  1 1/2 " - 2 VIAS - 24V</v>
      </c>
      <c r="N592" s="9" t="str">
        <v>UND</v>
      </c>
      <c r="O592" s="9">
        <v>1</v>
      </c>
      <c r="P592" s="9">
        <v>797720</v>
      </c>
      <c r="Q592" s="124" t="str">
        <f t="shared" si="154"/>
        <v>FASE II</v>
      </c>
      <c r="R592" s="155">
        <f t="shared" si="150"/>
        <v>3</v>
      </c>
      <c r="S592" s="156">
        <f t="shared" si="152"/>
        <v>844128</v>
      </c>
      <c r="T592" s="156">
        <f t="shared" si="153"/>
        <v>2532384</v>
      </c>
    </row>
    <row r="593" spans="1:20" s="9" customFormat="1" ht="35.1" customHeight="1" x14ac:dyDescent="0.25">
      <c r="A593" s="215"/>
      <c r="B593" s="255" t="s">
        <v>836</v>
      </c>
      <c r="C593" s="87" t="s">
        <v>837</v>
      </c>
      <c r="D593" s="240" t="s">
        <v>16</v>
      </c>
      <c r="E593" s="242">
        <v>0</v>
      </c>
      <c r="F593" s="242">
        <f t="shared" si="146"/>
        <v>1</v>
      </c>
      <c r="G593" s="242">
        <f t="shared" si="147"/>
        <v>1</v>
      </c>
      <c r="H593" s="243">
        <v>831244</v>
      </c>
      <c r="I593" s="243">
        <f t="shared" si="148"/>
        <v>831244</v>
      </c>
      <c r="J593" s="8"/>
      <c r="K593" s="8">
        <f t="shared" si="149"/>
        <v>844128</v>
      </c>
      <c r="L593" s="8">
        <f t="shared" si="151"/>
        <v>0</v>
      </c>
      <c r="M593" s="9" t="str">
        <f t="array" ref="M593:P593">_xlfn.XLOOKUP(B593,'Neiva 2022 FASE I ACTUAL (5)'!$B$6:$B$540,'Neiva 2022 FASE I ACTUAL (5)'!$C$6:$F$540,"NO ESTA")</f>
        <v>SUMINISTRO E INSTALACION ELECTROVALVULAS PROPORCIONALES  1 1/2 " - 3 VIAS - 24V</v>
      </c>
      <c r="N593" s="9" t="str">
        <v>UND</v>
      </c>
      <c r="O593" s="9">
        <v>1</v>
      </c>
      <c r="P593" s="9">
        <v>797720</v>
      </c>
      <c r="Q593" s="124" t="str">
        <f t="shared" si="154"/>
        <v>FASE II</v>
      </c>
      <c r="R593" s="155">
        <f t="shared" si="150"/>
        <v>1</v>
      </c>
      <c r="S593" s="156">
        <f t="shared" si="152"/>
        <v>844128</v>
      </c>
      <c r="T593" s="156">
        <f t="shared" si="153"/>
        <v>844128</v>
      </c>
    </row>
    <row r="594" spans="1:20" s="9" customFormat="1" ht="35.1" customHeight="1" x14ac:dyDescent="0.25">
      <c r="A594" s="215"/>
      <c r="B594" s="255" t="s">
        <v>838</v>
      </c>
      <c r="C594" s="87" t="s">
        <v>839</v>
      </c>
      <c r="D594" s="240" t="s">
        <v>16</v>
      </c>
      <c r="E594" s="242">
        <v>15</v>
      </c>
      <c r="F594" s="242">
        <f t="shared" si="146"/>
        <v>5</v>
      </c>
      <c r="G594" s="242">
        <f t="shared" si="147"/>
        <v>20</v>
      </c>
      <c r="H594" s="243">
        <v>733397</v>
      </c>
      <c r="I594" s="243">
        <f t="shared" si="148"/>
        <v>14667940</v>
      </c>
      <c r="J594" s="8"/>
      <c r="K594" s="8">
        <f t="shared" si="149"/>
        <v>744765</v>
      </c>
      <c r="L594" s="8">
        <f t="shared" si="151"/>
        <v>11171475</v>
      </c>
      <c r="M594" s="9" t="str">
        <f t="array" ref="M594:P594">_xlfn.XLOOKUP(B594,'Neiva 2022 FASE I ACTUAL (5)'!$B$6:$B$540,'Neiva 2022 FASE I ACTUAL (5)'!$C$6:$F$540,"NO ESTA")</f>
        <v>SUMINISTRO E INSTALACION ELECTROVALVULAS PROPORCIONALES 1 1/4 " - 24V</v>
      </c>
      <c r="N594" s="9" t="str">
        <v>UND</v>
      </c>
      <c r="O594" s="9">
        <v>5</v>
      </c>
      <c r="P594" s="9">
        <v>703821</v>
      </c>
      <c r="Q594" s="124" t="str">
        <f t="shared" si="154"/>
        <v>FASE II</v>
      </c>
      <c r="R594" s="155">
        <f t="shared" si="150"/>
        <v>20</v>
      </c>
      <c r="S594" s="156">
        <f t="shared" si="152"/>
        <v>744765</v>
      </c>
      <c r="T594" s="156">
        <f t="shared" si="153"/>
        <v>14895300</v>
      </c>
    </row>
    <row r="595" spans="1:20" s="9" customFormat="1" ht="35.1" customHeight="1" x14ac:dyDescent="0.25">
      <c r="A595" s="215"/>
      <c r="B595" s="255" t="s">
        <v>840</v>
      </c>
      <c r="C595" s="254" t="s">
        <v>841</v>
      </c>
      <c r="D595" s="240" t="s">
        <v>16</v>
      </c>
      <c r="E595" s="242">
        <v>0</v>
      </c>
      <c r="F595" s="242">
        <f t="shared" si="146"/>
        <v>1</v>
      </c>
      <c r="G595" s="242">
        <f t="shared" si="147"/>
        <v>1</v>
      </c>
      <c r="H595" s="243">
        <v>591456</v>
      </c>
      <c r="I595" s="243">
        <f t="shared" si="148"/>
        <v>591456</v>
      </c>
      <c r="J595" s="8"/>
      <c r="K595" s="8">
        <f t="shared" si="149"/>
        <v>600624</v>
      </c>
      <c r="L595" s="8">
        <f t="shared" si="151"/>
        <v>0</v>
      </c>
      <c r="M595" s="9" t="str">
        <f t="array" ref="M595:P595">_xlfn.XLOOKUP(B595,'Neiva 2022 FASE I ACTUAL (5)'!$B$6:$B$540,'Neiva 2022 FASE I ACTUAL (5)'!$C$6:$F$540,"NO ESTA")</f>
        <v>SUMINISTRO E INSTALACION ELECTROVALVULAS PROPORCIONALES 1 " - 24V</v>
      </c>
      <c r="N595" s="9" t="str">
        <v>UND</v>
      </c>
      <c r="O595" s="9">
        <v>1</v>
      </c>
      <c r="P595" s="9">
        <v>567603</v>
      </c>
      <c r="Q595" s="124" t="str">
        <f t="shared" si="154"/>
        <v>FASE II</v>
      </c>
      <c r="R595" s="155">
        <f t="shared" si="150"/>
        <v>1</v>
      </c>
      <c r="S595" s="156">
        <f t="shared" si="152"/>
        <v>600624</v>
      </c>
      <c r="T595" s="156">
        <f t="shared" si="153"/>
        <v>600624</v>
      </c>
    </row>
    <row r="596" spans="1:20" s="9" customFormat="1" ht="35.1" customHeight="1" x14ac:dyDescent="0.25">
      <c r="A596" s="215"/>
      <c r="B596" s="244" t="s">
        <v>842</v>
      </c>
      <c r="C596" s="256" t="s">
        <v>843</v>
      </c>
      <c r="D596" s="256"/>
      <c r="E596" s="246"/>
      <c r="F596" s="246"/>
      <c r="G596" s="246"/>
      <c r="H596" s="303"/>
      <c r="I596" s="246"/>
      <c r="J596" s="8"/>
      <c r="K596" s="8">
        <f t="shared" si="149"/>
        <v>0</v>
      </c>
      <c r="L596" s="8">
        <f t="shared" si="151"/>
        <v>0</v>
      </c>
      <c r="M596" s="9" t="str">
        <f t="array" ref="M596:P596">_xlfn.XLOOKUP(B596,'Neiva 2022 FASE I ACTUAL (5)'!$B$6:$B$540,'Neiva 2022 FASE I ACTUAL (5)'!$C$6:$F$540,"NO ESTA")</f>
        <v>SUMINISTRO, MONTAJE E INSTALACIÓN DE DUCTOS DE AIRE ACONDICIONADO</v>
      </c>
      <c r="N596" s="9">
        <v>0</v>
      </c>
      <c r="O596" s="9">
        <v>0</v>
      </c>
      <c r="P596" s="9">
        <v>0</v>
      </c>
      <c r="Q596" s="124">
        <f t="shared" si="154"/>
        <v>0</v>
      </c>
      <c r="R596" s="155">
        <f t="shared" si="150"/>
        <v>0</v>
      </c>
      <c r="S596" s="156">
        <f t="shared" si="152"/>
        <v>0</v>
      </c>
      <c r="T596" s="156">
        <f t="shared" si="153"/>
        <v>0</v>
      </c>
    </row>
    <row r="597" spans="1:20" s="9" customFormat="1" ht="35.1" customHeight="1" x14ac:dyDescent="0.25">
      <c r="A597" s="215"/>
      <c r="B597" s="255" t="s">
        <v>844</v>
      </c>
      <c r="C597" s="254" t="s">
        <v>845</v>
      </c>
      <c r="D597" s="295" t="s">
        <v>13</v>
      </c>
      <c r="E597" s="242">
        <v>77</v>
      </c>
      <c r="F597" s="242">
        <f t="shared" ref="F597:F602" si="155">+O597</f>
        <v>28</v>
      </c>
      <c r="G597" s="242">
        <f t="shared" ref="G597:G602" si="156">+F597+E597</f>
        <v>105</v>
      </c>
      <c r="H597" s="243">
        <v>64794</v>
      </c>
      <c r="I597" s="243">
        <f t="shared" ref="I597:I602" si="157">ROUND(+H597*G597,2)</f>
        <v>6803370</v>
      </c>
      <c r="J597" s="8"/>
      <c r="K597" s="8">
        <f t="shared" si="149"/>
        <v>65798</v>
      </c>
      <c r="L597" s="8">
        <f t="shared" si="151"/>
        <v>5066446</v>
      </c>
      <c r="M597" s="9" t="str">
        <f t="array" ref="M597:P597">_xlfn.XLOOKUP(B597,'Neiva 2022 FASE I ACTUAL (5)'!$B$6:$B$540,'Neiva 2022 FASE I ACTUAL (5)'!$C$6:$F$540,"NO ESTA")</f>
        <v>SUMINISTRO E INSTALACION DUCTOS EN LAMINA GALVANIZADA CAL. 24 Wrap FC</v>
      </c>
      <c r="N597" s="9" t="str">
        <v>M2</v>
      </c>
      <c r="O597" s="9">
        <v>28</v>
      </c>
      <c r="P597" s="9">
        <v>62181</v>
      </c>
      <c r="Q597" s="124" t="str">
        <f t="shared" si="154"/>
        <v>FASE II</v>
      </c>
      <c r="R597" s="155">
        <f t="shared" si="150"/>
        <v>105</v>
      </c>
      <c r="S597" s="156">
        <f t="shared" si="152"/>
        <v>65798</v>
      </c>
      <c r="T597" s="156">
        <f t="shared" si="153"/>
        <v>6908790</v>
      </c>
    </row>
    <row r="598" spans="1:20" s="9" customFormat="1" ht="35.1" customHeight="1" x14ac:dyDescent="0.25">
      <c r="A598" s="215"/>
      <c r="B598" s="255" t="s">
        <v>846</v>
      </c>
      <c r="C598" s="254" t="s">
        <v>847</v>
      </c>
      <c r="D598" s="295" t="s">
        <v>13</v>
      </c>
      <c r="E598" s="242">
        <v>540</v>
      </c>
      <c r="F598" s="242">
        <f t="shared" si="155"/>
        <v>200</v>
      </c>
      <c r="G598" s="242">
        <f t="shared" si="156"/>
        <v>740</v>
      </c>
      <c r="H598" s="243">
        <v>71267</v>
      </c>
      <c r="I598" s="243">
        <f t="shared" si="157"/>
        <v>52737580</v>
      </c>
      <c r="J598" s="8"/>
      <c r="K598" s="8">
        <f t="shared" si="149"/>
        <v>72372</v>
      </c>
      <c r="L598" s="8">
        <f t="shared" si="151"/>
        <v>39080880</v>
      </c>
      <c r="M598" s="9" t="str">
        <f t="array" ref="M598:P598">_xlfn.XLOOKUP(B598,'Neiva 2022 FASE I ACTUAL (5)'!$B$6:$B$540,'Neiva 2022 FASE I ACTUAL (5)'!$C$6:$F$540,"NO ESTA")</f>
        <v>SUMINISTRO E INSTALACION DUCTOS EN LAMINA GALVANIZADA CAL. 22 Wrap FC</v>
      </c>
      <c r="N598" s="9" t="str">
        <v>M2</v>
      </c>
      <c r="O598" s="9">
        <v>200</v>
      </c>
      <c r="P598" s="9">
        <v>68392</v>
      </c>
      <c r="Q598" s="124" t="str">
        <f t="shared" si="154"/>
        <v>FASE II</v>
      </c>
      <c r="R598" s="155">
        <f t="shared" si="150"/>
        <v>740</v>
      </c>
      <c r="S598" s="156">
        <f t="shared" si="152"/>
        <v>72372</v>
      </c>
      <c r="T598" s="156">
        <f t="shared" si="153"/>
        <v>53555280</v>
      </c>
    </row>
    <row r="599" spans="1:20" s="9" customFormat="1" ht="35.1" customHeight="1" x14ac:dyDescent="0.25">
      <c r="A599" s="215"/>
      <c r="B599" s="255" t="s">
        <v>848</v>
      </c>
      <c r="C599" s="254" t="s">
        <v>849</v>
      </c>
      <c r="D599" s="295" t="s">
        <v>13</v>
      </c>
      <c r="E599" s="242">
        <v>617</v>
      </c>
      <c r="F599" s="242">
        <f t="shared" si="155"/>
        <v>228</v>
      </c>
      <c r="G599" s="242">
        <f t="shared" si="156"/>
        <v>845</v>
      </c>
      <c r="H599" s="243">
        <v>19759</v>
      </c>
      <c r="I599" s="243">
        <f t="shared" si="157"/>
        <v>16696355</v>
      </c>
      <c r="J599" s="8"/>
      <c r="K599" s="8">
        <f t="shared" si="149"/>
        <v>20065</v>
      </c>
      <c r="L599" s="8">
        <f t="shared" si="151"/>
        <v>12380105</v>
      </c>
      <c r="M599" s="9" t="str">
        <f t="array" ref="M599:P599">_xlfn.XLOOKUP(B599,'Neiva 2022 FASE I ACTUAL (5)'!$B$6:$B$540,'Neiva 2022 FASE I ACTUAL (5)'!$C$6:$F$540,"NO ESTA")</f>
        <v>SUMINISTRO E INSTALACION AISLAMIENTO DUCTOS EN JUMBOLON FC</v>
      </c>
      <c r="N599" s="9" t="str">
        <v>M2</v>
      </c>
      <c r="O599" s="9">
        <v>228</v>
      </c>
      <c r="P599" s="9">
        <v>18961</v>
      </c>
      <c r="Q599" s="124" t="str">
        <f t="shared" si="154"/>
        <v>FASE II</v>
      </c>
      <c r="R599" s="155">
        <f t="shared" si="150"/>
        <v>845</v>
      </c>
      <c r="S599" s="156">
        <f t="shared" si="152"/>
        <v>20065</v>
      </c>
      <c r="T599" s="156">
        <f t="shared" si="153"/>
        <v>16954925</v>
      </c>
    </row>
    <row r="600" spans="1:20" s="9" customFormat="1" ht="35.1" customHeight="1" x14ac:dyDescent="0.25">
      <c r="A600" s="215"/>
      <c r="B600" s="255" t="s">
        <v>850</v>
      </c>
      <c r="C600" s="254" t="s">
        <v>851</v>
      </c>
      <c r="D600" s="295" t="s">
        <v>13</v>
      </c>
      <c r="E600" s="242">
        <v>150</v>
      </c>
      <c r="F600" s="242">
        <f t="shared" si="155"/>
        <v>55</v>
      </c>
      <c r="G600" s="242">
        <f t="shared" si="156"/>
        <v>205</v>
      </c>
      <c r="H600" s="243">
        <v>77790</v>
      </c>
      <c r="I600" s="243">
        <f t="shared" si="157"/>
        <v>15946950</v>
      </c>
      <c r="J600" s="8"/>
      <c r="K600" s="8">
        <f t="shared" si="149"/>
        <v>78996</v>
      </c>
      <c r="L600" s="8">
        <f t="shared" si="151"/>
        <v>11849400</v>
      </c>
      <c r="M600" s="9" t="str">
        <f t="array" ref="M600:P600">_xlfn.XLOOKUP(B600,'Neiva 2022 FASE I ACTUAL (5)'!$B$6:$B$540,'Neiva 2022 FASE I ACTUAL (5)'!$C$6:$F$540,"NO ESTA")</f>
        <v>SUMINISTRO E INSTALACION DUCTOS EN LAMINA GALVANIZADA CAL. 20 Wrap UMAS</v>
      </c>
      <c r="N600" s="9" t="str">
        <v>M2</v>
      </c>
      <c r="O600" s="9">
        <v>55</v>
      </c>
      <c r="P600" s="9">
        <v>74652</v>
      </c>
      <c r="Q600" s="124" t="str">
        <f t="shared" si="154"/>
        <v>FASE II</v>
      </c>
      <c r="R600" s="155">
        <f t="shared" si="150"/>
        <v>205</v>
      </c>
      <c r="S600" s="156">
        <f t="shared" si="152"/>
        <v>78996</v>
      </c>
      <c r="T600" s="156">
        <f t="shared" si="153"/>
        <v>16194180</v>
      </c>
    </row>
    <row r="601" spans="1:20" s="9" customFormat="1" ht="35.1" customHeight="1" x14ac:dyDescent="0.25">
      <c r="A601" s="215"/>
      <c r="B601" s="255" t="s">
        <v>852</v>
      </c>
      <c r="C601" s="254" t="s">
        <v>853</v>
      </c>
      <c r="D601" s="295" t="s">
        <v>13</v>
      </c>
      <c r="E601" s="242">
        <v>150</v>
      </c>
      <c r="F601" s="242">
        <f t="shared" si="155"/>
        <v>55</v>
      </c>
      <c r="G601" s="242">
        <f t="shared" si="156"/>
        <v>205</v>
      </c>
      <c r="H601" s="243">
        <v>19759</v>
      </c>
      <c r="I601" s="243">
        <f t="shared" si="157"/>
        <v>4050595</v>
      </c>
      <c r="J601" s="8"/>
      <c r="K601" s="8">
        <f t="shared" si="149"/>
        <v>20065</v>
      </c>
      <c r="L601" s="8">
        <f t="shared" si="151"/>
        <v>3009750</v>
      </c>
      <c r="M601" s="9" t="str">
        <f t="array" ref="M601:P601">_xlfn.XLOOKUP(B601,'Neiva 2022 FASE I ACTUAL (5)'!$B$6:$B$540,'Neiva 2022 FASE I ACTUAL (5)'!$C$6:$F$540,"NO ESTA")</f>
        <v>SUMINISTRO E INSTALACION AISLAMIENTO DUCTOS EN DUCT WRAP UMAS</v>
      </c>
      <c r="N601" s="9" t="str">
        <v>M2</v>
      </c>
      <c r="O601" s="9">
        <v>55</v>
      </c>
      <c r="P601" s="9">
        <v>18961</v>
      </c>
      <c r="Q601" s="124" t="str">
        <f t="shared" si="154"/>
        <v>FASE II</v>
      </c>
      <c r="R601" s="155">
        <f t="shared" si="150"/>
        <v>205</v>
      </c>
      <c r="S601" s="156">
        <f t="shared" si="152"/>
        <v>20065</v>
      </c>
      <c r="T601" s="156">
        <f t="shared" si="153"/>
        <v>4113325</v>
      </c>
    </row>
    <row r="602" spans="1:20" s="9" customFormat="1" ht="35.1" customHeight="1" x14ac:dyDescent="0.25">
      <c r="A602" s="215"/>
      <c r="B602" s="255" t="s">
        <v>854</v>
      </c>
      <c r="C602" s="254" t="s">
        <v>855</v>
      </c>
      <c r="D602" s="240" t="s">
        <v>16</v>
      </c>
      <c r="E602" s="242">
        <v>24</v>
      </c>
      <c r="F602" s="242">
        <f t="shared" si="155"/>
        <v>9</v>
      </c>
      <c r="G602" s="242">
        <f t="shared" si="156"/>
        <v>33</v>
      </c>
      <c r="H602" s="243">
        <v>33912</v>
      </c>
      <c r="I602" s="243">
        <f t="shared" si="157"/>
        <v>1119096</v>
      </c>
      <c r="J602" s="8"/>
      <c r="K602" s="8">
        <f t="shared" si="149"/>
        <v>34438</v>
      </c>
      <c r="L602" s="8">
        <f t="shared" si="151"/>
        <v>826512</v>
      </c>
      <c r="M602" s="9" t="str">
        <f t="array" ref="M602:P602">_xlfn.XLOOKUP(B602,'Neiva 2022 FASE I ACTUAL (5)'!$B$6:$B$540,'Neiva 2022 FASE I ACTUAL (5)'!$C$6:$F$540,"NO ESTA")</f>
        <v>SUMINISTRO E INSTALACION ACOPLE FLEXIBLE DUCTOS - EQUIPOS</v>
      </c>
      <c r="N602" s="9" t="str">
        <v>UND</v>
      </c>
      <c r="O602" s="9">
        <v>9</v>
      </c>
      <c r="P602" s="9">
        <v>32544</v>
      </c>
      <c r="Q602" s="124" t="str">
        <f t="shared" si="154"/>
        <v>FASE II</v>
      </c>
      <c r="R602" s="155">
        <f t="shared" si="150"/>
        <v>33</v>
      </c>
      <c r="S602" s="156">
        <f t="shared" si="152"/>
        <v>34438</v>
      </c>
      <c r="T602" s="156">
        <f t="shared" si="153"/>
        <v>1136454</v>
      </c>
    </row>
    <row r="603" spans="1:20" s="9" customFormat="1" ht="35.1" customHeight="1" x14ac:dyDescent="0.25">
      <c r="A603" s="215"/>
      <c r="B603" s="244" t="s">
        <v>856</v>
      </c>
      <c r="C603" s="245" t="s">
        <v>857</v>
      </c>
      <c r="D603" s="260"/>
      <c r="E603" s="246"/>
      <c r="F603" s="246"/>
      <c r="G603" s="246"/>
      <c r="H603" s="303"/>
      <c r="I603" s="246"/>
      <c r="J603" s="8"/>
      <c r="K603" s="8">
        <f t="shared" si="149"/>
        <v>0</v>
      </c>
      <c r="L603" s="8">
        <f t="shared" si="151"/>
        <v>0</v>
      </c>
      <c r="M603" s="9" t="str">
        <f t="array" ref="M603:P603">_xlfn.XLOOKUP(B603,'Neiva 2022 FASE I ACTUAL (5)'!$B$6:$B$540,'Neiva 2022 FASE I ACTUAL (5)'!$C$6:$F$540,"NO ESTA")</f>
        <v>SUMINISTRO E INSTALACIÓN DIFUSORES Y REJILLAS</v>
      </c>
      <c r="N603" s="9">
        <v>0</v>
      </c>
      <c r="O603" s="9">
        <v>0</v>
      </c>
      <c r="P603" s="9">
        <v>0</v>
      </c>
      <c r="Q603" s="124">
        <f t="shared" si="154"/>
        <v>0</v>
      </c>
      <c r="R603" s="155">
        <f t="shared" si="150"/>
        <v>0</v>
      </c>
      <c r="S603" s="156">
        <f t="shared" si="152"/>
        <v>0</v>
      </c>
      <c r="T603" s="156">
        <f t="shared" si="153"/>
        <v>0</v>
      </c>
    </row>
    <row r="604" spans="1:20" s="9" customFormat="1" ht="35.1" customHeight="1" x14ac:dyDescent="0.25">
      <c r="A604" s="215"/>
      <c r="B604" s="240" t="s">
        <v>858</v>
      </c>
      <c r="C604" s="254" t="s">
        <v>859</v>
      </c>
      <c r="D604" s="240" t="s">
        <v>16</v>
      </c>
      <c r="E604" s="242">
        <v>82</v>
      </c>
      <c r="F604" s="242">
        <f t="shared" ref="F604:F617" si="158">+O604</f>
        <v>30</v>
      </c>
      <c r="G604" s="242">
        <f t="shared" ref="G604:G617" si="159">+F604+E604</f>
        <v>112</v>
      </c>
      <c r="H604" s="243">
        <v>159725</v>
      </c>
      <c r="I604" s="243">
        <f t="shared" ref="I604:I617" si="160">ROUND(+H604*G604,2)</f>
        <v>17889200</v>
      </c>
      <c r="J604" s="8"/>
      <c r="K604" s="8">
        <f t="shared" si="149"/>
        <v>162201</v>
      </c>
      <c r="L604" s="8">
        <f t="shared" si="151"/>
        <v>13300482</v>
      </c>
      <c r="M604" s="9" t="str">
        <f t="array" ref="M604:P604">_xlfn.XLOOKUP(B604,'Neiva 2022 FASE I ACTUAL (5)'!$B$6:$B$540,'Neiva 2022 FASE I ACTUAL (5)'!$C$6:$F$540,"NO ESTA")</f>
        <v>SUMINISTRO E INSTALACION DIFUSORES SUMINISTRO DE 12" x 12" 4V (Tipo Descolgado) con Damper OB</v>
      </c>
      <c r="N604" s="9" t="str">
        <v>UND</v>
      </c>
      <c r="O604" s="9">
        <v>30</v>
      </c>
      <c r="P604" s="9">
        <v>153283</v>
      </c>
      <c r="Q604" s="124" t="str">
        <f t="shared" si="154"/>
        <v>FASE II</v>
      </c>
      <c r="R604" s="155">
        <f t="shared" si="150"/>
        <v>112</v>
      </c>
      <c r="S604" s="156">
        <f t="shared" si="152"/>
        <v>162201</v>
      </c>
      <c r="T604" s="156">
        <f t="shared" si="153"/>
        <v>18166512</v>
      </c>
    </row>
    <row r="605" spans="1:20" s="9" customFormat="1" ht="35.1" customHeight="1" x14ac:dyDescent="0.25">
      <c r="A605" s="215"/>
      <c r="B605" s="240" t="s">
        <v>860</v>
      </c>
      <c r="C605" s="254" t="s">
        <v>861</v>
      </c>
      <c r="D605" s="240" t="s">
        <v>16</v>
      </c>
      <c r="E605" s="242">
        <v>4</v>
      </c>
      <c r="F605" s="242">
        <f t="shared" si="158"/>
        <v>2</v>
      </c>
      <c r="G605" s="242">
        <f t="shared" si="159"/>
        <v>6</v>
      </c>
      <c r="H605" s="243">
        <v>111454</v>
      </c>
      <c r="I605" s="243">
        <f t="shared" si="160"/>
        <v>668724</v>
      </c>
      <c r="J605" s="8"/>
      <c r="K605" s="8">
        <f t="shared" si="149"/>
        <v>113182</v>
      </c>
      <c r="L605" s="8">
        <f t="shared" si="151"/>
        <v>452728</v>
      </c>
      <c r="M605" s="9" t="str">
        <f t="array" ref="M605:P605">_xlfn.XLOOKUP(B605,'Neiva 2022 FASE I ACTUAL (5)'!$B$6:$B$540,'Neiva 2022 FASE I ACTUAL (5)'!$C$6:$F$540,"NO ESTA")</f>
        <v>SUMINISTRO E INSTALACION DIFUSORES SUMINISTRO DE 9" x 9" 4V (Tipo Descolgado) con Damper OB</v>
      </c>
      <c r="N605" s="9" t="str">
        <v>UND</v>
      </c>
      <c r="O605" s="9">
        <v>2</v>
      </c>
      <c r="P605" s="9">
        <v>106960</v>
      </c>
      <c r="Q605" s="124" t="str">
        <f t="shared" si="154"/>
        <v>FASE II</v>
      </c>
      <c r="R605" s="155">
        <f t="shared" si="150"/>
        <v>6</v>
      </c>
      <c r="S605" s="156">
        <f t="shared" si="152"/>
        <v>113182</v>
      </c>
      <c r="T605" s="156">
        <f t="shared" si="153"/>
        <v>679092</v>
      </c>
    </row>
    <row r="606" spans="1:20" s="9" customFormat="1" ht="35.1" customHeight="1" x14ac:dyDescent="0.25">
      <c r="A606" s="215"/>
      <c r="B606" s="240" t="s">
        <v>862</v>
      </c>
      <c r="C606" s="254" t="s">
        <v>863</v>
      </c>
      <c r="D606" s="240" t="s">
        <v>16</v>
      </c>
      <c r="E606" s="242">
        <v>4</v>
      </c>
      <c r="F606" s="242">
        <f t="shared" si="158"/>
        <v>1</v>
      </c>
      <c r="G606" s="242">
        <f t="shared" si="159"/>
        <v>5</v>
      </c>
      <c r="H606" s="243">
        <v>235393</v>
      </c>
      <c r="I606" s="243">
        <f t="shared" si="160"/>
        <v>1176965</v>
      </c>
      <c r="J606" s="8"/>
      <c r="K606" s="8">
        <f t="shared" si="149"/>
        <v>239042</v>
      </c>
      <c r="L606" s="8">
        <f t="shared" si="151"/>
        <v>956168</v>
      </c>
      <c r="M606" s="9" t="str">
        <f t="array" ref="M606:P606">_xlfn.XLOOKUP(B606,'Neiva 2022 FASE I ACTUAL (5)'!$B$6:$B$540,'Neiva 2022 FASE I ACTUAL (5)'!$C$6:$F$540,"NO ESTA")</f>
        <v>SUMINISTRO E INSTALACION REJILLAS SUMINISTRO DE 48" X 12" (TIPO DOBLE ALETA) con Damper incluye EXTRACTORES DE AIRE</v>
      </c>
      <c r="N606" s="9" t="str">
        <v>UND</v>
      </c>
      <c r="O606" s="9">
        <v>1</v>
      </c>
      <c r="P606" s="9">
        <v>225899</v>
      </c>
      <c r="Q606" s="124" t="str">
        <f t="shared" si="154"/>
        <v>FASE II</v>
      </c>
      <c r="R606" s="155">
        <f t="shared" si="150"/>
        <v>5</v>
      </c>
      <c r="S606" s="156">
        <f t="shared" si="152"/>
        <v>239042</v>
      </c>
      <c r="T606" s="156">
        <f t="shared" si="153"/>
        <v>1195210</v>
      </c>
    </row>
    <row r="607" spans="1:20" s="9" customFormat="1" ht="35.1" customHeight="1" x14ac:dyDescent="0.25">
      <c r="A607" s="215"/>
      <c r="B607" s="240" t="s">
        <v>864</v>
      </c>
      <c r="C607" s="87" t="s">
        <v>865</v>
      </c>
      <c r="D607" s="240" t="s">
        <v>16</v>
      </c>
      <c r="E607" s="242">
        <v>2</v>
      </c>
      <c r="F607" s="242">
        <f t="shared" si="158"/>
        <v>1</v>
      </c>
      <c r="G607" s="242">
        <f t="shared" si="159"/>
        <v>3</v>
      </c>
      <c r="H607" s="243">
        <v>59270</v>
      </c>
      <c r="I607" s="243">
        <f t="shared" si="160"/>
        <v>177810</v>
      </c>
      <c r="J607" s="8"/>
      <c r="K607" s="8">
        <f t="shared" si="149"/>
        <v>60189</v>
      </c>
      <c r="L607" s="8">
        <f t="shared" si="151"/>
        <v>120378</v>
      </c>
      <c r="M607" s="9" t="str">
        <f t="array" ref="M607:P607">_xlfn.XLOOKUP(B607,'Neiva 2022 FASE I ACTUAL (5)'!$B$6:$B$540,'Neiva 2022 FASE I ACTUAL (5)'!$C$6:$F$540,"NO ESTA")</f>
        <v>SUMINISTRO E INSTALACION REJILLAS DE ACCESO/ RETORNO A FC DE 18" x 8" 160 CFM</v>
      </c>
      <c r="N607" s="9" t="str">
        <v>UND</v>
      </c>
      <c r="O607" s="9">
        <v>1</v>
      </c>
      <c r="P607" s="9">
        <v>56880</v>
      </c>
      <c r="Q607" s="124" t="str">
        <f t="shared" si="154"/>
        <v>FASE II</v>
      </c>
      <c r="R607" s="155">
        <f t="shared" si="150"/>
        <v>3</v>
      </c>
      <c r="S607" s="156">
        <f t="shared" si="152"/>
        <v>60189</v>
      </c>
      <c r="T607" s="156">
        <f t="shared" si="153"/>
        <v>180567</v>
      </c>
    </row>
    <row r="608" spans="1:20" s="9" customFormat="1" ht="35.1" customHeight="1" x14ac:dyDescent="0.25">
      <c r="A608" s="215"/>
      <c r="B608" s="240" t="s">
        <v>866</v>
      </c>
      <c r="C608" s="254" t="s">
        <v>867</v>
      </c>
      <c r="D608" s="240" t="s">
        <v>16</v>
      </c>
      <c r="E608" s="242">
        <v>12</v>
      </c>
      <c r="F608" s="242">
        <f t="shared" si="158"/>
        <v>4</v>
      </c>
      <c r="G608" s="242">
        <f t="shared" si="159"/>
        <v>16</v>
      </c>
      <c r="H608" s="243">
        <v>222347</v>
      </c>
      <c r="I608" s="243">
        <f t="shared" si="160"/>
        <v>3557552</v>
      </c>
      <c r="J608" s="8"/>
      <c r="K608" s="8">
        <f t="shared" si="149"/>
        <v>225793</v>
      </c>
      <c r="L608" s="8">
        <f t="shared" si="151"/>
        <v>2709516</v>
      </c>
      <c r="M608" s="9" t="str">
        <f t="array" ref="M608:P608">_xlfn.XLOOKUP(B608,'Neiva 2022 FASE I ACTUAL (5)'!$B$6:$B$540,'Neiva 2022 FASE I ACTUAL (5)'!$C$6:$F$540,"NO ESTA")</f>
        <v>SUMINISTRO E INSTALACION REJILLAS DE ACCESO/ RETORNO A FC DE 40" x 8"   320 CFM</v>
      </c>
      <c r="N608" s="9" t="str">
        <v>UND</v>
      </c>
      <c r="O608" s="9">
        <v>4</v>
      </c>
      <c r="P608" s="9">
        <v>213380</v>
      </c>
      <c r="Q608" s="124" t="str">
        <f t="shared" si="154"/>
        <v>FASE II</v>
      </c>
      <c r="R608" s="155">
        <f t="shared" si="150"/>
        <v>16</v>
      </c>
      <c r="S608" s="156">
        <f t="shared" si="152"/>
        <v>225793</v>
      </c>
      <c r="T608" s="156">
        <f t="shared" si="153"/>
        <v>3612688</v>
      </c>
    </row>
    <row r="609" spans="1:20" s="9" customFormat="1" ht="35.1" customHeight="1" x14ac:dyDescent="0.25">
      <c r="A609" s="215"/>
      <c r="B609" s="240" t="s">
        <v>868</v>
      </c>
      <c r="C609" s="254" t="s">
        <v>869</v>
      </c>
      <c r="D609" s="240" t="s">
        <v>16</v>
      </c>
      <c r="E609" s="242">
        <v>8</v>
      </c>
      <c r="F609" s="242">
        <f t="shared" si="158"/>
        <v>3</v>
      </c>
      <c r="G609" s="242">
        <f t="shared" si="159"/>
        <v>11</v>
      </c>
      <c r="H609" s="243">
        <v>235393</v>
      </c>
      <c r="I609" s="243">
        <f t="shared" si="160"/>
        <v>2589323</v>
      </c>
      <c r="J609" s="8"/>
      <c r="K609" s="8">
        <f t="shared" si="149"/>
        <v>239042</v>
      </c>
      <c r="L609" s="8">
        <f t="shared" si="151"/>
        <v>1912336</v>
      </c>
      <c r="M609" s="9" t="str">
        <f t="array" ref="M609:P609">_xlfn.XLOOKUP(B609,'Neiva 2022 FASE I ACTUAL (5)'!$B$6:$B$540,'Neiva 2022 FASE I ACTUAL (5)'!$C$6:$F$540,"NO ESTA")</f>
        <v>SUMINISTRO E INSTALACION REJILLAS DE ACCESO/ RETORNO A FC DE 48" x 12" 400 CFM</v>
      </c>
      <c r="N609" s="9" t="str">
        <v>UND</v>
      </c>
      <c r="O609" s="9">
        <v>3</v>
      </c>
      <c r="P609" s="9">
        <v>225899</v>
      </c>
      <c r="Q609" s="124" t="str">
        <f t="shared" si="154"/>
        <v>FASE II</v>
      </c>
      <c r="R609" s="155">
        <f t="shared" si="150"/>
        <v>11</v>
      </c>
      <c r="S609" s="156">
        <f t="shared" si="152"/>
        <v>239042</v>
      </c>
      <c r="T609" s="156">
        <f t="shared" si="153"/>
        <v>2629462</v>
      </c>
    </row>
    <row r="610" spans="1:20" s="9" customFormat="1" ht="35.1" customHeight="1" x14ac:dyDescent="0.25">
      <c r="A610" s="215"/>
      <c r="B610" s="240" t="s">
        <v>870</v>
      </c>
      <c r="C610" s="87" t="s">
        <v>871</v>
      </c>
      <c r="D610" s="240" t="s">
        <v>16</v>
      </c>
      <c r="E610" s="242">
        <v>1</v>
      </c>
      <c r="F610" s="242">
        <f t="shared" si="158"/>
        <v>1</v>
      </c>
      <c r="G610" s="242">
        <f t="shared" si="159"/>
        <v>2</v>
      </c>
      <c r="H610" s="243">
        <v>506752</v>
      </c>
      <c r="I610" s="243">
        <f t="shared" si="160"/>
        <v>1013504</v>
      </c>
      <c r="J610" s="8"/>
      <c r="K610" s="8">
        <f t="shared" si="149"/>
        <v>514607</v>
      </c>
      <c r="L610" s="8">
        <f t="shared" si="151"/>
        <v>514607</v>
      </c>
      <c r="M610" s="9" t="str">
        <f t="array" ref="M610:P610">_xlfn.XLOOKUP(B610,'Neiva 2022 FASE I ACTUAL (5)'!$B$6:$B$540,'Neiva 2022 FASE I ACTUAL (5)'!$C$6:$F$540,"NO ESTA")</f>
        <v>SUMINISTRO E INSTALACION REJILLAS DE ACCESO/ RETORNO A FC DE 48" x 20" 2400 CFM</v>
      </c>
      <c r="N610" s="9" t="str">
        <v>UND</v>
      </c>
      <c r="O610" s="9">
        <v>1</v>
      </c>
      <c r="P610" s="9">
        <v>486315</v>
      </c>
      <c r="Q610" s="124" t="str">
        <f t="shared" si="154"/>
        <v>FASE II</v>
      </c>
      <c r="R610" s="155">
        <f t="shared" si="150"/>
        <v>2</v>
      </c>
      <c r="S610" s="156">
        <f t="shared" si="152"/>
        <v>514607</v>
      </c>
      <c r="T610" s="156">
        <f t="shared" si="153"/>
        <v>1029214</v>
      </c>
    </row>
    <row r="611" spans="1:20" s="9" customFormat="1" ht="35.1" customHeight="1" x14ac:dyDescent="0.25">
      <c r="A611" s="215"/>
      <c r="B611" s="240" t="s">
        <v>872</v>
      </c>
      <c r="C611" s="87" t="s">
        <v>873</v>
      </c>
      <c r="D611" s="240" t="s">
        <v>16</v>
      </c>
      <c r="E611" s="242">
        <v>3</v>
      </c>
      <c r="F611" s="242">
        <f t="shared" si="158"/>
        <v>1</v>
      </c>
      <c r="G611" s="242">
        <f t="shared" si="159"/>
        <v>4</v>
      </c>
      <c r="H611" s="243">
        <v>450654</v>
      </c>
      <c r="I611" s="243">
        <f t="shared" si="160"/>
        <v>1802616</v>
      </c>
      <c r="J611" s="8"/>
      <c r="K611" s="8">
        <f t="shared" si="149"/>
        <v>457639</v>
      </c>
      <c r="L611" s="8">
        <f t="shared" si="151"/>
        <v>1372917</v>
      </c>
      <c r="M611" s="9" t="str">
        <f t="array" ref="M611:P611">_xlfn.XLOOKUP(B611,'Neiva 2022 FASE I ACTUAL (5)'!$B$6:$B$540,'Neiva 2022 FASE I ACTUAL (5)'!$C$6:$F$540,"NO ESTA")</f>
        <v>SUMINISTRO E INSTALACION REJILLAS DE ACCESO/ RETORNO A FC DE 48" x 24" 3600 CFM</v>
      </c>
      <c r="N611" s="9" t="str">
        <v>UND</v>
      </c>
      <c r="O611" s="9">
        <v>1</v>
      </c>
      <c r="P611" s="9">
        <v>432480</v>
      </c>
      <c r="Q611" s="124" t="str">
        <f t="shared" si="154"/>
        <v>FASE II</v>
      </c>
      <c r="R611" s="155">
        <f t="shared" si="150"/>
        <v>4</v>
      </c>
      <c r="S611" s="156">
        <f t="shared" si="152"/>
        <v>457639</v>
      </c>
      <c r="T611" s="156">
        <f t="shared" si="153"/>
        <v>1830556</v>
      </c>
    </row>
    <row r="612" spans="1:20" s="9" customFormat="1" ht="35.1" customHeight="1" x14ac:dyDescent="0.25">
      <c r="A612" s="215"/>
      <c r="B612" s="240" t="s">
        <v>874</v>
      </c>
      <c r="C612" s="254" t="s">
        <v>875</v>
      </c>
      <c r="D612" s="240" t="s">
        <v>16</v>
      </c>
      <c r="E612" s="242">
        <v>0</v>
      </c>
      <c r="F612" s="242">
        <f t="shared" si="158"/>
        <v>1</v>
      </c>
      <c r="G612" s="242">
        <f t="shared" si="159"/>
        <v>1</v>
      </c>
      <c r="H612" s="243">
        <v>24045</v>
      </c>
      <c r="I612" s="243">
        <f t="shared" si="160"/>
        <v>24045</v>
      </c>
      <c r="J612" s="8"/>
      <c r="K612" s="8">
        <f t="shared" si="149"/>
        <v>24418</v>
      </c>
      <c r="L612" s="8">
        <f t="shared" si="151"/>
        <v>0</v>
      </c>
      <c r="M612" s="9" t="str">
        <f t="array" ref="M612:P612">_xlfn.XLOOKUP(B612,'Neiva 2022 FASE I ACTUAL (5)'!$B$6:$B$540,'Neiva 2022 FASE I ACTUAL (5)'!$C$6:$F$540,"NO ESTA")</f>
        <v>SUMINISTRO E INSTALACION REJILLAS DE TOMA AIRE EXTERNO TAE 6" x 6"</v>
      </c>
      <c r="N612" s="9" t="str">
        <v>UND</v>
      </c>
      <c r="O612" s="9">
        <v>1</v>
      </c>
      <c r="P612" s="9">
        <v>23075</v>
      </c>
      <c r="Q612" s="124" t="str">
        <f t="shared" si="154"/>
        <v>FASE II</v>
      </c>
      <c r="R612" s="155">
        <f t="shared" si="150"/>
        <v>1</v>
      </c>
      <c r="S612" s="156">
        <f t="shared" si="152"/>
        <v>24418</v>
      </c>
      <c r="T612" s="156">
        <f t="shared" si="153"/>
        <v>24418</v>
      </c>
    </row>
    <row r="613" spans="1:20" s="9" customFormat="1" ht="35.1" customHeight="1" x14ac:dyDescent="0.25">
      <c r="A613" s="215"/>
      <c r="B613" s="240" t="s">
        <v>876</v>
      </c>
      <c r="C613" s="254" t="s">
        <v>877</v>
      </c>
      <c r="D613" s="240" t="s">
        <v>16</v>
      </c>
      <c r="E613" s="242">
        <v>0</v>
      </c>
      <c r="F613" s="242">
        <f t="shared" si="158"/>
        <v>1</v>
      </c>
      <c r="G613" s="242">
        <f t="shared" si="159"/>
        <v>1</v>
      </c>
      <c r="H613" s="243">
        <v>33177</v>
      </c>
      <c r="I613" s="243">
        <f t="shared" si="160"/>
        <v>33177</v>
      </c>
      <c r="J613" s="8"/>
      <c r="K613" s="8">
        <f t="shared" si="149"/>
        <v>33691</v>
      </c>
      <c r="L613" s="8">
        <f t="shared" si="151"/>
        <v>0</v>
      </c>
      <c r="M613" s="9" t="str">
        <f t="array" ref="M613:P613">_xlfn.XLOOKUP(B613,'Neiva 2022 FASE I ACTUAL (5)'!$B$6:$B$540,'Neiva 2022 FASE I ACTUAL (5)'!$C$6:$F$540,"NO ESTA")</f>
        <v>SUMINISTRO E INSTALACION REJILLAS DE TOMA AIRE EXTERNO TAE 10" x 8"</v>
      </c>
      <c r="N613" s="9" t="str">
        <v>UND</v>
      </c>
      <c r="O613" s="9">
        <v>1</v>
      </c>
      <c r="P613" s="9">
        <v>31839</v>
      </c>
      <c r="Q613" s="124" t="str">
        <f t="shared" si="154"/>
        <v>FASE II</v>
      </c>
      <c r="R613" s="155">
        <f t="shared" si="150"/>
        <v>1</v>
      </c>
      <c r="S613" s="156">
        <f t="shared" si="152"/>
        <v>33691</v>
      </c>
      <c r="T613" s="156">
        <f t="shared" si="153"/>
        <v>33691</v>
      </c>
    </row>
    <row r="614" spans="1:20" s="9" customFormat="1" ht="35.1" customHeight="1" x14ac:dyDescent="0.25">
      <c r="A614" s="215"/>
      <c r="B614" s="240" t="s">
        <v>878</v>
      </c>
      <c r="C614" s="254" t="s">
        <v>879</v>
      </c>
      <c r="D614" s="240" t="s">
        <v>16</v>
      </c>
      <c r="E614" s="242">
        <v>16</v>
      </c>
      <c r="F614" s="242">
        <f t="shared" si="158"/>
        <v>6</v>
      </c>
      <c r="G614" s="242">
        <f t="shared" si="159"/>
        <v>22</v>
      </c>
      <c r="H614" s="243">
        <v>46224</v>
      </c>
      <c r="I614" s="243">
        <f t="shared" si="160"/>
        <v>1016928</v>
      </c>
      <c r="J614" s="8"/>
      <c r="K614" s="8">
        <f t="shared" si="149"/>
        <v>46940</v>
      </c>
      <c r="L614" s="8">
        <f t="shared" si="151"/>
        <v>751040</v>
      </c>
      <c r="M614" s="9" t="str">
        <f t="array" ref="M614:P614">_xlfn.XLOOKUP(B614,'Neiva 2022 FASE I ACTUAL (5)'!$B$6:$B$540,'Neiva 2022 FASE I ACTUAL (5)'!$C$6:$F$540,"NO ESTA")</f>
        <v>SUMINISTRO E INSTALACION REJILLAS DE TOMA AIRE EXTERNO TAE 12" x 8"</v>
      </c>
      <c r="N614" s="9" t="str">
        <v>UND</v>
      </c>
      <c r="O614" s="9">
        <v>6</v>
      </c>
      <c r="P614" s="9">
        <v>44360</v>
      </c>
      <c r="Q614" s="124" t="str">
        <f t="shared" si="154"/>
        <v>FASE II</v>
      </c>
      <c r="R614" s="155">
        <f t="shared" si="150"/>
        <v>22</v>
      </c>
      <c r="S614" s="156">
        <f t="shared" si="152"/>
        <v>46940</v>
      </c>
      <c r="T614" s="156">
        <f t="shared" si="153"/>
        <v>1032680</v>
      </c>
    </row>
    <row r="615" spans="1:20" s="9" customFormat="1" ht="35.1" customHeight="1" x14ac:dyDescent="0.25">
      <c r="A615" s="215"/>
      <c r="B615" s="240" t="s">
        <v>880</v>
      </c>
      <c r="C615" s="254" t="s">
        <v>881</v>
      </c>
      <c r="D615" s="240" t="s">
        <v>16</v>
      </c>
      <c r="E615" s="242">
        <v>2</v>
      </c>
      <c r="F615" s="242">
        <f t="shared" si="158"/>
        <v>1</v>
      </c>
      <c r="G615" s="242">
        <f t="shared" si="159"/>
        <v>3</v>
      </c>
      <c r="H615" s="243">
        <v>59270</v>
      </c>
      <c r="I615" s="243">
        <f t="shared" si="160"/>
        <v>177810</v>
      </c>
      <c r="J615" s="8"/>
      <c r="K615" s="8">
        <f t="shared" si="149"/>
        <v>60189</v>
      </c>
      <c r="L615" s="8">
        <f t="shared" si="151"/>
        <v>120378</v>
      </c>
      <c r="M615" s="9" t="str">
        <f t="array" ref="M615:P615">_xlfn.XLOOKUP(B615,'Neiva 2022 FASE I ACTUAL (5)'!$B$6:$B$540,'Neiva 2022 FASE I ACTUAL (5)'!$C$6:$F$540,"NO ESTA")</f>
        <v>SUMINISTRO E INSTALACION REJILLAS DE TOMA AIRE EXTERNO TAE 18" x 8"</v>
      </c>
      <c r="N615" s="9" t="str">
        <v>UND</v>
      </c>
      <c r="O615" s="9">
        <v>1</v>
      </c>
      <c r="P615" s="9">
        <v>56880</v>
      </c>
      <c r="Q615" s="124" t="str">
        <f t="shared" si="154"/>
        <v>FASE II</v>
      </c>
      <c r="R615" s="155">
        <f t="shared" si="150"/>
        <v>3</v>
      </c>
      <c r="S615" s="156">
        <f t="shared" si="152"/>
        <v>60189</v>
      </c>
      <c r="T615" s="156">
        <f t="shared" si="153"/>
        <v>180567</v>
      </c>
    </row>
    <row r="616" spans="1:20" s="9" customFormat="1" ht="35.1" customHeight="1" x14ac:dyDescent="0.25">
      <c r="A616" s="215"/>
      <c r="B616" s="240" t="s">
        <v>882</v>
      </c>
      <c r="C616" s="254" t="s">
        <v>1333</v>
      </c>
      <c r="D616" s="240" t="s">
        <v>16</v>
      </c>
      <c r="E616" s="242">
        <v>0</v>
      </c>
      <c r="F616" s="242">
        <f t="shared" si="158"/>
        <v>1</v>
      </c>
      <c r="G616" s="242">
        <f t="shared" si="159"/>
        <v>1</v>
      </c>
      <c r="H616" s="243">
        <v>587638</v>
      </c>
      <c r="I616" s="243">
        <f t="shared" si="160"/>
        <v>587638</v>
      </c>
      <c r="J616" s="8"/>
      <c r="K616" s="8">
        <f t="shared" si="149"/>
        <v>596746</v>
      </c>
      <c r="L616" s="8">
        <f t="shared" si="151"/>
        <v>0</v>
      </c>
      <c r="M616" s="9" t="str">
        <f t="array" ref="M616:P616">_xlfn.XLOOKUP(B616,'Neiva 2022 FASE I ACTUAL (5)'!$B$6:$B$540,'Neiva 2022 FASE I ACTUAL (5)'!$C$6:$F$540,"NO ESTA")</f>
        <v>SUMINISTRO E INSTALACION REJILLA DE TOMA AIRE EXTERNO TAE 30" x 12" CN DAMPER MOTORIZADO</v>
      </c>
      <c r="N616" s="9" t="str">
        <v>UND</v>
      </c>
      <c r="O616" s="9">
        <v>1</v>
      </c>
      <c r="P616" s="9">
        <v>563939</v>
      </c>
      <c r="Q616" s="124" t="str">
        <f t="shared" si="154"/>
        <v>FASE II</v>
      </c>
      <c r="R616" s="155">
        <f t="shared" si="150"/>
        <v>1</v>
      </c>
      <c r="S616" s="156">
        <f t="shared" si="152"/>
        <v>596746</v>
      </c>
      <c r="T616" s="156">
        <f t="shared" si="153"/>
        <v>596746</v>
      </c>
    </row>
    <row r="617" spans="1:20" s="9" customFormat="1" ht="35.1" customHeight="1" x14ac:dyDescent="0.25">
      <c r="A617" s="215"/>
      <c r="B617" s="240" t="s">
        <v>884</v>
      </c>
      <c r="C617" s="254" t="s">
        <v>1334</v>
      </c>
      <c r="D617" s="240" t="s">
        <v>16</v>
      </c>
      <c r="E617" s="242">
        <v>0</v>
      </c>
      <c r="F617" s="242">
        <f t="shared" si="158"/>
        <v>1</v>
      </c>
      <c r="G617" s="242">
        <f t="shared" si="159"/>
        <v>1</v>
      </c>
      <c r="H617" s="243">
        <v>678399</v>
      </c>
      <c r="I617" s="243">
        <f t="shared" si="160"/>
        <v>678399</v>
      </c>
      <c r="J617" s="8"/>
      <c r="K617" s="8">
        <f t="shared" si="149"/>
        <v>688914</v>
      </c>
      <c r="L617" s="8">
        <f t="shared" si="151"/>
        <v>0</v>
      </c>
      <c r="M617" s="9" t="str">
        <f t="array" ref="M617:P617">_xlfn.XLOOKUP(B617,'Neiva 2022 FASE I ACTUAL (5)'!$B$6:$B$540,'Neiva 2022 FASE I ACTUAL (5)'!$C$6:$F$540,"NO ESTA")</f>
        <v>SUMINISTRO E INSTALACION REJILLA DE TOMA AIRE EXTERNO TAE 30" x 18" CN DAMPER MOTORIZADO</v>
      </c>
      <c r="N617" s="9" t="str">
        <v>UND</v>
      </c>
      <c r="O617" s="9">
        <v>1</v>
      </c>
      <c r="P617" s="9">
        <v>651039</v>
      </c>
      <c r="Q617" s="124" t="str">
        <f t="shared" si="154"/>
        <v>FASE II</v>
      </c>
      <c r="R617" s="155">
        <f t="shared" si="150"/>
        <v>1</v>
      </c>
      <c r="S617" s="156">
        <f t="shared" si="152"/>
        <v>688914</v>
      </c>
      <c r="T617" s="156">
        <f t="shared" si="153"/>
        <v>688914</v>
      </c>
    </row>
    <row r="618" spans="1:20" s="9" customFormat="1" ht="35.1" customHeight="1" x14ac:dyDescent="0.25">
      <c r="A618" s="215"/>
      <c r="B618" s="244" t="s">
        <v>886</v>
      </c>
      <c r="C618" s="256" t="s">
        <v>887</v>
      </c>
      <c r="D618" s="256"/>
      <c r="E618" s="246"/>
      <c r="F618" s="246"/>
      <c r="G618" s="246"/>
      <c r="H618" s="303"/>
      <c r="I618" s="246"/>
      <c r="J618" s="8"/>
      <c r="K618" s="8">
        <f t="shared" si="149"/>
        <v>0</v>
      </c>
      <c r="L618" s="8">
        <f t="shared" si="151"/>
        <v>0</v>
      </c>
      <c r="M618" s="9" t="str">
        <f t="array" ref="M618:P618">_xlfn.XLOOKUP(B618,'Neiva 2022 FASE I ACTUAL (5)'!$B$6:$B$540,'Neiva 2022 FASE I ACTUAL (5)'!$C$6:$F$540,"NO ESTA")</f>
        <v>SUMINSITRO, MONTAJE E INSTALACIÓN DE VENTILACIÓN MECANICA</v>
      </c>
      <c r="N618" s="9">
        <v>0</v>
      </c>
      <c r="O618" s="9">
        <v>0</v>
      </c>
      <c r="P618" s="9">
        <v>0</v>
      </c>
      <c r="Q618" s="124">
        <f t="shared" si="154"/>
        <v>0</v>
      </c>
      <c r="R618" s="155">
        <f t="shared" si="150"/>
        <v>0</v>
      </c>
      <c r="S618" s="156">
        <f t="shared" si="152"/>
        <v>0</v>
      </c>
      <c r="T618" s="156">
        <f t="shared" si="153"/>
        <v>0</v>
      </c>
    </row>
    <row r="619" spans="1:20" s="9" customFormat="1" ht="35.1" customHeight="1" x14ac:dyDescent="0.25">
      <c r="A619" s="215"/>
      <c r="B619" s="255" t="s">
        <v>1335</v>
      </c>
      <c r="C619" s="254" t="s">
        <v>1336</v>
      </c>
      <c r="D619" s="240" t="s">
        <v>16</v>
      </c>
      <c r="E619" s="242">
        <v>1</v>
      </c>
      <c r="F619" s="242">
        <f>+O619</f>
        <v>0</v>
      </c>
      <c r="G619" s="242">
        <f>+F619+E619</f>
        <v>1</v>
      </c>
      <c r="H619" s="243">
        <v>11416008</v>
      </c>
      <c r="I619" s="243">
        <f>ROUND(+H619*G619,2)</f>
        <v>11416008</v>
      </c>
      <c r="J619" s="8"/>
      <c r="K619" s="8">
        <f t="shared" si="149"/>
        <v>11592956</v>
      </c>
      <c r="L619" s="8">
        <f t="shared" si="151"/>
        <v>11592956</v>
      </c>
      <c r="M619" s="9" t="str">
        <f t="array" ref="M619">_xlfn.XLOOKUP(B619,'Neiva 2022 FASE I ACTUAL (5)'!$B$6:$B$540,'Neiva 2022 FASE I ACTUAL (5)'!$C$6:$F$540,"NO ESTA")</f>
        <v>NO ESTA</v>
      </c>
      <c r="Q619" s="124">
        <f t="shared" si="154"/>
        <v>0</v>
      </c>
      <c r="R619" s="155">
        <f t="shared" si="150"/>
        <v>1</v>
      </c>
      <c r="S619" s="156">
        <f t="shared" si="152"/>
        <v>11592956</v>
      </c>
      <c r="T619" s="156">
        <f t="shared" si="153"/>
        <v>11592956</v>
      </c>
    </row>
    <row r="620" spans="1:20" s="9" customFormat="1" ht="35.1" customHeight="1" x14ac:dyDescent="0.25">
      <c r="A620" s="215"/>
      <c r="B620" s="255" t="s">
        <v>1337</v>
      </c>
      <c r="C620" s="254" t="s">
        <v>1338</v>
      </c>
      <c r="D620" s="240" t="s">
        <v>16</v>
      </c>
      <c r="E620" s="242">
        <v>1</v>
      </c>
      <c r="F620" s="242">
        <f>+O620</f>
        <v>0</v>
      </c>
      <c r="G620" s="242">
        <f>+F620+E620</f>
        <v>1</v>
      </c>
      <c r="H620" s="243">
        <v>9850473</v>
      </c>
      <c r="I620" s="243">
        <f>ROUND(+H620*G620,2)</f>
        <v>9850473</v>
      </c>
      <c r="J620" s="8"/>
      <c r="K620" s="8">
        <f t="shared" si="149"/>
        <v>10003155</v>
      </c>
      <c r="L620" s="8">
        <f t="shared" si="151"/>
        <v>10003155</v>
      </c>
      <c r="M620" s="9" t="str">
        <f t="array" ref="M620">_xlfn.XLOOKUP(B620,'Neiva 2022 FASE I ACTUAL (5)'!$B$6:$B$540,'Neiva 2022 FASE I ACTUAL (5)'!$C$6:$F$540,"NO ESTA")</f>
        <v>NO ESTA</v>
      </c>
      <c r="Q620" s="124">
        <f t="shared" si="154"/>
        <v>0</v>
      </c>
      <c r="R620" s="155">
        <f t="shared" si="150"/>
        <v>1</v>
      </c>
      <c r="S620" s="156">
        <f t="shared" si="152"/>
        <v>10003155</v>
      </c>
      <c r="T620" s="156">
        <f t="shared" si="153"/>
        <v>10003155</v>
      </c>
    </row>
    <row r="621" spans="1:20" s="9" customFormat="1" ht="35.1" customHeight="1" x14ac:dyDescent="0.25">
      <c r="A621" s="215"/>
      <c r="B621" s="255" t="s">
        <v>888</v>
      </c>
      <c r="C621" s="254" t="s">
        <v>851</v>
      </c>
      <c r="D621" s="295" t="s">
        <v>13</v>
      </c>
      <c r="E621" s="242">
        <v>88</v>
      </c>
      <c r="F621" s="242">
        <f>+O621</f>
        <v>32</v>
      </c>
      <c r="G621" s="242">
        <f>+F621+E621</f>
        <v>120</v>
      </c>
      <c r="H621" s="243">
        <v>91410</v>
      </c>
      <c r="I621" s="243">
        <f>ROUND(+H621*G621,2)</f>
        <v>10969200</v>
      </c>
      <c r="J621" s="8"/>
      <c r="K621" s="8">
        <f t="shared" si="149"/>
        <v>92827</v>
      </c>
      <c r="L621" s="8">
        <f t="shared" si="151"/>
        <v>8168776</v>
      </c>
      <c r="M621" s="9" t="str">
        <f t="array" ref="M621:P621">_xlfn.XLOOKUP(B621,'Neiva 2022 FASE I ACTUAL (5)'!$B$6:$B$540,'Neiva 2022 FASE I ACTUAL (5)'!$C$6:$F$540,"NO ESTA")</f>
        <v>SUMINISTRO E INSTALACION DUCTOS EN LAMINA GALVANIZADA CAL. 20 Wrap UMAS</v>
      </c>
      <c r="N621" s="9" t="str">
        <v>M2</v>
      </c>
      <c r="O621" s="9">
        <v>32</v>
      </c>
      <c r="P621" s="9">
        <v>87724</v>
      </c>
      <c r="Q621" s="124" t="str">
        <f t="shared" si="154"/>
        <v>FASE II</v>
      </c>
      <c r="R621" s="155">
        <f t="shared" si="150"/>
        <v>120</v>
      </c>
      <c r="S621" s="156">
        <f t="shared" si="152"/>
        <v>92827</v>
      </c>
      <c r="T621" s="156">
        <f t="shared" si="153"/>
        <v>11139240</v>
      </c>
    </row>
    <row r="622" spans="1:20" s="9" customFormat="1" ht="35.1" customHeight="1" x14ac:dyDescent="0.25">
      <c r="A622" s="215"/>
      <c r="B622" s="255" t="s">
        <v>889</v>
      </c>
      <c r="C622" s="254" t="s">
        <v>890</v>
      </c>
      <c r="D622" s="295" t="s">
        <v>13</v>
      </c>
      <c r="E622" s="242">
        <v>191</v>
      </c>
      <c r="F622" s="242">
        <f>+O622</f>
        <v>71</v>
      </c>
      <c r="G622" s="242">
        <f>+F622+E622</f>
        <v>262</v>
      </c>
      <c r="H622" s="243">
        <v>84888</v>
      </c>
      <c r="I622" s="243">
        <f>ROUND(+H622*G622,2)</f>
        <v>22240656</v>
      </c>
      <c r="J622" s="8"/>
      <c r="K622" s="8">
        <f t="shared" si="149"/>
        <v>86204</v>
      </c>
      <c r="L622" s="8">
        <f t="shared" si="151"/>
        <v>16464964</v>
      </c>
      <c r="M622" s="9" t="str">
        <f t="array" ref="M622:P622">_xlfn.XLOOKUP(B622,'Neiva 2022 FASE I ACTUAL (5)'!$B$6:$B$540,'Neiva 2022 FASE I ACTUAL (5)'!$C$6:$F$540,"NO ESTA")</f>
        <v>SUMINISTRO E INSTALACION DUCTOS EN LAMINA GALVANIZADA CAL. 22 Wrap UMAS</v>
      </c>
      <c r="N622" s="9" t="str">
        <v>M2</v>
      </c>
      <c r="O622" s="9">
        <v>71</v>
      </c>
      <c r="P622" s="9">
        <v>81464</v>
      </c>
      <c r="Q622" s="124" t="str">
        <f t="shared" si="154"/>
        <v>FASE II</v>
      </c>
      <c r="R622" s="155">
        <f t="shared" si="150"/>
        <v>262</v>
      </c>
      <c r="S622" s="156">
        <f t="shared" si="152"/>
        <v>86204</v>
      </c>
      <c r="T622" s="156">
        <f t="shared" si="153"/>
        <v>22585448</v>
      </c>
    </row>
    <row r="623" spans="1:20" s="9" customFormat="1" ht="35.1" customHeight="1" x14ac:dyDescent="0.25">
      <c r="A623" s="215"/>
      <c r="B623" s="255" t="s">
        <v>891</v>
      </c>
      <c r="C623" s="254" t="s">
        <v>892</v>
      </c>
      <c r="D623" s="240" t="s">
        <v>16</v>
      </c>
      <c r="E623" s="242">
        <v>2</v>
      </c>
      <c r="F623" s="242">
        <f>+O623</f>
        <v>1</v>
      </c>
      <c r="G623" s="242">
        <f>+F623+E623</f>
        <v>3</v>
      </c>
      <c r="H623" s="243">
        <v>506169</v>
      </c>
      <c r="I623" s="243">
        <f>ROUND(+H623*G623,2)</f>
        <v>1518507</v>
      </c>
      <c r="J623" s="8"/>
      <c r="K623" s="8">
        <f t="shared" si="149"/>
        <v>514015</v>
      </c>
      <c r="L623" s="8">
        <f t="shared" si="151"/>
        <v>1028030</v>
      </c>
      <c r="M623" s="9" t="str">
        <f t="array" ref="M623:P623">_xlfn.XLOOKUP(B623,'Neiva 2022 FASE I ACTUAL (5)'!$B$6:$B$540,'Neiva 2022 FASE I ACTUAL (5)'!$C$6:$F$540,"NO ESTA")</f>
        <v>SUMINISTRO E INSTALACION BANCO DE FILTROS</v>
      </c>
      <c r="N623" s="9" t="str">
        <v>UND</v>
      </c>
      <c r="O623" s="9">
        <v>1</v>
      </c>
      <c r="P623" s="9">
        <v>485756</v>
      </c>
      <c r="Q623" s="124" t="str">
        <f t="shared" si="154"/>
        <v>FASE II</v>
      </c>
      <c r="R623" s="155">
        <f t="shared" si="150"/>
        <v>3</v>
      </c>
      <c r="S623" s="156">
        <f t="shared" si="152"/>
        <v>514015</v>
      </c>
      <c r="T623" s="156">
        <f t="shared" si="153"/>
        <v>1542045</v>
      </c>
    </row>
    <row r="624" spans="1:20" s="9" customFormat="1" ht="35.1" customHeight="1" x14ac:dyDescent="0.25">
      <c r="A624" s="215"/>
      <c r="B624" s="244" t="s">
        <v>893</v>
      </c>
      <c r="C624" s="256" t="s">
        <v>894</v>
      </c>
      <c r="D624" s="256"/>
      <c r="E624" s="246"/>
      <c r="F624" s="246"/>
      <c r="G624" s="246"/>
      <c r="H624" s="303"/>
      <c r="I624" s="246"/>
      <c r="J624" s="8"/>
      <c r="K624" s="8">
        <f t="shared" si="149"/>
        <v>0</v>
      </c>
      <c r="L624" s="8">
        <f t="shared" si="151"/>
        <v>0</v>
      </c>
      <c r="M624" s="9" t="str">
        <f t="array" ref="M624:P624">_xlfn.XLOOKUP(B624,'Neiva 2022 FASE I ACTUAL (5)'!$B$6:$B$540,'Neiva 2022 FASE I ACTUAL (5)'!$C$6:$F$540,"NO ESTA")</f>
        <v>SUMNISTRO, INSTALACION Y MONTAJE CONTROL</v>
      </c>
      <c r="N624" s="9">
        <v>0</v>
      </c>
      <c r="O624" s="9">
        <v>0</v>
      </c>
      <c r="P624" s="9">
        <v>0</v>
      </c>
      <c r="Q624" s="124">
        <f t="shared" si="154"/>
        <v>0</v>
      </c>
      <c r="R624" s="155">
        <f t="shared" si="150"/>
        <v>0</v>
      </c>
      <c r="S624" s="156">
        <f t="shared" si="152"/>
        <v>0</v>
      </c>
      <c r="T624" s="156">
        <f t="shared" si="153"/>
        <v>0</v>
      </c>
    </row>
    <row r="625" spans="1:20" s="9" customFormat="1" ht="35.1" customHeight="1" x14ac:dyDescent="0.25">
      <c r="A625" s="215"/>
      <c r="B625" s="240" t="s">
        <v>1339</v>
      </c>
      <c r="C625" s="254" t="s">
        <v>1340</v>
      </c>
      <c r="D625" s="240" t="s">
        <v>16</v>
      </c>
      <c r="E625" s="242">
        <v>2</v>
      </c>
      <c r="F625" s="242">
        <f t="shared" ref="F625:F635" si="161">+O625</f>
        <v>0</v>
      </c>
      <c r="G625" s="242">
        <f t="shared" ref="G625:G635" si="162">+F625+E625</f>
        <v>2</v>
      </c>
      <c r="H625" s="243">
        <v>11784773</v>
      </c>
      <c r="I625" s="243">
        <f t="shared" ref="I625:I635" si="163">ROUND(+H625*G625,2)</f>
        <v>23569546</v>
      </c>
      <c r="J625" s="8"/>
      <c r="K625" s="8">
        <f t="shared" ref="K625:K688" si="164">+ROUND(H625*(1+$K$4),0)</f>
        <v>11967437</v>
      </c>
      <c r="L625" s="8">
        <f t="shared" si="151"/>
        <v>23934874</v>
      </c>
      <c r="M625" s="9" t="str">
        <f t="array" ref="M625">_xlfn.XLOOKUP(B625,'Neiva 2022 FASE I ACTUAL (5)'!$B$6:$B$540,'Neiva 2022 FASE I ACTUAL (5)'!$C$6:$F$540,"NO ESTA")</f>
        <v>NO ESTA</v>
      </c>
      <c r="Q625" s="124">
        <f t="shared" si="154"/>
        <v>0</v>
      </c>
      <c r="R625" s="155">
        <f t="shared" si="150"/>
        <v>2</v>
      </c>
      <c r="S625" s="156">
        <f t="shared" si="152"/>
        <v>11967437</v>
      </c>
      <c r="T625" s="156">
        <f t="shared" si="153"/>
        <v>23934874</v>
      </c>
    </row>
    <row r="626" spans="1:20" s="9" customFormat="1" ht="35.1" customHeight="1" x14ac:dyDescent="0.25">
      <c r="A626" s="215"/>
      <c r="B626" s="240" t="s">
        <v>895</v>
      </c>
      <c r="C626" s="254" t="s">
        <v>896</v>
      </c>
      <c r="D626" s="240" t="s">
        <v>16</v>
      </c>
      <c r="E626" s="242">
        <v>1</v>
      </c>
      <c r="F626" s="242">
        <f t="shared" si="161"/>
        <v>1</v>
      </c>
      <c r="G626" s="242">
        <f t="shared" si="162"/>
        <v>2</v>
      </c>
      <c r="H626" s="243">
        <v>2009001</v>
      </c>
      <c r="I626" s="243">
        <f t="shared" si="163"/>
        <v>4018002</v>
      </c>
      <c r="J626" s="8"/>
      <c r="K626" s="8">
        <f t="shared" si="164"/>
        <v>2040141</v>
      </c>
      <c r="L626" s="8">
        <f t="shared" si="151"/>
        <v>2040141</v>
      </c>
      <c r="M626" s="9" t="str">
        <f t="array" ref="M626:P626">_xlfn.XLOOKUP(B626,'Neiva 2022 FASE I ACTUAL (5)'!$B$6:$B$540,'Neiva 2022 FASE I ACTUAL (5)'!$C$6:$F$540,"NO ESTA")</f>
        <v>SUMINISTRO E INSTALACION VALVULA BYPASS 2"</v>
      </c>
      <c r="N626" s="9" t="str">
        <v>UND</v>
      </c>
      <c r="O626" s="9">
        <v>1</v>
      </c>
      <c r="P626" s="9">
        <v>1927980</v>
      </c>
      <c r="Q626" s="124" t="str">
        <f t="shared" si="154"/>
        <v>FASE II</v>
      </c>
      <c r="R626" s="155">
        <f t="shared" si="150"/>
        <v>2</v>
      </c>
      <c r="S626" s="156">
        <f t="shared" si="152"/>
        <v>2040141</v>
      </c>
      <c r="T626" s="156">
        <f t="shared" si="153"/>
        <v>4080282</v>
      </c>
    </row>
    <row r="627" spans="1:20" s="9" customFormat="1" ht="35.1" customHeight="1" x14ac:dyDescent="0.25">
      <c r="A627" s="215"/>
      <c r="B627" s="240" t="s">
        <v>897</v>
      </c>
      <c r="C627" s="254" t="s">
        <v>898</v>
      </c>
      <c r="D627" s="240" t="s">
        <v>16</v>
      </c>
      <c r="E627" s="242">
        <v>2</v>
      </c>
      <c r="F627" s="242">
        <f t="shared" si="161"/>
        <v>2</v>
      </c>
      <c r="G627" s="242">
        <f t="shared" si="162"/>
        <v>4</v>
      </c>
      <c r="H627" s="243">
        <v>1226284</v>
      </c>
      <c r="I627" s="243">
        <f t="shared" si="163"/>
        <v>4905136</v>
      </c>
      <c r="J627" s="8"/>
      <c r="K627" s="8">
        <f t="shared" si="164"/>
        <v>1245291</v>
      </c>
      <c r="L627" s="8">
        <f t="shared" si="151"/>
        <v>2490582</v>
      </c>
      <c r="M627" s="9" t="str">
        <f t="array" ref="M627:P627">_xlfn.XLOOKUP(B627,'Neiva 2022 FASE I ACTUAL (5)'!$B$6:$B$540,'Neiva 2022 FASE I ACTUAL (5)'!$C$6:$F$540,"NO ESTA")</f>
        <v>SUMINISTRO E INSTALACION SENSOR DIFERENCIAL DE PRESIÓN SISTEMA AGUA FRIA</v>
      </c>
      <c r="N627" s="9" t="str">
        <v>UND</v>
      </c>
      <c r="O627" s="9">
        <v>2</v>
      </c>
      <c r="P627" s="9">
        <v>1176830</v>
      </c>
      <c r="Q627" s="124" t="str">
        <f t="shared" si="154"/>
        <v>FASE II</v>
      </c>
      <c r="R627" s="155">
        <f t="shared" si="150"/>
        <v>4</v>
      </c>
      <c r="S627" s="156">
        <f t="shared" si="152"/>
        <v>1245291</v>
      </c>
      <c r="T627" s="156">
        <f t="shared" si="153"/>
        <v>4981164</v>
      </c>
    </row>
    <row r="628" spans="1:20" s="9" customFormat="1" ht="35.1" customHeight="1" x14ac:dyDescent="0.25">
      <c r="A628" s="215"/>
      <c r="B628" s="240" t="s">
        <v>899</v>
      </c>
      <c r="C628" s="254" t="s">
        <v>900</v>
      </c>
      <c r="D628" s="240" t="s">
        <v>16</v>
      </c>
      <c r="E628" s="242">
        <v>1</v>
      </c>
      <c r="F628" s="242">
        <f t="shared" si="161"/>
        <v>1</v>
      </c>
      <c r="G628" s="242">
        <f t="shared" si="162"/>
        <v>2</v>
      </c>
      <c r="H628" s="243">
        <v>881213</v>
      </c>
      <c r="I628" s="243">
        <f t="shared" si="163"/>
        <v>1762426</v>
      </c>
      <c r="J628" s="8"/>
      <c r="K628" s="8">
        <f t="shared" si="164"/>
        <v>894872</v>
      </c>
      <c r="L628" s="8">
        <f t="shared" si="151"/>
        <v>894872</v>
      </c>
      <c r="M628" s="9" t="str">
        <f t="array" ref="M628:P628">_xlfn.XLOOKUP(B628,'Neiva 2022 FASE I ACTUAL (5)'!$B$6:$B$540,'Neiva 2022 FASE I ACTUAL (5)'!$C$6:$F$540,"NO ESTA")</f>
        <v>SUMINISTRO E INSTALACION SENSOR DIFERENCIAL DE PRESIÓN SISTEMA AIRE UMAS</v>
      </c>
      <c r="N628" s="9" t="str">
        <v>UND</v>
      </c>
      <c r="O628" s="9">
        <v>1</v>
      </c>
      <c r="P628" s="9">
        <v>845675</v>
      </c>
      <c r="Q628" s="124" t="str">
        <f t="shared" si="154"/>
        <v>FASE II</v>
      </c>
      <c r="R628" s="155">
        <f t="shared" si="150"/>
        <v>2</v>
      </c>
      <c r="S628" s="156">
        <f t="shared" si="152"/>
        <v>894872</v>
      </c>
      <c r="T628" s="156">
        <f t="shared" si="153"/>
        <v>1789744</v>
      </c>
    </row>
    <row r="629" spans="1:20" s="9" customFormat="1" ht="35.1" customHeight="1" x14ac:dyDescent="0.25">
      <c r="A629" s="215"/>
      <c r="B629" s="240" t="s">
        <v>901</v>
      </c>
      <c r="C629" s="254" t="s">
        <v>902</v>
      </c>
      <c r="D629" s="240" t="s">
        <v>16</v>
      </c>
      <c r="E629" s="242">
        <v>2</v>
      </c>
      <c r="F629" s="242">
        <f t="shared" si="161"/>
        <v>1</v>
      </c>
      <c r="G629" s="242">
        <f t="shared" si="162"/>
        <v>3</v>
      </c>
      <c r="H629" s="243">
        <v>881213</v>
      </c>
      <c r="I629" s="243">
        <f t="shared" si="163"/>
        <v>2643639</v>
      </c>
      <c r="J629" s="8"/>
      <c r="K629" s="8">
        <f t="shared" si="164"/>
        <v>894872</v>
      </c>
      <c r="L629" s="8">
        <f t="shared" si="151"/>
        <v>1789744</v>
      </c>
      <c r="M629" s="9" t="str">
        <f t="array" ref="M629:P629">_xlfn.XLOOKUP(B629,'Neiva 2022 FASE I ACTUAL (5)'!$B$6:$B$540,'Neiva 2022 FASE I ACTUAL (5)'!$C$6:$F$540,"NO ESTA")</f>
        <v>SUMINISTRO E INSTALACION SENSOR DE FLUJO AIRE UMAS</v>
      </c>
      <c r="N629" s="9" t="str">
        <v>UND</v>
      </c>
      <c r="O629" s="9">
        <v>1</v>
      </c>
      <c r="P629" s="9">
        <v>845675</v>
      </c>
      <c r="Q629" s="124" t="str">
        <f t="shared" si="154"/>
        <v>FASE II</v>
      </c>
      <c r="R629" s="155">
        <f t="shared" si="150"/>
        <v>3</v>
      </c>
      <c r="S629" s="156">
        <f t="shared" si="152"/>
        <v>894872</v>
      </c>
      <c r="T629" s="156">
        <f t="shared" si="153"/>
        <v>2684616</v>
      </c>
    </row>
    <row r="630" spans="1:20" s="9" customFormat="1" ht="35.1" customHeight="1" x14ac:dyDescent="0.25">
      <c r="A630" s="215"/>
      <c r="B630" s="240" t="s">
        <v>1341</v>
      </c>
      <c r="C630" s="254" t="s">
        <v>1342</v>
      </c>
      <c r="D630" s="240" t="s">
        <v>16</v>
      </c>
      <c r="E630" s="242">
        <v>2</v>
      </c>
      <c r="F630" s="242">
        <f t="shared" si="161"/>
        <v>0</v>
      </c>
      <c r="G630" s="242">
        <f t="shared" si="162"/>
        <v>2</v>
      </c>
      <c r="H630" s="243">
        <v>3352803</v>
      </c>
      <c r="I630" s="243">
        <f t="shared" si="163"/>
        <v>6705606</v>
      </c>
      <c r="J630" s="8"/>
      <c r="K630" s="8">
        <f t="shared" si="164"/>
        <v>3404771</v>
      </c>
      <c r="L630" s="8">
        <f t="shared" si="151"/>
        <v>6809542</v>
      </c>
      <c r="M630" s="9" t="str">
        <f t="array" ref="M630">_xlfn.XLOOKUP(B630,'Neiva 2022 FASE I ACTUAL (5)'!$B$6:$B$540,'Neiva 2022 FASE I ACTUAL (5)'!$C$6:$F$540,"NO ESTA")</f>
        <v>NO ESTA</v>
      </c>
      <c r="Q630" s="124">
        <f t="shared" si="154"/>
        <v>0</v>
      </c>
      <c r="R630" s="155">
        <f t="shared" si="150"/>
        <v>2</v>
      </c>
      <c r="S630" s="156">
        <f t="shared" si="152"/>
        <v>3404771</v>
      </c>
      <c r="T630" s="156">
        <f t="shared" si="153"/>
        <v>6809542</v>
      </c>
    </row>
    <row r="631" spans="1:20" s="9" customFormat="1" ht="35.1" customHeight="1" x14ac:dyDescent="0.25">
      <c r="A631" s="215"/>
      <c r="B631" s="240" t="s">
        <v>1343</v>
      </c>
      <c r="C631" s="254" t="s">
        <v>1344</v>
      </c>
      <c r="D631" s="240" t="s">
        <v>16</v>
      </c>
      <c r="E631" s="242">
        <v>2</v>
      </c>
      <c r="F631" s="242">
        <f t="shared" si="161"/>
        <v>0</v>
      </c>
      <c r="G631" s="242">
        <f t="shared" si="162"/>
        <v>2</v>
      </c>
      <c r="H631" s="243">
        <v>5896712</v>
      </c>
      <c r="I631" s="243">
        <f t="shared" si="163"/>
        <v>11793424</v>
      </c>
      <c r="J631" s="8"/>
      <c r="K631" s="8">
        <f t="shared" si="164"/>
        <v>5988111</v>
      </c>
      <c r="L631" s="8">
        <f t="shared" si="151"/>
        <v>11976222</v>
      </c>
      <c r="M631" s="9" t="str">
        <f t="array" ref="M631">_xlfn.XLOOKUP(B631,'Neiva 2022 FASE I ACTUAL (5)'!$B$6:$B$540,'Neiva 2022 FASE I ACTUAL (5)'!$C$6:$F$540,"NO ESTA")</f>
        <v>NO ESTA</v>
      </c>
      <c r="Q631" s="124">
        <f t="shared" si="154"/>
        <v>0</v>
      </c>
      <c r="R631" s="155">
        <f t="shared" si="150"/>
        <v>2</v>
      </c>
      <c r="S631" s="156">
        <f t="shared" si="152"/>
        <v>5988111</v>
      </c>
      <c r="T631" s="156">
        <f t="shared" si="153"/>
        <v>11976222</v>
      </c>
    </row>
    <row r="632" spans="1:20" s="9" customFormat="1" ht="35.1" customHeight="1" x14ac:dyDescent="0.25">
      <c r="A632" s="215"/>
      <c r="B632" s="240" t="s">
        <v>1345</v>
      </c>
      <c r="C632" s="254" t="s">
        <v>1346</v>
      </c>
      <c r="D632" s="240" t="s">
        <v>16</v>
      </c>
      <c r="E632" s="242">
        <v>2</v>
      </c>
      <c r="F632" s="242">
        <f t="shared" si="161"/>
        <v>0</v>
      </c>
      <c r="G632" s="242">
        <f t="shared" si="162"/>
        <v>2</v>
      </c>
      <c r="H632" s="243">
        <v>2009001</v>
      </c>
      <c r="I632" s="243">
        <f t="shared" si="163"/>
        <v>4018002</v>
      </c>
      <c r="J632" s="8"/>
      <c r="K632" s="8">
        <f t="shared" si="164"/>
        <v>2040141</v>
      </c>
      <c r="L632" s="8">
        <f t="shared" si="151"/>
        <v>4080282</v>
      </c>
      <c r="M632" s="9" t="str">
        <f t="array" ref="M632">_xlfn.XLOOKUP(B632,'Neiva 2022 FASE I ACTUAL (5)'!$B$6:$B$540,'Neiva 2022 FASE I ACTUAL (5)'!$C$6:$F$540,"NO ESTA")</f>
        <v>NO ESTA</v>
      </c>
      <c r="Q632" s="124">
        <f t="shared" si="154"/>
        <v>0</v>
      </c>
      <c r="R632" s="155">
        <f t="shared" si="150"/>
        <v>2</v>
      </c>
      <c r="S632" s="156">
        <f t="shared" si="152"/>
        <v>2040141</v>
      </c>
      <c r="T632" s="156">
        <f t="shared" si="153"/>
        <v>4080282</v>
      </c>
    </row>
    <row r="633" spans="1:20" s="9" customFormat="1" ht="35.1" customHeight="1" x14ac:dyDescent="0.25">
      <c r="A633" s="215"/>
      <c r="B633" s="240" t="s">
        <v>903</v>
      </c>
      <c r="C633" s="254" t="s">
        <v>904</v>
      </c>
      <c r="D633" s="240" t="s">
        <v>16</v>
      </c>
      <c r="E633" s="242">
        <v>3</v>
      </c>
      <c r="F633" s="242">
        <f t="shared" si="161"/>
        <v>2</v>
      </c>
      <c r="G633" s="242">
        <f t="shared" si="162"/>
        <v>5</v>
      </c>
      <c r="H633" s="243">
        <v>1121898</v>
      </c>
      <c r="I633" s="243">
        <f t="shared" si="163"/>
        <v>5609490</v>
      </c>
      <c r="J633" s="8"/>
      <c r="K633" s="8">
        <f t="shared" si="164"/>
        <v>1139287</v>
      </c>
      <c r="L633" s="8">
        <f t="shared" si="151"/>
        <v>3417861</v>
      </c>
      <c r="M633" s="9" t="str">
        <f t="array" ref="M633:P633">_xlfn.XLOOKUP(B633,'Neiva 2022 FASE I ACTUAL (5)'!$B$6:$B$540,'Neiva 2022 FASE I ACTUAL (5)'!$C$6:$F$540,"NO ESTA")</f>
        <v>SUMINISTRO E INSTALACION SENSOR CO</v>
      </c>
      <c r="N633" s="9" t="str">
        <v>UND</v>
      </c>
      <c r="O633" s="9">
        <v>2</v>
      </c>
      <c r="P633" s="9">
        <v>1076654</v>
      </c>
      <c r="Q633" s="124" t="str">
        <f t="shared" si="154"/>
        <v>FASE II</v>
      </c>
      <c r="R633" s="155">
        <f t="shared" si="150"/>
        <v>5</v>
      </c>
      <c r="S633" s="156">
        <f t="shared" si="152"/>
        <v>1139287</v>
      </c>
      <c r="T633" s="156">
        <f t="shared" si="153"/>
        <v>5696435</v>
      </c>
    </row>
    <row r="634" spans="1:20" s="9" customFormat="1" ht="35.1" customHeight="1" x14ac:dyDescent="0.25">
      <c r="A634" s="215"/>
      <c r="B634" s="240" t="s">
        <v>905</v>
      </c>
      <c r="C634" s="254" t="s">
        <v>906</v>
      </c>
      <c r="D634" s="240" t="s">
        <v>16</v>
      </c>
      <c r="E634" s="242">
        <v>2</v>
      </c>
      <c r="F634" s="242">
        <f t="shared" si="161"/>
        <v>2</v>
      </c>
      <c r="G634" s="242">
        <f t="shared" si="162"/>
        <v>4</v>
      </c>
      <c r="H634" s="243">
        <v>336569</v>
      </c>
      <c r="I634" s="243">
        <f t="shared" si="163"/>
        <v>1346276</v>
      </c>
      <c r="J634" s="8"/>
      <c r="K634" s="8">
        <f t="shared" si="164"/>
        <v>341786</v>
      </c>
      <c r="L634" s="8">
        <f t="shared" si="151"/>
        <v>683572</v>
      </c>
      <c r="M634" s="9" t="str">
        <f t="array" ref="M634:P634">_xlfn.XLOOKUP(B634,'Neiva 2022 FASE I ACTUAL (5)'!$B$6:$B$540,'Neiva 2022 FASE I ACTUAL (5)'!$C$6:$F$540,"NO ESTA")</f>
        <v>SUMINISTRO E INSTALACION SENSOR CONTROL CO2 UMAS</v>
      </c>
      <c r="N634" s="9" t="str">
        <v>UND</v>
      </c>
      <c r="O634" s="9">
        <v>2</v>
      </c>
      <c r="P634" s="9">
        <v>322996</v>
      </c>
      <c r="Q634" s="124" t="str">
        <f t="shared" si="154"/>
        <v>FASE II</v>
      </c>
      <c r="R634" s="155">
        <f t="shared" si="150"/>
        <v>4</v>
      </c>
      <c r="S634" s="156">
        <f t="shared" si="152"/>
        <v>341786</v>
      </c>
      <c r="T634" s="156">
        <f t="shared" si="153"/>
        <v>1367144</v>
      </c>
    </row>
    <row r="635" spans="1:20" s="9" customFormat="1" ht="35.1" customHeight="1" x14ac:dyDescent="0.25">
      <c r="A635" s="215"/>
      <c r="B635" s="240" t="s">
        <v>1347</v>
      </c>
      <c r="C635" s="254" t="s">
        <v>1348</v>
      </c>
      <c r="D635" s="240" t="s">
        <v>16</v>
      </c>
      <c r="E635" s="242">
        <v>2</v>
      </c>
      <c r="F635" s="242">
        <f t="shared" si="161"/>
        <v>0</v>
      </c>
      <c r="G635" s="242">
        <f t="shared" si="162"/>
        <v>2</v>
      </c>
      <c r="H635" s="243">
        <v>2009001</v>
      </c>
      <c r="I635" s="243">
        <f t="shared" si="163"/>
        <v>4018002</v>
      </c>
      <c r="J635" s="8"/>
      <c r="K635" s="8">
        <f t="shared" si="164"/>
        <v>2040141</v>
      </c>
      <c r="L635" s="8">
        <f t="shared" si="151"/>
        <v>4080282</v>
      </c>
      <c r="M635" s="9" t="str">
        <f t="array" ref="M635">_xlfn.XLOOKUP(B635,'Neiva 2022 FASE I ACTUAL (5)'!$B$6:$B$540,'Neiva 2022 FASE I ACTUAL (5)'!$C$6:$F$540,"NO ESTA")</f>
        <v>NO ESTA</v>
      </c>
      <c r="Q635" s="124">
        <f t="shared" si="154"/>
        <v>0</v>
      </c>
      <c r="R635" s="155">
        <f t="shared" si="150"/>
        <v>2</v>
      </c>
      <c r="S635" s="156">
        <f t="shared" si="152"/>
        <v>2040141</v>
      </c>
      <c r="T635" s="156">
        <f t="shared" si="153"/>
        <v>4080282</v>
      </c>
    </row>
    <row r="636" spans="1:20" s="9" customFormat="1" ht="35.1" customHeight="1" x14ac:dyDescent="0.25">
      <c r="A636" s="215"/>
      <c r="B636" s="266">
        <v>18</v>
      </c>
      <c r="C636" s="267" t="s">
        <v>907</v>
      </c>
      <c r="D636" s="267"/>
      <c r="E636" s="268"/>
      <c r="F636" s="268"/>
      <c r="G636" s="268"/>
      <c r="H636" s="306"/>
      <c r="I636" s="268"/>
      <c r="J636" s="8"/>
      <c r="K636" s="8">
        <f t="shared" si="164"/>
        <v>0</v>
      </c>
      <c r="L636" s="8">
        <f t="shared" si="151"/>
        <v>0</v>
      </c>
      <c r="M636" s="9" t="str">
        <f t="array" ref="M636:P636">_xlfn.XLOOKUP(B636,'Neiva 2022 FASE I ACTUAL (5)'!$B$6:$B$540,'Neiva 2022 FASE I ACTUAL (5)'!$C$6:$F$540,"NO ESTA")</f>
        <v>RED DE VOZ Y DATOS Cat. 6A BLINDADO LSZH (Low Smoke Zero Halogen)</v>
      </c>
      <c r="N636" s="9">
        <v>0</v>
      </c>
      <c r="O636" s="9">
        <v>0</v>
      </c>
      <c r="P636" s="9">
        <v>0</v>
      </c>
      <c r="Q636" s="124">
        <f t="shared" si="154"/>
        <v>0</v>
      </c>
      <c r="R636" s="155">
        <f t="shared" si="150"/>
        <v>0</v>
      </c>
      <c r="S636" s="156">
        <f t="shared" si="152"/>
        <v>0</v>
      </c>
      <c r="T636" s="156">
        <f t="shared" si="153"/>
        <v>0</v>
      </c>
    </row>
    <row r="637" spans="1:20" s="9" customFormat="1" ht="35.1" customHeight="1" x14ac:dyDescent="0.25">
      <c r="A637" s="215"/>
      <c r="B637" s="244" t="s">
        <v>908</v>
      </c>
      <c r="C637" s="256" t="s">
        <v>909</v>
      </c>
      <c r="D637" s="256"/>
      <c r="E637" s="246"/>
      <c r="F637" s="246"/>
      <c r="G637" s="246"/>
      <c r="H637" s="303"/>
      <c r="I637" s="246"/>
      <c r="J637" s="8"/>
      <c r="K637" s="8">
        <f t="shared" si="164"/>
        <v>0</v>
      </c>
      <c r="L637" s="8">
        <f t="shared" si="151"/>
        <v>0</v>
      </c>
      <c r="M637" s="9" t="str">
        <f t="array" ref="M637:P637">_xlfn.XLOOKUP(B637,'Neiva 2022 FASE I ACTUAL (5)'!$B$6:$B$540,'Neiva 2022 FASE I ACTUAL (5)'!$C$6:$F$540,"NO ESTA")</f>
        <v>SUMINISTRO E INSTALACION DE TOMAS PUESTOS DE TRABAJO</v>
      </c>
      <c r="N637" s="9">
        <v>0</v>
      </c>
      <c r="O637" s="9">
        <v>0</v>
      </c>
      <c r="P637" s="9">
        <v>0</v>
      </c>
      <c r="Q637" s="124">
        <f t="shared" si="154"/>
        <v>0</v>
      </c>
      <c r="R637" s="155">
        <f t="shared" si="150"/>
        <v>0</v>
      </c>
      <c r="S637" s="156">
        <f t="shared" si="152"/>
        <v>0</v>
      </c>
      <c r="T637" s="156">
        <f t="shared" si="153"/>
        <v>0</v>
      </c>
    </row>
    <row r="638" spans="1:20" s="9" customFormat="1" ht="35.1" customHeight="1" x14ac:dyDescent="0.25">
      <c r="A638" s="215"/>
      <c r="B638" s="255" t="s">
        <v>910</v>
      </c>
      <c r="C638" s="284" t="s">
        <v>911</v>
      </c>
      <c r="D638" s="240" t="s">
        <v>16</v>
      </c>
      <c r="E638" s="242">
        <v>172</v>
      </c>
      <c r="F638" s="242">
        <f>+O638</f>
        <v>64</v>
      </c>
      <c r="G638" s="242">
        <f>+F638+E638</f>
        <v>236</v>
      </c>
      <c r="H638" s="243">
        <v>38176</v>
      </c>
      <c r="I638" s="243">
        <f>ROUND(+H638*G638,2)</f>
        <v>9009536</v>
      </c>
      <c r="J638" s="8"/>
      <c r="K638" s="8">
        <f t="shared" si="164"/>
        <v>38768</v>
      </c>
      <c r="L638" s="8">
        <f t="shared" si="151"/>
        <v>6668096</v>
      </c>
      <c r="M638" s="9" t="str">
        <f t="array" ref="M638:P638">_xlfn.XLOOKUP(B638,'Neiva 2022 FASE I ACTUAL (5)'!$B$6:$B$540,'Neiva 2022 FASE I ACTUAL (5)'!$C$6:$F$540,"NO ESTA")</f>
        <v xml:space="preserve">SUMINISTRO E INSTALACION TOMAS SENCILLA RJ45 Cat. 6A DATOS BLINDADO INCLUYE MARQUILLAS </v>
      </c>
      <c r="N638" s="9" t="str">
        <v>UND</v>
      </c>
      <c r="O638" s="9">
        <v>64</v>
      </c>
      <c r="P638" s="9">
        <v>36636</v>
      </c>
      <c r="Q638" s="124" t="str">
        <f t="shared" si="154"/>
        <v>FASE II</v>
      </c>
      <c r="R638" s="155">
        <f t="shared" si="150"/>
        <v>236</v>
      </c>
      <c r="S638" s="156">
        <f t="shared" si="152"/>
        <v>38768</v>
      </c>
      <c r="T638" s="156">
        <f t="shared" si="153"/>
        <v>9149248</v>
      </c>
    </row>
    <row r="639" spans="1:20" s="9" customFormat="1" ht="35.1" customHeight="1" x14ac:dyDescent="0.25">
      <c r="A639" s="215"/>
      <c r="B639" s="255" t="s">
        <v>912</v>
      </c>
      <c r="C639" s="254" t="s">
        <v>913</v>
      </c>
      <c r="D639" s="240" t="s">
        <v>16</v>
      </c>
      <c r="E639" s="242">
        <v>38</v>
      </c>
      <c r="F639" s="242">
        <f>+O639</f>
        <v>14</v>
      </c>
      <c r="G639" s="242">
        <f>+F639+E639</f>
        <v>52</v>
      </c>
      <c r="H639" s="243">
        <v>38176</v>
      </c>
      <c r="I639" s="243">
        <f>ROUND(+H639*G639,2)</f>
        <v>1985152</v>
      </c>
      <c r="J639" s="8"/>
      <c r="K639" s="8">
        <f t="shared" si="164"/>
        <v>38768</v>
      </c>
      <c r="L639" s="8">
        <f t="shared" si="151"/>
        <v>1473184</v>
      </c>
      <c r="M639" s="9" t="str">
        <f t="array" ref="M639:P639">_xlfn.XLOOKUP(B639,'Neiva 2022 FASE I ACTUAL (5)'!$B$6:$B$540,'Neiva 2022 FASE I ACTUAL (5)'!$C$6:$F$540,"NO ESTA")</f>
        <v>SUMINISTRO E INSTALACION TOMAS SENCILLA RJ45 Cat. 6A VOZ BLINDADO INCLUYE MARQUILLAS</v>
      </c>
      <c r="N639" s="9" t="str">
        <v>UND</v>
      </c>
      <c r="O639" s="9">
        <v>14</v>
      </c>
      <c r="P639" s="9">
        <v>36636</v>
      </c>
      <c r="Q639" s="124" t="str">
        <f t="shared" si="154"/>
        <v>FASE II</v>
      </c>
      <c r="R639" s="155">
        <f t="shared" si="150"/>
        <v>52</v>
      </c>
      <c r="S639" s="156">
        <f t="shared" si="152"/>
        <v>38768</v>
      </c>
      <c r="T639" s="156">
        <f t="shared" si="153"/>
        <v>2015936</v>
      </c>
    </row>
    <row r="640" spans="1:20" s="9" customFormat="1" ht="35.1" customHeight="1" x14ac:dyDescent="0.25">
      <c r="A640" s="215"/>
      <c r="B640" s="255" t="s">
        <v>914</v>
      </c>
      <c r="C640" s="254" t="s">
        <v>915</v>
      </c>
      <c r="D640" s="240" t="s">
        <v>16</v>
      </c>
      <c r="E640" s="242">
        <v>172</v>
      </c>
      <c r="F640" s="242">
        <f>+O640</f>
        <v>64</v>
      </c>
      <c r="G640" s="242">
        <f>+F640+E640</f>
        <v>236</v>
      </c>
      <c r="H640" s="243">
        <v>10077</v>
      </c>
      <c r="I640" s="243">
        <f>ROUND(+H640*G640,2)</f>
        <v>2378172</v>
      </c>
      <c r="J640" s="8"/>
      <c r="K640" s="8">
        <f t="shared" si="164"/>
        <v>10233</v>
      </c>
      <c r="L640" s="8">
        <f t="shared" si="151"/>
        <v>1760076</v>
      </c>
      <c r="M640" s="9" t="str">
        <f t="array" ref="M640:P640">_xlfn.XLOOKUP(B640,'Neiva 2022 FASE I ACTUAL (5)'!$B$6:$B$540,'Neiva 2022 FASE I ACTUAL (5)'!$C$6:$F$540,"NO ESTA")</f>
        <v>SUMINISTRO E INSTALACION FACE PLATE DOBLE PARA TOMA RJ45</v>
      </c>
      <c r="N640" s="9" t="str">
        <v>UND</v>
      </c>
      <c r="O640" s="9">
        <v>64</v>
      </c>
      <c r="P640" s="9">
        <v>9671</v>
      </c>
      <c r="Q640" s="124" t="str">
        <f t="shared" si="154"/>
        <v>FASE II</v>
      </c>
      <c r="R640" s="155">
        <f t="shared" si="150"/>
        <v>236</v>
      </c>
      <c r="S640" s="156">
        <f t="shared" si="152"/>
        <v>10233</v>
      </c>
      <c r="T640" s="156">
        <f t="shared" si="153"/>
        <v>2414988</v>
      </c>
    </row>
    <row r="641" spans="1:20" s="9" customFormat="1" ht="35.1" customHeight="1" x14ac:dyDescent="0.25">
      <c r="A641" s="215"/>
      <c r="B641" s="255" t="s">
        <v>916</v>
      </c>
      <c r="C641" s="254" t="s">
        <v>917</v>
      </c>
      <c r="D641" s="240" t="s">
        <v>16</v>
      </c>
      <c r="E641" s="242">
        <v>172</v>
      </c>
      <c r="F641" s="242">
        <f>+O641</f>
        <v>64</v>
      </c>
      <c r="G641" s="242">
        <f>+F641+E641</f>
        <v>236</v>
      </c>
      <c r="H641" s="243">
        <v>45922</v>
      </c>
      <c r="I641" s="243">
        <f>ROUND(+H641*G641,2)</f>
        <v>10837592</v>
      </c>
      <c r="J641" s="8"/>
      <c r="K641" s="8">
        <f t="shared" si="164"/>
        <v>46634</v>
      </c>
      <c r="L641" s="8">
        <f t="shared" si="151"/>
        <v>8021048</v>
      </c>
      <c r="M641" s="9" t="str">
        <f t="array" ref="M641:P641">_xlfn.XLOOKUP(B641,'Neiva 2022 FASE I ACTUAL (5)'!$B$6:$B$540,'Neiva 2022 FASE I ACTUAL (5)'!$C$6:$F$540,"NO ESTA")</f>
        <v>SUMINISTRO E INSTALACION PATCH CORD. RJ45-RJ45 1,5 m Cat. 6A BLINDADO</v>
      </c>
      <c r="N641" s="9" t="str">
        <v>UND</v>
      </c>
      <c r="O641" s="9">
        <v>64</v>
      </c>
      <c r="P641" s="9">
        <v>44070</v>
      </c>
      <c r="Q641" s="124" t="str">
        <f t="shared" si="154"/>
        <v>FASE II</v>
      </c>
      <c r="R641" s="155">
        <f t="shared" si="150"/>
        <v>236</v>
      </c>
      <c r="S641" s="156">
        <f t="shared" si="152"/>
        <v>46634</v>
      </c>
      <c r="T641" s="156">
        <f t="shared" si="153"/>
        <v>11005624</v>
      </c>
    </row>
    <row r="642" spans="1:20" s="9" customFormat="1" ht="35.1" customHeight="1" x14ac:dyDescent="0.25">
      <c r="A642" s="215"/>
      <c r="B642" s="244" t="s">
        <v>918</v>
      </c>
      <c r="C642" s="256" t="s">
        <v>919</v>
      </c>
      <c r="D642" s="256"/>
      <c r="E642" s="246"/>
      <c r="F642" s="246"/>
      <c r="G642" s="246"/>
      <c r="H642" s="303"/>
      <c r="I642" s="246"/>
      <c r="J642" s="8"/>
      <c r="K642" s="8">
        <f t="shared" si="164"/>
        <v>0</v>
      </c>
      <c r="L642" s="8">
        <f t="shared" si="151"/>
        <v>0</v>
      </c>
      <c r="M642" s="9" t="str">
        <f t="array" ref="M642:P642">_xlfn.XLOOKUP(B642,'Neiva 2022 FASE I ACTUAL (5)'!$B$6:$B$540,'Neiva 2022 FASE I ACTUAL (5)'!$C$6:$F$540,"NO ESTA")</f>
        <v>SUMINISTRO E INSTALACION DE CABLES</v>
      </c>
      <c r="N642" s="9">
        <v>0</v>
      </c>
      <c r="O642" s="9">
        <v>0</v>
      </c>
      <c r="P642" s="9">
        <v>0</v>
      </c>
      <c r="Q642" s="124">
        <f t="shared" si="154"/>
        <v>0</v>
      </c>
      <c r="R642" s="155">
        <f t="shared" si="150"/>
        <v>0</v>
      </c>
      <c r="S642" s="156">
        <f t="shared" si="152"/>
        <v>0</v>
      </c>
      <c r="T642" s="156">
        <f t="shared" si="153"/>
        <v>0</v>
      </c>
    </row>
    <row r="643" spans="1:20" s="9" customFormat="1" ht="35.1" customHeight="1" x14ac:dyDescent="0.25">
      <c r="A643" s="215"/>
      <c r="B643" s="255" t="s">
        <v>920</v>
      </c>
      <c r="C643" s="254" t="s">
        <v>921</v>
      </c>
      <c r="D643" s="240" t="s">
        <v>94</v>
      </c>
      <c r="E643" s="242">
        <v>11247</v>
      </c>
      <c r="F643" s="242">
        <f>+O643</f>
        <v>1765</v>
      </c>
      <c r="G643" s="242">
        <f>+F643+E643</f>
        <v>13012</v>
      </c>
      <c r="H643" s="243">
        <v>4573</v>
      </c>
      <c r="I643" s="243">
        <f>ROUND(+H643*G643,2)</f>
        <v>59503876</v>
      </c>
      <c r="J643" s="8"/>
      <c r="K643" s="8">
        <f t="shared" si="164"/>
        <v>4644</v>
      </c>
      <c r="L643" s="8">
        <f t="shared" si="151"/>
        <v>52231068</v>
      </c>
      <c r="M643" s="9" t="str">
        <f t="array" ref="M643:P643">_xlfn.XLOOKUP(B643,'Neiva 2022 FASE I ACTUAL (5)'!$B$6:$B$540,'Neiva 2022 FASE I ACTUAL (5)'!$C$6:$F$540,"NO ESTA")</f>
        <v>SUMINISTRO E INSTALACION CABLE 10 G F/UTP Cat. 6A CON CHAQUETA LSZH (LOW SMOKE ZERO HALOGEN)</v>
      </c>
      <c r="N643" s="9" t="str">
        <v>ML</v>
      </c>
      <c r="O643" s="9">
        <v>1765</v>
      </c>
      <c r="P643" s="9">
        <v>4389</v>
      </c>
      <c r="Q643" s="124" t="str">
        <f t="shared" si="154"/>
        <v>FASE II</v>
      </c>
      <c r="R643" s="155">
        <f t="shared" si="150"/>
        <v>13012</v>
      </c>
      <c r="S643" s="156">
        <f t="shared" si="152"/>
        <v>4644</v>
      </c>
      <c r="T643" s="156">
        <f t="shared" si="153"/>
        <v>60427728</v>
      </c>
    </row>
    <row r="644" spans="1:20" s="9" customFormat="1" ht="35.1" customHeight="1" x14ac:dyDescent="0.25">
      <c r="A644" s="215"/>
      <c r="B644" s="244" t="s">
        <v>922</v>
      </c>
      <c r="C644" s="256" t="s">
        <v>923</v>
      </c>
      <c r="D644" s="256"/>
      <c r="E644" s="246"/>
      <c r="F644" s="246"/>
      <c r="G644" s="246"/>
      <c r="H644" s="303"/>
      <c r="I644" s="246"/>
      <c r="J644" s="8"/>
      <c r="K644" s="8">
        <f t="shared" si="164"/>
        <v>0</v>
      </c>
      <c r="L644" s="8">
        <f t="shared" si="151"/>
        <v>0</v>
      </c>
      <c r="M644" s="9" t="str">
        <f t="array" ref="M644:P644">_xlfn.XLOOKUP(B644,'Neiva 2022 FASE I ACTUAL (5)'!$B$6:$B$540,'Neiva 2022 FASE I ACTUAL (5)'!$C$6:$F$540,"NO ESTA")</f>
        <v xml:space="preserve">SUMINISTRO E INSTALACION DE ELEMENTOS DE ADMINISTRACIÓN </v>
      </c>
      <c r="N644" s="9">
        <v>0</v>
      </c>
      <c r="O644" s="9">
        <v>0</v>
      </c>
      <c r="P644" s="9">
        <v>0</v>
      </c>
      <c r="Q644" s="124">
        <f t="shared" si="154"/>
        <v>0</v>
      </c>
      <c r="R644" s="155">
        <f t="shared" si="150"/>
        <v>0</v>
      </c>
      <c r="S644" s="156">
        <f t="shared" si="152"/>
        <v>0</v>
      </c>
      <c r="T644" s="156">
        <f t="shared" si="153"/>
        <v>0</v>
      </c>
    </row>
    <row r="645" spans="1:20" s="9" customFormat="1" ht="35.1" customHeight="1" x14ac:dyDescent="0.25">
      <c r="A645" s="215"/>
      <c r="B645" s="255" t="s">
        <v>924</v>
      </c>
      <c r="C645" s="254" t="s">
        <v>925</v>
      </c>
      <c r="D645" s="240" t="s">
        <v>16</v>
      </c>
      <c r="E645" s="242">
        <v>9</v>
      </c>
      <c r="F645" s="242">
        <f t="shared" ref="F645:F650" si="165">+O645</f>
        <v>4</v>
      </c>
      <c r="G645" s="242">
        <f t="shared" ref="G645:G650" si="166">+F645+E645</f>
        <v>13</v>
      </c>
      <c r="H645" s="243">
        <v>272792</v>
      </c>
      <c r="I645" s="243">
        <f t="shared" ref="I645:I650" si="167">ROUND(+H645*G645,2)</f>
        <v>3546296</v>
      </c>
      <c r="J645" s="8"/>
      <c r="K645" s="8">
        <f t="shared" si="164"/>
        <v>277020</v>
      </c>
      <c r="L645" s="8">
        <f t="shared" si="151"/>
        <v>2493180</v>
      </c>
      <c r="M645" s="9" t="str">
        <f t="array" ref="M645:P645">_xlfn.XLOOKUP(B645,'Neiva 2022 FASE I ACTUAL (5)'!$B$6:$B$540,'Neiva 2022 FASE I ACTUAL (5)'!$C$6:$F$540,"NO ESTA")</f>
        <v>SUMINISTRO E INSTALACION HERRAJE PATVH PANEL 24 Pts Cat. 6A BLINDADO</v>
      </c>
      <c r="N645" s="9" t="str">
        <v>UND</v>
      </c>
      <c r="O645" s="9">
        <v>4</v>
      </c>
      <c r="P645" s="9">
        <v>261791</v>
      </c>
      <c r="Q645" s="124" t="str">
        <f t="shared" si="154"/>
        <v>FASE II</v>
      </c>
      <c r="R645" s="155">
        <f t="shared" si="150"/>
        <v>13</v>
      </c>
      <c r="S645" s="156">
        <f t="shared" si="152"/>
        <v>277020</v>
      </c>
      <c r="T645" s="156">
        <f t="shared" si="153"/>
        <v>3601260</v>
      </c>
    </row>
    <row r="646" spans="1:20" s="9" customFormat="1" ht="35.1" customHeight="1" x14ac:dyDescent="0.25">
      <c r="A646" s="215"/>
      <c r="B646" s="255" t="s">
        <v>926</v>
      </c>
      <c r="C646" s="254" t="s">
        <v>927</v>
      </c>
      <c r="D646" s="240" t="s">
        <v>16</v>
      </c>
      <c r="E646" s="242">
        <v>172</v>
      </c>
      <c r="F646" s="242">
        <f t="shared" si="165"/>
        <v>64</v>
      </c>
      <c r="G646" s="242">
        <f t="shared" si="166"/>
        <v>236</v>
      </c>
      <c r="H646" s="243">
        <v>38178</v>
      </c>
      <c r="I646" s="243">
        <f t="shared" si="167"/>
        <v>9010008</v>
      </c>
      <c r="J646" s="8"/>
      <c r="K646" s="8">
        <f t="shared" si="164"/>
        <v>38770</v>
      </c>
      <c r="L646" s="8">
        <f t="shared" si="151"/>
        <v>6668440</v>
      </c>
      <c r="M646" s="9" t="str">
        <f t="array" ref="M646:P646">_xlfn.XLOOKUP(B646,'Neiva 2022 FASE I ACTUAL (5)'!$B$6:$B$540,'Neiva 2022 FASE I ACTUAL (5)'!$C$6:$F$540,"NO ESTA")</f>
        <v>SUMINISTRO E INSTALACION TOMA SENCILLA RJ45 Cat. 6A AZUL DATOS BLINDADO INCLUYE MARQUILLAS</v>
      </c>
      <c r="N646" s="9" t="str">
        <v>UND</v>
      </c>
      <c r="O646" s="9">
        <v>64</v>
      </c>
      <c r="P646" s="9">
        <v>36638</v>
      </c>
      <c r="Q646" s="124" t="str">
        <f t="shared" si="154"/>
        <v>FASE II</v>
      </c>
      <c r="R646" s="155">
        <f t="shared" ref="R646:R709" si="168">E646+O646</f>
        <v>236</v>
      </c>
      <c r="S646" s="156">
        <f t="shared" si="152"/>
        <v>38770</v>
      </c>
      <c r="T646" s="156">
        <f t="shared" si="153"/>
        <v>9149720</v>
      </c>
    </row>
    <row r="647" spans="1:20" s="9" customFormat="1" ht="35.1" customHeight="1" x14ac:dyDescent="0.25">
      <c r="A647" s="215"/>
      <c r="B647" s="255" t="s">
        <v>928</v>
      </c>
      <c r="C647" s="254" t="s">
        <v>929</v>
      </c>
      <c r="D647" s="240" t="s">
        <v>16</v>
      </c>
      <c r="E647" s="242">
        <v>38</v>
      </c>
      <c r="F647" s="242">
        <f t="shared" si="165"/>
        <v>14</v>
      </c>
      <c r="G647" s="242">
        <f t="shared" si="166"/>
        <v>52</v>
      </c>
      <c r="H647" s="243">
        <v>38178</v>
      </c>
      <c r="I647" s="243">
        <f t="shared" si="167"/>
        <v>1985256</v>
      </c>
      <c r="J647" s="8"/>
      <c r="K647" s="8">
        <f t="shared" si="164"/>
        <v>38770</v>
      </c>
      <c r="L647" s="8">
        <f t="shared" ref="L647:L710" si="169">+K647*E647</f>
        <v>1473260</v>
      </c>
      <c r="M647" s="9" t="str">
        <f t="array" ref="M647:P647">_xlfn.XLOOKUP(B647,'Neiva 2022 FASE I ACTUAL (5)'!$B$6:$B$540,'Neiva 2022 FASE I ACTUAL (5)'!$C$6:$F$540,"NO ESTA")</f>
        <v>SUMINISTRO E INSTALACION TOMA SENCILLA RJ45 Cat. 6A ROJO VOZ BLINDADO INCLUYE MARQUILLAS</v>
      </c>
      <c r="N647" s="9" t="str">
        <v>UND</v>
      </c>
      <c r="O647" s="9">
        <v>14</v>
      </c>
      <c r="P647" s="9">
        <v>36638</v>
      </c>
      <c r="Q647" s="124" t="str">
        <f t="shared" si="154"/>
        <v>FASE II</v>
      </c>
      <c r="R647" s="155">
        <f t="shared" si="168"/>
        <v>52</v>
      </c>
      <c r="S647" s="156">
        <f t="shared" ref="S647:S710" si="170">MAX(P647,H647,K647)</f>
        <v>38770</v>
      </c>
      <c r="T647" s="156">
        <f t="shared" ref="T647:T710" si="171">ROUND(R647*S647,2)</f>
        <v>2016040</v>
      </c>
    </row>
    <row r="648" spans="1:20" s="9" customFormat="1" ht="35.1" customHeight="1" x14ac:dyDescent="0.25">
      <c r="A648" s="215"/>
      <c r="B648" s="255" t="s">
        <v>930</v>
      </c>
      <c r="C648" s="254" t="s">
        <v>931</v>
      </c>
      <c r="D648" s="240" t="s">
        <v>16</v>
      </c>
      <c r="E648" s="242">
        <v>172</v>
      </c>
      <c r="F648" s="242">
        <f t="shared" si="165"/>
        <v>64</v>
      </c>
      <c r="G648" s="242">
        <f t="shared" si="166"/>
        <v>236</v>
      </c>
      <c r="H648" s="243">
        <v>48968</v>
      </c>
      <c r="I648" s="243">
        <f t="shared" si="167"/>
        <v>11556448</v>
      </c>
      <c r="J648" s="8"/>
      <c r="K648" s="8">
        <f t="shared" si="164"/>
        <v>49727</v>
      </c>
      <c r="L648" s="8">
        <f t="shared" si="169"/>
        <v>8553044</v>
      </c>
      <c r="M648" s="9" t="str">
        <f t="array" ref="M648:P648">_xlfn.XLOOKUP(B648,'Neiva 2022 FASE I ACTUAL (5)'!$B$6:$B$540,'Neiva 2022 FASE I ACTUAL (5)'!$C$6:$F$540,"NO ESTA")</f>
        <v>SUMINISTRO E INSTALACION PATCH CORD. RJ45-RJ45 3 m Cat. 6A DATOS BLINDADO</v>
      </c>
      <c r="N648" s="9" t="str">
        <v>UND</v>
      </c>
      <c r="O648" s="9">
        <v>64</v>
      </c>
      <c r="P648" s="9">
        <v>46993</v>
      </c>
      <c r="Q648" s="124" t="str">
        <f t="shared" ref="Q648:Q711" si="172">IF(P648=0,0,(IF(H648&lt;P648, "FASE I","FASE II")))</f>
        <v>FASE II</v>
      </c>
      <c r="R648" s="155">
        <f t="shared" si="168"/>
        <v>236</v>
      </c>
      <c r="S648" s="156">
        <f t="shared" si="170"/>
        <v>49727</v>
      </c>
      <c r="T648" s="156">
        <f t="shared" si="171"/>
        <v>11735572</v>
      </c>
    </row>
    <row r="649" spans="1:20" s="9" customFormat="1" ht="35.1" customHeight="1" x14ac:dyDescent="0.25">
      <c r="A649" s="215"/>
      <c r="B649" s="255" t="s">
        <v>932</v>
      </c>
      <c r="C649" s="254" t="s">
        <v>933</v>
      </c>
      <c r="D649" s="240" t="s">
        <v>16</v>
      </c>
      <c r="E649" s="242">
        <v>38</v>
      </c>
      <c r="F649" s="242">
        <f t="shared" si="165"/>
        <v>14</v>
      </c>
      <c r="G649" s="242">
        <f t="shared" si="166"/>
        <v>52</v>
      </c>
      <c r="H649" s="243">
        <v>48968</v>
      </c>
      <c r="I649" s="243">
        <f t="shared" si="167"/>
        <v>2546336</v>
      </c>
      <c r="J649" s="8"/>
      <c r="K649" s="8">
        <f t="shared" si="164"/>
        <v>49727</v>
      </c>
      <c r="L649" s="8">
        <f t="shared" si="169"/>
        <v>1889626</v>
      </c>
      <c r="M649" s="9" t="str">
        <f t="array" ref="M649:P649">_xlfn.XLOOKUP(B649,'Neiva 2022 FASE I ACTUAL (5)'!$B$6:$B$540,'Neiva 2022 FASE I ACTUAL (5)'!$C$6:$F$540,"NO ESTA")</f>
        <v>SUMINISTRO E INSTALACION PATCH CORD. RJ45-RJ45 3 m Cat. 6A VOZ BLINDADO</v>
      </c>
      <c r="N649" s="9" t="str">
        <v>UND</v>
      </c>
      <c r="O649" s="9">
        <v>14</v>
      </c>
      <c r="P649" s="9">
        <v>46993</v>
      </c>
      <c r="Q649" s="124" t="str">
        <f t="shared" si="172"/>
        <v>FASE II</v>
      </c>
      <c r="R649" s="155">
        <f t="shared" si="168"/>
        <v>52</v>
      </c>
      <c r="S649" s="156">
        <f t="shared" si="170"/>
        <v>49727</v>
      </c>
      <c r="T649" s="156">
        <f t="shared" si="171"/>
        <v>2585804</v>
      </c>
    </row>
    <row r="650" spans="1:20" s="9" customFormat="1" ht="35.1" customHeight="1" x14ac:dyDescent="0.25">
      <c r="A650" s="215"/>
      <c r="B650" s="255" t="s">
        <v>934</v>
      </c>
      <c r="C650" s="254" t="s">
        <v>935</v>
      </c>
      <c r="D650" s="240" t="s">
        <v>16</v>
      </c>
      <c r="E650" s="242">
        <v>9</v>
      </c>
      <c r="F650" s="242">
        <f t="shared" si="165"/>
        <v>4</v>
      </c>
      <c r="G650" s="242">
        <f t="shared" si="166"/>
        <v>13</v>
      </c>
      <c r="H650" s="243">
        <v>254605</v>
      </c>
      <c r="I650" s="243">
        <f t="shared" si="167"/>
        <v>3309865</v>
      </c>
      <c r="J650" s="8"/>
      <c r="K650" s="8">
        <f t="shared" si="164"/>
        <v>258551</v>
      </c>
      <c r="L650" s="8">
        <f t="shared" si="169"/>
        <v>2326959</v>
      </c>
      <c r="M650" s="9" t="str">
        <f t="array" ref="M650:P650">_xlfn.XLOOKUP(B650,'Neiva 2022 FASE I ACTUAL (5)'!$B$6:$B$540,'Neiva 2022 FASE I ACTUAL (5)'!$C$6:$F$540,"NO ESTA")</f>
        <v>SUMINISTRO E INSTALACION ORGANIZADOR HORIZONTAL 2U</v>
      </c>
      <c r="N650" s="9" t="str">
        <v>UND</v>
      </c>
      <c r="O650" s="9">
        <v>4</v>
      </c>
      <c r="P650" s="9">
        <v>244338</v>
      </c>
      <c r="Q650" s="124" t="str">
        <f t="shared" si="172"/>
        <v>FASE II</v>
      </c>
      <c r="R650" s="155">
        <f t="shared" si="168"/>
        <v>13</v>
      </c>
      <c r="S650" s="156">
        <f t="shared" si="170"/>
        <v>258551</v>
      </c>
      <c r="T650" s="156">
        <f t="shared" si="171"/>
        <v>3361163</v>
      </c>
    </row>
    <row r="651" spans="1:20" s="9" customFormat="1" ht="35.1" customHeight="1" x14ac:dyDescent="0.25">
      <c r="A651" s="215"/>
      <c r="B651" s="244" t="s">
        <v>936</v>
      </c>
      <c r="C651" s="245" t="s">
        <v>937</v>
      </c>
      <c r="D651" s="244"/>
      <c r="E651" s="246"/>
      <c r="F651" s="246"/>
      <c r="G651" s="246"/>
      <c r="H651" s="303"/>
      <c r="I651" s="246"/>
      <c r="J651" s="8"/>
      <c r="K651" s="8">
        <f t="shared" si="164"/>
        <v>0</v>
      </c>
      <c r="L651" s="8">
        <f t="shared" si="169"/>
        <v>0</v>
      </c>
      <c r="M651" s="9" t="str">
        <f t="array" ref="M651:P651">_xlfn.XLOOKUP(B651,'Neiva 2022 FASE I ACTUAL (5)'!$B$6:$B$540,'Neiva 2022 FASE I ACTUAL (5)'!$C$6:$F$540,"NO ESTA")</f>
        <v>SUMINISTRO E INSTALACIÓN INTEGRACIÓN TELEFÓNICA</v>
      </c>
      <c r="N651" s="9">
        <v>0</v>
      </c>
      <c r="O651" s="9">
        <v>0</v>
      </c>
      <c r="P651" s="9">
        <v>0</v>
      </c>
      <c r="Q651" s="124">
        <f t="shared" si="172"/>
        <v>0</v>
      </c>
      <c r="R651" s="155">
        <f t="shared" si="168"/>
        <v>0</v>
      </c>
      <c r="S651" s="156">
        <f t="shared" si="170"/>
        <v>0</v>
      </c>
      <c r="T651" s="156">
        <f t="shared" si="171"/>
        <v>0</v>
      </c>
    </row>
    <row r="652" spans="1:20" s="9" customFormat="1" ht="35.1" customHeight="1" x14ac:dyDescent="0.25">
      <c r="A652" s="215"/>
      <c r="B652" s="255" t="s">
        <v>938</v>
      </c>
      <c r="C652" s="254" t="s">
        <v>939</v>
      </c>
      <c r="D652" s="240" t="s">
        <v>16</v>
      </c>
      <c r="E652" s="242">
        <v>1</v>
      </c>
      <c r="F652" s="242">
        <f>+O652</f>
        <v>1</v>
      </c>
      <c r="G652" s="242">
        <f>+F652+E652</f>
        <v>2</v>
      </c>
      <c r="H652" s="243">
        <v>590777</v>
      </c>
      <c r="I652" s="243">
        <f>ROUND(+H652*G652,2)</f>
        <v>1181554</v>
      </c>
      <c r="J652" s="8"/>
      <c r="K652" s="8">
        <f t="shared" si="164"/>
        <v>599934</v>
      </c>
      <c r="L652" s="8">
        <f t="shared" si="169"/>
        <v>599934</v>
      </c>
      <c r="M652" s="9" t="str">
        <f t="array" ref="M652:P652">_xlfn.XLOOKUP(B652,'Neiva 2022 FASE I ACTUAL (5)'!$B$6:$B$540,'Neiva 2022 FASE I ACTUAL (5)'!$C$6:$F$540,"NO ESTA")</f>
        <v>SUMINISTRO E INSTALACION PATCH PANEL 24 Pts Cat. 5E BLINDADO PARA INTEGRACIÓN TELEFONICA</v>
      </c>
      <c r="N652" s="9" t="str">
        <v>UND</v>
      </c>
      <c r="O652" s="9">
        <v>1</v>
      </c>
      <c r="P652" s="9">
        <v>566952</v>
      </c>
      <c r="Q652" s="124" t="str">
        <f t="shared" si="172"/>
        <v>FASE II</v>
      </c>
      <c r="R652" s="155">
        <f t="shared" si="168"/>
        <v>2</v>
      </c>
      <c r="S652" s="156">
        <f t="shared" si="170"/>
        <v>599934</v>
      </c>
      <c r="T652" s="156">
        <f t="shared" si="171"/>
        <v>1199868</v>
      </c>
    </row>
    <row r="653" spans="1:20" s="9" customFormat="1" ht="35.1" customHeight="1" x14ac:dyDescent="0.25">
      <c r="A653" s="215"/>
      <c r="B653" s="255" t="s">
        <v>940</v>
      </c>
      <c r="C653" s="254" t="s">
        <v>941</v>
      </c>
      <c r="D653" s="240" t="s">
        <v>16</v>
      </c>
      <c r="E653" s="242">
        <v>38</v>
      </c>
      <c r="F653" s="242">
        <f>+O653</f>
        <v>14</v>
      </c>
      <c r="G653" s="242">
        <f>+F653+E653</f>
        <v>52</v>
      </c>
      <c r="H653" s="243">
        <v>35884</v>
      </c>
      <c r="I653" s="243">
        <f>ROUND(+H653*G653,2)</f>
        <v>1865968</v>
      </c>
      <c r="J653" s="8"/>
      <c r="K653" s="8">
        <f t="shared" si="164"/>
        <v>36440</v>
      </c>
      <c r="L653" s="8">
        <f t="shared" si="169"/>
        <v>1384720</v>
      </c>
      <c r="M653" s="9" t="str">
        <f t="array" ref="M653:P653">_xlfn.XLOOKUP(B653,'Neiva 2022 FASE I ACTUAL (5)'!$B$6:$B$540,'Neiva 2022 FASE I ACTUAL (5)'!$C$6:$F$540,"NO ESTA")</f>
        <v>SUMINISTRO E INSTALACION PATCH CORD RJ45-RJ45 1m Cat 5E INTEGRACIÓN TELEFÓNICA INCLUYE MARQUILLAS</v>
      </c>
      <c r="N653" s="9" t="str">
        <v>UND</v>
      </c>
      <c r="O653" s="9">
        <v>14</v>
      </c>
      <c r="P653" s="9">
        <v>34436</v>
      </c>
      <c r="Q653" s="124" t="str">
        <f t="shared" si="172"/>
        <v>FASE II</v>
      </c>
      <c r="R653" s="155">
        <f t="shared" si="168"/>
        <v>52</v>
      </c>
      <c r="S653" s="156">
        <f t="shared" si="170"/>
        <v>36440</v>
      </c>
      <c r="T653" s="156">
        <f t="shared" si="171"/>
        <v>1894880</v>
      </c>
    </row>
    <row r="654" spans="1:20" s="9" customFormat="1" ht="35.1" customHeight="1" x14ac:dyDescent="0.25">
      <c r="A654" s="215"/>
      <c r="B654" s="255" t="s">
        <v>942</v>
      </c>
      <c r="C654" s="254" t="s">
        <v>935</v>
      </c>
      <c r="D654" s="240" t="s">
        <v>16</v>
      </c>
      <c r="E654" s="242">
        <v>1</v>
      </c>
      <c r="F654" s="242">
        <f>+O654</f>
        <v>1</v>
      </c>
      <c r="G654" s="242">
        <f>+F654+E654</f>
        <v>2</v>
      </c>
      <c r="H654" s="243">
        <v>254605</v>
      </c>
      <c r="I654" s="243">
        <f>ROUND(+H654*G654,2)</f>
        <v>509210</v>
      </c>
      <c r="J654" s="8"/>
      <c r="K654" s="8">
        <f t="shared" si="164"/>
        <v>258551</v>
      </c>
      <c r="L654" s="8">
        <f t="shared" si="169"/>
        <v>258551</v>
      </c>
      <c r="M654" s="9" t="str">
        <f t="array" ref="M654:P654">_xlfn.XLOOKUP(B654,'Neiva 2022 FASE I ACTUAL (5)'!$B$6:$B$540,'Neiva 2022 FASE I ACTUAL (5)'!$C$6:$F$540,"NO ESTA")</f>
        <v>SUMINISTRO E INSTALACION ORGANIZADOR HORIZONTAL 2U</v>
      </c>
      <c r="N654" s="9" t="str">
        <v>UND</v>
      </c>
      <c r="O654" s="9">
        <v>1</v>
      </c>
      <c r="P654" s="9">
        <v>244338</v>
      </c>
      <c r="Q654" s="124" t="str">
        <f t="shared" si="172"/>
        <v>FASE II</v>
      </c>
      <c r="R654" s="155">
        <f t="shared" si="168"/>
        <v>2</v>
      </c>
      <c r="S654" s="156">
        <f t="shared" si="170"/>
        <v>258551</v>
      </c>
      <c r="T654" s="156">
        <f t="shared" si="171"/>
        <v>517102</v>
      </c>
    </row>
    <row r="655" spans="1:20" s="9" customFormat="1" ht="35.1" customHeight="1" x14ac:dyDescent="0.25">
      <c r="A655" s="215"/>
      <c r="B655" s="244" t="s">
        <v>943</v>
      </c>
      <c r="C655" s="245" t="s">
        <v>944</v>
      </c>
      <c r="D655" s="260"/>
      <c r="E655" s="246"/>
      <c r="F655" s="246"/>
      <c r="G655" s="246"/>
      <c r="H655" s="303"/>
      <c r="I655" s="246"/>
      <c r="J655" s="8"/>
      <c r="K655" s="8">
        <f t="shared" si="164"/>
        <v>0</v>
      </c>
      <c r="L655" s="8">
        <f t="shared" si="169"/>
        <v>0</v>
      </c>
      <c r="M655" s="9" t="str">
        <f t="array" ref="M655:P655">_xlfn.XLOOKUP(B655,'Neiva 2022 FASE I ACTUAL (5)'!$B$6:$B$540,'Neiva 2022 FASE I ACTUAL (5)'!$C$6:$F$540,"NO ESTA")</f>
        <v>SUMINISTRO E INSTALACIÓN DE BACKBONE</v>
      </c>
      <c r="N655" s="9">
        <v>0</v>
      </c>
      <c r="O655" s="9">
        <v>0</v>
      </c>
      <c r="P655" s="9">
        <v>0</v>
      </c>
      <c r="Q655" s="124">
        <f t="shared" si="172"/>
        <v>0</v>
      </c>
      <c r="R655" s="155">
        <f t="shared" si="168"/>
        <v>0</v>
      </c>
      <c r="S655" s="156">
        <f t="shared" si="170"/>
        <v>0</v>
      </c>
      <c r="T655" s="156">
        <f t="shared" si="171"/>
        <v>0</v>
      </c>
    </row>
    <row r="656" spans="1:20" s="9" customFormat="1" ht="35.1" customHeight="1" x14ac:dyDescent="0.25">
      <c r="A656" s="215"/>
      <c r="B656" s="255" t="s">
        <v>945</v>
      </c>
      <c r="C656" s="254" t="s">
        <v>946</v>
      </c>
      <c r="D656" s="240" t="s">
        <v>94</v>
      </c>
      <c r="E656" s="242">
        <v>32</v>
      </c>
      <c r="F656" s="242">
        <f>+O656</f>
        <v>12</v>
      </c>
      <c r="G656" s="242">
        <f>+F656+E656</f>
        <v>44</v>
      </c>
      <c r="H656" s="243">
        <v>19906</v>
      </c>
      <c r="I656" s="243">
        <f>ROUND(+H656*G656,2)</f>
        <v>875864</v>
      </c>
      <c r="J656" s="8"/>
      <c r="K656" s="8">
        <f t="shared" si="164"/>
        <v>20215</v>
      </c>
      <c r="L656" s="8">
        <f t="shared" si="169"/>
        <v>646880</v>
      </c>
      <c r="M656" s="9" t="str">
        <f t="array" ref="M656:P656">_xlfn.XLOOKUP(B656,'Neiva 2022 FASE I ACTUAL (5)'!$B$6:$B$540,'Neiva 2022 FASE I ACTUAL (5)'!$C$6:$F$540,"NO ESTA")</f>
        <v>SUMINISTRO E INSTALACION FIBRA OPTICA 6 HILOS MULTIMODO 50/125 u.</v>
      </c>
      <c r="N656" s="9" t="str">
        <v>ML</v>
      </c>
      <c r="O656" s="9">
        <v>12</v>
      </c>
      <c r="P656" s="9">
        <v>19104</v>
      </c>
      <c r="Q656" s="124" t="str">
        <f t="shared" si="172"/>
        <v>FASE II</v>
      </c>
      <c r="R656" s="155">
        <f t="shared" si="168"/>
        <v>44</v>
      </c>
      <c r="S656" s="156">
        <f t="shared" si="170"/>
        <v>20215</v>
      </c>
      <c r="T656" s="156">
        <f t="shared" si="171"/>
        <v>889460</v>
      </c>
    </row>
    <row r="657" spans="1:20" s="9" customFormat="1" ht="35.1" customHeight="1" x14ac:dyDescent="0.25">
      <c r="A657" s="215"/>
      <c r="B657" s="255" t="s">
        <v>947</v>
      </c>
      <c r="C657" s="254" t="s">
        <v>948</v>
      </c>
      <c r="D657" s="240" t="s">
        <v>16</v>
      </c>
      <c r="E657" s="242">
        <v>2</v>
      </c>
      <c r="F657" s="242">
        <f>+O657</f>
        <v>2</v>
      </c>
      <c r="G657" s="242">
        <f>+F657+E657</f>
        <v>4</v>
      </c>
      <c r="H657" s="243">
        <v>717630</v>
      </c>
      <c r="I657" s="243">
        <f>ROUND(+H657*G657,2)</f>
        <v>2870520</v>
      </c>
      <c r="J657" s="8"/>
      <c r="K657" s="8">
        <f t="shared" si="164"/>
        <v>728753</v>
      </c>
      <c r="L657" s="8">
        <f t="shared" si="169"/>
        <v>1457506</v>
      </c>
      <c r="M657" s="9" t="str">
        <f t="array" ref="M657:P657">_xlfn.XLOOKUP(B657,'Neiva 2022 FASE I ACTUAL (5)'!$B$6:$B$540,'Neiva 2022 FASE I ACTUAL (5)'!$C$6:$F$540,"NO ESTA")</f>
        <v>SUMINISTRO E INSTALACION BANDEJA DE FIBRA OPTICA DE 24 PUERTOS</v>
      </c>
      <c r="N657" s="9" t="str">
        <v>UND</v>
      </c>
      <c r="O657" s="9">
        <v>2</v>
      </c>
      <c r="P657" s="9">
        <v>688690</v>
      </c>
      <c r="Q657" s="124" t="str">
        <f t="shared" si="172"/>
        <v>FASE II</v>
      </c>
      <c r="R657" s="155">
        <f t="shared" si="168"/>
        <v>4</v>
      </c>
      <c r="S657" s="156">
        <f t="shared" si="170"/>
        <v>728753</v>
      </c>
      <c r="T657" s="156">
        <f t="shared" si="171"/>
        <v>2915012</v>
      </c>
    </row>
    <row r="658" spans="1:20" s="9" customFormat="1" ht="35.1" customHeight="1" x14ac:dyDescent="0.25">
      <c r="A658" s="215"/>
      <c r="B658" s="255" t="s">
        <v>949</v>
      </c>
      <c r="C658" s="254" t="s">
        <v>950</v>
      </c>
      <c r="D658" s="240" t="s">
        <v>16</v>
      </c>
      <c r="E658" s="242">
        <v>2</v>
      </c>
      <c r="F658" s="242">
        <f>+O658</f>
        <v>2</v>
      </c>
      <c r="G658" s="242">
        <f>+F658+E658</f>
        <v>4</v>
      </c>
      <c r="H658" s="243">
        <v>254605</v>
      </c>
      <c r="I658" s="243">
        <f>ROUND(+H658*G658,2)</f>
        <v>1018420</v>
      </c>
      <c r="J658" s="8"/>
      <c r="K658" s="8">
        <f t="shared" si="164"/>
        <v>258551</v>
      </c>
      <c r="L658" s="8">
        <f t="shared" si="169"/>
        <v>517102</v>
      </c>
      <c r="M658" s="9" t="str">
        <f t="array" ref="M658:P658">_xlfn.XLOOKUP(B658,'Neiva 2022 FASE I ACTUAL (5)'!$B$6:$B$540,'Neiva 2022 FASE I ACTUAL (5)'!$C$6:$F$540,"NO ESTA")</f>
        <v>SUMINISTRO E INSTALACION ORGANIZADOR HORIZONTAL 1U</v>
      </c>
      <c r="N658" s="9" t="str">
        <v>UND</v>
      </c>
      <c r="O658" s="9">
        <v>2</v>
      </c>
      <c r="P658" s="9">
        <v>244338</v>
      </c>
      <c r="Q658" s="124" t="str">
        <f t="shared" si="172"/>
        <v>FASE II</v>
      </c>
      <c r="R658" s="155">
        <f t="shared" si="168"/>
        <v>4</v>
      </c>
      <c r="S658" s="156">
        <f t="shared" si="170"/>
        <v>258551</v>
      </c>
      <c r="T658" s="156">
        <f t="shared" si="171"/>
        <v>1034204</v>
      </c>
    </row>
    <row r="659" spans="1:20" s="9" customFormat="1" ht="35.1" customHeight="1" x14ac:dyDescent="0.25">
      <c r="A659" s="215"/>
      <c r="B659" s="244" t="s">
        <v>951</v>
      </c>
      <c r="C659" s="245" t="s">
        <v>952</v>
      </c>
      <c r="D659" s="260"/>
      <c r="E659" s="246"/>
      <c r="F659" s="246"/>
      <c r="G659" s="246"/>
      <c r="H659" s="303"/>
      <c r="I659" s="246"/>
      <c r="J659" s="8"/>
      <c r="K659" s="8">
        <f t="shared" si="164"/>
        <v>0</v>
      </c>
      <c r="L659" s="8">
        <f t="shared" si="169"/>
        <v>0</v>
      </c>
      <c r="M659" s="9" t="str">
        <f t="array" ref="M659:P659">_xlfn.XLOOKUP(B659,'Neiva 2022 FASE I ACTUAL (5)'!$B$6:$B$540,'Neiva 2022 FASE I ACTUAL (5)'!$C$6:$F$540,"NO ESTA")</f>
        <v xml:space="preserve">SUMINISTRO E INSTALACIÓN DE OTROS </v>
      </c>
      <c r="N659" s="9">
        <v>0</v>
      </c>
      <c r="O659" s="9">
        <v>0</v>
      </c>
      <c r="P659" s="9">
        <v>0</v>
      </c>
      <c r="Q659" s="124">
        <f t="shared" si="172"/>
        <v>0</v>
      </c>
      <c r="R659" s="155">
        <f t="shared" si="168"/>
        <v>0</v>
      </c>
      <c r="S659" s="156">
        <f t="shared" si="170"/>
        <v>0</v>
      </c>
      <c r="T659" s="156">
        <f t="shared" si="171"/>
        <v>0</v>
      </c>
    </row>
    <row r="660" spans="1:20" s="9" customFormat="1" ht="35.1" customHeight="1" x14ac:dyDescent="0.25">
      <c r="A660" s="215"/>
      <c r="B660" s="255" t="s">
        <v>953</v>
      </c>
      <c r="C660" s="254" t="s">
        <v>954</v>
      </c>
      <c r="D660" s="240" t="s">
        <v>16</v>
      </c>
      <c r="E660" s="242">
        <v>3</v>
      </c>
      <c r="F660" s="242">
        <f t="shared" ref="F660:F671" si="173">+O660</f>
        <v>1</v>
      </c>
      <c r="G660" s="242">
        <f t="shared" ref="G660:G671" si="174">+F660+E660</f>
        <v>4</v>
      </c>
      <c r="H660" s="243">
        <v>4574549</v>
      </c>
      <c r="I660" s="243">
        <f t="shared" ref="I660:I671" si="175">ROUND(+H660*G660,2)</f>
        <v>18298196</v>
      </c>
      <c r="J660" s="8"/>
      <c r="K660" s="8">
        <f t="shared" si="164"/>
        <v>4645455</v>
      </c>
      <c r="L660" s="8">
        <f t="shared" si="169"/>
        <v>13936365</v>
      </c>
      <c r="M660" s="9" t="str">
        <f t="array" ref="M660:P660">_xlfn.XLOOKUP(B660,'Neiva 2022 FASE I ACTUAL (5)'!$B$6:$B$540,'Neiva 2022 FASE I ACTUAL (5)'!$C$6:$F$540,"NO ESTA")</f>
        <v>SUMINISTRO E INSTALACION GABINETE 2,10 m ALTO X 0,71 m PROFUNDO Y 0,81 m DE ANCHO</v>
      </c>
      <c r="N660" s="9" t="str">
        <v>UND</v>
      </c>
      <c r="O660" s="9">
        <v>1</v>
      </c>
      <c r="P660" s="9">
        <v>4390063</v>
      </c>
      <c r="Q660" s="124" t="str">
        <f t="shared" si="172"/>
        <v>FASE II</v>
      </c>
      <c r="R660" s="155">
        <f t="shared" si="168"/>
        <v>4</v>
      </c>
      <c r="S660" s="156">
        <f t="shared" si="170"/>
        <v>4645455</v>
      </c>
      <c r="T660" s="156">
        <f t="shared" si="171"/>
        <v>18581820</v>
      </c>
    </row>
    <row r="661" spans="1:20" s="9" customFormat="1" ht="35.1" customHeight="1" x14ac:dyDescent="0.25">
      <c r="A661" s="215"/>
      <c r="B661" s="255" t="s">
        <v>955</v>
      </c>
      <c r="C661" s="254" t="s">
        <v>956</v>
      </c>
      <c r="D661" s="240" t="s">
        <v>16</v>
      </c>
      <c r="E661" s="242">
        <v>6</v>
      </c>
      <c r="F661" s="242">
        <f t="shared" si="173"/>
        <v>2</v>
      </c>
      <c r="G661" s="242">
        <f t="shared" si="174"/>
        <v>8</v>
      </c>
      <c r="H661" s="243">
        <v>587879</v>
      </c>
      <c r="I661" s="243">
        <f t="shared" si="175"/>
        <v>4703032</v>
      </c>
      <c r="J661" s="8"/>
      <c r="K661" s="8">
        <f t="shared" si="164"/>
        <v>596991</v>
      </c>
      <c r="L661" s="8">
        <f t="shared" si="169"/>
        <v>3581946</v>
      </c>
      <c r="M661" s="9" t="str">
        <f t="array" ref="M661:P661">_xlfn.XLOOKUP(B661,'Neiva 2022 FASE I ACTUAL (5)'!$B$6:$B$540,'Neiva 2022 FASE I ACTUAL (5)'!$C$6:$F$540,"NO ESTA")</f>
        <v>SUMINISTRO E INSTALACION ORGANIZADOR VERTICAL</v>
      </c>
      <c r="N661" s="9" t="str">
        <v>UND</v>
      </c>
      <c r="O661" s="9">
        <v>2</v>
      </c>
      <c r="P661" s="9">
        <v>564171</v>
      </c>
      <c r="Q661" s="124" t="str">
        <f t="shared" si="172"/>
        <v>FASE II</v>
      </c>
      <c r="R661" s="155">
        <f t="shared" si="168"/>
        <v>8</v>
      </c>
      <c r="S661" s="156">
        <f t="shared" si="170"/>
        <v>596991</v>
      </c>
      <c r="T661" s="156">
        <f t="shared" si="171"/>
        <v>4775928</v>
      </c>
    </row>
    <row r="662" spans="1:20" s="9" customFormat="1" ht="35.1" customHeight="1" x14ac:dyDescent="0.25">
      <c r="A662" s="215"/>
      <c r="B662" s="255" t="s">
        <v>957</v>
      </c>
      <c r="C662" s="254" t="s">
        <v>958</v>
      </c>
      <c r="D662" s="240" t="s">
        <v>16</v>
      </c>
      <c r="E662" s="242">
        <v>3</v>
      </c>
      <c r="F662" s="242">
        <f t="shared" si="173"/>
        <v>1</v>
      </c>
      <c r="G662" s="242">
        <f t="shared" si="174"/>
        <v>4</v>
      </c>
      <c r="H662" s="243">
        <v>509102</v>
      </c>
      <c r="I662" s="243">
        <f t="shared" si="175"/>
        <v>2036408</v>
      </c>
      <c r="J662" s="8"/>
      <c r="K662" s="8">
        <f t="shared" si="164"/>
        <v>516993</v>
      </c>
      <c r="L662" s="8">
        <f t="shared" si="169"/>
        <v>1550979</v>
      </c>
      <c r="M662" s="9" t="str">
        <f t="array" ref="M662:P662">_xlfn.XLOOKUP(B662,'Neiva 2022 FASE I ACTUAL (5)'!$B$6:$B$540,'Neiva 2022 FASE I ACTUAL (5)'!$C$6:$F$540,"NO ESTA")</f>
        <v>SUMINISTRO E INSTALACION MULTITOMA CON 5 SALIDAS ELECTRICAS GRADO HOSPITALARIO</v>
      </c>
      <c r="N662" s="9" t="str">
        <v>UND</v>
      </c>
      <c r="O662" s="9">
        <v>1</v>
      </c>
      <c r="P662" s="9">
        <v>488570</v>
      </c>
      <c r="Q662" s="124" t="str">
        <f t="shared" si="172"/>
        <v>FASE II</v>
      </c>
      <c r="R662" s="155">
        <f t="shared" si="168"/>
        <v>4</v>
      </c>
      <c r="S662" s="156">
        <f t="shared" si="170"/>
        <v>516993</v>
      </c>
      <c r="T662" s="156">
        <f t="shared" si="171"/>
        <v>2067972</v>
      </c>
    </row>
    <row r="663" spans="1:20" s="9" customFormat="1" ht="35.1" customHeight="1" x14ac:dyDescent="0.25">
      <c r="A663" s="215"/>
      <c r="B663" s="255" t="s">
        <v>959</v>
      </c>
      <c r="C663" s="254" t="s">
        <v>960</v>
      </c>
      <c r="D663" s="240" t="s">
        <v>94</v>
      </c>
      <c r="E663" s="242">
        <v>29</v>
      </c>
      <c r="F663" s="242">
        <f t="shared" si="173"/>
        <v>11</v>
      </c>
      <c r="G663" s="242">
        <f t="shared" si="174"/>
        <v>40</v>
      </c>
      <c r="H663" s="243">
        <v>4703</v>
      </c>
      <c r="I663" s="243">
        <f t="shared" si="175"/>
        <v>188120</v>
      </c>
      <c r="J663" s="8"/>
      <c r="K663" s="8">
        <f t="shared" si="164"/>
        <v>4776</v>
      </c>
      <c r="L663" s="8">
        <f t="shared" si="169"/>
        <v>138504</v>
      </c>
      <c r="M663" s="9" t="str">
        <f t="array" ref="M663:P663">_xlfn.XLOOKUP(B663,'Neiva 2022 FASE I ACTUAL (5)'!$B$6:$B$540,'Neiva 2022 FASE I ACTUAL (5)'!$C$6:$F$540,"NO ESTA")</f>
        <v>SUMINISTRO E INSTALACION CABLE THHN No. 6 AWG VERDE. PARA ATERRIZAJE DE ELEMENTOS Y GABINATE</v>
      </c>
      <c r="N663" s="9" t="str">
        <v>ML</v>
      </c>
      <c r="O663" s="9">
        <v>11</v>
      </c>
      <c r="P663" s="9">
        <v>4514</v>
      </c>
      <c r="Q663" s="124" t="str">
        <f t="shared" si="172"/>
        <v>FASE II</v>
      </c>
      <c r="R663" s="155">
        <f t="shared" si="168"/>
        <v>40</v>
      </c>
      <c r="S663" s="156">
        <f t="shared" si="170"/>
        <v>4776</v>
      </c>
      <c r="T663" s="156">
        <f t="shared" si="171"/>
        <v>191040</v>
      </c>
    </row>
    <row r="664" spans="1:20" s="9" customFormat="1" ht="35.1" customHeight="1" x14ac:dyDescent="0.25">
      <c r="A664" s="215"/>
      <c r="B664" s="255" t="s">
        <v>961</v>
      </c>
      <c r="C664" s="254" t="s">
        <v>962</v>
      </c>
      <c r="D664" s="255" t="s">
        <v>94</v>
      </c>
      <c r="E664" s="242">
        <v>316</v>
      </c>
      <c r="F664" s="242">
        <f t="shared" si="173"/>
        <v>230</v>
      </c>
      <c r="G664" s="242">
        <f t="shared" si="174"/>
        <v>546</v>
      </c>
      <c r="H664" s="243">
        <v>156626</v>
      </c>
      <c r="I664" s="243">
        <f t="shared" si="175"/>
        <v>85517796</v>
      </c>
      <c r="J664" s="8"/>
      <c r="K664" s="8">
        <f t="shared" si="164"/>
        <v>159054</v>
      </c>
      <c r="L664" s="8">
        <f t="shared" si="169"/>
        <v>50261064</v>
      </c>
      <c r="M664" s="9" t="str">
        <f t="array" ref="M664:P664">_xlfn.XLOOKUP(B664,'Neiva 2022 FASE I ACTUAL (5)'!$B$6:$B$540,'Neiva 2022 FASE I ACTUAL (5)'!$C$6:$F$540,"NO ESTA")</f>
        <v>SUMINISTRO E INSTALACION BANDEJA TIPO MALLA DE 40 x 8 cm CON ACCESORIOS</v>
      </c>
      <c r="N664" s="9" t="str">
        <v>ML</v>
      </c>
      <c r="O664" s="9">
        <v>230</v>
      </c>
      <c r="P664" s="9">
        <v>150309</v>
      </c>
      <c r="Q664" s="124" t="str">
        <f t="shared" si="172"/>
        <v>FASE II</v>
      </c>
      <c r="R664" s="155">
        <f t="shared" si="168"/>
        <v>546</v>
      </c>
      <c r="S664" s="156">
        <f t="shared" si="170"/>
        <v>159054</v>
      </c>
      <c r="T664" s="156">
        <f t="shared" si="171"/>
        <v>86843484</v>
      </c>
    </row>
    <row r="665" spans="1:20" s="9" customFormat="1" ht="35.1" customHeight="1" x14ac:dyDescent="0.25">
      <c r="A665" s="215"/>
      <c r="B665" s="255" t="s">
        <v>963</v>
      </c>
      <c r="C665" s="254" t="s">
        <v>964</v>
      </c>
      <c r="D665" s="240" t="s">
        <v>94</v>
      </c>
      <c r="E665" s="242">
        <v>245</v>
      </c>
      <c r="F665" s="242">
        <f t="shared" si="173"/>
        <v>91</v>
      </c>
      <c r="G665" s="242">
        <f t="shared" si="174"/>
        <v>336</v>
      </c>
      <c r="H665" s="243">
        <v>37109</v>
      </c>
      <c r="I665" s="243">
        <f t="shared" si="175"/>
        <v>12468624</v>
      </c>
      <c r="J665" s="8"/>
      <c r="K665" s="8">
        <f t="shared" si="164"/>
        <v>37684</v>
      </c>
      <c r="L665" s="8">
        <f t="shared" si="169"/>
        <v>9232580</v>
      </c>
      <c r="M665" s="9" t="str">
        <f t="array" ref="M665:P665">_xlfn.XLOOKUP(B665,'Neiva 2022 FASE I ACTUAL (5)'!$B$6:$B$540,'Neiva 2022 FASE I ACTUAL (5)'!$C$6:$F$540,"NO ESTA")</f>
        <v>SUMINISTRO E INSTALACION CANALETA METÁLICA DE 12 x 5 cm.</v>
      </c>
      <c r="N665" s="9" t="str">
        <v>ML</v>
      </c>
      <c r="O665" s="9">
        <v>91</v>
      </c>
      <c r="P665" s="9">
        <v>35614</v>
      </c>
      <c r="Q665" s="124" t="str">
        <f t="shared" si="172"/>
        <v>FASE II</v>
      </c>
      <c r="R665" s="155">
        <f t="shared" si="168"/>
        <v>336</v>
      </c>
      <c r="S665" s="156">
        <f t="shared" si="170"/>
        <v>37684</v>
      </c>
      <c r="T665" s="156">
        <f t="shared" si="171"/>
        <v>12661824</v>
      </c>
    </row>
    <row r="666" spans="1:20" s="9" customFormat="1" ht="35.1" customHeight="1" x14ac:dyDescent="0.25">
      <c r="A666" s="215"/>
      <c r="B666" s="255" t="s">
        <v>965</v>
      </c>
      <c r="C666" s="254" t="s">
        <v>966</v>
      </c>
      <c r="D666" s="240" t="s">
        <v>94</v>
      </c>
      <c r="E666" s="242">
        <v>64</v>
      </c>
      <c r="F666" s="242">
        <f t="shared" si="173"/>
        <v>23</v>
      </c>
      <c r="G666" s="242">
        <f t="shared" si="174"/>
        <v>87</v>
      </c>
      <c r="H666" s="243">
        <v>20494</v>
      </c>
      <c r="I666" s="243">
        <f t="shared" si="175"/>
        <v>1782978</v>
      </c>
      <c r="J666" s="8"/>
      <c r="K666" s="8">
        <f t="shared" si="164"/>
        <v>20812</v>
      </c>
      <c r="L666" s="8">
        <f t="shared" si="169"/>
        <v>1331968</v>
      </c>
      <c r="M666" s="9" t="str">
        <f t="array" ref="M666:P666">_xlfn.XLOOKUP(B666,'Neiva 2022 FASE I ACTUAL (5)'!$B$6:$B$540,'Neiva 2022 FASE I ACTUAL (5)'!$C$6:$F$540,"NO ESTA")</f>
        <v>SUMINISTRO E INSTALACION TUBERÍA EMT DE 1" INCLUYE ACCESORIOS</v>
      </c>
      <c r="N666" s="9" t="str">
        <v>ML</v>
      </c>
      <c r="O666" s="9">
        <v>23</v>
      </c>
      <c r="P666" s="9">
        <v>19668</v>
      </c>
      <c r="Q666" s="124" t="str">
        <f t="shared" si="172"/>
        <v>FASE II</v>
      </c>
      <c r="R666" s="155">
        <f t="shared" si="168"/>
        <v>87</v>
      </c>
      <c r="S666" s="156">
        <f t="shared" si="170"/>
        <v>20812</v>
      </c>
      <c r="T666" s="156">
        <f t="shared" si="171"/>
        <v>1810644</v>
      </c>
    </row>
    <row r="667" spans="1:20" s="9" customFormat="1" ht="35.1" customHeight="1" x14ac:dyDescent="0.25">
      <c r="A667" s="215"/>
      <c r="B667" s="255" t="s">
        <v>967</v>
      </c>
      <c r="C667" s="254" t="s">
        <v>968</v>
      </c>
      <c r="D667" s="240" t="s">
        <v>94</v>
      </c>
      <c r="E667" s="242">
        <v>166</v>
      </c>
      <c r="F667" s="242">
        <f t="shared" si="173"/>
        <v>61</v>
      </c>
      <c r="G667" s="242">
        <f t="shared" si="174"/>
        <v>227</v>
      </c>
      <c r="H667" s="243">
        <v>16288</v>
      </c>
      <c r="I667" s="243">
        <f t="shared" si="175"/>
        <v>3697376</v>
      </c>
      <c r="J667" s="8"/>
      <c r="K667" s="8">
        <f t="shared" si="164"/>
        <v>16540</v>
      </c>
      <c r="L667" s="8">
        <f t="shared" si="169"/>
        <v>2745640</v>
      </c>
      <c r="M667" s="9" t="str">
        <f t="array" ref="M667:P667">_xlfn.XLOOKUP(B667,'Neiva 2022 FASE I ACTUAL (5)'!$B$6:$B$540,'Neiva 2022 FASE I ACTUAL (5)'!$C$6:$F$540,"NO ESTA")</f>
        <v>SUMINISTRO E INSTALACION TUBERÍA EMT DE 3/4" INCLUYE ACCESORIOS</v>
      </c>
      <c r="N667" s="9" t="str">
        <v>ML</v>
      </c>
      <c r="O667" s="9">
        <v>61</v>
      </c>
      <c r="P667" s="9">
        <v>15631</v>
      </c>
      <c r="Q667" s="124" t="str">
        <f t="shared" si="172"/>
        <v>FASE II</v>
      </c>
      <c r="R667" s="155">
        <f t="shared" si="168"/>
        <v>227</v>
      </c>
      <c r="S667" s="156">
        <f t="shared" si="170"/>
        <v>16540</v>
      </c>
      <c r="T667" s="156">
        <f t="shared" si="171"/>
        <v>3754580</v>
      </c>
    </row>
    <row r="668" spans="1:20" s="9" customFormat="1" ht="35.1" customHeight="1" x14ac:dyDescent="0.25">
      <c r="A668" s="215"/>
      <c r="B668" s="255" t="s">
        <v>969</v>
      </c>
      <c r="C668" s="254" t="s">
        <v>970</v>
      </c>
      <c r="D668" s="240" t="s">
        <v>94</v>
      </c>
      <c r="E668" s="242">
        <v>22</v>
      </c>
      <c r="F668" s="242">
        <f t="shared" si="173"/>
        <v>8</v>
      </c>
      <c r="G668" s="242">
        <f t="shared" si="174"/>
        <v>30</v>
      </c>
      <c r="H668" s="243">
        <v>6002</v>
      </c>
      <c r="I668" s="243">
        <f t="shared" si="175"/>
        <v>180060</v>
      </c>
      <c r="J668" s="8"/>
      <c r="K668" s="8">
        <f t="shared" si="164"/>
        <v>6095</v>
      </c>
      <c r="L668" s="8">
        <f t="shared" si="169"/>
        <v>134090</v>
      </c>
      <c r="M668" s="9" t="str">
        <f t="array" ref="M668:P668">_xlfn.XLOOKUP(B668,'Neiva 2022 FASE I ACTUAL (5)'!$B$6:$B$540,'Neiva 2022 FASE I ACTUAL (5)'!$C$6:$F$540,"NO ESTA")</f>
        <v>SUMINISTRO E INSTALACION TUBERÍA PVC DE 1" INCLUYE ACCESORIOS</v>
      </c>
      <c r="N668" s="9" t="str">
        <v>ML</v>
      </c>
      <c r="O668" s="9">
        <v>8</v>
      </c>
      <c r="P668" s="9">
        <v>5759</v>
      </c>
      <c r="Q668" s="124" t="str">
        <f t="shared" si="172"/>
        <v>FASE II</v>
      </c>
      <c r="R668" s="155">
        <f t="shared" si="168"/>
        <v>30</v>
      </c>
      <c r="S668" s="156">
        <f t="shared" si="170"/>
        <v>6095</v>
      </c>
      <c r="T668" s="156">
        <f t="shared" si="171"/>
        <v>182850</v>
      </c>
    </row>
    <row r="669" spans="1:20" s="9" customFormat="1" ht="35.1" customHeight="1" x14ac:dyDescent="0.25">
      <c r="A669" s="215"/>
      <c r="B669" s="255" t="s">
        <v>971</v>
      </c>
      <c r="C669" s="254" t="s">
        <v>972</v>
      </c>
      <c r="D669" s="240" t="s">
        <v>94</v>
      </c>
      <c r="E669" s="242">
        <v>84</v>
      </c>
      <c r="F669" s="242">
        <f t="shared" si="173"/>
        <v>31</v>
      </c>
      <c r="G669" s="242">
        <f t="shared" si="174"/>
        <v>115</v>
      </c>
      <c r="H669" s="243">
        <v>4829</v>
      </c>
      <c r="I669" s="243">
        <f t="shared" si="175"/>
        <v>555335</v>
      </c>
      <c r="J669" s="8"/>
      <c r="K669" s="8">
        <f t="shared" si="164"/>
        <v>4904</v>
      </c>
      <c r="L669" s="8">
        <f t="shared" si="169"/>
        <v>411936</v>
      </c>
      <c r="M669" s="9" t="str">
        <f t="array" ref="M669:P669">_xlfn.XLOOKUP(B669,'Neiva 2022 FASE I ACTUAL (5)'!$B$6:$B$540,'Neiva 2022 FASE I ACTUAL (5)'!$C$6:$F$540,"NO ESTA")</f>
        <v>SUMINISTRO E INSTALACION TUBERÍA PVC DE 3/4" INCLUYE ACCESORIOS</v>
      </c>
      <c r="N669" s="9" t="str">
        <v>ML</v>
      </c>
      <c r="O669" s="9">
        <v>31</v>
      </c>
      <c r="P669" s="9">
        <v>4633</v>
      </c>
      <c r="Q669" s="124" t="str">
        <f t="shared" si="172"/>
        <v>FASE II</v>
      </c>
      <c r="R669" s="155">
        <f t="shared" si="168"/>
        <v>115</v>
      </c>
      <c r="S669" s="156">
        <f t="shared" si="170"/>
        <v>4904</v>
      </c>
      <c r="T669" s="156">
        <f t="shared" si="171"/>
        <v>563960</v>
      </c>
    </row>
    <row r="670" spans="1:20" s="9" customFormat="1" ht="35.1" customHeight="1" x14ac:dyDescent="0.25">
      <c r="A670" s="215"/>
      <c r="B670" s="255" t="s">
        <v>973</v>
      </c>
      <c r="C670" s="254" t="s">
        <v>974</v>
      </c>
      <c r="D670" s="240" t="s">
        <v>16</v>
      </c>
      <c r="E670" s="242">
        <v>2</v>
      </c>
      <c r="F670" s="242">
        <f t="shared" si="173"/>
        <v>4</v>
      </c>
      <c r="G670" s="242">
        <f t="shared" si="174"/>
        <v>6</v>
      </c>
      <c r="H670" s="243">
        <v>783095</v>
      </c>
      <c r="I670" s="243">
        <f t="shared" si="175"/>
        <v>4698570</v>
      </c>
      <c r="J670" s="8"/>
      <c r="K670" s="8">
        <f t="shared" si="164"/>
        <v>795233</v>
      </c>
      <c r="L670" s="8">
        <f t="shared" si="169"/>
        <v>1590466</v>
      </c>
      <c r="M670" s="9" t="str">
        <f t="array" ref="M670:P670">_xlfn.XLOOKUP(B670,'Neiva 2022 FASE I ACTUAL (5)'!$B$6:$B$540,'Neiva 2022 FASE I ACTUAL (5)'!$C$6:$F$540,"NO ESTA")</f>
        <v>SUMINISTRO E INSTALACION PARRILLA ORGANIZADORA DE CABLES DE 1,20 x 0,6 m</v>
      </c>
      <c r="N670" s="9" t="str">
        <v>UND</v>
      </c>
      <c r="O670" s="9">
        <v>4</v>
      </c>
      <c r="P670" s="9">
        <v>751513</v>
      </c>
      <c r="Q670" s="124" t="str">
        <f t="shared" si="172"/>
        <v>FASE II</v>
      </c>
      <c r="R670" s="155">
        <f t="shared" si="168"/>
        <v>6</v>
      </c>
      <c r="S670" s="156">
        <f t="shared" si="170"/>
        <v>795233</v>
      </c>
      <c r="T670" s="156">
        <f t="shared" si="171"/>
        <v>4771398</v>
      </c>
    </row>
    <row r="671" spans="1:20" s="9" customFormat="1" ht="35.1" customHeight="1" x14ac:dyDescent="0.25">
      <c r="A671" s="215"/>
      <c r="B671" s="255" t="s">
        <v>975</v>
      </c>
      <c r="C671" s="254" t="s">
        <v>976</v>
      </c>
      <c r="D671" s="240" t="s">
        <v>16</v>
      </c>
      <c r="E671" s="242">
        <v>4</v>
      </c>
      <c r="F671" s="242">
        <f t="shared" si="173"/>
        <v>4</v>
      </c>
      <c r="G671" s="242">
        <f t="shared" si="174"/>
        <v>8</v>
      </c>
      <c r="H671" s="243">
        <v>13128</v>
      </c>
      <c r="I671" s="243">
        <f t="shared" si="175"/>
        <v>105024</v>
      </c>
      <c r="J671" s="8"/>
      <c r="K671" s="8">
        <f t="shared" si="164"/>
        <v>13331</v>
      </c>
      <c r="L671" s="8">
        <f t="shared" si="169"/>
        <v>53324</v>
      </c>
      <c r="M671" s="9" t="str">
        <f t="array" ref="M671:P671">_xlfn.XLOOKUP(B671,'Neiva 2022 FASE I ACTUAL (5)'!$B$6:$B$540,'Neiva 2022 FASE I ACTUAL (5)'!$C$6:$F$540,"NO ESTA")</f>
        <v>SUMINISTRO E INSTALACION CAJA DE PASO 10 x 10 m DOBLE FONDO</v>
      </c>
      <c r="N671" s="9" t="str">
        <v>UND</v>
      </c>
      <c r="O671" s="9">
        <v>4</v>
      </c>
      <c r="P671" s="9">
        <v>12598</v>
      </c>
      <c r="Q671" s="124" t="str">
        <f t="shared" si="172"/>
        <v>FASE II</v>
      </c>
      <c r="R671" s="155">
        <f t="shared" si="168"/>
        <v>8</v>
      </c>
      <c r="S671" s="156">
        <f t="shared" si="170"/>
        <v>13331</v>
      </c>
      <c r="T671" s="156">
        <f t="shared" si="171"/>
        <v>106648</v>
      </c>
    </row>
    <row r="672" spans="1:20" s="9" customFormat="1" ht="35.1" customHeight="1" x14ac:dyDescent="0.25">
      <c r="A672" s="215"/>
      <c r="B672" s="244" t="s">
        <v>977</v>
      </c>
      <c r="C672" s="256" t="s">
        <v>978</v>
      </c>
      <c r="D672" s="256"/>
      <c r="E672" s="246"/>
      <c r="F672" s="246"/>
      <c r="G672" s="246"/>
      <c r="H672" s="303"/>
      <c r="I672" s="246"/>
      <c r="J672" s="8"/>
      <c r="K672" s="8">
        <f t="shared" si="164"/>
        <v>0</v>
      </c>
      <c r="L672" s="8">
        <f t="shared" si="169"/>
        <v>0</v>
      </c>
      <c r="M672" s="9" t="str">
        <f t="array" ref="M672:P672">_xlfn.XLOOKUP(B672,'Neiva 2022 FASE I ACTUAL (5)'!$B$6:$B$540,'Neiva 2022 FASE I ACTUAL (5)'!$C$6:$F$540,"NO ESTA")</f>
        <v xml:space="preserve">SUMINISTRO E INSTALACIÓN DE REDES ELECTRICAS ESPECIALES </v>
      </c>
      <c r="N672" s="9">
        <v>0</v>
      </c>
      <c r="O672" s="9">
        <v>0</v>
      </c>
      <c r="P672" s="9">
        <v>0</v>
      </c>
      <c r="Q672" s="124">
        <f t="shared" si="172"/>
        <v>0</v>
      </c>
      <c r="R672" s="155">
        <f t="shared" si="168"/>
        <v>0</v>
      </c>
      <c r="S672" s="156">
        <f t="shared" si="170"/>
        <v>0</v>
      </c>
      <c r="T672" s="156">
        <f t="shared" si="171"/>
        <v>0</v>
      </c>
    </row>
    <row r="673" spans="1:20" s="9" customFormat="1" ht="35.1" customHeight="1" x14ac:dyDescent="0.25">
      <c r="A673" s="215"/>
      <c r="B673" s="255" t="s">
        <v>979</v>
      </c>
      <c r="C673" s="254" t="s">
        <v>980</v>
      </c>
      <c r="D673" s="240" t="s">
        <v>16</v>
      </c>
      <c r="E673" s="242">
        <v>2</v>
      </c>
      <c r="F673" s="242">
        <f>+O673</f>
        <v>2</v>
      </c>
      <c r="G673" s="242">
        <f>+F673+E673</f>
        <v>4</v>
      </c>
      <c r="H673" s="243">
        <v>65231</v>
      </c>
      <c r="I673" s="243">
        <f>ROUND(+H673*G673,2)</f>
        <v>260924</v>
      </c>
      <c r="J673" s="8"/>
      <c r="K673" s="8">
        <f t="shared" si="164"/>
        <v>66242</v>
      </c>
      <c r="L673" s="8">
        <f t="shared" si="169"/>
        <v>132484</v>
      </c>
      <c r="M673" s="9" t="str">
        <f t="array" ref="M673:P673">_xlfn.XLOOKUP(B673,'Neiva 2022 FASE I ACTUAL (5)'!$B$6:$B$540,'Neiva 2022 FASE I ACTUAL (5)'!$C$6:$F$540,"NO ESTA")</f>
        <v>SUMINISTRO E INSTALACION SALIDA TOMA NEMA L5-30 RAWELT</v>
      </c>
      <c r="N673" s="9" t="str">
        <v>UND</v>
      </c>
      <c r="O673" s="9">
        <v>2</v>
      </c>
      <c r="P673" s="9">
        <v>62600</v>
      </c>
      <c r="Q673" s="124" t="str">
        <f t="shared" si="172"/>
        <v>FASE II</v>
      </c>
      <c r="R673" s="155">
        <f t="shared" si="168"/>
        <v>4</v>
      </c>
      <c r="S673" s="156">
        <f t="shared" si="170"/>
        <v>66242</v>
      </c>
      <c r="T673" s="156">
        <f t="shared" si="171"/>
        <v>264968</v>
      </c>
    </row>
    <row r="674" spans="1:20" s="9" customFormat="1" ht="35.1" customHeight="1" x14ac:dyDescent="0.25">
      <c r="A674" s="215"/>
      <c r="B674" s="255" t="s">
        <v>981</v>
      </c>
      <c r="C674" s="254" t="s">
        <v>982</v>
      </c>
      <c r="D674" s="240" t="s">
        <v>94</v>
      </c>
      <c r="E674" s="242">
        <v>2</v>
      </c>
      <c r="F674" s="242">
        <f>+O674</f>
        <v>2</v>
      </c>
      <c r="G674" s="242">
        <f>+F674+E674</f>
        <v>4</v>
      </c>
      <c r="H674" s="243">
        <v>6570</v>
      </c>
      <c r="I674" s="243">
        <f>ROUND(+H674*G674,2)</f>
        <v>26280</v>
      </c>
      <c r="J674" s="8"/>
      <c r="K674" s="8">
        <f t="shared" si="164"/>
        <v>6672</v>
      </c>
      <c r="L674" s="8">
        <f t="shared" si="169"/>
        <v>13344</v>
      </c>
      <c r="M674" s="9" t="str">
        <f t="array" ref="M674:P674">_xlfn.XLOOKUP(B674,'Neiva 2022 FASE I ACTUAL (5)'!$B$6:$B$540,'Neiva 2022 FASE I ACTUAL (5)'!$C$6:$F$540,"NO ESTA")</f>
        <v>SUMINISTRO E INSTALACION CIRCUITO PREENSAMBLADO AZUL MONOFÁSICO NORMAL PARA RACK</v>
      </c>
      <c r="N674" s="9" t="str">
        <v>ML</v>
      </c>
      <c r="O674" s="9">
        <v>2</v>
      </c>
      <c r="P674" s="9">
        <v>6306</v>
      </c>
      <c r="Q674" s="124" t="str">
        <f t="shared" si="172"/>
        <v>FASE II</v>
      </c>
      <c r="R674" s="155">
        <f t="shared" si="168"/>
        <v>4</v>
      </c>
      <c r="S674" s="156">
        <f t="shared" si="170"/>
        <v>6672</v>
      </c>
      <c r="T674" s="156">
        <f t="shared" si="171"/>
        <v>26688</v>
      </c>
    </row>
    <row r="675" spans="1:20" s="9" customFormat="1" ht="35.1" customHeight="1" x14ac:dyDescent="0.25">
      <c r="A675" s="215"/>
      <c r="B675" s="255" t="s">
        <v>983</v>
      </c>
      <c r="C675" s="254" t="s">
        <v>984</v>
      </c>
      <c r="D675" s="240" t="s">
        <v>94</v>
      </c>
      <c r="E675" s="242">
        <v>2</v>
      </c>
      <c r="F675" s="242">
        <f>+O675</f>
        <v>2</v>
      </c>
      <c r="G675" s="242">
        <f>+F675+E675</f>
        <v>4</v>
      </c>
      <c r="H675" s="243">
        <v>6570</v>
      </c>
      <c r="I675" s="243">
        <f>ROUND(+H675*G675,2)</f>
        <v>26280</v>
      </c>
      <c r="J675" s="8"/>
      <c r="K675" s="8">
        <f t="shared" si="164"/>
        <v>6672</v>
      </c>
      <c r="L675" s="8">
        <f t="shared" si="169"/>
        <v>13344</v>
      </c>
      <c r="M675" s="9" t="str">
        <f t="array" ref="M675:P675">_xlfn.XLOOKUP(B675,'Neiva 2022 FASE I ACTUAL (5)'!$B$6:$B$540,'Neiva 2022 FASE I ACTUAL (5)'!$C$6:$F$540,"NO ESTA")</f>
        <v>SUMINISTRO E INSTALACION CIRCUITO PREENSAMBLADO ROJO MONOFÁSICO REGULADO PARA RACK</v>
      </c>
      <c r="N675" s="9" t="str">
        <v>ML</v>
      </c>
      <c r="O675" s="9">
        <v>2</v>
      </c>
      <c r="P675" s="9">
        <v>6306</v>
      </c>
      <c r="Q675" s="124" t="str">
        <f t="shared" si="172"/>
        <v>FASE II</v>
      </c>
      <c r="R675" s="155">
        <f t="shared" si="168"/>
        <v>4</v>
      </c>
      <c r="S675" s="156">
        <f t="shared" si="170"/>
        <v>6672</v>
      </c>
      <c r="T675" s="156">
        <f t="shared" si="171"/>
        <v>26688</v>
      </c>
    </row>
    <row r="676" spans="1:20" s="9" customFormat="1" ht="35.1" customHeight="1" x14ac:dyDescent="0.25">
      <c r="A676" s="215"/>
      <c r="B676" s="255" t="s">
        <v>985</v>
      </c>
      <c r="C676" s="254" t="s">
        <v>986</v>
      </c>
      <c r="D676" s="240" t="s">
        <v>16</v>
      </c>
      <c r="E676" s="242">
        <v>2</v>
      </c>
      <c r="F676" s="242">
        <f>+O676</f>
        <v>2</v>
      </c>
      <c r="G676" s="242">
        <f>+F676+E676</f>
        <v>4</v>
      </c>
      <c r="H676" s="243">
        <v>642723</v>
      </c>
      <c r="I676" s="243">
        <f>ROUND(+H676*G676,2)</f>
        <v>2570892</v>
      </c>
      <c r="J676" s="8"/>
      <c r="K676" s="8">
        <f t="shared" si="164"/>
        <v>652685</v>
      </c>
      <c r="L676" s="8">
        <f t="shared" si="169"/>
        <v>1305370</v>
      </c>
      <c r="M676" s="9" t="str">
        <f t="array" ref="M676:P676">_xlfn.XLOOKUP(B676,'Neiva 2022 FASE I ACTUAL (5)'!$B$6:$B$540,'Neiva 2022 FASE I ACTUAL (5)'!$C$6:$F$540,"NO ESTA")</f>
        <v>SUMINISTRO E INSTALACION BARRAJE DE PUESTA A TIERRA PARA RACK TGB</v>
      </c>
      <c r="N676" s="9" t="str">
        <v>UND</v>
      </c>
      <c r="O676" s="9">
        <v>2</v>
      </c>
      <c r="P676" s="9">
        <v>616802</v>
      </c>
      <c r="Q676" s="124" t="str">
        <f t="shared" si="172"/>
        <v>FASE II</v>
      </c>
      <c r="R676" s="155">
        <f t="shared" si="168"/>
        <v>4</v>
      </c>
      <c r="S676" s="156">
        <f t="shared" si="170"/>
        <v>652685</v>
      </c>
      <c r="T676" s="156">
        <f t="shared" si="171"/>
        <v>2610740</v>
      </c>
    </row>
    <row r="677" spans="1:20" s="9" customFormat="1" ht="35.1" customHeight="1" x14ac:dyDescent="0.25">
      <c r="A677" s="215"/>
      <c r="B677" s="244" t="s">
        <v>987</v>
      </c>
      <c r="C677" s="256" t="s">
        <v>988</v>
      </c>
      <c r="D677" s="256"/>
      <c r="E677" s="246"/>
      <c r="F677" s="246"/>
      <c r="G677" s="246"/>
      <c r="H677" s="303"/>
      <c r="I677" s="246"/>
      <c r="J677" s="8"/>
      <c r="K677" s="8">
        <f t="shared" si="164"/>
        <v>0</v>
      </c>
      <c r="L677" s="8">
        <f t="shared" si="169"/>
        <v>0</v>
      </c>
      <c r="M677" s="9" t="str">
        <f t="array" ref="M677:P677">_xlfn.XLOOKUP(B677,'Neiva 2022 FASE I ACTUAL (5)'!$B$6:$B$540,'Neiva 2022 FASE I ACTUAL (5)'!$C$6:$F$540,"NO ESTA")</f>
        <v>SUMINISTRO E INSTALACION DE EQUIPOS ACTIVOS</v>
      </c>
      <c r="N677" s="9">
        <v>0</v>
      </c>
      <c r="O677" s="9">
        <v>0</v>
      </c>
      <c r="P677" s="9">
        <v>0</v>
      </c>
      <c r="Q677" s="124">
        <f t="shared" si="172"/>
        <v>0</v>
      </c>
      <c r="R677" s="155">
        <f t="shared" si="168"/>
        <v>0</v>
      </c>
      <c r="S677" s="156">
        <f t="shared" si="170"/>
        <v>0</v>
      </c>
      <c r="T677" s="156">
        <f t="shared" si="171"/>
        <v>0</v>
      </c>
    </row>
    <row r="678" spans="1:20" s="9" customFormat="1" ht="35.1" customHeight="1" x14ac:dyDescent="0.25">
      <c r="A678" s="215"/>
      <c r="B678" s="240" t="s">
        <v>989</v>
      </c>
      <c r="C678" s="254" t="s">
        <v>990</v>
      </c>
      <c r="D678" s="240" t="s">
        <v>16</v>
      </c>
      <c r="E678" s="242">
        <v>13</v>
      </c>
      <c r="F678" s="242">
        <f>+O678</f>
        <v>1</v>
      </c>
      <c r="G678" s="242">
        <f>+F678+E678</f>
        <v>14</v>
      </c>
      <c r="H678" s="243">
        <v>7458244</v>
      </c>
      <c r="I678" s="243">
        <f>ROUND(+H678*G678,2)</f>
        <v>104415416</v>
      </c>
      <c r="J678" s="8"/>
      <c r="K678" s="8">
        <f t="shared" si="164"/>
        <v>7573847</v>
      </c>
      <c r="L678" s="8">
        <f t="shared" si="169"/>
        <v>98460011</v>
      </c>
      <c r="M678" s="9" t="str">
        <f t="array" ref="M678:P678">_xlfn.XLOOKUP(B678,'Neiva 2022 FASE I ACTUAL (5)'!$B$6:$B$540,'Neiva 2022 FASE I ACTUAL (5)'!$C$6:$F$540,"NO ESTA")</f>
        <v xml:space="preserve">SUMINISTRO E INSTALACION SWITCHE DE BORDE DE 24 PoE PUERTOS GIGABIT ETHERNET 10/100/1000 Gbps CON PUERTO DE ADMINSITRACION POR CONSOLA </v>
      </c>
      <c r="N678" s="9" t="str">
        <v>UND</v>
      </c>
      <c r="O678" s="9">
        <v>1</v>
      </c>
      <c r="P678" s="9">
        <v>7157462</v>
      </c>
      <c r="Q678" s="124" t="str">
        <f t="shared" si="172"/>
        <v>FASE II</v>
      </c>
      <c r="R678" s="155">
        <f t="shared" si="168"/>
        <v>14</v>
      </c>
      <c r="S678" s="156">
        <f t="shared" si="170"/>
        <v>7573847</v>
      </c>
      <c r="T678" s="156">
        <f t="shared" si="171"/>
        <v>106033858</v>
      </c>
    </row>
    <row r="679" spans="1:20" s="9" customFormat="1" ht="35.1" customHeight="1" x14ac:dyDescent="0.25">
      <c r="A679" s="215"/>
      <c r="B679" s="240" t="s">
        <v>991</v>
      </c>
      <c r="C679" s="254" t="s">
        <v>992</v>
      </c>
      <c r="D679" s="240" t="s">
        <v>16</v>
      </c>
      <c r="E679" s="242">
        <v>0</v>
      </c>
      <c r="F679" s="242">
        <f>+O679</f>
        <v>1</v>
      </c>
      <c r="G679" s="242">
        <f>+F679+E679</f>
        <v>1</v>
      </c>
      <c r="H679" s="243">
        <v>854680</v>
      </c>
      <c r="I679" s="243">
        <f>ROUND(+H679*G679,2)</f>
        <v>854680</v>
      </c>
      <c r="J679" s="8"/>
      <c r="K679" s="8">
        <f t="shared" si="164"/>
        <v>867928</v>
      </c>
      <c r="L679" s="8">
        <f t="shared" si="169"/>
        <v>0</v>
      </c>
      <c r="M679" s="9" t="str">
        <f t="array" ref="M679:P679">_xlfn.XLOOKUP(B679,'Neiva 2022 FASE I ACTUAL (5)'!$B$6:$B$540,'Neiva 2022 FASE I ACTUAL (5)'!$C$6:$F$540,"NO ESTA")</f>
        <v>SUMINISTRO E INSTALACION MODULO SFP 10G</v>
      </c>
      <c r="N679" s="9" t="str">
        <v>UND</v>
      </c>
      <c r="O679" s="9">
        <v>1</v>
      </c>
      <c r="P679" s="9">
        <v>820212</v>
      </c>
      <c r="Q679" s="124" t="str">
        <f t="shared" si="172"/>
        <v>FASE II</v>
      </c>
      <c r="R679" s="155">
        <f t="shared" si="168"/>
        <v>1</v>
      </c>
      <c r="S679" s="156">
        <f t="shared" si="170"/>
        <v>867928</v>
      </c>
      <c r="T679" s="156">
        <f t="shared" si="171"/>
        <v>867928</v>
      </c>
    </row>
    <row r="680" spans="1:20" s="9" customFormat="1" ht="35.1" customHeight="1" x14ac:dyDescent="0.25">
      <c r="A680" s="215"/>
      <c r="B680" s="266">
        <v>19</v>
      </c>
      <c r="C680" s="267" t="s">
        <v>993</v>
      </c>
      <c r="D680" s="267"/>
      <c r="E680" s="268"/>
      <c r="F680" s="268"/>
      <c r="G680" s="268"/>
      <c r="H680" s="306"/>
      <c r="I680" s="268"/>
      <c r="J680" s="8"/>
      <c r="K680" s="8">
        <f t="shared" si="164"/>
        <v>0</v>
      </c>
      <c r="L680" s="8">
        <f t="shared" si="169"/>
        <v>0</v>
      </c>
      <c r="M680" s="9" t="str">
        <f t="array" ref="M680:P680">_xlfn.XLOOKUP(B680,'Neiva 2022 FASE I ACTUAL (5)'!$B$6:$B$540,'Neiva 2022 FASE I ACTUAL (5)'!$C$6:$F$540,"NO ESTA")</f>
        <v>SEGURIDAD ELÉCTRONICA (CCTV, CONTROL ACCESOS, DETECCION INCENDIOS Y SONIDO)</v>
      </c>
      <c r="N680" s="9">
        <v>0</v>
      </c>
      <c r="O680" s="9">
        <v>0</v>
      </c>
      <c r="P680" s="9">
        <v>0</v>
      </c>
      <c r="Q680" s="124">
        <f t="shared" si="172"/>
        <v>0</v>
      </c>
      <c r="R680" s="155">
        <f t="shared" si="168"/>
        <v>0</v>
      </c>
      <c r="S680" s="156">
        <f t="shared" si="170"/>
        <v>0</v>
      </c>
      <c r="T680" s="156">
        <f t="shared" si="171"/>
        <v>0</v>
      </c>
    </row>
    <row r="681" spans="1:20" s="9" customFormat="1" ht="35.1" customHeight="1" x14ac:dyDescent="0.25">
      <c r="A681" s="215"/>
      <c r="B681" s="296" t="s">
        <v>1349</v>
      </c>
      <c r="C681" s="297" t="s">
        <v>1350</v>
      </c>
      <c r="D681" s="298"/>
      <c r="E681" s="299"/>
      <c r="F681" s="246"/>
      <c r="G681" s="246"/>
      <c r="H681" s="303"/>
      <c r="I681" s="246"/>
      <c r="J681" s="8"/>
      <c r="K681" s="8">
        <f t="shared" si="164"/>
        <v>0</v>
      </c>
      <c r="L681" s="8">
        <f t="shared" si="169"/>
        <v>0</v>
      </c>
      <c r="M681" s="9" t="str">
        <f t="array" ref="M681">_xlfn.XLOOKUP(B681,'Neiva 2022 FASE I ACTUAL (5)'!$B$6:$B$540,'Neiva 2022 FASE I ACTUAL (5)'!$C$6:$F$540,"NO ESTA")</f>
        <v>NO ESTA</v>
      </c>
      <c r="Q681" s="124">
        <f t="shared" si="172"/>
        <v>0</v>
      </c>
      <c r="R681" s="155">
        <f t="shared" si="168"/>
        <v>0</v>
      </c>
      <c r="S681" s="156">
        <f t="shared" si="170"/>
        <v>0</v>
      </c>
      <c r="T681" s="156">
        <f t="shared" si="171"/>
        <v>0</v>
      </c>
    </row>
    <row r="682" spans="1:20" s="9" customFormat="1" ht="35.1" customHeight="1" x14ac:dyDescent="0.25">
      <c r="A682" s="215"/>
      <c r="B682" s="255" t="s">
        <v>1351</v>
      </c>
      <c r="C682" s="254" t="s">
        <v>1352</v>
      </c>
      <c r="D682" s="240" t="s">
        <v>16</v>
      </c>
      <c r="E682" s="242">
        <v>10</v>
      </c>
      <c r="F682" s="242">
        <f t="shared" ref="F682:F688" si="176">+O682</f>
        <v>0</v>
      </c>
      <c r="G682" s="242">
        <f t="shared" ref="G682:G688" si="177">+F682+E682</f>
        <v>10</v>
      </c>
      <c r="H682" s="243">
        <v>1280193</v>
      </c>
      <c r="I682" s="243">
        <f t="shared" ref="I682:I688" si="178">ROUND(+H682*G682,2)</f>
        <v>12801930</v>
      </c>
      <c r="J682" s="8"/>
      <c r="K682" s="8">
        <f t="shared" si="164"/>
        <v>1300036</v>
      </c>
      <c r="L682" s="8">
        <f t="shared" si="169"/>
        <v>13000360</v>
      </c>
      <c r="M682" s="9" t="str">
        <f t="array" ref="M682">_xlfn.XLOOKUP(B682,'Neiva 2022 FASE I ACTUAL (5)'!$B$6:$B$540,'Neiva 2022 FASE I ACTUAL (5)'!$C$6:$F$540,"NO ESTA")</f>
        <v>NO ESTA</v>
      </c>
      <c r="Q682" s="124">
        <f t="shared" si="172"/>
        <v>0</v>
      </c>
      <c r="R682" s="155">
        <f t="shared" si="168"/>
        <v>10</v>
      </c>
      <c r="S682" s="156">
        <f t="shared" si="170"/>
        <v>1300036</v>
      </c>
      <c r="T682" s="156">
        <f t="shared" si="171"/>
        <v>13000360</v>
      </c>
    </row>
    <row r="683" spans="1:20" s="9" customFormat="1" ht="35.1" customHeight="1" x14ac:dyDescent="0.25">
      <c r="A683" s="215"/>
      <c r="B683" s="255" t="s">
        <v>1353</v>
      </c>
      <c r="C683" s="254" t="s">
        <v>1354</v>
      </c>
      <c r="D683" s="240" t="s">
        <v>16</v>
      </c>
      <c r="E683" s="242">
        <v>19</v>
      </c>
      <c r="F683" s="242">
        <f t="shared" si="176"/>
        <v>0</v>
      </c>
      <c r="G683" s="242">
        <f t="shared" si="177"/>
        <v>19</v>
      </c>
      <c r="H683" s="243">
        <v>1736808</v>
      </c>
      <c r="I683" s="243">
        <f t="shared" si="178"/>
        <v>32999352</v>
      </c>
      <c r="J683" s="8"/>
      <c r="K683" s="8">
        <f t="shared" si="164"/>
        <v>1763729</v>
      </c>
      <c r="L683" s="8">
        <f t="shared" si="169"/>
        <v>33510851</v>
      </c>
      <c r="M683" s="9" t="str">
        <f t="array" ref="M683">_xlfn.XLOOKUP(B683,'Neiva 2022 FASE I ACTUAL (5)'!$B$6:$B$540,'Neiva 2022 FASE I ACTUAL (5)'!$C$6:$F$540,"NO ESTA")</f>
        <v>NO ESTA</v>
      </c>
      <c r="Q683" s="124">
        <f t="shared" si="172"/>
        <v>0</v>
      </c>
      <c r="R683" s="155">
        <f t="shared" si="168"/>
        <v>19</v>
      </c>
      <c r="S683" s="156">
        <f t="shared" si="170"/>
        <v>1763729</v>
      </c>
      <c r="T683" s="156">
        <f t="shared" si="171"/>
        <v>33510851</v>
      </c>
    </row>
    <row r="684" spans="1:20" s="9" customFormat="1" ht="35.1" customHeight="1" x14ac:dyDescent="0.25">
      <c r="A684" s="215"/>
      <c r="B684" s="255" t="s">
        <v>1355</v>
      </c>
      <c r="C684" s="254" t="s">
        <v>1356</v>
      </c>
      <c r="D684" s="240" t="s">
        <v>16</v>
      </c>
      <c r="E684" s="242">
        <v>2</v>
      </c>
      <c r="F684" s="242">
        <f t="shared" si="176"/>
        <v>0</v>
      </c>
      <c r="G684" s="242">
        <f t="shared" si="177"/>
        <v>2</v>
      </c>
      <c r="H684" s="243">
        <v>3738297</v>
      </c>
      <c r="I684" s="243">
        <f t="shared" si="178"/>
        <v>7476594</v>
      </c>
      <c r="J684" s="8"/>
      <c r="K684" s="8">
        <f t="shared" si="164"/>
        <v>3796241</v>
      </c>
      <c r="L684" s="8">
        <f t="shared" si="169"/>
        <v>7592482</v>
      </c>
      <c r="M684" s="9" t="str">
        <f t="array" ref="M684">_xlfn.XLOOKUP(B684,'Neiva 2022 FASE I ACTUAL (5)'!$B$6:$B$540,'Neiva 2022 FASE I ACTUAL (5)'!$C$6:$F$540,"NO ESTA")</f>
        <v>NO ESTA</v>
      </c>
      <c r="Q684" s="124">
        <f t="shared" si="172"/>
        <v>0</v>
      </c>
      <c r="R684" s="155">
        <f t="shared" si="168"/>
        <v>2</v>
      </c>
      <c r="S684" s="156">
        <f t="shared" si="170"/>
        <v>3796241</v>
      </c>
      <c r="T684" s="156">
        <f t="shared" si="171"/>
        <v>7592482</v>
      </c>
    </row>
    <row r="685" spans="1:20" s="9" customFormat="1" ht="35.1" customHeight="1" x14ac:dyDescent="0.25">
      <c r="A685" s="215"/>
      <c r="B685" s="255" t="s">
        <v>1357</v>
      </c>
      <c r="C685" s="254" t="s">
        <v>1358</v>
      </c>
      <c r="D685" s="240" t="s">
        <v>16</v>
      </c>
      <c r="E685" s="242">
        <v>29</v>
      </c>
      <c r="F685" s="242">
        <f t="shared" si="176"/>
        <v>0</v>
      </c>
      <c r="G685" s="242">
        <f t="shared" si="177"/>
        <v>29</v>
      </c>
      <c r="H685" s="243">
        <v>366139</v>
      </c>
      <c r="I685" s="243">
        <f t="shared" si="178"/>
        <v>10618031</v>
      </c>
      <c r="J685" s="8"/>
      <c r="K685" s="8">
        <f t="shared" si="164"/>
        <v>371814</v>
      </c>
      <c r="L685" s="8">
        <f t="shared" si="169"/>
        <v>10782606</v>
      </c>
      <c r="M685" s="9" t="str">
        <f t="array" ref="M685">_xlfn.XLOOKUP(B685,'Neiva 2022 FASE I ACTUAL (5)'!$B$6:$B$540,'Neiva 2022 FASE I ACTUAL (5)'!$C$6:$F$540,"NO ESTA")</f>
        <v>NO ESTA</v>
      </c>
      <c r="Q685" s="124">
        <f t="shared" si="172"/>
        <v>0</v>
      </c>
      <c r="R685" s="155">
        <f t="shared" si="168"/>
        <v>29</v>
      </c>
      <c r="S685" s="156">
        <f t="shared" si="170"/>
        <v>371814</v>
      </c>
      <c r="T685" s="156">
        <f t="shared" si="171"/>
        <v>10782606</v>
      </c>
    </row>
    <row r="686" spans="1:20" s="9" customFormat="1" ht="35.1" customHeight="1" x14ac:dyDescent="0.25">
      <c r="A686" s="215"/>
      <c r="B686" s="255" t="s">
        <v>1359</v>
      </c>
      <c r="C686" s="254" t="s">
        <v>1360</v>
      </c>
      <c r="D686" s="240" t="s">
        <v>16</v>
      </c>
      <c r="E686" s="242">
        <v>2</v>
      </c>
      <c r="F686" s="242">
        <f t="shared" si="176"/>
        <v>0</v>
      </c>
      <c r="G686" s="242">
        <f t="shared" si="177"/>
        <v>2</v>
      </c>
      <c r="H686" s="243">
        <v>8517262</v>
      </c>
      <c r="I686" s="243">
        <f t="shared" si="178"/>
        <v>17034524</v>
      </c>
      <c r="J686" s="8"/>
      <c r="K686" s="8">
        <f t="shared" si="164"/>
        <v>8649280</v>
      </c>
      <c r="L686" s="8">
        <f t="shared" si="169"/>
        <v>17298560</v>
      </c>
      <c r="M686" s="9" t="str">
        <f t="array" ref="M686">_xlfn.XLOOKUP(B686,'Neiva 2022 FASE I ACTUAL (5)'!$B$6:$B$540,'Neiva 2022 FASE I ACTUAL (5)'!$C$6:$F$540,"NO ESTA")</f>
        <v>NO ESTA</v>
      </c>
      <c r="Q686" s="124">
        <f t="shared" si="172"/>
        <v>0</v>
      </c>
      <c r="R686" s="155">
        <f t="shared" si="168"/>
        <v>2</v>
      </c>
      <c r="S686" s="156">
        <f t="shared" si="170"/>
        <v>8649280</v>
      </c>
      <c r="T686" s="156">
        <f t="shared" si="171"/>
        <v>17298560</v>
      </c>
    </row>
    <row r="687" spans="1:20" s="9" customFormat="1" ht="35.1" customHeight="1" x14ac:dyDescent="0.25">
      <c r="A687" s="215"/>
      <c r="B687" s="255" t="s">
        <v>1361</v>
      </c>
      <c r="C687" s="254" t="s">
        <v>1362</v>
      </c>
      <c r="D687" s="240" t="s">
        <v>16</v>
      </c>
      <c r="E687" s="242">
        <v>2</v>
      </c>
      <c r="F687" s="242">
        <f t="shared" si="176"/>
        <v>0</v>
      </c>
      <c r="G687" s="242">
        <f t="shared" si="177"/>
        <v>2</v>
      </c>
      <c r="H687" s="243">
        <v>9061006</v>
      </c>
      <c r="I687" s="243">
        <f t="shared" si="178"/>
        <v>18122012</v>
      </c>
      <c r="J687" s="8"/>
      <c r="K687" s="8">
        <f t="shared" si="164"/>
        <v>9201452</v>
      </c>
      <c r="L687" s="8">
        <f t="shared" si="169"/>
        <v>18402904</v>
      </c>
      <c r="M687" s="9" t="str">
        <f t="array" ref="M687">_xlfn.XLOOKUP(B687,'Neiva 2022 FASE I ACTUAL (5)'!$B$6:$B$540,'Neiva 2022 FASE I ACTUAL (5)'!$C$6:$F$540,"NO ESTA")</f>
        <v>NO ESTA</v>
      </c>
      <c r="Q687" s="124">
        <f t="shared" si="172"/>
        <v>0</v>
      </c>
      <c r="R687" s="155">
        <f t="shared" si="168"/>
        <v>2</v>
      </c>
      <c r="S687" s="156">
        <f t="shared" si="170"/>
        <v>9201452</v>
      </c>
      <c r="T687" s="156">
        <f t="shared" si="171"/>
        <v>18402904</v>
      </c>
    </row>
    <row r="688" spans="1:20" s="9" customFormat="1" ht="35.1" customHeight="1" x14ac:dyDescent="0.25">
      <c r="A688" s="215"/>
      <c r="B688" s="255" t="s">
        <v>1363</v>
      </c>
      <c r="C688" s="254" t="s">
        <v>1364</v>
      </c>
      <c r="D688" s="240" t="s">
        <v>1182</v>
      </c>
      <c r="E688" s="242">
        <v>1</v>
      </c>
      <c r="F688" s="242">
        <f t="shared" si="176"/>
        <v>0</v>
      </c>
      <c r="G688" s="242">
        <f t="shared" si="177"/>
        <v>1</v>
      </c>
      <c r="H688" s="243">
        <v>2901198</v>
      </c>
      <c r="I688" s="243">
        <f t="shared" si="178"/>
        <v>2901198</v>
      </c>
      <c r="J688" s="8"/>
      <c r="K688" s="8">
        <f t="shared" si="164"/>
        <v>2946167</v>
      </c>
      <c r="L688" s="8">
        <f t="shared" si="169"/>
        <v>2946167</v>
      </c>
      <c r="M688" s="9" t="str">
        <f t="array" ref="M688">_xlfn.XLOOKUP(B688,'Neiva 2022 FASE I ACTUAL (5)'!$B$6:$B$540,'Neiva 2022 FASE I ACTUAL (5)'!$C$6:$F$540,"NO ESTA")</f>
        <v>NO ESTA</v>
      </c>
      <c r="Q688" s="124">
        <f t="shared" si="172"/>
        <v>0</v>
      </c>
      <c r="R688" s="155">
        <f t="shared" si="168"/>
        <v>1</v>
      </c>
      <c r="S688" s="156">
        <f t="shared" si="170"/>
        <v>2946167</v>
      </c>
      <c r="T688" s="156">
        <f t="shared" si="171"/>
        <v>2946167</v>
      </c>
    </row>
    <row r="689" spans="1:20" s="9" customFormat="1" ht="35.1" customHeight="1" x14ac:dyDescent="0.25">
      <c r="A689" s="215"/>
      <c r="B689" s="244" t="s">
        <v>1365</v>
      </c>
      <c r="C689" s="245" t="s">
        <v>1366</v>
      </c>
      <c r="D689" s="260"/>
      <c r="E689" s="246"/>
      <c r="F689" s="246"/>
      <c r="G689" s="246"/>
      <c r="H689" s="303"/>
      <c r="I689" s="246"/>
      <c r="J689" s="8"/>
      <c r="K689" s="8">
        <f t="shared" ref="K689:K719" si="179">+ROUND(H689*(1+$K$4),0)</f>
        <v>0</v>
      </c>
      <c r="L689" s="8">
        <f t="shared" si="169"/>
        <v>0</v>
      </c>
      <c r="M689" s="9" t="str">
        <f t="array" ref="M689">_xlfn.XLOOKUP(B689,'Neiva 2022 FASE I ACTUAL (5)'!$B$6:$B$540,'Neiva 2022 FASE I ACTUAL (5)'!$C$6:$F$540,"NO ESTA")</f>
        <v>NO ESTA</v>
      </c>
      <c r="Q689" s="124">
        <f t="shared" si="172"/>
        <v>0</v>
      </c>
      <c r="R689" s="155">
        <f t="shared" si="168"/>
        <v>0</v>
      </c>
      <c r="S689" s="156">
        <f t="shared" si="170"/>
        <v>0</v>
      </c>
      <c r="T689" s="156">
        <f t="shared" si="171"/>
        <v>0</v>
      </c>
    </row>
    <row r="690" spans="1:20" s="9" customFormat="1" ht="35.1" customHeight="1" x14ac:dyDescent="0.25">
      <c r="A690" s="215"/>
      <c r="B690" s="255" t="s">
        <v>1367</v>
      </c>
      <c r="C690" s="254" t="s">
        <v>1368</v>
      </c>
      <c r="D690" s="240" t="s">
        <v>16</v>
      </c>
      <c r="E690" s="242">
        <v>19</v>
      </c>
      <c r="F690" s="242">
        <f t="shared" ref="F690:F699" si="180">+O690</f>
        <v>0</v>
      </c>
      <c r="G690" s="242">
        <f t="shared" ref="G690:G699" si="181">+F690+E690</f>
        <v>19</v>
      </c>
      <c r="H690" s="243">
        <v>235237</v>
      </c>
      <c r="I690" s="243">
        <f t="shared" ref="I690:I699" si="182">ROUND(+H690*G690,2)</f>
        <v>4469503</v>
      </c>
      <c r="J690" s="8"/>
      <c r="K690" s="8">
        <f t="shared" si="179"/>
        <v>238883</v>
      </c>
      <c r="L690" s="8">
        <f t="shared" si="169"/>
        <v>4538777</v>
      </c>
      <c r="M690" s="9" t="str">
        <f t="array" ref="M690">_xlfn.XLOOKUP(B690,'Neiva 2022 FASE I ACTUAL (5)'!$B$6:$B$540,'Neiva 2022 FASE I ACTUAL (5)'!$C$6:$F$540,"NO ESTA")</f>
        <v>NO ESTA</v>
      </c>
      <c r="Q690" s="124">
        <f t="shared" si="172"/>
        <v>0</v>
      </c>
      <c r="R690" s="155">
        <f t="shared" si="168"/>
        <v>19</v>
      </c>
      <c r="S690" s="156">
        <f t="shared" si="170"/>
        <v>238883</v>
      </c>
      <c r="T690" s="156">
        <f t="shared" si="171"/>
        <v>4538777</v>
      </c>
    </row>
    <row r="691" spans="1:20" s="9" customFormat="1" ht="35.1" customHeight="1" x14ac:dyDescent="0.25">
      <c r="A691" s="215"/>
      <c r="B691" s="255" t="s">
        <v>1369</v>
      </c>
      <c r="C691" s="254" t="s">
        <v>1370</v>
      </c>
      <c r="D691" s="240" t="s">
        <v>16</v>
      </c>
      <c r="E691" s="242">
        <v>16</v>
      </c>
      <c r="F691" s="242">
        <f t="shared" si="180"/>
        <v>0</v>
      </c>
      <c r="G691" s="242">
        <f t="shared" si="181"/>
        <v>16</v>
      </c>
      <c r="H691" s="243">
        <v>1722138</v>
      </c>
      <c r="I691" s="243">
        <f t="shared" si="182"/>
        <v>27554208</v>
      </c>
      <c r="J691" s="8"/>
      <c r="K691" s="8">
        <f t="shared" si="179"/>
        <v>1748831</v>
      </c>
      <c r="L691" s="8">
        <f t="shared" si="169"/>
        <v>27981296</v>
      </c>
      <c r="M691" s="9" t="str">
        <f t="array" ref="M691">_xlfn.XLOOKUP(B691,'Neiva 2022 FASE I ACTUAL (5)'!$B$6:$B$540,'Neiva 2022 FASE I ACTUAL (5)'!$C$6:$F$540,"NO ESTA")</f>
        <v>NO ESTA</v>
      </c>
      <c r="Q691" s="124">
        <f t="shared" si="172"/>
        <v>0</v>
      </c>
      <c r="R691" s="155">
        <f t="shared" si="168"/>
        <v>16</v>
      </c>
      <c r="S691" s="156">
        <f t="shared" si="170"/>
        <v>1748831</v>
      </c>
      <c r="T691" s="156">
        <f t="shared" si="171"/>
        <v>27981296</v>
      </c>
    </row>
    <row r="692" spans="1:20" s="9" customFormat="1" ht="35.1" customHeight="1" x14ac:dyDescent="0.25">
      <c r="A692" s="215"/>
      <c r="B692" s="255" t="s">
        <v>1371</v>
      </c>
      <c r="C692" s="254" t="s">
        <v>1372</v>
      </c>
      <c r="D692" s="240" t="s">
        <v>16</v>
      </c>
      <c r="E692" s="242">
        <v>18</v>
      </c>
      <c r="F692" s="242">
        <f t="shared" si="180"/>
        <v>0</v>
      </c>
      <c r="G692" s="242">
        <f t="shared" si="181"/>
        <v>18</v>
      </c>
      <c r="H692" s="243">
        <v>364128</v>
      </c>
      <c r="I692" s="243">
        <f t="shared" si="182"/>
        <v>6554304</v>
      </c>
      <c r="J692" s="8"/>
      <c r="K692" s="8">
        <f t="shared" si="179"/>
        <v>369772</v>
      </c>
      <c r="L692" s="8">
        <f t="shared" si="169"/>
        <v>6655896</v>
      </c>
      <c r="M692" s="9" t="str">
        <f t="array" ref="M692">_xlfn.XLOOKUP(B692,'Neiva 2022 FASE I ACTUAL (5)'!$B$6:$B$540,'Neiva 2022 FASE I ACTUAL (5)'!$C$6:$F$540,"NO ESTA")</f>
        <v>NO ESTA</v>
      </c>
      <c r="Q692" s="124">
        <f t="shared" si="172"/>
        <v>0</v>
      </c>
      <c r="R692" s="155">
        <f t="shared" si="168"/>
        <v>18</v>
      </c>
      <c r="S692" s="156">
        <f t="shared" si="170"/>
        <v>369772</v>
      </c>
      <c r="T692" s="156">
        <f t="shared" si="171"/>
        <v>6655896</v>
      </c>
    </row>
    <row r="693" spans="1:20" s="9" customFormat="1" ht="35.1" customHeight="1" x14ac:dyDescent="0.25">
      <c r="A693" s="215"/>
      <c r="B693" s="255" t="s">
        <v>1373</v>
      </c>
      <c r="C693" s="254" t="s">
        <v>1374</v>
      </c>
      <c r="D693" s="240" t="s">
        <v>16</v>
      </c>
      <c r="E693" s="242">
        <v>20</v>
      </c>
      <c r="F693" s="242">
        <f t="shared" si="180"/>
        <v>0</v>
      </c>
      <c r="G693" s="242">
        <f t="shared" si="181"/>
        <v>20</v>
      </c>
      <c r="H693" s="243">
        <v>456181</v>
      </c>
      <c r="I693" s="243">
        <f t="shared" si="182"/>
        <v>9123620</v>
      </c>
      <c r="J693" s="8"/>
      <c r="K693" s="8">
        <f t="shared" si="179"/>
        <v>463252</v>
      </c>
      <c r="L693" s="8">
        <f t="shared" si="169"/>
        <v>9265040</v>
      </c>
      <c r="M693" s="9" t="str">
        <f t="array" ref="M693">_xlfn.XLOOKUP(B693,'Neiva 2022 FASE I ACTUAL (5)'!$B$6:$B$540,'Neiva 2022 FASE I ACTUAL (5)'!$C$6:$F$540,"NO ESTA")</f>
        <v>NO ESTA</v>
      </c>
      <c r="Q693" s="124">
        <f t="shared" si="172"/>
        <v>0</v>
      </c>
      <c r="R693" s="155">
        <f t="shared" si="168"/>
        <v>20</v>
      </c>
      <c r="S693" s="156">
        <f t="shared" si="170"/>
        <v>463252</v>
      </c>
      <c r="T693" s="156">
        <f t="shared" si="171"/>
        <v>9265040</v>
      </c>
    </row>
    <row r="694" spans="1:20" s="9" customFormat="1" ht="35.1" customHeight="1" x14ac:dyDescent="0.25">
      <c r="A694" s="215"/>
      <c r="B694" s="255" t="s">
        <v>1375</v>
      </c>
      <c r="C694" s="254" t="s">
        <v>1376</v>
      </c>
      <c r="D694" s="240" t="s">
        <v>16</v>
      </c>
      <c r="E694" s="242">
        <v>14</v>
      </c>
      <c r="F694" s="242">
        <f t="shared" si="180"/>
        <v>0</v>
      </c>
      <c r="G694" s="242">
        <f t="shared" si="181"/>
        <v>14</v>
      </c>
      <c r="H694" s="243">
        <v>12436</v>
      </c>
      <c r="I694" s="243">
        <f t="shared" si="182"/>
        <v>174104</v>
      </c>
      <c r="J694" s="8"/>
      <c r="K694" s="8">
        <f t="shared" si="179"/>
        <v>12629</v>
      </c>
      <c r="L694" s="8">
        <f t="shared" si="169"/>
        <v>176806</v>
      </c>
      <c r="M694" s="9" t="str">
        <f t="array" ref="M694">_xlfn.XLOOKUP(B694,'Neiva 2022 FASE I ACTUAL (5)'!$B$6:$B$540,'Neiva 2022 FASE I ACTUAL (5)'!$C$6:$F$540,"NO ESTA")</f>
        <v>NO ESTA</v>
      </c>
      <c r="Q694" s="124">
        <f t="shared" si="172"/>
        <v>0</v>
      </c>
      <c r="R694" s="155">
        <f t="shared" si="168"/>
        <v>14</v>
      </c>
      <c r="S694" s="156">
        <f t="shared" si="170"/>
        <v>12629</v>
      </c>
      <c r="T694" s="156">
        <f t="shared" si="171"/>
        <v>176806</v>
      </c>
    </row>
    <row r="695" spans="1:20" s="9" customFormat="1" ht="35.1" customHeight="1" x14ac:dyDescent="0.25">
      <c r="A695" s="215"/>
      <c r="B695" s="255" t="s">
        <v>1377</v>
      </c>
      <c r="C695" s="254" t="s">
        <v>976</v>
      </c>
      <c r="D695" s="240" t="s">
        <v>16</v>
      </c>
      <c r="E695" s="242">
        <v>18</v>
      </c>
      <c r="F695" s="242">
        <f t="shared" si="180"/>
        <v>0</v>
      </c>
      <c r="G695" s="242">
        <f t="shared" si="181"/>
        <v>18</v>
      </c>
      <c r="H695" s="243">
        <v>13128</v>
      </c>
      <c r="I695" s="243">
        <f t="shared" si="182"/>
        <v>236304</v>
      </c>
      <c r="J695" s="8"/>
      <c r="K695" s="8">
        <f t="shared" si="179"/>
        <v>13331</v>
      </c>
      <c r="L695" s="8">
        <f t="shared" si="169"/>
        <v>239958</v>
      </c>
      <c r="M695" s="9" t="str">
        <f t="array" ref="M695">_xlfn.XLOOKUP(B695,'Neiva 2022 FASE I ACTUAL (5)'!$B$6:$B$540,'Neiva 2022 FASE I ACTUAL (5)'!$C$6:$F$540,"NO ESTA")</f>
        <v>NO ESTA</v>
      </c>
      <c r="Q695" s="124">
        <f t="shared" si="172"/>
        <v>0</v>
      </c>
      <c r="R695" s="155">
        <f t="shared" si="168"/>
        <v>18</v>
      </c>
      <c r="S695" s="156">
        <f t="shared" si="170"/>
        <v>13331</v>
      </c>
      <c r="T695" s="156">
        <f t="shared" si="171"/>
        <v>239958</v>
      </c>
    </row>
    <row r="696" spans="1:20" s="9" customFormat="1" ht="35.1" customHeight="1" x14ac:dyDescent="0.25">
      <c r="A696" s="215"/>
      <c r="B696" s="255" t="s">
        <v>1378</v>
      </c>
      <c r="C696" s="254" t="s">
        <v>1379</v>
      </c>
      <c r="D696" s="240" t="s">
        <v>16</v>
      </c>
      <c r="E696" s="242">
        <v>2</v>
      </c>
      <c r="F696" s="242">
        <f t="shared" si="180"/>
        <v>0</v>
      </c>
      <c r="G696" s="242">
        <f t="shared" si="181"/>
        <v>2</v>
      </c>
      <c r="H696" s="243">
        <v>5914739</v>
      </c>
      <c r="I696" s="243">
        <f t="shared" si="182"/>
        <v>11829478</v>
      </c>
      <c r="J696" s="8"/>
      <c r="K696" s="8">
        <f t="shared" si="179"/>
        <v>6006417</v>
      </c>
      <c r="L696" s="8">
        <f t="shared" si="169"/>
        <v>12012834</v>
      </c>
      <c r="M696" s="9" t="str">
        <f t="array" ref="M696">_xlfn.XLOOKUP(B696,'Neiva 2022 FASE I ACTUAL (5)'!$B$6:$B$540,'Neiva 2022 FASE I ACTUAL (5)'!$C$6:$F$540,"NO ESTA")</f>
        <v>NO ESTA</v>
      </c>
      <c r="Q696" s="124">
        <f t="shared" si="172"/>
        <v>0</v>
      </c>
      <c r="R696" s="155">
        <f t="shared" si="168"/>
        <v>2</v>
      </c>
      <c r="S696" s="156">
        <f t="shared" si="170"/>
        <v>6006417</v>
      </c>
      <c r="T696" s="156">
        <f t="shared" si="171"/>
        <v>12012834</v>
      </c>
    </row>
    <row r="697" spans="1:20" s="9" customFormat="1" ht="35.1" customHeight="1" x14ac:dyDescent="0.25">
      <c r="A697" s="215"/>
      <c r="B697" s="255" t="s">
        <v>1380</v>
      </c>
      <c r="C697" s="254" t="s">
        <v>1381</v>
      </c>
      <c r="D697" s="240" t="s">
        <v>16</v>
      </c>
      <c r="E697" s="242">
        <v>2</v>
      </c>
      <c r="F697" s="242">
        <f t="shared" si="180"/>
        <v>0</v>
      </c>
      <c r="G697" s="242">
        <f t="shared" si="181"/>
        <v>2</v>
      </c>
      <c r="H697" s="243">
        <v>5651077</v>
      </c>
      <c r="I697" s="243">
        <f t="shared" si="182"/>
        <v>11302154</v>
      </c>
      <c r="J697" s="8"/>
      <c r="K697" s="8">
        <f t="shared" si="179"/>
        <v>5738669</v>
      </c>
      <c r="L697" s="8">
        <f t="shared" si="169"/>
        <v>11477338</v>
      </c>
      <c r="M697" s="9" t="str">
        <f t="array" ref="M697">_xlfn.XLOOKUP(B697,'Neiva 2022 FASE I ACTUAL (5)'!$B$6:$B$540,'Neiva 2022 FASE I ACTUAL (5)'!$C$6:$F$540,"NO ESTA")</f>
        <v>NO ESTA</v>
      </c>
      <c r="Q697" s="124">
        <f t="shared" si="172"/>
        <v>0</v>
      </c>
      <c r="R697" s="155">
        <f t="shared" si="168"/>
        <v>2</v>
      </c>
      <c r="S697" s="156">
        <f t="shared" si="170"/>
        <v>5738669</v>
      </c>
      <c r="T697" s="156">
        <f t="shared" si="171"/>
        <v>11477338</v>
      </c>
    </row>
    <row r="698" spans="1:20" s="9" customFormat="1" ht="35.1" customHeight="1" x14ac:dyDescent="0.25">
      <c r="A698" s="215"/>
      <c r="B698" s="255" t="s">
        <v>1382</v>
      </c>
      <c r="C698" s="254" t="s">
        <v>1383</v>
      </c>
      <c r="D698" s="240" t="s">
        <v>16</v>
      </c>
      <c r="E698" s="242">
        <v>2</v>
      </c>
      <c r="F698" s="242">
        <f t="shared" si="180"/>
        <v>0</v>
      </c>
      <c r="G698" s="242">
        <f t="shared" si="181"/>
        <v>2</v>
      </c>
      <c r="H698" s="243">
        <v>3738297</v>
      </c>
      <c r="I698" s="243">
        <f t="shared" si="182"/>
        <v>7476594</v>
      </c>
      <c r="J698" s="8"/>
      <c r="K698" s="8">
        <f t="shared" si="179"/>
        <v>3796241</v>
      </c>
      <c r="L698" s="8">
        <f t="shared" si="169"/>
        <v>7592482</v>
      </c>
      <c r="M698" s="9" t="str">
        <f t="array" ref="M698">_xlfn.XLOOKUP(B698,'Neiva 2022 FASE I ACTUAL (5)'!$B$6:$B$540,'Neiva 2022 FASE I ACTUAL (5)'!$C$6:$F$540,"NO ESTA")</f>
        <v>NO ESTA</v>
      </c>
      <c r="Q698" s="124">
        <f t="shared" si="172"/>
        <v>0</v>
      </c>
      <c r="R698" s="155">
        <f t="shared" si="168"/>
        <v>2</v>
      </c>
      <c r="S698" s="156">
        <f t="shared" si="170"/>
        <v>3796241</v>
      </c>
      <c r="T698" s="156">
        <f t="shared" si="171"/>
        <v>7592482</v>
      </c>
    </row>
    <row r="699" spans="1:20" s="9" customFormat="1" ht="35.1" customHeight="1" x14ac:dyDescent="0.25">
      <c r="A699" s="215"/>
      <c r="B699" s="255" t="s">
        <v>1384</v>
      </c>
      <c r="C699" s="254" t="s">
        <v>1385</v>
      </c>
      <c r="D699" s="240" t="s">
        <v>1182</v>
      </c>
      <c r="E699" s="242">
        <v>1</v>
      </c>
      <c r="F699" s="242">
        <f t="shared" si="180"/>
        <v>0</v>
      </c>
      <c r="G699" s="242">
        <f t="shared" si="181"/>
        <v>1</v>
      </c>
      <c r="H699" s="243">
        <v>2901198</v>
      </c>
      <c r="I699" s="243">
        <f t="shared" si="182"/>
        <v>2901198</v>
      </c>
      <c r="J699" s="8"/>
      <c r="K699" s="8">
        <f t="shared" si="179"/>
        <v>2946167</v>
      </c>
      <c r="L699" s="8">
        <f t="shared" si="169"/>
        <v>2946167</v>
      </c>
      <c r="M699" s="9" t="str">
        <f t="array" ref="M699">_xlfn.XLOOKUP(B699,'Neiva 2022 FASE I ACTUAL (5)'!$B$6:$B$540,'Neiva 2022 FASE I ACTUAL (5)'!$C$6:$F$540,"NO ESTA")</f>
        <v>NO ESTA</v>
      </c>
      <c r="Q699" s="124">
        <f t="shared" si="172"/>
        <v>0</v>
      </c>
      <c r="R699" s="155">
        <f t="shared" si="168"/>
        <v>1</v>
      </c>
      <c r="S699" s="156">
        <f t="shared" si="170"/>
        <v>2946167</v>
      </c>
      <c r="T699" s="156">
        <f t="shared" si="171"/>
        <v>2946167</v>
      </c>
    </row>
    <row r="700" spans="1:20" s="9" customFormat="1" ht="35.1" customHeight="1" x14ac:dyDescent="0.25">
      <c r="A700" s="215"/>
      <c r="B700" s="244" t="s">
        <v>994</v>
      </c>
      <c r="C700" s="245" t="s">
        <v>995</v>
      </c>
      <c r="D700" s="260"/>
      <c r="E700" s="246"/>
      <c r="F700" s="246"/>
      <c r="G700" s="246"/>
      <c r="H700" s="303"/>
      <c r="I700" s="246"/>
      <c r="J700" s="8"/>
      <c r="K700" s="8">
        <f t="shared" si="179"/>
        <v>0</v>
      </c>
      <c r="L700" s="8">
        <f t="shared" si="169"/>
        <v>0</v>
      </c>
      <c r="M700" s="9" t="str">
        <f t="array" ref="M700:P700">_xlfn.XLOOKUP(B700,'Neiva 2022 FASE I ACTUAL (5)'!$B$6:$B$540,'Neiva 2022 FASE I ACTUAL (5)'!$C$6:$F$540,"NO ESTA")</f>
        <v>SUMINISTRO E INSTALACION DE DETECCIÓN DE INDENDIO</v>
      </c>
      <c r="N700" s="9">
        <v>0</v>
      </c>
      <c r="O700" s="9">
        <v>0</v>
      </c>
      <c r="P700" s="9">
        <v>0</v>
      </c>
      <c r="Q700" s="124">
        <f t="shared" si="172"/>
        <v>0</v>
      </c>
      <c r="R700" s="155">
        <f t="shared" si="168"/>
        <v>0</v>
      </c>
      <c r="S700" s="156">
        <f t="shared" si="170"/>
        <v>0</v>
      </c>
      <c r="T700" s="156">
        <f t="shared" si="171"/>
        <v>0</v>
      </c>
    </row>
    <row r="701" spans="1:20" s="9" customFormat="1" ht="35.1" customHeight="1" x14ac:dyDescent="0.25">
      <c r="A701" s="215"/>
      <c r="B701" s="255" t="s">
        <v>996</v>
      </c>
      <c r="C701" s="254" t="s">
        <v>997</v>
      </c>
      <c r="D701" s="240" t="s">
        <v>16</v>
      </c>
      <c r="E701" s="242">
        <v>8</v>
      </c>
      <c r="F701" s="242">
        <f t="shared" ref="F701:F711" si="183">+O701</f>
        <v>3</v>
      </c>
      <c r="G701" s="242">
        <f t="shared" ref="G701:G711" si="184">+F701+E701</f>
        <v>11</v>
      </c>
      <c r="H701" s="243">
        <v>510998</v>
      </c>
      <c r="I701" s="243">
        <f t="shared" ref="I701:I711" si="185">ROUND(+H701*G701,2)</f>
        <v>5620978</v>
      </c>
      <c r="J701" s="8"/>
      <c r="K701" s="8">
        <f t="shared" si="179"/>
        <v>518918</v>
      </c>
      <c r="L701" s="8">
        <f t="shared" si="169"/>
        <v>4151344</v>
      </c>
      <c r="M701" s="9" t="str">
        <f t="array" ref="M701:P701">_xlfn.XLOOKUP(B701,'Neiva 2022 FASE I ACTUAL (5)'!$B$6:$B$540,'Neiva 2022 FASE I ACTUAL (5)'!$C$6:$F$540,"NO ESTA")</f>
        <v>SUMINISTRO E INSTALACION ESTACION MANUAL DIRECCIONABLE DE AVISO, CON CUBIERTA ACRILICA</v>
      </c>
      <c r="N701" s="9" t="str">
        <v>UND</v>
      </c>
      <c r="O701" s="9">
        <v>3</v>
      </c>
      <c r="P701" s="9">
        <v>497032</v>
      </c>
      <c r="Q701" s="124" t="str">
        <f t="shared" si="172"/>
        <v>FASE II</v>
      </c>
      <c r="R701" s="155">
        <f t="shared" si="168"/>
        <v>11</v>
      </c>
      <c r="S701" s="156">
        <f t="shared" si="170"/>
        <v>518918</v>
      </c>
      <c r="T701" s="156">
        <f t="shared" si="171"/>
        <v>5708098</v>
      </c>
    </row>
    <row r="702" spans="1:20" s="9" customFormat="1" ht="35.1" customHeight="1" x14ac:dyDescent="0.25">
      <c r="A702" s="215"/>
      <c r="B702" s="255" t="s">
        <v>998</v>
      </c>
      <c r="C702" s="87" t="s">
        <v>999</v>
      </c>
      <c r="D702" s="240" t="s">
        <v>16</v>
      </c>
      <c r="E702" s="242">
        <v>8</v>
      </c>
      <c r="F702" s="242">
        <f t="shared" si="183"/>
        <v>3</v>
      </c>
      <c r="G702" s="242">
        <f t="shared" si="184"/>
        <v>11</v>
      </c>
      <c r="H702" s="243">
        <v>365680</v>
      </c>
      <c r="I702" s="243">
        <f t="shared" si="185"/>
        <v>4022480</v>
      </c>
      <c r="J702" s="8"/>
      <c r="K702" s="8">
        <f t="shared" si="179"/>
        <v>371348</v>
      </c>
      <c r="L702" s="8">
        <f t="shared" si="169"/>
        <v>2970784</v>
      </c>
      <c r="M702" s="9" t="str">
        <f t="array" ref="M702:P702">_xlfn.XLOOKUP(B702,'Neiva 2022 FASE I ACTUAL (5)'!$B$6:$B$540,'Neiva 2022 FASE I ACTUAL (5)'!$C$6:$F$540,"NO ESTA")</f>
        <v>SUMINISTRO E INSTALACION SIRENA / ESTROBO CON SUS MODULOS DE CONTROL</v>
      </c>
      <c r="N702" s="9" t="str">
        <v>UND</v>
      </c>
      <c r="O702" s="9">
        <v>3</v>
      </c>
      <c r="P702" s="9">
        <v>355685</v>
      </c>
      <c r="Q702" s="124" t="str">
        <f t="shared" si="172"/>
        <v>FASE II</v>
      </c>
      <c r="R702" s="155">
        <f t="shared" si="168"/>
        <v>11</v>
      </c>
      <c r="S702" s="156">
        <f t="shared" si="170"/>
        <v>371348</v>
      </c>
      <c r="T702" s="156">
        <f t="shared" si="171"/>
        <v>4084828</v>
      </c>
    </row>
    <row r="703" spans="1:20" s="9" customFormat="1" ht="35.1" customHeight="1" x14ac:dyDescent="0.25">
      <c r="A703" s="215"/>
      <c r="B703" s="255" t="s">
        <v>1000</v>
      </c>
      <c r="C703" s="254" t="s">
        <v>1001</v>
      </c>
      <c r="D703" s="240" t="s">
        <v>16</v>
      </c>
      <c r="E703" s="242">
        <v>96</v>
      </c>
      <c r="F703" s="242">
        <f t="shared" si="183"/>
        <v>46</v>
      </c>
      <c r="G703" s="242">
        <f t="shared" si="184"/>
        <v>142</v>
      </c>
      <c r="H703" s="243">
        <v>411340</v>
      </c>
      <c r="I703" s="243">
        <f t="shared" si="185"/>
        <v>58410280</v>
      </c>
      <c r="J703" s="8"/>
      <c r="K703" s="8">
        <f t="shared" si="179"/>
        <v>417716</v>
      </c>
      <c r="L703" s="8">
        <f t="shared" si="169"/>
        <v>40100736</v>
      </c>
      <c r="M703" s="9" t="str">
        <f t="array" ref="M703:P703">_xlfn.XLOOKUP(B703,'Neiva 2022 FASE I ACTUAL (5)'!$B$6:$B$540,'Neiva 2022 FASE I ACTUAL (5)'!$C$6:$F$540,"NO ESTA")</f>
        <v>SUMINISTRO E INSTALACION DETECTOR DE HUMO DIRECCIONABLE CON BASE</v>
      </c>
      <c r="N703" s="9" t="str">
        <v>UND</v>
      </c>
      <c r="O703" s="9">
        <v>46</v>
      </c>
      <c r="P703" s="9">
        <v>400099</v>
      </c>
      <c r="Q703" s="124" t="str">
        <f t="shared" si="172"/>
        <v>FASE II</v>
      </c>
      <c r="R703" s="155">
        <f t="shared" si="168"/>
        <v>142</v>
      </c>
      <c r="S703" s="156">
        <f t="shared" si="170"/>
        <v>417716</v>
      </c>
      <c r="T703" s="156">
        <f t="shared" si="171"/>
        <v>59315672</v>
      </c>
    </row>
    <row r="704" spans="1:20" s="9" customFormat="1" ht="35.1" customHeight="1" x14ac:dyDescent="0.25">
      <c r="A704" s="215"/>
      <c r="B704" s="255" t="s">
        <v>1002</v>
      </c>
      <c r="C704" s="87" t="s">
        <v>1003</v>
      </c>
      <c r="D704" s="240" t="s">
        <v>16</v>
      </c>
      <c r="E704" s="242">
        <v>6</v>
      </c>
      <c r="F704" s="242">
        <f t="shared" si="183"/>
        <v>2</v>
      </c>
      <c r="G704" s="242">
        <f t="shared" si="184"/>
        <v>8</v>
      </c>
      <c r="H704" s="243">
        <v>385248</v>
      </c>
      <c r="I704" s="243">
        <f t="shared" si="185"/>
        <v>3081984</v>
      </c>
      <c r="J704" s="8"/>
      <c r="K704" s="8">
        <f t="shared" si="179"/>
        <v>391219</v>
      </c>
      <c r="L704" s="8">
        <f t="shared" si="169"/>
        <v>2347314</v>
      </c>
      <c r="M704" s="9" t="str">
        <f t="array" ref="M704:P704">_xlfn.XLOOKUP(B704,'Neiva 2022 FASE I ACTUAL (5)'!$B$6:$B$540,'Neiva 2022 FASE I ACTUAL (5)'!$C$6:$F$540,"NO ESTA")</f>
        <v>SUMINISTRO E INSTALACION DETECTOR DE MONOXIDO DIRECCIONABLE CON BASE</v>
      </c>
      <c r="N704" s="9" t="str">
        <v>UND</v>
      </c>
      <c r="O704" s="9">
        <v>2</v>
      </c>
      <c r="P704" s="9">
        <v>374720</v>
      </c>
      <c r="Q704" s="124" t="str">
        <f t="shared" si="172"/>
        <v>FASE II</v>
      </c>
      <c r="R704" s="155">
        <f t="shared" si="168"/>
        <v>8</v>
      </c>
      <c r="S704" s="156">
        <f t="shared" si="170"/>
        <v>391219</v>
      </c>
      <c r="T704" s="156">
        <f t="shared" si="171"/>
        <v>3129752</v>
      </c>
    </row>
    <row r="705" spans="1:20" s="9" customFormat="1" ht="35.1" customHeight="1" x14ac:dyDescent="0.25">
      <c r="A705" s="215"/>
      <c r="B705" s="255" t="s">
        <v>1004</v>
      </c>
      <c r="C705" s="254" t="s">
        <v>1005</v>
      </c>
      <c r="D705" s="240" t="s">
        <v>16</v>
      </c>
      <c r="E705" s="242">
        <v>5</v>
      </c>
      <c r="F705" s="242">
        <f t="shared" si="183"/>
        <v>2</v>
      </c>
      <c r="G705" s="242">
        <f t="shared" si="184"/>
        <v>7</v>
      </c>
      <c r="H705" s="243">
        <v>406684</v>
      </c>
      <c r="I705" s="243">
        <f t="shared" si="185"/>
        <v>2846788</v>
      </c>
      <c r="J705" s="8"/>
      <c r="K705" s="8">
        <f t="shared" si="179"/>
        <v>412988</v>
      </c>
      <c r="L705" s="8">
        <f t="shared" si="169"/>
        <v>2064940</v>
      </c>
      <c r="M705" s="9" t="str">
        <f t="array" ref="M705:P705">_xlfn.XLOOKUP(B705,'Neiva 2022 FASE I ACTUAL (5)'!$B$6:$B$540,'Neiva 2022 FASE I ACTUAL (5)'!$C$6:$F$540,"NO ESTA")</f>
        <v>SUMINISTRO E INSTALACION CITOFONO DE EMERGENCIA</v>
      </c>
      <c r="N705" s="9" t="str">
        <v>UND</v>
      </c>
      <c r="O705" s="9">
        <v>2</v>
      </c>
      <c r="P705" s="9">
        <v>395570</v>
      </c>
      <c r="Q705" s="124" t="str">
        <f t="shared" si="172"/>
        <v>FASE II</v>
      </c>
      <c r="R705" s="155">
        <f t="shared" si="168"/>
        <v>7</v>
      </c>
      <c r="S705" s="156">
        <f t="shared" si="170"/>
        <v>412988</v>
      </c>
      <c r="T705" s="156">
        <f t="shared" si="171"/>
        <v>2890916</v>
      </c>
    </row>
    <row r="706" spans="1:20" s="9" customFormat="1" ht="35.1" customHeight="1" x14ac:dyDescent="0.25">
      <c r="A706" s="215"/>
      <c r="B706" s="255" t="s">
        <v>1006</v>
      </c>
      <c r="C706" s="254" t="s">
        <v>1007</v>
      </c>
      <c r="D706" s="240" t="s">
        <v>16</v>
      </c>
      <c r="E706" s="242">
        <v>1</v>
      </c>
      <c r="F706" s="242">
        <f t="shared" si="183"/>
        <v>1</v>
      </c>
      <c r="G706" s="242">
        <f t="shared" si="184"/>
        <v>2</v>
      </c>
      <c r="H706" s="243">
        <v>8541579</v>
      </c>
      <c r="I706" s="243">
        <f t="shared" si="185"/>
        <v>17083158</v>
      </c>
      <c r="J706" s="8"/>
      <c r="K706" s="8">
        <f t="shared" si="179"/>
        <v>8673973</v>
      </c>
      <c r="L706" s="8">
        <f t="shared" si="169"/>
        <v>8673973</v>
      </c>
      <c r="M706" s="9" t="str">
        <f t="array" ref="M706:P706">_xlfn.XLOOKUP(B706,'Neiva 2022 FASE I ACTUAL (5)'!$B$6:$B$540,'Neiva 2022 FASE I ACTUAL (5)'!$C$6:$F$540,"NO ESTA")</f>
        <v xml:space="preserve">SUMINISTRO E INSTALACION CENTRAL DE DETECCION DE INCENDIO E INTRUSIÓN, CONSU GABINETE, FUENTE, CPU, DISPLAY Y TECLEDO, CON UN 30% DE RESERVA PARA AMPLIACIÓN. </v>
      </c>
      <c r="N706" s="9" t="str">
        <v>UND</v>
      </c>
      <c r="O706" s="9">
        <v>1</v>
      </c>
      <c r="P706" s="9">
        <v>8308139</v>
      </c>
      <c r="Q706" s="124" t="str">
        <f t="shared" si="172"/>
        <v>FASE II</v>
      </c>
      <c r="R706" s="155">
        <f t="shared" si="168"/>
        <v>2</v>
      </c>
      <c r="S706" s="156">
        <f t="shared" si="170"/>
        <v>8673973</v>
      </c>
      <c r="T706" s="156">
        <f t="shared" si="171"/>
        <v>17347946</v>
      </c>
    </row>
    <row r="707" spans="1:20" s="9" customFormat="1" ht="35.1" customHeight="1" x14ac:dyDescent="0.25">
      <c r="A707" s="215"/>
      <c r="B707" s="255" t="s">
        <v>1008</v>
      </c>
      <c r="C707" s="254" t="s">
        <v>1009</v>
      </c>
      <c r="D707" s="240" t="s">
        <v>94</v>
      </c>
      <c r="E707" s="242">
        <v>1277</v>
      </c>
      <c r="F707" s="242">
        <f t="shared" si="183"/>
        <v>496</v>
      </c>
      <c r="G707" s="242">
        <f t="shared" si="184"/>
        <v>1773</v>
      </c>
      <c r="H707" s="243">
        <v>5349</v>
      </c>
      <c r="I707" s="243">
        <f t="shared" si="185"/>
        <v>9483777</v>
      </c>
      <c r="J707" s="8"/>
      <c r="K707" s="8">
        <f t="shared" si="179"/>
        <v>5432</v>
      </c>
      <c r="L707" s="8">
        <f t="shared" si="169"/>
        <v>6936664</v>
      </c>
      <c r="M707" s="9" t="str">
        <f t="array" ref="M707:P707">_xlfn.XLOOKUP(B707,'Neiva 2022 FASE I ACTUAL (5)'!$B$6:$B$540,'Neiva 2022 FASE I ACTUAL (5)'!$C$6:$F$540,"NO ESTA")</f>
        <v>SUMINISTRO E INSTALACION CABLE BLINDADO 2 x 16 AWG FPL</v>
      </c>
      <c r="N707" s="9" t="str">
        <v>ML</v>
      </c>
      <c r="O707" s="9">
        <v>496</v>
      </c>
      <c r="P707" s="9">
        <v>5202</v>
      </c>
      <c r="Q707" s="124" t="str">
        <f t="shared" si="172"/>
        <v>FASE II</v>
      </c>
      <c r="R707" s="155">
        <f t="shared" si="168"/>
        <v>1773</v>
      </c>
      <c r="S707" s="156">
        <f t="shared" si="170"/>
        <v>5432</v>
      </c>
      <c r="T707" s="156">
        <f t="shared" si="171"/>
        <v>9630936</v>
      </c>
    </row>
    <row r="708" spans="1:20" s="9" customFormat="1" ht="35.1" customHeight="1" x14ac:dyDescent="0.25">
      <c r="A708" s="215"/>
      <c r="B708" s="255" t="s">
        <v>1010</v>
      </c>
      <c r="C708" s="254" t="s">
        <v>968</v>
      </c>
      <c r="D708" s="240" t="s">
        <v>94</v>
      </c>
      <c r="E708" s="242">
        <v>854</v>
      </c>
      <c r="F708" s="242">
        <f t="shared" si="183"/>
        <v>456</v>
      </c>
      <c r="G708" s="242">
        <f t="shared" si="184"/>
        <v>1310</v>
      </c>
      <c r="H708" s="243">
        <v>16288</v>
      </c>
      <c r="I708" s="243">
        <f t="shared" si="185"/>
        <v>21337280</v>
      </c>
      <c r="J708" s="8"/>
      <c r="K708" s="8">
        <f t="shared" si="179"/>
        <v>16540</v>
      </c>
      <c r="L708" s="8">
        <f t="shared" si="169"/>
        <v>14125160</v>
      </c>
      <c r="M708" s="9" t="str">
        <f t="array" ref="M708:P708">_xlfn.XLOOKUP(B708,'Neiva 2022 FASE I ACTUAL (5)'!$B$6:$B$540,'Neiva 2022 FASE I ACTUAL (5)'!$C$6:$F$540,"NO ESTA")</f>
        <v>SUMINISTRO E INSTALACION TUBERÍA EMT DE 3/4" INCLUYE ACCESORIOS</v>
      </c>
      <c r="N708" s="9" t="str">
        <v>ML</v>
      </c>
      <c r="O708" s="9">
        <v>456</v>
      </c>
      <c r="P708" s="9">
        <v>15842</v>
      </c>
      <c r="Q708" s="124" t="str">
        <f t="shared" si="172"/>
        <v>FASE II</v>
      </c>
      <c r="R708" s="155">
        <f t="shared" si="168"/>
        <v>1310</v>
      </c>
      <c r="S708" s="156">
        <f t="shared" si="170"/>
        <v>16540</v>
      </c>
      <c r="T708" s="156">
        <f t="shared" si="171"/>
        <v>21667400</v>
      </c>
    </row>
    <row r="709" spans="1:20" s="9" customFormat="1" ht="35.1" customHeight="1" x14ac:dyDescent="0.25">
      <c r="A709" s="215"/>
      <c r="B709" s="255" t="s">
        <v>1011</v>
      </c>
      <c r="C709" s="254" t="s">
        <v>972</v>
      </c>
      <c r="D709" s="240" t="s">
        <v>94</v>
      </c>
      <c r="E709" s="242">
        <v>15</v>
      </c>
      <c r="F709" s="242">
        <f t="shared" si="183"/>
        <v>7</v>
      </c>
      <c r="G709" s="242">
        <f t="shared" si="184"/>
        <v>22</v>
      </c>
      <c r="H709" s="243">
        <v>4829</v>
      </c>
      <c r="I709" s="243">
        <f t="shared" si="185"/>
        <v>106238</v>
      </c>
      <c r="J709" s="8"/>
      <c r="K709" s="8">
        <f t="shared" si="179"/>
        <v>4904</v>
      </c>
      <c r="L709" s="8">
        <f t="shared" si="169"/>
        <v>73560</v>
      </c>
      <c r="M709" s="9" t="str">
        <f t="array" ref="M709:P709">_xlfn.XLOOKUP(B709,'Neiva 2022 FASE I ACTUAL (5)'!$B$6:$B$540,'Neiva 2022 FASE I ACTUAL (5)'!$C$6:$F$540,"NO ESTA")</f>
        <v>SUMINISTRO E INSTALACION TUBERÍA PVC DE 3/4" INCLUYE ACCESORIOS</v>
      </c>
      <c r="N709" s="9" t="str">
        <v>ML</v>
      </c>
      <c r="O709" s="9">
        <v>7</v>
      </c>
      <c r="P709" s="9">
        <v>4696</v>
      </c>
      <c r="Q709" s="124" t="str">
        <f t="shared" si="172"/>
        <v>FASE II</v>
      </c>
      <c r="R709" s="155">
        <f t="shared" si="168"/>
        <v>22</v>
      </c>
      <c r="S709" s="156">
        <f t="shared" si="170"/>
        <v>4904</v>
      </c>
      <c r="T709" s="156">
        <f t="shared" si="171"/>
        <v>107888</v>
      </c>
    </row>
    <row r="710" spans="1:20" s="9" customFormat="1" ht="35.1" customHeight="1" x14ac:dyDescent="0.25">
      <c r="A710" s="215"/>
      <c r="B710" s="255" t="s">
        <v>1012</v>
      </c>
      <c r="C710" s="254" t="s">
        <v>976</v>
      </c>
      <c r="D710" s="240" t="s">
        <v>16</v>
      </c>
      <c r="E710" s="242">
        <v>23</v>
      </c>
      <c r="F710" s="242">
        <f t="shared" si="183"/>
        <v>9</v>
      </c>
      <c r="G710" s="242">
        <f t="shared" si="184"/>
        <v>32</v>
      </c>
      <c r="H710" s="243">
        <v>13128</v>
      </c>
      <c r="I710" s="243">
        <f t="shared" si="185"/>
        <v>420096</v>
      </c>
      <c r="J710" s="8"/>
      <c r="K710" s="8">
        <f t="shared" si="179"/>
        <v>13331</v>
      </c>
      <c r="L710" s="8">
        <f t="shared" si="169"/>
        <v>306613</v>
      </c>
      <c r="M710" s="9" t="str">
        <f t="array" ref="M710:P710">_xlfn.XLOOKUP(B710,'Neiva 2022 FASE I ACTUAL (5)'!$B$6:$B$540,'Neiva 2022 FASE I ACTUAL (5)'!$C$6:$F$540,"NO ESTA")</f>
        <v>SUMINISTRO E INSTALACION CAJA DE PASO 10 x 10 m DOBLE FONDO</v>
      </c>
      <c r="N710" s="9" t="str">
        <v>UND</v>
      </c>
      <c r="O710" s="9">
        <v>9</v>
      </c>
      <c r="P710" s="9">
        <v>12769</v>
      </c>
      <c r="Q710" s="124" t="str">
        <f t="shared" si="172"/>
        <v>FASE II</v>
      </c>
      <c r="R710" s="155">
        <f t="shared" ref="R710:R720" si="186">E710+O710</f>
        <v>32</v>
      </c>
      <c r="S710" s="156">
        <f t="shared" si="170"/>
        <v>13331</v>
      </c>
      <c r="T710" s="156">
        <f t="shared" si="171"/>
        <v>426592</v>
      </c>
    </row>
    <row r="711" spans="1:20" s="9" customFormat="1" ht="35.1" hidden="1" customHeight="1" x14ac:dyDescent="0.25">
      <c r="A711" s="215"/>
      <c r="B711" s="255" t="s">
        <v>1386</v>
      </c>
      <c r="C711" s="254" t="s">
        <v>1385</v>
      </c>
      <c r="D711" s="240" t="s">
        <v>1182</v>
      </c>
      <c r="E711" s="242">
        <v>0</v>
      </c>
      <c r="F711" s="242">
        <f t="shared" si="183"/>
        <v>0</v>
      </c>
      <c r="G711" s="242">
        <f t="shared" si="184"/>
        <v>0</v>
      </c>
      <c r="H711" s="243">
        <v>2901198</v>
      </c>
      <c r="I711" s="243">
        <f t="shared" si="185"/>
        <v>0</v>
      </c>
      <c r="J711" s="8"/>
      <c r="K711" s="8">
        <f t="shared" si="179"/>
        <v>2946167</v>
      </c>
      <c r="L711" s="8">
        <f t="shared" ref="L711:L720" si="187">+K711*E711</f>
        <v>0</v>
      </c>
      <c r="M711" s="9" t="str">
        <f t="array" ref="M711">_xlfn.XLOOKUP(B711,'Neiva 2022 FASE I ACTUAL (5)'!$B$6:$B$540,'Neiva 2022 FASE I ACTUAL (5)'!$C$6:$F$540,"NO ESTA")</f>
        <v>NO ESTA</v>
      </c>
      <c r="Q711" s="124">
        <f t="shared" si="172"/>
        <v>0</v>
      </c>
      <c r="R711" s="155">
        <f t="shared" si="186"/>
        <v>0</v>
      </c>
      <c r="S711" s="156">
        <f t="shared" ref="S711:S720" si="188">MAX(P711,H711,K711)</f>
        <v>2946167</v>
      </c>
      <c r="T711" s="156">
        <f t="shared" ref="T711:T720" si="189">ROUND(R711*S711,2)</f>
        <v>0</v>
      </c>
    </row>
    <row r="712" spans="1:20" s="9" customFormat="1" ht="35.1" customHeight="1" x14ac:dyDescent="0.25">
      <c r="A712" s="215"/>
      <c r="B712" s="244" t="s">
        <v>1387</v>
      </c>
      <c r="C712" s="245" t="s">
        <v>1388</v>
      </c>
      <c r="D712" s="260"/>
      <c r="E712" s="246"/>
      <c r="F712" s="246"/>
      <c r="G712" s="246"/>
      <c r="H712" s="303"/>
      <c r="I712" s="246"/>
      <c r="J712" s="8"/>
      <c r="K712" s="8">
        <f t="shared" si="179"/>
        <v>0</v>
      </c>
      <c r="L712" s="8">
        <f t="shared" si="187"/>
        <v>0</v>
      </c>
      <c r="M712" s="9" t="str">
        <f t="array" ref="M712">_xlfn.XLOOKUP(B712,'Neiva 2022 FASE I ACTUAL (5)'!$B$6:$B$540,'Neiva 2022 FASE I ACTUAL (5)'!$C$6:$F$540,"NO ESTA")</f>
        <v>NO ESTA</v>
      </c>
      <c r="Q712" s="124">
        <f t="shared" ref="Q712:Q720" si="190">IF(P712=0,0,(IF(H712&lt;P712, "FASE I","FASE II")))</f>
        <v>0</v>
      </c>
      <c r="R712" s="155">
        <f t="shared" si="186"/>
        <v>0</v>
      </c>
      <c r="S712" s="156">
        <f t="shared" si="188"/>
        <v>0</v>
      </c>
      <c r="T712" s="156">
        <f t="shared" si="189"/>
        <v>0</v>
      </c>
    </row>
    <row r="713" spans="1:20" s="9" customFormat="1" ht="35.1" customHeight="1" x14ac:dyDescent="0.25">
      <c r="A713" s="215"/>
      <c r="B713" s="255" t="s">
        <v>1389</v>
      </c>
      <c r="C713" s="254" t="s">
        <v>1390</v>
      </c>
      <c r="D713" s="240" t="s">
        <v>16</v>
      </c>
      <c r="E713" s="242">
        <v>64</v>
      </c>
      <c r="F713" s="242">
        <f t="shared" ref="F713:F720" si="191">+O713</f>
        <v>0</v>
      </c>
      <c r="G713" s="242">
        <f t="shared" ref="G713:G720" si="192">+F713+E713</f>
        <v>64</v>
      </c>
      <c r="H713" s="243">
        <v>391534</v>
      </c>
      <c r="I713" s="243">
        <f t="shared" ref="I713:I720" si="193">ROUND(+H713*G713,2)</f>
        <v>25058176</v>
      </c>
      <c r="J713" s="8"/>
      <c r="K713" s="8">
        <f t="shared" si="179"/>
        <v>397603</v>
      </c>
      <c r="L713" s="8">
        <f t="shared" si="187"/>
        <v>25446592</v>
      </c>
      <c r="M713" s="9" t="str">
        <f t="array" ref="M713">_xlfn.XLOOKUP(B713,'Neiva 2022 FASE I ACTUAL (5)'!$B$6:$B$540,'Neiva 2022 FASE I ACTUAL (5)'!$C$6:$F$540,"NO ESTA")</f>
        <v>NO ESTA</v>
      </c>
      <c r="Q713" s="124">
        <f t="shared" si="190"/>
        <v>0</v>
      </c>
      <c r="R713" s="155">
        <f t="shared" si="186"/>
        <v>64</v>
      </c>
      <c r="S713" s="156">
        <f t="shared" si="188"/>
        <v>397603</v>
      </c>
      <c r="T713" s="156">
        <f t="shared" si="189"/>
        <v>25446592</v>
      </c>
    </row>
    <row r="714" spans="1:20" s="9" customFormat="1" ht="35.1" customHeight="1" x14ac:dyDescent="0.25">
      <c r="A714" s="215"/>
      <c r="B714" s="255" t="s">
        <v>1391</v>
      </c>
      <c r="C714" s="254" t="s">
        <v>1392</v>
      </c>
      <c r="D714" s="240" t="s">
        <v>16</v>
      </c>
      <c r="E714" s="242">
        <v>2</v>
      </c>
      <c r="F714" s="242">
        <f t="shared" si="191"/>
        <v>0</v>
      </c>
      <c r="G714" s="242">
        <f t="shared" si="192"/>
        <v>2</v>
      </c>
      <c r="H714" s="243">
        <v>9070094</v>
      </c>
      <c r="I714" s="243">
        <f t="shared" si="193"/>
        <v>18140188</v>
      </c>
      <c r="J714" s="8"/>
      <c r="K714" s="8">
        <f t="shared" si="179"/>
        <v>9210680</v>
      </c>
      <c r="L714" s="8">
        <f t="shared" si="187"/>
        <v>18421360</v>
      </c>
      <c r="M714" s="9" t="str">
        <f t="array" ref="M714">_xlfn.XLOOKUP(B714,'Neiva 2022 FASE I ACTUAL (5)'!$B$6:$B$540,'Neiva 2022 FASE I ACTUAL (5)'!$C$6:$F$540,"NO ESTA")</f>
        <v>NO ESTA</v>
      </c>
      <c r="Q714" s="124">
        <f t="shared" si="190"/>
        <v>0</v>
      </c>
      <c r="R714" s="155">
        <f t="shared" si="186"/>
        <v>2</v>
      </c>
      <c r="S714" s="156">
        <f t="shared" si="188"/>
        <v>9210680</v>
      </c>
      <c r="T714" s="156">
        <f t="shared" si="189"/>
        <v>18421360</v>
      </c>
    </row>
    <row r="715" spans="1:20" s="9" customFormat="1" ht="35.1" customHeight="1" x14ac:dyDescent="0.25">
      <c r="A715" s="215"/>
      <c r="B715" s="255" t="s">
        <v>1393</v>
      </c>
      <c r="C715" s="254" t="s">
        <v>1394</v>
      </c>
      <c r="D715" s="240" t="s">
        <v>16</v>
      </c>
      <c r="E715" s="242">
        <v>2</v>
      </c>
      <c r="F715" s="242">
        <f t="shared" si="191"/>
        <v>0</v>
      </c>
      <c r="G715" s="242">
        <f t="shared" si="192"/>
        <v>2</v>
      </c>
      <c r="H715" s="243">
        <v>16798117</v>
      </c>
      <c r="I715" s="243">
        <f t="shared" si="193"/>
        <v>33596234</v>
      </c>
      <c r="J715" s="8"/>
      <c r="K715" s="8">
        <f t="shared" si="179"/>
        <v>17058488</v>
      </c>
      <c r="L715" s="8">
        <f t="shared" si="187"/>
        <v>34116976</v>
      </c>
      <c r="M715" s="9" t="str">
        <f t="array" ref="M715">_xlfn.XLOOKUP(B715,'Neiva 2022 FASE I ACTUAL (5)'!$B$6:$B$540,'Neiva 2022 FASE I ACTUAL (5)'!$C$6:$F$540,"NO ESTA")</f>
        <v>NO ESTA</v>
      </c>
      <c r="Q715" s="124">
        <f t="shared" si="190"/>
        <v>0</v>
      </c>
      <c r="R715" s="155">
        <f t="shared" si="186"/>
        <v>2</v>
      </c>
      <c r="S715" s="156">
        <f t="shared" si="188"/>
        <v>17058488</v>
      </c>
      <c r="T715" s="156">
        <f t="shared" si="189"/>
        <v>34116976</v>
      </c>
    </row>
    <row r="716" spans="1:20" s="9" customFormat="1" ht="35.1" customHeight="1" x14ac:dyDescent="0.25">
      <c r="A716" s="215"/>
      <c r="B716" s="255" t="s">
        <v>1395</v>
      </c>
      <c r="C716" s="254" t="s">
        <v>1396</v>
      </c>
      <c r="D716" s="240" t="s">
        <v>16</v>
      </c>
      <c r="E716" s="242">
        <v>2</v>
      </c>
      <c r="F716" s="242">
        <f t="shared" si="191"/>
        <v>0</v>
      </c>
      <c r="G716" s="242">
        <f t="shared" si="192"/>
        <v>2</v>
      </c>
      <c r="H716" s="243">
        <v>1667108</v>
      </c>
      <c r="I716" s="243">
        <f t="shared" si="193"/>
        <v>3334216</v>
      </c>
      <c r="J716" s="8"/>
      <c r="K716" s="8">
        <f t="shared" si="179"/>
        <v>1692948</v>
      </c>
      <c r="L716" s="8">
        <f t="shared" si="187"/>
        <v>3385896</v>
      </c>
      <c r="M716" s="9" t="str">
        <f t="array" ref="M716">_xlfn.XLOOKUP(B716,'Neiva 2022 FASE I ACTUAL (5)'!$B$6:$B$540,'Neiva 2022 FASE I ACTUAL (5)'!$C$6:$F$540,"NO ESTA")</f>
        <v>NO ESTA</v>
      </c>
      <c r="Q716" s="124">
        <f t="shared" si="190"/>
        <v>0</v>
      </c>
      <c r="R716" s="155">
        <f t="shared" si="186"/>
        <v>2</v>
      </c>
      <c r="S716" s="156">
        <f t="shared" si="188"/>
        <v>1692948</v>
      </c>
      <c r="T716" s="156">
        <f t="shared" si="189"/>
        <v>3385896</v>
      </c>
    </row>
    <row r="717" spans="1:20" s="9" customFormat="1" ht="35.1" customHeight="1" x14ac:dyDescent="0.25">
      <c r="A717" s="215"/>
      <c r="B717" s="255" t="s">
        <v>1397</v>
      </c>
      <c r="C717" s="254" t="s">
        <v>968</v>
      </c>
      <c r="D717" s="240" t="s">
        <v>94</v>
      </c>
      <c r="E717" s="242">
        <v>159</v>
      </c>
      <c r="F717" s="242">
        <f t="shared" si="191"/>
        <v>0</v>
      </c>
      <c r="G717" s="242">
        <f t="shared" si="192"/>
        <v>159</v>
      </c>
      <c r="H717" s="243">
        <v>16288</v>
      </c>
      <c r="I717" s="243">
        <f t="shared" si="193"/>
        <v>2589792</v>
      </c>
      <c r="J717" s="8"/>
      <c r="K717" s="8">
        <f t="shared" si="179"/>
        <v>16540</v>
      </c>
      <c r="L717" s="8">
        <f t="shared" si="187"/>
        <v>2629860</v>
      </c>
      <c r="M717" s="9" t="str">
        <f t="array" ref="M717">_xlfn.XLOOKUP(B717,'Neiva 2022 FASE I ACTUAL (5)'!$B$6:$B$540,'Neiva 2022 FASE I ACTUAL (5)'!$C$6:$F$540,"NO ESTA")</f>
        <v>NO ESTA</v>
      </c>
      <c r="Q717" s="124">
        <f t="shared" si="190"/>
        <v>0</v>
      </c>
      <c r="R717" s="155">
        <f t="shared" si="186"/>
        <v>159</v>
      </c>
      <c r="S717" s="156">
        <f t="shared" si="188"/>
        <v>16540</v>
      </c>
      <c r="T717" s="156">
        <f t="shared" si="189"/>
        <v>2629860</v>
      </c>
    </row>
    <row r="718" spans="1:20" s="9" customFormat="1" ht="35.1" customHeight="1" x14ac:dyDescent="0.25">
      <c r="A718" s="215"/>
      <c r="B718" s="255" t="s">
        <v>1398</v>
      </c>
      <c r="C718" s="254" t="s">
        <v>976</v>
      </c>
      <c r="D718" s="240" t="s">
        <v>16</v>
      </c>
      <c r="E718" s="242">
        <v>4</v>
      </c>
      <c r="F718" s="242">
        <f t="shared" si="191"/>
        <v>0</v>
      </c>
      <c r="G718" s="242">
        <f t="shared" si="192"/>
        <v>4</v>
      </c>
      <c r="H718" s="243">
        <v>13128</v>
      </c>
      <c r="I718" s="243">
        <f t="shared" si="193"/>
        <v>52512</v>
      </c>
      <c r="J718" s="8"/>
      <c r="K718" s="8">
        <f t="shared" si="179"/>
        <v>13331</v>
      </c>
      <c r="L718" s="8">
        <f t="shared" si="187"/>
        <v>53324</v>
      </c>
      <c r="M718" s="9" t="str">
        <f t="array" ref="M718">_xlfn.XLOOKUP(B718,'Neiva 2022 FASE I ACTUAL (5)'!$B$6:$B$540,'Neiva 2022 FASE I ACTUAL (5)'!$C$6:$F$540,"NO ESTA")</f>
        <v>NO ESTA</v>
      </c>
      <c r="Q718" s="124">
        <f t="shared" si="190"/>
        <v>0</v>
      </c>
      <c r="R718" s="155">
        <f t="shared" si="186"/>
        <v>4</v>
      </c>
      <c r="S718" s="156">
        <f t="shared" si="188"/>
        <v>13331</v>
      </c>
      <c r="T718" s="156">
        <f t="shared" si="189"/>
        <v>53324</v>
      </c>
    </row>
    <row r="719" spans="1:20" s="9" customFormat="1" ht="35.1" customHeight="1" x14ac:dyDescent="0.25">
      <c r="A719" s="215"/>
      <c r="B719" s="255" t="s">
        <v>1399</v>
      </c>
      <c r="C719" s="254" t="s">
        <v>1400</v>
      </c>
      <c r="D719" s="255" t="s">
        <v>94</v>
      </c>
      <c r="E719" s="242">
        <v>2380</v>
      </c>
      <c r="F719" s="242">
        <f t="shared" si="191"/>
        <v>0</v>
      </c>
      <c r="G719" s="242">
        <f t="shared" si="192"/>
        <v>2380</v>
      </c>
      <c r="H719" s="243">
        <v>8545</v>
      </c>
      <c r="I719" s="243">
        <f t="shared" si="193"/>
        <v>20337100</v>
      </c>
      <c r="J719" s="8"/>
      <c r="K719" s="8">
        <f t="shared" si="179"/>
        <v>8677</v>
      </c>
      <c r="L719" s="8">
        <f t="shared" si="187"/>
        <v>20651260</v>
      </c>
      <c r="M719" s="9" t="str">
        <f t="array" ref="M719">_xlfn.XLOOKUP(B719,'Neiva 2022 FASE I ACTUAL (5)'!$B$6:$B$540,'Neiva 2022 FASE I ACTUAL (5)'!$C$6:$F$540,"NO ESTA")</f>
        <v>NO ESTA</v>
      </c>
      <c r="Q719" s="124">
        <f t="shared" si="190"/>
        <v>0</v>
      </c>
      <c r="R719" s="155">
        <f t="shared" si="186"/>
        <v>2380</v>
      </c>
      <c r="S719" s="156">
        <f t="shared" si="188"/>
        <v>8677</v>
      </c>
      <c r="T719" s="156">
        <f t="shared" si="189"/>
        <v>20651260</v>
      </c>
    </row>
    <row r="720" spans="1:20" s="9" customFormat="1" ht="35.1" customHeight="1" x14ac:dyDescent="0.25">
      <c r="A720" s="215"/>
      <c r="B720" s="255" t="s">
        <v>1401</v>
      </c>
      <c r="C720" s="254" t="s">
        <v>1385</v>
      </c>
      <c r="D720" s="240" t="s">
        <v>1182</v>
      </c>
      <c r="E720" s="242">
        <v>1</v>
      </c>
      <c r="F720" s="242">
        <f t="shared" si="191"/>
        <v>0</v>
      </c>
      <c r="G720" s="242">
        <f t="shared" si="192"/>
        <v>1</v>
      </c>
      <c r="H720" s="243">
        <v>2901198</v>
      </c>
      <c r="I720" s="243">
        <f t="shared" si="193"/>
        <v>2901198</v>
      </c>
      <c r="J720" s="8"/>
      <c r="K720" s="8">
        <f>+ROUND(H720*(1+$K$4),0)</f>
        <v>2946167</v>
      </c>
      <c r="L720" s="8">
        <f t="shared" si="187"/>
        <v>2946167</v>
      </c>
      <c r="M720" s="9" t="str">
        <f t="array" ref="M720">_xlfn.XLOOKUP(B720,'Neiva 2022 FASE I ACTUAL (5)'!$B$6:$B$540,'Neiva 2022 FASE I ACTUAL (5)'!$C$6:$F$540,"NO ESTA")</f>
        <v>NO ESTA</v>
      </c>
      <c r="Q720" s="124">
        <f t="shared" si="190"/>
        <v>0</v>
      </c>
      <c r="R720" s="155">
        <f t="shared" si="186"/>
        <v>1</v>
      </c>
      <c r="S720" s="156">
        <f t="shared" si="188"/>
        <v>2946167</v>
      </c>
      <c r="T720" s="156">
        <f t="shared" si="189"/>
        <v>2946167</v>
      </c>
    </row>
    <row r="721" spans="1:21" s="9" customFormat="1" ht="35.1" customHeight="1" x14ac:dyDescent="0.25">
      <c r="A721" s="215"/>
      <c r="B721" s="266">
        <v>20</v>
      </c>
      <c r="C721" s="267" t="s">
        <v>1013</v>
      </c>
      <c r="D721" s="267"/>
      <c r="E721" s="268"/>
      <c r="F721" s="268"/>
      <c r="G721" s="268"/>
      <c r="H721" s="306"/>
      <c r="I721" s="268"/>
      <c r="J721" s="8"/>
      <c r="K721" s="8"/>
      <c r="L721" s="8"/>
      <c r="Q721" s="124"/>
      <c r="R721" s="155"/>
      <c r="S721" s="156"/>
      <c r="T721" s="156"/>
    </row>
    <row r="722" spans="1:21" s="9" customFormat="1" ht="35.1" customHeight="1" x14ac:dyDescent="0.25">
      <c r="A722" s="215"/>
      <c r="B722" s="255">
        <v>20.100000000000001</v>
      </c>
      <c r="C722" s="254" t="s">
        <v>1015</v>
      </c>
      <c r="D722" s="240" t="s">
        <v>13</v>
      </c>
      <c r="E722" s="242">
        <v>0</v>
      </c>
      <c r="F722" s="242">
        <v>600</v>
      </c>
      <c r="G722" s="242">
        <f>+F722+E722</f>
        <v>600</v>
      </c>
      <c r="H722" s="243">
        <v>23602</v>
      </c>
      <c r="I722" s="243">
        <f t="shared" ref="I722:I730" si="194">ROUND(+H722*G722,2)</f>
        <v>14161200</v>
      </c>
      <c r="J722" s="8"/>
      <c r="K722" s="8"/>
      <c r="L722" s="8"/>
      <c r="Q722" s="124"/>
      <c r="R722" s="155"/>
      <c r="S722" s="156"/>
      <c r="T722" s="156"/>
    </row>
    <row r="723" spans="1:21" s="9" customFormat="1" ht="35.1" customHeight="1" x14ac:dyDescent="0.25">
      <c r="A723" s="215"/>
      <c r="B723" s="255">
        <v>20.2</v>
      </c>
      <c r="C723" s="254" t="s">
        <v>1017</v>
      </c>
      <c r="D723" s="240" t="s">
        <v>13</v>
      </c>
      <c r="E723" s="242">
        <v>0</v>
      </c>
      <c r="F723" s="242">
        <v>600</v>
      </c>
      <c r="G723" s="242">
        <f t="shared" ref="G723:G730" si="195">+F723+E723</f>
        <v>600</v>
      </c>
      <c r="H723" s="243">
        <v>20123</v>
      </c>
      <c r="I723" s="243">
        <f t="shared" si="194"/>
        <v>12073800</v>
      </c>
      <c r="J723" s="8"/>
      <c r="K723" s="8"/>
      <c r="L723" s="8"/>
      <c r="Q723" s="124"/>
      <c r="R723" s="155"/>
      <c r="S723" s="156"/>
      <c r="T723" s="156"/>
    </row>
    <row r="724" spans="1:21" s="9" customFormat="1" ht="35.1" customHeight="1" x14ac:dyDescent="0.25">
      <c r="A724" s="215"/>
      <c r="B724" s="255">
        <v>20.3</v>
      </c>
      <c r="C724" s="254" t="s">
        <v>1019</v>
      </c>
      <c r="D724" s="240" t="s">
        <v>94</v>
      </c>
      <c r="E724" s="242">
        <v>0</v>
      </c>
      <c r="F724" s="242">
        <v>1500</v>
      </c>
      <c r="G724" s="242">
        <f t="shared" si="195"/>
        <v>1500</v>
      </c>
      <c r="H724" s="243">
        <v>7269</v>
      </c>
      <c r="I724" s="243">
        <f t="shared" si="194"/>
        <v>10903500</v>
      </c>
      <c r="J724" s="8"/>
      <c r="K724" s="8"/>
      <c r="L724" s="8"/>
      <c r="Q724" s="124"/>
      <c r="R724" s="155"/>
      <c r="S724" s="156"/>
      <c r="T724" s="156"/>
    </row>
    <row r="725" spans="1:21" s="9" customFormat="1" ht="35.1" customHeight="1" x14ac:dyDescent="0.25">
      <c r="A725" s="215"/>
      <c r="B725" s="255">
        <v>20.399999999999999</v>
      </c>
      <c r="C725" s="254" t="s">
        <v>1021</v>
      </c>
      <c r="D725" s="240" t="s">
        <v>13</v>
      </c>
      <c r="E725" s="242">
        <v>0</v>
      </c>
      <c r="F725" s="242">
        <v>100</v>
      </c>
      <c r="G725" s="242">
        <f t="shared" si="195"/>
        <v>100</v>
      </c>
      <c r="H725" s="243">
        <v>153417</v>
      </c>
      <c r="I725" s="243">
        <f t="shared" si="194"/>
        <v>15341700</v>
      </c>
      <c r="J725" s="8"/>
      <c r="K725" s="8"/>
      <c r="L725" s="8"/>
      <c r="Q725" s="124"/>
      <c r="R725" s="155"/>
      <c r="S725" s="156"/>
      <c r="T725" s="156"/>
    </row>
    <row r="726" spans="1:21" s="9" customFormat="1" ht="35.1" customHeight="1" x14ac:dyDescent="0.25">
      <c r="A726" s="215"/>
      <c r="B726" s="255">
        <v>20.5</v>
      </c>
      <c r="C726" s="254" t="s">
        <v>1023</v>
      </c>
      <c r="D726" s="240" t="s">
        <v>55</v>
      </c>
      <c r="E726" s="242">
        <v>0</v>
      </c>
      <c r="F726" s="242">
        <v>1072.0999999999999</v>
      </c>
      <c r="G726" s="242">
        <f t="shared" si="195"/>
        <v>1072.0999999999999</v>
      </c>
      <c r="H726" s="243">
        <v>12766</v>
      </c>
      <c r="I726" s="243">
        <f t="shared" si="194"/>
        <v>13686428.6</v>
      </c>
      <c r="J726" s="8"/>
      <c r="K726" s="8"/>
      <c r="L726" s="8"/>
      <c r="Q726" s="124"/>
      <c r="R726" s="155"/>
      <c r="S726" s="156"/>
      <c r="T726" s="156"/>
    </row>
    <row r="727" spans="1:21" s="9" customFormat="1" ht="35.1" customHeight="1" x14ac:dyDescent="0.25">
      <c r="A727" s="215"/>
      <c r="B727" s="255">
        <v>20.6</v>
      </c>
      <c r="C727" s="254" t="s">
        <v>1025</v>
      </c>
      <c r="D727" s="240" t="s">
        <v>16</v>
      </c>
      <c r="E727" s="242">
        <v>0</v>
      </c>
      <c r="F727" s="242">
        <v>793</v>
      </c>
      <c r="G727" s="242">
        <f t="shared" si="195"/>
        <v>793</v>
      </c>
      <c r="H727" s="243">
        <v>16726</v>
      </c>
      <c r="I727" s="243">
        <f t="shared" si="194"/>
        <v>13263718</v>
      </c>
      <c r="J727" s="8"/>
      <c r="K727" s="8"/>
      <c r="L727" s="8"/>
      <c r="Q727" s="124"/>
      <c r="R727" s="155"/>
      <c r="S727" s="156"/>
      <c r="T727" s="156"/>
    </row>
    <row r="728" spans="1:21" s="9" customFormat="1" ht="35.1" customHeight="1" x14ac:dyDescent="0.25">
      <c r="A728" s="215"/>
      <c r="B728" s="255">
        <v>20.7</v>
      </c>
      <c r="C728" s="254" t="s">
        <v>1027</v>
      </c>
      <c r="D728" s="240" t="s">
        <v>13</v>
      </c>
      <c r="E728" s="242">
        <v>0</v>
      </c>
      <c r="F728" s="242">
        <v>40</v>
      </c>
      <c r="G728" s="242">
        <f t="shared" si="195"/>
        <v>40</v>
      </c>
      <c r="H728" s="243">
        <v>106605</v>
      </c>
      <c r="I728" s="243">
        <f t="shared" si="194"/>
        <v>4264200</v>
      </c>
      <c r="J728" s="8"/>
      <c r="K728" s="8"/>
      <c r="L728" s="8"/>
      <c r="Q728" s="124"/>
      <c r="R728" s="155"/>
      <c r="S728" s="156"/>
      <c r="T728" s="156"/>
    </row>
    <row r="729" spans="1:21" s="9" customFormat="1" ht="35.1" customHeight="1" x14ac:dyDescent="0.25">
      <c r="A729" s="215"/>
      <c r="B729" s="255">
        <v>20.8</v>
      </c>
      <c r="C729" s="254" t="s">
        <v>1029</v>
      </c>
      <c r="D729" s="240" t="s">
        <v>13</v>
      </c>
      <c r="E729" s="242">
        <v>0</v>
      </c>
      <c r="F729" s="242">
        <v>1316</v>
      </c>
      <c r="G729" s="242">
        <f t="shared" si="195"/>
        <v>1316</v>
      </c>
      <c r="H729" s="243">
        <v>162722</v>
      </c>
      <c r="I729" s="243">
        <f t="shared" si="194"/>
        <v>214142152</v>
      </c>
      <c r="J729" s="8"/>
      <c r="K729" s="8">
        <f>+I731-13062630974.33</f>
        <v>-269153807.91000366</v>
      </c>
      <c r="L729" s="8"/>
      <c r="Q729" s="124"/>
      <c r="R729" s="155"/>
      <c r="S729" s="156"/>
      <c r="T729" s="156"/>
    </row>
    <row r="730" spans="1:21" s="9" customFormat="1" ht="35.1" customHeight="1" x14ac:dyDescent="0.25">
      <c r="A730" s="215"/>
      <c r="B730" s="255">
        <v>20.9</v>
      </c>
      <c r="C730" s="254" t="s">
        <v>1031</v>
      </c>
      <c r="D730" s="240" t="s">
        <v>13</v>
      </c>
      <c r="E730" s="242">
        <v>0</v>
      </c>
      <c r="F730" s="242">
        <v>700</v>
      </c>
      <c r="G730" s="242">
        <f t="shared" si="195"/>
        <v>700</v>
      </c>
      <c r="H730" s="243">
        <v>36898</v>
      </c>
      <c r="I730" s="243">
        <f t="shared" si="194"/>
        <v>25828600</v>
      </c>
      <c r="J730" s="8"/>
      <c r="K730" s="8"/>
      <c r="L730" s="8"/>
      <c r="Q730" s="124"/>
      <c r="R730" s="155"/>
      <c r="S730" s="156"/>
      <c r="T730" s="156"/>
    </row>
    <row r="731" spans="1:21" ht="15" x14ac:dyDescent="0.25">
      <c r="B731" s="428" t="s">
        <v>1032</v>
      </c>
      <c r="C731" s="429"/>
      <c r="D731" s="429"/>
      <c r="E731" s="429"/>
      <c r="F731" s="429"/>
      <c r="G731" s="429"/>
      <c r="H731" s="430"/>
      <c r="I731" s="65">
        <f>SUM(I6:I730)</f>
        <v>12793477166.419996</v>
      </c>
      <c r="L731" s="65">
        <f>SUM(L1:L720)</f>
        <v>6414071856.4962788</v>
      </c>
      <c r="M731" s="65">
        <f>6353512589.28+5886807197</f>
        <v>12240319786.279999</v>
      </c>
      <c r="R731" s="157"/>
      <c r="S731" s="157"/>
      <c r="T731" s="158">
        <f>SUM(T6:T720)</f>
        <v>12642059531.659998</v>
      </c>
      <c r="U731" s="1">
        <f>+'Neiva 2022 FASE I ACTUAL (5)'!O541</f>
        <v>2698625711.309999</v>
      </c>
    </row>
    <row r="732" spans="1:21" x14ac:dyDescent="0.25">
      <c r="B732" s="425" t="s">
        <v>1034</v>
      </c>
      <c r="C732" s="425"/>
      <c r="D732" s="425"/>
      <c r="E732" s="425"/>
      <c r="F732" s="219"/>
      <c r="G732" s="219"/>
      <c r="H732" s="137">
        <v>0.18490000000000001</v>
      </c>
      <c r="I732" s="66">
        <f>ROUND(H732*I731,2)</f>
        <v>2365513928.0700002</v>
      </c>
      <c r="R732" s="157"/>
      <c r="S732" s="157"/>
      <c r="T732" s="157"/>
    </row>
    <row r="733" spans="1:21" x14ac:dyDescent="0.25">
      <c r="B733" s="425" t="s">
        <v>1035</v>
      </c>
      <c r="C733" s="425"/>
      <c r="D733" s="425"/>
      <c r="E733" s="425"/>
      <c r="F733" s="219"/>
      <c r="G733" s="219"/>
      <c r="H733" s="137">
        <v>0.01</v>
      </c>
      <c r="I733" s="66">
        <f>ROUND(H733*I731,2)</f>
        <v>127934771.66</v>
      </c>
      <c r="R733" s="157"/>
      <c r="S733" s="157"/>
      <c r="T733" s="158">
        <f>T731+U731</f>
        <v>15340685242.969997</v>
      </c>
    </row>
    <row r="734" spans="1:21" x14ac:dyDescent="0.25">
      <c r="B734" s="425" t="s">
        <v>1036</v>
      </c>
      <c r="C734" s="425"/>
      <c r="D734" s="425"/>
      <c r="E734" s="425"/>
      <c r="F734" s="219"/>
      <c r="G734" s="219"/>
      <c r="H734" s="137">
        <v>0.05</v>
      </c>
      <c r="I734" s="66">
        <f>ROUND(H734*I731,2)</f>
        <v>639673858.32000005</v>
      </c>
    </row>
    <row r="735" spans="1:21" ht="15" x14ac:dyDescent="0.25">
      <c r="B735" s="431" t="s">
        <v>1033</v>
      </c>
      <c r="C735" s="432"/>
      <c r="D735" s="432"/>
      <c r="E735" s="432"/>
      <c r="F735" s="432"/>
      <c r="G735" s="432"/>
      <c r="H735" s="433"/>
      <c r="I735" s="67">
        <f>ROUND(I732+I733+I734,2)</f>
        <v>3133122558.0500002</v>
      </c>
    </row>
    <row r="736" spans="1:21" x14ac:dyDescent="0.25">
      <c r="B736" s="425" t="s">
        <v>1038</v>
      </c>
      <c r="C736" s="425"/>
      <c r="D736" s="425"/>
      <c r="E736" s="425"/>
      <c r="F736" s="219"/>
      <c r="G736" s="219"/>
      <c r="H736" s="137">
        <v>0.19</v>
      </c>
      <c r="I736" s="66">
        <f>ROUND(H736*I734,2)</f>
        <v>121538033.08</v>
      </c>
      <c r="T736" s="65">
        <f>+T733</f>
        <v>15340685242.969997</v>
      </c>
    </row>
    <row r="737" spans="2:20" x14ac:dyDescent="0.25">
      <c r="B737" s="426" t="s">
        <v>1431</v>
      </c>
      <c r="C737" s="426"/>
      <c r="D737" s="426"/>
      <c r="E737" s="426"/>
      <c r="F737" s="220"/>
      <c r="G737" s="220"/>
      <c r="H737" s="311"/>
      <c r="I737" s="65">
        <f>ROUND(I731+I735+I736,2)</f>
        <v>16048137757.549999</v>
      </c>
      <c r="T737" s="353"/>
    </row>
    <row r="738" spans="2:20" ht="55.15" customHeight="1" x14ac:dyDescent="0.25">
      <c r="B738" s="425" t="s">
        <v>1412</v>
      </c>
      <c r="C738" s="425"/>
      <c r="D738" s="425"/>
      <c r="E738" s="425"/>
      <c r="F738" s="219"/>
      <c r="G738" s="434" t="s">
        <v>1419</v>
      </c>
      <c r="H738" s="435"/>
      <c r="I738" s="66">
        <f>+K758</f>
        <v>32694791</v>
      </c>
      <c r="T738" s="353"/>
    </row>
    <row r="739" spans="2:20" x14ac:dyDescent="0.25">
      <c r="B739" s="426" t="s">
        <v>1431</v>
      </c>
      <c r="C739" s="426"/>
      <c r="D739" s="426"/>
      <c r="E739" s="426"/>
      <c r="F739" s="220"/>
      <c r="G739" s="220"/>
      <c r="H739" s="311"/>
      <c r="I739" s="65">
        <f>+I738+I737</f>
        <v>16080832548.549999</v>
      </c>
      <c r="T739" s="353"/>
    </row>
    <row r="741" spans="2:20" x14ac:dyDescent="0.25">
      <c r="E741" s="215"/>
      <c r="F741" s="215"/>
      <c r="G741" s="215"/>
      <c r="I741" s="65">
        <v>9238797411</v>
      </c>
      <c r="K741" s="1" t="s">
        <v>1403</v>
      </c>
      <c r="L741" s="1">
        <f>+I741-I742</f>
        <v>570797411</v>
      </c>
    </row>
    <row r="742" spans="2:20" x14ac:dyDescent="0.25">
      <c r="E742" s="215"/>
      <c r="F742" s="215"/>
      <c r="G742" s="215"/>
      <c r="I742" s="65">
        <v>8668000000</v>
      </c>
      <c r="J742" s="1">
        <f>I731+'Neiva 2021 FASE I UNIFICADO'!G541</f>
        <v>18431047968.579994</v>
      </c>
      <c r="K742" s="1" t="s">
        <v>1404</v>
      </c>
      <c r="M742" s="146">
        <f>J742-M731</f>
        <v>6190728182.2999954</v>
      </c>
      <c r="O742" s="1">
        <f>+T733-J742</f>
        <v>-3090362725.6099968</v>
      </c>
      <c r="Q742" s="221">
        <f>+T733-M731</f>
        <v>3100365456.6899986</v>
      </c>
    </row>
    <row r="743" spans="2:20" x14ac:dyDescent="0.25">
      <c r="E743" s="215"/>
      <c r="F743" s="215"/>
      <c r="G743" s="215"/>
      <c r="I743" s="300">
        <f>+I742+7475000000</f>
        <v>16143000000</v>
      </c>
      <c r="K743" s="1" t="s">
        <v>1405</v>
      </c>
    </row>
    <row r="744" spans="2:20" x14ac:dyDescent="0.25">
      <c r="E744" s="215"/>
      <c r="F744" s="215"/>
      <c r="G744" s="215"/>
      <c r="K744" s="224">
        <f>+I737</f>
        <v>16048137757.549999</v>
      </c>
      <c r="L744" s="158">
        <f>+I743-K744</f>
        <v>94862242.450000763</v>
      </c>
    </row>
    <row r="745" spans="2:20" x14ac:dyDescent="0.25">
      <c r="E745" s="215"/>
      <c r="F745" s="215"/>
      <c r="G745" s="215"/>
      <c r="K745" s="1" t="s">
        <v>1406</v>
      </c>
      <c r="L745" s="1" t="s">
        <v>1407</v>
      </c>
    </row>
    <row r="746" spans="2:20" x14ac:dyDescent="0.25">
      <c r="E746" s="215"/>
      <c r="F746" s="215"/>
      <c r="G746" s="215"/>
      <c r="K746" s="224">
        <f>+K744+L753</f>
        <v>16773074319.4</v>
      </c>
    </row>
    <row r="747" spans="2:20" x14ac:dyDescent="0.25">
      <c r="E747" s="215"/>
      <c r="F747" s="215"/>
      <c r="G747" s="215"/>
      <c r="L747" s="158"/>
    </row>
    <row r="748" spans="2:20" x14ac:dyDescent="0.25">
      <c r="E748" s="215"/>
      <c r="F748" s="215"/>
      <c r="G748" s="216"/>
    </row>
    <row r="749" spans="2:20" x14ac:dyDescent="0.25">
      <c r="E749" s="215"/>
      <c r="F749" s="215"/>
      <c r="G749" s="215"/>
    </row>
    <row r="750" spans="2:20" x14ac:dyDescent="0.25">
      <c r="E750" s="215"/>
      <c r="F750" s="215"/>
      <c r="G750" s="215"/>
      <c r="L750" s="1" t="s">
        <v>1408</v>
      </c>
      <c r="M750" t="s">
        <v>1409</v>
      </c>
    </row>
    <row r="751" spans="2:20" x14ac:dyDescent="0.25">
      <c r="E751" s="215"/>
      <c r="F751" s="215"/>
      <c r="G751" s="215"/>
      <c r="K751" s="158">
        <f>+K746-M755</f>
        <v>-433712389.60000038</v>
      </c>
      <c r="L751" s="1">
        <f>+K744*0.08</f>
        <v>1283851020.6039999</v>
      </c>
      <c r="M751" t="s">
        <v>1410</v>
      </c>
      <c r="N751" t="s">
        <v>1411</v>
      </c>
    </row>
    <row r="752" spans="2:20" x14ac:dyDescent="0.25">
      <c r="E752" s="215"/>
      <c r="F752" s="215"/>
      <c r="G752" s="215"/>
      <c r="M752" s="225">
        <v>492921520</v>
      </c>
      <c r="N752" s="1">
        <v>526264970</v>
      </c>
    </row>
    <row r="753" spans="1:21" x14ac:dyDescent="0.25">
      <c r="E753" s="215"/>
      <c r="F753" s="215"/>
      <c r="G753" s="215"/>
      <c r="L753" s="224">
        <v>724936561.85000002</v>
      </c>
      <c r="M753" s="225">
        <v>7475067778</v>
      </c>
    </row>
    <row r="754" spans="1:21" x14ac:dyDescent="0.25">
      <c r="E754" s="215"/>
      <c r="F754" s="215"/>
      <c r="G754" s="215"/>
      <c r="M754" s="1">
        <f>SUM(M752:M753)</f>
        <v>7967989298</v>
      </c>
    </row>
    <row r="755" spans="1:21" x14ac:dyDescent="0.25">
      <c r="E755" s="215"/>
      <c r="F755" s="215"/>
      <c r="G755" s="215"/>
      <c r="K755" s="1" t="s">
        <v>1416</v>
      </c>
      <c r="M755" s="226">
        <f>+M754+I741</f>
        <v>17206786709</v>
      </c>
    </row>
    <row r="756" spans="1:21" x14ac:dyDescent="0.25">
      <c r="E756" s="215"/>
      <c r="F756" s="215"/>
      <c r="G756" s="215"/>
      <c r="K756" s="1">
        <v>15000000</v>
      </c>
      <c r="M756" t="s">
        <v>1413</v>
      </c>
    </row>
    <row r="757" spans="1:21" x14ac:dyDescent="0.25">
      <c r="E757" s="215"/>
      <c r="F757" s="215"/>
      <c r="G757" s="215"/>
      <c r="K757" s="1">
        <v>17694791</v>
      </c>
    </row>
    <row r="758" spans="1:21" x14ac:dyDescent="0.25">
      <c r="E758" s="215"/>
      <c r="F758" s="215"/>
      <c r="G758" s="215"/>
      <c r="K758" s="1">
        <f>+K757+K756</f>
        <v>32694791</v>
      </c>
    </row>
    <row r="759" spans="1:21" x14ac:dyDescent="0.25">
      <c r="E759" s="215"/>
      <c r="F759" s="215"/>
      <c r="G759" s="215"/>
    </row>
    <row r="760" spans="1:21" x14ac:dyDescent="0.25">
      <c r="E760" s="215"/>
      <c r="F760" s="215"/>
      <c r="G760" s="215"/>
    </row>
    <row r="761" spans="1:21" x14ac:dyDescent="0.25">
      <c r="E761" s="215"/>
      <c r="F761" s="215"/>
      <c r="G761" s="215"/>
    </row>
    <row r="762" spans="1:21" x14ac:dyDescent="0.25">
      <c r="E762" s="215"/>
      <c r="F762" s="215"/>
      <c r="G762" s="215"/>
    </row>
    <row r="763" spans="1:21" x14ac:dyDescent="0.25">
      <c r="E763" s="215"/>
      <c r="F763" s="215"/>
      <c r="G763" s="215"/>
    </row>
    <row r="764" spans="1:21" x14ac:dyDescent="0.25">
      <c r="E764" s="215"/>
      <c r="F764" s="215"/>
      <c r="G764" s="215"/>
    </row>
    <row r="765" spans="1:21" x14ac:dyDescent="0.25">
      <c r="E765" s="215"/>
      <c r="F765" s="215"/>
      <c r="G765" s="215"/>
    </row>
    <row r="766" spans="1:21" s="234" customFormat="1" x14ac:dyDescent="0.25">
      <c r="A766" s="215"/>
      <c r="B766" s="215"/>
      <c r="C766" s="215"/>
      <c r="D766" s="215"/>
      <c r="E766" s="215"/>
      <c r="F766" s="215"/>
      <c r="G766" s="215"/>
      <c r="J766" s="1"/>
      <c r="K766" s="1"/>
      <c r="L766" s="1"/>
      <c r="M766"/>
      <c r="N766"/>
      <c r="O766"/>
      <c r="P766"/>
      <c r="Q766" s="118"/>
      <c r="R766"/>
      <c r="S766"/>
      <c r="T766"/>
      <c r="U766"/>
    </row>
    <row r="767" spans="1:21" s="234" customFormat="1" x14ac:dyDescent="0.25">
      <c r="A767" s="215"/>
      <c r="B767" s="215"/>
      <c r="C767" s="215"/>
      <c r="D767" s="215"/>
      <c r="E767" s="215"/>
      <c r="F767" s="215"/>
      <c r="G767" s="215"/>
      <c r="J767" s="1"/>
      <c r="K767" s="1"/>
      <c r="L767" s="1"/>
      <c r="M767"/>
      <c r="N767"/>
      <c r="O767"/>
      <c r="P767"/>
      <c r="Q767" s="118"/>
      <c r="R767"/>
      <c r="S767"/>
      <c r="T767"/>
      <c r="U767"/>
    </row>
  </sheetData>
  <mergeCells count="11">
    <mergeCell ref="B735:H735"/>
    <mergeCell ref="B2:I3"/>
    <mergeCell ref="B731:H731"/>
    <mergeCell ref="B732:E732"/>
    <mergeCell ref="B733:E733"/>
    <mergeCell ref="B734:E734"/>
    <mergeCell ref="B736:E736"/>
    <mergeCell ref="B737:E737"/>
    <mergeCell ref="B739:E739"/>
    <mergeCell ref="B738:E738"/>
    <mergeCell ref="G738:H738"/>
  </mergeCells>
  <conditionalFormatting sqref="I2:I4 I6:I9 I11:I12 I14:I15 I18:I21 I23:I26 I139 I141:I142 I144:I148 I150:I153 I155 I158:I161 I163:I169 I171:I176 I178:I183 I186:I189 I191:I197 I199:I204 I206:I211 I213:I220 I222 I225 I227:I228 I230 I233:I235 I237:I238 I240 I242:I246 I248:I251 I253:I258 I260 I263:I291 I313:I320 I322:I335 I337:I340 I342:I344 I347:I359 I361:I375 I378:I393 I395:I399 I401:I404 I407:I412 I414:I415 I417:I426 I428:I430 I432:I447 I449:I450 I452:I458 I460 I462:I464 I466:I470 I472:I476 I478:I479 I481:I490 I492:I503 I505 I507:I511 I514:I522 I525:I539 I541:I548 I550:I557 I559:I595 I597:I602 I604:I617 I619:I623 I625:I635 I638:I641 I643 I645:I650 I652:I654 I656:I658 I660:I671 I673:I676 I678:I679 I682:I688 I690:I699 I701:I711 I713:I720 I731:I734 I28 I30:I31 I34:I35 I37:I39 I41:I45 I47:I48 I50:I52 I55:I56 I58:I59 I61:I62 I64:I67 I70:I76 I78:I79 I81:I86 I88:I93 I95:I100 I102:I107 I109:I111 I114:I116 I118:I119 I121:I125 I127:I129 I131:I133 I135:I136 I293:I311 I736:I737">
    <cfRule type="cellIs" dxfId="9" priority="10" operator="equal">
      <formula>0</formula>
    </cfRule>
  </conditionalFormatting>
  <conditionalFormatting sqref="I735">
    <cfRule type="cellIs" dxfId="8" priority="9" operator="equal">
      <formula>0</formula>
    </cfRule>
  </conditionalFormatting>
  <conditionalFormatting sqref="M731">
    <cfRule type="cellIs" dxfId="7" priority="8" operator="equal">
      <formula>0</formula>
    </cfRule>
  </conditionalFormatting>
  <conditionalFormatting sqref="L731">
    <cfRule type="cellIs" dxfId="6" priority="7" operator="equal">
      <formula>0</formula>
    </cfRule>
  </conditionalFormatting>
  <conditionalFormatting sqref="T736:T739">
    <cfRule type="cellIs" dxfId="5" priority="6" operator="equal">
      <formula>0</formula>
    </cfRule>
  </conditionalFormatting>
  <conditionalFormatting sqref="I741">
    <cfRule type="cellIs" dxfId="4" priority="5" operator="equal">
      <formula>0</formula>
    </cfRule>
  </conditionalFormatting>
  <conditionalFormatting sqref="I742">
    <cfRule type="cellIs" dxfId="3" priority="4" operator="equal">
      <formula>0</formula>
    </cfRule>
  </conditionalFormatting>
  <conditionalFormatting sqref="I722:I730">
    <cfRule type="cellIs" dxfId="2" priority="3" operator="equal">
      <formula>0</formula>
    </cfRule>
  </conditionalFormatting>
  <conditionalFormatting sqref="I739">
    <cfRule type="cellIs" dxfId="1" priority="2" operator="equal">
      <formula>0</formula>
    </cfRule>
  </conditionalFormatting>
  <conditionalFormatting sqref="I738">
    <cfRule type="cellIs" dxfId="0" priority="1" operator="equal">
      <formula>0</formula>
    </cfRule>
  </conditionalFormatting>
  <printOptions horizontalCentered="1"/>
  <pageMargins left="0.70866141732283472" right="0.70866141732283472" top="0.74803149606299213" bottom="0.74803149606299213" header="0.31496062992125984" footer="0.31496062992125984"/>
  <pageSetup scale="46" orientation="portrait" r:id="rId1"/>
  <rowBreaks count="1" manualBreakCount="1">
    <brk id="694" min="1" max="8"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1:BK72"/>
  <sheetViews>
    <sheetView showGridLines="0" view="pageBreakPreview" topLeftCell="A3" zoomScale="120" zoomScaleNormal="115" zoomScaleSheetLayoutView="120" zoomScalePageLayoutView="40" workbookViewId="0">
      <selection activeCell="M553" sqref="M553"/>
    </sheetView>
  </sheetViews>
  <sheetFormatPr baseColWidth="10" defaultColWidth="11.42578125" defaultRowHeight="12.75" x14ac:dyDescent="0.2"/>
  <cols>
    <col min="1" max="1" width="6.42578125" style="161" customWidth="1"/>
    <col min="2" max="2" width="5.7109375" style="161" customWidth="1"/>
    <col min="3" max="3" width="6.5703125" style="161" customWidth="1"/>
    <col min="4" max="5" width="5.7109375" style="161" customWidth="1"/>
    <col min="6" max="6" width="14.7109375" style="161" customWidth="1"/>
    <col min="7" max="19" width="5.7109375" style="161" customWidth="1"/>
    <col min="20" max="20" width="6.5703125" style="161" customWidth="1"/>
    <col min="21" max="23" width="5.7109375" style="161" customWidth="1"/>
    <col min="24" max="24" width="13.28515625" style="161" customWidth="1"/>
    <col min="25" max="25" width="5.7109375" style="161" customWidth="1"/>
    <col min="26" max="26" width="15.85546875" style="161" customWidth="1"/>
    <col min="27" max="27" width="5.7109375" style="161" customWidth="1"/>
    <col min="28" max="40" width="4.7109375" style="161" customWidth="1"/>
    <col min="41" max="16384" width="11.42578125" style="161"/>
  </cols>
  <sheetData>
    <row r="1" spans="1:63" s="160" customFormat="1" ht="21.95" customHeight="1" x14ac:dyDescent="0.25">
      <c r="A1" s="515"/>
      <c r="B1" s="515"/>
      <c r="C1" s="515"/>
      <c r="D1" s="515"/>
      <c r="E1" s="515"/>
      <c r="F1" s="516" t="s">
        <v>1432</v>
      </c>
      <c r="G1" s="516"/>
      <c r="H1" s="516"/>
      <c r="I1" s="516"/>
      <c r="J1" s="516"/>
      <c r="K1" s="516"/>
      <c r="L1" s="516"/>
      <c r="M1" s="516"/>
      <c r="N1" s="516"/>
      <c r="O1" s="516"/>
      <c r="P1" s="516"/>
      <c r="Q1" s="515" t="s">
        <v>1433</v>
      </c>
      <c r="R1" s="515"/>
      <c r="S1" s="515"/>
      <c r="T1" s="517" t="s">
        <v>1434</v>
      </c>
      <c r="U1" s="517"/>
      <c r="V1" s="517"/>
    </row>
    <row r="2" spans="1:63" s="160" customFormat="1" ht="21.95" customHeight="1" x14ac:dyDescent="0.25">
      <c r="A2" s="515"/>
      <c r="B2" s="515"/>
      <c r="C2" s="515"/>
      <c r="D2" s="515"/>
      <c r="E2" s="515"/>
      <c r="F2" s="516"/>
      <c r="G2" s="516"/>
      <c r="H2" s="516"/>
      <c r="I2" s="516"/>
      <c r="J2" s="516"/>
      <c r="K2" s="516"/>
      <c r="L2" s="516"/>
      <c r="M2" s="516"/>
      <c r="N2" s="516"/>
      <c r="O2" s="516"/>
      <c r="P2" s="516"/>
      <c r="Q2" s="515" t="s">
        <v>1435</v>
      </c>
      <c r="R2" s="515"/>
      <c r="S2" s="515"/>
      <c r="T2" s="518" t="s">
        <v>1436</v>
      </c>
      <c r="U2" s="518"/>
      <c r="V2" s="518"/>
    </row>
    <row r="3" spans="1:63" s="160" customFormat="1" ht="21.95" customHeight="1" x14ac:dyDescent="0.25">
      <c r="A3" s="515"/>
      <c r="B3" s="515"/>
      <c r="C3" s="515"/>
      <c r="D3" s="515"/>
      <c r="E3" s="515"/>
      <c r="F3" s="519" t="s">
        <v>1437</v>
      </c>
      <c r="G3" s="519"/>
      <c r="H3" s="519"/>
      <c r="I3" s="519"/>
      <c r="J3" s="519"/>
      <c r="K3" s="519"/>
      <c r="L3" s="519"/>
      <c r="M3" s="519"/>
      <c r="N3" s="519"/>
      <c r="O3" s="519"/>
      <c r="P3" s="519"/>
      <c r="Q3" s="515" t="s">
        <v>1438</v>
      </c>
      <c r="R3" s="515"/>
      <c r="S3" s="515"/>
      <c r="T3" s="520">
        <v>44124</v>
      </c>
      <c r="U3" s="520"/>
      <c r="V3" s="520"/>
    </row>
    <row r="4" spans="1:63" ht="13.5" customHeight="1" x14ac:dyDescent="0.2">
      <c r="C4" s="162"/>
      <c r="D4" s="162"/>
      <c r="E4" s="162"/>
      <c r="F4" s="162"/>
      <c r="G4" s="162"/>
      <c r="H4" s="162"/>
      <c r="I4" s="162"/>
      <c r="J4" s="162"/>
      <c r="K4" s="162"/>
      <c r="L4" s="162"/>
      <c r="M4" s="162"/>
      <c r="N4" s="162"/>
      <c r="O4" s="162"/>
      <c r="P4" s="162"/>
      <c r="Q4" s="163"/>
      <c r="R4" s="163"/>
      <c r="S4" s="164"/>
      <c r="T4" s="164"/>
    </row>
    <row r="6" spans="1:63" s="165" customFormat="1" ht="16.5" x14ac:dyDescent="0.3">
      <c r="A6" s="450" t="s">
        <v>1439</v>
      </c>
      <c r="B6" s="451"/>
      <c r="C6" s="451"/>
      <c r="D6" s="451"/>
      <c r="E6" s="451"/>
      <c r="F6" s="451"/>
      <c r="G6" s="451"/>
      <c r="H6" s="451"/>
      <c r="I6" s="451"/>
      <c r="J6" s="451"/>
      <c r="K6" s="451"/>
      <c r="L6" s="451"/>
      <c r="M6" s="451"/>
      <c r="N6" s="451"/>
      <c r="O6" s="451"/>
      <c r="P6" s="451"/>
      <c r="Q6" s="451"/>
      <c r="R6" s="451"/>
      <c r="S6" s="451"/>
      <c r="T6" s="451"/>
      <c r="U6" s="451"/>
      <c r="V6" s="452"/>
      <c r="X6" s="166"/>
      <c r="Y6" s="167"/>
      <c r="Z6" s="168"/>
      <c r="AA6" s="168"/>
      <c r="AB6" s="168"/>
      <c r="BC6" s="169"/>
      <c r="BD6" s="169"/>
      <c r="BE6" s="169"/>
      <c r="BF6" s="169"/>
      <c r="BG6" s="169"/>
      <c r="BH6" s="169"/>
      <c r="BI6" s="169"/>
      <c r="BJ6" s="169"/>
      <c r="BK6" s="169"/>
    </row>
    <row r="7" spans="1:63" ht="16.5" x14ac:dyDescent="0.25">
      <c r="A7" s="510" t="s">
        <v>1440</v>
      </c>
      <c r="B7" s="510"/>
      <c r="C7" s="510"/>
      <c r="D7" s="510"/>
      <c r="E7" s="511" t="s">
        <v>1441</v>
      </c>
      <c r="F7" s="511"/>
      <c r="G7" s="171" t="s">
        <v>1442</v>
      </c>
      <c r="H7" s="512"/>
      <c r="I7" s="512"/>
      <c r="J7" s="513" t="s">
        <v>1443</v>
      </c>
      <c r="K7" s="513"/>
      <c r="L7" s="512"/>
      <c r="M7" s="512"/>
      <c r="N7" s="512"/>
      <c r="O7" s="512"/>
      <c r="P7" s="514" t="s">
        <v>1444</v>
      </c>
      <c r="Q7" s="514"/>
      <c r="R7" s="514"/>
      <c r="S7" s="512"/>
      <c r="T7" s="512"/>
      <c r="U7" s="512"/>
      <c r="V7" s="512"/>
      <c r="X7" s="172"/>
      <c r="Y7" s="173"/>
      <c r="Z7" s="174"/>
      <c r="AA7" s="175"/>
      <c r="AB7" s="175"/>
      <c r="BC7" s="169"/>
      <c r="BD7" s="169"/>
      <c r="BE7" s="169"/>
      <c r="BF7" s="169"/>
      <c r="BG7" s="169"/>
      <c r="BH7" s="169"/>
      <c r="BI7" s="169"/>
      <c r="BJ7" s="169"/>
      <c r="BK7" s="169"/>
    </row>
    <row r="8" spans="1:63" ht="13.5" x14ac:dyDescent="0.25">
      <c r="A8" s="170" t="s">
        <v>1445</v>
      </c>
      <c r="B8" s="170"/>
      <c r="C8" s="170"/>
      <c r="D8" s="170"/>
      <c r="E8" s="508" t="s">
        <v>1446</v>
      </c>
      <c r="F8" s="508"/>
      <c r="G8" s="508"/>
      <c r="H8" s="508"/>
      <c r="I8" s="508"/>
      <c r="J8" s="508"/>
      <c r="K8" s="508"/>
      <c r="L8" s="508"/>
      <c r="M8" s="508"/>
      <c r="N8" s="508"/>
      <c r="O8" s="508"/>
      <c r="P8" s="508"/>
      <c r="Q8" s="508"/>
      <c r="R8" s="508"/>
      <c r="S8" s="508"/>
      <c r="T8" s="508"/>
      <c r="U8" s="508"/>
      <c r="V8" s="508"/>
      <c r="X8" s="172"/>
      <c r="Y8" s="173"/>
      <c r="Z8" s="175"/>
      <c r="AA8" s="175"/>
      <c r="AB8" s="175"/>
    </row>
    <row r="9" spans="1:63" ht="13.5" x14ac:dyDescent="0.25">
      <c r="A9" s="509" t="s">
        <v>1447</v>
      </c>
      <c r="B9" s="509"/>
      <c r="C9" s="509"/>
      <c r="D9" s="509"/>
      <c r="E9" s="508" t="s">
        <v>1448</v>
      </c>
      <c r="F9" s="508"/>
      <c r="G9" s="508"/>
      <c r="H9" s="508"/>
      <c r="I9" s="508"/>
      <c r="J9" s="508"/>
      <c r="K9" s="508"/>
      <c r="L9" s="508"/>
      <c r="M9" s="508"/>
      <c r="N9" s="508"/>
      <c r="O9" s="508"/>
      <c r="P9" s="508"/>
      <c r="Q9" s="508"/>
      <c r="R9" s="508"/>
      <c r="S9" s="508"/>
      <c r="T9" s="508"/>
      <c r="U9" s="508"/>
      <c r="V9" s="508"/>
      <c r="X9" s="172"/>
      <c r="Y9" s="173"/>
      <c r="Z9" s="175"/>
      <c r="AA9" s="175"/>
      <c r="AB9" s="175"/>
      <c r="AC9" s="175"/>
    </row>
    <row r="10" spans="1:63" ht="13.5" x14ac:dyDescent="0.25">
      <c r="A10" s="509" t="s">
        <v>1449</v>
      </c>
      <c r="B10" s="509"/>
      <c r="C10" s="509"/>
      <c r="D10" s="509"/>
      <c r="E10" s="508" t="s">
        <v>1450</v>
      </c>
      <c r="F10" s="508"/>
      <c r="G10" s="508"/>
      <c r="H10" s="508"/>
      <c r="I10" s="508"/>
      <c r="J10" s="508"/>
      <c r="K10" s="508"/>
      <c r="L10" s="508"/>
      <c r="M10" s="508"/>
      <c r="N10" s="508"/>
      <c r="O10" s="508"/>
      <c r="P10" s="508"/>
      <c r="Q10" s="508"/>
      <c r="R10" s="508"/>
      <c r="S10" s="508"/>
      <c r="T10" s="508"/>
      <c r="U10" s="508"/>
      <c r="V10" s="508"/>
      <c r="X10" s="172"/>
      <c r="Y10" s="173"/>
      <c r="Z10" s="175"/>
      <c r="AA10" s="175"/>
      <c r="AB10" s="175"/>
      <c r="AC10" s="175"/>
    </row>
    <row r="11" spans="1:63" ht="13.5" x14ac:dyDescent="0.25">
      <c r="A11" s="509" t="s">
        <v>1451</v>
      </c>
      <c r="B11" s="509"/>
      <c r="C11" s="509"/>
      <c r="D11" s="509"/>
      <c r="E11" s="508" t="s">
        <v>1452</v>
      </c>
      <c r="F11" s="508"/>
      <c r="G11" s="508"/>
      <c r="H11" s="508"/>
      <c r="I11" s="508"/>
      <c r="J11" s="508"/>
      <c r="K11" s="508"/>
      <c r="L11" s="508"/>
      <c r="M11" s="508"/>
      <c r="N11" s="508"/>
      <c r="O11" s="508"/>
      <c r="P11" s="508"/>
      <c r="Q11" s="508"/>
      <c r="R11" s="508"/>
      <c r="S11" s="508"/>
      <c r="T11" s="508"/>
      <c r="U11" s="508"/>
      <c r="V11" s="508"/>
      <c r="X11" s="172"/>
      <c r="Y11" s="173"/>
      <c r="Z11" s="175"/>
      <c r="AA11" s="175"/>
      <c r="AB11" s="175"/>
      <c r="AC11" s="175"/>
    </row>
    <row r="12" spans="1:63" x14ac:dyDescent="0.2">
      <c r="D12" s="176"/>
      <c r="E12" s="176"/>
      <c r="F12" s="176"/>
      <c r="G12" s="176"/>
      <c r="H12" s="176"/>
      <c r="I12" s="176"/>
      <c r="J12" s="176"/>
      <c r="K12" s="176"/>
      <c r="L12" s="176"/>
      <c r="M12" s="176"/>
      <c r="N12" s="176"/>
      <c r="O12" s="176"/>
      <c r="P12" s="176"/>
      <c r="Q12" s="176"/>
      <c r="R12" s="176"/>
      <c r="S12" s="176"/>
      <c r="T12" s="176"/>
      <c r="U12" s="176"/>
      <c r="V12" s="176"/>
      <c r="X12" s="176"/>
      <c r="Y12" s="173"/>
      <c r="Z12" s="175"/>
      <c r="AA12" s="175"/>
      <c r="AB12" s="175"/>
    </row>
    <row r="13" spans="1:63" s="165" customFormat="1" ht="16.5" x14ac:dyDescent="0.3">
      <c r="A13" s="450" t="s">
        <v>1453</v>
      </c>
      <c r="B13" s="451"/>
      <c r="C13" s="451"/>
      <c r="D13" s="451"/>
      <c r="E13" s="451"/>
      <c r="F13" s="451"/>
      <c r="G13" s="451"/>
      <c r="H13" s="451"/>
      <c r="I13" s="451"/>
      <c r="J13" s="451"/>
      <c r="K13" s="451"/>
      <c r="L13" s="451"/>
      <c r="M13" s="451"/>
      <c r="N13" s="451"/>
      <c r="O13" s="451"/>
      <c r="P13" s="451"/>
      <c r="Q13" s="451"/>
      <c r="R13" s="451"/>
      <c r="S13" s="451"/>
      <c r="T13" s="451"/>
      <c r="U13" s="451"/>
      <c r="V13" s="452"/>
      <c r="X13" s="177"/>
      <c r="Y13" s="167"/>
      <c r="Z13" s="168"/>
      <c r="AA13" s="168"/>
      <c r="AB13" s="168"/>
    </row>
    <row r="14" spans="1:63" x14ac:dyDescent="0.2">
      <c r="A14" s="499" t="s">
        <v>1454</v>
      </c>
      <c r="B14" s="500"/>
      <c r="C14" s="500" t="s">
        <v>1455</v>
      </c>
      <c r="D14" s="500"/>
      <c r="E14" s="500"/>
      <c r="F14" s="500"/>
      <c r="G14" s="500"/>
      <c r="H14" s="500"/>
      <c r="I14" s="500"/>
      <c r="J14" s="500"/>
      <c r="K14" s="500"/>
      <c r="L14" s="500"/>
      <c r="M14" s="500"/>
      <c r="N14" s="500"/>
      <c r="O14" s="500"/>
      <c r="P14" s="500"/>
      <c r="Q14" s="500"/>
      <c r="R14" s="500" t="s">
        <v>1456</v>
      </c>
      <c r="S14" s="500"/>
      <c r="T14" s="500" t="s">
        <v>1457</v>
      </c>
      <c r="U14" s="500"/>
      <c r="V14" s="501"/>
      <c r="X14" s="176"/>
      <c r="Y14" s="173"/>
      <c r="Z14" s="175"/>
      <c r="AA14" s="175"/>
      <c r="AB14" s="175"/>
    </row>
    <row r="15" spans="1:63" s="165" customFormat="1" ht="16.5" x14ac:dyDescent="0.3">
      <c r="A15" s="503"/>
      <c r="B15" s="504"/>
      <c r="C15" s="505" t="s">
        <v>54</v>
      </c>
      <c r="D15" s="506"/>
      <c r="E15" s="506"/>
      <c r="F15" s="506"/>
      <c r="G15" s="506"/>
      <c r="H15" s="506"/>
      <c r="I15" s="506"/>
      <c r="J15" s="506"/>
      <c r="K15" s="506"/>
      <c r="L15" s="506"/>
      <c r="M15" s="506"/>
      <c r="N15" s="506"/>
      <c r="O15" s="506"/>
      <c r="P15" s="506"/>
      <c r="Q15" s="506"/>
      <c r="R15" s="506" t="s">
        <v>55</v>
      </c>
      <c r="S15" s="506"/>
      <c r="T15" s="506">
        <v>1</v>
      </c>
      <c r="U15" s="506"/>
      <c r="V15" s="507"/>
      <c r="X15" s="177"/>
      <c r="Y15" s="167"/>
      <c r="Z15" s="168"/>
      <c r="AA15" s="168"/>
      <c r="AB15" s="168"/>
    </row>
    <row r="16" spans="1:63" x14ac:dyDescent="0.2">
      <c r="A16" s="178"/>
      <c r="B16" s="178"/>
      <c r="C16" s="178"/>
      <c r="D16" s="178"/>
      <c r="E16" s="178"/>
      <c r="F16" s="178"/>
      <c r="G16" s="178"/>
      <c r="H16" s="178"/>
      <c r="I16" s="178"/>
      <c r="J16" s="178"/>
      <c r="K16" s="178"/>
      <c r="L16" s="178"/>
      <c r="M16" s="178"/>
      <c r="N16" s="178"/>
      <c r="O16" s="178"/>
      <c r="P16" s="178"/>
      <c r="Q16" s="178"/>
      <c r="R16" s="178"/>
      <c r="S16" s="178"/>
      <c r="T16" s="178"/>
      <c r="U16" s="178"/>
      <c r="V16" s="178"/>
      <c r="X16" s="176"/>
      <c r="Y16" s="173"/>
      <c r="Z16" s="175"/>
      <c r="AA16" s="175"/>
      <c r="AB16" s="175"/>
    </row>
    <row r="17" spans="1:28" x14ac:dyDescent="0.2">
      <c r="A17" s="486" t="s">
        <v>1458</v>
      </c>
      <c r="B17" s="487"/>
      <c r="C17" s="487"/>
      <c r="D17" s="487"/>
      <c r="E17" s="487"/>
      <c r="F17" s="487"/>
      <c r="G17" s="487"/>
      <c r="H17" s="487"/>
      <c r="I17" s="487"/>
      <c r="J17" s="487"/>
      <c r="K17" s="487"/>
      <c r="L17" s="487"/>
      <c r="M17" s="487"/>
      <c r="N17" s="487"/>
      <c r="O17" s="487"/>
      <c r="P17" s="487"/>
      <c r="Q17" s="487"/>
      <c r="R17" s="487"/>
      <c r="S17" s="487"/>
      <c r="T17" s="487"/>
      <c r="U17" s="487"/>
      <c r="V17" s="488"/>
      <c r="X17" s="176"/>
      <c r="Y17" s="173"/>
      <c r="Z17" s="175"/>
      <c r="AA17" s="175"/>
      <c r="AB17" s="175"/>
    </row>
    <row r="18" spans="1:28" ht="13.5" x14ac:dyDescent="0.25">
      <c r="A18" s="489" t="s">
        <v>1455</v>
      </c>
      <c r="B18" s="490"/>
      <c r="C18" s="490"/>
      <c r="D18" s="490"/>
      <c r="E18" s="490"/>
      <c r="F18" s="490"/>
      <c r="G18" s="490"/>
      <c r="H18" s="490" t="s">
        <v>1459</v>
      </c>
      <c r="I18" s="490"/>
      <c r="J18" s="490"/>
      <c r="K18" s="490" t="s">
        <v>1460</v>
      </c>
      <c r="L18" s="490"/>
      <c r="M18" s="490"/>
      <c r="N18" s="490"/>
      <c r="O18" s="490" t="s">
        <v>1461</v>
      </c>
      <c r="P18" s="490"/>
      <c r="Q18" s="490"/>
      <c r="R18" s="490" t="s">
        <v>1462</v>
      </c>
      <c r="S18" s="490"/>
      <c r="T18" s="490" t="s">
        <v>1463</v>
      </c>
      <c r="U18" s="490"/>
      <c r="V18" s="491"/>
      <c r="X18" s="176"/>
      <c r="Y18" s="173"/>
      <c r="Z18" s="175"/>
      <c r="AA18" s="175"/>
      <c r="AB18" s="175"/>
    </row>
    <row r="19" spans="1:28" ht="13.5" x14ac:dyDescent="0.25">
      <c r="A19" s="477" t="s">
        <v>1464</v>
      </c>
      <c r="B19" s="478"/>
      <c r="C19" s="478"/>
      <c r="D19" s="478"/>
      <c r="E19" s="478"/>
      <c r="F19" s="478"/>
      <c r="G19" s="478"/>
      <c r="H19" s="478"/>
      <c r="I19" s="478"/>
      <c r="J19" s="478"/>
      <c r="K19" s="478"/>
      <c r="L19" s="478"/>
      <c r="M19" s="478"/>
      <c r="N19" s="478"/>
      <c r="O19" s="471">
        <f>+T43</f>
        <v>622</v>
      </c>
      <c r="P19" s="471"/>
      <c r="Q19" s="471"/>
      <c r="R19" s="502">
        <v>0.05</v>
      </c>
      <c r="S19" s="478"/>
      <c r="T19" s="478">
        <f>+ROUND(O19*R19,0)</f>
        <v>31</v>
      </c>
      <c r="U19" s="478"/>
      <c r="V19" s="479"/>
      <c r="X19" s="176"/>
      <c r="Y19" s="173"/>
      <c r="Z19" s="175"/>
      <c r="AA19" s="175"/>
      <c r="AB19" s="175"/>
    </row>
    <row r="20" spans="1:28" ht="13.5" x14ac:dyDescent="0.25">
      <c r="A20" s="477"/>
      <c r="B20" s="478"/>
      <c r="C20" s="478"/>
      <c r="D20" s="478"/>
      <c r="E20" s="478"/>
      <c r="F20" s="478"/>
      <c r="G20" s="478"/>
      <c r="H20" s="478"/>
      <c r="I20" s="478"/>
      <c r="J20" s="478"/>
      <c r="K20" s="478"/>
      <c r="L20" s="478"/>
      <c r="M20" s="478"/>
      <c r="N20" s="478"/>
      <c r="O20" s="478"/>
      <c r="P20" s="478"/>
      <c r="Q20" s="478"/>
      <c r="R20" s="478"/>
      <c r="S20" s="478"/>
      <c r="T20" s="478"/>
      <c r="U20" s="478"/>
      <c r="V20" s="479"/>
      <c r="X20" s="176"/>
      <c r="Y20" s="173"/>
      <c r="Z20" s="175"/>
      <c r="AA20" s="175"/>
      <c r="AB20" s="175"/>
    </row>
    <row r="21" spans="1:28" ht="13.5" x14ac:dyDescent="0.25">
      <c r="A21" s="477"/>
      <c r="B21" s="478"/>
      <c r="C21" s="478"/>
      <c r="D21" s="478"/>
      <c r="E21" s="478"/>
      <c r="F21" s="478"/>
      <c r="G21" s="478"/>
      <c r="H21" s="478"/>
      <c r="I21" s="478"/>
      <c r="J21" s="478"/>
      <c r="K21" s="478"/>
      <c r="L21" s="478"/>
      <c r="M21" s="478"/>
      <c r="N21" s="478"/>
      <c r="O21" s="478"/>
      <c r="P21" s="478"/>
      <c r="Q21" s="478"/>
      <c r="R21" s="478"/>
      <c r="S21" s="478"/>
      <c r="T21" s="478"/>
      <c r="U21" s="478"/>
      <c r="V21" s="479"/>
      <c r="X21" s="176"/>
      <c r="Y21" s="173"/>
      <c r="Z21" s="175"/>
      <c r="AA21" s="175"/>
      <c r="AB21" s="175"/>
    </row>
    <row r="22" spans="1:28" ht="13.5" x14ac:dyDescent="0.25">
      <c r="A22" s="482" t="s">
        <v>1465</v>
      </c>
      <c r="B22" s="483"/>
      <c r="C22" s="483"/>
      <c r="D22" s="483"/>
      <c r="E22" s="483"/>
      <c r="F22" s="483"/>
      <c r="G22" s="483"/>
      <c r="H22" s="483"/>
      <c r="I22" s="483"/>
      <c r="J22" s="483"/>
      <c r="K22" s="483"/>
      <c r="L22" s="483"/>
      <c r="M22" s="483"/>
      <c r="N22" s="483"/>
      <c r="O22" s="483"/>
      <c r="P22" s="483"/>
      <c r="Q22" s="483"/>
      <c r="R22" s="483"/>
      <c r="S22" s="483"/>
      <c r="T22" s="495">
        <f>SUM(T19:V21)</f>
        <v>31</v>
      </c>
      <c r="U22" s="495"/>
      <c r="V22" s="496"/>
      <c r="X22" s="176"/>
      <c r="Y22" s="179"/>
      <c r="Z22" s="175"/>
      <c r="AA22" s="175"/>
      <c r="AB22" s="175"/>
    </row>
    <row r="23" spans="1:28" ht="13.5" x14ac:dyDescent="0.25">
      <c r="A23" s="180"/>
      <c r="B23" s="180"/>
      <c r="C23" s="180"/>
      <c r="D23" s="180"/>
      <c r="E23" s="180"/>
      <c r="F23" s="180"/>
      <c r="G23" s="180"/>
      <c r="H23" s="180"/>
      <c r="I23" s="180"/>
      <c r="J23" s="180"/>
      <c r="K23" s="180"/>
      <c r="L23" s="180"/>
      <c r="M23" s="180"/>
      <c r="N23" s="180"/>
      <c r="O23" s="180"/>
      <c r="P23" s="180"/>
      <c r="Q23" s="180"/>
      <c r="R23" s="180"/>
      <c r="S23" s="181"/>
      <c r="T23" s="181"/>
      <c r="U23" s="181"/>
      <c r="V23" s="181"/>
      <c r="X23" s="176"/>
      <c r="Y23" s="173"/>
      <c r="Z23" s="175"/>
      <c r="AA23" s="175"/>
      <c r="AB23" s="175"/>
    </row>
    <row r="24" spans="1:28" x14ac:dyDescent="0.2">
      <c r="A24" s="486" t="s">
        <v>1466</v>
      </c>
      <c r="B24" s="487"/>
      <c r="C24" s="487"/>
      <c r="D24" s="487"/>
      <c r="E24" s="487"/>
      <c r="F24" s="487"/>
      <c r="G24" s="487"/>
      <c r="H24" s="487"/>
      <c r="I24" s="487"/>
      <c r="J24" s="487"/>
      <c r="K24" s="487"/>
      <c r="L24" s="487"/>
      <c r="M24" s="487"/>
      <c r="N24" s="487"/>
      <c r="O24" s="487"/>
      <c r="P24" s="487"/>
      <c r="Q24" s="487"/>
      <c r="R24" s="487"/>
      <c r="S24" s="487"/>
      <c r="T24" s="487"/>
      <c r="U24" s="487"/>
      <c r="V24" s="488"/>
      <c r="X24" s="176"/>
      <c r="Y24" s="173"/>
      <c r="Z24" s="175"/>
      <c r="AA24" s="175"/>
      <c r="AB24" s="175"/>
    </row>
    <row r="25" spans="1:28" x14ac:dyDescent="0.2">
      <c r="A25" s="499" t="s">
        <v>1455</v>
      </c>
      <c r="B25" s="500"/>
      <c r="C25" s="500"/>
      <c r="D25" s="500"/>
      <c r="E25" s="500"/>
      <c r="F25" s="500"/>
      <c r="G25" s="500"/>
      <c r="H25" s="500"/>
      <c r="I25" s="500"/>
      <c r="J25" s="500"/>
      <c r="K25" s="500"/>
      <c r="L25" s="500"/>
      <c r="M25" s="500" t="s">
        <v>1456</v>
      </c>
      <c r="N25" s="500"/>
      <c r="O25" s="500" t="s">
        <v>1457</v>
      </c>
      <c r="P25" s="500"/>
      <c r="Q25" s="500" t="s">
        <v>1467</v>
      </c>
      <c r="R25" s="500"/>
      <c r="S25" s="500"/>
      <c r="T25" s="500" t="s">
        <v>1468</v>
      </c>
      <c r="U25" s="500"/>
      <c r="V25" s="501"/>
      <c r="X25" s="176"/>
      <c r="Y25" s="173"/>
      <c r="Z25" s="175"/>
      <c r="AA25" s="175"/>
      <c r="AB25" s="175"/>
    </row>
    <row r="26" spans="1:28" x14ac:dyDescent="0.2">
      <c r="A26" s="492" t="s">
        <v>1469</v>
      </c>
      <c r="B26" s="493"/>
      <c r="C26" s="493"/>
      <c r="D26" s="493"/>
      <c r="E26" s="493"/>
      <c r="F26" s="493"/>
      <c r="G26" s="493"/>
      <c r="H26" s="493"/>
      <c r="I26" s="493"/>
      <c r="J26" s="493"/>
      <c r="K26" s="493"/>
      <c r="L26" s="493"/>
      <c r="M26" s="493" t="s">
        <v>55</v>
      </c>
      <c r="N26" s="493"/>
      <c r="O26" s="493">
        <v>1.05</v>
      </c>
      <c r="P26" s="493"/>
      <c r="Q26" s="497">
        <v>4200</v>
      </c>
      <c r="R26" s="497"/>
      <c r="S26" s="497"/>
      <c r="T26" s="497">
        <f>ROUND(Q26*O26,0)</f>
        <v>4410</v>
      </c>
      <c r="U26" s="497"/>
      <c r="V26" s="498"/>
      <c r="W26" s="161" t="s">
        <v>1470</v>
      </c>
      <c r="X26" s="176"/>
      <c r="Y26" s="173"/>
      <c r="Z26" s="175"/>
      <c r="AA26" s="175"/>
      <c r="AB26" s="175"/>
    </row>
    <row r="27" spans="1:28" x14ac:dyDescent="0.2">
      <c r="A27" s="492" t="s">
        <v>1471</v>
      </c>
      <c r="B27" s="493"/>
      <c r="C27" s="493"/>
      <c r="D27" s="493"/>
      <c r="E27" s="493"/>
      <c r="F27" s="493"/>
      <c r="G27" s="493"/>
      <c r="H27" s="493"/>
      <c r="I27" s="493"/>
      <c r="J27" s="493"/>
      <c r="K27" s="493"/>
      <c r="L27" s="493"/>
      <c r="M27" s="493" t="s">
        <v>55</v>
      </c>
      <c r="N27" s="493"/>
      <c r="O27" s="493">
        <v>0.02</v>
      </c>
      <c r="P27" s="493"/>
      <c r="Q27" s="497">
        <v>7896</v>
      </c>
      <c r="R27" s="497"/>
      <c r="S27" s="497"/>
      <c r="T27" s="497">
        <f>ROUND(+Q27*O27,0)</f>
        <v>158</v>
      </c>
      <c r="U27" s="497"/>
      <c r="V27" s="498"/>
      <c r="W27" s="161" t="s">
        <v>1470</v>
      </c>
      <c r="X27" s="176"/>
      <c r="Y27" s="173"/>
      <c r="Z27" s="175"/>
      <c r="AA27" s="175"/>
      <c r="AB27" s="175"/>
    </row>
    <row r="28" spans="1:28" x14ac:dyDescent="0.2">
      <c r="A28" s="492"/>
      <c r="B28" s="493"/>
      <c r="C28" s="493"/>
      <c r="D28" s="493"/>
      <c r="E28" s="493"/>
      <c r="F28" s="493"/>
      <c r="G28" s="493"/>
      <c r="H28" s="493"/>
      <c r="I28" s="493"/>
      <c r="J28" s="493"/>
      <c r="K28" s="493"/>
      <c r="L28" s="493"/>
      <c r="M28" s="493"/>
      <c r="N28" s="493"/>
      <c r="O28" s="493"/>
      <c r="P28" s="493"/>
      <c r="Q28" s="493"/>
      <c r="R28" s="493"/>
      <c r="S28" s="493"/>
      <c r="T28" s="493"/>
      <c r="U28" s="493"/>
      <c r="V28" s="494"/>
      <c r="X28" s="176"/>
      <c r="Y28" s="173"/>
      <c r="Z28" s="175"/>
      <c r="AA28" s="175"/>
      <c r="AB28" s="175"/>
    </row>
    <row r="29" spans="1:28" ht="13.5" x14ac:dyDescent="0.25">
      <c r="A29" s="482" t="s">
        <v>1465</v>
      </c>
      <c r="B29" s="483"/>
      <c r="C29" s="483"/>
      <c r="D29" s="483"/>
      <c r="E29" s="483"/>
      <c r="F29" s="483"/>
      <c r="G29" s="483"/>
      <c r="H29" s="483"/>
      <c r="I29" s="483"/>
      <c r="J29" s="483"/>
      <c r="K29" s="483"/>
      <c r="L29" s="483"/>
      <c r="M29" s="483"/>
      <c r="N29" s="483"/>
      <c r="O29" s="483"/>
      <c r="P29" s="483"/>
      <c r="Q29" s="483"/>
      <c r="R29" s="483"/>
      <c r="S29" s="483"/>
      <c r="T29" s="495">
        <f>SUM(T26:V28)</f>
        <v>4568</v>
      </c>
      <c r="U29" s="495"/>
      <c r="V29" s="496"/>
      <c r="X29" s="176"/>
      <c r="Y29" s="179"/>
      <c r="Z29" s="175"/>
      <c r="AA29" s="175"/>
      <c r="AB29" s="175"/>
    </row>
    <row r="30" spans="1:28" ht="13.5" x14ac:dyDescent="0.25">
      <c r="A30" s="182"/>
      <c r="B30" s="182"/>
      <c r="C30" s="182"/>
      <c r="D30" s="182"/>
      <c r="E30" s="182"/>
      <c r="F30" s="182"/>
      <c r="G30" s="182"/>
      <c r="H30" s="182"/>
      <c r="I30" s="182"/>
      <c r="J30" s="182"/>
      <c r="K30" s="182"/>
      <c r="L30" s="182"/>
      <c r="M30" s="182"/>
      <c r="N30" s="182"/>
      <c r="O30" s="182"/>
      <c r="P30" s="182"/>
      <c r="Q30" s="182"/>
      <c r="R30" s="182"/>
      <c r="S30" s="181"/>
      <c r="T30" s="181"/>
      <c r="U30" s="181"/>
      <c r="V30" s="181"/>
      <c r="X30" s="176"/>
      <c r="Y30" s="173"/>
      <c r="Z30" s="175"/>
      <c r="AA30" s="175"/>
      <c r="AB30" s="175"/>
    </row>
    <row r="31" spans="1:28" x14ac:dyDescent="0.2">
      <c r="A31" s="486" t="s">
        <v>1472</v>
      </c>
      <c r="B31" s="487"/>
      <c r="C31" s="487"/>
      <c r="D31" s="487"/>
      <c r="E31" s="487"/>
      <c r="F31" s="487"/>
      <c r="G31" s="487"/>
      <c r="H31" s="487"/>
      <c r="I31" s="487"/>
      <c r="J31" s="487"/>
      <c r="K31" s="487"/>
      <c r="L31" s="487"/>
      <c r="M31" s="487"/>
      <c r="N31" s="487"/>
      <c r="O31" s="487"/>
      <c r="P31" s="487"/>
      <c r="Q31" s="487"/>
      <c r="R31" s="487"/>
      <c r="S31" s="487"/>
      <c r="T31" s="487"/>
      <c r="U31" s="487"/>
      <c r="V31" s="488"/>
      <c r="X31" s="176"/>
      <c r="Y31" s="173"/>
      <c r="Z31" s="175"/>
      <c r="AA31" s="175"/>
      <c r="AB31" s="175"/>
    </row>
    <row r="32" spans="1:28" ht="13.5" x14ac:dyDescent="0.25">
      <c r="A32" s="489" t="s">
        <v>1473</v>
      </c>
      <c r="B32" s="490"/>
      <c r="C32" s="490"/>
      <c r="D32" s="490"/>
      <c r="E32" s="490"/>
      <c r="F32" s="490"/>
      <c r="G32" s="490"/>
      <c r="H32" s="490"/>
      <c r="I32" s="490"/>
      <c r="J32" s="490"/>
      <c r="K32" s="490" t="s">
        <v>1474</v>
      </c>
      <c r="L32" s="490"/>
      <c r="M32" s="490" t="s">
        <v>1475</v>
      </c>
      <c r="N32" s="490"/>
      <c r="O32" s="490" t="s">
        <v>1476</v>
      </c>
      <c r="P32" s="490"/>
      <c r="Q32" s="490"/>
      <c r="R32" s="490" t="s">
        <v>1477</v>
      </c>
      <c r="S32" s="490"/>
      <c r="T32" s="490" t="s">
        <v>1463</v>
      </c>
      <c r="U32" s="490"/>
      <c r="V32" s="491"/>
      <c r="X32" s="176"/>
      <c r="Y32" s="173"/>
      <c r="Z32" s="175"/>
      <c r="AA32" s="175"/>
      <c r="AB32" s="175"/>
    </row>
    <row r="33" spans="1:28" ht="13.5" x14ac:dyDescent="0.25">
      <c r="A33" s="477"/>
      <c r="B33" s="478"/>
      <c r="C33" s="478"/>
      <c r="D33" s="478"/>
      <c r="E33" s="478"/>
      <c r="F33" s="478"/>
      <c r="G33" s="478"/>
      <c r="H33" s="478"/>
      <c r="I33" s="478"/>
      <c r="J33" s="478"/>
      <c r="K33" s="478"/>
      <c r="L33" s="478"/>
      <c r="M33" s="478"/>
      <c r="N33" s="478"/>
      <c r="O33" s="478"/>
      <c r="P33" s="478"/>
      <c r="Q33" s="478"/>
      <c r="R33" s="478"/>
      <c r="S33" s="478"/>
      <c r="T33" s="478"/>
      <c r="U33" s="478"/>
      <c r="V33" s="479"/>
      <c r="X33" s="176"/>
      <c r="Y33" s="173"/>
      <c r="Z33" s="175"/>
      <c r="AA33" s="175"/>
      <c r="AB33" s="175"/>
    </row>
    <row r="34" spans="1:28" ht="13.5" x14ac:dyDescent="0.25">
      <c r="A34" s="477"/>
      <c r="B34" s="478"/>
      <c r="C34" s="478"/>
      <c r="D34" s="478"/>
      <c r="E34" s="478"/>
      <c r="F34" s="478"/>
      <c r="G34" s="478"/>
      <c r="H34" s="478"/>
      <c r="I34" s="478"/>
      <c r="J34" s="478"/>
      <c r="K34" s="478"/>
      <c r="L34" s="478"/>
      <c r="M34" s="478"/>
      <c r="N34" s="478"/>
      <c r="O34" s="478"/>
      <c r="P34" s="478"/>
      <c r="Q34" s="478"/>
      <c r="R34" s="478"/>
      <c r="S34" s="478"/>
      <c r="T34" s="478"/>
      <c r="U34" s="478"/>
      <c r="V34" s="479"/>
      <c r="X34" s="176"/>
      <c r="Y34" s="173"/>
      <c r="Z34" s="175"/>
      <c r="AA34" s="175"/>
      <c r="AB34" s="175"/>
    </row>
    <row r="35" spans="1:28" ht="13.5" x14ac:dyDescent="0.25">
      <c r="A35" s="477"/>
      <c r="B35" s="478"/>
      <c r="C35" s="478"/>
      <c r="D35" s="478"/>
      <c r="E35" s="478"/>
      <c r="F35" s="478"/>
      <c r="G35" s="478"/>
      <c r="H35" s="478"/>
      <c r="I35" s="478"/>
      <c r="J35" s="478"/>
      <c r="K35" s="478"/>
      <c r="L35" s="478"/>
      <c r="M35" s="478"/>
      <c r="N35" s="478"/>
      <c r="O35" s="478"/>
      <c r="P35" s="478"/>
      <c r="Q35" s="478"/>
      <c r="R35" s="478"/>
      <c r="S35" s="478"/>
      <c r="T35" s="478"/>
      <c r="U35" s="478"/>
      <c r="V35" s="479"/>
      <c r="X35" s="176"/>
      <c r="Y35" s="173"/>
      <c r="Z35" s="175"/>
      <c r="AA35" s="175"/>
      <c r="AB35" s="175"/>
    </row>
    <row r="36" spans="1:28" ht="13.5" x14ac:dyDescent="0.25">
      <c r="A36" s="482" t="s">
        <v>1465</v>
      </c>
      <c r="B36" s="483"/>
      <c r="C36" s="483"/>
      <c r="D36" s="483"/>
      <c r="E36" s="483"/>
      <c r="F36" s="483"/>
      <c r="G36" s="483"/>
      <c r="H36" s="483"/>
      <c r="I36" s="483"/>
      <c r="J36" s="483"/>
      <c r="K36" s="483"/>
      <c r="L36" s="483"/>
      <c r="M36" s="483"/>
      <c r="N36" s="483"/>
      <c r="O36" s="483"/>
      <c r="P36" s="483"/>
      <c r="Q36" s="483"/>
      <c r="R36" s="483"/>
      <c r="S36" s="483"/>
      <c r="T36" s="484"/>
      <c r="U36" s="484"/>
      <c r="V36" s="485"/>
      <c r="X36" s="176"/>
      <c r="Y36" s="179"/>
      <c r="Z36" s="175"/>
      <c r="AA36" s="175"/>
      <c r="AB36" s="175"/>
    </row>
    <row r="37" spans="1:28" ht="13.5" x14ac:dyDescent="0.25">
      <c r="A37" s="180"/>
      <c r="B37" s="180"/>
      <c r="C37" s="180"/>
      <c r="D37" s="180"/>
      <c r="E37" s="180"/>
      <c r="F37" s="180"/>
      <c r="G37" s="180"/>
      <c r="H37" s="180"/>
      <c r="I37" s="180"/>
      <c r="J37" s="180"/>
      <c r="K37" s="180"/>
      <c r="L37" s="180"/>
      <c r="M37" s="180"/>
      <c r="N37" s="180"/>
      <c r="O37" s="180"/>
      <c r="P37" s="180"/>
      <c r="Q37" s="180"/>
      <c r="R37" s="180"/>
      <c r="S37" s="181"/>
      <c r="T37" s="181"/>
      <c r="U37" s="181"/>
      <c r="V37" s="181"/>
      <c r="X37" s="176"/>
      <c r="Y37" s="173"/>
      <c r="Z37" s="183"/>
      <c r="AA37" s="183"/>
      <c r="AB37" s="183"/>
    </row>
    <row r="38" spans="1:28" x14ac:dyDescent="0.2">
      <c r="A38" s="486" t="s">
        <v>1478</v>
      </c>
      <c r="B38" s="487"/>
      <c r="C38" s="487"/>
      <c r="D38" s="487"/>
      <c r="E38" s="487"/>
      <c r="F38" s="487"/>
      <c r="G38" s="487"/>
      <c r="H38" s="487"/>
      <c r="I38" s="487"/>
      <c r="J38" s="487"/>
      <c r="K38" s="487"/>
      <c r="L38" s="487"/>
      <c r="M38" s="487"/>
      <c r="N38" s="487"/>
      <c r="O38" s="487"/>
      <c r="P38" s="487"/>
      <c r="Q38" s="487"/>
      <c r="R38" s="487"/>
      <c r="S38" s="487"/>
      <c r="T38" s="487"/>
      <c r="U38" s="487"/>
      <c r="V38" s="488"/>
      <c r="X38" s="176"/>
      <c r="Y38" s="173"/>
      <c r="Z38" s="175"/>
      <c r="AA38" s="175"/>
      <c r="AB38" s="175"/>
    </row>
    <row r="39" spans="1:28" ht="13.5" x14ac:dyDescent="0.25">
      <c r="A39" s="489" t="s">
        <v>1479</v>
      </c>
      <c r="B39" s="490"/>
      <c r="C39" s="490"/>
      <c r="D39" s="490"/>
      <c r="E39" s="490"/>
      <c r="F39" s="490"/>
      <c r="G39" s="490"/>
      <c r="H39" s="490"/>
      <c r="I39" s="490"/>
      <c r="J39" s="490" t="s">
        <v>1480</v>
      </c>
      <c r="K39" s="490"/>
      <c r="L39" s="490" t="s">
        <v>1481</v>
      </c>
      <c r="M39" s="490"/>
      <c r="N39" s="490" t="s">
        <v>1482</v>
      </c>
      <c r="O39" s="490"/>
      <c r="P39" s="490"/>
      <c r="Q39" s="490" t="s">
        <v>1462</v>
      </c>
      <c r="R39" s="490"/>
      <c r="S39" s="490"/>
      <c r="T39" s="490" t="s">
        <v>1463</v>
      </c>
      <c r="U39" s="490"/>
      <c r="V39" s="491"/>
      <c r="X39" s="176"/>
      <c r="Y39" s="173"/>
      <c r="Z39" s="175"/>
      <c r="AA39" s="175"/>
      <c r="AB39" s="175"/>
    </row>
    <row r="40" spans="1:28" ht="13.9" customHeight="1" x14ac:dyDescent="0.25">
      <c r="A40" s="477" t="s">
        <v>1483</v>
      </c>
      <c r="B40" s="478"/>
      <c r="C40" s="478"/>
      <c r="D40" s="478"/>
      <c r="E40" s="478"/>
      <c r="F40" s="478"/>
      <c r="G40" s="478"/>
      <c r="H40" s="478"/>
      <c r="I40" s="478"/>
      <c r="J40" s="480">
        <v>33500</v>
      </c>
      <c r="K40" s="480"/>
      <c r="L40" s="481">
        <v>1.6</v>
      </c>
      <c r="M40" s="481"/>
      <c r="N40" s="471">
        <f>ROUND(J40*(1+L40),0)</f>
        <v>87100</v>
      </c>
      <c r="O40" s="471"/>
      <c r="P40" s="471"/>
      <c r="Q40" s="478">
        <v>140</v>
      </c>
      <c r="R40" s="478"/>
      <c r="S40" s="478"/>
      <c r="T40" s="471">
        <f>ROUND(+N40/Q40,0)</f>
        <v>622</v>
      </c>
      <c r="U40" s="471"/>
      <c r="V40" s="472"/>
      <c r="W40" s="161" t="s">
        <v>1484</v>
      </c>
      <c r="X40" s="176"/>
      <c r="Y40" s="173"/>
      <c r="Z40" s="175">
        <f>1000000/30</f>
        <v>33333.333333333336</v>
      </c>
      <c r="AA40" s="175"/>
      <c r="AB40" s="175"/>
    </row>
    <row r="41" spans="1:28" ht="13.5" x14ac:dyDescent="0.25">
      <c r="A41" s="477"/>
      <c r="B41" s="478"/>
      <c r="C41" s="478"/>
      <c r="D41" s="478"/>
      <c r="E41" s="478"/>
      <c r="F41" s="478"/>
      <c r="G41" s="478"/>
      <c r="H41" s="478"/>
      <c r="I41" s="478"/>
      <c r="J41" s="478"/>
      <c r="K41" s="478"/>
      <c r="L41" s="478"/>
      <c r="M41" s="478"/>
      <c r="N41" s="478"/>
      <c r="O41" s="478"/>
      <c r="P41" s="478"/>
      <c r="Q41" s="478"/>
      <c r="R41" s="478"/>
      <c r="S41" s="478"/>
      <c r="T41" s="478"/>
      <c r="U41" s="478"/>
      <c r="V41" s="479"/>
      <c r="W41" s="161" t="s">
        <v>1485</v>
      </c>
      <c r="X41" s="176"/>
      <c r="Y41" s="173"/>
      <c r="Z41" s="175"/>
      <c r="AA41" s="175"/>
      <c r="AB41" s="175"/>
    </row>
    <row r="42" spans="1:28" ht="13.5" x14ac:dyDescent="0.25">
      <c r="A42" s="477"/>
      <c r="B42" s="478"/>
      <c r="C42" s="478"/>
      <c r="D42" s="478"/>
      <c r="E42" s="478"/>
      <c r="F42" s="478"/>
      <c r="G42" s="478"/>
      <c r="H42" s="478"/>
      <c r="I42" s="478"/>
      <c r="J42" s="478"/>
      <c r="K42" s="478"/>
      <c r="L42" s="478"/>
      <c r="M42" s="478"/>
      <c r="N42" s="478"/>
      <c r="O42" s="478"/>
      <c r="P42" s="478"/>
      <c r="Q42" s="478"/>
      <c r="R42" s="478"/>
      <c r="S42" s="478"/>
      <c r="T42" s="478"/>
      <c r="U42" s="478"/>
      <c r="V42" s="479"/>
      <c r="X42" s="176"/>
      <c r="Y42" s="173"/>
      <c r="Z42" s="175"/>
      <c r="AA42" s="175"/>
      <c r="AB42" s="175"/>
    </row>
    <row r="43" spans="1:28" ht="13.5" x14ac:dyDescent="0.25">
      <c r="A43" s="469" t="s">
        <v>1465</v>
      </c>
      <c r="B43" s="470"/>
      <c r="C43" s="470"/>
      <c r="D43" s="470"/>
      <c r="E43" s="470"/>
      <c r="F43" s="470"/>
      <c r="G43" s="470"/>
      <c r="H43" s="470"/>
      <c r="I43" s="470"/>
      <c r="J43" s="470"/>
      <c r="K43" s="470"/>
      <c r="L43" s="470"/>
      <c r="M43" s="470"/>
      <c r="N43" s="470"/>
      <c r="O43" s="470"/>
      <c r="P43" s="470"/>
      <c r="Q43" s="470"/>
      <c r="R43" s="470"/>
      <c r="S43" s="470"/>
      <c r="T43" s="471">
        <f>SUM(T40:V42)</f>
        <v>622</v>
      </c>
      <c r="U43" s="471"/>
      <c r="V43" s="472"/>
      <c r="X43" s="176"/>
      <c r="Y43" s="173"/>
      <c r="Z43" s="175"/>
      <c r="AA43" s="175"/>
      <c r="AB43" s="175"/>
    </row>
    <row r="44" spans="1:28" s="184" customFormat="1" ht="16.5" x14ac:dyDescent="0.3">
      <c r="A44" s="464" t="s">
        <v>1486</v>
      </c>
      <c r="B44" s="465"/>
      <c r="C44" s="465"/>
      <c r="D44" s="465"/>
      <c r="E44" s="465"/>
      <c r="F44" s="465"/>
      <c r="G44" s="465"/>
      <c r="H44" s="465"/>
      <c r="I44" s="465"/>
      <c r="J44" s="465"/>
      <c r="K44" s="465"/>
      <c r="L44" s="465"/>
      <c r="M44" s="465"/>
      <c r="N44" s="465"/>
      <c r="O44" s="465"/>
      <c r="P44" s="465"/>
      <c r="Q44" s="465"/>
      <c r="R44" s="465"/>
      <c r="S44" s="465"/>
      <c r="T44" s="466">
        <f>+T43+T36+T29+T22</f>
        <v>5221</v>
      </c>
      <c r="U44" s="466"/>
      <c r="V44" s="467"/>
      <c r="X44" s="176"/>
      <c r="Y44" s="173"/>
      <c r="Z44" s="175"/>
      <c r="AA44" s="175"/>
      <c r="AB44" s="175"/>
    </row>
    <row r="45" spans="1:28" s="184" customFormat="1" ht="16.5" x14ac:dyDescent="0.3">
      <c r="A45" s="450" t="s">
        <v>1487</v>
      </c>
      <c r="B45" s="451"/>
      <c r="C45" s="451"/>
      <c r="D45" s="473"/>
      <c r="E45" s="474"/>
      <c r="F45" s="475"/>
      <c r="G45" s="476"/>
      <c r="H45" s="185"/>
      <c r="I45" s="185"/>
      <c r="J45" s="185"/>
      <c r="K45" s="185"/>
      <c r="L45" s="185"/>
      <c r="M45" s="185"/>
      <c r="N45" s="185"/>
      <c r="O45" s="185"/>
      <c r="P45" s="185"/>
      <c r="Q45" s="185"/>
      <c r="R45" s="185"/>
      <c r="S45" s="186" t="s">
        <v>1488</v>
      </c>
      <c r="T45" s="466">
        <f>+T44*E45</f>
        <v>0</v>
      </c>
      <c r="U45" s="466"/>
      <c r="V45" s="467"/>
      <c r="X45" s="176"/>
      <c r="Y45" s="173"/>
      <c r="Z45" s="175"/>
      <c r="AA45" s="175"/>
      <c r="AB45" s="175"/>
    </row>
    <row r="46" spans="1:28" s="184" customFormat="1" ht="16.5" x14ac:dyDescent="0.3">
      <c r="A46" s="464" t="s">
        <v>1489</v>
      </c>
      <c r="B46" s="465"/>
      <c r="C46" s="465"/>
      <c r="D46" s="465"/>
      <c r="E46" s="465"/>
      <c r="F46" s="465"/>
      <c r="G46" s="465"/>
      <c r="H46" s="465"/>
      <c r="I46" s="465"/>
      <c r="J46" s="465"/>
      <c r="K46" s="465"/>
      <c r="L46" s="465"/>
      <c r="M46" s="465"/>
      <c r="N46" s="465"/>
      <c r="O46" s="465"/>
      <c r="P46" s="465"/>
      <c r="Q46" s="465"/>
      <c r="R46" s="465"/>
      <c r="S46" s="465"/>
      <c r="T46" s="466">
        <f>+T45+T44</f>
        <v>5221</v>
      </c>
      <c r="U46" s="466"/>
      <c r="V46" s="467"/>
      <c r="X46" s="176"/>
      <c r="Y46" s="173"/>
      <c r="Z46" s="175"/>
      <c r="AA46" s="175"/>
      <c r="AB46" s="175"/>
    </row>
    <row r="47" spans="1:28" s="184" customFormat="1" ht="16.5" x14ac:dyDescent="0.3">
      <c r="A47" s="464" t="s">
        <v>1490</v>
      </c>
      <c r="B47" s="465"/>
      <c r="C47" s="465"/>
      <c r="D47" s="465"/>
      <c r="E47" s="465"/>
      <c r="F47" s="465"/>
      <c r="G47" s="465"/>
      <c r="H47" s="465"/>
      <c r="I47" s="465"/>
      <c r="J47" s="465"/>
      <c r="K47" s="465"/>
      <c r="L47" s="465"/>
      <c r="M47" s="465"/>
      <c r="N47" s="465"/>
      <c r="O47" s="465"/>
      <c r="P47" s="465"/>
      <c r="Q47" s="465"/>
      <c r="R47" s="465"/>
      <c r="S47" s="465"/>
      <c r="T47" s="466">
        <f>+T46*T15</f>
        <v>5221</v>
      </c>
      <c r="U47" s="466"/>
      <c r="V47" s="467"/>
      <c r="X47" s="176"/>
      <c r="Y47" s="173"/>
      <c r="Z47" s="175"/>
      <c r="AA47" s="175"/>
      <c r="AB47" s="175"/>
    </row>
    <row r="48" spans="1:28" s="184" customFormat="1" ht="16.5" x14ac:dyDescent="0.3">
      <c r="A48" s="187"/>
      <c r="B48" s="187"/>
      <c r="C48" s="187"/>
      <c r="D48" s="187"/>
      <c r="E48" s="187"/>
      <c r="F48" s="187"/>
      <c r="G48" s="187"/>
      <c r="H48" s="187"/>
      <c r="I48" s="187"/>
      <c r="J48" s="187"/>
      <c r="K48" s="187"/>
      <c r="L48" s="187"/>
      <c r="M48" s="187"/>
      <c r="N48" s="187"/>
      <c r="O48" s="187"/>
      <c r="P48" s="187"/>
      <c r="Q48" s="187"/>
      <c r="R48" s="187"/>
      <c r="S48" s="187"/>
      <c r="T48" s="166"/>
      <c r="U48" s="166"/>
      <c r="V48" s="166"/>
      <c r="X48" s="176"/>
      <c r="Y48" s="173"/>
      <c r="Z48" s="175"/>
      <c r="AA48" s="175"/>
      <c r="AB48" s="175"/>
    </row>
    <row r="49" spans="1:28" ht="33" customHeight="1" x14ac:dyDescent="0.2">
      <c r="A49" s="468" t="s">
        <v>1491</v>
      </c>
      <c r="B49" s="468"/>
      <c r="C49" s="468"/>
      <c r="D49" s="468"/>
      <c r="E49" s="468"/>
      <c r="F49" s="468"/>
      <c r="G49" s="468"/>
      <c r="H49" s="468"/>
      <c r="I49" s="468"/>
      <c r="J49" s="468"/>
      <c r="K49" s="468"/>
      <c r="L49" s="468"/>
      <c r="M49" s="468"/>
      <c r="N49" s="468"/>
      <c r="O49" s="468"/>
      <c r="P49" s="468"/>
      <c r="Q49" s="468"/>
      <c r="R49" s="468"/>
      <c r="S49" s="468"/>
      <c r="T49" s="468"/>
      <c r="U49" s="468"/>
      <c r="V49" s="468"/>
      <c r="X49" s="188"/>
      <c r="Y49" s="173"/>
      <c r="Z49" s="175"/>
      <c r="AA49" s="175"/>
      <c r="AB49" s="175"/>
    </row>
    <row r="50" spans="1:28" ht="13.5" customHeight="1" x14ac:dyDescent="0.2">
      <c r="A50" s="188"/>
      <c r="B50" s="188"/>
      <c r="C50" s="188"/>
      <c r="D50" s="188"/>
      <c r="E50" s="188"/>
      <c r="F50" s="188"/>
      <c r="G50" s="188"/>
      <c r="H50" s="188"/>
      <c r="I50" s="188"/>
      <c r="J50" s="188"/>
      <c r="K50" s="188"/>
      <c r="L50" s="188"/>
      <c r="M50" s="188"/>
      <c r="N50" s="188"/>
      <c r="O50" s="188"/>
      <c r="P50" s="188"/>
      <c r="Q50" s="188"/>
      <c r="R50" s="188"/>
      <c r="S50" s="188"/>
      <c r="T50" s="188"/>
      <c r="U50" s="188"/>
      <c r="V50" s="188"/>
      <c r="X50" s="176"/>
      <c r="Y50" s="173"/>
      <c r="Z50" s="175"/>
      <c r="AA50" s="175"/>
      <c r="AB50" s="175"/>
    </row>
    <row r="51" spans="1:28" ht="13.5" x14ac:dyDescent="0.25">
      <c r="A51" s="180"/>
      <c r="B51" s="180"/>
      <c r="C51" s="180"/>
      <c r="D51" s="180"/>
      <c r="E51" s="180"/>
      <c r="F51" s="180"/>
      <c r="G51" s="180"/>
      <c r="H51" s="180"/>
      <c r="I51" s="180"/>
      <c r="J51" s="180"/>
      <c r="K51" s="180"/>
      <c r="L51" s="180"/>
      <c r="M51" s="180"/>
      <c r="N51" s="180"/>
      <c r="O51" s="180"/>
      <c r="P51" s="180"/>
      <c r="Q51" s="180"/>
      <c r="R51" s="180"/>
      <c r="S51" s="181"/>
      <c r="T51" s="181"/>
      <c r="U51" s="181"/>
      <c r="V51" s="181"/>
      <c r="X51" s="176"/>
      <c r="Y51" s="173"/>
      <c r="Z51" s="175"/>
      <c r="AA51" s="175"/>
      <c r="AB51" s="175"/>
    </row>
    <row r="52" spans="1:28" ht="13.5" x14ac:dyDescent="0.25">
      <c r="A52" s="180"/>
      <c r="B52" s="180"/>
      <c r="C52" s="180"/>
      <c r="D52" s="189"/>
      <c r="E52" s="190" t="s">
        <v>1492</v>
      </c>
      <c r="F52" s="191"/>
      <c r="G52" s="191"/>
      <c r="H52" s="191"/>
      <c r="I52" s="191"/>
      <c r="J52" s="191"/>
      <c r="K52" s="191"/>
      <c r="L52" s="191"/>
      <c r="M52" s="192"/>
      <c r="N52" s="182"/>
      <c r="O52" s="182"/>
      <c r="P52" s="180"/>
      <c r="Q52" s="180"/>
      <c r="R52" s="180"/>
      <c r="S52" s="181"/>
      <c r="T52" s="181"/>
      <c r="U52" s="181"/>
      <c r="V52" s="181"/>
      <c r="X52" s="176"/>
      <c r="Y52" s="173"/>
      <c r="Z52" s="175"/>
      <c r="AA52" s="175"/>
      <c r="AB52" s="175"/>
    </row>
    <row r="53" spans="1:28" ht="13.5" x14ac:dyDescent="0.25">
      <c r="A53" s="180"/>
      <c r="B53" s="180"/>
      <c r="C53" s="180"/>
      <c r="D53" s="189"/>
      <c r="E53" s="193" t="s">
        <v>1493</v>
      </c>
      <c r="F53" s="194"/>
      <c r="G53" s="194"/>
      <c r="H53" s="194"/>
      <c r="I53" s="194"/>
      <c r="J53" s="194"/>
      <c r="K53" s="194"/>
      <c r="L53" s="194"/>
      <c r="M53" s="182"/>
      <c r="N53" s="182"/>
      <c r="O53" s="182"/>
      <c r="P53" s="180"/>
      <c r="Q53" s="180"/>
      <c r="R53" s="180"/>
      <c r="S53" s="181"/>
      <c r="T53" s="181"/>
      <c r="U53" s="181"/>
      <c r="V53" s="181"/>
      <c r="X53" s="176"/>
      <c r="Y53" s="173"/>
      <c r="Z53" s="175"/>
      <c r="AA53" s="175"/>
      <c r="AB53" s="175"/>
    </row>
    <row r="54" spans="1:28" ht="13.5" x14ac:dyDescent="0.25">
      <c r="A54" s="180"/>
      <c r="B54" s="180"/>
      <c r="C54" s="180"/>
      <c r="D54" s="180"/>
      <c r="E54" s="462" t="s">
        <v>1494</v>
      </c>
      <c r="F54" s="462"/>
      <c r="G54" s="462"/>
      <c r="H54" s="462"/>
      <c r="I54" s="462"/>
      <c r="J54" s="462"/>
      <c r="K54" s="462"/>
      <c r="L54" s="462"/>
      <c r="M54" s="462"/>
      <c r="N54" s="195"/>
      <c r="O54" s="195"/>
      <c r="P54" s="180"/>
      <c r="Q54" s="180"/>
      <c r="R54" s="180"/>
      <c r="S54" s="181"/>
      <c r="T54" s="181"/>
      <c r="U54" s="181"/>
      <c r="V54" s="181"/>
      <c r="X54" s="176"/>
      <c r="Y54" s="173"/>
      <c r="Z54" s="175"/>
      <c r="AA54" s="175"/>
      <c r="AB54" s="175"/>
    </row>
    <row r="55" spans="1:28" x14ac:dyDescent="0.2">
      <c r="A55" s="196"/>
      <c r="B55" s="196"/>
      <c r="F55" s="178"/>
      <c r="G55" s="178"/>
      <c r="H55" s="178"/>
      <c r="I55" s="178"/>
      <c r="J55" s="178"/>
      <c r="K55" s="178"/>
      <c r="Y55" s="173"/>
      <c r="Z55" s="175"/>
      <c r="AA55" s="175"/>
      <c r="AB55" s="175"/>
    </row>
    <row r="56" spans="1:28" ht="16.5" x14ac:dyDescent="0.3">
      <c r="A56" s="450" t="s">
        <v>1495</v>
      </c>
      <c r="B56" s="451"/>
      <c r="C56" s="451"/>
      <c r="D56" s="451"/>
      <c r="E56" s="451"/>
      <c r="F56" s="451"/>
      <c r="G56" s="451"/>
      <c r="H56" s="451"/>
      <c r="I56" s="451"/>
      <c r="J56" s="451"/>
      <c r="K56" s="451"/>
      <c r="L56" s="451"/>
      <c r="M56" s="451"/>
      <c r="N56" s="451"/>
      <c r="O56" s="451"/>
      <c r="P56" s="451"/>
      <c r="Q56" s="451"/>
      <c r="R56" s="451"/>
      <c r="S56" s="451"/>
      <c r="T56" s="451"/>
      <c r="U56" s="451"/>
      <c r="V56" s="452"/>
      <c r="Y56" s="173"/>
      <c r="Z56" s="175"/>
      <c r="AA56" s="175"/>
      <c r="AB56" s="175"/>
    </row>
    <row r="57" spans="1:28" ht="16.5" customHeight="1" x14ac:dyDescent="0.2">
      <c r="A57" s="453"/>
      <c r="B57" s="454"/>
      <c r="C57" s="454"/>
      <c r="D57" s="454"/>
      <c r="E57" s="454"/>
      <c r="F57" s="454"/>
      <c r="G57" s="454"/>
      <c r="H57" s="454"/>
      <c r="I57" s="454"/>
      <c r="J57" s="454"/>
      <c r="K57" s="454"/>
      <c r="L57" s="454"/>
      <c r="M57" s="454"/>
      <c r="N57" s="454"/>
      <c r="O57" s="454"/>
      <c r="P57" s="454"/>
      <c r="Q57" s="454"/>
      <c r="R57" s="454"/>
      <c r="S57" s="454"/>
      <c r="T57" s="454"/>
      <c r="U57" s="454"/>
      <c r="V57" s="455"/>
      <c r="Y57" s="173"/>
      <c r="Z57" s="175"/>
      <c r="AA57" s="175"/>
      <c r="AB57" s="175"/>
    </row>
    <row r="58" spans="1:28" ht="16.5" customHeight="1" x14ac:dyDescent="0.2">
      <c r="A58" s="456"/>
      <c r="B58" s="457"/>
      <c r="C58" s="457"/>
      <c r="D58" s="457"/>
      <c r="E58" s="457"/>
      <c r="F58" s="457"/>
      <c r="G58" s="457"/>
      <c r="H58" s="457"/>
      <c r="I58" s="457"/>
      <c r="J58" s="457"/>
      <c r="K58" s="457"/>
      <c r="L58" s="457"/>
      <c r="M58" s="457"/>
      <c r="N58" s="457"/>
      <c r="O58" s="457"/>
      <c r="P58" s="457"/>
      <c r="Q58" s="457"/>
      <c r="R58" s="457"/>
      <c r="S58" s="457"/>
      <c r="T58" s="457"/>
      <c r="U58" s="457"/>
      <c r="V58" s="458"/>
      <c r="Y58" s="173"/>
      <c r="Z58" s="175"/>
      <c r="AA58" s="175"/>
      <c r="AB58" s="175"/>
    </row>
    <row r="59" spans="1:28" ht="16.5" customHeight="1" x14ac:dyDescent="0.2">
      <c r="A59" s="459"/>
      <c r="B59" s="460"/>
      <c r="C59" s="460"/>
      <c r="D59" s="460"/>
      <c r="E59" s="460"/>
      <c r="F59" s="460"/>
      <c r="G59" s="460"/>
      <c r="H59" s="460"/>
      <c r="I59" s="460"/>
      <c r="J59" s="460"/>
      <c r="K59" s="460"/>
      <c r="L59" s="460"/>
      <c r="M59" s="460"/>
      <c r="N59" s="460"/>
      <c r="O59" s="460"/>
      <c r="P59" s="460"/>
      <c r="Q59" s="460"/>
      <c r="R59" s="460"/>
      <c r="S59" s="460"/>
      <c r="T59" s="460"/>
      <c r="U59" s="460"/>
      <c r="V59" s="461"/>
      <c r="Y59" s="173"/>
      <c r="Z59" s="175"/>
      <c r="AA59" s="175"/>
      <c r="AB59" s="175"/>
    </row>
    <row r="60" spans="1:28" x14ac:dyDescent="0.2">
      <c r="A60" s="197"/>
      <c r="B60" s="197"/>
      <c r="C60" s="197"/>
      <c r="D60" s="197"/>
      <c r="E60" s="197"/>
      <c r="F60" s="197"/>
      <c r="G60" s="197"/>
      <c r="H60" s="197"/>
      <c r="I60" s="197"/>
      <c r="J60" s="197"/>
      <c r="K60" s="197"/>
      <c r="L60" s="197"/>
      <c r="M60" s="197"/>
      <c r="N60" s="197"/>
      <c r="O60" s="197"/>
      <c r="P60" s="197"/>
      <c r="Q60" s="197"/>
      <c r="R60" s="197"/>
      <c r="S60" s="197"/>
      <c r="T60" s="197"/>
      <c r="U60" s="197"/>
      <c r="V60" s="197"/>
      <c r="Y60" s="173"/>
      <c r="Z60" s="175"/>
      <c r="AA60" s="175"/>
      <c r="AB60" s="175"/>
    </row>
    <row r="61" spans="1:28" x14ac:dyDescent="0.2">
      <c r="A61" s="197"/>
      <c r="B61" s="197"/>
      <c r="C61" s="197"/>
      <c r="D61" s="197"/>
      <c r="E61" s="197"/>
      <c r="F61" s="197"/>
      <c r="G61" s="197"/>
      <c r="H61" s="197"/>
      <c r="I61" s="197"/>
      <c r="J61" s="197"/>
      <c r="K61" s="197"/>
      <c r="L61" s="197"/>
      <c r="M61" s="197"/>
      <c r="N61" s="197"/>
      <c r="O61" s="197"/>
      <c r="P61" s="197"/>
      <c r="Q61" s="197"/>
      <c r="R61" s="197"/>
      <c r="S61" s="197"/>
      <c r="T61" s="197"/>
      <c r="U61" s="197"/>
      <c r="V61" s="197"/>
      <c r="Y61" s="173"/>
      <c r="Z61" s="175"/>
      <c r="AA61" s="175"/>
      <c r="AB61" s="175"/>
    </row>
    <row r="62" spans="1:28" x14ac:dyDescent="0.2">
      <c r="A62" s="197"/>
      <c r="B62" s="197"/>
      <c r="C62" s="197"/>
      <c r="D62" s="197"/>
      <c r="E62" s="197"/>
      <c r="F62" s="197"/>
      <c r="G62" s="197"/>
      <c r="H62" s="197"/>
      <c r="I62" s="197"/>
      <c r="J62" s="197"/>
      <c r="K62" s="197"/>
      <c r="L62" s="197"/>
      <c r="M62" s="197"/>
      <c r="N62" s="197"/>
      <c r="O62" s="197"/>
      <c r="P62" s="197"/>
      <c r="Q62" s="197"/>
      <c r="R62" s="197"/>
      <c r="T62" s="198"/>
      <c r="U62" s="198"/>
      <c r="Y62" s="173"/>
      <c r="Z62" s="175"/>
      <c r="AA62" s="175"/>
      <c r="AB62" s="175"/>
    </row>
    <row r="63" spans="1:28" ht="13.5" x14ac:dyDescent="0.25">
      <c r="A63" s="178"/>
      <c r="B63" s="178"/>
      <c r="C63" s="178"/>
      <c r="D63" s="189"/>
      <c r="E63" s="190" t="s">
        <v>1492</v>
      </c>
      <c r="F63" s="199"/>
      <c r="G63" s="199"/>
      <c r="H63" s="199"/>
      <c r="I63" s="199"/>
      <c r="J63" s="199"/>
      <c r="K63" s="199"/>
      <c r="L63" s="199"/>
      <c r="M63" s="199"/>
      <c r="N63" s="199"/>
      <c r="O63" s="178"/>
      <c r="P63" s="178"/>
      <c r="Q63" s="178"/>
      <c r="R63" s="178"/>
      <c r="S63" s="178"/>
      <c r="U63" s="200"/>
      <c r="V63" s="201"/>
      <c r="Y63" s="173"/>
      <c r="Z63" s="175"/>
      <c r="AA63" s="175"/>
      <c r="AB63" s="175"/>
    </row>
    <row r="64" spans="1:28" ht="13.5" x14ac:dyDescent="0.25">
      <c r="A64" s="178"/>
      <c r="B64" s="178"/>
      <c r="C64" s="178"/>
      <c r="D64" s="189"/>
      <c r="E64" s="193" t="s">
        <v>1493</v>
      </c>
      <c r="F64" s="196"/>
      <c r="G64" s="196"/>
      <c r="H64" s="196"/>
      <c r="I64" s="196"/>
      <c r="J64" s="196"/>
      <c r="K64" s="196"/>
      <c r="L64" s="196"/>
      <c r="M64" s="196"/>
      <c r="N64" s="196"/>
      <c r="O64" s="178"/>
      <c r="P64" s="178"/>
      <c r="Q64" s="178"/>
      <c r="R64" s="178"/>
      <c r="S64" s="178"/>
      <c r="U64" s="200"/>
      <c r="V64" s="201" t="s">
        <v>1496</v>
      </c>
      <c r="Y64" s="173"/>
      <c r="Z64" s="175"/>
      <c r="AA64" s="175"/>
      <c r="AB64" s="175"/>
    </row>
    <row r="65" spans="1:29" ht="13.5" x14ac:dyDescent="0.25">
      <c r="A65" s="180"/>
      <c r="B65" s="180"/>
      <c r="C65" s="180"/>
      <c r="D65" s="180"/>
      <c r="E65" s="462" t="s">
        <v>1497</v>
      </c>
      <c r="F65" s="462"/>
      <c r="G65" s="462"/>
      <c r="H65" s="462"/>
      <c r="I65" s="462"/>
      <c r="J65" s="462"/>
      <c r="K65" s="462"/>
      <c r="L65" s="462"/>
      <c r="M65" s="462"/>
      <c r="N65" s="462"/>
      <c r="O65" s="182"/>
      <c r="P65" s="180"/>
      <c r="Q65" s="180"/>
      <c r="R65" s="180"/>
      <c r="S65" s="181"/>
      <c r="T65" s="202"/>
      <c r="U65" s="202"/>
      <c r="V65" s="201" t="s">
        <v>1498</v>
      </c>
      <c r="X65" s="176"/>
      <c r="Y65" s="173"/>
      <c r="Z65" s="175"/>
      <c r="AA65" s="175"/>
      <c r="AB65" s="175"/>
    </row>
    <row r="66" spans="1:29" ht="13.5" x14ac:dyDescent="0.25">
      <c r="A66" s="180"/>
      <c r="B66" s="180"/>
      <c r="C66" s="180"/>
      <c r="D66" s="180"/>
      <c r="O66" s="195"/>
      <c r="P66" s="180"/>
      <c r="Q66" s="180"/>
      <c r="R66" s="180"/>
      <c r="S66" s="181"/>
      <c r="T66" s="181"/>
      <c r="U66" s="181"/>
      <c r="X66" s="176"/>
      <c r="Y66" s="173"/>
      <c r="Z66" s="175"/>
      <c r="AA66" s="175"/>
      <c r="AB66" s="175"/>
    </row>
    <row r="67" spans="1:29" ht="13.5" customHeight="1" x14ac:dyDescent="0.25">
      <c r="A67" s="203"/>
      <c r="B67" s="203"/>
      <c r="C67" s="203"/>
      <c r="D67" s="180"/>
      <c r="E67" s="180"/>
      <c r="F67" s="180"/>
      <c r="J67" s="202"/>
      <c r="K67" s="202"/>
      <c r="O67" s="202"/>
      <c r="P67" s="202"/>
      <c r="Q67" s="202"/>
      <c r="R67" s="202"/>
      <c r="S67" s="202"/>
      <c r="T67" s="202"/>
      <c r="U67" s="202"/>
      <c r="X67" s="176"/>
      <c r="Y67" s="179"/>
      <c r="Z67" s="175"/>
      <c r="AA67" s="175"/>
      <c r="AB67" s="175"/>
    </row>
    <row r="68" spans="1:29" ht="13.5" customHeight="1" x14ac:dyDescent="0.25">
      <c r="A68" s="463"/>
      <c r="B68" s="204"/>
      <c r="C68" s="205"/>
      <c r="D68" s="180"/>
      <c r="E68" s="180"/>
      <c r="F68" s="180"/>
      <c r="G68" s="202"/>
      <c r="H68" s="202"/>
      <c r="I68" s="202"/>
      <c r="J68" s="202"/>
      <c r="K68" s="202"/>
      <c r="L68" s="202"/>
      <c r="M68" s="202"/>
      <c r="N68" s="202"/>
      <c r="O68" s="202"/>
      <c r="P68" s="202"/>
      <c r="Q68" s="202"/>
      <c r="R68" s="202"/>
      <c r="S68" s="202"/>
      <c r="T68" s="202"/>
      <c r="U68" s="202"/>
      <c r="X68" s="176"/>
      <c r="Y68" s="173"/>
      <c r="Z68" s="175"/>
      <c r="AA68" s="175"/>
      <c r="AB68" s="175"/>
    </row>
    <row r="69" spans="1:29" ht="13.5" customHeight="1" x14ac:dyDescent="0.25">
      <c r="A69" s="463"/>
      <c r="B69" s="204"/>
      <c r="C69" s="205"/>
      <c r="D69" s="202"/>
      <c r="E69" s="202"/>
      <c r="F69" s="202"/>
      <c r="G69" s="202"/>
      <c r="H69" s="202"/>
      <c r="I69" s="202"/>
      <c r="J69" s="202"/>
      <c r="K69" s="202"/>
      <c r="L69" s="202"/>
      <c r="M69" s="202"/>
      <c r="N69" s="202"/>
      <c r="O69" s="202"/>
      <c r="P69" s="202"/>
      <c r="Q69" s="202"/>
      <c r="R69" s="202"/>
      <c r="S69" s="202"/>
      <c r="T69" s="202"/>
      <c r="U69" s="202"/>
      <c r="V69" s="181"/>
      <c r="X69" s="176"/>
      <c r="Y69" s="173"/>
      <c r="Z69" s="175"/>
      <c r="AA69" s="175"/>
      <c r="AB69" s="175"/>
    </row>
    <row r="70" spans="1:29" ht="13.5" x14ac:dyDescent="0.25">
      <c r="A70" s="180"/>
      <c r="B70" s="180"/>
      <c r="C70" s="180"/>
      <c r="D70" s="180"/>
      <c r="E70" s="178"/>
      <c r="F70" s="178"/>
      <c r="G70" s="178"/>
      <c r="H70" s="178"/>
      <c r="I70" s="178"/>
      <c r="J70" s="178"/>
      <c r="K70" s="178"/>
      <c r="L70" s="178"/>
      <c r="M70" s="178"/>
      <c r="N70" s="178"/>
      <c r="O70" s="195"/>
      <c r="P70" s="180"/>
      <c r="Q70" s="180"/>
      <c r="R70" s="180"/>
      <c r="S70" s="181"/>
      <c r="T70" s="181"/>
      <c r="U70" s="181"/>
      <c r="V70" s="181"/>
      <c r="X70" s="176"/>
      <c r="Y70" s="173"/>
      <c r="Z70" s="175"/>
      <c r="AA70" s="175"/>
      <c r="AB70" s="175"/>
      <c r="AC70" s="175"/>
    </row>
    <row r="71" spans="1:29" x14ac:dyDescent="0.2">
      <c r="A71" s="202"/>
      <c r="B71" s="202"/>
      <c r="C71" s="202"/>
      <c r="D71" s="202"/>
      <c r="E71" s="202"/>
      <c r="F71" s="198"/>
      <c r="G71" s="198"/>
      <c r="H71" s="198"/>
      <c r="I71" s="198"/>
      <c r="J71" s="198"/>
      <c r="K71" s="198"/>
      <c r="L71" s="198"/>
      <c r="M71" s="198"/>
      <c r="N71" s="198"/>
      <c r="O71" s="198"/>
      <c r="P71" s="198"/>
      <c r="Q71" s="198"/>
      <c r="R71" s="198"/>
      <c r="S71" s="198"/>
      <c r="T71" s="198"/>
      <c r="U71" s="198"/>
      <c r="V71" s="198"/>
      <c r="X71" s="196"/>
      <c r="Y71" s="173"/>
      <c r="Z71" s="175"/>
      <c r="AA71" s="175"/>
      <c r="AB71" s="175"/>
    </row>
    <row r="72" spans="1:29" x14ac:dyDescent="0.2">
      <c r="F72" s="196"/>
      <c r="Y72" s="173"/>
      <c r="Z72" s="175"/>
      <c r="AA72" s="175"/>
      <c r="AB72" s="175"/>
    </row>
  </sheetData>
  <mergeCells count="152">
    <mergeCell ref="A1:E3"/>
    <mergeCell ref="F1:P2"/>
    <mergeCell ref="Q1:S1"/>
    <mergeCell ref="T1:V1"/>
    <mergeCell ref="Q2:S2"/>
    <mergeCell ref="T2:V2"/>
    <mergeCell ref="F3:P3"/>
    <mergeCell ref="Q3:S3"/>
    <mergeCell ref="T3:V3"/>
    <mergeCell ref="E8:V8"/>
    <mergeCell ref="A9:D9"/>
    <mergeCell ref="E9:V9"/>
    <mergeCell ref="A10:D10"/>
    <mergeCell ref="E10:V10"/>
    <mergeCell ref="A11:D11"/>
    <mergeCell ref="E11:V11"/>
    <mergeCell ref="A6:V6"/>
    <mergeCell ref="A7:D7"/>
    <mergeCell ref="E7:F7"/>
    <mergeCell ref="H7:I7"/>
    <mergeCell ref="J7:K7"/>
    <mergeCell ref="L7:O7"/>
    <mergeCell ref="P7:R7"/>
    <mergeCell ref="S7:V7"/>
    <mergeCell ref="A17:V17"/>
    <mergeCell ref="A18:G18"/>
    <mergeCell ref="H18:J18"/>
    <mergeCell ref="K18:N18"/>
    <mergeCell ref="O18:Q18"/>
    <mergeCell ref="R18:S18"/>
    <mergeCell ref="T18:V18"/>
    <mergeCell ref="A13:V13"/>
    <mergeCell ref="A14:B14"/>
    <mergeCell ref="C14:Q14"/>
    <mergeCell ref="R14:S14"/>
    <mergeCell ref="T14:V14"/>
    <mergeCell ref="A15:B15"/>
    <mergeCell ref="C15:Q15"/>
    <mergeCell ref="R15:S15"/>
    <mergeCell ref="T15:V15"/>
    <mergeCell ref="A20:G20"/>
    <mergeCell ref="H20:J20"/>
    <mergeCell ref="K20:N20"/>
    <mergeCell ref="O20:Q20"/>
    <mergeCell ref="R20:S20"/>
    <mergeCell ref="T20:V20"/>
    <mergeCell ref="A19:G19"/>
    <mergeCell ref="H19:J19"/>
    <mergeCell ref="K19:N19"/>
    <mergeCell ref="O19:Q19"/>
    <mergeCell ref="R19:S19"/>
    <mergeCell ref="T19:V19"/>
    <mergeCell ref="A22:S22"/>
    <mergeCell ref="T22:V22"/>
    <mergeCell ref="A24:V24"/>
    <mergeCell ref="A25:L25"/>
    <mergeCell ref="M25:N25"/>
    <mergeCell ref="O25:P25"/>
    <mergeCell ref="Q25:S25"/>
    <mergeCell ref="T25:V25"/>
    <mergeCell ref="A21:G21"/>
    <mergeCell ref="H21:J21"/>
    <mergeCell ref="K21:N21"/>
    <mergeCell ref="O21:Q21"/>
    <mergeCell ref="R21:S21"/>
    <mergeCell ref="T21:V21"/>
    <mergeCell ref="A28:L28"/>
    <mergeCell ref="M28:N28"/>
    <mergeCell ref="O28:P28"/>
    <mergeCell ref="Q28:S28"/>
    <mergeCell ref="T28:V28"/>
    <mergeCell ref="A29:S29"/>
    <mergeCell ref="T29:V29"/>
    <mergeCell ref="A26:L26"/>
    <mergeCell ref="M26:N26"/>
    <mergeCell ref="O26:P26"/>
    <mergeCell ref="Q26:S26"/>
    <mergeCell ref="T26:V26"/>
    <mergeCell ref="A27:L27"/>
    <mergeCell ref="M27:N27"/>
    <mergeCell ref="O27:P27"/>
    <mergeCell ref="Q27:S27"/>
    <mergeCell ref="T27:V27"/>
    <mergeCell ref="A33:J33"/>
    <mergeCell ref="K33:L33"/>
    <mergeCell ref="M33:N33"/>
    <mergeCell ref="O33:Q33"/>
    <mergeCell ref="R33:S33"/>
    <mergeCell ref="T33:V33"/>
    <mergeCell ref="A31:V31"/>
    <mergeCell ref="A32:J32"/>
    <mergeCell ref="K32:L32"/>
    <mergeCell ref="M32:N32"/>
    <mergeCell ref="O32:Q32"/>
    <mergeCell ref="R32:S32"/>
    <mergeCell ref="T32:V32"/>
    <mergeCell ref="A35:J35"/>
    <mergeCell ref="K35:L35"/>
    <mergeCell ref="M35:N35"/>
    <mergeCell ref="O35:Q35"/>
    <mergeCell ref="R35:S35"/>
    <mergeCell ref="T35:V35"/>
    <mergeCell ref="A34:J34"/>
    <mergeCell ref="K34:L34"/>
    <mergeCell ref="M34:N34"/>
    <mergeCell ref="O34:Q34"/>
    <mergeCell ref="R34:S34"/>
    <mergeCell ref="T34:V34"/>
    <mergeCell ref="A36:S36"/>
    <mergeCell ref="T36:V36"/>
    <mergeCell ref="A38:V38"/>
    <mergeCell ref="A39:I39"/>
    <mergeCell ref="J39:K39"/>
    <mergeCell ref="L39:M39"/>
    <mergeCell ref="N39:P39"/>
    <mergeCell ref="Q39:S39"/>
    <mergeCell ref="T39:V39"/>
    <mergeCell ref="A41:I41"/>
    <mergeCell ref="J41:K41"/>
    <mergeCell ref="L41:M41"/>
    <mergeCell ref="N41:P41"/>
    <mergeCell ref="Q41:S41"/>
    <mergeCell ref="T41:V41"/>
    <mergeCell ref="A40:I40"/>
    <mergeCell ref="J40:K40"/>
    <mergeCell ref="L40:M40"/>
    <mergeCell ref="N40:P40"/>
    <mergeCell ref="Q40:S40"/>
    <mergeCell ref="T40:V40"/>
    <mergeCell ref="A43:S43"/>
    <mergeCell ref="T43:V43"/>
    <mergeCell ref="A44:S44"/>
    <mergeCell ref="T44:V44"/>
    <mergeCell ref="A45:D45"/>
    <mergeCell ref="E45:G45"/>
    <mergeCell ref="T45:V45"/>
    <mergeCell ref="A42:I42"/>
    <mergeCell ref="J42:K42"/>
    <mergeCell ref="L42:M42"/>
    <mergeCell ref="N42:P42"/>
    <mergeCell ref="Q42:S42"/>
    <mergeCell ref="T42:V42"/>
    <mergeCell ref="A56:V56"/>
    <mergeCell ref="A57:V59"/>
    <mergeCell ref="E65:N65"/>
    <mergeCell ref="A68:A69"/>
    <mergeCell ref="A46:S46"/>
    <mergeCell ref="T46:V46"/>
    <mergeCell ref="A47:S47"/>
    <mergeCell ref="T47:V47"/>
    <mergeCell ref="A49:V49"/>
    <mergeCell ref="E54:M54"/>
  </mergeCells>
  <dataValidations count="4">
    <dataValidation allowBlank="1" showInputMessage="1" showErrorMessage="1" promptTitle="Contrato No." prompt="Escriba en este espacio el número de contrato suscrito" sqref="G7:J7" xr:uid="{00000000-0002-0000-1200-000000000000}"/>
    <dataValidation allowBlank="1" showInputMessage="1" showErrorMessage="1" prompt="Escriba el item relacionado en la propuesta" sqref="A15" xr:uid="{00000000-0002-0000-1200-000001000000}"/>
    <dataValidation type="textLength" errorStyle="warning" allowBlank="1" showInputMessage="1" showErrorMessage="1" errorTitle="FIRMA" error="Este espacio debe dejarse libre para la firma del Contratista" prompt="Deje este espacio libre para la firma del Contratista" sqref="E63:E64 E52:L53" xr:uid="{00000000-0002-0000-1200-000002000000}">
      <formula1>0</formula1>
      <formula2>0</formula2>
    </dataValidation>
    <dataValidation type="textLength" errorStyle="warning" allowBlank="1" showInputMessage="1" showErrorMessage="1" errorTitle="FIRMA" error="Este espacio debe dejarse libre para la firma del Interventor" prompt="Deje este espacio libre para la firma del Interventor" sqref="F63:N64" xr:uid="{00000000-0002-0000-1200-000003000000}">
      <formula1>0</formula1>
      <formula2>0</formula2>
    </dataValidation>
  </dataValidations>
  <printOptions horizontalCentered="1" verticalCentered="1"/>
  <pageMargins left="0.92031249999999998" right="0.7104166666666667" top="1.3723958333333333" bottom="0.55118110236220474" header="0.23622047244094491" footer="0"/>
  <pageSetup scale="62" fitToHeight="2" orientation="portrait" r:id="rId1"/>
  <headerFooter alignWithMargins="0">
    <oddFooter>Página &amp;P de &amp;N</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O555"/>
  <sheetViews>
    <sheetView showZeros="0" view="pageBreakPreview" zoomScale="87" zoomScaleNormal="90" zoomScaleSheetLayoutView="87" workbookViewId="0">
      <selection activeCell="M553" sqref="M553"/>
    </sheetView>
  </sheetViews>
  <sheetFormatPr baseColWidth="10" defaultColWidth="11.5703125" defaultRowHeight="15" x14ac:dyDescent="0.25"/>
  <cols>
    <col min="1" max="1" width="3.5703125" customWidth="1"/>
    <col min="2" max="2" width="9.140625" bestFit="1" customWidth="1"/>
    <col min="3" max="3" width="58.140625" style="117" customWidth="1"/>
    <col min="4" max="4" width="11.5703125" style="118" customWidth="1"/>
    <col min="5" max="5" width="11.5703125" style="119" customWidth="1"/>
    <col min="6" max="6" width="17.7109375" customWidth="1"/>
    <col min="7" max="7" width="19.5703125" customWidth="1"/>
    <col min="8" max="8" width="48.85546875" style="118" customWidth="1"/>
    <col min="9" max="9" width="20.28515625" customWidth="1"/>
    <col min="10" max="10" width="11.5703125" customWidth="1"/>
    <col min="11" max="11" width="17.85546875" customWidth="1"/>
    <col min="12" max="12" width="15.42578125" bestFit="1" customWidth="1"/>
    <col min="13" max="13" width="13.7109375" bestFit="1" customWidth="1"/>
    <col min="14" max="14" width="9.140625" bestFit="1" customWidth="1"/>
    <col min="15" max="15" width="24.5703125" customWidth="1"/>
  </cols>
  <sheetData>
    <row r="1" spans="2:14" ht="14.45" customHeight="1" x14ac:dyDescent="0.25">
      <c r="B1" s="421" t="s">
        <v>0</v>
      </c>
      <c r="C1" s="422"/>
      <c r="D1" s="422"/>
      <c r="E1" s="422"/>
      <c r="F1" s="422"/>
      <c r="G1" s="422"/>
    </row>
    <row r="2" spans="2:14" x14ac:dyDescent="0.25">
      <c r="B2" s="423"/>
      <c r="C2" s="424"/>
      <c r="D2" s="424"/>
      <c r="E2" s="424"/>
      <c r="F2" s="424"/>
      <c r="G2" s="424"/>
    </row>
    <row r="3" spans="2:14" ht="16.5" x14ac:dyDescent="0.25">
      <c r="B3" s="70" t="s">
        <v>1</v>
      </c>
      <c r="C3" s="71" t="s">
        <v>2</v>
      </c>
      <c r="D3" s="70" t="s">
        <v>3</v>
      </c>
      <c r="E3" s="72" t="s">
        <v>4</v>
      </c>
      <c r="F3" s="73" t="s">
        <v>5</v>
      </c>
      <c r="G3" s="70" t="s">
        <v>6</v>
      </c>
      <c r="H3" s="118" t="s">
        <v>7</v>
      </c>
    </row>
    <row r="4" spans="2:14" ht="16.5" x14ac:dyDescent="0.25">
      <c r="B4" s="74">
        <v>1</v>
      </c>
      <c r="C4" s="75" t="s">
        <v>8</v>
      </c>
      <c r="D4" s="76"/>
      <c r="E4" s="77"/>
      <c r="F4" s="78"/>
      <c r="G4" s="79"/>
    </row>
    <row r="5" spans="2:14" ht="18" customHeight="1" x14ac:dyDescent="0.25">
      <c r="B5" s="80" t="s">
        <v>9</v>
      </c>
      <c r="C5" s="81" t="s">
        <v>10</v>
      </c>
      <c r="D5" s="82"/>
      <c r="E5" s="83"/>
      <c r="F5" s="84"/>
      <c r="G5" s="85"/>
      <c r="L5" t="s">
        <v>1040</v>
      </c>
      <c r="M5" t="s">
        <v>1041</v>
      </c>
    </row>
    <row r="6" spans="2:14" ht="15" customHeight="1" x14ac:dyDescent="0.25">
      <c r="B6" s="86" t="s">
        <v>11</v>
      </c>
      <c r="C6" s="87" t="s">
        <v>12</v>
      </c>
      <c r="D6" s="82" t="s">
        <v>13</v>
      </c>
      <c r="E6" s="83">
        <v>250</v>
      </c>
      <c r="F6" s="88">
        <v>25729</v>
      </c>
      <c r="G6" s="89">
        <f t="shared" ref="G6:G69" si="0">ROUND(+F6*E6,2)</f>
        <v>6432250</v>
      </c>
      <c r="H6" s="118" t="str">
        <f t="array" ref="H6:K6">_xlfn.XLOOKUP(C6,'ESAP NEIVA FASE II UNIFICADO'!$C$6:$C$720,'ESAP NEIVA FASE II UNIFICADO'!$C$6:$F$720,"NO ESTA")</f>
        <v>DESCAPOTE A MAQUINA (INCLUYE RETIRO)</v>
      </c>
      <c r="I6" t="str">
        <v>M2</v>
      </c>
      <c r="J6">
        <v>295</v>
      </c>
      <c r="K6">
        <v>23484</v>
      </c>
      <c r="L6" s="115">
        <f t="shared" ref="L6:L69" si="1">MAX(K6,F6)</f>
        <v>25729</v>
      </c>
      <c r="M6" s="146">
        <f t="shared" ref="M6:M69" si="2">L6*E6</f>
        <v>6432250</v>
      </c>
    </row>
    <row r="7" spans="2:14" ht="15" customHeight="1" x14ac:dyDescent="0.25">
      <c r="B7" s="86" t="s">
        <v>14</v>
      </c>
      <c r="C7" s="87" t="s">
        <v>15</v>
      </c>
      <c r="D7" s="82" t="s">
        <v>16</v>
      </c>
      <c r="E7" s="83">
        <v>8</v>
      </c>
      <c r="F7" s="88">
        <v>32444</v>
      </c>
      <c r="G7" s="89">
        <f t="shared" si="0"/>
        <v>259552</v>
      </c>
      <c r="H7" s="118" t="str">
        <f t="array" ref="H7:K7">_xlfn.XLOOKUP(C7,'ESAP NEIVA FASE II UNIFICADO'!$C$6:$C$720,'ESAP NEIVA FASE II UNIFICADO'!$C$6:$F$720,"NO ESTA")</f>
        <v>BARRERA DE PROTECCIÓN PARA ARBOLES EXISTENTES</v>
      </c>
      <c r="I7" t="str">
        <v>UND</v>
      </c>
      <c r="J7">
        <v>0</v>
      </c>
      <c r="K7">
        <v>35057</v>
      </c>
      <c r="L7" s="115">
        <f t="shared" si="1"/>
        <v>35057</v>
      </c>
      <c r="M7" s="146">
        <f t="shared" si="2"/>
        <v>280456</v>
      </c>
    </row>
    <row r="8" spans="2:14" ht="18" customHeight="1" x14ac:dyDescent="0.25">
      <c r="B8" s="80" t="s">
        <v>17</v>
      </c>
      <c r="C8" s="81" t="s">
        <v>18</v>
      </c>
      <c r="D8" s="82"/>
      <c r="E8" s="83"/>
      <c r="F8" s="90"/>
      <c r="G8" s="89">
        <f t="shared" si="0"/>
        <v>0</v>
      </c>
      <c r="L8" s="115">
        <f t="shared" si="1"/>
        <v>0</v>
      </c>
      <c r="M8" s="146">
        <f t="shared" si="2"/>
        <v>0</v>
      </c>
    </row>
    <row r="9" spans="2:14" ht="12" customHeight="1" x14ac:dyDescent="0.25">
      <c r="B9" s="80" t="s">
        <v>19</v>
      </c>
      <c r="C9" s="81" t="s">
        <v>20</v>
      </c>
      <c r="D9" s="82"/>
      <c r="E9" s="83"/>
      <c r="F9" s="90"/>
      <c r="G9" s="89">
        <f t="shared" si="0"/>
        <v>0</v>
      </c>
      <c r="L9" s="115">
        <f t="shared" si="1"/>
        <v>0</v>
      </c>
      <c r="M9" s="146">
        <f t="shared" si="2"/>
        <v>0</v>
      </c>
    </row>
    <row r="10" spans="2:14" ht="30" customHeight="1" x14ac:dyDescent="0.25">
      <c r="B10" s="86" t="s">
        <v>21</v>
      </c>
      <c r="C10" s="87" t="s">
        <v>22</v>
      </c>
      <c r="D10" s="82" t="s">
        <v>13</v>
      </c>
      <c r="E10" s="83">
        <v>0</v>
      </c>
      <c r="F10" s="88">
        <v>21893</v>
      </c>
      <c r="G10" s="89">
        <f t="shared" si="0"/>
        <v>0</v>
      </c>
      <c r="H10" s="118" t="str">
        <f t="array" ref="H10">_xlfn.XLOOKUP(C10,'ESAP NEIVA FASE II UNIFICADO'!$C$6:$C$720,'ESAP NEIVA FASE II UNIFICADO'!$C$6:$F$720,"NO ESTA")</f>
        <v>NO ESTA</v>
      </c>
      <c r="L10" s="115">
        <f t="shared" si="1"/>
        <v>21893</v>
      </c>
      <c r="M10" s="146">
        <f t="shared" si="2"/>
        <v>0</v>
      </c>
      <c r="N10" s="119"/>
    </row>
    <row r="11" spans="2:14" ht="30" customHeight="1" x14ac:dyDescent="0.25">
      <c r="B11" s="86" t="s">
        <v>23</v>
      </c>
      <c r="C11" s="87" t="s">
        <v>24</v>
      </c>
      <c r="D11" s="82" t="s">
        <v>13</v>
      </c>
      <c r="E11" s="83">
        <v>151</v>
      </c>
      <c r="F11" s="88">
        <v>28536</v>
      </c>
      <c r="G11" s="89">
        <f t="shared" si="0"/>
        <v>4308936</v>
      </c>
      <c r="H11" s="118" t="str">
        <f t="array" ref="H11">_xlfn.XLOOKUP(C11,'ESAP NEIVA FASE II UNIFICADO'!$C$6:$C$720,'ESAP NEIVA FASE II UNIFICADO'!$C$6:$F$720,"NO ESTA")</f>
        <v>NO ESTA</v>
      </c>
      <c r="L11" s="115">
        <f t="shared" si="1"/>
        <v>28536</v>
      </c>
      <c r="M11" s="146">
        <f t="shared" si="2"/>
        <v>4308936</v>
      </c>
      <c r="N11" s="119"/>
    </row>
    <row r="12" spans="2:14" ht="13.5" customHeight="1" x14ac:dyDescent="0.25">
      <c r="B12" s="74">
        <v>2</v>
      </c>
      <c r="C12" s="75" t="s">
        <v>25</v>
      </c>
      <c r="D12" s="76"/>
      <c r="E12" s="77"/>
      <c r="F12" s="78"/>
      <c r="G12" s="89">
        <f t="shared" si="0"/>
        <v>0</v>
      </c>
      <c r="L12" s="115">
        <f t="shared" si="1"/>
        <v>0</v>
      </c>
      <c r="M12" s="146">
        <f t="shared" si="2"/>
        <v>0</v>
      </c>
      <c r="N12" s="119"/>
    </row>
    <row r="13" spans="2:14" ht="18" customHeight="1" x14ac:dyDescent="0.25">
      <c r="B13" s="80" t="s">
        <v>26</v>
      </c>
      <c r="C13" s="81" t="s">
        <v>27</v>
      </c>
      <c r="D13" s="82"/>
      <c r="E13" s="83"/>
      <c r="F13" s="84"/>
      <c r="G13" s="89">
        <f t="shared" si="0"/>
        <v>0</v>
      </c>
      <c r="L13" s="115">
        <f t="shared" si="1"/>
        <v>0</v>
      </c>
      <c r="M13" s="146">
        <f t="shared" si="2"/>
        <v>0</v>
      </c>
      <c r="N13" s="119"/>
    </row>
    <row r="14" spans="2:14" ht="19.5" customHeight="1" x14ac:dyDescent="0.25">
      <c r="B14" s="86" t="s">
        <v>28</v>
      </c>
      <c r="C14" s="87" t="s">
        <v>29</v>
      </c>
      <c r="D14" s="82" t="s">
        <v>30</v>
      </c>
      <c r="E14" s="83">
        <v>0</v>
      </c>
      <c r="F14" s="88">
        <v>29285</v>
      </c>
      <c r="G14" s="89">
        <f t="shared" si="0"/>
        <v>0</v>
      </c>
      <c r="H14" s="118" t="str">
        <f t="array" ref="H14:K14">_xlfn.XLOOKUP(C14,'ESAP NEIVA FASE II UNIFICADO'!$C$6:$C$720,'ESAP NEIVA FASE II UNIFICADO'!$C$6:$F$720,"NO ESTA")</f>
        <v>EXCAVACIÓN MECÁNICA EN MATERIAL COMÚN (incluye cargue y retiro)</v>
      </c>
      <c r="I14" t="str">
        <v>M3</v>
      </c>
      <c r="J14">
        <v>400</v>
      </c>
      <c r="K14">
        <v>31642</v>
      </c>
      <c r="L14" s="115">
        <f t="shared" si="1"/>
        <v>31642</v>
      </c>
      <c r="M14" s="146">
        <f t="shared" si="2"/>
        <v>0</v>
      </c>
      <c r="N14" s="119"/>
    </row>
    <row r="15" spans="2:14" ht="18.75" customHeight="1" x14ac:dyDescent="0.25">
      <c r="B15" s="86" t="s">
        <v>31</v>
      </c>
      <c r="C15" s="87" t="s">
        <v>32</v>
      </c>
      <c r="D15" s="82" t="s">
        <v>30</v>
      </c>
      <c r="E15" s="83">
        <v>299.45</v>
      </c>
      <c r="F15" s="88">
        <v>36993</v>
      </c>
      <c r="G15" s="89">
        <f t="shared" si="0"/>
        <v>11077553.85</v>
      </c>
      <c r="H15" s="118" t="str">
        <f t="array" ref="H15:K15">_xlfn.XLOOKUP(C15,'ESAP NEIVA FASE II UNIFICADO'!$C$6:$C$720,'ESAP NEIVA FASE II UNIFICADO'!$C$6:$F$720,"NO ESTA")</f>
        <v>EXCAVACIÓN MANUAL EN MATERIAL COMÚN (incluye cargue y retiro)</v>
      </c>
      <c r="I15" t="str">
        <v>M3</v>
      </c>
      <c r="J15">
        <v>57.945499999999981</v>
      </c>
      <c r="K15">
        <v>39971</v>
      </c>
      <c r="L15" s="115">
        <f t="shared" si="1"/>
        <v>39971</v>
      </c>
      <c r="M15" s="146">
        <f t="shared" si="2"/>
        <v>11969315.949999999</v>
      </c>
      <c r="N15" s="119"/>
    </row>
    <row r="16" spans="2:14" ht="30" customHeight="1" x14ac:dyDescent="0.25">
      <c r="B16" s="86" t="s">
        <v>33</v>
      </c>
      <c r="C16" s="147" t="s">
        <v>34</v>
      </c>
      <c r="D16" s="82" t="s">
        <v>30</v>
      </c>
      <c r="E16" s="83">
        <v>524.07000000000005</v>
      </c>
      <c r="F16" s="88">
        <v>11569</v>
      </c>
      <c r="G16" s="89">
        <f t="shared" si="0"/>
        <v>6062965.8300000001</v>
      </c>
      <c r="H16" s="118" t="str">
        <f t="array" ref="H16:K16">_xlfn.XLOOKUP(C16,'ESAP NEIVA FASE II UNIFICADO'!$C$6:$C$720,'ESAP NEIVA FASE II UNIFICADO'!$C$6:$F$720,"NO ESTA")</f>
        <v>RELLENOS EN MATERIAL COMÚN, SELECCIONADO DE OBRA (Incluye Compactación)</v>
      </c>
      <c r="I16" t="str">
        <v>M3</v>
      </c>
      <c r="J16">
        <v>56.107679999999959</v>
      </c>
      <c r="K16">
        <v>12500</v>
      </c>
      <c r="L16" s="115">
        <f t="shared" si="1"/>
        <v>12500</v>
      </c>
      <c r="M16" s="146">
        <f t="shared" si="2"/>
        <v>6550875.0000000009</v>
      </c>
      <c r="N16" s="119"/>
    </row>
    <row r="17" spans="2:14" ht="17.25" customHeight="1" x14ac:dyDescent="0.25">
      <c r="B17" s="86" t="s">
        <v>35</v>
      </c>
      <c r="C17" s="87" t="s">
        <v>36</v>
      </c>
      <c r="D17" s="82" t="s">
        <v>30</v>
      </c>
      <c r="E17" s="83">
        <v>122.54</v>
      </c>
      <c r="F17" s="88">
        <v>58243</v>
      </c>
      <c r="G17" s="89">
        <f t="shared" si="0"/>
        <v>7137097.2199999997</v>
      </c>
      <c r="H17" s="118" t="str">
        <f t="array" ref="H17:K17">_xlfn.XLOOKUP(C17,'ESAP NEIVA FASE II UNIFICADO'!$C$6:$C$720,'ESAP NEIVA FASE II UNIFICADO'!$C$6:$F$720,"NO ESTA")</f>
        <v>RELLENO EN RECEBO COMÚN (Incluye Compactación)</v>
      </c>
      <c r="I17" t="str">
        <v>M3</v>
      </c>
      <c r="J17">
        <v>70.485000000000014</v>
      </c>
      <c r="K17">
        <v>62932</v>
      </c>
      <c r="L17" s="115">
        <f t="shared" si="1"/>
        <v>62932</v>
      </c>
      <c r="M17" s="146">
        <f t="shared" si="2"/>
        <v>7711687.2800000003</v>
      </c>
      <c r="N17" s="119"/>
    </row>
    <row r="18" spans="2:14" ht="18.75" customHeight="1" x14ac:dyDescent="0.25">
      <c r="B18" s="80" t="s">
        <v>37</v>
      </c>
      <c r="C18" s="81" t="s">
        <v>38</v>
      </c>
      <c r="D18" s="82"/>
      <c r="E18" s="83"/>
      <c r="F18" s="90"/>
      <c r="G18" s="89">
        <f t="shared" si="0"/>
        <v>0</v>
      </c>
      <c r="H18" s="118" t="str">
        <f t="array" ref="H18:K18">_xlfn.XLOOKUP(C18,'ESAP NEIVA FASE II UNIFICADO'!$C$6:$C$720,'ESAP NEIVA FASE II UNIFICADO'!$C$6:$F$720,"NO ESTA")</f>
        <v xml:space="preserve">CONCRETOS DE CIMENTACIÓN </v>
      </c>
      <c r="I18">
        <v>0</v>
      </c>
      <c r="J18">
        <v>0</v>
      </c>
      <c r="K18">
        <v>0</v>
      </c>
      <c r="L18" s="115">
        <f t="shared" si="1"/>
        <v>0</v>
      </c>
      <c r="M18" s="146">
        <f t="shared" si="2"/>
        <v>0</v>
      </c>
      <c r="N18" s="119"/>
    </row>
    <row r="19" spans="2:14" ht="14.25" customHeight="1" x14ac:dyDescent="0.25">
      <c r="B19" s="86" t="s">
        <v>39</v>
      </c>
      <c r="C19" s="147" t="s">
        <v>40</v>
      </c>
      <c r="D19" s="82" t="s">
        <v>13</v>
      </c>
      <c r="E19" s="83">
        <v>1111.51</v>
      </c>
      <c r="F19" s="88">
        <v>22663</v>
      </c>
      <c r="G19" s="89">
        <f t="shared" si="0"/>
        <v>25190151.129999999</v>
      </c>
      <c r="H19" s="118" t="str">
        <f t="array" ref="H19:K19">_xlfn.XLOOKUP(C19,'ESAP NEIVA FASE II UNIFICADO'!$C$6:$C$720,'ESAP NEIVA FASE II UNIFICADO'!$C$6:$F$720,"NO ESTA")</f>
        <v>CONCRETO POBRE DE LIMPIEZA  e=0.05 m</v>
      </c>
      <c r="I19" t="str">
        <v>M2</v>
      </c>
      <c r="J19">
        <v>72.123000000000047</v>
      </c>
      <c r="K19">
        <v>25442</v>
      </c>
      <c r="L19" s="115">
        <f t="shared" si="1"/>
        <v>25442</v>
      </c>
      <c r="M19" s="146">
        <f t="shared" si="2"/>
        <v>28279037.419999998</v>
      </c>
      <c r="N19" s="119"/>
    </row>
    <row r="20" spans="2:14" ht="18.75" customHeight="1" x14ac:dyDescent="0.25">
      <c r="B20" s="86" t="s">
        <v>41</v>
      </c>
      <c r="C20" s="87" t="s">
        <v>42</v>
      </c>
      <c r="D20" s="82" t="s">
        <v>30</v>
      </c>
      <c r="E20" s="83">
        <v>46.48</v>
      </c>
      <c r="F20" s="88">
        <v>670304</v>
      </c>
      <c r="G20" s="89">
        <f t="shared" si="0"/>
        <v>31155729.920000002</v>
      </c>
      <c r="H20" s="118" t="str">
        <f t="array" ref="H20:K20">_xlfn.XLOOKUP(C20,'ESAP NEIVA FASE II UNIFICADO'!$C$6:$C$720,'ESAP NEIVA FASE II UNIFICADO'!$C$6:$F$720,"NO ESTA")</f>
        <v>CONCRETO PARA ZAPATAS DE 4000 psi</v>
      </c>
      <c r="I20" t="str">
        <v>M3</v>
      </c>
      <c r="J20">
        <v>36</v>
      </c>
      <c r="K20">
        <v>652838</v>
      </c>
      <c r="L20" s="115">
        <f t="shared" si="1"/>
        <v>670304</v>
      </c>
      <c r="M20" s="146">
        <f t="shared" si="2"/>
        <v>31155729.919999998</v>
      </c>
      <c r="N20" s="119"/>
    </row>
    <row r="21" spans="2:14" ht="15" customHeight="1" x14ac:dyDescent="0.25">
      <c r="B21" s="86" t="s">
        <v>43</v>
      </c>
      <c r="C21" s="87" t="s">
        <v>44</v>
      </c>
      <c r="D21" s="82" t="s">
        <v>30</v>
      </c>
      <c r="E21" s="91">
        <v>45.04</v>
      </c>
      <c r="F21" s="88">
        <v>670304</v>
      </c>
      <c r="G21" s="89">
        <f t="shared" si="0"/>
        <v>30190492.16</v>
      </c>
      <c r="H21" s="118" t="str">
        <f t="array" ref="H21:K21">_xlfn.XLOOKUP(C21,'ESAP NEIVA FASE II UNIFICADO'!$C$6:$C$720,'ESAP NEIVA FASE II UNIFICADO'!$C$6:$F$720,"NO ESTA")</f>
        <v>VIGAS DE CIMENTACIÓN DE 4000 psi</v>
      </c>
      <c r="I21" t="str">
        <v>M3</v>
      </c>
      <c r="J21">
        <v>36.5</v>
      </c>
      <c r="K21">
        <v>652838</v>
      </c>
      <c r="L21" s="115">
        <f t="shared" si="1"/>
        <v>670304</v>
      </c>
      <c r="M21" s="146">
        <f t="shared" si="2"/>
        <v>30190492.16</v>
      </c>
      <c r="N21" s="119"/>
    </row>
    <row r="22" spans="2:14" ht="18.75" customHeight="1" x14ac:dyDescent="0.25">
      <c r="B22" s="86" t="s">
        <v>45</v>
      </c>
      <c r="C22" s="87" t="s">
        <v>46</v>
      </c>
      <c r="D22" s="82" t="s">
        <v>30</v>
      </c>
      <c r="E22" s="83">
        <v>34.93</v>
      </c>
      <c r="F22" s="88">
        <v>742932</v>
      </c>
      <c r="G22" s="89">
        <f t="shared" si="0"/>
        <v>25950614.760000002</v>
      </c>
      <c r="H22" s="118" t="str">
        <f t="array" ref="H22:K22">_xlfn.XLOOKUP(C22,'ESAP NEIVA FASE II UNIFICADO'!$C$6:$C$720,'ESAP NEIVA FASE II UNIFICADO'!$C$6:$F$720,"NO ESTA")</f>
        <v>MURO DE CONTENCIÓN SOTANO EN CONCRETO DE 4000 PSI</v>
      </c>
      <c r="I22" t="str">
        <v>M3</v>
      </c>
      <c r="J22">
        <v>13</v>
      </c>
      <c r="K22">
        <v>795025</v>
      </c>
      <c r="L22" s="115">
        <f t="shared" si="1"/>
        <v>795025</v>
      </c>
      <c r="M22" s="146">
        <f t="shared" si="2"/>
        <v>27770223.25</v>
      </c>
      <c r="N22" s="119"/>
    </row>
    <row r="23" spans="2:14" ht="15.75" customHeight="1" x14ac:dyDescent="0.25">
      <c r="B23" s="80" t="s">
        <v>47</v>
      </c>
      <c r="C23" s="81" t="s">
        <v>48</v>
      </c>
      <c r="D23" s="82"/>
      <c r="E23" s="83"/>
      <c r="F23" s="90"/>
      <c r="G23" s="89">
        <f t="shared" si="0"/>
        <v>0</v>
      </c>
      <c r="H23" s="118" t="str">
        <f t="array" ref="H23:K23">_xlfn.XLOOKUP(C23,'ESAP NEIVA FASE II UNIFICADO'!$C$6:$C$720,'ESAP NEIVA FASE II UNIFICADO'!$C$6:$F$720,"NO ESTA")</f>
        <v xml:space="preserve">CONSTRUCCIÓN VARIOS EN CONCRETO </v>
      </c>
      <c r="I23">
        <v>0</v>
      </c>
      <c r="J23">
        <v>0</v>
      </c>
      <c r="K23">
        <v>0</v>
      </c>
      <c r="L23" s="115">
        <f t="shared" si="1"/>
        <v>0</v>
      </c>
      <c r="M23" s="146">
        <f t="shared" si="2"/>
        <v>0</v>
      </c>
      <c r="N23" s="119"/>
    </row>
    <row r="24" spans="2:14" ht="19.5" customHeight="1" x14ac:dyDescent="0.25">
      <c r="B24" s="86" t="s">
        <v>49</v>
      </c>
      <c r="C24" s="87" t="s">
        <v>50</v>
      </c>
      <c r="D24" s="82" t="s">
        <v>30</v>
      </c>
      <c r="E24" s="83">
        <v>50.62</v>
      </c>
      <c r="F24" s="88">
        <v>742932</v>
      </c>
      <c r="G24" s="89">
        <f t="shared" si="0"/>
        <v>37607217.840000004</v>
      </c>
      <c r="H24" s="118" t="str">
        <f t="array" ref="H24:K24">_xlfn.XLOOKUP(C24,'ESAP NEIVA FASE II UNIFICADO'!$C$6:$C$720,'ESAP NEIVA FASE II UNIFICADO'!$C$6:$F$720,"NO ESTA")</f>
        <v>TANQUE DE ALMACENAMIENTO Y RESERVA EN CONCRETO DE 4000 PSI</v>
      </c>
      <c r="I24" t="str">
        <v>M3</v>
      </c>
      <c r="J24">
        <v>13.700000000000003</v>
      </c>
      <c r="K24">
        <v>821235</v>
      </c>
      <c r="L24" s="115">
        <f t="shared" si="1"/>
        <v>821235</v>
      </c>
      <c r="M24" s="146">
        <f t="shared" si="2"/>
        <v>41570915.699999996</v>
      </c>
      <c r="N24" s="119"/>
    </row>
    <row r="25" spans="2:14" ht="18" customHeight="1" x14ac:dyDescent="0.25">
      <c r="B25" s="80" t="s">
        <v>51</v>
      </c>
      <c r="C25" s="81" t="s">
        <v>52</v>
      </c>
      <c r="D25" s="82"/>
      <c r="E25" s="83"/>
      <c r="F25" s="90"/>
      <c r="G25" s="89">
        <f t="shared" si="0"/>
        <v>0</v>
      </c>
      <c r="H25" s="118" t="str">
        <f t="array" ref="H25:K25">_xlfn.XLOOKUP(C25,'ESAP NEIVA FASE II UNIFICADO'!$C$6:$C$720,'ESAP NEIVA FASE II UNIFICADO'!$C$6:$F$720,"NO ESTA")</f>
        <v>SUMINISTRO E INSTALACIÓN ACERO DE REFUERZO CIMENTACIÓN</v>
      </c>
      <c r="I25">
        <v>0</v>
      </c>
      <c r="J25">
        <v>0</v>
      </c>
      <c r="K25">
        <v>0</v>
      </c>
      <c r="L25" s="115">
        <f t="shared" si="1"/>
        <v>0</v>
      </c>
      <c r="M25" s="146">
        <f t="shared" si="2"/>
        <v>0</v>
      </c>
      <c r="N25" s="119"/>
    </row>
    <row r="26" spans="2:14" ht="16.5" customHeight="1" x14ac:dyDescent="0.25">
      <c r="B26" s="92" t="s">
        <v>53</v>
      </c>
      <c r="C26" s="93" t="s">
        <v>54</v>
      </c>
      <c r="D26" s="92" t="s">
        <v>55</v>
      </c>
      <c r="E26" s="83">
        <v>16621.25</v>
      </c>
      <c r="F26" s="94">
        <v>5000</v>
      </c>
      <c r="G26" s="89">
        <f t="shared" si="0"/>
        <v>83106250</v>
      </c>
      <c r="H26" s="118" t="str">
        <f t="array" ref="H26:K26">_xlfn.XLOOKUP(C26,'ESAP NEIVA FASE II UNIFICADO'!$C$6:$C$720,'ESAP NEIVA FASE II UNIFICADO'!$C$6:$F$720,"NO ESTA",0,)</f>
        <v>ACERO DE REFUERZO 60000 psi Incluye ALAMBRE DE AMARRE</v>
      </c>
      <c r="I26" s="95" t="str">
        <v>KG</v>
      </c>
      <c r="J26">
        <v>8230.6999999999971</v>
      </c>
      <c r="K26">
        <v>5000</v>
      </c>
      <c r="L26" s="115">
        <f t="shared" si="1"/>
        <v>5000</v>
      </c>
      <c r="M26" s="146">
        <f t="shared" si="2"/>
        <v>83106250</v>
      </c>
      <c r="N26" s="119"/>
    </row>
    <row r="27" spans="2:14" ht="25.9" customHeight="1" x14ac:dyDescent="0.25">
      <c r="B27" s="86" t="s">
        <v>56</v>
      </c>
      <c r="C27" s="93" t="s">
        <v>57</v>
      </c>
      <c r="D27" s="82" t="s">
        <v>13</v>
      </c>
      <c r="E27" s="83">
        <v>1871.1</v>
      </c>
      <c r="F27" s="94">
        <v>7500</v>
      </c>
      <c r="G27" s="89">
        <f t="shared" si="0"/>
        <v>14033250</v>
      </c>
      <c r="H27" s="118" t="str">
        <f t="array" ref="H27:K27">_xlfn.XLOOKUP(C27,'ESAP NEIVA FASE II UNIFICADO'!$C$6:$C$720,'ESAP NEIVA FASE II UNIFICADO'!$C$6:$F$720,"NO ESTA")</f>
        <v>MALLA ELECTROSOLDADA PLACA CONTRAPISO Q84 Ø4 mm separación 15x15 cm o similar</v>
      </c>
      <c r="I27" t="str">
        <v>M2</v>
      </c>
      <c r="J27">
        <v>242.5</v>
      </c>
      <c r="K27">
        <v>7500</v>
      </c>
      <c r="L27" s="115">
        <f t="shared" si="1"/>
        <v>7500</v>
      </c>
      <c r="M27" s="146">
        <f t="shared" si="2"/>
        <v>14033250</v>
      </c>
      <c r="N27" s="119"/>
    </row>
    <row r="28" spans="2:14" ht="16.5" customHeight="1" x14ac:dyDescent="0.25">
      <c r="B28" s="74">
        <v>3</v>
      </c>
      <c r="C28" s="75" t="s">
        <v>58</v>
      </c>
      <c r="D28" s="76"/>
      <c r="E28" s="77"/>
      <c r="F28" s="78"/>
      <c r="G28" s="89">
        <f t="shared" si="0"/>
        <v>0</v>
      </c>
      <c r="H28" s="118" t="str">
        <f t="array" ref="H28:K28">_xlfn.XLOOKUP(C28,'ESAP NEIVA FASE II UNIFICADO'!$C$6:$C$720,'ESAP NEIVA FASE II UNIFICADO'!$C$6:$F$720,"NO ESTA")</f>
        <v>ESTRUCTURAS EN CONCRETO Y METALICAS</v>
      </c>
      <c r="I28" s="96">
        <v>0</v>
      </c>
      <c r="J28">
        <v>0</v>
      </c>
      <c r="K28">
        <v>0</v>
      </c>
      <c r="L28" s="115">
        <f t="shared" si="1"/>
        <v>0</v>
      </c>
      <c r="M28" s="146">
        <f t="shared" si="2"/>
        <v>0</v>
      </c>
      <c r="N28" s="119"/>
    </row>
    <row r="29" spans="2:14" ht="16.5" customHeight="1" x14ac:dyDescent="0.25">
      <c r="B29" s="80" t="s">
        <v>59</v>
      </c>
      <c r="C29" s="81" t="s">
        <v>60</v>
      </c>
      <c r="D29" s="82"/>
      <c r="E29" s="83"/>
      <c r="F29" s="84"/>
      <c r="G29" s="89">
        <f t="shared" si="0"/>
        <v>0</v>
      </c>
      <c r="H29" s="118" t="str">
        <f t="array" ref="H29:K29">_xlfn.XLOOKUP(C29,'ESAP NEIVA FASE II UNIFICADO'!$C$6:$C$720,'ESAP NEIVA FASE II UNIFICADO'!$C$6:$F$720,"NO ESTA")</f>
        <v>ELEMENTOS ESTRUCTURALES</v>
      </c>
      <c r="I29" s="96">
        <v>0</v>
      </c>
      <c r="J29">
        <v>0</v>
      </c>
      <c r="K29">
        <v>0</v>
      </c>
      <c r="L29" s="115">
        <f t="shared" si="1"/>
        <v>0</v>
      </c>
      <c r="M29" s="146">
        <f t="shared" si="2"/>
        <v>0</v>
      </c>
      <c r="N29" s="119"/>
    </row>
    <row r="30" spans="2:14" ht="20.25" customHeight="1" x14ac:dyDescent="0.25">
      <c r="B30" s="86" t="s">
        <v>61</v>
      </c>
      <c r="C30" s="87" t="s">
        <v>62</v>
      </c>
      <c r="D30" s="82" t="s">
        <v>30</v>
      </c>
      <c r="E30" s="83">
        <v>247.78</v>
      </c>
      <c r="F30" s="88">
        <v>789448</v>
      </c>
      <c r="G30" s="89">
        <f t="shared" si="0"/>
        <v>195609425.44</v>
      </c>
      <c r="H30" s="118" t="str">
        <f t="array" ref="H30:K30">_xlfn.XLOOKUP(C30,'ESAP NEIVA FASE II UNIFICADO'!$C$6:$C$720,'ESAP NEIVA FASE II UNIFICADO'!$C$6:$F$720,"NO ESTA")</f>
        <v>COLUMNAS EN CONCRETO DE 4000 psi</v>
      </c>
      <c r="I30" s="96" t="str">
        <v>M3</v>
      </c>
      <c r="J30">
        <v>24.939999999999998</v>
      </c>
      <c r="K30">
        <v>789448</v>
      </c>
      <c r="L30" s="115">
        <f t="shared" si="1"/>
        <v>789448</v>
      </c>
      <c r="M30" s="146">
        <f t="shared" si="2"/>
        <v>195609425.44</v>
      </c>
      <c r="N30" s="119"/>
    </row>
    <row r="31" spans="2:14" ht="30" customHeight="1" x14ac:dyDescent="0.25">
      <c r="B31" s="86" t="s">
        <v>63</v>
      </c>
      <c r="C31" s="87" t="s">
        <v>64</v>
      </c>
      <c r="D31" s="82" t="s">
        <v>30</v>
      </c>
      <c r="E31" s="83">
        <v>152.63999999999999</v>
      </c>
      <c r="F31" s="88">
        <v>789448</v>
      </c>
      <c r="G31" s="89">
        <f t="shared" si="0"/>
        <v>120501342.72</v>
      </c>
      <c r="H31" s="118" t="str">
        <f t="array" ref="H31:K31">_xlfn.XLOOKUP(C31,'ESAP NEIVA FASE II UNIFICADO'!$C$6:$C$720,'ESAP NEIVA FASE II UNIFICADO'!$C$6:$F$720,"NO ESTA")</f>
        <v>PANTALLAS ASCENSORES Y ESCALERA EJES F2 Y K2 EN CONCRETO DE 4000 PSI</v>
      </c>
      <c r="I31" t="str">
        <v>M3</v>
      </c>
      <c r="J31">
        <v>15.569999999999993</v>
      </c>
      <c r="K31">
        <v>789448</v>
      </c>
      <c r="L31" s="115">
        <f t="shared" si="1"/>
        <v>789448</v>
      </c>
      <c r="M31" s="146">
        <f t="shared" si="2"/>
        <v>120501342.71999998</v>
      </c>
      <c r="N31" s="119"/>
    </row>
    <row r="32" spans="2:14" ht="13.5" customHeight="1" x14ac:dyDescent="0.25">
      <c r="B32" s="80" t="s">
        <v>65</v>
      </c>
      <c r="C32" s="81" t="s">
        <v>66</v>
      </c>
      <c r="D32" s="82"/>
      <c r="E32" s="83"/>
      <c r="F32" s="90"/>
      <c r="G32" s="89">
        <f t="shared" si="0"/>
        <v>0</v>
      </c>
      <c r="H32" s="118" t="str">
        <f t="array" ref="H32:K32">_xlfn.XLOOKUP(C32,'ESAP NEIVA FASE II UNIFICADO'!$C$6:$C$720,'ESAP NEIVA FASE II UNIFICADO'!$C$6:$F$720,"NO ESTA")</f>
        <v>PLACAS Y LOSAS DE ENTREPISO</v>
      </c>
      <c r="I32" s="95">
        <v>0</v>
      </c>
      <c r="J32">
        <v>0</v>
      </c>
      <c r="K32">
        <v>0</v>
      </c>
      <c r="L32" s="115">
        <f t="shared" si="1"/>
        <v>0</v>
      </c>
      <c r="M32" s="146">
        <f t="shared" si="2"/>
        <v>0</v>
      </c>
      <c r="N32" s="119"/>
    </row>
    <row r="33" spans="2:14" ht="30" customHeight="1" x14ac:dyDescent="0.25">
      <c r="B33" s="86" t="s">
        <v>67</v>
      </c>
      <c r="C33" s="87" t="s">
        <v>68</v>
      </c>
      <c r="D33" s="82" t="s">
        <v>30</v>
      </c>
      <c r="E33" s="83">
        <v>2128.8200000000002</v>
      </c>
      <c r="F33" s="88">
        <v>702783</v>
      </c>
      <c r="G33" s="89">
        <f t="shared" si="0"/>
        <v>1496098506.0599999</v>
      </c>
      <c r="H33" s="118" t="str">
        <f t="array" ref="H33">_xlfn.XLOOKUP(C33,'ESAP NEIVA FASE II UNIFICADO'!$C$6:$C$720,'ESAP NEIVA FASE II UNIFICADO'!$C$6:$F$720,"NO ESTA")</f>
        <v>NO ESTA</v>
      </c>
      <c r="L33" s="115">
        <f t="shared" si="1"/>
        <v>702783</v>
      </c>
      <c r="M33" s="146">
        <f t="shared" si="2"/>
        <v>1496098506.0600002</v>
      </c>
      <c r="N33" s="119"/>
    </row>
    <row r="34" spans="2:14" ht="16.5" customHeight="1" x14ac:dyDescent="0.25">
      <c r="B34" s="86" t="s">
        <v>69</v>
      </c>
      <c r="C34" s="148" t="s">
        <v>70</v>
      </c>
      <c r="D34" s="82" t="s">
        <v>13</v>
      </c>
      <c r="E34" s="83">
        <v>1581</v>
      </c>
      <c r="F34" s="88">
        <v>95313</v>
      </c>
      <c r="G34" s="89">
        <f t="shared" si="0"/>
        <v>150689853</v>
      </c>
      <c r="H34" s="118" t="str">
        <f t="array" ref="H34:K34">_xlfn.XLOOKUP(C34,'ESAP NEIVA FASE II UNIFICADO'!$C$6:$C$720,'ESAP NEIVA FASE II UNIFICADO'!$C$6:$F$720,"NO ESTA")</f>
        <v>PLACA MACIZA CONTRAPISO CIMENTACION E: 15 cms</v>
      </c>
      <c r="I34" t="str">
        <v>M2</v>
      </c>
      <c r="J34">
        <v>235.59999999999991</v>
      </c>
      <c r="K34">
        <v>95123</v>
      </c>
      <c r="L34" s="115">
        <f t="shared" si="1"/>
        <v>95313</v>
      </c>
      <c r="M34" s="146">
        <f t="shared" si="2"/>
        <v>150689853</v>
      </c>
      <c r="N34" s="119"/>
    </row>
    <row r="35" spans="2:14" ht="19.5" customHeight="1" x14ac:dyDescent="0.25">
      <c r="B35" s="86" t="s">
        <v>71</v>
      </c>
      <c r="C35" s="87" t="s">
        <v>72</v>
      </c>
      <c r="D35" s="82" t="s">
        <v>30</v>
      </c>
      <c r="E35" s="83">
        <v>8.9</v>
      </c>
      <c r="F35" s="88">
        <v>705686</v>
      </c>
      <c r="G35" s="89">
        <f t="shared" si="0"/>
        <v>6280605.4000000004</v>
      </c>
      <c r="H35" s="118" t="str">
        <f t="array" ref="H35:K35">_xlfn.XLOOKUP(C35,'ESAP NEIVA FASE II UNIFICADO'!$C$6:$C$720,'ESAP NEIVA FASE II UNIFICADO'!$C$6:$F$720,"NO ESTA")</f>
        <v xml:space="preserve">PLACA MACIZA ZONA ASCENSOR 2DA PLANTA </v>
      </c>
      <c r="I35" t="str">
        <v>M3</v>
      </c>
      <c r="J35">
        <v>0</v>
      </c>
      <c r="K35">
        <v>789448</v>
      </c>
      <c r="L35" s="115">
        <f t="shared" si="1"/>
        <v>789448</v>
      </c>
      <c r="M35" s="146">
        <f t="shared" si="2"/>
        <v>7026087.2000000002</v>
      </c>
      <c r="N35" s="119"/>
    </row>
    <row r="36" spans="2:14" ht="15" customHeight="1" x14ac:dyDescent="0.25">
      <c r="B36" s="80" t="s">
        <v>73</v>
      </c>
      <c r="C36" s="81" t="s">
        <v>74</v>
      </c>
      <c r="D36" s="82"/>
      <c r="E36" s="83"/>
      <c r="F36" s="90"/>
      <c r="G36" s="89">
        <f t="shared" si="0"/>
        <v>0</v>
      </c>
      <c r="H36" s="118" t="str">
        <f t="array" ref="H36:K36">_xlfn.XLOOKUP(C36,'ESAP NEIVA FASE II UNIFICADO'!$C$6:$C$720,'ESAP NEIVA FASE II UNIFICADO'!$C$6:$F$720,"NO ESTA")</f>
        <v>CONSTRUCCIONES VARIAS EN CONCRETO</v>
      </c>
      <c r="I36">
        <v>0</v>
      </c>
      <c r="J36">
        <v>0</v>
      </c>
      <c r="K36">
        <v>0</v>
      </c>
      <c r="L36" s="115">
        <f t="shared" si="1"/>
        <v>0</v>
      </c>
      <c r="M36" s="146">
        <f t="shared" si="2"/>
        <v>0</v>
      </c>
      <c r="N36" s="119"/>
    </row>
    <row r="37" spans="2:14" ht="17.25" customHeight="1" x14ac:dyDescent="0.25">
      <c r="B37" s="86" t="s">
        <v>75</v>
      </c>
      <c r="C37" s="87" t="s">
        <v>76</v>
      </c>
      <c r="D37" s="82" t="s">
        <v>30</v>
      </c>
      <c r="E37" s="83">
        <v>73</v>
      </c>
      <c r="F37" s="88">
        <v>687672</v>
      </c>
      <c r="G37" s="89">
        <f t="shared" si="0"/>
        <v>50200056</v>
      </c>
      <c r="H37" s="118" t="str">
        <f t="array" ref="H37:K37">_xlfn.XLOOKUP(C37,'ESAP NEIVA FASE II UNIFICADO'!$C$6:$C$720,'ESAP NEIVA FASE II UNIFICADO'!$C$6:$F$720,"NO ESTA")</f>
        <v>MURO EN CONCRETO DE 4000 PSI DESCOLGADO VIGA 00C 30x120</v>
      </c>
      <c r="I37" t="str">
        <v>M3</v>
      </c>
      <c r="J37">
        <v>11.299999999999997</v>
      </c>
      <c r="K37">
        <v>795025</v>
      </c>
      <c r="L37" s="115">
        <f t="shared" si="1"/>
        <v>795025</v>
      </c>
      <c r="M37" s="146">
        <f t="shared" si="2"/>
        <v>58036825</v>
      </c>
      <c r="N37" s="119"/>
    </row>
    <row r="38" spans="2:14" ht="19.5" customHeight="1" x14ac:dyDescent="0.25">
      <c r="B38" s="86" t="s">
        <v>77</v>
      </c>
      <c r="C38" s="87" t="s">
        <v>78</v>
      </c>
      <c r="D38" s="82" t="s">
        <v>30</v>
      </c>
      <c r="E38" s="83">
        <v>109</v>
      </c>
      <c r="F38" s="88">
        <v>687672</v>
      </c>
      <c r="G38" s="89">
        <f t="shared" si="0"/>
        <v>74956248</v>
      </c>
      <c r="H38" s="118" t="str">
        <f t="array" ref="H38:K38">_xlfn.XLOOKUP(C38,'ESAP NEIVA FASE II UNIFICADO'!$C$6:$C$720,'ESAP NEIVA FASE II UNIFICADO'!$C$6:$F$720,"NO ESTA")</f>
        <v>MURO ESTRUCTURAL EN CONCRETO DE 4000 PSI FACHADA EXTERIOR</v>
      </c>
      <c r="I38" t="str">
        <v>M3</v>
      </c>
      <c r="J38">
        <v>15.900000000000006</v>
      </c>
      <c r="K38">
        <v>766762</v>
      </c>
      <c r="L38" s="115">
        <f t="shared" si="1"/>
        <v>766762</v>
      </c>
      <c r="M38" s="146">
        <f t="shared" si="2"/>
        <v>83577058</v>
      </c>
      <c r="N38" s="119"/>
    </row>
    <row r="39" spans="2:14" ht="17.25" customHeight="1" x14ac:dyDescent="0.25">
      <c r="B39" s="86" t="s">
        <v>79</v>
      </c>
      <c r="C39" s="87" t="s">
        <v>80</v>
      </c>
      <c r="D39" s="82" t="s">
        <v>30</v>
      </c>
      <c r="E39" s="83">
        <v>30</v>
      </c>
      <c r="F39" s="88">
        <v>705686</v>
      </c>
      <c r="G39" s="89">
        <f t="shared" si="0"/>
        <v>21170580</v>
      </c>
      <c r="H39" s="118" t="str">
        <f t="array" ref="H39:K39">_xlfn.XLOOKUP(C39,'ESAP NEIVA FASE II UNIFICADO'!$C$6:$C$720,'ESAP NEIVA FASE II UNIFICADO'!$C$6:$F$720,"NO ESTA")</f>
        <v>ESCALERAS INTERNAS</v>
      </c>
      <c r="I39" t="str">
        <v>M3</v>
      </c>
      <c r="J39">
        <v>4.7000000000000028</v>
      </c>
      <c r="K39">
        <v>910627</v>
      </c>
      <c r="L39" s="115">
        <f t="shared" si="1"/>
        <v>910627</v>
      </c>
      <c r="M39" s="146">
        <f t="shared" si="2"/>
        <v>27318810</v>
      </c>
      <c r="N39" s="119"/>
    </row>
    <row r="40" spans="2:14" ht="18" customHeight="1" x14ac:dyDescent="0.25">
      <c r="B40" s="86" t="s">
        <v>81</v>
      </c>
      <c r="C40" s="87" t="s">
        <v>82</v>
      </c>
      <c r="D40" s="82" t="s">
        <v>30</v>
      </c>
      <c r="E40" s="83">
        <v>17</v>
      </c>
      <c r="F40" s="88">
        <v>705686</v>
      </c>
      <c r="G40" s="89">
        <f t="shared" si="0"/>
        <v>11996662</v>
      </c>
      <c r="H40" s="118" t="str">
        <f t="array" ref="H40:K40">_xlfn.XLOOKUP(C40,'ESAP NEIVA FASE II UNIFICADO'!$C$6:$C$720,'ESAP NEIVA FASE II UNIFICADO'!$C$6:$F$720,"NO ESTA")</f>
        <v>ESCALERA ACCESO SEGUNDO (2DO) Y TERCER (3ER) PISO EJES 1 Y 4'</v>
      </c>
      <c r="I40" t="str">
        <v>M3</v>
      </c>
      <c r="J40">
        <v>2</v>
      </c>
      <c r="K40">
        <v>910627</v>
      </c>
      <c r="L40" s="115">
        <f t="shared" si="1"/>
        <v>910627</v>
      </c>
      <c r="M40" s="146">
        <f t="shared" si="2"/>
        <v>15480659</v>
      </c>
      <c r="N40" s="119"/>
    </row>
    <row r="41" spans="2:14" ht="15.75" customHeight="1" x14ac:dyDescent="0.25">
      <c r="B41" s="86" t="s">
        <v>83</v>
      </c>
      <c r="C41" s="87" t="s">
        <v>84</v>
      </c>
      <c r="D41" s="82" t="s">
        <v>30</v>
      </c>
      <c r="E41" s="83">
        <v>63</v>
      </c>
      <c r="F41" s="88">
        <v>723230</v>
      </c>
      <c r="G41" s="89">
        <f t="shared" si="0"/>
        <v>45563490</v>
      </c>
      <c r="H41" s="118" t="str">
        <f t="array" ref="H41:K41">_xlfn.XLOOKUP(C41,'ESAP NEIVA FASE II UNIFICADO'!$C$6:$C$720,'ESAP NEIVA FASE II UNIFICADO'!$C$6:$F$720,"NO ESTA")</f>
        <v>RAMPAS DE ACCESO Incluye ACERO DE REFUERZO</v>
      </c>
      <c r="I41" t="str">
        <v>M3</v>
      </c>
      <c r="J41">
        <v>9</v>
      </c>
      <c r="K41">
        <v>852120</v>
      </c>
      <c r="L41" s="115">
        <f t="shared" si="1"/>
        <v>852120</v>
      </c>
      <c r="M41" s="146">
        <f t="shared" si="2"/>
        <v>53683560</v>
      </c>
      <c r="N41" s="119"/>
    </row>
    <row r="42" spans="2:14" ht="39.75" customHeight="1" x14ac:dyDescent="0.25">
      <c r="B42" s="80" t="s">
        <v>85</v>
      </c>
      <c r="C42" s="81" t="s">
        <v>86</v>
      </c>
      <c r="D42" s="82"/>
      <c r="E42" s="83"/>
      <c r="F42" s="90"/>
      <c r="G42" s="89">
        <f t="shared" si="0"/>
        <v>0</v>
      </c>
      <c r="H42" s="118" t="str">
        <f t="array" ref="H42:K42">_xlfn.XLOOKUP(C42,'ESAP NEIVA FASE II UNIFICADO'!$C$6:$C$720,'ESAP NEIVA FASE II UNIFICADO'!$C$6:$F$720,"NO ESTA")</f>
        <v>SUMINISTRO E INSTALACIÓN ACERO DE REFUERZO ELEMENTOS ESTRUCTURALES, PLACAS MACIZAS, CONSTRUCCIONES VARIAS EN CONCRETOS</v>
      </c>
      <c r="I42">
        <v>0</v>
      </c>
      <c r="J42">
        <v>0</v>
      </c>
      <c r="K42">
        <v>0</v>
      </c>
      <c r="L42" s="115">
        <f t="shared" si="1"/>
        <v>0</v>
      </c>
      <c r="M42" s="146">
        <f t="shared" si="2"/>
        <v>0</v>
      </c>
      <c r="N42" s="119"/>
    </row>
    <row r="43" spans="2:14" ht="18" customHeight="1" x14ac:dyDescent="0.25">
      <c r="B43" s="86" t="s">
        <v>87</v>
      </c>
      <c r="C43" s="93" t="s">
        <v>54</v>
      </c>
      <c r="D43" s="82" t="s">
        <v>55</v>
      </c>
      <c r="E43" s="83">
        <v>134615.48000000001</v>
      </c>
      <c r="F43" s="88">
        <v>5000</v>
      </c>
      <c r="G43" s="89">
        <f t="shared" si="0"/>
        <v>673077400</v>
      </c>
      <c r="H43" s="118" t="str">
        <f t="array" ref="H43:K43">_xlfn.XLOOKUP(C43,'ESAP NEIVA FASE II UNIFICADO'!$C$6:$C$720,'ESAP NEIVA FASE II UNIFICADO'!$C$6:$F$720,"NO ESTA")</f>
        <v>ACERO DE REFUERZO 60000 psi Incluye ALAMBRE DE AMARRE</v>
      </c>
      <c r="I43" t="str">
        <v>KG</v>
      </c>
      <c r="J43">
        <v>8230.6999999999971</v>
      </c>
      <c r="K43">
        <v>5000</v>
      </c>
      <c r="L43" s="115">
        <f t="shared" si="1"/>
        <v>5000</v>
      </c>
      <c r="M43" s="146">
        <f t="shared" si="2"/>
        <v>673077400</v>
      </c>
      <c r="N43" s="119"/>
    </row>
    <row r="44" spans="2:14" ht="30" customHeight="1" x14ac:dyDescent="0.25">
      <c r="B44" s="86" t="s">
        <v>88</v>
      </c>
      <c r="C44" s="93" t="s">
        <v>89</v>
      </c>
      <c r="D44" s="82" t="s">
        <v>13</v>
      </c>
      <c r="E44" s="83">
        <v>6220.01</v>
      </c>
      <c r="F44" s="88">
        <v>7500</v>
      </c>
      <c r="G44" s="89">
        <f t="shared" si="0"/>
        <v>46650075</v>
      </c>
      <c r="H44" s="118" t="str">
        <f t="array" ref="H44:K44">_xlfn.XLOOKUP(C44,'ESAP NEIVA FASE II UNIFICADO'!$C$6:$C$720,'ESAP NEIVA FASE II UNIFICADO'!$C$6:$F$720,"NO ESTA")</f>
        <v>MALLA ELECTROSOLDADA PLACA ENTREPISO Q85 Ø4 mm separación 15x15 cm o similar</v>
      </c>
      <c r="I44" t="str">
        <v>M2</v>
      </c>
      <c r="J44">
        <v>938.19999999999982</v>
      </c>
      <c r="K44">
        <v>7500</v>
      </c>
      <c r="L44" s="115">
        <f t="shared" si="1"/>
        <v>7500</v>
      </c>
      <c r="M44" s="146">
        <f t="shared" si="2"/>
        <v>46650075</v>
      </c>
      <c r="N44" s="119"/>
    </row>
    <row r="45" spans="2:14" ht="30" customHeight="1" x14ac:dyDescent="0.25">
      <c r="B45" s="80" t="s">
        <v>90</v>
      </c>
      <c r="C45" s="81" t="s">
        <v>91</v>
      </c>
      <c r="D45" s="82"/>
      <c r="E45" s="83"/>
      <c r="F45" s="90"/>
      <c r="G45" s="89">
        <f t="shared" si="0"/>
        <v>0</v>
      </c>
      <c r="H45" s="118" t="str">
        <f t="array" ref="H45:K45">_xlfn.XLOOKUP(C45,'ESAP NEIVA FASE II UNIFICADO'!$C$6:$C$720,'ESAP NEIVA FASE II UNIFICADO'!$C$6:$F$720,"NO ESTA")</f>
        <v>SUMINISTRO E INSTALACION DE ESTRUCTURA METALICA CUBIERTA</v>
      </c>
      <c r="I45">
        <v>0</v>
      </c>
      <c r="J45">
        <v>0</v>
      </c>
      <c r="K45">
        <v>0</v>
      </c>
      <c r="L45" s="115">
        <f t="shared" si="1"/>
        <v>0</v>
      </c>
      <c r="M45" s="146">
        <f t="shared" si="2"/>
        <v>0</v>
      </c>
      <c r="N45" s="119"/>
    </row>
    <row r="46" spans="2:14" ht="15" customHeight="1" x14ac:dyDescent="0.25">
      <c r="B46" s="86" t="s">
        <v>92</v>
      </c>
      <c r="C46" s="87" t="s">
        <v>93</v>
      </c>
      <c r="D46" s="82" t="s">
        <v>94</v>
      </c>
      <c r="E46" s="83">
        <v>194</v>
      </c>
      <c r="F46" s="88">
        <v>102216</v>
      </c>
      <c r="G46" s="89">
        <f t="shared" si="0"/>
        <v>19829904</v>
      </c>
      <c r="H46" s="118" t="str">
        <f t="array" ref="H46:K46">_xlfn.XLOOKUP(C46,'ESAP NEIVA FASE II UNIFICADO'!$C$6:$C$720,'ESAP NEIVA FASE II UNIFICADO'!$C$6:$F$720,"NO ESTA")</f>
        <v>CERCHA METALICA CUBIERTA</v>
      </c>
      <c r="I46" s="95" t="str">
        <v>ML</v>
      </c>
      <c r="J46">
        <v>14.099999999999994</v>
      </c>
      <c r="K46">
        <v>109392</v>
      </c>
      <c r="L46" s="115">
        <f t="shared" si="1"/>
        <v>109392</v>
      </c>
      <c r="M46" s="146">
        <f t="shared" si="2"/>
        <v>21222048</v>
      </c>
      <c r="N46" s="119"/>
    </row>
    <row r="47" spans="2:14" ht="15" customHeight="1" x14ac:dyDescent="0.25">
      <c r="B47" s="86" t="s">
        <v>95</v>
      </c>
      <c r="C47" s="87" t="s">
        <v>96</v>
      </c>
      <c r="D47" s="82" t="s">
        <v>94</v>
      </c>
      <c r="E47" s="83">
        <v>1240</v>
      </c>
      <c r="F47" s="88">
        <v>72433</v>
      </c>
      <c r="G47" s="89">
        <f t="shared" si="0"/>
        <v>89816920</v>
      </c>
      <c r="H47" s="118" t="str">
        <f t="array" ref="H47:K47">_xlfn.XLOOKUP(C47,'ESAP NEIVA FASE II UNIFICADO'!$C$6:$C$720,'ESAP NEIVA FASE II UNIFICADO'!$C$6:$F$720,"NO ESTA")</f>
        <v>CORREAS METALICAS CUBIERTA</v>
      </c>
      <c r="I47" t="str">
        <v>ML</v>
      </c>
      <c r="J47">
        <v>28.599999999999994</v>
      </c>
      <c r="K47">
        <v>78264</v>
      </c>
      <c r="L47" s="115">
        <f t="shared" si="1"/>
        <v>78264</v>
      </c>
      <c r="M47" s="146">
        <f t="shared" si="2"/>
        <v>97047360</v>
      </c>
      <c r="N47" s="119"/>
    </row>
    <row r="48" spans="2:14" ht="15" customHeight="1" x14ac:dyDescent="0.25">
      <c r="B48" s="86" t="s">
        <v>97</v>
      </c>
      <c r="C48" s="87" t="s">
        <v>98</v>
      </c>
      <c r="D48" s="82" t="s">
        <v>13</v>
      </c>
      <c r="E48" s="83">
        <v>508</v>
      </c>
      <c r="F48" s="88">
        <v>95772</v>
      </c>
      <c r="G48" s="89">
        <f t="shared" si="0"/>
        <v>48652176</v>
      </c>
      <c r="H48" s="118" t="str">
        <f t="array" ref="H48:K48">_xlfn.XLOOKUP(C48,'ESAP NEIVA FASE II UNIFICADO'!$C$6:$C$720,'ESAP NEIVA FASE II UNIFICADO'!$C$6:$F$720,"NO ESTA")</f>
        <v>CUBIERTA TIPO SANDWICH</v>
      </c>
      <c r="I48" t="str">
        <v>M2</v>
      </c>
      <c r="J48">
        <v>488.5</v>
      </c>
      <c r="K48">
        <v>103483</v>
      </c>
      <c r="L48" s="115">
        <f t="shared" si="1"/>
        <v>103483</v>
      </c>
      <c r="M48" s="146">
        <f t="shared" si="2"/>
        <v>52569364</v>
      </c>
      <c r="N48" s="119"/>
    </row>
    <row r="49" spans="2:14" ht="14.25" customHeight="1" x14ac:dyDescent="0.25">
      <c r="B49" s="74">
        <v>4</v>
      </c>
      <c r="C49" s="75" t="s">
        <v>99</v>
      </c>
      <c r="D49" s="76"/>
      <c r="E49" s="77"/>
      <c r="F49" s="78"/>
      <c r="G49" s="89">
        <f t="shared" si="0"/>
        <v>0</v>
      </c>
      <c r="H49" s="118" t="str">
        <f t="array" ref="H49:K49">_xlfn.XLOOKUP(C49,'ESAP NEIVA FASE II UNIFICADO'!$C$6:$C$720,'ESAP NEIVA FASE II UNIFICADO'!$C$6:$F$720,"NO ESTA")</f>
        <v>CIELO RASOS</v>
      </c>
      <c r="I49">
        <v>0</v>
      </c>
      <c r="J49">
        <v>0</v>
      </c>
      <c r="K49">
        <v>0</v>
      </c>
      <c r="L49" s="115">
        <f t="shared" si="1"/>
        <v>0</v>
      </c>
      <c r="M49" s="146">
        <f t="shared" si="2"/>
        <v>0</v>
      </c>
      <c r="N49" s="119"/>
    </row>
    <row r="50" spans="2:14" ht="17.25" customHeight="1" x14ac:dyDescent="0.25">
      <c r="B50" s="80" t="s">
        <v>100</v>
      </c>
      <c r="C50" s="81" t="s">
        <v>101</v>
      </c>
      <c r="D50" s="82"/>
      <c r="E50" s="83"/>
      <c r="F50" s="84"/>
      <c r="G50" s="89">
        <f t="shared" si="0"/>
        <v>0</v>
      </c>
      <c r="H50" s="118" t="str">
        <f t="array" ref="H50:K50">_xlfn.XLOOKUP(C50,'ESAP NEIVA FASE II UNIFICADO'!$C$6:$C$720,'ESAP NEIVA FASE II UNIFICADO'!$C$6:$F$720,"NO ESTA")</f>
        <v>SUMINISTRO E INSTALACION DE CIELOS RASOS PISO 1</v>
      </c>
      <c r="I50">
        <v>0</v>
      </c>
      <c r="J50">
        <v>0</v>
      </c>
      <c r="K50">
        <v>0</v>
      </c>
      <c r="L50" s="115">
        <f t="shared" si="1"/>
        <v>0</v>
      </c>
      <c r="M50" s="146">
        <f t="shared" si="2"/>
        <v>0</v>
      </c>
      <c r="N50" s="119"/>
    </row>
    <row r="51" spans="2:14" ht="31.5" customHeight="1" x14ac:dyDescent="0.25">
      <c r="B51" s="86" t="s">
        <v>102</v>
      </c>
      <c r="C51" s="147" t="s">
        <v>103</v>
      </c>
      <c r="D51" s="82" t="s">
        <v>13</v>
      </c>
      <c r="E51" s="83">
        <v>59.86</v>
      </c>
      <c r="F51" s="88">
        <v>41614</v>
      </c>
      <c r="G51" s="89">
        <f t="shared" si="0"/>
        <v>2491014.04</v>
      </c>
      <c r="H51" s="118" t="str">
        <f t="array" ref="H51:K51">_xlfn.XLOOKUP(C51,'ESAP NEIVA FASE II UNIFICADO'!$C$6:$C$720,'ESAP NEIVA FASE II UNIFICADO'!$C$6:$F$720,"NO ESTA")</f>
        <v>SUMINISTRO E INSTALACION CIELO RASO EN DRYWALL LAMINA VERDE RH  PINTADO A 3 MANOS PINTURA VINILO TIPO 1 o similar  BLANCA Ref. Planos 09512</v>
      </c>
      <c r="I51" t="str">
        <v>M2</v>
      </c>
      <c r="J51">
        <v>68.989999999999995</v>
      </c>
      <c r="K51">
        <v>52673</v>
      </c>
      <c r="L51" s="115">
        <f t="shared" si="1"/>
        <v>52673</v>
      </c>
      <c r="M51" s="146">
        <f t="shared" si="2"/>
        <v>3153005.78</v>
      </c>
      <c r="N51" s="119"/>
    </row>
    <row r="52" spans="2:14" ht="26.25" customHeight="1" x14ac:dyDescent="0.25">
      <c r="B52" s="86" t="s">
        <v>104</v>
      </c>
      <c r="C52" s="149" t="s">
        <v>105</v>
      </c>
      <c r="D52" s="82" t="s">
        <v>13</v>
      </c>
      <c r="E52" s="83">
        <v>388.43</v>
      </c>
      <c r="F52" s="88">
        <v>41614</v>
      </c>
      <c r="G52" s="89">
        <f t="shared" si="0"/>
        <v>16164126.02</v>
      </c>
      <c r="H52" s="118" t="str">
        <f t="array" ref="H52:K52">_xlfn.XLOOKUP(C52,'ESAP NEIVA FASE II UNIFICADO'!$C$6:$C$720,'ESAP NEIVA FASE II UNIFICADO'!$C$6:$F$720,"NO ESTA")</f>
        <v>SUMINISTRO E INSTALACION CIELO RASO EN DRYWALL LAMINA BLANCA PINTADO A 3 MANOS PINTURA VINILO TIPO 1  BLANCA Ref. Planos 09511</v>
      </c>
      <c r="I52" t="str">
        <v>M2</v>
      </c>
      <c r="J52">
        <v>0</v>
      </c>
      <c r="K52">
        <v>52673</v>
      </c>
      <c r="L52" s="115">
        <f t="shared" si="1"/>
        <v>52673</v>
      </c>
      <c r="M52" s="146">
        <f t="shared" si="2"/>
        <v>20459773.390000001</v>
      </c>
      <c r="N52" s="119"/>
    </row>
    <row r="53" spans="2:14" ht="15.75" customHeight="1" x14ac:dyDescent="0.25">
      <c r="B53" s="74">
        <v>5</v>
      </c>
      <c r="C53" s="75" t="s">
        <v>106</v>
      </c>
      <c r="D53" s="76"/>
      <c r="E53" s="77"/>
      <c r="F53" s="78"/>
      <c r="G53" s="89">
        <f t="shared" si="0"/>
        <v>0</v>
      </c>
      <c r="H53" s="118" t="str">
        <f t="array" ref="H53:K53">_xlfn.XLOOKUP(C53,'ESAP NEIVA FASE II UNIFICADO'!$C$6:$C$720,'ESAP NEIVA FASE II UNIFICADO'!$C$6:$F$720,"NO ESTA")</f>
        <v>CONSTRUCCIÓN DE MUROS ARQUITECTONICOS</v>
      </c>
      <c r="I53">
        <v>0</v>
      </c>
      <c r="J53">
        <v>0</v>
      </c>
      <c r="K53">
        <v>0</v>
      </c>
      <c r="L53" s="115">
        <f t="shared" si="1"/>
        <v>0</v>
      </c>
      <c r="M53" s="146">
        <f t="shared" si="2"/>
        <v>0</v>
      </c>
      <c r="N53" s="119"/>
    </row>
    <row r="54" spans="2:14" ht="15" customHeight="1" x14ac:dyDescent="0.25">
      <c r="B54" s="80" t="s">
        <v>107</v>
      </c>
      <c r="C54" s="81" t="s">
        <v>108</v>
      </c>
      <c r="D54" s="82"/>
      <c r="E54" s="83"/>
      <c r="F54" s="90"/>
      <c r="G54" s="89">
        <f t="shared" si="0"/>
        <v>0</v>
      </c>
      <c r="H54" s="118" t="str">
        <f t="array" ref="H54:K54">_xlfn.XLOOKUP(C54,'ESAP NEIVA FASE II UNIFICADO'!$C$6:$C$720,'ESAP NEIVA FASE II UNIFICADO'!$C$6:$F$720,"NO ESTA")</f>
        <v>CONSTRUCCIÓN MUROS ARQUITECTONICOS SEMISOTANO</v>
      </c>
      <c r="I54">
        <v>0</v>
      </c>
      <c r="J54">
        <v>0</v>
      </c>
      <c r="K54">
        <v>0</v>
      </c>
      <c r="L54" s="115">
        <f t="shared" si="1"/>
        <v>0</v>
      </c>
      <c r="M54" s="146">
        <f t="shared" si="2"/>
        <v>0</v>
      </c>
      <c r="N54" s="119"/>
    </row>
    <row r="55" spans="2:14" ht="15" customHeight="1" x14ac:dyDescent="0.25">
      <c r="B55" s="86" t="s">
        <v>109</v>
      </c>
      <c r="C55" s="87" t="s">
        <v>110</v>
      </c>
      <c r="D55" s="82" t="s">
        <v>30</v>
      </c>
      <c r="E55" s="83">
        <v>0.73</v>
      </c>
      <c r="F55" s="88">
        <v>687672</v>
      </c>
      <c r="G55" s="89">
        <f t="shared" si="0"/>
        <v>502000.56</v>
      </c>
      <c r="H55" s="118" t="str">
        <f t="array" ref="H55:K55">_xlfn.XLOOKUP(C55,'ESAP NEIVA FASE II UNIFICADO'!$C$6:$C$720,'ESAP NEIVA FASE II UNIFICADO'!$C$6:$F$720,"NO ESTA")</f>
        <v>MURO EN CONCRETO DE 4000 PSI e=0.12 m Ver. Planos Tipo Muro M-1</v>
      </c>
      <c r="I55" t="str">
        <v>M3</v>
      </c>
      <c r="J55">
        <v>0</v>
      </c>
      <c r="K55">
        <v>821235</v>
      </c>
      <c r="L55" s="115">
        <f t="shared" si="1"/>
        <v>821235</v>
      </c>
      <c r="M55" s="146">
        <f t="shared" si="2"/>
        <v>599501.54999999993</v>
      </c>
      <c r="N55" s="119"/>
    </row>
    <row r="56" spans="2:14" ht="15" customHeight="1" x14ac:dyDescent="0.25">
      <c r="B56" s="86" t="s">
        <v>111</v>
      </c>
      <c r="C56" s="87" t="s">
        <v>112</v>
      </c>
      <c r="D56" s="82" t="s">
        <v>30</v>
      </c>
      <c r="E56" s="83">
        <v>11.33</v>
      </c>
      <c r="F56" s="88">
        <v>687672</v>
      </c>
      <c r="G56" s="89">
        <f t="shared" si="0"/>
        <v>7791323.7599999998</v>
      </c>
      <c r="H56" s="118" t="str">
        <f t="array" ref="H56:K56">_xlfn.XLOOKUP(C56,'ESAP NEIVA FASE II UNIFICADO'!$C$6:$C$720,'ESAP NEIVA FASE II UNIFICADO'!$C$6:$F$720,"NO ESTA")</f>
        <v>MURO EN CONCRETO DE 4000 PSI e=0.15 m Ver. Planos Tipo Muro M-2</v>
      </c>
      <c r="I56" t="str">
        <v>M3</v>
      </c>
      <c r="J56">
        <v>11.33</v>
      </c>
      <c r="K56">
        <v>821235</v>
      </c>
      <c r="L56" s="115">
        <f t="shared" si="1"/>
        <v>821235</v>
      </c>
      <c r="M56" s="146">
        <f t="shared" si="2"/>
        <v>9304592.5500000007</v>
      </c>
      <c r="N56" s="119"/>
    </row>
    <row r="57" spans="2:14" ht="15" customHeight="1" x14ac:dyDescent="0.25">
      <c r="B57" s="86" t="s">
        <v>113</v>
      </c>
      <c r="C57" s="87" t="s">
        <v>114</v>
      </c>
      <c r="D57" s="82" t="s">
        <v>30</v>
      </c>
      <c r="E57" s="83">
        <v>95.6</v>
      </c>
      <c r="F57" s="88">
        <v>687672</v>
      </c>
      <c r="G57" s="89">
        <f t="shared" si="0"/>
        <v>65741443.200000003</v>
      </c>
      <c r="H57" s="118" t="str">
        <f t="array" ref="H57:K57">_xlfn.XLOOKUP(C57,'ESAP NEIVA FASE II UNIFICADO'!$C$6:$C$720,'ESAP NEIVA FASE II UNIFICADO'!$C$6:$F$720,"NO ESTA")</f>
        <v>MURO EN CONCRETO DE 4000 PSI e=0.25 m Ver. Planos Tipo Muro M-3</v>
      </c>
      <c r="I57" t="str">
        <v>M3</v>
      </c>
      <c r="J57">
        <v>95.594999999999999</v>
      </c>
      <c r="K57">
        <v>821235</v>
      </c>
      <c r="L57" s="115">
        <f t="shared" si="1"/>
        <v>821235</v>
      </c>
      <c r="M57" s="146">
        <f t="shared" si="2"/>
        <v>78510066</v>
      </c>
      <c r="N57" s="119"/>
    </row>
    <row r="58" spans="2:14" ht="15" customHeight="1" x14ac:dyDescent="0.25">
      <c r="B58" s="86" t="s">
        <v>115</v>
      </c>
      <c r="C58" s="87" t="s">
        <v>116</v>
      </c>
      <c r="D58" s="82" t="s">
        <v>30</v>
      </c>
      <c r="E58" s="83">
        <v>20.12</v>
      </c>
      <c r="F58" s="88">
        <v>687672</v>
      </c>
      <c r="G58" s="89">
        <f t="shared" si="0"/>
        <v>13835960.640000001</v>
      </c>
      <c r="H58" s="118" t="str">
        <f t="array" ref="H58:K58">_xlfn.XLOOKUP(C58,'ESAP NEIVA FASE II UNIFICADO'!$C$6:$C$720,'ESAP NEIVA FASE II UNIFICADO'!$C$6:$F$720,"NO ESTA")</f>
        <v>MURO EN CONCRETO DE 4000 PSI e=0.30 m Ver. Planos Tipo Muro M-4</v>
      </c>
      <c r="I58" t="str">
        <v>M3</v>
      </c>
      <c r="J58">
        <v>20.12</v>
      </c>
      <c r="K58">
        <v>821235</v>
      </c>
      <c r="L58" s="115">
        <f t="shared" si="1"/>
        <v>821235</v>
      </c>
      <c r="M58" s="146">
        <f t="shared" si="2"/>
        <v>16523248.200000001</v>
      </c>
      <c r="N58" s="119"/>
    </row>
    <row r="59" spans="2:14" ht="15" customHeight="1" x14ac:dyDescent="0.25">
      <c r="B59" s="86" t="s">
        <v>117</v>
      </c>
      <c r="C59" s="87" t="s">
        <v>118</v>
      </c>
      <c r="D59" s="82" t="s">
        <v>30</v>
      </c>
      <c r="E59" s="83">
        <v>80.489999999999995</v>
      </c>
      <c r="F59" s="88">
        <v>687672</v>
      </c>
      <c r="G59" s="89">
        <f t="shared" si="0"/>
        <v>55350719.280000001</v>
      </c>
      <c r="H59" s="118" t="str">
        <f t="array" ref="H59:K59">_xlfn.XLOOKUP(C59,'ESAP NEIVA FASE II UNIFICADO'!$C$6:$C$720,'ESAP NEIVA FASE II UNIFICADO'!$C$6:$F$720,"NO ESTA")</f>
        <v>MURO EN CONCRETO DE 4000 PSI e=0.40 m Ver. Planos Tipo Muro M-5</v>
      </c>
      <c r="I59" t="str">
        <v>M3</v>
      </c>
      <c r="J59">
        <v>80.484999999999999</v>
      </c>
      <c r="K59">
        <v>821235</v>
      </c>
      <c r="L59" s="115">
        <f t="shared" si="1"/>
        <v>821235</v>
      </c>
      <c r="M59" s="146">
        <f t="shared" si="2"/>
        <v>66101205.149999999</v>
      </c>
      <c r="N59" s="119"/>
    </row>
    <row r="60" spans="2:14" ht="15" customHeight="1" x14ac:dyDescent="0.25">
      <c r="B60" s="86" t="s">
        <v>119</v>
      </c>
      <c r="C60" s="87" t="s">
        <v>120</v>
      </c>
      <c r="D60" s="82" t="s">
        <v>13</v>
      </c>
      <c r="E60" s="83">
        <v>79.69</v>
      </c>
      <c r="F60" s="88">
        <v>146012</v>
      </c>
      <c r="G60" s="89">
        <f t="shared" si="0"/>
        <v>11635696.279999999</v>
      </c>
      <c r="H60" s="118" t="str">
        <f t="array" ref="H60:K60">_xlfn.XLOOKUP(C60,'ESAP NEIVA FASE II UNIFICADO'!$C$6:$C$720,'ESAP NEIVA FASE II UNIFICADO'!$C$6:$F$720,"NO ESTA")</f>
        <v>MURO EN LADRILLO GRAN FORMATO e= 0.12 m Ref. Tierra Ver. Planos Tipo Muro M-6</v>
      </c>
      <c r="I60" t="str">
        <v>M2</v>
      </c>
      <c r="J60">
        <v>79.69</v>
      </c>
      <c r="K60">
        <v>141317</v>
      </c>
      <c r="L60" s="115">
        <f t="shared" si="1"/>
        <v>146012</v>
      </c>
      <c r="M60" s="146">
        <f t="shared" si="2"/>
        <v>11635696.279999999</v>
      </c>
      <c r="N60" s="119"/>
    </row>
    <row r="61" spans="2:14" ht="15" customHeight="1" x14ac:dyDescent="0.25">
      <c r="B61" s="86" t="s">
        <v>121</v>
      </c>
      <c r="C61" s="87" t="s">
        <v>122</v>
      </c>
      <c r="D61" s="82" t="s">
        <v>13</v>
      </c>
      <c r="E61" s="83">
        <v>21.32</v>
      </c>
      <c r="F61" s="88">
        <v>292026</v>
      </c>
      <c r="G61" s="89">
        <f t="shared" si="0"/>
        <v>6225994.3200000003</v>
      </c>
      <c r="H61" s="118" t="str">
        <f t="array" ref="H61:K61">_xlfn.XLOOKUP(C61,'ESAP NEIVA FASE II UNIFICADO'!$C$6:$C$720,'ESAP NEIVA FASE II UNIFICADO'!$C$6:$F$720,"NO ESTA")</f>
        <v xml:space="preserve">MURO EN LADRILLO GRAN FORMATO e= 0.25 m Ref. Tierra Ver. Planos Tipo Muro M-7 </v>
      </c>
      <c r="I61" t="str">
        <v>M2</v>
      </c>
      <c r="J61">
        <v>21.32</v>
      </c>
      <c r="K61">
        <v>186538</v>
      </c>
      <c r="L61" s="115">
        <f t="shared" si="1"/>
        <v>292026</v>
      </c>
      <c r="M61" s="146">
        <f t="shared" si="2"/>
        <v>6225994.3200000003</v>
      </c>
      <c r="N61" s="119"/>
    </row>
    <row r="62" spans="2:14" ht="15" customHeight="1" x14ac:dyDescent="0.25">
      <c r="B62" s="97" t="s">
        <v>123</v>
      </c>
      <c r="C62" s="98" t="s">
        <v>124</v>
      </c>
      <c r="D62" s="82"/>
      <c r="E62" s="83"/>
      <c r="F62" s="90"/>
      <c r="G62" s="89">
        <f t="shared" si="0"/>
        <v>0</v>
      </c>
      <c r="H62" s="118" t="str">
        <f t="array" ref="H62:K62">_xlfn.XLOOKUP(C62,'ESAP NEIVA FASE II UNIFICADO'!$C$6:$C$720,'ESAP NEIVA FASE II UNIFICADO'!$C$6:$F$720,"NO ESTA")</f>
        <v>CONSTRUCCIÓN MUROS ARQUITECTONICOS EXTERIORES</v>
      </c>
      <c r="I62">
        <v>0</v>
      </c>
      <c r="J62">
        <v>0</v>
      </c>
      <c r="K62">
        <v>0</v>
      </c>
      <c r="L62" s="115">
        <f t="shared" si="1"/>
        <v>0</v>
      </c>
      <c r="M62" s="146">
        <f t="shared" si="2"/>
        <v>0</v>
      </c>
      <c r="N62" s="119"/>
    </row>
    <row r="63" spans="2:14" ht="15" customHeight="1" x14ac:dyDescent="0.25">
      <c r="B63" s="86" t="s">
        <v>125</v>
      </c>
      <c r="C63" s="87" t="s">
        <v>112</v>
      </c>
      <c r="D63" s="82" t="s">
        <v>30</v>
      </c>
      <c r="E63" s="83">
        <v>0.17</v>
      </c>
      <c r="F63" s="88">
        <v>687672</v>
      </c>
      <c r="G63" s="89">
        <f t="shared" si="0"/>
        <v>116904.24</v>
      </c>
      <c r="H63" s="118" t="str">
        <f t="array" ref="H63:K63">_xlfn.XLOOKUP(C63,'ESAP NEIVA FASE II UNIFICADO'!$C$6:$C$720,'ESAP NEIVA FASE II UNIFICADO'!$C$6:$F$720,"NO ESTA")</f>
        <v>MURO EN CONCRETO DE 4000 PSI e=0.15 m Ver. Planos Tipo Muro M-2</v>
      </c>
      <c r="I63" t="str">
        <v>M3</v>
      </c>
      <c r="J63">
        <v>11.33</v>
      </c>
      <c r="K63">
        <v>821235</v>
      </c>
      <c r="L63" s="115">
        <f t="shared" si="1"/>
        <v>821235</v>
      </c>
      <c r="M63" s="146">
        <f t="shared" si="2"/>
        <v>139609.95000000001</v>
      </c>
      <c r="N63" s="119"/>
    </row>
    <row r="64" spans="2:14" ht="15" customHeight="1" x14ac:dyDescent="0.25">
      <c r="B64" s="86" t="s">
        <v>126</v>
      </c>
      <c r="C64" s="87" t="s">
        <v>114</v>
      </c>
      <c r="D64" s="82" t="s">
        <v>30</v>
      </c>
      <c r="E64" s="83">
        <v>56.08</v>
      </c>
      <c r="F64" s="88">
        <v>687672</v>
      </c>
      <c r="G64" s="89">
        <f t="shared" si="0"/>
        <v>38564645.759999998</v>
      </c>
      <c r="H64" s="118" t="str">
        <f t="array" ref="H64:K64">_xlfn.XLOOKUP(C64,'ESAP NEIVA FASE II UNIFICADO'!$C$6:$C$720,'ESAP NEIVA FASE II UNIFICADO'!$C$6:$F$720,"NO ESTA")</f>
        <v>MURO EN CONCRETO DE 4000 PSI e=0.25 m Ver. Planos Tipo Muro M-3</v>
      </c>
      <c r="I64" t="str">
        <v>M3</v>
      </c>
      <c r="J64">
        <v>95.594999999999999</v>
      </c>
      <c r="K64">
        <v>821235</v>
      </c>
      <c r="L64" s="115">
        <f t="shared" si="1"/>
        <v>821235</v>
      </c>
      <c r="M64" s="146">
        <f t="shared" si="2"/>
        <v>46054858.799999997</v>
      </c>
      <c r="N64" s="119"/>
    </row>
    <row r="65" spans="2:14" ht="15" customHeight="1" x14ac:dyDescent="0.25">
      <c r="B65" s="80" t="s">
        <v>127</v>
      </c>
      <c r="C65" s="81" t="s">
        <v>128</v>
      </c>
      <c r="D65" s="82"/>
      <c r="E65" s="83"/>
      <c r="F65" s="90"/>
      <c r="G65" s="89">
        <f t="shared" si="0"/>
        <v>0</v>
      </c>
      <c r="H65" s="118" t="str">
        <f t="array" ref="H65:K65">_xlfn.XLOOKUP(C65,'ESAP NEIVA FASE II UNIFICADO'!$C$6:$C$720,'ESAP NEIVA FASE II UNIFICADO'!$C$6:$F$720,"NO ESTA")</f>
        <v>CONSTRUCCIÓN MUROS ARQUITECTONICOS PISO 1</v>
      </c>
      <c r="I65">
        <v>0</v>
      </c>
      <c r="J65">
        <v>0</v>
      </c>
      <c r="K65">
        <v>0</v>
      </c>
      <c r="L65" s="115">
        <f t="shared" si="1"/>
        <v>0</v>
      </c>
      <c r="M65" s="146">
        <f t="shared" si="2"/>
        <v>0</v>
      </c>
      <c r="N65" s="119"/>
    </row>
    <row r="66" spans="2:14" ht="15" customHeight="1" x14ac:dyDescent="0.25">
      <c r="B66" s="86" t="s">
        <v>129</v>
      </c>
      <c r="C66" s="87" t="s">
        <v>130</v>
      </c>
      <c r="D66" s="82" t="s">
        <v>13</v>
      </c>
      <c r="E66" s="83">
        <v>91.92</v>
      </c>
      <c r="F66" s="88">
        <v>105344</v>
      </c>
      <c r="G66" s="89">
        <f t="shared" si="0"/>
        <v>9683220.4800000004</v>
      </c>
      <c r="H66" s="118" t="str">
        <f t="array" ref="H66:K66">_xlfn.XLOOKUP(C66,'ESAP NEIVA FASE II UNIFICADO'!$C$6:$C$720,'ESAP NEIVA FASE II UNIFICADO'!$C$6:$F$720,"NO ESTA")</f>
        <v>ENCHAPE DE MURO BAÑOS PORCELANATO GRIS 30*40CM</v>
      </c>
      <c r="I66" t="str">
        <v>M2</v>
      </c>
      <c r="J66">
        <v>91.915000000000006</v>
      </c>
      <c r="K66">
        <v>102358</v>
      </c>
      <c r="L66" s="115">
        <f t="shared" si="1"/>
        <v>105344</v>
      </c>
      <c r="M66" s="146">
        <f t="shared" si="2"/>
        <v>9683220.4800000004</v>
      </c>
      <c r="N66" s="119"/>
    </row>
    <row r="67" spans="2:14" ht="15" customHeight="1" x14ac:dyDescent="0.25">
      <c r="B67" s="86" t="s">
        <v>131</v>
      </c>
      <c r="C67" s="87" t="s">
        <v>112</v>
      </c>
      <c r="D67" s="82" t="s">
        <v>30</v>
      </c>
      <c r="E67" s="83">
        <v>29.67</v>
      </c>
      <c r="F67" s="88">
        <v>687672</v>
      </c>
      <c r="G67" s="89">
        <f t="shared" si="0"/>
        <v>20403228.239999998</v>
      </c>
      <c r="H67" s="118" t="str">
        <f t="array" ref="H67:K67">_xlfn.XLOOKUP(C67,'ESAP NEIVA FASE II UNIFICADO'!$C$6:$C$720,'ESAP NEIVA FASE II UNIFICADO'!$C$6:$F$720,"NO ESTA")</f>
        <v>MURO EN CONCRETO DE 4000 PSI e=0.15 m Ver. Planos Tipo Muro M-2</v>
      </c>
      <c r="I67" t="str">
        <v>M3</v>
      </c>
      <c r="J67">
        <v>11.33</v>
      </c>
      <c r="K67">
        <v>821235</v>
      </c>
      <c r="L67" s="115">
        <f t="shared" si="1"/>
        <v>821235</v>
      </c>
      <c r="M67" s="146">
        <f t="shared" si="2"/>
        <v>24366042.450000003</v>
      </c>
      <c r="N67" s="119"/>
    </row>
    <row r="68" spans="2:14" ht="15" customHeight="1" x14ac:dyDescent="0.25">
      <c r="B68" s="86" t="s">
        <v>132</v>
      </c>
      <c r="C68" s="87" t="s">
        <v>114</v>
      </c>
      <c r="D68" s="82" t="s">
        <v>30</v>
      </c>
      <c r="E68" s="83">
        <v>8.76</v>
      </c>
      <c r="F68" s="88">
        <v>687672</v>
      </c>
      <c r="G68" s="89">
        <f t="shared" si="0"/>
        <v>6024006.7199999997</v>
      </c>
      <c r="H68" s="118" t="str">
        <f t="array" ref="H68:K68">_xlfn.XLOOKUP(C68,'ESAP NEIVA FASE II UNIFICADO'!$C$6:$C$720,'ESAP NEIVA FASE II UNIFICADO'!$C$6:$F$720,"NO ESTA")</f>
        <v>MURO EN CONCRETO DE 4000 PSI e=0.25 m Ver. Planos Tipo Muro M-3</v>
      </c>
      <c r="I68" t="str">
        <v>M3</v>
      </c>
      <c r="J68">
        <v>95.594999999999999</v>
      </c>
      <c r="K68">
        <v>821235</v>
      </c>
      <c r="L68" s="115">
        <f t="shared" si="1"/>
        <v>821235</v>
      </c>
      <c r="M68" s="146">
        <f t="shared" si="2"/>
        <v>7194018.5999999996</v>
      </c>
      <c r="N68" s="119"/>
    </row>
    <row r="69" spans="2:14" ht="15" customHeight="1" x14ac:dyDescent="0.25">
      <c r="B69" s="86" t="s">
        <v>133</v>
      </c>
      <c r="C69" s="87" t="s">
        <v>118</v>
      </c>
      <c r="D69" s="82" t="s">
        <v>134</v>
      </c>
      <c r="E69" s="83">
        <v>54.4</v>
      </c>
      <c r="F69" s="88">
        <v>687672</v>
      </c>
      <c r="G69" s="89">
        <f t="shared" si="0"/>
        <v>37409356.799999997</v>
      </c>
      <c r="H69" s="118" t="str">
        <f t="array" ref="H69:K69">_xlfn.XLOOKUP(C69,'ESAP NEIVA FASE II UNIFICADO'!$C$6:$C$720,'ESAP NEIVA FASE II UNIFICADO'!$C$6:$F$720,"NO ESTA")</f>
        <v>MURO EN CONCRETO DE 4000 PSI e=0.40 m Ver. Planos Tipo Muro M-5</v>
      </c>
      <c r="I69" t="str">
        <v>M3</v>
      </c>
      <c r="J69">
        <v>80.484999999999999</v>
      </c>
      <c r="K69">
        <v>821235</v>
      </c>
      <c r="L69" s="115">
        <f t="shared" si="1"/>
        <v>821235</v>
      </c>
      <c r="M69" s="146">
        <f t="shared" si="2"/>
        <v>44675184</v>
      </c>
      <c r="N69" s="119"/>
    </row>
    <row r="70" spans="2:14" ht="23.45" customHeight="1" x14ac:dyDescent="0.25">
      <c r="B70" s="86" t="s">
        <v>135</v>
      </c>
      <c r="C70" s="87" t="s">
        <v>120</v>
      </c>
      <c r="D70" s="82" t="s">
        <v>13</v>
      </c>
      <c r="E70" s="83">
        <v>204.57</v>
      </c>
      <c r="F70" s="88">
        <v>146012</v>
      </c>
      <c r="G70" s="89">
        <f t="shared" ref="G70:G133" si="3">ROUND(+F70*E70,2)</f>
        <v>29869674.84</v>
      </c>
      <c r="H70" s="118" t="str">
        <f t="array" ref="H70:K70">_xlfn.XLOOKUP(C70,'ESAP NEIVA FASE II UNIFICADO'!$C$6:$C$720,'ESAP NEIVA FASE II UNIFICADO'!$C$6:$F$720,"NO ESTA")</f>
        <v>MURO EN LADRILLO GRAN FORMATO e= 0.12 m Ref. Tierra Ver. Planos Tipo Muro M-6</v>
      </c>
      <c r="I70" t="str">
        <v>M2</v>
      </c>
      <c r="J70">
        <v>79.69</v>
      </c>
      <c r="K70">
        <v>141317</v>
      </c>
      <c r="L70" s="115">
        <f t="shared" ref="L70:L133" si="4">MAX(K70,F70)</f>
        <v>146012</v>
      </c>
      <c r="M70" s="146">
        <f t="shared" ref="M70:M133" si="5">L70*E70</f>
        <v>29869674.84</v>
      </c>
      <c r="N70" s="119"/>
    </row>
    <row r="71" spans="2:14" ht="31.15" customHeight="1" x14ac:dyDescent="0.25">
      <c r="B71" s="86" t="s">
        <v>136</v>
      </c>
      <c r="C71" s="87" t="s">
        <v>122</v>
      </c>
      <c r="D71" s="82" t="s">
        <v>13</v>
      </c>
      <c r="E71" s="83">
        <v>76.38</v>
      </c>
      <c r="F71" s="88">
        <v>292026</v>
      </c>
      <c r="G71" s="89">
        <f t="shared" si="3"/>
        <v>22304945.879999999</v>
      </c>
      <c r="H71" s="118" t="str">
        <f t="array" ref="H71:K71">_xlfn.XLOOKUP(C71,'ESAP NEIVA FASE II UNIFICADO'!$C$6:$C$720,'ESAP NEIVA FASE II UNIFICADO'!$C$6:$F$720,"NO ESTA")</f>
        <v xml:space="preserve">MURO EN LADRILLO GRAN FORMATO e= 0.25 m Ref. Tierra Ver. Planos Tipo Muro M-7 </v>
      </c>
      <c r="I71" t="str">
        <v>M2</v>
      </c>
      <c r="J71">
        <v>21.32</v>
      </c>
      <c r="K71">
        <v>186538</v>
      </c>
      <c r="L71" s="115">
        <f t="shared" si="4"/>
        <v>292026</v>
      </c>
      <c r="M71" s="146">
        <f t="shared" si="5"/>
        <v>22304945.879999999</v>
      </c>
      <c r="N71" s="119"/>
    </row>
    <row r="72" spans="2:14" ht="15" customHeight="1" x14ac:dyDescent="0.25">
      <c r="B72" s="80" t="s">
        <v>137</v>
      </c>
      <c r="C72" s="81" t="s">
        <v>138</v>
      </c>
      <c r="D72" s="82"/>
      <c r="E72" s="83"/>
      <c r="F72" s="90"/>
      <c r="G72" s="89">
        <f t="shared" si="3"/>
        <v>0</v>
      </c>
      <c r="H72" s="118" t="str">
        <f t="array" ref="H72:K72">_xlfn.XLOOKUP(C72,'ESAP NEIVA FASE II UNIFICADO'!$C$6:$C$720,'ESAP NEIVA FASE II UNIFICADO'!$C$6:$F$720,"NO ESTA")</f>
        <v>CONSTRUCCIÓN MUROS ARQUITECTONICOS PISO 2</v>
      </c>
      <c r="I72">
        <v>0</v>
      </c>
      <c r="J72">
        <v>0</v>
      </c>
      <c r="K72">
        <v>0</v>
      </c>
      <c r="L72" s="115">
        <f t="shared" si="4"/>
        <v>0</v>
      </c>
      <c r="M72" s="146">
        <f t="shared" si="5"/>
        <v>0</v>
      </c>
      <c r="N72" s="119"/>
    </row>
    <row r="73" spans="2:14" ht="15" customHeight="1" x14ac:dyDescent="0.25">
      <c r="B73" s="86" t="s">
        <v>139</v>
      </c>
      <c r="C73" s="87" t="s">
        <v>130</v>
      </c>
      <c r="D73" s="82" t="s">
        <v>13</v>
      </c>
      <c r="E73" s="83">
        <v>89.61</v>
      </c>
      <c r="F73" s="88">
        <v>105344</v>
      </c>
      <c r="G73" s="89">
        <f t="shared" si="3"/>
        <v>9439875.8399999999</v>
      </c>
      <c r="H73" s="118" t="str">
        <f t="array" ref="H73:K73">_xlfn.XLOOKUP(C73,'ESAP NEIVA FASE II UNIFICADO'!$C$6:$C$720,'ESAP NEIVA FASE II UNIFICADO'!$C$6:$F$720,"NO ESTA")</f>
        <v>ENCHAPE DE MURO BAÑOS PORCELANATO GRIS 30*40CM</v>
      </c>
      <c r="I73" t="str">
        <v>M2</v>
      </c>
      <c r="J73">
        <v>91.915000000000006</v>
      </c>
      <c r="K73">
        <v>102358</v>
      </c>
      <c r="L73" s="115">
        <f t="shared" si="4"/>
        <v>105344</v>
      </c>
      <c r="M73" s="146">
        <f t="shared" si="5"/>
        <v>9439875.8399999999</v>
      </c>
      <c r="N73" s="119"/>
    </row>
    <row r="74" spans="2:14" ht="15" customHeight="1" x14ac:dyDescent="0.25">
      <c r="B74" s="86" t="s">
        <v>140</v>
      </c>
      <c r="C74" s="87" t="s">
        <v>110</v>
      </c>
      <c r="D74" s="82" t="s">
        <v>30</v>
      </c>
      <c r="E74" s="83">
        <v>1.1299999999999999</v>
      </c>
      <c r="F74" s="88">
        <v>687672</v>
      </c>
      <c r="G74" s="89">
        <f t="shared" si="3"/>
        <v>777069.36</v>
      </c>
      <c r="H74" s="118" t="str">
        <f t="array" ref="H74:K74">_xlfn.XLOOKUP(C74,'ESAP NEIVA FASE II UNIFICADO'!$C$6:$C$720,'ESAP NEIVA FASE II UNIFICADO'!$C$6:$F$720,"NO ESTA")</f>
        <v>MURO EN CONCRETO DE 4000 PSI e=0.12 m Ver. Planos Tipo Muro M-1</v>
      </c>
      <c r="I74" t="str">
        <v>M3</v>
      </c>
      <c r="J74">
        <v>0</v>
      </c>
      <c r="K74">
        <v>821235</v>
      </c>
      <c r="L74" s="115">
        <f t="shared" si="4"/>
        <v>821235</v>
      </c>
      <c r="M74" s="146">
        <f t="shared" si="5"/>
        <v>927995.54999999993</v>
      </c>
      <c r="N74" s="119"/>
    </row>
    <row r="75" spans="2:14" ht="15" customHeight="1" x14ac:dyDescent="0.25">
      <c r="B75" s="86" t="s">
        <v>141</v>
      </c>
      <c r="C75" s="87" t="s">
        <v>112</v>
      </c>
      <c r="D75" s="82" t="s">
        <v>30</v>
      </c>
      <c r="E75" s="83">
        <v>31.71</v>
      </c>
      <c r="F75" s="88">
        <v>687672</v>
      </c>
      <c r="G75" s="89">
        <f t="shared" si="3"/>
        <v>21806079.120000001</v>
      </c>
      <c r="H75" s="118" t="str">
        <f t="array" ref="H75:K75">_xlfn.XLOOKUP(C75,'ESAP NEIVA FASE II UNIFICADO'!$C$6:$C$720,'ESAP NEIVA FASE II UNIFICADO'!$C$6:$F$720,"NO ESTA")</f>
        <v>MURO EN CONCRETO DE 4000 PSI e=0.15 m Ver. Planos Tipo Muro M-2</v>
      </c>
      <c r="I75" t="str">
        <v>M3</v>
      </c>
      <c r="J75">
        <v>11.33</v>
      </c>
      <c r="K75">
        <v>821235</v>
      </c>
      <c r="L75" s="115">
        <f t="shared" si="4"/>
        <v>821235</v>
      </c>
      <c r="M75" s="146">
        <f t="shared" si="5"/>
        <v>26041361.850000001</v>
      </c>
      <c r="N75" s="119"/>
    </row>
    <row r="76" spans="2:14" ht="15" customHeight="1" x14ac:dyDescent="0.25">
      <c r="B76" s="86" t="s">
        <v>142</v>
      </c>
      <c r="C76" s="87" t="s">
        <v>114</v>
      </c>
      <c r="D76" s="82" t="s">
        <v>30</v>
      </c>
      <c r="E76" s="83">
        <v>77.67</v>
      </c>
      <c r="F76" s="88">
        <v>687672</v>
      </c>
      <c r="G76" s="89">
        <f t="shared" si="3"/>
        <v>53411484.240000002</v>
      </c>
      <c r="H76" s="118" t="str">
        <f t="array" ref="H76:K76">_xlfn.XLOOKUP(C76,'ESAP NEIVA FASE II UNIFICADO'!$C$6:$C$720,'ESAP NEIVA FASE II UNIFICADO'!$C$6:$F$720,"NO ESTA")</f>
        <v>MURO EN CONCRETO DE 4000 PSI e=0.25 m Ver. Planos Tipo Muro M-3</v>
      </c>
      <c r="I76" t="str">
        <v>M3</v>
      </c>
      <c r="J76">
        <v>95.594999999999999</v>
      </c>
      <c r="K76">
        <v>821235</v>
      </c>
      <c r="L76" s="115">
        <f t="shared" si="4"/>
        <v>821235</v>
      </c>
      <c r="M76" s="146">
        <f t="shared" si="5"/>
        <v>63785322.450000003</v>
      </c>
      <c r="N76" s="119"/>
    </row>
    <row r="77" spans="2:14" ht="15" customHeight="1" x14ac:dyDescent="0.25">
      <c r="B77" s="86" t="s">
        <v>143</v>
      </c>
      <c r="C77" s="87" t="s">
        <v>120</v>
      </c>
      <c r="D77" s="82" t="s">
        <v>13</v>
      </c>
      <c r="E77" s="83">
        <v>139.68</v>
      </c>
      <c r="F77" s="88">
        <v>146012</v>
      </c>
      <c r="G77" s="89">
        <f t="shared" si="3"/>
        <v>20394956.16</v>
      </c>
      <c r="H77" s="118" t="str">
        <f t="array" ref="H77:K77">_xlfn.XLOOKUP(C77,'ESAP NEIVA FASE II UNIFICADO'!$C$6:$C$720,'ESAP NEIVA FASE II UNIFICADO'!$C$6:$F$720,"NO ESTA")</f>
        <v>MURO EN LADRILLO GRAN FORMATO e= 0.12 m Ref. Tierra Ver. Planos Tipo Muro M-6</v>
      </c>
      <c r="I77" t="str">
        <v>M2</v>
      </c>
      <c r="J77">
        <v>79.69</v>
      </c>
      <c r="K77">
        <v>141317</v>
      </c>
      <c r="L77" s="115">
        <f t="shared" si="4"/>
        <v>146012</v>
      </c>
      <c r="M77" s="146">
        <f t="shared" si="5"/>
        <v>20394956.16</v>
      </c>
      <c r="N77" s="119"/>
    </row>
    <row r="78" spans="2:14" ht="15" customHeight="1" x14ac:dyDescent="0.25">
      <c r="B78" s="86" t="s">
        <v>144</v>
      </c>
      <c r="C78" s="87" t="s">
        <v>122</v>
      </c>
      <c r="D78" s="82" t="s">
        <v>13</v>
      </c>
      <c r="E78" s="83">
        <v>124.47</v>
      </c>
      <c r="F78" s="88">
        <v>292026</v>
      </c>
      <c r="G78" s="89">
        <f t="shared" si="3"/>
        <v>36348476.219999999</v>
      </c>
      <c r="H78" s="118" t="str">
        <f t="array" ref="H78:K78">_xlfn.XLOOKUP(C78,'ESAP NEIVA FASE II UNIFICADO'!$C$6:$C$720,'ESAP NEIVA FASE II UNIFICADO'!$C$6:$F$720,"NO ESTA")</f>
        <v xml:space="preserve">MURO EN LADRILLO GRAN FORMATO e= 0.25 m Ref. Tierra Ver. Planos Tipo Muro M-7 </v>
      </c>
      <c r="I78" t="str">
        <v>M2</v>
      </c>
      <c r="J78">
        <v>21.32</v>
      </c>
      <c r="K78">
        <v>186538</v>
      </c>
      <c r="L78" s="115">
        <f t="shared" si="4"/>
        <v>292026</v>
      </c>
      <c r="M78" s="146">
        <f t="shared" si="5"/>
        <v>36348476.219999999</v>
      </c>
      <c r="N78" s="119"/>
    </row>
    <row r="79" spans="2:14" ht="12.75" customHeight="1" x14ac:dyDescent="0.25">
      <c r="B79" s="74">
        <v>6</v>
      </c>
      <c r="C79" s="75" t="s">
        <v>145</v>
      </c>
      <c r="D79" s="76"/>
      <c r="E79" s="77"/>
      <c r="F79" s="78"/>
      <c r="G79" s="89">
        <f t="shared" si="3"/>
        <v>0</v>
      </c>
      <c r="H79" s="118" t="str">
        <f t="array" ref="H79:K79">_xlfn.XLOOKUP(C79,'ESAP NEIVA FASE II UNIFICADO'!$C$6:$C$720,'ESAP NEIVA FASE II UNIFICADO'!$C$6:$F$720,"NO ESTA")</f>
        <v>ACABADOS DE PISOS</v>
      </c>
      <c r="I79">
        <v>0</v>
      </c>
      <c r="J79">
        <v>0</v>
      </c>
      <c r="K79">
        <v>0</v>
      </c>
      <c r="L79" s="115">
        <f t="shared" si="4"/>
        <v>0</v>
      </c>
      <c r="M79" s="146">
        <f t="shared" si="5"/>
        <v>0</v>
      </c>
      <c r="N79" s="119"/>
    </row>
    <row r="80" spans="2:14" ht="15" customHeight="1" x14ac:dyDescent="0.25">
      <c r="B80" s="80" t="s">
        <v>146</v>
      </c>
      <c r="C80" s="81" t="s">
        <v>147</v>
      </c>
      <c r="D80" s="82"/>
      <c r="E80" s="83"/>
      <c r="F80" s="90"/>
      <c r="G80" s="89">
        <f t="shared" si="3"/>
        <v>0</v>
      </c>
      <c r="H80" s="118" t="str">
        <f t="array" ref="H80:K80">_xlfn.XLOOKUP(C80,'ESAP NEIVA FASE II UNIFICADO'!$C$6:$C$720,'ESAP NEIVA FASE II UNIFICADO'!$C$6:$F$720,"NO ESTA")</f>
        <v>SUMINISTRO E INSTALACIÓN PISOS SEMISOTANO</v>
      </c>
      <c r="I80">
        <v>0</v>
      </c>
      <c r="J80">
        <v>0</v>
      </c>
      <c r="K80">
        <v>0</v>
      </c>
      <c r="L80" s="115">
        <f t="shared" si="4"/>
        <v>0</v>
      </c>
      <c r="M80" s="146">
        <f t="shared" si="5"/>
        <v>0</v>
      </c>
      <c r="N80" s="119"/>
    </row>
    <row r="81" spans="2:14" ht="23.25" customHeight="1" x14ac:dyDescent="0.25">
      <c r="B81" s="86" t="s">
        <v>148</v>
      </c>
      <c r="C81" s="87" t="s">
        <v>149</v>
      </c>
      <c r="D81" s="82" t="s">
        <v>13</v>
      </c>
      <c r="E81" s="83">
        <v>457.19</v>
      </c>
      <c r="F81" s="88">
        <v>89579</v>
      </c>
      <c r="G81" s="89">
        <f t="shared" si="3"/>
        <v>40954623.009999998</v>
      </c>
      <c r="H81" s="118" t="str">
        <f t="array" ref="H81:K81">_xlfn.XLOOKUP(C81,'ESAP NEIVA FASE II UNIFICADO'!$C$6:$C$720,'ESAP NEIVA FASE II UNIFICADO'!$C$6:$F$720,"NO ESTA")</f>
        <v xml:space="preserve">ANDEN INTERNO EN CONCRETO DE 2500 PSI CON ACABADO CEMENTO PULIDO Ref. Planos 03318 </v>
      </c>
      <c r="I81" t="str">
        <v>M2</v>
      </c>
      <c r="J81">
        <v>0</v>
      </c>
      <c r="K81">
        <v>89287</v>
      </c>
      <c r="L81" s="115">
        <f t="shared" si="4"/>
        <v>89579</v>
      </c>
      <c r="M81" s="146">
        <f t="shared" si="5"/>
        <v>40954623.009999998</v>
      </c>
      <c r="N81" s="119"/>
    </row>
    <row r="82" spans="2:14" ht="15" customHeight="1" x14ac:dyDescent="0.25">
      <c r="B82" s="86" t="s">
        <v>150</v>
      </c>
      <c r="C82" s="87" t="s">
        <v>151</v>
      </c>
      <c r="D82" s="82" t="s">
        <v>13</v>
      </c>
      <c r="E82" s="83">
        <v>1963.08</v>
      </c>
      <c r="F82" s="88">
        <v>7314</v>
      </c>
      <c r="G82" s="89">
        <f t="shared" si="3"/>
        <v>14357967.119999999</v>
      </c>
      <c r="H82" s="118" t="str">
        <f t="array" ref="H82:K82">_xlfn.XLOOKUP(C82,'ESAP NEIVA FASE II UNIFICADO'!$C$6:$C$720,'ESAP NEIVA FASE II UNIFICADO'!$C$6:$F$720,"NO ESTA")</f>
        <v>ACABADO DE PISO DE CONCRETO GRIS PULIDO   Ref. Planos 09650-1</v>
      </c>
      <c r="I82" t="str">
        <v>M2</v>
      </c>
      <c r="J82">
        <v>0</v>
      </c>
      <c r="K82">
        <v>8211</v>
      </c>
      <c r="L82" s="115">
        <f t="shared" si="4"/>
        <v>8211</v>
      </c>
      <c r="M82" s="146">
        <f t="shared" si="5"/>
        <v>16118849.879999999</v>
      </c>
      <c r="N82" s="119"/>
    </row>
    <row r="83" spans="2:14" ht="22.5" customHeight="1" x14ac:dyDescent="0.25">
      <c r="B83" s="86" t="s">
        <v>152</v>
      </c>
      <c r="C83" s="147" t="s">
        <v>153</v>
      </c>
      <c r="D83" s="82" t="s">
        <v>13</v>
      </c>
      <c r="E83" s="83">
        <v>1.4</v>
      </c>
      <c r="F83" s="88">
        <v>102488</v>
      </c>
      <c r="G83" s="89">
        <f t="shared" si="3"/>
        <v>143483.20000000001</v>
      </c>
      <c r="H83" s="118" t="str">
        <f t="array" ref="H83:K83">_xlfn.XLOOKUP(C83,'ESAP NEIVA FASE II UNIFICADO'!$C$6:$C$720,'ESAP NEIVA FASE II UNIFICADO'!$C$6:$F$720,"NO ESTA")</f>
        <v>SUMINISTRO E INSTALACION PISO TABLETA ZONAS COMUNES Incluye ALISTADO Referencia  ALFA 30 X 30 HUILA Ref. Planos 09610.1</v>
      </c>
      <c r="I83" t="str">
        <v>M2</v>
      </c>
      <c r="J83">
        <v>0</v>
      </c>
      <c r="K83">
        <v>108210</v>
      </c>
      <c r="L83" s="115">
        <f t="shared" si="4"/>
        <v>108210</v>
      </c>
      <c r="M83" s="146">
        <f t="shared" si="5"/>
        <v>151494</v>
      </c>
      <c r="N83" s="119"/>
    </row>
    <row r="84" spans="2:14" ht="15" customHeight="1" x14ac:dyDescent="0.25">
      <c r="B84" s="80" t="s">
        <v>154</v>
      </c>
      <c r="C84" s="81" t="s">
        <v>155</v>
      </c>
      <c r="D84" s="82"/>
      <c r="E84" s="83"/>
      <c r="F84" s="90"/>
      <c r="G84" s="89">
        <f t="shared" si="3"/>
        <v>0</v>
      </c>
      <c r="H84" s="118" t="str">
        <f t="array" ref="H84:K84">_xlfn.XLOOKUP(C84,'ESAP NEIVA FASE II UNIFICADO'!$C$6:$C$720,'ESAP NEIVA FASE II UNIFICADO'!$C$6:$F$720,"NO ESTA")</f>
        <v>SUMINISTRO E INSTALACIÓN DE PISOS ESPACIO PUBLICO</v>
      </c>
      <c r="I84">
        <v>0</v>
      </c>
      <c r="J84">
        <v>0</v>
      </c>
      <c r="K84">
        <v>0</v>
      </c>
      <c r="L84" s="115">
        <f t="shared" si="4"/>
        <v>0</v>
      </c>
      <c r="M84" s="146">
        <f t="shared" si="5"/>
        <v>0</v>
      </c>
      <c r="N84" s="119"/>
    </row>
    <row r="85" spans="2:14" ht="36.75" customHeight="1" x14ac:dyDescent="0.25">
      <c r="B85" s="86" t="s">
        <v>156</v>
      </c>
      <c r="C85" s="147" t="s">
        <v>157</v>
      </c>
      <c r="D85" s="82" t="s">
        <v>13</v>
      </c>
      <c r="E85" s="83">
        <v>45.8</v>
      </c>
      <c r="F85" s="88">
        <v>84865</v>
      </c>
      <c r="G85" s="89">
        <f t="shared" si="3"/>
        <v>3886817</v>
      </c>
      <c r="H85" s="118" t="str">
        <f t="array" ref="H85:K85">_xlfn.XLOOKUP(C85,'ESAP NEIVA FASE II UNIFICADO'!$C$6:$C$720,'ESAP NEIVA FASE II UNIFICADO'!$C$6:$F$720,"NO ESTA")</f>
        <v>SUMINISTRO E INSTALACION ANDEN EN LOSETA PREFABRICADA Referencia A50  GRIS 40 X 40 incluye alistadio - (Especificación Cartilla Andenes IDU-2011)</v>
      </c>
      <c r="I85" t="str">
        <v>M2</v>
      </c>
      <c r="J85">
        <v>1832.0720000000001</v>
      </c>
      <c r="K85">
        <v>91697</v>
      </c>
      <c r="L85" s="115">
        <f t="shared" si="4"/>
        <v>91697</v>
      </c>
      <c r="M85" s="146">
        <f t="shared" si="5"/>
        <v>4199722.5999999996</v>
      </c>
      <c r="N85" s="119"/>
    </row>
    <row r="86" spans="2:14" ht="21.75" customHeight="1" x14ac:dyDescent="0.25">
      <c r="B86" s="86" t="s">
        <v>158</v>
      </c>
      <c r="C86" s="87" t="s">
        <v>159</v>
      </c>
      <c r="D86" s="82" t="s">
        <v>13</v>
      </c>
      <c r="E86" s="83">
        <v>4.59</v>
      </c>
      <c r="F86" s="88">
        <v>89130</v>
      </c>
      <c r="G86" s="89">
        <f t="shared" si="3"/>
        <v>409106.7</v>
      </c>
      <c r="H86" s="118" t="str">
        <f t="array" ref="H86:K86">_xlfn.XLOOKUP(C86,'ESAP NEIVA FASE II UNIFICADO'!$C$6:$C$720,'ESAP NEIVA FASE II UNIFICADO'!$C$6:$F$720,"NO ESTA")</f>
        <v>SUMINISTRO E INSTALACION JARDIN Ref. Planos A2900 (Incluye material aislante, impermeabilizante, tierra, abonos y plantas ornamentales)</v>
      </c>
      <c r="I86" t="str">
        <v>M2</v>
      </c>
      <c r="J86">
        <v>183.66400000000002</v>
      </c>
      <c r="K86">
        <v>96306</v>
      </c>
      <c r="L86" s="115">
        <f t="shared" si="4"/>
        <v>96306</v>
      </c>
      <c r="M86" s="146">
        <f t="shared" si="5"/>
        <v>442044.54</v>
      </c>
      <c r="N86" s="119"/>
    </row>
    <row r="87" spans="2:14" ht="15" customHeight="1" x14ac:dyDescent="0.25">
      <c r="B87" s="80" t="s">
        <v>160</v>
      </c>
      <c r="C87" s="81" t="s">
        <v>161</v>
      </c>
      <c r="D87" s="82"/>
      <c r="E87" s="83"/>
      <c r="F87" s="90"/>
      <c r="G87" s="89">
        <f t="shared" si="3"/>
        <v>0</v>
      </c>
      <c r="H87" s="118" t="str">
        <f t="array" ref="H87:K87">_xlfn.XLOOKUP(C87,'ESAP NEIVA FASE II UNIFICADO'!$C$6:$C$720,'ESAP NEIVA FASE II UNIFICADO'!$C$6:$F$720,"NO ESTA")</f>
        <v>SUMINISTRO E INSTALACIÓN DE PISOS PISO 1</v>
      </c>
      <c r="I87">
        <v>0</v>
      </c>
      <c r="J87">
        <v>0</v>
      </c>
      <c r="K87">
        <v>0</v>
      </c>
      <c r="L87" s="115">
        <f t="shared" si="4"/>
        <v>0</v>
      </c>
      <c r="M87" s="146">
        <f t="shared" si="5"/>
        <v>0</v>
      </c>
      <c r="N87" s="119"/>
    </row>
    <row r="88" spans="2:14" ht="27" customHeight="1" x14ac:dyDescent="0.25">
      <c r="B88" s="86" t="s">
        <v>162</v>
      </c>
      <c r="C88" s="147" t="s">
        <v>153</v>
      </c>
      <c r="D88" s="82" t="s">
        <v>13</v>
      </c>
      <c r="E88" s="83">
        <v>718.89</v>
      </c>
      <c r="F88" s="88">
        <v>102488</v>
      </c>
      <c r="G88" s="89">
        <f t="shared" si="3"/>
        <v>73677598.319999993</v>
      </c>
      <c r="H88" s="118" t="str">
        <f t="array" ref="H88:K88">_xlfn.XLOOKUP(C88,'ESAP NEIVA FASE II UNIFICADO'!$C$6:$C$720,'ESAP NEIVA FASE II UNIFICADO'!$C$6:$F$720,"NO ESTA")</f>
        <v>SUMINISTRO E INSTALACION PISO TABLETA ZONAS COMUNES Incluye ALISTADO Referencia  ALFA 30 X 30 HUILA Ref. Planos 09610.1</v>
      </c>
      <c r="I88" t="str">
        <v>M2</v>
      </c>
      <c r="J88">
        <v>0</v>
      </c>
      <c r="K88">
        <v>108210</v>
      </c>
      <c r="L88" s="115">
        <f t="shared" si="4"/>
        <v>108210</v>
      </c>
      <c r="M88" s="146">
        <f t="shared" si="5"/>
        <v>77791086.900000006</v>
      </c>
      <c r="N88" s="119"/>
    </row>
    <row r="89" spans="2:14" ht="25.5" customHeight="1" x14ac:dyDescent="0.25">
      <c r="B89" s="86" t="s">
        <v>163</v>
      </c>
      <c r="C89" s="149" t="s">
        <v>164</v>
      </c>
      <c r="D89" s="82" t="s">
        <v>13</v>
      </c>
      <c r="E89" s="83">
        <v>576.27</v>
      </c>
      <c r="F89" s="88">
        <v>67225</v>
      </c>
      <c r="G89" s="89">
        <f t="shared" si="3"/>
        <v>38739750.75</v>
      </c>
      <c r="H89" s="118" t="str">
        <f t="array" ref="H89:K89">_xlfn.XLOOKUP(C89,'ESAP NEIVA FASE II UNIFICADO'!$C$6:$C$720,'ESAP NEIVA FASE II UNIFICADO'!$C$6:$F$720,"NO ESTA")</f>
        <v>SUMINISTRO E INSTALACION PISO LOSETA PREFABRICADA GRIS Referencia A30 DE 40X60 - (Especificación Cartilla Andenes IDU-2011)  Ref. Planos 09620.8</v>
      </c>
      <c r="I89" t="str">
        <v>M2</v>
      </c>
      <c r="J89">
        <v>230.83</v>
      </c>
      <c r="K89">
        <v>70614</v>
      </c>
      <c r="L89" s="115">
        <f t="shared" si="4"/>
        <v>70614</v>
      </c>
      <c r="M89" s="146">
        <f t="shared" si="5"/>
        <v>40692729.780000001</v>
      </c>
      <c r="N89" s="119"/>
    </row>
    <row r="90" spans="2:14" ht="15" customHeight="1" x14ac:dyDescent="0.25">
      <c r="B90" s="86" t="s">
        <v>165</v>
      </c>
      <c r="C90" s="87" t="s">
        <v>166</v>
      </c>
      <c r="D90" s="82" t="s">
        <v>13</v>
      </c>
      <c r="E90" s="83">
        <v>33.11</v>
      </c>
      <c r="F90" s="88">
        <v>45103</v>
      </c>
      <c r="G90" s="89">
        <f t="shared" si="3"/>
        <v>1493360.33</v>
      </c>
      <c r="H90" s="118" t="str">
        <f t="array" ref="H90:K90">_xlfn.XLOOKUP(C90,'ESAP NEIVA FASE II UNIFICADO'!$C$6:$C$720,'ESAP NEIVA FASE II UNIFICADO'!$C$6:$F$720,"NO ESTA")</f>
        <v>SUMINISTRO E INSTALACION PISO EN VINILO GRIS TARIMA Ref. Planos 09650.1</v>
      </c>
      <c r="I90" t="str">
        <v>M2</v>
      </c>
      <c r="J90">
        <v>11.069999999999999</v>
      </c>
      <c r="K90">
        <v>47066</v>
      </c>
      <c r="L90" s="115">
        <f t="shared" si="4"/>
        <v>47066</v>
      </c>
      <c r="M90" s="146">
        <f t="shared" si="5"/>
        <v>1558355.26</v>
      </c>
      <c r="N90" s="119"/>
    </row>
    <row r="91" spans="2:14" ht="22.5" customHeight="1" x14ac:dyDescent="0.25">
      <c r="B91" s="86" t="s">
        <v>167</v>
      </c>
      <c r="C91" s="87" t="s">
        <v>168</v>
      </c>
      <c r="D91" s="82" t="s">
        <v>13</v>
      </c>
      <c r="E91" s="83">
        <v>297.04000000000002</v>
      </c>
      <c r="F91" s="88">
        <v>97000</v>
      </c>
      <c r="G91" s="89">
        <f t="shared" si="3"/>
        <v>28812880</v>
      </c>
      <c r="H91" s="118" t="str">
        <f t="array" ref="H91:K91">_xlfn.XLOOKUP(C91,'ESAP NEIVA FASE II UNIFICADO'!$C$6:$C$720,'ESAP NEIVA FASE II UNIFICADO'!$C$6:$F$720,"NO ESTA")</f>
        <v>SUMINISTRO E INSTALACION PISO EN ALFOMBRA Referencia TRAFICO PESADO Ref. Planos 09680.A1</v>
      </c>
      <c r="I91" t="str">
        <v>M2</v>
      </c>
      <c r="J91">
        <v>12.31</v>
      </c>
      <c r="K91">
        <v>102069</v>
      </c>
      <c r="L91" s="115">
        <f t="shared" si="4"/>
        <v>102069</v>
      </c>
      <c r="M91" s="146">
        <f t="shared" si="5"/>
        <v>30318575.760000002</v>
      </c>
      <c r="N91" s="119"/>
    </row>
    <row r="92" spans="2:14" ht="23.25" customHeight="1" x14ac:dyDescent="0.25">
      <c r="B92" s="86" t="s">
        <v>169</v>
      </c>
      <c r="C92" s="87" t="s">
        <v>159</v>
      </c>
      <c r="D92" s="82" t="s">
        <v>13</v>
      </c>
      <c r="E92" s="83">
        <v>145.79</v>
      </c>
      <c r="F92" s="88">
        <v>89130</v>
      </c>
      <c r="G92" s="89">
        <f t="shared" si="3"/>
        <v>12994262.699999999</v>
      </c>
      <c r="H92" s="118" t="str">
        <f t="array" ref="H92:K92">_xlfn.XLOOKUP(C92,'ESAP NEIVA FASE II UNIFICADO'!$C$6:$C$720,'ESAP NEIVA FASE II UNIFICADO'!$C$6:$F$720,"NO ESTA")</f>
        <v>SUMINISTRO E INSTALACION JARDIN Ref. Planos A2900 (Incluye material aislante, impermeabilizante, tierra, abonos y plantas ornamentales)</v>
      </c>
      <c r="I92" t="str">
        <v>M2</v>
      </c>
      <c r="J92">
        <v>183.66400000000002</v>
      </c>
      <c r="K92">
        <v>96306</v>
      </c>
      <c r="L92" s="115">
        <f t="shared" si="4"/>
        <v>96306</v>
      </c>
      <c r="M92" s="146">
        <f t="shared" si="5"/>
        <v>14040451.739999998</v>
      </c>
      <c r="N92" s="119"/>
    </row>
    <row r="93" spans="2:14" ht="15" customHeight="1" x14ac:dyDescent="0.25">
      <c r="B93" s="80" t="s">
        <v>170</v>
      </c>
      <c r="C93" s="81" t="s">
        <v>171</v>
      </c>
      <c r="D93" s="82"/>
      <c r="E93" s="83"/>
      <c r="F93" s="90"/>
      <c r="G93" s="89">
        <f t="shared" si="3"/>
        <v>0</v>
      </c>
      <c r="H93" s="118" t="str">
        <f t="array" ref="H93:K93">_xlfn.XLOOKUP(C93,'ESAP NEIVA FASE II UNIFICADO'!$C$6:$C$720,'ESAP NEIVA FASE II UNIFICADO'!$C$6:$F$720,"NO ESTA")</f>
        <v>SUMINISTRO E INSTALACIÓN DE PISOS PISO 2</v>
      </c>
      <c r="I93">
        <v>0</v>
      </c>
      <c r="J93">
        <v>0</v>
      </c>
      <c r="K93">
        <v>0</v>
      </c>
      <c r="L93" s="115">
        <f t="shared" si="4"/>
        <v>0</v>
      </c>
      <c r="M93" s="146">
        <f t="shared" si="5"/>
        <v>0</v>
      </c>
      <c r="N93" s="119"/>
    </row>
    <row r="94" spans="2:14" ht="22.5" customHeight="1" x14ac:dyDescent="0.25">
      <c r="B94" s="86" t="s">
        <v>172</v>
      </c>
      <c r="C94" s="147" t="s">
        <v>153</v>
      </c>
      <c r="D94" s="82" t="s">
        <v>13</v>
      </c>
      <c r="E94" s="83">
        <v>1039</v>
      </c>
      <c r="F94" s="88">
        <v>102488</v>
      </c>
      <c r="G94" s="89">
        <f t="shared" si="3"/>
        <v>106485032</v>
      </c>
      <c r="H94" s="118" t="str">
        <f t="array" ref="H94:K94">_xlfn.XLOOKUP(C94,'ESAP NEIVA FASE II UNIFICADO'!$C$6:$C$720,'ESAP NEIVA FASE II UNIFICADO'!$C$6:$F$720,"NO ESTA")</f>
        <v>SUMINISTRO E INSTALACION PISO TABLETA ZONAS COMUNES Incluye ALISTADO Referencia  ALFA 30 X 30 HUILA Ref. Planos 09610.1</v>
      </c>
      <c r="I94" t="str">
        <v>M2</v>
      </c>
      <c r="J94">
        <v>0</v>
      </c>
      <c r="K94">
        <v>108210</v>
      </c>
      <c r="L94" s="115">
        <f t="shared" si="4"/>
        <v>108210</v>
      </c>
      <c r="M94" s="146">
        <f t="shared" si="5"/>
        <v>112430190</v>
      </c>
      <c r="N94" s="119"/>
    </row>
    <row r="95" spans="2:14" ht="26.25" customHeight="1" x14ac:dyDescent="0.25">
      <c r="B95" s="86" t="s">
        <v>173</v>
      </c>
      <c r="C95" s="149" t="s">
        <v>164</v>
      </c>
      <c r="D95" s="82" t="s">
        <v>13</v>
      </c>
      <c r="E95" s="83">
        <v>190.12</v>
      </c>
      <c r="F95" s="88">
        <v>67225</v>
      </c>
      <c r="G95" s="89">
        <f t="shared" si="3"/>
        <v>12780817</v>
      </c>
      <c r="H95" s="118" t="str">
        <f t="array" ref="H95:K95">_xlfn.XLOOKUP(C95,'ESAP NEIVA FASE II UNIFICADO'!$C$6:$C$720,'ESAP NEIVA FASE II UNIFICADO'!$C$6:$F$720,"NO ESTA")</f>
        <v>SUMINISTRO E INSTALACION PISO LOSETA PREFABRICADA GRIS Referencia A30 DE 40X60 - (Especificación Cartilla Andenes IDU-2011)  Ref. Planos 09620.8</v>
      </c>
      <c r="I95" t="str">
        <v>M2</v>
      </c>
      <c r="J95">
        <v>230.83</v>
      </c>
      <c r="K95">
        <v>70614</v>
      </c>
      <c r="L95" s="115">
        <f t="shared" si="4"/>
        <v>70614</v>
      </c>
      <c r="M95" s="146">
        <f t="shared" si="5"/>
        <v>13425133.68</v>
      </c>
      <c r="N95" s="119"/>
    </row>
    <row r="96" spans="2:14" ht="26.25" customHeight="1" x14ac:dyDescent="0.25">
      <c r="B96" s="86" t="s">
        <v>174</v>
      </c>
      <c r="C96" s="87" t="s">
        <v>159</v>
      </c>
      <c r="D96" s="82" t="s">
        <v>13</v>
      </c>
      <c r="E96" s="83">
        <v>110.24</v>
      </c>
      <c r="F96" s="88">
        <v>89130</v>
      </c>
      <c r="G96" s="89">
        <f t="shared" si="3"/>
        <v>9825691.1999999993</v>
      </c>
      <c r="H96" s="118" t="str">
        <f t="array" ref="H96:K96">_xlfn.XLOOKUP(C96,'ESAP NEIVA FASE II UNIFICADO'!$C$6:$C$720,'ESAP NEIVA FASE II UNIFICADO'!$C$6:$F$720,"NO ESTA")</f>
        <v>SUMINISTRO E INSTALACION JARDIN Ref. Planos A2900 (Incluye material aislante, impermeabilizante, tierra, abonos y plantas ornamentales)</v>
      </c>
      <c r="I96" t="str">
        <v>M2</v>
      </c>
      <c r="J96">
        <v>183.66400000000002</v>
      </c>
      <c r="K96">
        <v>96306</v>
      </c>
      <c r="L96" s="115">
        <f t="shared" si="4"/>
        <v>96306</v>
      </c>
      <c r="M96" s="146">
        <f t="shared" si="5"/>
        <v>10616773.439999999</v>
      </c>
      <c r="N96" s="119"/>
    </row>
    <row r="97" spans="2:14" ht="16.5" customHeight="1" x14ac:dyDescent="0.25">
      <c r="B97" s="74">
        <v>7</v>
      </c>
      <c r="C97" s="75" t="s">
        <v>175</v>
      </c>
      <c r="D97" s="76"/>
      <c r="E97" s="77"/>
      <c r="F97" s="78"/>
      <c r="G97" s="89">
        <f t="shared" si="3"/>
        <v>0</v>
      </c>
      <c r="H97" s="118" t="str">
        <f t="array" ref="H97:K97">_xlfn.XLOOKUP(C97,'ESAP NEIVA FASE II UNIFICADO'!$C$6:$C$720,'ESAP NEIVA FASE II UNIFICADO'!$C$6:$F$720,"NO ESTA")</f>
        <v>VENTANERIA</v>
      </c>
      <c r="I97">
        <v>0</v>
      </c>
      <c r="J97">
        <v>0</v>
      </c>
      <c r="K97">
        <v>0</v>
      </c>
      <c r="L97" s="115">
        <f t="shared" si="4"/>
        <v>0</v>
      </c>
      <c r="M97" s="146">
        <f t="shared" si="5"/>
        <v>0</v>
      </c>
      <c r="N97" s="119"/>
    </row>
    <row r="98" spans="2:14" ht="15" customHeight="1" x14ac:dyDescent="0.25">
      <c r="B98" s="80" t="s">
        <v>176</v>
      </c>
      <c r="C98" s="81" t="s">
        <v>177</v>
      </c>
      <c r="D98" s="82"/>
      <c r="E98" s="83"/>
      <c r="F98" s="90"/>
      <c r="G98" s="89">
        <f t="shared" si="3"/>
        <v>0</v>
      </c>
      <c r="H98" s="118" t="str">
        <f t="array" ref="H98:K98">_xlfn.XLOOKUP(C98,'ESAP NEIVA FASE II UNIFICADO'!$C$6:$C$720,'ESAP NEIVA FASE II UNIFICADO'!$C$6:$F$720,"NO ESTA")</f>
        <v>SUMINISTRO E INSTALACION VENTANAS ESPACIO PUBLICO</v>
      </c>
      <c r="I98">
        <v>0</v>
      </c>
      <c r="J98">
        <v>0</v>
      </c>
      <c r="K98">
        <v>0</v>
      </c>
      <c r="L98" s="115">
        <f t="shared" si="4"/>
        <v>0</v>
      </c>
      <c r="M98" s="146">
        <f t="shared" si="5"/>
        <v>0</v>
      </c>
      <c r="N98" s="119"/>
    </row>
    <row r="99" spans="2:14" ht="27.75" customHeight="1" x14ac:dyDescent="0.25">
      <c r="B99" s="86" t="s">
        <v>178</v>
      </c>
      <c r="C99" s="87" t="s">
        <v>179</v>
      </c>
      <c r="D99" s="82" t="s">
        <v>13</v>
      </c>
      <c r="E99" s="83">
        <v>4.8600000000000003</v>
      </c>
      <c r="F99" s="88">
        <v>247547</v>
      </c>
      <c r="G99" s="89">
        <f t="shared" si="3"/>
        <v>1203078.42</v>
      </c>
      <c r="H99" s="118" t="str">
        <f t="array" ref="H99">_xlfn.XLOOKUP(C99,'ESAP NEIVA FASE II UNIFICADO'!$C$6:$C$720,'ESAP NEIVA FASE II UNIFICADO'!$C$6:$F$720,"NO ESTA")</f>
        <v>NO ESTA</v>
      </c>
      <c r="L99" s="115">
        <f t="shared" si="4"/>
        <v>247547</v>
      </c>
      <c r="M99" s="146">
        <f t="shared" si="5"/>
        <v>1203078.4200000002</v>
      </c>
      <c r="N99" s="119"/>
    </row>
    <row r="100" spans="2:14" ht="15" customHeight="1" x14ac:dyDescent="0.25">
      <c r="B100" s="80" t="s">
        <v>180</v>
      </c>
      <c r="C100" s="81" t="s">
        <v>181</v>
      </c>
      <c r="D100" s="82"/>
      <c r="E100" s="83"/>
      <c r="F100" s="90"/>
      <c r="G100" s="89">
        <f t="shared" si="3"/>
        <v>0</v>
      </c>
      <c r="H100" s="118" t="str">
        <f t="array" ref="H100:K100">_xlfn.XLOOKUP(C100,'ESAP NEIVA FASE II UNIFICADO'!$C$6:$C$720,'ESAP NEIVA FASE II UNIFICADO'!$C$6:$F$720,"NO ESTA")</f>
        <v>SUMINISTRO E INSTALACION VENTANAS PISO 1</v>
      </c>
      <c r="I100">
        <v>0</v>
      </c>
      <c r="J100">
        <v>0</v>
      </c>
      <c r="K100">
        <v>0</v>
      </c>
      <c r="L100" s="115">
        <f t="shared" si="4"/>
        <v>0</v>
      </c>
      <c r="M100" s="146">
        <f t="shared" si="5"/>
        <v>0</v>
      </c>
      <c r="N100" s="119"/>
    </row>
    <row r="101" spans="2:14" ht="25.5" customHeight="1" x14ac:dyDescent="0.25">
      <c r="B101" s="86" t="s">
        <v>182</v>
      </c>
      <c r="C101" s="147" t="s">
        <v>183</v>
      </c>
      <c r="D101" s="82" t="s">
        <v>13</v>
      </c>
      <c r="E101" s="83">
        <v>0.55000000000000004</v>
      </c>
      <c r="F101" s="88">
        <v>247547</v>
      </c>
      <c r="G101" s="89">
        <f t="shared" si="3"/>
        <v>136150.85</v>
      </c>
      <c r="H101" s="118" t="str">
        <f t="array" ref="H101:K101">_xlfn.XLOOKUP(C101,'ESAP NEIVA FASE II UNIFICADO'!$C$6:$C$720,'ESAP NEIVA FASE II UNIFICADO'!$C$6:$F$720,"NO ESTA")</f>
        <v>SUMINISTRO E INSTALACION VENTANA EN ALUMINIO o similar TIPO V3 Incluye VIDRIO Referencia SOLARBAN Ver NOTAS GENERALES DE PLANCHA</v>
      </c>
      <c r="I101" t="str">
        <v>M2</v>
      </c>
      <c r="J101">
        <v>0</v>
      </c>
      <c r="K101">
        <v>267475</v>
      </c>
      <c r="L101" s="115">
        <f t="shared" si="4"/>
        <v>267475</v>
      </c>
      <c r="M101" s="146">
        <f t="shared" si="5"/>
        <v>147111.25</v>
      </c>
      <c r="N101" s="119"/>
    </row>
    <row r="102" spans="2:14" ht="25.5" customHeight="1" x14ac:dyDescent="0.25">
      <c r="B102" s="86" t="s">
        <v>184</v>
      </c>
      <c r="C102" s="87" t="s">
        <v>185</v>
      </c>
      <c r="D102" s="82" t="s">
        <v>13</v>
      </c>
      <c r="E102" s="83">
        <v>0.36</v>
      </c>
      <c r="F102" s="88">
        <v>247547</v>
      </c>
      <c r="G102" s="89">
        <f t="shared" si="3"/>
        <v>89116.92</v>
      </c>
      <c r="H102" s="118" t="str">
        <f t="array" ref="H102">_xlfn.XLOOKUP(C102,'ESAP NEIVA FASE II UNIFICADO'!$C$6:$C$720,'ESAP NEIVA FASE II UNIFICADO'!$C$6:$F$720,"NO ESTA")</f>
        <v>NO ESTA</v>
      </c>
      <c r="L102" s="115">
        <f t="shared" si="4"/>
        <v>247547</v>
      </c>
      <c r="M102" s="146">
        <f t="shared" si="5"/>
        <v>89116.92</v>
      </c>
      <c r="N102" s="119"/>
    </row>
    <row r="103" spans="2:14" ht="15" customHeight="1" x14ac:dyDescent="0.25">
      <c r="B103" s="80" t="s">
        <v>186</v>
      </c>
      <c r="C103" s="81" t="s">
        <v>187</v>
      </c>
      <c r="D103" s="82"/>
      <c r="E103" s="83"/>
      <c r="F103" s="90"/>
      <c r="G103" s="89">
        <f t="shared" si="3"/>
        <v>0</v>
      </c>
      <c r="H103" s="118" t="str">
        <f t="array" ref="H103:K103">_xlfn.XLOOKUP(C103,'ESAP NEIVA FASE II UNIFICADO'!$C$6:$C$720,'ESAP NEIVA FASE II UNIFICADO'!$C$6:$F$720,"NO ESTA")</f>
        <v>SUMINISTRO E INSTALACION VENTANAS PISO 2</v>
      </c>
      <c r="I103">
        <v>0</v>
      </c>
      <c r="J103">
        <v>0</v>
      </c>
      <c r="K103">
        <v>0</v>
      </c>
      <c r="L103" s="115">
        <f t="shared" si="4"/>
        <v>0</v>
      </c>
      <c r="M103" s="146">
        <f t="shared" si="5"/>
        <v>0</v>
      </c>
      <c r="N103" s="119"/>
    </row>
    <row r="104" spans="2:14" ht="25.5" customHeight="1" x14ac:dyDescent="0.25">
      <c r="B104" s="86" t="s">
        <v>188</v>
      </c>
      <c r="C104" s="147" t="s">
        <v>189</v>
      </c>
      <c r="D104" s="82" t="s">
        <v>13</v>
      </c>
      <c r="E104" s="83">
        <v>0.05</v>
      </c>
      <c r="F104" s="88">
        <v>247547</v>
      </c>
      <c r="G104" s="89">
        <f t="shared" si="3"/>
        <v>12377.35</v>
      </c>
      <c r="H104" s="118" t="str">
        <f t="array" ref="H104:K104">_xlfn.XLOOKUP(C104,'ESAP NEIVA FASE II UNIFICADO'!$C$6:$C$720,'ESAP NEIVA FASE II UNIFICADO'!$C$6:$F$720,"NO ESTA")</f>
        <v>SUMINISTRO E INSTALACION VENTANA EN ALUMINIO o similar TIPO V1 Incluye VIDRIO Referencia SOLARBAN Ver NOTAS GENERALES DE PLANCHA</v>
      </c>
      <c r="I104" t="str">
        <v>M2</v>
      </c>
      <c r="J104">
        <v>0</v>
      </c>
      <c r="K104">
        <v>267475</v>
      </c>
      <c r="L104" s="115">
        <f t="shared" si="4"/>
        <v>267475</v>
      </c>
      <c r="M104" s="146">
        <f t="shared" si="5"/>
        <v>13373.75</v>
      </c>
      <c r="N104" s="119"/>
    </row>
    <row r="105" spans="2:14" ht="25.5" customHeight="1" x14ac:dyDescent="0.25">
      <c r="B105" s="86" t="s">
        <v>190</v>
      </c>
      <c r="C105" s="149" t="s">
        <v>191</v>
      </c>
      <c r="D105" s="82" t="s">
        <v>13</v>
      </c>
      <c r="E105" s="83">
        <v>0.32</v>
      </c>
      <c r="F105" s="88">
        <v>247547</v>
      </c>
      <c r="G105" s="89">
        <f t="shared" si="3"/>
        <v>79215.039999999994</v>
      </c>
      <c r="H105" s="118" t="str">
        <f t="array" ref="H105:K105">_xlfn.XLOOKUP(C105,'ESAP NEIVA FASE II UNIFICADO'!$C$6:$C$720,'ESAP NEIVA FASE II UNIFICADO'!$C$6:$F$720,"NO ESTA")</f>
        <v>SUMINISTRO E INSTALACION VENTANA EN ALUMINIO o similar TIPO V2 Incluye VIDRIO Referencia SOLARBAN Ver NOTAS GENERALES DE PLANCHA</v>
      </c>
      <c r="I105" t="str">
        <v>M2</v>
      </c>
      <c r="J105">
        <v>0</v>
      </c>
      <c r="K105">
        <v>267475</v>
      </c>
      <c r="L105" s="115">
        <f t="shared" si="4"/>
        <v>267475</v>
      </c>
      <c r="M105" s="146">
        <f t="shared" si="5"/>
        <v>85592</v>
      </c>
      <c r="N105" s="119"/>
    </row>
    <row r="106" spans="2:14" ht="25.5" customHeight="1" x14ac:dyDescent="0.25">
      <c r="B106" s="86" t="s">
        <v>192</v>
      </c>
      <c r="C106" s="147" t="s">
        <v>183</v>
      </c>
      <c r="D106" s="82" t="s">
        <v>13</v>
      </c>
      <c r="E106" s="83">
        <v>0.48</v>
      </c>
      <c r="F106" s="88">
        <v>247547</v>
      </c>
      <c r="G106" s="89">
        <f t="shared" si="3"/>
        <v>118822.56</v>
      </c>
      <c r="H106" s="118" t="str">
        <f t="array" ref="H106:K106">_xlfn.XLOOKUP(C106,'ESAP NEIVA FASE II UNIFICADO'!$C$6:$C$720,'ESAP NEIVA FASE II UNIFICADO'!$C$6:$F$720,"NO ESTA")</f>
        <v>SUMINISTRO E INSTALACION VENTANA EN ALUMINIO o similar TIPO V3 Incluye VIDRIO Referencia SOLARBAN Ver NOTAS GENERALES DE PLANCHA</v>
      </c>
      <c r="I106" t="str">
        <v>M2</v>
      </c>
      <c r="J106">
        <v>0</v>
      </c>
      <c r="K106">
        <v>267475</v>
      </c>
      <c r="L106" s="115">
        <f t="shared" si="4"/>
        <v>267475</v>
      </c>
      <c r="M106" s="146">
        <f t="shared" si="5"/>
        <v>128388</v>
      </c>
      <c r="N106" s="119"/>
    </row>
    <row r="107" spans="2:14" ht="25.5" customHeight="1" x14ac:dyDescent="0.25">
      <c r="B107" s="86" t="s">
        <v>193</v>
      </c>
      <c r="C107" s="87" t="s">
        <v>185</v>
      </c>
      <c r="D107" s="82" t="s">
        <v>13</v>
      </c>
      <c r="E107" s="83">
        <v>0.12</v>
      </c>
      <c r="F107" s="88">
        <v>247547</v>
      </c>
      <c r="G107" s="89">
        <f t="shared" si="3"/>
        <v>29705.64</v>
      </c>
      <c r="H107" s="118" t="str">
        <f t="array" ref="H107">_xlfn.XLOOKUP(C107,'ESAP NEIVA FASE II UNIFICADO'!$C$6:$C$720,'ESAP NEIVA FASE II UNIFICADO'!$C$6:$F$720,"NO ESTA")</f>
        <v>NO ESTA</v>
      </c>
      <c r="L107" s="115">
        <f t="shared" si="4"/>
        <v>247547</v>
      </c>
      <c r="M107" s="146">
        <f t="shared" si="5"/>
        <v>29705.64</v>
      </c>
      <c r="N107" s="119"/>
    </row>
    <row r="108" spans="2:14" ht="25.5" customHeight="1" x14ac:dyDescent="0.25">
      <c r="B108" s="86" t="s">
        <v>194</v>
      </c>
      <c r="C108" s="147" t="s">
        <v>195</v>
      </c>
      <c r="D108" s="82" t="s">
        <v>13</v>
      </c>
      <c r="E108" s="83">
        <v>0.36</v>
      </c>
      <c r="F108" s="88">
        <v>247547</v>
      </c>
      <c r="G108" s="89">
        <f t="shared" si="3"/>
        <v>89116.92</v>
      </c>
      <c r="H108" s="118" t="str">
        <f t="array" ref="H108:K108">_xlfn.XLOOKUP(C108,'ESAP NEIVA FASE II UNIFICADO'!$C$6:$C$720,'ESAP NEIVA FASE II UNIFICADO'!$C$6:$F$720,"NO ESTA")</f>
        <v>SUMINISTRO E INSTALACION VENTANA EN ALUMINIO o similar TIPO V5 Incluye VIDRIO Referencia SOLARBAN Ver NOTAS GENERALES DE PLANCHA</v>
      </c>
      <c r="I108" t="str">
        <v>M2</v>
      </c>
      <c r="J108">
        <v>0</v>
      </c>
      <c r="K108">
        <v>267475</v>
      </c>
      <c r="L108" s="115">
        <f t="shared" si="4"/>
        <v>267475</v>
      </c>
      <c r="M108" s="146">
        <f t="shared" si="5"/>
        <v>96291</v>
      </c>
      <c r="N108" s="119"/>
    </row>
    <row r="109" spans="2:14" ht="15" customHeight="1" x14ac:dyDescent="0.25">
      <c r="B109" s="99">
        <v>8</v>
      </c>
      <c r="C109" s="100" t="s">
        <v>196</v>
      </c>
      <c r="D109" s="101"/>
      <c r="E109" s="102"/>
      <c r="F109" s="103"/>
      <c r="G109" s="89">
        <f t="shared" si="3"/>
        <v>0</v>
      </c>
      <c r="H109" s="118" t="str">
        <f t="array" ref="H109:K109">_xlfn.XLOOKUP(C109,'ESAP NEIVA FASE II UNIFICADO'!$C$6:$C$720,'ESAP NEIVA FASE II UNIFICADO'!$C$6:$F$720,"NO ESTA")</f>
        <v>VENTANALES</v>
      </c>
      <c r="I109">
        <v>0</v>
      </c>
      <c r="J109">
        <v>0</v>
      </c>
      <c r="K109">
        <v>0</v>
      </c>
      <c r="L109" s="115">
        <f t="shared" si="4"/>
        <v>0</v>
      </c>
      <c r="M109" s="146">
        <f t="shared" si="5"/>
        <v>0</v>
      </c>
      <c r="N109" s="119"/>
    </row>
    <row r="110" spans="2:14" ht="15" customHeight="1" x14ac:dyDescent="0.25">
      <c r="B110" s="80" t="s">
        <v>197</v>
      </c>
      <c r="C110" s="81" t="s">
        <v>198</v>
      </c>
      <c r="D110" s="82"/>
      <c r="E110" s="83"/>
      <c r="F110" s="90"/>
      <c r="G110" s="89">
        <f t="shared" si="3"/>
        <v>0</v>
      </c>
      <c r="H110" s="118" t="str">
        <f t="array" ref="H110:K110">_xlfn.XLOOKUP(C110,'ESAP NEIVA FASE II UNIFICADO'!$C$6:$C$720,'ESAP NEIVA FASE II UNIFICADO'!$C$6:$F$720,"NO ESTA")</f>
        <v>SUMINISTRO E INSTALACION VENTANALES PISO 1</v>
      </c>
      <c r="I110">
        <v>0</v>
      </c>
      <c r="J110">
        <v>0</v>
      </c>
      <c r="K110">
        <v>0</v>
      </c>
      <c r="L110" s="115">
        <f t="shared" si="4"/>
        <v>0</v>
      </c>
      <c r="M110" s="146">
        <f t="shared" si="5"/>
        <v>0</v>
      </c>
      <c r="N110" s="119"/>
    </row>
    <row r="111" spans="2:14" ht="25.5" customHeight="1" x14ac:dyDescent="0.25">
      <c r="B111" s="86" t="s">
        <v>199</v>
      </c>
      <c r="C111" s="87" t="s">
        <v>200</v>
      </c>
      <c r="D111" s="82" t="s">
        <v>13</v>
      </c>
      <c r="E111" s="83">
        <v>16.32</v>
      </c>
      <c r="F111" s="88">
        <v>288650</v>
      </c>
      <c r="G111" s="89">
        <f t="shared" si="3"/>
        <v>4710768</v>
      </c>
      <c r="H111" s="118" t="str">
        <f t="array" ref="H111:K111">_xlfn.XLOOKUP(C111,'ESAP NEIVA FASE II UNIFICADO'!$C$6:$C$720,'ESAP NEIVA FASE II UNIFICADO'!$C$6:$F$720,"NO ESTA")</f>
        <v>SUMINISTRO E INSTALACION VENTANAL INTERIOR EN ALUMINIO o similar TIPO V-0 Incluye VIDRIO Referencia TRASLUCIDO TEMPLADO 10MM Ver NOTAS GENERALES DE PLANCHA</v>
      </c>
      <c r="I111" t="str">
        <v>M2</v>
      </c>
      <c r="J111">
        <v>44.879999999999995</v>
      </c>
      <c r="K111">
        <v>311887</v>
      </c>
      <c r="L111" s="115">
        <f t="shared" si="4"/>
        <v>311887</v>
      </c>
      <c r="M111" s="146">
        <f t="shared" si="5"/>
        <v>5089995.84</v>
      </c>
      <c r="N111" s="119"/>
    </row>
    <row r="112" spans="2:14" ht="25.5" customHeight="1" x14ac:dyDescent="0.25">
      <c r="B112" s="86" t="s">
        <v>201</v>
      </c>
      <c r="C112" s="147" t="s">
        <v>202</v>
      </c>
      <c r="D112" s="82" t="s">
        <v>13</v>
      </c>
      <c r="E112" s="83">
        <v>111.43</v>
      </c>
      <c r="F112" s="88">
        <v>327106</v>
      </c>
      <c r="G112" s="89">
        <f t="shared" si="3"/>
        <v>36449421.579999998</v>
      </c>
      <c r="H112" s="118" t="str">
        <f t="array" ref="H112:K112">_xlfn.XLOOKUP(C112,'ESAP NEIVA FASE II UNIFICADO'!$C$6:$C$720,'ESAP NEIVA FASE II UNIFICADO'!$C$6:$F$720,"NO ESTA")</f>
        <v>SUMINISTRO E INSTALACION VENTANAL PERFIL 12cm EN ALUMINIO o similar TIPO V-1 Incluye VIDRIO Referencia SOLARBAN Ver NOTAS GENERALES DE PLANCHA</v>
      </c>
      <c r="I112" t="str">
        <v>M2</v>
      </c>
      <c r="J112">
        <v>111.41999999999999</v>
      </c>
      <c r="K112">
        <v>353438</v>
      </c>
      <c r="L112" s="115">
        <f t="shared" si="4"/>
        <v>353438</v>
      </c>
      <c r="M112" s="146">
        <f t="shared" si="5"/>
        <v>39383596.340000004</v>
      </c>
      <c r="N112" s="119"/>
    </row>
    <row r="113" spans="2:14" ht="25.5" customHeight="1" x14ac:dyDescent="0.25">
      <c r="B113" s="86" t="s">
        <v>203</v>
      </c>
      <c r="C113" s="149" t="s">
        <v>204</v>
      </c>
      <c r="D113" s="82" t="s">
        <v>13</v>
      </c>
      <c r="E113" s="83">
        <v>17.010000000000002</v>
      </c>
      <c r="F113" s="88">
        <v>342227</v>
      </c>
      <c r="G113" s="89">
        <f t="shared" si="3"/>
        <v>5821281.2699999996</v>
      </c>
      <c r="H113" s="118" t="str">
        <f t="array" ref="H113:K113">_xlfn.XLOOKUP(C113,'ESAP NEIVA FASE II UNIFICADO'!$C$6:$C$720,'ESAP NEIVA FASE II UNIFICADO'!$C$6:$F$720,"NO ESTA")</f>
        <v>SUMINISTRO E INSTALACION VENTANAL DOBLE ALTURA EN ALUMINIO o similar TIPO V-4 Incluye VIDRIO Referencia SOLARBAN Ver NOTAS GENERALES DE PLANCHA</v>
      </c>
      <c r="I113" t="str">
        <v>M2</v>
      </c>
      <c r="J113">
        <v>17.010000000000002</v>
      </c>
      <c r="K113">
        <v>369778</v>
      </c>
      <c r="L113" s="115">
        <f t="shared" si="4"/>
        <v>369778</v>
      </c>
      <c r="M113" s="146">
        <f t="shared" si="5"/>
        <v>6289923.7800000003</v>
      </c>
      <c r="N113" s="119"/>
    </row>
    <row r="114" spans="2:14" ht="25.5" customHeight="1" x14ac:dyDescent="0.25">
      <c r="B114" s="86" t="s">
        <v>205</v>
      </c>
      <c r="C114" s="149" t="s">
        <v>206</v>
      </c>
      <c r="D114" s="82" t="s">
        <v>13</v>
      </c>
      <c r="E114" s="83">
        <v>13.07</v>
      </c>
      <c r="F114" s="88">
        <v>342227</v>
      </c>
      <c r="G114" s="89">
        <f t="shared" si="3"/>
        <v>4472906.8899999997</v>
      </c>
      <c r="H114" s="118" t="str">
        <f t="array" ref="H114:K114">_xlfn.XLOOKUP(C114,'ESAP NEIVA FASE II UNIFICADO'!$C$6:$C$720,'ESAP NEIVA FASE II UNIFICADO'!$C$6:$F$720,"NO ESTA")</f>
        <v>SUMINISTRO E INSTALACIONVENTANAL DOBLE ALTURA LIBRE EN ALUMINIO o similar TIPO V-5 Incluye VIDRIO Referencia SOLARBAN Ver NOTAS GENERALES DE PLANCHA</v>
      </c>
      <c r="I114" t="str">
        <v>M2</v>
      </c>
      <c r="J114">
        <v>13.059999999999999</v>
      </c>
      <c r="K114">
        <v>369778</v>
      </c>
      <c r="L114" s="115">
        <f t="shared" si="4"/>
        <v>369778</v>
      </c>
      <c r="M114" s="146">
        <f t="shared" si="5"/>
        <v>4832998.46</v>
      </c>
      <c r="N114" s="119"/>
    </row>
    <row r="115" spans="2:14" ht="15" customHeight="1" x14ac:dyDescent="0.25">
      <c r="B115" s="80" t="s">
        <v>207</v>
      </c>
      <c r="C115" s="81" t="s">
        <v>208</v>
      </c>
      <c r="D115" s="82"/>
      <c r="E115" s="83"/>
      <c r="F115" s="90"/>
      <c r="G115" s="89">
        <f t="shared" si="3"/>
        <v>0</v>
      </c>
      <c r="H115" s="118" t="str">
        <f t="array" ref="H115:K115">_xlfn.XLOOKUP(C115,'ESAP NEIVA FASE II UNIFICADO'!$C$6:$C$720,'ESAP NEIVA FASE II UNIFICADO'!$C$6:$F$720,"NO ESTA")</f>
        <v>SUMINISTRO E INSTALACION VENTANALES PISO 2</v>
      </c>
      <c r="I115">
        <v>0</v>
      </c>
      <c r="J115">
        <v>0</v>
      </c>
      <c r="K115">
        <v>0</v>
      </c>
      <c r="L115" s="115">
        <f t="shared" si="4"/>
        <v>0</v>
      </c>
      <c r="M115" s="146">
        <f t="shared" si="5"/>
        <v>0</v>
      </c>
      <c r="N115" s="119"/>
    </row>
    <row r="116" spans="2:14" ht="25.5" customHeight="1" x14ac:dyDescent="0.25">
      <c r="B116" s="86" t="s">
        <v>209</v>
      </c>
      <c r="C116" s="87" t="s">
        <v>210</v>
      </c>
      <c r="D116" s="82" t="s">
        <v>13</v>
      </c>
      <c r="E116" s="83">
        <v>21.89</v>
      </c>
      <c r="F116" s="88">
        <v>228879</v>
      </c>
      <c r="G116" s="89">
        <f t="shared" si="3"/>
        <v>5010161.3099999996</v>
      </c>
      <c r="H116" s="118" t="str">
        <f t="array" ref="H116:K116">_xlfn.XLOOKUP(C116,'ESAP NEIVA FASE II UNIFICADO'!$C$6:$C$720,'ESAP NEIVA FASE II UNIFICADO'!$C$6:$F$720,"NO ESTA")</f>
        <v>SUMINISTRO E INSTALACION CORTASOL Referencia 84R TIPO CS-1 Ver NOTAS GENERALES DE PLANCHA</v>
      </c>
      <c r="I116" t="str">
        <v>M2</v>
      </c>
      <c r="J116">
        <v>221.89</v>
      </c>
      <c r="K116">
        <v>247305</v>
      </c>
      <c r="L116" s="115">
        <f t="shared" si="4"/>
        <v>247305</v>
      </c>
      <c r="M116" s="146">
        <f t="shared" si="5"/>
        <v>5413506.4500000002</v>
      </c>
      <c r="N116" s="119"/>
    </row>
    <row r="117" spans="2:14" ht="25.5" customHeight="1" x14ac:dyDescent="0.25">
      <c r="B117" s="86" t="s">
        <v>211</v>
      </c>
      <c r="C117" s="87" t="s">
        <v>200</v>
      </c>
      <c r="D117" s="82" t="s">
        <v>13</v>
      </c>
      <c r="E117" s="83">
        <v>13.48</v>
      </c>
      <c r="F117" s="88">
        <v>288650</v>
      </c>
      <c r="G117" s="89">
        <f t="shared" si="3"/>
        <v>3891002</v>
      </c>
      <c r="H117" s="118" t="str">
        <f t="array" ref="H117:K117">_xlfn.XLOOKUP(C117,'ESAP NEIVA FASE II UNIFICADO'!$C$6:$C$720,'ESAP NEIVA FASE II UNIFICADO'!$C$6:$F$720,"NO ESTA")</f>
        <v>SUMINISTRO E INSTALACION VENTANAL INTERIOR EN ALUMINIO o similar TIPO V-0 Incluye VIDRIO Referencia TRASLUCIDO TEMPLADO 10MM Ver NOTAS GENERALES DE PLANCHA</v>
      </c>
      <c r="I117" t="str">
        <v>M2</v>
      </c>
      <c r="J117">
        <v>44.879999999999995</v>
      </c>
      <c r="K117">
        <v>311887</v>
      </c>
      <c r="L117" s="115">
        <f t="shared" si="4"/>
        <v>311887</v>
      </c>
      <c r="M117" s="146">
        <f t="shared" si="5"/>
        <v>4204236.76</v>
      </c>
      <c r="N117" s="119"/>
    </row>
    <row r="118" spans="2:14" ht="25.5" customHeight="1" x14ac:dyDescent="0.25">
      <c r="B118" s="86" t="s">
        <v>212</v>
      </c>
      <c r="C118" s="147" t="s">
        <v>202</v>
      </c>
      <c r="D118" s="82" t="s">
        <v>13</v>
      </c>
      <c r="E118" s="83">
        <v>30.01</v>
      </c>
      <c r="F118" s="88">
        <v>327106</v>
      </c>
      <c r="G118" s="89">
        <f t="shared" si="3"/>
        <v>9816451.0600000005</v>
      </c>
      <c r="H118" s="118" t="str">
        <f t="array" ref="H118:K118">_xlfn.XLOOKUP(C118,'ESAP NEIVA FASE II UNIFICADO'!$C$6:$C$720,'ESAP NEIVA FASE II UNIFICADO'!$C$6:$F$720,"NO ESTA")</f>
        <v>SUMINISTRO E INSTALACION VENTANAL PERFIL 12cm EN ALUMINIO o similar TIPO V-1 Incluye VIDRIO Referencia SOLARBAN Ver NOTAS GENERALES DE PLANCHA</v>
      </c>
      <c r="I118" t="str">
        <v>M2</v>
      </c>
      <c r="J118">
        <v>111.41999999999999</v>
      </c>
      <c r="K118">
        <v>353438</v>
      </c>
      <c r="L118" s="115">
        <f t="shared" si="4"/>
        <v>353438</v>
      </c>
      <c r="M118" s="146">
        <f t="shared" si="5"/>
        <v>10606674.380000001</v>
      </c>
      <c r="N118" s="119"/>
    </row>
    <row r="119" spans="2:14" ht="25.5" customHeight="1" x14ac:dyDescent="0.25">
      <c r="B119" s="86" t="s">
        <v>213</v>
      </c>
      <c r="C119" s="149" t="s">
        <v>214</v>
      </c>
      <c r="D119" s="82" t="s">
        <v>13</v>
      </c>
      <c r="E119" s="83">
        <v>63.83</v>
      </c>
      <c r="F119" s="88">
        <v>327106</v>
      </c>
      <c r="G119" s="89">
        <f t="shared" si="3"/>
        <v>20879175.98</v>
      </c>
      <c r="H119" s="118" t="str">
        <f t="array" ref="H119:K119">_xlfn.XLOOKUP(C119,'ESAP NEIVA FASE II UNIFICADO'!$C$6:$C$720,'ESAP NEIVA FASE II UNIFICADO'!$C$6:$F$720,"NO ESTA")</f>
        <v>SUMINISTRO E INSTALACION VENTANAL PERFIL 12cm  AULAS COMPLETO EN ALUMINIO o similar TIPO V-2 Incluye VIDRIO Referencia SOLARBAN Ver NOTAS GENERALES DE PLANCHA</v>
      </c>
      <c r="I119" t="str">
        <v>M2</v>
      </c>
      <c r="J119">
        <v>78.760000000000005</v>
      </c>
      <c r="K119">
        <v>353438</v>
      </c>
      <c r="L119" s="115">
        <f t="shared" si="4"/>
        <v>353438</v>
      </c>
      <c r="M119" s="146">
        <f t="shared" si="5"/>
        <v>22559947.539999999</v>
      </c>
      <c r="N119" s="119"/>
    </row>
    <row r="120" spans="2:14" ht="25.5" customHeight="1" x14ac:dyDescent="0.25">
      <c r="B120" s="86" t="s">
        <v>215</v>
      </c>
      <c r="C120" s="149" t="s">
        <v>216</v>
      </c>
      <c r="D120" s="82" t="s">
        <v>13</v>
      </c>
      <c r="E120" s="83">
        <v>7.99</v>
      </c>
      <c r="F120" s="88">
        <v>339589</v>
      </c>
      <c r="G120" s="89">
        <f t="shared" si="3"/>
        <v>2713316.11</v>
      </c>
      <c r="H120" s="118" t="str">
        <f t="array" ref="H120:K120">_xlfn.XLOOKUP(C120,'ESAP NEIVA FASE II UNIFICADO'!$C$6:$C$720,'ESAP NEIVA FASE II UNIFICADO'!$C$6:$F$720,"NO ESTA")</f>
        <v>SUMINISTRO E INSTALACION VENTANAL PERFIL 15cm EN ALUMINIO o similar TIPO V-3 Incluye VIDRIO Referencia SOLARBAN Ver NOTAS GENERALES DE PLANCHA</v>
      </c>
      <c r="I120" t="str">
        <v>M2</v>
      </c>
      <c r="J120">
        <v>78.989999999999995</v>
      </c>
      <c r="K120">
        <v>366927</v>
      </c>
      <c r="L120" s="115">
        <f t="shared" si="4"/>
        <v>366927</v>
      </c>
      <c r="M120" s="146">
        <f t="shared" si="5"/>
        <v>2931746.73</v>
      </c>
      <c r="N120" s="119"/>
    </row>
    <row r="121" spans="2:14" ht="25.5" customHeight="1" x14ac:dyDescent="0.25">
      <c r="B121" s="86" t="s">
        <v>217</v>
      </c>
      <c r="C121" s="149" t="s">
        <v>218</v>
      </c>
      <c r="D121" s="82" t="s">
        <v>13</v>
      </c>
      <c r="E121" s="83">
        <v>11.76</v>
      </c>
      <c r="F121" s="88">
        <v>342227</v>
      </c>
      <c r="G121" s="89">
        <f t="shared" si="3"/>
        <v>4024589.52</v>
      </c>
      <c r="H121" s="118" t="str">
        <f t="array" ref="H121:K121">_xlfn.XLOOKUP(C121,'ESAP NEIVA FASE II UNIFICADO'!$C$6:$C$720,'ESAP NEIVA FASE II UNIFICADO'!$C$6:$F$720,"NO ESTA")</f>
        <v>SUMINISTRO E INSTALACION VENTANAL DOBLE ALTURA LIBRE EN ALUMINIO o similar TIPO V-5 Incluye VIDRIO Referencia SOLARBAN Ver NOTAS GENERALES DE PLANCHA</v>
      </c>
      <c r="I121" t="str">
        <v>M2</v>
      </c>
      <c r="J121">
        <v>11.76</v>
      </c>
      <c r="K121">
        <v>369778</v>
      </c>
      <c r="L121" s="115">
        <f t="shared" si="4"/>
        <v>369778</v>
      </c>
      <c r="M121" s="146">
        <f t="shared" si="5"/>
        <v>4348589.28</v>
      </c>
      <c r="N121" s="119"/>
    </row>
    <row r="122" spans="2:14" ht="25.5" customHeight="1" x14ac:dyDescent="0.25">
      <c r="B122" s="86" t="s">
        <v>219</v>
      </c>
      <c r="C122" s="150" t="s">
        <v>220</v>
      </c>
      <c r="D122" s="82" t="s">
        <v>13</v>
      </c>
      <c r="E122" s="83">
        <v>10.72</v>
      </c>
      <c r="F122" s="88">
        <v>381287</v>
      </c>
      <c r="G122" s="89">
        <f t="shared" si="3"/>
        <v>4087396.64</v>
      </c>
      <c r="H122" s="118" t="str">
        <f t="array" ref="H122:K122">_xlfn.XLOOKUP(C122,'ESAP NEIVA FASE II UNIFICADO'!$C$6:$C$720,'ESAP NEIVA FASE II UNIFICADO'!$C$6:$F$720,"NO ESTA")</f>
        <v>SUMINISTRO E INSTALACION VENTANAL INTERIOR PERFIL 15cm SALONES EN ALUMINIO o similar TIPO V-6Incluye VIDRIO Referencia TRASLUCIDO TEMPLADO 10MM Ver NOTAS GENERALES DE PLANCHA</v>
      </c>
      <c r="I122" t="str">
        <v>M2</v>
      </c>
      <c r="J122">
        <v>15.659999999999998</v>
      </c>
      <c r="K122">
        <v>411981</v>
      </c>
      <c r="L122" s="115">
        <f t="shared" si="4"/>
        <v>411981</v>
      </c>
      <c r="M122" s="146">
        <f t="shared" si="5"/>
        <v>4416436.32</v>
      </c>
      <c r="N122" s="119"/>
    </row>
    <row r="123" spans="2:14" ht="17.25" customHeight="1" x14ac:dyDescent="0.25">
      <c r="B123" s="74">
        <v>9</v>
      </c>
      <c r="C123" s="75" t="s">
        <v>221</v>
      </c>
      <c r="D123" s="76"/>
      <c r="E123" s="77"/>
      <c r="F123" s="78"/>
      <c r="G123" s="89">
        <f t="shared" si="3"/>
        <v>0</v>
      </c>
      <c r="H123" s="118" t="str">
        <f t="array" ref="H123:K123">_xlfn.XLOOKUP(C123,'ESAP NEIVA FASE II UNIFICADO'!$C$6:$C$720,'ESAP NEIVA FASE II UNIFICADO'!$C$6:$F$720,"NO ESTA")</f>
        <v>PUERTAS</v>
      </c>
      <c r="I123">
        <v>0</v>
      </c>
      <c r="J123">
        <v>0</v>
      </c>
      <c r="K123">
        <v>0</v>
      </c>
      <c r="L123" s="115">
        <f t="shared" si="4"/>
        <v>0</v>
      </c>
      <c r="M123" s="146">
        <f t="shared" si="5"/>
        <v>0</v>
      </c>
      <c r="N123" s="119"/>
    </row>
    <row r="124" spans="2:14" ht="15" customHeight="1" x14ac:dyDescent="0.25">
      <c r="B124" s="80" t="s">
        <v>222</v>
      </c>
      <c r="C124" s="81" t="s">
        <v>223</v>
      </c>
      <c r="D124" s="82"/>
      <c r="E124" s="83"/>
      <c r="F124" s="90"/>
      <c r="G124" s="89">
        <f t="shared" si="3"/>
        <v>0</v>
      </c>
      <c r="H124" s="118" t="str">
        <f t="array" ref="H124:K124">_xlfn.XLOOKUP(C124,'ESAP NEIVA FASE II UNIFICADO'!$C$6:$C$720,'ESAP NEIVA FASE II UNIFICADO'!$C$6:$F$720,"NO ESTA")</f>
        <v>SUMINISTRO E INSTALACIÓN PUERTAS SEMISOTANO</v>
      </c>
      <c r="I124">
        <v>0</v>
      </c>
      <c r="J124">
        <v>0</v>
      </c>
      <c r="K124">
        <v>0</v>
      </c>
      <c r="L124" s="115">
        <f t="shared" si="4"/>
        <v>0</v>
      </c>
      <c r="M124" s="146">
        <f t="shared" si="5"/>
        <v>0</v>
      </c>
      <c r="N124" s="119"/>
    </row>
    <row r="125" spans="2:14" ht="25.5" customHeight="1" x14ac:dyDescent="0.25">
      <c r="B125" s="86" t="s">
        <v>224</v>
      </c>
      <c r="C125" s="87" t="s">
        <v>225</v>
      </c>
      <c r="D125" s="82" t="s">
        <v>13</v>
      </c>
      <c r="E125" s="83">
        <v>4.4000000000000004</v>
      </c>
      <c r="F125" s="88">
        <v>1279025</v>
      </c>
      <c r="G125" s="89">
        <f t="shared" si="3"/>
        <v>5627710</v>
      </c>
      <c r="H125" s="118" t="str">
        <f t="array" ref="H125:K125">_xlfn.XLOOKUP(C125,'ESAP NEIVA FASE II UNIFICADO'!$C$6:$C$720,'ESAP NEIVA FASE II UNIFICADO'!$C$6:$F$720,"NO ESTA")</f>
        <v>SUMINISTRO E INSTALACION PUERTA DE EVACUACIÓN TIPO P-1 Ver NOTAS GENERALES DE PLANCHA</v>
      </c>
      <c r="I125" t="str">
        <v>M2</v>
      </c>
      <c r="J125">
        <v>0</v>
      </c>
      <c r="K125">
        <v>1381990</v>
      </c>
      <c r="L125" s="115">
        <f t="shared" si="4"/>
        <v>1381990</v>
      </c>
      <c r="M125" s="146">
        <f t="shared" si="5"/>
        <v>6080756.0000000009</v>
      </c>
      <c r="N125" s="119"/>
    </row>
    <row r="126" spans="2:14" ht="25.5" customHeight="1" x14ac:dyDescent="0.25">
      <c r="B126" s="86" t="s">
        <v>226</v>
      </c>
      <c r="C126" s="87" t="s">
        <v>227</v>
      </c>
      <c r="D126" s="82" t="s">
        <v>13</v>
      </c>
      <c r="E126" s="83">
        <v>15.12</v>
      </c>
      <c r="F126" s="88">
        <v>121747</v>
      </c>
      <c r="G126" s="89">
        <f t="shared" si="3"/>
        <v>1840814.64</v>
      </c>
      <c r="H126" s="118" t="str">
        <f t="array" ref="H126:K126">_xlfn.XLOOKUP(C126,'ESAP NEIVA FASE II UNIFICADO'!$C$6:$C$720,'ESAP NEIVA FASE II UNIFICADO'!$C$6:$F$720,"NO ESTA")</f>
        <v>SUMINISTRO E INSTALACION PUERTA METALICA DEPOSITOS TIPO P-2 Ver NOTAS GENERALES DE PLANCHA</v>
      </c>
      <c r="I126" t="str">
        <v>M2</v>
      </c>
      <c r="J126">
        <v>0</v>
      </c>
      <c r="K126">
        <v>131548</v>
      </c>
      <c r="L126" s="115">
        <f t="shared" si="4"/>
        <v>131548</v>
      </c>
      <c r="M126" s="146">
        <f t="shared" si="5"/>
        <v>1989005.76</v>
      </c>
      <c r="N126" s="119"/>
    </row>
    <row r="127" spans="2:14" ht="25.5" customHeight="1" x14ac:dyDescent="0.25">
      <c r="B127" s="86" t="s">
        <v>228</v>
      </c>
      <c r="C127" s="87" t="s">
        <v>229</v>
      </c>
      <c r="D127" s="82" t="s">
        <v>13</v>
      </c>
      <c r="E127" s="83">
        <v>33.6</v>
      </c>
      <c r="F127" s="88">
        <v>143171</v>
      </c>
      <c r="G127" s="89">
        <f t="shared" si="3"/>
        <v>4810545.5999999996</v>
      </c>
      <c r="H127" s="118" t="str">
        <f t="array" ref="H127:K127">_xlfn.XLOOKUP(C127,'ESAP NEIVA FASE II UNIFICADO'!$C$6:$C$720,'ESAP NEIVA FASE II UNIFICADO'!$C$6:$F$720,"NO ESTA")</f>
        <v>SUMINISTRO E INSTALACION PUERTA METALICA DOBLE HOJA TIPO P-7 Ver NOTAS GENERALES DE PLANCHA</v>
      </c>
      <c r="I127" t="str">
        <v>M2</v>
      </c>
      <c r="J127">
        <v>0</v>
      </c>
      <c r="K127">
        <v>154697</v>
      </c>
      <c r="L127" s="115">
        <f t="shared" si="4"/>
        <v>154697</v>
      </c>
      <c r="M127" s="146">
        <f t="shared" si="5"/>
        <v>5197819.2</v>
      </c>
      <c r="N127" s="119"/>
    </row>
    <row r="128" spans="2:14" ht="25.5" customHeight="1" x14ac:dyDescent="0.25">
      <c r="B128" s="86" t="s">
        <v>230</v>
      </c>
      <c r="C128" s="87" t="s">
        <v>231</v>
      </c>
      <c r="D128" s="82" t="s">
        <v>13</v>
      </c>
      <c r="E128" s="83">
        <v>15.84</v>
      </c>
      <c r="F128" s="88">
        <v>233422</v>
      </c>
      <c r="G128" s="89">
        <f t="shared" si="3"/>
        <v>3697404.48</v>
      </c>
      <c r="H128" s="118" t="str">
        <f t="array" ref="H128">_xlfn.XLOOKUP(C128,'ESAP NEIVA FASE II UNIFICADO'!$C$6:$C$720,'ESAP NEIVA FASE II UNIFICADO'!$C$6:$F$720,"NO ESTA")</f>
        <v>NO ESTA</v>
      </c>
      <c r="L128" s="115">
        <f t="shared" si="4"/>
        <v>233422</v>
      </c>
      <c r="M128" s="146">
        <f t="shared" si="5"/>
        <v>3697404.48</v>
      </c>
      <c r="N128" s="119"/>
    </row>
    <row r="129" spans="2:14" ht="15" customHeight="1" x14ac:dyDescent="0.25">
      <c r="B129" s="80" t="s">
        <v>232</v>
      </c>
      <c r="C129" s="81" t="s">
        <v>233</v>
      </c>
      <c r="D129" s="82"/>
      <c r="E129" s="83"/>
      <c r="F129" s="90"/>
      <c r="G129" s="89">
        <f t="shared" si="3"/>
        <v>0</v>
      </c>
      <c r="H129" s="118" t="str">
        <f t="array" ref="H129:K129">_xlfn.XLOOKUP(C129,'ESAP NEIVA FASE II UNIFICADO'!$C$6:$C$720,'ESAP NEIVA FASE II UNIFICADO'!$C$6:$F$720,"NO ESTA")</f>
        <v>SUMINISTRO E INSTALACIÓN PUERTAS PISO 1</v>
      </c>
      <c r="I129">
        <v>0</v>
      </c>
      <c r="J129">
        <v>0</v>
      </c>
      <c r="K129">
        <v>0</v>
      </c>
      <c r="L129" s="115">
        <f t="shared" si="4"/>
        <v>0</v>
      </c>
      <c r="M129" s="146">
        <f t="shared" si="5"/>
        <v>0</v>
      </c>
      <c r="N129" s="119"/>
    </row>
    <row r="130" spans="2:14" ht="25.5" customHeight="1" x14ac:dyDescent="0.25">
      <c r="B130" s="86" t="s">
        <v>234</v>
      </c>
      <c r="C130" s="87" t="s">
        <v>225</v>
      </c>
      <c r="D130" s="82" t="s">
        <v>13</v>
      </c>
      <c r="E130" s="83">
        <v>4.4000000000000004</v>
      </c>
      <c r="F130" s="88">
        <v>1279025</v>
      </c>
      <c r="G130" s="89">
        <f t="shared" si="3"/>
        <v>5627710</v>
      </c>
      <c r="H130" s="118" t="str">
        <f t="array" ref="H130:K130">_xlfn.XLOOKUP(C130,'ESAP NEIVA FASE II UNIFICADO'!$C$6:$C$720,'ESAP NEIVA FASE II UNIFICADO'!$C$6:$F$720,"NO ESTA")</f>
        <v>SUMINISTRO E INSTALACION PUERTA DE EVACUACIÓN TIPO P-1 Ver NOTAS GENERALES DE PLANCHA</v>
      </c>
      <c r="I130" t="str">
        <v>M2</v>
      </c>
      <c r="J130">
        <v>0</v>
      </c>
      <c r="K130">
        <v>1381990</v>
      </c>
      <c r="L130" s="115">
        <f t="shared" si="4"/>
        <v>1381990</v>
      </c>
      <c r="M130" s="146">
        <f t="shared" si="5"/>
        <v>6080756.0000000009</v>
      </c>
      <c r="N130" s="119"/>
    </row>
    <row r="131" spans="2:14" ht="25.5" customHeight="1" x14ac:dyDescent="0.25">
      <c r="B131" s="86" t="s">
        <v>235</v>
      </c>
      <c r="C131" s="87" t="s">
        <v>227</v>
      </c>
      <c r="D131" s="82" t="s">
        <v>13</v>
      </c>
      <c r="E131" s="83">
        <v>12.96</v>
      </c>
      <c r="F131" s="88">
        <v>121747</v>
      </c>
      <c r="G131" s="89">
        <f t="shared" si="3"/>
        <v>1577841.12</v>
      </c>
      <c r="H131" s="118" t="str">
        <f t="array" ref="H131:K131">_xlfn.XLOOKUP(C131,'ESAP NEIVA FASE II UNIFICADO'!$C$6:$C$720,'ESAP NEIVA FASE II UNIFICADO'!$C$6:$F$720,"NO ESTA")</f>
        <v>SUMINISTRO E INSTALACION PUERTA METALICA DEPOSITOS TIPO P-2 Ver NOTAS GENERALES DE PLANCHA</v>
      </c>
      <c r="I131" t="str">
        <v>M2</v>
      </c>
      <c r="J131">
        <v>0</v>
      </c>
      <c r="K131">
        <v>131548</v>
      </c>
      <c r="L131" s="115">
        <f t="shared" si="4"/>
        <v>131548</v>
      </c>
      <c r="M131" s="146">
        <f t="shared" si="5"/>
        <v>1704862.08</v>
      </c>
      <c r="N131" s="119"/>
    </row>
    <row r="132" spans="2:14" ht="25.5" customHeight="1" x14ac:dyDescent="0.25">
      <c r="B132" s="86" t="s">
        <v>236</v>
      </c>
      <c r="C132" s="87" t="s">
        <v>237</v>
      </c>
      <c r="D132" s="82" t="s">
        <v>13</v>
      </c>
      <c r="E132" s="83">
        <v>2.4</v>
      </c>
      <c r="F132" s="88">
        <v>677048</v>
      </c>
      <c r="G132" s="89">
        <f t="shared" si="3"/>
        <v>1624915.2</v>
      </c>
      <c r="H132" s="118" t="str">
        <f t="array" ref="H132:K132">_xlfn.XLOOKUP(C132,'ESAP NEIVA FASE II UNIFICADO'!$C$6:$C$720,'ESAP NEIVA FASE II UNIFICADO'!$C$6:$F$720,"NO ESTA")</f>
        <v>SUMINISTRO E INSTALACION PUERTA DIVISORIA DE MADERA TIPO P-3 Ver NOTAS GENERALES DE PLANCHA</v>
      </c>
      <c r="I132" t="str">
        <v>M2</v>
      </c>
      <c r="J132">
        <v>0</v>
      </c>
      <c r="K132">
        <v>731553</v>
      </c>
      <c r="L132" s="115">
        <f t="shared" si="4"/>
        <v>731553</v>
      </c>
      <c r="M132" s="146">
        <f t="shared" si="5"/>
        <v>1755727.2</v>
      </c>
      <c r="N132" s="119"/>
    </row>
    <row r="133" spans="2:14" ht="25.5" customHeight="1" x14ac:dyDescent="0.25">
      <c r="B133" s="86" t="s">
        <v>238</v>
      </c>
      <c r="C133" s="87" t="s">
        <v>239</v>
      </c>
      <c r="D133" s="82" t="s">
        <v>13</v>
      </c>
      <c r="E133" s="83">
        <v>12.96</v>
      </c>
      <c r="F133" s="88">
        <v>677048</v>
      </c>
      <c r="G133" s="89">
        <f t="shared" si="3"/>
        <v>8774542.0800000001</v>
      </c>
      <c r="H133" s="118" t="str">
        <f t="array" ref="H133:K133">_xlfn.XLOOKUP(C133,'ESAP NEIVA FASE II UNIFICADO'!$C$6:$C$720,'ESAP NEIVA FASE II UNIFICADO'!$C$6:$F$720,"NO ESTA")</f>
        <v>SUMINISTRO E INSTALACION PUERTA DIVISORIA DE MADERA TIPO P-4 Ver NOTAS GENERALES DE PLANCHA</v>
      </c>
      <c r="I133" t="str">
        <v>M2</v>
      </c>
      <c r="J133">
        <v>0</v>
      </c>
      <c r="K133">
        <v>731553</v>
      </c>
      <c r="L133" s="115">
        <f t="shared" si="4"/>
        <v>731553</v>
      </c>
      <c r="M133" s="146">
        <f t="shared" si="5"/>
        <v>9480926.8800000008</v>
      </c>
      <c r="N133" s="119"/>
    </row>
    <row r="134" spans="2:14" ht="25.5" customHeight="1" x14ac:dyDescent="0.25">
      <c r="B134" s="86" t="s">
        <v>240</v>
      </c>
      <c r="C134" s="87" t="s">
        <v>241</v>
      </c>
      <c r="D134" s="82" t="s">
        <v>13</v>
      </c>
      <c r="E134" s="83">
        <v>5.76</v>
      </c>
      <c r="F134" s="88">
        <v>677048</v>
      </c>
      <c r="G134" s="89">
        <f t="shared" ref="G134:G197" si="6">ROUND(+F134*E134,2)</f>
        <v>3899796.48</v>
      </c>
      <c r="H134" s="118" t="str">
        <f t="array" ref="H134:K134">_xlfn.XLOOKUP(C134,'ESAP NEIVA FASE II UNIFICADO'!$C$6:$C$720,'ESAP NEIVA FASE II UNIFICADO'!$C$6:$F$720,"NO ESTA")</f>
        <v>SUMINISTRO E INSTALACION PUERTA DIVISORIA DE MADERA TIPO P-5 Ver NOTAS GENERALES DE PLANCHA</v>
      </c>
      <c r="I134" t="str">
        <v>M2</v>
      </c>
      <c r="J134">
        <v>0</v>
      </c>
      <c r="K134">
        <v>731553</v>
      </c>
      <c r="L134" s="115">
        <f t="shared" ref="L134:L197" si="7">MAX(K134,F134)</f>
        <v>731553</v>
      </c>
      <c r="M134" s="146">
        <f t="shared" ref="M134:M197" si="8">L134*E134</f>
        <v>4213745.28</v>
      </c>
      <c r="N134" s="119"/>
    </row>
    <row r="135" spans="2:14" ht="25.5" customHeight="1" x14ac:dyDescent="0.25">
      <c r="B135" s="86" t="s">
        <v>242</v>
      </c>
      <c r="C135" s="87" t="s">
        <v>229</v>
      </c>
      <c r="D135" s="82" t="s">
        <v>13</v>
      </c>
      <c r="E135" s="83">
        <v>4.8</v>
      </c>
      <c r="F135" s="88">
        <v>143171</v>
      </c>
      <c r="G135" s="89">
        <f t="shared" si="6"/>
        <v>687220.8</v>
      </c>
      <c r="H135" s="118" t="str">
        <f t="array" ref="H135:K135">_xlfn.XLOOKUP(C135,'ESAP NEIVA FASE II UNIFICADO'!$C$6:$C$720,'ESAP NEIVA FASE II UNIFICADO'!$C$6:$F$720,"NO ESTA")</f>
        <v>SUMINISTRO E INSTALACION PUERTA METALICA DOBLE HOJA TIPO P-7 Ver NOTAS GENERALES DE PLANCHA</v>
      </c>
      <c r="I135" t="str">
        <v>M2</v>
      </c>
      <c r="J135">
        <v>0</v>
      </c>
      <c r="K135">
        <v>154697</v>
      </c>
      <c r="L135" s="115">
        <f t="shared" si="7"/>
        <v>154697</v>
      </c>
      <c r="M135" s="146">
        <f t="shared" si="8"/>
        <v>742545.6</v>
      </c>
      <c r="N135" s="119"/>
    </row>
    <row r="136" spans="2:14" ht="25.5" customHeight="1" x14ac:dyDescent="0.25">
      <c r="B136" s="86" t="s">
        <v>243</v>
      </c>
      <c r="C136" s="87" t="s">
        <v>244</v>
      </c>
      <c r="D136" s="82" t="s">
        <v>13</v>
      </c>
      <c r="E136" s="83">
        <v>24.8</v>
      </c>
      <c r="F136" s="88">
        <v>536623</v>
      </c>
      <c r="G136" s="89">
        <f t="shared" si="6"/>
        <v>13308250.4</v>
      </c>
      <c r="H136" s="118" t="str">
        <f t="array" ref="H136:K136">_xlfn.XLOOKUP(C136,'ESAP NEIVA FASE II UNIFICADO'!$C$6:$C$720,'ESAP NEIVA FASE II UNIFICADO'!$C$6:$F$720,"NO ESTA")</f>
        <v>SUMINISTRO E INSTALACION PUERTA DIVISORIA EN VIDRIO TIPO PV1 Ver NOTAS GENERALES DE PLANCHA</v>
      </c>
      <c r="I136" t="str">
        <v>M2</v>
      </c>
      <c r="J136">
        <v>0</v>
      </c>
      <c r="K136">
        <v>579822</v>
      </c>
      <c r="L136" s="115">
        <f t="shared" si="7"/>
        <v>579822</v>
      </c>
      <c r="M136" s="146">
        <f t="shared" si="8"/>
        <v>14379585.6</v>
      </c>
      <c r="N136" s="119"/>
    </row>
    <row r="137" spans="2:14" ht="15" customHeight="1" x14ac:dyDescent="0.25">
      <c r="B137" s="80" t="s">
        <v>245</v>
      </c>
      <c r="C137" s="81" t="s">
        <v>246</v>
      </c>
      <c r="D137" s="82"/>
      <c r="E137" s="83"/>
      <c r="F137" s="90"/>
      <c r="G137" s="89">
        <f t="shared" si="6"/>
        <v>0</v>
      </c>
      <c r="H137" s="118" t="str">
        <f t="array" ref="H137:K137">_xlfn.XLOOKUP(C137,'ESAP NEIVA FASE II UNIFICADO'!$C$6:$C$720,'ESAP NEIVA FASE II UNIFICADO'!$C$6:$F$720,"NO ESTA")</f>
        <v>SUMINISTRO E INSTALACIÓN PUERTAS PISO 2</v>
      </c>
      <c r="I137">
        <v>0</v>
      </c>
      <c r="J137">
        <v>0</v>
      </c>
      <c r="K137">
        <v>0</v>
      </c>
      <c r="L137" s="115">
        <f t="shared" si="7"/>
        <v>0</v>
      </c>
      <c r="M137" s="146">
        <f t="shared" si="8"/>
        <v>0</v>
      </c>
      <c r="N137" s="119"/>
    </row>
    <row r="138" spans="2:14" ht="25.5" customHeight="1" x14ac:dyDescent="0.25">
      <c r="B138" s="86" t="s">
        <v>247</v>
      </c>
      <c r="C138" s="87" t="s">
        <v>225</v>
      </c>
      <c r="D138" s="82" t="s">
        <v>13</v>
      </c>
      <c r="E138" s="83">
        <v>2.2000000000000002</v>
      </c>
      <c r="F138" s="88">
        <v>1279025</v>
      </c>
      <c r="G138" s="89">
        <f t="shared" si="6"/>
        <v>2813855</v>
      </c>
      <c r="H138" s="118" t="str">
        <f t="array" ref="H138:K138">_xlfn.XLOOKUP(C138,'ESAP NEIVA FASE II UNIFICADO'!$C$6:$C$720,'ESAP NEIVA FASE II UNIFICADO'!$C$6:$F$720,"NO ESTA")</f>
        <v>SUMINISTRO E INSTALACION PUERTA DE EVACUACIÓN TIPO P-1 Ver NOTAS GENERALES DE PLANCHA</v>
      </c>
      <c r="I138" t="str">
        <v>M2</v>
      </c>
      <c r="J138">
        <v>0</v>
      </c>
      <c r="K138">
        <v>1381990</v>
      </c>
      <c r="L138" s="115">
        <f t="shared" si="7"/>
        <v>1381990</v>
      </c>
      <c r="M138" s="146">
        <f t="shared" si="8"/>
        <v>3040378.0000000005</v>
      </c>
      <c r="N138" s="119"/>
    </row>
    <row r="139" spans="2:14" ht="25.5" customHeight="1" x14ac:dyDescent="0.25">
      <c r="B139" s="86" t="s">
        <v>248</v>
      </c>
      <c r="C139" s="87" t="s">
        <v>227</v>
      </c>
      <c r="D139" s="82" t="s">
        <v>13</v>
      </c>
      <c r="E139" s="83">
        <v>2.16</v>
      </c>
      <c r="F139" s="88">
        <v>121747</v>
      </c>
      <c r="G139" s="89">
        <f t="shared" si="6"/>
        <v>262973.52</v>
      </c>
      <c r="H139" s="118" t="str">
        <f t="array" ref="H139:K139">_xlfn.XLOOKUP(C139,'ESAP NEIVA FASE II UNIFICADO'!$C$6:$C$720,'ESAP NEIVA FASE II UNIFICADO'!$C$6:$F$720,"NO ESTA")</f>
        <v>SUMINISTRO E INSTALACION PUERTA METALICA DEPOSITOS TIPO P-2 Ver NOTAS GENERALES DE PLANCHA</v>
      </c>
      <c r="I139" t="str">
        <v>M2</v>
      </c>
      <c r="J139">
        <v>0</v>
      </c>
      <c r="K139">
        <v>131548</v>
      </c>
      <c r="L139" s="115">
        <f t="shared" si="7"/>
        <v>131548</v>
      </c>
      <c r="M139" s="146">
        <f t="shared" si="8"/>
        <v>284143.68</v>
      </c>
      <c r="N139" s="119"/>
    </row>
    <row r="140" spans="2:14" ht="25.5" customHeight="1" x14ac:dyDescent="0.25">
      <c r="B140" s="86" t="s">
        <v>249</v>
      </c>
      <c r="C140" s="87" t="s">
        <v>237</v>
      </c>
      <c r="D140" s="82" t="s">
        <v>13</v>
      </c>
      <c r="E140" s="83">
        <v>4.8</v>
      </c>
      <c r="F140" s="88">
        <v>677048</v>
      </c>
      <c r="G140" s="89">
        <f t="shared" si="6"/>
        <v>3249830.4</v>
      </c>
      <c r="H140" s="118" t="str">
        <f t="array" ref="H140:K140">_xlfn.XLOOKUP(C140,'ESAP NEIVA FASE II UNIFICADO'!$C$6:$C$720,'ESAP NEIVA FASE II UNIFICADO'!$C$6:$F$720,"NO ESTA")</f>
        <v>SUMINISTRO E INSTALACION PUERTA DIVISORIA DE MADERA TIPO P-3 Ver NOTAS GENERALES DE PLANCHA</v>
      </c>
      <c r="I140" t="str">
        <v>M2</v>
      </c>
      <c r="J140">
        <v>0</v>
      </c>
      <c r="K140">
        <v>731553</v>
      </c>
      <c r="L140" s="115">
        <f t="shared" si="7"/>
        <v>731553</v>
      </c>
      <c r="M140" s="146">
        <f t="shared" si="8"/>
        <v>3511454.4</v>
      </c>
      <c r="N140" s="119"/>
    </row>
    <row r="141" spans="2:14" ht="25.5" customHeight="1" x14ac:dyDescent="0.25">
      <c r="B141" s="86" t="s">
        <v>250</v>
      </c>
      <c r="C141" s="87" t="s">
        <v>239</v>
      </c>
      <c r="D141" s="82" t="s">
        <v>13</v>
      </c>
      <c r="E141" s="83">
        <v>2.16</v>
      </c>
      <c r="F141" s="88">
        <v>677048</v>
      </c>
      <c r="G141" s="89">
        <f t="shared" si="6"/>
        <v>1462423.68</v>
      </c>
      <c r="H141" s="118" t="str">
        <f t="array" ref="H141:K141">_xlfn.XLOOKUP(C141,'ESAP NEIVA FASE II UNIFICADO'!$C$6:$C$720,'ESAP NEIVA FASE II UNIFICADO'!$C$6:$F$720,"NO ESTA")</f>
        <v>SUMINISTRO E INSTALACION PUERTA DIVISORIA DE MADERA TIPO P-4 Ver NOTAS GENERALES DE PLANCHA</v>
      </c>
      <c r="I141" t="str">
        <v>M2</v>
      </c>
      <c r="J141">
        <v>0</v>
      </c>
      <c r="K141">
        <v>731553</v>
      </c>
      <c r="L141" s="115">
        <f t="shared" si="7"/>
        <v>731553</v>
      </c>
      <c r="M141" s="146">
        <f t="shared" si="8"/>
        <v>1580154.4800000002</v>
      </c>
      <c r="N141" s="119"/>
    </row>
    <row r="142" spans="2:14" ht="25.5" customHeight="1" x14ac:dyDescent="0.25">
      <c r="B142" s="86" t="s">
        <v>251</v>
      </c>
      <c r="C142" s="87" t="s">
        <v>241</v>
      </c>
      <c r="D142" s="82" t="s">
        <v>13</v>
      </c>
      <c r="E142" s="83">
        <v>2.88</v>
      </c>
      <c r="F142" s="88">
        <v>677048</v>
      </c>
      <c r="G142" s="89">
        <f t="shared" si="6"/>
        <v>1949898.24</v>
      </c>
      <c r="H142" s="118" t="str">
        <f t="array" ref="H142:K142">_xlfn.XLOOKUP(C142,'ESAP NEIVA FASE II UNIFICADO'!$C$6:$C$720,'ESAP NEIVA FASE II UNIFICADO'!$C$6:$F$720,"NO ESTA")</f>
        <v>SUMINISTRO E INSTALACION PUERTA DIVISORIA DE MADERA TIPO P-5 Ver NOTAS GENERALES DE PLANCHA</v>
      </c>
      <c r="I142" t="str">
        <v>M2</v>
      </c>
      <c r="J142">
        <v>0</v>
      </c>
      <c r="K142">
        <v>731553</v>
      </c>
      <c r="L142" s="115">
        <f t="shared" si="7"/>
        <v>731553</v>
      </c>
      <c r="M142" s="146">
        <f t="shared" si="8"/>
        <v>2106872.64</v>
      </c>
      <c r="N142" s="119"/>
    </row>
    <row r="143" spans="2:14" ht="25.5" customHeight="1" x14ac:dyDescent="0.25">
      <c r="B143" s="86" t="s">
        <v>252</v>
      </c>
      <c r="C143" s="87" t="s">
        <v>244</v>
      </c>
      <c r="D143" s="82" t="s">
        <v>13</v>
      </c>
      <c r="E143" s="83">
        <v>14.21</v>
      </c>
      <c r="F143" s="88">
        <v>536623</v>
      </c>
      <c r="G143" s="89">
        <f t="shared" si="6"/>
        <v>7625412.8300000001</v>
      </c>
      <c r="H143" s="118" t="str">
        <f t="array" ref="H143:K143">_xlfn.XLOOKUP(C143,'ESAP NEIVA FASE II UNIFICADO'!$C$6:$C$720,'ESAP NEIVA FASE II UNIFICADO'!$C$6:$F$720,"NO ESTA")</f>
        <v>SUMINISTRO E INSTALACION PUERTA DIVISORIA EN VIDRIO TIPO PV1 Ver NOTAS GENERALES DE PLANCHA</v>
      </c>
      <c r="I143" t="str">
        <v>M2</v>
      </c>
      <c r="J143">
        <v>0</v>
      </c>
      <c r="K143">
        <v>579822</v>
      </c>
      <c r="L143" s="115">
        <f t="shared" si="7"/>
        <v>579822</v>
      </c>
      <c r="M143" s="146">
        <f t="shared" si="8"/>
        <v>8239270.6200000001</v>
      </c>
      <c r="N143" s="119"/>
    </row>
    <row r="144" spans="2:14" ht="16.5" customHeight="1" x14ac:dyDescent="0.25">
      <c r="B144" s="74">
        <v>10</v>
      </c>
      <c r="C144" s="75" t="s">
        <v>253</v>
      </c>
      <c r="D144" s="76"/>
      <c r="E144" s="77"/>
      <c r="F144" s="78"/>
      <c r="G144" s="89">
        <f t="shared" si="6"/>
        <v>0</v>
      </c>
      <c r="H144" s="118" t="str">
        <f t="array" ref="H144:K144">_xlfn.XLOOKUP(C144,'ESAP NEIVA FASE II UNIFICADO'!$C$6:$C$720,'ESAP NEIVA FASE II UNIFICADO'!$C$6:$F$720,"NO ESTA")</f>
        <v>OTROS ARQUITECTONICOS</v>
      </c>
      <c r="I144">
        <v>0</v>
      </c>
      <c r="J144">
        <v>0</v>
      </c>
      <c r="K144">
        <v>0</v>
      </c>
      <c r="L144" s="115">
        <f t="shared" si="7"/>
        <v>0</v>
      </c>
      <c r="M144" s="146">
        <f t="shared" si="8"/>
        <v>0</v>
      </c>
      <c r="N144" s="119"/>
    </row>
    <row r="145" spans="2:14" ht="15" customHeight="1" x14ac:dyDescent="0.25">
      <c r="B145" s="80" t="s">
        <v>254</v>
      </c>
      <c r="C145" s="81" t="s">
        <v>255</v>
      </c>
      <c r="D145" s="82"/>
      <c r="E145" s="83"/>
      <c r="F145" s="90"/>
      <c r="G145" s="89">
        <f t="shared" si="6"/>
        <v>0</v>
      </c>
      <c r="H145" s="118" t="str">
        <f t="array" ref="H145:K145">_xlfn.XLOOKUP(C145,'ESAP NEIVA FASE II UNIFICADO'!$C$6:$C$720,'ESAP NEIVA FASE II UNIFICADO'!$C$6:$F$720,"NO ESTA")</f>
        <v>SUMINISTRO E INSTALACIÓN DE BARANDAS</v>
      </c>
      <c r="I145">
        <v>0</v>
      </c>
      <c r="J145">
        <v>0</v>
      </c>
      <c r="K145">
        <v>0</v>
      </c>
      <c r="L145" s="115">
        <f t="shared" si="7"/>
        <v>0</v>
      </c>
      <c r="M145" s="146">
        <f t="shared" si="8"/>
        <v>0</v>
      </c>
      <c r="N145" s="119"/>
    </row>
    <row r="146" spans="2:14" ht="25.5" customHeight="1" x14ac:dyDescent="0.25">
      <c r="B146" s="86" t="s">
        <v>256</v>
      </c>
      <c r="C146" s="87" t="s">
        <v>257</v>
      </c>
      <c r="D146" s="82" t="s">
        <v>94</v>
      </c>
      <c r="E146" s="83">
        <v>106</v>
      </c>
      <c r="F146" s="88">
        <v>616205</v>
      </c>
      <c r="G146" s="89">
        <f t="shared" si="6"/>
        <v>65317730</v>
      </c>
      <c r="H146" s="118" t="str">
        <f t="array" ref="H146:K146">_xlfn.XLOOKUP(C146,'ESAP NEIVA FASE II UNIFICADO'!$C$6:$C$720,'ESAP NEIVA FASE II UNIFICADO'!$C$6:$F$720,"NO ESTA")</f>
        <v>SUMINISTRO E INSTALACION BARANDA TIPO B1 EN ACERO INOXIDABLE (Incluye todos los accesorios para su instalación)</v>
      </c>
      <c r="I146" t="str">
        <v>ML</v>
      </c>
      <c r="J146">
        <v>288.39999999999998</v>
      </c>
      <c r="K146">
        <v>592889</v>
      </c>
      <c r="L146" s="115">
        <f t="shared" si="7"/>
        <v>616205</v>
      </c>
      <c r="M146" s="146">
        <f t="shared" si="8"/>
        <v>65317730</v>
      </c>
      <c r="N146" s="119"/>
    </row>
    <row r="147" spans="2:14" ht="25.5" customHeight="1" x14ac:dyDescent="0.25">
      <c r="B147" s="86" t="s">
        <v>258</v>
      </c>
      <c r="C147" s="87" t="s">
        <v>259</v>
      </c>
      <c r="D147" s="82" t="s">
        <v>94</v>
      </c>
      <c r="E147" s="83">
        <v>16</v>
      </c>
      <c r="F147" s="88">
        <v>234945</v>
      </c>
      <c r="G147" s="89">
        <f t="shared" si="6"/>
        <v>3759120</v>
      </c>
      <c r="H147" s="118" t="str">
        <f t="array" ref="H147:K147">_xlfn.XLOOKUP(C147,'ESAP NEIVA FASE II UNIFICADO'!$C$6:$C$720,'ESAP NEIVA FASE II UNIFICADO'!$C$6:$F$720,"NO ESTA")</f>
        <v>SUMINISTRO E INSTALACION PASAMANOS PUNTO FIJO No. 1 (Incluye todos los accesorios para su instalación)</v>
      </c>
      <c r="I147" t="str">
        <v>ML</v>
      </c>
      <c r="J147">
        <v>44.13</v>
      </c>
      <c r="K147">
        <v>253859</v>
      </c>
      <c r="L147" s="115">
        <f t="shared" si="7"/>
        <v>253859</v>
      </c>
      <c r="M147" s="146">
        <f t="shared" si="8"/>
        <v>4061744</v>
      </c>
      <c r="N147" s="119"/>
    </row>
    <row r="148" spans="2:14" ht="15" customHeight="1" x14ac:dyDescent="0.25">
      <c r="B148" s="80" t="s">
        <v>260</v>
      </c>
      <c r="C148" s="81" t="s">
        <v>261</v>
      </c>
      <c r="D148" s="82"/>
      <c r="E148" s="83"/>
      <c r="F148" s="90"/>
      <c r="G148" s="89">
        <f t="shared" si="6"/>
        <v>0</v>
      </c>
      <c r="H148" s="118" t="str">
        <f t="array" ref="H148:K148">_xlfn.XLOOKUP(C148,'ESAP NEIVA FASE II UNIFICADO'!$C$6:$C$720,'ESAP NEIVA FASE II UNIFICADO'!$C$6:$F$720,"NO ESTA")</f>
        <v>SUMINISTRO E INSTALACIÓN DE DIVISIONES DE BAÑOS</v>
      </c>
      <c r="I148">
        <v>0</v>
      </c>
      <c r="J148">
        <v>0</v>
      </c>
      <c r="K148">
        <v>0</v>
      </c>
      <c r="L148" s="115">
        <f t="shared" si="7"/>
        <v>0</v>
      </c>
      <c r="M148" s="146">
        <f t="shared" si="8"/>
        <v>0</v>
      </c>
      <c r="N148" s="119"/>
    </row>
    <row r="149" spans="2:14" ht="25.5" customHeight="1" x14ac:dyDescent="0.25">
      <c r="B149" s="86" t="s">
        <v>262</v>
      </c>
      <c r="C149" s="87" t="s">
        <v>263</v>
      </c>
      <c r="D149" s="82" t="s">
        <v>13</v>
      </c>
      <c r="E149" s="83">
        <v>83.5</v>
      </c>
      <c r="F149" s="88">
        <v>563546</v>
      </c>
      <c r="G149" s="89">
        <f t="shared" si="6"/>
        <v>47056091</v>
      </c>
      <c r="H149" s="118" t="str">
        <f t="array" ref="H149:K149">_xlfn.XLOOKUP(C149,'ESAP NEIVA FASE II UNIFICADO'!$C$6:$C$720,'ESAP NEIVA FASE II UNIFICADO'!$C$6:$F$720,"NO ESTA")</f>
        <v>SUMINISTRO E INSTALACION DIVISION EN ACERO INOXIDABLE BAÑOS (Incluye todos los accesorios para su instalación)</v>
      </c>
      <c r="I149" t="str">
        <v>M2</v>
      </c>
      <c r="J149">
        <v>83.5</v>
      </c>
      <c r="K149">
        <v>608913</v>
      </c>
      <c r="L149" s="115">
        <f t="shared" si="7"/>
        <v>608913</v>
      </c>
      <c r="M149" s="146">
        <f t="shared" si="8"/>
        <v>50844235.5</v>
      </c>
      <c r="N149" s="119"/>
    </row>
    <row r="150" spans="2:14" ht="14.25" customHeight="1" x14ac:dyDescent="0.25">
      <c r="B150" s="74">
        <v>12</v>
      </c>
      <c r="C150" s="75" t="s">
        <v>264</v>
      </c>
      <c r="D150" s="76"/>
      <c r="E150" s="77"/>
      <c r="F150" s="78"/>
      <c r="G150" s="89">
        <f t="shared" si="6"/>
        <v>0</v>
      </c>
      <c r="H150" s="118" t="str">
        <f t="array" ref="H150:K150">_xlfn.XLOOKUP(C150,'ESAP NEIVA FASE II UNIFICADO'!$C$6:$C$720,'ESAP NEIVA FASE II UNIFICADO'!$C$6:$F$720,"NO ESTA")</f>
        <v xml:space="preserve">RED HIDRÁULICO Y SANITARIO </v>
      </c>
      <c r="I150">
        <v>0</v>
      </c>
      <c r="J150">
        <v>0</v>
      </c>
      <c r="K150">
        <v>0</v>
      </c>
      <c r="L150" s="115">
        <f t="shared" si="7"/>
        <v>0</v>
      </c>
      <c r="M150" s="146">
        <f t="shared" si="8"/>
        <v>0</v>
      </c>
      <c r="N150" s="119"/>
    </row>
    <row r="151" spans="2:14" ht="15" customHeight="1" x14ac:dyDescent="0.25">
      <c r="B151" s="80" t="s">
        <v>265</v>
      </c>
      <c r="C151" s="81" t="s">
        <v>266</v>
      </c>
      <c r="D151" s="82"/>
      <c r="E151" s="83"/>
      <c r="F151" s="90"/>
      <c r="G151" s="89">
        <f t="shared" si="6"/>
        <v>0</v>
      </c>
      <c r="H151" s="118" t="str">
        <f t="array" ref="H151:K151">_xlfn.XLOOKUP(C151,'ESAP NEIVA FASE II UNIFICADO'!$C$6:$C$720,'ESAP NEIVA FASE II UNIFICADO'!$C$6:$F$720,"NO ESTA")</f>
        <v>SUMINISTRO E INSTALACIÓN RED AGUA POTABLE</v>
      </c>
      <c r="I151">
        <v>0</v>
      </c>
      <c r="J151">
        <v>0</v>
      </c>
      <c r="K151">
        <v>0</v>
      </c>
      <c r="L151" s="115">
        <f t="shared" si="7"/>
        <v>0</v>
      </c>
      <c r="M151" s="146">
        <f t="shared" si="8"/>
        <v>0</v>
      </c>
      <c r="N151" s="119"/>
    </row>
    <row r="152" spans="2:14" ht="15" customHeight="1" x14ac:dyDescent="0.25">
      <c r="B152" s="86" t="s">
        <v>267</v>
      </c>
      <c r="C152" s="87" t="s">
        <v>268</v>
      </c>
      <c r="D152" s="82" t="s">
        <v>269</v>
      </c>
      <c r="E152" s="83">
        <v>45</v>
      </c>
      <c r="F152" s="88">
        <v>11732</v>
      </c>
      <c r="G152" s="89">
        <f t="shared" si="6"/>
        <v>527940</v>
      </c>
      <c r="H152" s="118" t="str">
        <f t="array" ref="H152:K152">_xlfn.XLOOKUP(C152,'ESAP NEIVA FASE II UNIFICADO'!$C$6:$C$720,'ESAP NEIVA FASE II UNIFICADO'!$C$6:$F$720,"NO ESTA")</f>
        <v>SUMINISTRO E INSTALACIÓN TUBERIA PVC-P DIAMETRO 1/2" RDE 9</v>
      </c>
      <c r="I152" t="str">
        <v xml:space="preserve">ML   </v>
      </c>
      <c r="J152">
        <v>121</v>
      </c>
      <c r="K152">
        <v>12676</v>
      </c>
      <c r="L152" s="115">
        <f t="shared" si="7"/>
        <v>12676</v>
      </c>
      <c r="M152" s="146">
        <f t="shared" si="8"/>
        <v>570420</v>
      </c>
      <c r="N152" s="119"/>
    </row>
    <row r="153" spans="2:14" ht="15" customHeight="1" x14ac:dyDescent="0.25">
      <c r="B153" s="86" t="s">
        <v>270</v>
      </c>
      <c r="C153" s="87" t="s">
        <v>271</v>
      </c>
      <c r="D153" s="82" t="s">
        <v>269</v>
      </c>
      <c r="E153" s="83">
        <v>18</v>
      </c>
      <c r="F153" s="88">
        <v>17455</v>
      </c>
      <c r="G153" s="89">
        <f t="shared" si="6"/>
        <v>314190</v>
      </c>
      <c r="H153" s="118" t="str">
        <f t="array" ref="H153:K153">_xlfn.XLOOKUP(C153,'ESAP NEIVA FASE II UNIFICADO'!$C$6:$C$720,'ESAP NEIVA FASE II UNIFICADO'!$C$6:$F$720,"NO ESTA")</f>
        <v>SUMINISTRO E INSTALACIÓN TUBERIA PCV-P DIAMETRO 3/4" RDE 11</v>
      </c>
      <c r="I153" t="str">
        <v xml:space="preserve">ML   </v>
      </c>
      <c r="J153">
        <v>49</v>
      </c>
      <c r="K153">
        <v>18861</v>
      </c>
      <c r="L153" s="115">
        <f t="shared" si="7"/>
        <v>18861</v>
      </c>
      <c r="M153" s="146">
        <f t="shared" si="8"/>
        <v>339498</v>
      </c>
      <c r="N153" s="119"/>
    </row>
    <row r="154" spans="2:14" ht="15" customHeight="1" x14ac:dyDescent="0.25">
      <c r="B154" s="86" t="s">
        <v>272</v>
      </c>
      <c r="C154" s="87" t="s">
        <v>273</v>
      </c>
      <c r="D154" s="82" t="s">
        <v>269</v>
      </c>
      <c r="E154" s="83">
        <v>15</v>
      </c>
      <c r="F154" s="88">
        <v>18509</v>
      </c>
      <c r="G154" s="89">
        <f t="shared" si="6"/>
        <v>277635</v>
      </c>
      <c r="H154" s="118" t="str">
        <f t="array" ref="H154:K154">_xlfn.XLOOKUP(C154,'ESAP NEIVA FASE II UNIFICADO'!$C$6:$C$720,'ESAP NEIVA FASE II UNIFICADO'!$C$6:$F$720,"NO ESTA")</f>
        <v>SUMINISTRO E INSTALACIÓN TUBERIA PCV-P DIAMETRO 1" RDE 13,5</v>
      </c>
      <c r="I154" t="str">
        <v xml:space="preserve">ML   </v>
      </c>
      <c r="J154">
        <v>40</v>
      </c>
      <c r="K154">
        <v>19999</v>
      </c>
      <c r="L154" s="115">
        <f t="shared" si="7"/>
        <v>19999</v>
      </c>
      <c r="M154" s="146">
        <f t="shared" si="8"/>
        <v>299985</v>
      </c>
      <c r="N154" s="119"/>
    </row>
    <row r="155" spans="2:14" ht="15" customHeight="1" x14ac:dyDescent="0.25">
      <c r="B155" s="86" t="s">
        <v>274</v>
      </c>
      <c r="C155" s="87" t="s">
        <v>275</v>
      </c>
      <c r="D155" s="82" t="s">
        <v>269</v>
      </c>
      <c r="E155" s="83">
        <v>23</v>
      </c>
      <c r="F155" s="88">
        <v>19662</v>
      </c>
      <c r="G155" s="89">
        <f t="shared" si="6"/>
        <v>452226</v>
      </c>
      <c r="H155" s="118" t="str">
        <f t="array" ref="H155:K155">_xlfn.XLOOKUP(C155,'ESAP NEIVA FASE II UNIFICADO'!$C$6:$C$720,'ESAP NEIVA FASE II UNIFICADO'!$C$6:$F$720,"NO ESTA")</f>
        <v>SUMINISTRO E INSTALACIÓN TUBERIA PCV-P DIAMETRO 1 1/4" RDE 21</v>
      </c>
      <c r="I155" t="str">
        <v xml:space="preserve">ML   </v>
      </c>
      <c r="J155">
        <v>64</v>
      </c>
      <c r="K155">
        <v>21245</v>
      </c>
      <c r="L155" s="115">
        <f t="shared" si="7"/>
        <v>21245</v>
      </c>
      <c r="M155" s="146">
        <f t="shared" si="8"/>
        <v>488635</v>
      </c>
      <c r="N155" s="119"/>
    </row>
    <row r="156" spans="2:14" ht="15" customHeight="1" x14ac:dyDescent="0.25">
      <c r="B156" s="86" t="s">
        <v>276</v>
      </c>
      <c r="C156" s="87" t="s">
        <v>277</v>
      </c>
      <c r="D156" s="82" t="s">
        <v>269</v>
      </c>
      <c r="E156" s="83">
        <v>21</v>
      </c>
      <c r="F156" s="88">
        <v>25274</v>
      </c>
      <c r="G156" s="89">
        <f t="shared" si="6"/>
        <v>530754</v>
      </c>
      <c r="H156" s="118" t="str">
        <f t="array" ref="H156:K156">_xlfn.XLOOKUP(C156,'ESAP NEIVA FASE II UNIFICADO'!$C$6:$C$720,'ESAP NEIVA FASE II UNIFICADO'!$C$6:$F$720,"NO ESTA")</f>
        <v>SUMINISTRO E INSTALACIÓN TUBERIA PCV-P DIAMETRO 1 1/2" RDE 21</v>
      </c>
      <c r="I156" t="str">
        <v xml:space="preserve">ML   </v>
      </c>
      <c r="J156">
        <v>57</v>
      </c>
      <c r="K156">
        <v>27309</v>
      </c>
      <c r="L156" s="115">
        <f t="shared" si="7"/>
        <v>27309</v>
      </c>
      <c r="M156" s="146">
        <f t="shared" si="8"/>
        <v>573489</v>
      </c>
      <c r="N156" s="119"/>
    </row>
    <row r="157" spans="2:14" ht="15" customHeight="1" x14ac:dyDescent="0.25">
      <c r="B157" s="86" t="s">
        <v>278</v>
      </c>
      <c r="C157" s="87" t="s">
        <v>279</v>
      </c>
      <c r="D157" s="82" t="s">
        <v>269</v>
      </c>
      <c r="E157" s="83">
        <v>33</v>
      </c>
      <c r="F157" s="88">
        <v>36185</v>
      </c>
      <c r="G157" s="89">
        <f t="shared" si="6"/>
        <v>1194105</v>
      </c>
      <c r="H157" s="118" t="str">
        <f t="array" ref="H157:K157">_xlfn.XLOOKUP(C157,'ESAP NEIVA FASE II UNIFICADO'!$C$6:$C$720,'ESAP NEIVA FASE II UNIFICADO'!$C$6:$F$720,"NO ESTA")</f>
        <v>SUMINISTRO E INSTALACIÓN TUBERIA PCV-P DIAMETRO 2" RDE 21</v>
      </c>
      <c r="I157" t="str">
        <v xml:space="preserve">ML   </v>
      </c>
      <c r="J157">
        <v>90</v>
      </c>
      <c r="K157">
        <v>39097</v>
      </c>
      <c r="L157" s="115">
        <f t="shared" si="7"/>
        <v>39097</v>
      </c>
      <c r="M157" s="146">
        <f t="shared" si="8"/>
        <v>1290201</v>
      </c>
      <c r="N157" s="119"/>
    </row>
    <row r="158" spans="2:14" ht="15" customHeight="1" x14ac:dyDescent="0.25">
      <c r="B158" s="86" t="s">
        <v>280</v>
      </c>
      <c r="C158" s="87" t="s">
        <v>281</v>
      </c>
      <c r="D158" s="82" t="s">
        <v>269</v>
      </c>
      <c r="E158" s="83">
        <v>7</v>
      </c>
      <c r="F158" s="88">
        <v>48841</v>
      </c>
      <c r="G158" s="89">
        <f t="shared" si="6"/>
        <v>341887</v>
      </c>
      <c r="H158" s="118" t="str">
        <f t="array" ref="H158:K158">_xlfn.XLOOKUP(C158,'ESAP NEIVA FASE II UNIFICADO'!$C$6:$C$720,'ESAP NEIVA FASE II UNIFICADO'!$C$6:$F$720,"NO ESTA")</f>
        <v>SUMINISTRO E INSTALACIÓN TUBERIA PCV-P DIAMETRO 2 1/2" RDE 21</v>
      </c>
      <c r="I158" t="str">
        <v xml:space="preserve">ML   </v>
      </c>
      <c r="J158">
        <v>18</v>
      </c>
      <c r="K158">
        <v>52773</v>
      </c>
      <c r="L158" s="115">
        <f t="shared" si="7"/>
        <v>52773</v>
      </c>
      <c r="M158" s="146">
        <f t="shared" si="8"/>
        <v>369411</v>
      </c>
      <c r="N158" s="119"/>
    </row>
    <row r="159" spans="2:14" ht="15" customHeight="1" x14ac:dyDescent="0.25">
      <c r="B159" s="86" t="s">
        <v>282</v>
      </c>
      <c r="C159" s="87" t="s">
        <v>283</v>
      </c>
      <c r="D159" s="82" t="s">
        <v>284</v>
      </c>
      <c r="E159" s="83">
        <v>39</v>
      </c>
      <c r="F159" s="88">
        <v>3037</v>
      </c>
      <c r="G159" s="89">
        <f t="shared" si="6"/>
        <v>118443</v>
      </c>
      <c r="H159" s="118" t="str">
        <f t="array" ref="H159:K159">_xlfn.XLOOKUP(C159,'ESAP NEIVA FASE II UNIFICADO'!$C$6:$C$720,'ESAP NEIVA FASE II UNIFICADO'!$C$6:$F$720,"NO ESTA")</f>
        <v>SUMINISTRO E INSTALACIÓN ACCESORIOS PVC-P 1/2" SCH 40</v>
      </c>
      <c r="I159" t="str">
        <v xml:space="preserve">UN   </v>
      </c>
      <c r="J159">
        <v>105</v>
      </c>
      <c r="K159">
        <v>3281</v>
      </c>
      <c r="L159" s="115">
        <f t="shared" si="7"/>
        <v>3281</v>
      </c>
      <c r="M159" s="146">
        <f t="shared" si="8"/>
        <v>127959</v>
      </c>
      <c r="N159" s="119"/>
    </row>
    <row r="160" spans="2:14" ht="15" customHeight="1" x14ac:dyDescent="0.25">
      <c r="B160" s="86" t="s">
        <v>285</v>
      </c>
      <c r="C160" s="87" t="s">
        <v>286</v>
      </c>
      <c r="D160" s="82" t="s">
        <v>284</v>
      </c>
      <c r="E160" s="83">
        <v>14</v>
      </c>
      <c r="F160" s="88">
        <v>3606</v>
      </c>
      <c r="G160" s="89">
        <f t="shared" si="6"/>
        <v>50484</v>
      </c>
      <c r="H160" s="118" t="str">
        <f t="array" ref="H160:K160">_xlfn.XLOOKUP(C160,'ESAP NEIVA FASE II UNIFICADO'!$C$6:$C$720,'ESAP NEIVA FASE II UNIFICADO'!$C$6:$F$720,"NO ESTA")</f>
        <v>SUMINISTRO E INSTALACIÓN ACCESORIOS PVC-P 3/4" SCH 40</v>
      </c>
      <c r="I160" t="str">
        <v xml:space="preserve">UN   </v>
      </c>
      <c r="J160">
        <v>38</v>
      </c>
      <c r="K160">
        <v>3896</v>
      </c>
      <c r="L160" s="115">
        <f t="shared" si="7"/>
        <v>3896</v>
      </c>
      <c r="M160" s="146">
        <f t="shared" si="8"/>
        <v>54544</v>
      </c>
      <c r="N160" s="119"/>
    </row>
    <row r="161" spans="2:14" ht="15" customHeight="1" x14ac:dyDescent="0.25">
      <c r="B161" s="86" t="s">
        <v>287</v>
      </c>
      <c r="C161" s="87" t="s">
        <v>288</v>
      </c>
      <c r="D161" s="82" t="s">
        <v>284</v>
      </c>
      <c r="E161" s="83">
        <v>11</v>
      </c>
      <c r="F161" s="88">
        <v>4260</v>
      </c>
      <c r="G161" s="89">
        <f t="shared" si="6"/>
        <v>46860</v>
      </c>
      <c r="H161" s="118" t="str">
        <f t="array" ref="H161:K161">_xlfn.XLOOKUP(C161,'ESAP NEIVA FASE II UNIFICADO'!$C$6:$C$720,'ESAP NEIVA FASE II UNIFICADO'!$C$6:$F$720,"NO ESTA")</f>
        <v>SUMINISTRO E INSTALACIÓN ACCESORIOS PVC-P 1" SCH 40</v>
      </c>
      <c r="I161" t="str">
        <v xml:space="preserve">UN   </v>
      </c>
      <c r="J161">
        <v>30</v>
      </c>
      <c r="K161">
        <v>4602</v>
      </c>
      <c r="L161" s="115">
        <f t="shared" si="7"/>
        <v>4602</v>
      </c>
      <c r="M161" s="146">
        <f t="shared" si="8"/>
        <v>50622</v>
      </c>
      <c r="N161" s="119"/>
    </row>
    <row r="162" spans="2:14" ht="15" customHeight="1" x14ac:dyDescent="0.25">
      <c r="B162" s="86" t="s">
        <v>289</v>
      </c>
      <c r="C162" s="87" t="s">
        <v>290</v>
      </c>
      <c r="D162" s="82" t="s">
        <v>284</v>
      </c>
      <c r="E162" s="83">
        <v>35</v>
      </c>
      <c r="F162" s="88">
        <v>6724</v>
      </c>
      <c r="G162" s="89">
        <f t="shared" si="6"/>
        <v>235340</v>
      </c>
      <c r="H162" s="118" t="str">
        <f t="array" ref="H162:K162">_xlfn.XLOOKUP(C162,'ESAP NEIVA FASE II UNIFICADO'!$C$6:$C$720,'ESAP NEIVA FASE II UNIFICADO'!$C$6:$F$720,"NO ESTA")</f>
        <v>SUMINISTRO E INSTALACIÓN ACCESORIOS PVC-P 1 1/4" SCH 40</v>
      </c>
      <c r="I162" t="str">
        <v xml:space="preserve">UN   </v>
      </c>
      <c r="J162">
        <v>96</v>
      </c>
      <c r="K162">
        <v>7266</v>
      </c>
      <c r="L162" s="115">
        <f t="shared" si="7"/>
        <v>7266</v>
      </c>
      <c r="M162" s="146">
        <f t="shared" si="8"/>
        <v>254310</v>
      </c>
      <c r="N162" s="119"/>
    </row>
    <row r="163" spans="2:14" ht="15" customHeight="1" x14ac:dyDescent="0.25">
      <c r="B163" s="86" t="s">
        <v>291</v>
      </c>
      <c r="C163" s="87" t="s">
        <v>292</v>
      </c>
      <c r="D163" s="82" t="s">
        <v>284</v>
      </c>
      <c r="E163" s="83">
        <v>30</v>
      </c>
      <c r="F163" s="88">
        <v>8290</v>
      </c>
      <c r="G163" s="89">
        <f t="shared" si="6"/>
        <v>248700</v>
      </c>
      <c r="H163" s="118" t="str">
        <f t="array" ref="H163:K163">_xlfn.XLOOKUP(C163,'ESAP NEIVA FASE II UNIFICADO'!$C$6:$C$720,'ESAP NEIVA FASE II UNIFICADO'!$C$6:$F$720,"NO ESTA")</f>
        <v xml:space="preserve">SUMINISTRO E INSTALACIÓN ACCESORIOS PVC-P 1 1/2" SCH 40                                                </v>
      </c>
      <c r="I163" t="str">
        <v xml:space="preserve">UN   </v>
      </c>
      <c r="J163">
        <v>82</v>
      </c>
      <c r="K163">
        <v>8958</v>
      </c>
      <c r="L163" s="115">
        <f t="shared" si="7"/>
        <v>8958</v>
      </c>
      <c r="M163" s="146">
        <f t="shared" si="8"/>
        <v>268740</v>
      </c>
      <c r="N163" s="119"/>
    </row>
    <row r="164" spans="2:14" ht="15" customHeight="1" x14ac:dyDescent="0.25">
      <c r="B164" s="86" t="s">
        <v>293</v>
      </c>
      <c r="C164" s="87" t="s">
        <v>294</v>
      </c>
      <c r="D164" s="82" t="s">
        <v>284</v>
      </c>
      <c r="E164" s="83">
        <v>21</v>
      </c>
      <c r="F164" s="88">
        <v>11299</v>
      </c>
      <c r="G164" s="89">
        <f t="shared" si="6"/>
        <v>237279</v>
      </c>
      <c r="H164" s="118" t="str">
        <f t="array" ref="H164:K164">_xlfn.XLOOKUP(C164,'ESAP NEIVA FASE II UNIFICADO'!$C$6:$C$720,'ESAP NEIVA FASE II UNIFICADO'!$C$6:$F$720,"NO ESTA")</f>
        <v>SUMINISTRO E INSTALACIÓN ACCESORIOS PVC-P 2" SCH 40</v>
      </c>
      <c r="I164" t="str">
        <v xml:space="preserve">UN   </v>
      </c>
      <c r="J164">
        <v>55</v>
      </c>
      <c r="K164">
        <v>12209</v>
      </c>
      <c r="L164" s="115">
        <f t="shared" si="7"/>
        <v>12209</v>
      </c>
      <c r="M164" s="146">
        <f t="shared" si="8"/>
        <v>256389</v>
      </c>
      <c r="N164" s="119"/>
    </row>
    <row r="165" spans="2:14" ht="15" customHeight="1" x14ac:dyDescent="0.25">
      <c r="B165" s="86" t="s">
        <v>295</v>
      </c>
      <c r="C165" s="87" t="s">
        <v>296</v>
      </c>
      <c r="D165" s="82" t="s">
        <v>284</v>
      </c>
      <c r="E165" s="83">
        <v>4</v>
      </c>
      <c r="F165" s="88">
        <v>27497</v>
      </c>
      <c r="G165" s="89">
        <f t="shared" si="6"/>
        <v>109988</v>
      </c>
      <c r="H165" s="118" t="str">
        <f t="array" ref="H165:K165">_xlfn.XLOOKUP(C165,'ESAP NEIVA FASE II UNIFICADO'!$C$6:$C$720,'ESAP NEIVA FASE II UNIFICADO'!$C$6:$F$720,"NO ESTA")</f>
        <v xml:space="preserve">SUMINISTRO E INSTALACIÓN ACCESORIOS PVC-P 2 1/2" SCH 40                                           </v>
      </c>
      <c r="I165" t="str">
        <v xml:space="preserve">UN   </v>
      </c>
      <c r="J165">
        <v>12</v>
      </c>
      <c r="K165">
        <v>29710</v>
      </c>
      <c r="L165" s="115">
        <f t="shared" si="7"/>
        <v>29710</v>
      </c>
      <c r="M165" s="146">
        <f t="shared" si="8"/>
        <v>118840</v>
      </c>
      <c r="N165" s="119"/>
    </row>
    <row r="166" spans="2:14" ht="15" customHeight="1" x14ac:dyDescent="0.25">
      <c r="B166" s="86" t="s">
        <v>297</v>
      </c>
      <c r="C166" s="87" t="s">
        <v>298</v>
      </c>
      <c r="D166" s="82" t="s">
        <v>284</v>
      </c>
      <c r="E166" s="83">
        <v>18</v>
      </c>
      <c r="F166" s="88">
        <v>1578</v>
      </c>
      <c r="G166" s="89">
        <f t="shared" si="6"/>
        <v>28404</v>
      </c>
      <c r="H166" s="118" t="str">
        <f t="array" ref="H166:K166">_xlfn.XLOOKUP(C166,'ESAP NEIVA FASE II UNIFICADO'!$C$6:$C$720,'ESAP NEIVA FASE II UNIFICADO'!$C$6:$F$720,"NO ESTA")</f>
        <v xml:space="preserve">SUMINISTRO E INSTALACIÓN SOPORTE DE 1/2"                                                                 </v>
      </c>
      <c r="I166" t="str">
        <v xml:space="preserve">UN   </v>
      </c>
      <c r="J166">
        <v>49</v>
      </c>
      <c r="K166">
        <v>1705</v>
      </c>
      <c r="L166" s="115">
        <f t="shared" si="7"/>
        <v>1705</v>
      </c>
      <c r="M166" s="146">
        <f t="shared" si="8"/>
        <v>30690</v>
      </c>
      <c r="N166" s="119"/>
    </row>
    <row r="167" spans="2:14" ht="15" customHeight="1" x14ac:dyDescent="0.25">
      <c r="B167" s="86" t="s">
        <v>299</v>
      </c>
      <c r="C167" s="87" t="s">
        <v>300</v>
      </c>
      <c r="D167" s="82" t="s">
        <v>284</v>
      </c>
      <c r="E167" s="83">
        <v>6</v>
      </c>
      <c r="F167" s="88">
        <v>2120</v>
      </c>
      <c r="G167" s="89">
        <f t="shared" si="6"/>
        <v>12720</v>
      </c>
      <c r="H167" s="118" t="str">
        <f t="array" ref="H167:K167">_xlfn.XLOOKUP(C167,'ESAP NEIVA FASE II UNIFICADO'!$C$6:$C$720,'ESAP NEIVA FASE II UNIFICADO'!$C$6:$F$720,"NO ESTA")</f>
        <v xml:space="preserve">SUMINISTRO E INSTALACIÓN SOPORTE DE 3/4"                                                                 </v>
      </c>
      <c r="I167" t="str">
        <v xml:space="preserve">UN   </v>
      </c>
      <c r="J167">
        <v>18</v>
      </c>
      <c r="K167">
        <v>2289</v>
      </c>
      <c r="L167" s="115">
        <f t="shared" si="7"/>
        <v>2289</v>
      </c>
      <c r="M167" s="146">
        <f t="shared" si="8"/>
        <v>13734</v>
      </c>
      <c r="N167" s="119"/>
    </row>
    <row r="168" spans="2:14" ht="15" customHeight="1" x14ac:dyDescent="0.25">
      <c r="B168" s="86" t="s">
        <v>301</v>
      </c>
      <c r="C168" s="87" t="s">
        <v>302</v>
      </c>
      <c r="D168" s="82" t="s">
        <v>284</v>
      </c>
      <c r="E168" s="83">
        <v>6</v>
      </c>
      <c r="F168" s="88">
        <v>2555</v>
      </c>
      <c r="G168" s="89">
        <f t="shared" si="6"/>
        <v>15330</v>
      </c>
      <c r="H168" s="118" t="str">
        <f t="array" ref="H168:K168">_xlfn.XLOOKUP(C168,'ESAP NEIVA FASE II UNIFICADO'!$C$6:$C$720,'ESAP NEIVA FASE II UNIFICADO'!$C$6:$F$720,"NO ESTA")</f>
        <v xml:space="preserve">SUMINISTRO E INSTALACIÓN SOPORTE DE 1"                                                                   </v>
      </c>
      <c r="I168" t="str">
        <v xml:space="preserve">UN   </v>
      </c>
      <c r="J168">
        <v>18</v>
      </c>
      <c r="K168">
        <v>2761</v>
      </c>
      <c r="L168" s="115">
        <f t="shared" si="7"/>
        <v>2761</v>
      </c>
      <c r="M168" s="146">
        <f t="shared" si="8"/>
        <v>16566</v>
      </c>
      <c r="N168" s="119"/>
    </row>
    <row r="169" spans="2:14" ht="15" customHeight="1" x14ac:dyDescent="0.25">
      <c r="B169" s="86" t="s">
        <v>303</v>
      </c>
      <c r="C169" s="87" t="s">
        <v>304</v>
      </c>
      <c r="D169" s="82" t="s">
        <v>284</v>
      </c>
      <c r="E169" s="83">
        <v>10</v>
      </c>
      <c r="F169" s="88">
        <v>2898</v>
      </c>
      <c r="G169" s="89">
        <f t="shared" si="6"/>
        <v>28980</v>
      </c>
      <c r="H169" s="118" t="str">
        <f t="array" ref="H169:K169">_xlfn.XLOOKUP(C169,'ESAP NEIVA FASE II UNIFICADO'!$C$6:$C$720,'ESAP NEIVA FASE II UNIFICADO'!$C$6:$F$720,"NO ESTA")</f>
        <v xml:space="preserve">SUMINISTRO E INSTALACIÓN SOPORTE DE 1 1/4"                                                               </v>
      </c>
      <c r="I169" t="str">
        <v xml:space="preserve">UN   </v>
      </c>
      <c r="J169">
        <v>26</v>
      </c>
      <c r="K169">
        <v>3131</v>
      </c>
      <c r="L169" s="115">
        <f t="shared" si="7"/>
        <v>3131</v>
      </c>
      <c r="M169" s="146">
        <f t="shared" si="8"/>
        <v>31310</v>
      </c>
      <c r="N169" s="119"/>
    </row>
    <row r="170" spans="2:14" ht="15" customHeight="1" x14ac:dyDescent="0.25">
      <c r="B170" s="86" t="s">
        <v>305</v>
      </c>
      <c r="C170" s="87" t="s">
        <v>306</v>
      </c>
      <c r="D170" s="82" t="s">
        <v>284</v>
      </c>
      <c r="E170" s="83">
        <v>9</v>
      </c>
      <c r="F170" s="88">
        <v>3509</v>
      </c>
      <c r="G170" s="89">
        <f t="shared" si="6"/>
        <v>31581</v>
      </c>
      <c r="H170" s="118" t="str">
        <f t="array" ref="H170:K170">_xlfn.XLOOKUP(C170,'ESAP NEIVA FASE II UNIFICADO'!$C$6:$C$720,'ESAP NEIVA FASE II UNIFICADO'!$C$6:$F$720,"NO ESTA")</f>
        <v xml:space="preserve">SUMINISTRO E INSTALACIÓN SOPORTE DE 1 1/2"                                                               </v>
      </c>
      <c r="I170" t="str">
        <v xml:space="preserve">UN   </v>
      </c>
      <c r="J170">
        <v>24</v>
      </c>
      <c r="K170">
        <v>3791</v>
      </c>
      <c r="L170" s="115">
        <f t="shared" si="7"/>
        <v>3791</v>
      </c>
      <c r="M170" s="146">
        <f t="shared" si="8"/>
        <v>34119</v>
      </c>
      <c r="N170" s="119"/>
    </row>
    <row r="171" spans="2:14" ht="15" customHeight="1" x14ac:dyDescent="0.25">
      <c r="B171" s="86" t="s">
        <v>307</v>
      </c>
      <c r="C171" s="87" t="s">
        <v>308</v>
      </c>
      <c r="D171" s="82" t="s">
        <v>284</v>
      </c>
      <c r="E171" s="83">
        <v>11</v>
      </c>
      <c r="F171" s="88">
        <v>4520</v>
      </c>
      <c r="G171" s="89">
        <f t="shared" si="6"/>
        <v>49720</v>
      </c>
      <c r="H171" s="118" t="str">
        <f t="array" ref="H171:K171">_xlfn.XLOOKUP(C171,'ESAP NEIVA FASE II UNIFICADO'!$C$6:$C$720,'ESAP NEIVA FASE II UNIFICADO'!$C$6:$F$720,"NO ESTA")</f>
        <v xml:space="preserve">SUMINISTRO E INSTALACIÓN SOPORTE DE 2"                                                                   </v>
      </c>
      <c r="I171" t="str">
        <v xml:space="preserve">UN   </v>
      </c>
      <c r="J171">
        <v>31</v>
      </c>
      <c r="K171">
        <v>4884</v>
      </c>
      <c r="L171" s="115">
        <f t="shared" si="7"/>
        <v>4884</v>
      </c>
      <c r="M171" s="146">
        <f t="shared" si="8"/>
        <v>53724</v>
      </c>
      <c r="N171" s="119"/>
    </row>
    <row r="172" spans="2:14" ht="15" customHeight="1" x14ac:dyDescent="0.25">
      <c r="B172" s="86" t="s">
        <v>309</v>
      </c>
      <c r="C172" s="87" t="s">
        <v>310</v>
      </c>
      <c r="D172" s="82" t="s">
        <v>284</v>
      </c>
      <c r="E172" s="83">
        <v>3</v>
      </c>
      <c r="F172" s="88">
        <v>5223</v>
      </c>
      <c r="G172" s="89">
        <f t="shared" si="6"/>
        <v>15669</v>
      </c>
      <c r="H172" s="118" t="str">
        <f t="array" ref="H172:K172">_xlfn.XLOOKUP(C172,'ESAP NEIVA FASE II UNIFICADO'!$C$6:$C$720,'ESAP NEIVA FASE II UNIFICADO'!$C$6:$F$720,"NO ESTA")</f>
        <v xml:space="preserve">SUMINISTRO E INSTALACIÓN SOPORTE DE 2 1/2"                                                               </v>
      </c>
      <c r="I172" t="str">
        <v xml:space="preserve">UN   </v>
      </c>
      <c r="J172">
        <v>7</v>
      </c>
      <c r="K172">
        <v>5644</v>
      </c>
      <c r="L172" s="115">
        <f t="shared" si="7"/>
        <v>5644</v>
      </c>
      <c r="M172" s="146">
        <f t="shared" si="8"/>
        <v>16932</v>
      </c>
      <c r="N172" s="119"/>
    </row>
    <row r="173" spans="2:14" ht="15" customHeight="1" x14ac:dyDescent="0.25">
      <c r="B173" s="86" t="s">
        <v>311</v>
      </c>
      <c r="C173" s="87" t="s">
        <v>312</v>
      </c>
      <c r="D173" s="82" t="s">
        <v>284</v>
      </c>
      <c r="E173" s="83">
        <v>15</v>
      </c>
      <c r="F173" s="88">
        <v>59442</v>
      </c>
      <c r="G173" s="89">
        <f t="shared" si="6"/>
        <v>891630</v>
      </c>
      <c r="H173" s="118" t="str">
        <f t="array" ref="H173:K173">_xlfn.XLOOKUP(C173,'ESAP NEIVA FASE II UNIFICADO'!$C$6:$C$720,'ESAP NEIVA FASE II UNIFICADO'!$C$6:$F$720,"NO ESTA")</f>
        <v xml:space="preserve">SUMINISTRO E INSTALACIÓN PUNTO HIDRÁULICO PVC-P 1/2"                                                      </v>
      </c>
      <c r="I173" t="str">
        <v xml:space="preserve">UN   </v>
      </c>
      <c r="J173">
        <v>41</v>
      </c>
      <c r="K173">
        <v>64227</v>
      </c>
      <c r="L173" s="115">
        <f t="shared" si="7"/>
        <v>64227</v>
      </c>
      <c r="M173" s="146">
        <f t="shared" si="8"/>
        <v>963405</v>
      </c>
      <c r="N173" s="119"/>
    </row>
    <row r="174" spans="2:14" ht="15" customHeight="1" x14ac:dyDescent="0.25">
      <c r="B174" s="86" t="s">
        <v>313</v>
      </c>
      <c r="C174" s="87" t="s">
        <v>314</v>
      </c>
      <c r="D174" s="82" t="s">
        <v>284</v>
      </c>
      <c r="E174" s="83">
        <v>5</v>
      </c>
      <c r="F174" s="88">
        <v>63334</v>
      </c>
      <c r="G174" s="89">
        <f t="shared" si="6"/>
        <v>316670</v>
      </c>
      <c r="H174" s="118" t="str">
        <f t="array" ref="H174:K174">_xlfn.XLOOKUP(C174,'ESAP NEIVA FASE II UNIFICADO'!$C$6:$C$720,'ESAP NEIVA FASE II UNIFICADO'!$C$6:$F$720,"NO ESTA")</f>
        <v xml:space="preserve">SUMINISTRO E INSTALACIÓN PUNTO HIDRÁULICO PVC-P 3/4"                                                      </v>
      </c>
      <c r="I174" t="str">
        <v xml:space="preserve">UN   </v>
      </c>
      <c r="J174">
        <v>14</v>
      </c>
      <c r="K174">
        <v>68433</v>
      </c>
      <c r="L174" s="115">
        <f t="shared" si="7"/>
        <v>68433</v>
      </c>
      <c r="M174" s="146">
        <f t="shared" si="8"/>
        <v>342165</v>
      </c>
      <c r="N174" s="119"/>
    </row>
    <row r="175" spans="2:14" ht="15" customHeight="1" x14ac:dyDescent="0.25">
      <c r="B175" s="86" t="s">
        <v>315</v>
      </c>
      <c r="C175" s="87" t="s">
        <v>316</v>
      </c>
      <c r="D175" s="82" t="s">
        <v>284</v>
      </c>
      <c r="E175" s="83">
        <v>15</v>
      </c>
      <c r="F175" s="88">
        <v>90180</v>
      </c>
      <c r="G175" s="89">
        <f t="shared" si="6"/>
        <v>1352700</v>
      </c>
      <c r="H175" s="118" t="str">
        <f t="array" ref="H175:K175">_xlfn.XLOOKUP(C175,'ESAP NEIVA FASE II UNIFICADO'!$C$6:$C$720,'ESAP NEIVA FASE II UNIFICADO'!$C$6:$F$720,"NO ESTA")</f>
        <v xml:space="preserve">SUMINISTRO E INSTALACIÓN PUNTO HIDRÁULICO PVC-P 1 1/4"                                                    </v>
      </c>
      <c r="I175" t="str">
        <v xml:space="preserve">UN   </v>
      </c>
      <c r="J175">
        <v>39</v>
      </c>
      <c r="K175">
        <v>97439</v>
      </c>
      <c r="L175" s="115">
        <f t="shared" si="7"/>
        <v>97439</v>
      </c>
      <c r="M175" s="146">
        <f t="shared" si="8"/>
        <v>1461585</v>
      </c>
      <c r="N175" s="119"/>
    </row>
    <row r="176" spans="2:14" ht="15" customHeight="1" x14ac:dyDescent="0.25">
      <c r="B176" s="86" t="s">
        <v>317</v>
      </c>
      <c r="C176" s="87" t="s">
        <v>318</v>
      </c>
      <c r="D176" s="82" t="s">
        <v>284</v>
      </c>
      <c r="E176" s="83">
        <v>5</v>
      </c>
      <c r="F176" s="88">
        <v>58595</v>
      </c>
      <c r="G176" s="89">
        <f t="shared" si="6"/>
        <v>292975</v>
      </c>
      <c r="H176" s="118" t="str">
        <f t="array" ref="H176:K176">_xlfn.XLOOKUP(C176,'ESAP NEIVA FASE II UNIFICADO'!$C$6:$C$720,'ESAP NEIVA FASE II UNIFICADO'!$C$6:$F$720,"NO ESTA")</f>
        <v xml:space="preserve">SUMINISTRO E INSTALACIÓN REGISTRO CORTINA ROSCAR 1/2"                                                   </v>
      </c>
      <c r="I176" t="str">
        <v xml:space="preserve">UN   </v>
      </c>
      <c r="J176">
        <v>12</v>
      </c>
      <c r="K176">
        <v>63313</v>
      </c>
      <c r="L176" s="115">
        <f t="shared" si="7"/>
        <v>63313</v>
      </c>
      <c r="M176" s="146">
        <f t="shared" si="8"/>
        <v>316565</v>
      </c>
      <c r="N176" s="119"/>
    </row>
    <row r="177" spans="2:14" ht="15" customHeight="1" x14ac:dyDescent="0.25">
      <c r="B177" s="86" t="s">
        <v>319</v>
      </c>
      <c r="C177" s="87" t="s">
        <v>320</v>
      </c>
      <c r="D177" s="82" t="s">
        <v>284</v>
      </c>
      <c r="E177" s="83">
        <v>2</v>
      </c>
      <c r="F177" s="88">
        <v>151859</v>
      </c>
      <c r="G177" s="89">
        <f t="shared" si="6"/>
        <v>303718</v>
      </c>
      <c r="H177" s="118" t="str">
        <f t="array" ref="H177:K177">_xlfn.XLOOKUP(C177,'ESAP NEIVA FASE II UNIFICADO'!$C$6:$C$720,'ESAP NEIVA FASE II UNIFICADO'!$C$6:$F$720,"NO ESTA")</f>
        <v xml:space="preserve">SUMINISTRO E INSTALACIÓN REGISTRO CORTINA P/D ROSCAR 1 1/4"                                                 </v>
      </c>
      <c r="I177" t="str">
        <v xml:space="preserve">UN   </v>
      </c>
      <c r="J177">
        <v>6</v>
      </c>
      <c r="K177">
        <v>164084</v>
      </c>
      <c r="L177" s="115">
        <f t="shared" si="7"/>
        <v>164084</v>
      </c>
      <c r="M177" s="146">
        <f t="shared" si="8"/>
        <v>328168</v>
      </c>
      <c r="N177" s="119"/>
    </row>
    <row r="178" spans="2:14" ht="15" customHeight="1" x14ac:dyDescent="0.25">
      <c r="B178" s="86" t="s">
        <v>321</v>
      </c>
      <c r="C178" s="87" t="s">
        <v>322</v>
      </c>
      <c r="D178" s="82" t="s">
        <v>284</v>
      </c>
      <c r="E178" s="83">
        <v>2</v>
      </c>
      <c r="F178" s="88">
        <v>206156</v>
      </c>
      <c r="G178" s="89">
        <f t="shared" si="6"/>
        <v>412312</v>
      </c>
      <c r="H178" s="118" t="str">
        <f t="array" ref="H178:K178">_xlfn.XLOOKUP(C178,'ESAP NEIVA FASE II UNIFICADO'!$C$6:$C$720,'ESAP NEIVA FASE II UNIFICADO'!$C$6:$F$720,"NO ESTA")</f>
        <v xml:space="preserve">SUMINISTRO E INSTALACIÓN REGISTRO CORTINA P/D ROSCAR 1 1/2"                                                 </v>
      </c>
      <c r="I178" t="str">
        <v xml:space="preserve">UN   </v>
      </c>
      <c r="J178">
        <v>6</v>
      </c>
      <c r="K178">
        <v>222753</v>
      </c>
      <c r="L178" s="115">
        <f t="shared" si="7"/>
        <v>222753</v>
      </c>
      <c r="M178" s="146">
        <f t="shared" si="8"/>
        <v>445506</v>
      </c>
      <c r="N178" s="119"/>
    </row>
    <row r="179" spans="2:14" ht="15" customHeight="1" x14ac:dyDescent="0.25">
      <c r="B179" s="86" t="s">
        <v>323</v>
      </c>
      <c r="C179" s="87" t="s">
        <v>324</v>
      </c>
      <c r="D179" s="82" t="s">
        <v>284</v>
      </c>
      <c r="E179" s="83">
        <v>2</v>
      </c>
      <c r="F179" s="88">
        <v>100357</v>
      </c>
      <c r="G179" s="89">
        <f t="shared" si="6"/>
        <v>200714</v>
      </c>
      <c r="H179" s="118" t="str">
        <f t="array" ref="H179:K179">_xlfn.XLOOKUP(C179,'ESAP NEIVA FASE II UNIFICADO'!$C$6:$C$720,'ESAP NEIVA FASE II UNIFICADO'!$C$6:$F$720,"NO ESTA")</f>
        <v xml:space="preserve">SUMINISTRO E INSTALACIÓN VÁLVULA FLOTADOR 1"                                                           </v>
      </c>
      <c r="I179" t="str">
        <v xml:space="preserve">UN   </v>
      </c>
      <c r="J179">
        <v>0</v>
      </c>
      <c r="K179">
        <v>108436</v>
      </c>
      <c r="L179" s="115">
        <f t="shared" si="7"/>
        <v>108436</v>
      </c>
      <c r="M179" s="146">
        <f t="shared" si="8"/>
        <v>216872</v>
      </c>
      <c r="N179" s="119"/>
    </row>
    <row r="180" spans="2:14" ht="15" customHeight="1" x14ac:dyDescent="0.25">
      <c r="B180" s="86" t="s">
        <v>325</v>
      </c>
      <c r="C180" s="87" t="s">
        <v>326</v>
      </c>
      <c r="D180" s="82" t="s">
        <v>284</v>
      </c>
      <c r="E180" s="83">
        <v>1</v>
      </c>
      <c r="F180" s="88">
        <v>156932</v>
      </c>
      <c r="G180" s="89">
        <f t="shared" si="6"/>
        <v>156932</v>
      </c>
      <c r="H180" s="118" t="str">
        <f t="array" ref="H180:K180">_xlfn.XLOOKUP(C180,'ESAP NEIVA FASE II UNIFICADO'!$C$6:$C$720,'ESAP NEIVA FASE II UNIFICADO'!$C$6:$F$720,"NO ESTA")</f>
        <v xml:space="preserve">SUMINISTRO E INSTALACIÓN MEDIDOR VELOCIMETRICO  3/4"                                                   </v>
      </c>
      <c r="I180" t="str">
        <v xml:space="preserve">UN   </v>
      </c>
      <c r="J180">
        <v>0</v>
      </c>
      <c r="K180">
        <v>169565</v>
      </c>
      <c r="L180" s="115">
        <f t="shared" si="7"/>
        <v>169565</v>
      </c>
      <c r="M180" s="146">
        <f t="shared" si="8"/>
        <v>169565</v>
      </c>
      <c r="N180" s="119"/>
    </row>
    <row r="181" spans="2:14" ht="15" customHeight="1" x14ac:dyDescent="0.25">
      <c r="B181" s="80" t="s">
        <v>327</v>
      </c>
      <c r="C181" s="81" t="s">
        <v>328</v>
      </c>
      <c r="D181" s="82"/>
      <c r="E181" s="83"/>
      <c r="F181" s="90"/>
      <c r="G181" s="89">
        <f t="shared" si="6"/>
        <v>0</v>
      </c>
      <c r="H181" s="118" t="str">
        <f t="array" ref="H181:K181">_xlfn.XLOOKUP(C181,'ESAP NEIVA FASE II UNIFICADO'!$C$6:$C$720,'ESAP NEIVA FASE II UNIFICADO'!$C$6:$F$720,"NO ESTA")</f>
        <v xml:space="preserve">SUMINISTRO E INSTALACION RED DESAGÜES AGUAS RESIDUALES                                                                              </v>
      </c>
      <c r="I181">
        <v>0</v>
      </c>
      <c r="J181">
        <v>0</v>
      </c>
      <c r="K181">
        <v>0</v>
      </c>
      <c r="L181" s="115">
        <f t="shared" si="7"/>
        <v>0</v>
      </c>
      <c r="M181" s="146">
        <f t="shared" si="8"/>
        <v>0</v>
      </c>
      <c r="N181" s="119"/>
    </row>
    <row r="182" spans="2:14" ht="15" customHeight="1" x14ac:dyDescent="0.25">
      <c r="B182" s="86" t="s">
        <v>329</v>
      </c>
      <c r="C182" s="87" t="s">
        <v>330</v>
      </c>
      <c r="D182" s="82" t="s">
        <v>269</v>
      </c>
      <c r="E182" s="83">
        <v>12</v>
      </c>
      <c r="F182" s="88">
        <v>22725</v>
      </c>
      <c r="G182" s="89">
        <f t="shared" si="6"/>
        <v>272700</v>
      </c>
      <c r="H182" s="118" t="str">
        <f t="array" ref="H182:K182">_xlfn.XLOOKUP(C182,'ESAP NEIVA FASE II UNIFICADO'!$C$6:$C$720,'ESAP NEIVA FASE II UNIFICADO'!$C$6:$F$720,"NO ESTA")</f>
        <v xml:space="preserve">SUMINISTRO E INSTALACIÓN TUBERIA PVC-S DIAMETRO 2"                                                                        </v>
      </c>
      <c r="I182" t="str">
        <v xml:space="preserve">ML   </v>
      </c>
      <c r="J182">
        <v>34</v>
      </c>
      <c r="K182">
        <v>24554</v>
      </c>
      <c r="L182" s="115">
        <f t="shared" si="7"/>
        <v>24554</v>
      </c>
      <c r="M182" s="146">
        <f t="shared" si="8"/>
        <v>294648</v>
      </c>
      <c r="N182" s="119"/>
    </row>
    <row r="183" spans="2:14" ht="15" customHeight="1" x14ac:dyDescent="0.25">
      <c r="B183" s="86" t="s">
        <v>331</v>
      </c>
      <c r="C183" s="87" t="s">
        <v>332</v>
      </c>
      <c r="D183" s="82" t="s">
        <v>269</v>
      </c>
      <c r="E183" s="83">
        <v>58</v>
      </c>
      <c r="F183" s="88">
        <v>33443</v>
      </c>
      <c r="G183" s="89">
        <f t="shared" si="6"/>
        <v>1939694</v>
      </c>
      <c r="H183" s="118" t="str">
        <f t="array" ref="H183:K183">_xlfn.XLOOKUP(C183,'ESAP NEIVA FASE II UNIFICADO'!$C$6:$C$720,'ESAP NEIVA FASE II UNIFICADO'!$C$6:$F$720,"NO ESTA")</f>
        <v xml:space="preserve">SUMINISTRO E INSTALACIÓN TUBERIA PVC-S DIAMETRO 3"                                                                        </v>
      </c>
      <c r="I183" t="str">
        <v xml:space="preserve">ML   </v>
      </c>
      <c r="J183">
        <v>157</v>
      </c>
      <c r="K183">
        <v>36135</v>
      </c>
      <c r="L183" s="115">
        <f t="shared" si="7"/>
        <v>36135</v>
      </c>
      <c r="M183" s="146">
        <f t="shared" si="8"/>
        <v>2095830</v>
      </c>
      <c r="N183" s="119"/>
    </row>
    <row r="184" spans="2:14" ht="15" customHeight="1" x14ac:dyDescent="0.25">
      <c r="B184" s="86" t="s">
        <v>333</v>
      </c>
      <c r="C184" s="87" t="s">
        <v>334</v>
      </c>
      <c r="D184" s="82" t="s">
        <v>269</v>
      </c>
      <c r="E184" s="83">
        <v>101</v>
      </c>
      <c r="F184" s="88">
        <v>47709</v>
      </c>
      <c r="G184" s="89">
        <f t="shared" si="6"/>
        <v>4818609</v>
      </c>
      <c r="H184" s="118" t="str">
        <f t="array" ref="H184:K184">_xlfn.XLOOKUP(C184,'ESAP NEIVA FASE II UNIFICADO'!$C$6:$C$720,'ESAP NEIVA FASE II UNIFICADO'!$C$6:$F$720,"NO ESTA")</f>
        <v xml:space="preserve">SUMINISTRO E INSTALACIÓN TUBERÍA PVC-S DIAMETRO 4"                                                                        </v>
      </c>
      <c r="I184" t="str">
        <v xml:space="preserve">ML   </v>
      </c>
      <c r="J184">
        <v>272</v>
      </c>
      <c r="K184">
        <v>51550</v>
      </c>
      <c r="L184" s="115">
        <f t="shared" si="7"/>
        <v>51550</v>
      </c>
      <c r="M184" s="146">
        <f t="shared" si="8"/>
        <v>5206550</v>
      </c>
      <c r="N184" s="119"/>
    </row>
    <row r="185" spans="2:14" ht="15" customHeight="1" x14ac:dyDescent="0.25">
      <c r="B185" s="86" t="s">
        <v>335</v>
      </c>
      <c r="C185" s="87" t="s">
        <v>336</v>
      </c>
      <c r="D185" s="82" t="s">
        <v>269</v>
      </c>
      <c r="E185" s="83">
        <v>26</v>
      </c>
      <c r="F185" s="88">
        <v>19775</v>
      </c>
      <c r="G185" s="89">
        <f t="shared" si="6"/>
        <v>514150</v>
      </c>
      <c r="H185" s="118" t="str">
        <f t="array" ref="H185:K185">_xlfn.XLOOKUP(C185,'ESAP NEIVA FASE II UNIFICADO'!$C$6:$C$720,'ESAP NEIVA FASE II UNIFICADO'!$C$6:$F$720,"NO ESTA")</f>
        <v xml:space="preserve">SUMINISTRO E INSTALACIÓN TUBERIA PVC-VENT DIAMETRO 2"                                                                     </v>
      </c>
      <c r="I185" t="str">
        <v xml:space="preserve">ML   </v>
      </c>
      <c r="J185">
        <v>72</v>
      </c>
      <c r="K185">
        <v>21367</v>
      </c>
      <c r="L185" s="115">
        <f t="shared" si="7"/>
        <v>21367</v>
      </c>
      <c r="M185" s="146">
        <f t="shared" si="8"/>
        <v>555542</v>
      </c>
      <c r="N185" s="119"/>
    </row>
    <row r="186" spans="2:14" ht="15" customHeight="1" x14ac:dyDescent="0.25">
      <c r="B186" s="86" t="s">
        <v>337</v>
      </c>
      <c r="C186" s="87" t="s">
        <v>338</v>
      </c>
      <c r="D186" s="82" t="s">
        <v>269</v>
      </c>
      <c r="E186" s="83">
        <v>36</v>
      </c>
      <c r="F186" s="88">
        <v>29401</v>
      </c>
      <c r="G186" s="89">
        <f t="shared" si="6"/>
        <v>1058436</v>
      </c>
      <c r="H186" s="118" t="str">
        <f t="array" ref="H186:K186">_xlfn.XLOOKUP(C186,'ESAP NEIVA FASE II UNIFICADO'!$C$6:$C$720,'ESAP NEIVA FASE II UNIFICADO'!$C$6:$F$720,"NO ESTA")</f>
        <v xml:space="preserve">SUMINISTRO E INSTALACIÓN TUBERIA PVC-VENT DIAMETRO 3"                                                                     </v>
      </c>
      <c r="I186" t="str">
        <v xml:space="preserve">ML   </v>
      </c>
      <c r="J186">
        <v>97</v>
      </c>
      <c r="K186">
        <v>31767</v>
      </c>
      <c r="L186" s="115">
        <f t="shared" si="7"/>
        <v>31767</v>
      </c>
      <c r="M186" s="146">
        <f t="shared" si="8"/>
        <v>1143612</v>
      </c>
      <c r="N186" s="119"/>
    </row>
    <row r="187" spans="2:14" ht="15" customHeight="1" x14ac:dyDescent="0.25">
      <c r="B187" s="86" t="s">
        <v>339</v>
      </c>
      <c r="C187" s="87" t="s">
        <v>340</v>
      </c>
      <c r="D187" s="82" t="s">
        <v>284</v>
      </c>
      <c r="E187" s="83">
        <v>45</v>
      </c>
      <c r="F187" s="88">
        <v>6952</v>
      </c>
      <c r="G187" s="89">
        <f t="shared" si="6"/>
        <v>312840</v>
      </c>
      <c r="H187" s="118" t="str">
        <f t="array" ref="H187:K187">_xlfn.XLOOKUP(C187,'ESAP NEIVA FASE II UNIFICADO'!$C$6:$C$720,'ESAP NEIVA FASE II UNIFICADO'!$C$6:$F$720,"NO ESTA")</f>
        <v xml:space="preserve">SUMINISTRO E INSTALACIÓN ACCESORIOS PVC-S DIAMETRO  2"                                                             </v>
      </c>
      <c r="I187" t="str">
        <v xml:space="preserve">UN   </v>
      </c>
      <c r="J187">
        <v>122</v>
      </c>
      <c r="K187">
        <v>7512</v>
      </c>
      <c r="L187" s="115">
        <f t="shared" si="7"/>
        <v>7512</v>
      </c>
      <c r="M187" s="146">
        <f t="shared" si="8"/>
        <v>338040</v>
      </c>
      <c r="N187" s="119"/>
    </row>
    <row r="188" spans="2:14" ht="15" customHeight="1" x14ac:dyDescent="0.25">
      <c r="B188" s="86" t="s">
        <v>341</v>
      </c>
      <c r="C188" s="87" t="s">
        <v>342</v>
      </c>
      <c r="D188" s="82" t="s">
        <v>284</v>
      </c>
      <c r="E188" s="83">
        <v>60</v>
      </c>
      <c r="F188" s="88">
        <v>9904</v>
      </c>
      <c r="G188" s="89">
        <f t="shared" si="6"/>
        <v>594240</v>
      </c>
      <c r="H188" s="118" t="str">
        <f t="array" ref="H188:K188">_xlfn.XLOOKUP(C188,'ESAP NEIVA FASE II UNIFICADO'!$C$6:$C$720,'ESAP NEIVA FASE II UNIFICADO'!$C$6:$F$720,"NO ESTA")</f>
        <v xml:space="preserve">SUMINISTRO E INSTALACIÓN ACCESORIOS PVC-S DIAMETRO  3"                                                             </v>
      </c>
      <c r="I188" t="str">
        <v xml:space="preserve">UN   </v>
      </c>
      <c r="J188">
        <v>161</v>
      </c>
      <c r="K188">
        <v>10700</v>
      </c>
      <c r="L188" s="115">
        <f t="shared" si="7"/>
        <v>10700</v>
      </c>
      <c r="M188" s="146">
        <f t="shared" si="8"/>
        <v>642000</v>
      </c>
      <c r="N188" s="119"/>
    </row>
    <row r="189" spans="2:14" ht="15" customHeight="1" x14ac:dyDescent="0.25">
      <c r="B189" s="86" t="s">
        <v>343</v>
      </c>
      <c r="C189" s="87" t="s">
        <v>344</v>
      </c>
      <c r="D189" s="82" t="s">
        <v>284</v>
      </c>
      <c r="E189" s="83">
        <v>106</v>
      </c>
      <c r="F189" s="88">
        <v>14553</v>
      </c>
      <c r="G189" s="89">
        <f t="shared" si="6"/>
        <v>1542618</v>
      </c>
      <c r="H189" s="118" t="str">
        <f t="array" ref="H189:K189">_xlfn.XLOOKUP(C189,'ESAP NEIVA FASE II UNIFICADO'!$C$6:$C$720,'ESAP NEIVA FASE II UNIFICADO'!$C$6:$F$720,"NO ESTA")</f>
        <v xml:space="preserve">SUMINISTRO E INSTALACIÓN ACCESORIOS PVC-S DIAMETRO  4"                                                             </v>
      </c>
      <c r="I189" t="str">
        <v xml:space="preserve">UN   </v>
      </c>
      <c r="J189">
        <v>288</v>
      </c>
      <c r="K189">
        <v>15725</v>
      </c>
      <c r="L189" s="115">
        <f t="shared" si="7"/>
        <v>15725</v>
      </c>
      <c r="M189" s="146">
        <f t="shared" si="8"/>
        <v>1666850</v>
      </c>
      <c r="N189" s="119"/>
    </row>
    <row r="190" spans="2:14" ht="15" customHeight="1" x14ac:dyDescent="0.25">
      <c r="B190" s="86" t="s">
        <v>345</v>
      </c>
      <c r="C190" s="87" t="s">
        <v>346</v>
      </c>
      <c r="D190" s="82" t="s">
        <v>284</v>
      </c>
      <c r="E190" s="83">
        <v>5</v>
      </c>
      <c r="F190" s="88">
        <v>4520</v>
      </c>
      <c r="G190" s="89">
        <f t="shared" si="6"/>
        <v>22600</v>
      </c>
      <c r="H190" s="118" t="str">
        <f t="array" ref="H190:K190">_xlfn.XLOOKUP(C190,'ESAP NEIVA FASE II UNIFICADO'!$C$6:$C$720,'ESAP NEIVA FASE II UNIFICADO'!$C$6:$F$720,"NO ESTA")</f>
        <v xml:space="preserve">SUMINISTRO E INSTALACIÓN SOPORTE 2"                                                                   </v>
      </c>
      <c r="I190" t="str">
        <v xml:space="preserve">UN   </v>
      </c>
      <c r="J190">
        <v>14</v>
      </c>
      <c r="K190">
        <v>4884</v>
      </c>
      <c r="L190" s="115">
        <f t="shared" si="7"/>
        <v>4884</v>
      </c>
      <c r="M190" s="146">
        <f t="shared" si="8"/>
        <v>24420</v>
      </c>
      <c r="N190" s="119"/>
    </row>
    <row r="191" spans="2:14" ht="15" customHeight="1" x14ac:dyDescent="0.25">
      <c r="B191" s="86" t="s">
        <v>347</v>
      </c>
      <c r="C191" s="87" t="s">
        <v>348</v>
      </c>
      <c r="D191" s="82" t="s">
        <v>284</v>
      </c>
      <c r="E191" s="83">
        <v>23</v>
      </c>
      <c r="F191" s="88">
        <v>5749</v>
      </c>
      <c r="G191" s="89">
        <f t="shared" si="6"/>
        <v>132227</v>
      </c>
      <c r="H191" s="118" t="str">
        <f t="array" ref="H191:K191">_xlfn.XLOOKUP(C191,'ESAP NEIVA FASE II UNIFICADO'!$C$6:$C$720,'ESAP NEIVA FASE II UNIFICADO'!$C$6:$F$720,"NO ESTA")</f>
        <v xml:space="preserve">SUMINISTRO E INSTALACIÓN SOPORTE 3"                                                                   </v>
      </c>
      <c r="I191" t="str">
        <v xml:space="preserve">UN   </v>
      </c>
      <c r="J191">
        <v>64</v>
      </c>
      <c r="K191">
        <v>6212</v>
      </c>
      <c r="L191" s="115">
        <f t="shared" si="7"/>
        <v>6212</v>
      </c>
      <c r="M191" s="146">
        <f t="shared" si="8"/>
        <v>142876</v>
      </c>
      <c r="N191" s="119"/>
    </row>
    <row r="192" spans="2:14" ht="15" customHeight="1" x14ac:dyDescent="0.25">
      <c r="B192" s="86" t="s">
        <v>349</v>
      </c>
      <c r="C192" s="87" t="s">
        <v>350</v>
      </c>
      <c r="D192" s="82" t="s">
        <v>284</v>
      </c>
      <c r="E192" s="83">
        <v>38</v>
      </c>
      <c r="F192" s="88">
        <v>11411</v>
      </c>
      <c r="G192" s="89">
        <f t="shared" si="6"/>
        <v>433618</v>
      </c>
      <c r="H192" s="118" t="str">
        <f t="array" ref="H192:K192">_xlfn.XLOOKUP(C192,'ESAP NEIVA FASE II UNIFICADO'!$C$6:$C$720,'ESAP NEIVA FASE II UNIFICADO'!$C$6:$F$720,"NO ESTA")</f>
        <v xml:space="preserve">SUMINISTRO E INSTALACIÓN SOPORTE 4"                                                                   </v>
      </c>
      <c r="I192" t="str">
        <v xml:space="preserve">UN   </v>
      </c>
      <c r="J192">
        <v>101</v>
      </c>
      <c r="K192">
        <v>12329</v>
      </c>
      <c r="L192" s="115">
        <f t="shared" si="7"/>
        <v>12329</v>
      </c>
      <c r="M192" s="146">
        <f t="shared" si="8"/>
        <v>468502</v>
      </c>
      <c r="N192" s="119"/>
    </row>
    <row r="193" spans="2:14" ht="15" customHeight="1" x14ac:dyDescent="0.25">
      <c r="B193" s="86" t="s">
        <v>351</v>
      </c>
      <c r="C193" s="87" t="s">
        <v>352</v>
      </c>
      <c r="D193" s="82" t="s">
        <v>284</v>
      </c>
      <c r="E193" s="83">
        <v>14</v>
      </c>
      <c r="F193" s="88">
        <v>38301</v>
      </c>
      <c r="G193" s="89">
        <f t="shared" si="6"/>
        <v>536214</v>
      </c>
      <c r="H193" s="118" t="str">
        <f t="array" ref="H193:K193">_xlfn.XLOOKUP(C193,'ESAP NEIVA FASE II UNIFICADO'!$C$6:$C$720,'ESAP NEIVA FASE II UNIFICADO'!$C$6:$F$720,"NO ESTA")</f>
        <v xml:space="preserve">SUMINISTRO E INSTALACIÓN SALIDA SANITARIA 2"                                    </v>
      </c>
      <c r="I193" t="str">
        <v xml:space="preserve">UN   </v>
      </c>
      <c r="J193">
        <v>36</v>
      </c>
      <c r="K193">
        <v>41384</v>
      </c>
      <c r="L193" s="115">
        <f t="shared" si="7"/>
        <v>41384</v>
      </c>
      <c r="M193" s="146">
        <f t="shared" si="8"/>
        <v>579376</v>
      </c>
      <c r="N193" s="119"/>
    </row>
    <row r="194" spans="2:14" ht="15" customHeight="1" x14ac:dyDescent="0.25">
      <c r="B194" s="86" t="s">
        <v>353</v>
      </c>
      <c r="C194" s="87" t="s">
        <v>354</v>
      </c>
      <c r="D194" s="82" t="s">
        <v>284</v>
      </c>
      <c r="E194" s="83">
        <v>9</v>
      </c>
      <c r="F194" s="88">
        <v>46295</v>
      </c>
      <c r="G194" s="89">
        <f t="shared" si="6"/>
        <v>416655</v>
      </c>
      <c r="H194" s="118" t="str">
        <f t="array" ref="H194:K194">_xlfn.XLOOKUP(C194,'ESAP NEIVA FASE II UNIFICADO'!$C$6:$C$720,'ESAP NEIVA FASE II UNIFICADO'!$C$6:$F$720,"NO ESTA")</f>
        <v xml:space="preserve">SUMINISTRO E INSTALACIÓN SALIDA SANITARIA 3"                                    </v>
      </c>
      <c r="I194" t="str">
        <v xml:space="preserve">UN   </v>
      </c>
      <c r="J194">
        <v>23</v>
      </c>
      <c r="K194">
        <v>50021</v>
      </c>
      <c r="L194" s="115">
        <f t="shared" si="7"/>
        <v>50021</v>
      </c>
      <c r="M194" s="146">
        <f t="shared" si="8"/>
        <v>450189</v>
      </c>
      <c r="N194" s="119"/>
    </row>
    <row r="195" spans="2:14" ht="15" customHeight="1" x14ac:dyDescent="0.25">
      <c r="B195" s="86" t="s">
        <v>355</v>
      </c>
      <c r="C195" s="87" t="s">
        <v>356</v>
      </c>
      <c r="D195" s="82" t="s">
        <v>284</v>
      </c>
      <c r="E195" s="83">
        <v>16</v>
      </c>
      <c r="F195" s="88">
        <v>56892</v>
      </c>
      <c r="G195" s="89">
        <f t="shared" si="6"/>
        <v>910272</v>
      </c>
      <c r="H195" s="118" t="str">
        <f t="array" ref="H195:K195">_xlfn.XLOOKUP(C195,'ESAP NEIVA FASE II UNIFICADO'!$C$6:$C$720,'ESAP NEIVA FASE II UNIFICADO'!$C$6:$F$720,"NO ESTA")</f>
        <v xml:space="preserve">SUMINISTRO E INSTALACIÓN SALIDA SANITARIA 4"                                    </v>
      </c>
      <c r="I195" t="str">
        <v xml:space="preserve">UN   </v>
      </c>
      <c r="J195">
        <v>42</v>
      </c>
      <c r="K195">
        <v>61472</v>
      </c>
      <c r="L195" s="115">
        <f t="shared" si="7"/>
        <v>61472</v>
      </c>
      <c r="M195" s="146">
        <f t="shared" si="8"/>
        <v>983552</v>
      </c>
      <c r="N195" s="119"/>
    </row>
    <row r="196" spans="2:14" ht="15" customHeight="1" x14ac:dyDescent="0.25">
      <c r="B196" s="86" t="s">
        <v>357</v>
      </c>
      <c r="C196" s="87" t="s">
        <v>358</v>
      </c>
      <c r="D196" s="82" t="s">
        <v>284</v>
      </c>
      <c r="E196" s="83">
        <v>1</v>
      </c>
      <c r="F196" s="88">
        <v>501903</v>
      </c>
      <c r="G196" s="89">
        <f t="shared" si="6"/>
        <v>501903</v>
      </c>
      <c r="H196" s="118" t="str">
        <f t="array" ref="H196:K196">_xlfn.XLOOKUP(C196,'ESAP NEIVA FASE II UNIFICADO'!$C$6:$C$720,'ESAP NEIVA FASE II UNIFICADO'!$C$6:$F$720,"NO ESTA")</f>
        <v xml:space="preserve">SUMINISTRO Y CONSTRUCCIÓN CAJA DE INSPECCIÓN 0.80mX0.80m H mäx:1.0m                                                                    </v>
      </c>
      <c r="I196" t="str">
        <v xml:space="preserve">UN   </v>
      </c>
      <c r="J196">
        <v>1</v>
      </c>
      <c r="K196">
        <v>542308</v>
      </c>
      <c r="L196" s="115">
        <f t="shared" si="7"/>
        <v>542308</v>
      </c>
      <c r="M196" s="146">
        <f t="shared" si="8"/>
        <v>542308</v>
      </c>
      <c r="N196" s="119"/>
    </row>
    <row r="197" spans="2:14" ht="15" customHeight="1" x14ac:dyDescent="0.25">
      <c r="B197" s="86" t="s">
        <v>359</v>
      </c>
      <c r="C197" s="87" t="s">
        <v>360</v>
      </c>
      <c r="D197" s="82" t="s">
        <v>269</v>
      </c>
      <c r="E197" s="83">
        <v>11</v>
      </c>
      <c r="F197" s="88">
        <v>42386</v>
      </c>
      <c r="G197" s="89">
        <f t="shared" si="6"/>
        <v>466246</v>
      </c>
      <c r="H197" s="118" t="str">
        <f t="array" ref="H197:K197">_xlfn.XLOOKUP(C197,'ESAP NEIVA FASE II UNIFICADO'!$C$6:$C$720,'ESAP NEIVA FASE II UNIFICADO'!$C$6:$F$720,"NO ESTA")</f>
        <v xml:space="preserve">SUMINISTRO E INSTALACIÓN TUBERIA PVC-ALC DIAMETRO 160mm                                                                   </v>
      </c>
      <c r="I197" t="str">
        <v xml:space="preserve">ML   </v>
      </c>
      <c r="J197">
        <v>29</v>
      </c>
      <c r="K197">
        <v>45798</v>
      </c>
      <c r="L197" s="115">
        <f t="shared" si="7"/>
        <v>45798</v>
      </c>
      <c r="M197" s="146">
        <f t="shared" si="8"/>
        <v>503778</v>
      </c>
      <c r="N197" s="119"/>
    </row>
    <row r="198" spans="2:14" ht="15" customHeight="1" x14ac:dyDescent="0.25">
      <c r="B198" s="86" t="s">
        <v>361</v>
      </c>
      <c r="C198" s="87" t="s">
        <v>362</v>
      </c>
      <c r="D198" s="82" t="s">
        <v>269</v>
      </c>
      <c r="E198" s="83">
        <v>3</v>
      </c>
      <c r="F198" s="88">
        <v>59190</v>
      </c>
      <c r="G198" s="89">
        <f t="shared" ref="G198:G261" si="9">ROUND(+F198*E198,2)</f>
        <v>177570</v>
      </c>
      <c r="H198" s="118" t="str">
        <f t="array" ref="H198:K198">_xlfn.XLOOKUP(C198,'ESAP NEIVA FASE II UNIFICADO'!$C$6:$C$720,'ESAP NEIVA FASE II UNIFICADO'!$C$6:$F$720,"NO ESTA")</f>
        <v xml:space="preserve">SUMINISTRO E INSTALACIÓN TUBERIA PVC-ALC DIAMETRO 200mm                                                                   </v>
      </c>
      <c r="I198" t="str">
        <v xml:space="preserve">ML   </v>
      </c>
      <c r="J198">
        <v>7</v>
      </c>
      <c r="K198">
        <v>63955</v>
      </c>
      <c r="L198" s="115">
        <f t="shared" ref="L198:L261" si="10">MAX(K198,F198)</f>
        <v>63955</v>
      </c>
      <c r="M198" s="146">
        <f t="shared" ref="M198:M261" si="11">L198*E198</f>
        <v>191865</v>
      </c>
      <c r="N198" s="119"/>
    </row>
    <row r="199" spans="2:14" ht="15" customHeight="1" x14ac:dyDescent="0.25">
      <c r="B199" s="86" t="s">
        <v>363</v>
      </c>
      <c r="C199" s="87" t="s">
        <v>364</v>
      </c>
      <c r="D199" s="82" t="s">
        <v>269</v>
      </c>
      <c r="E199" s="83">
        <v>11</v>
      </c>
      <c r="F199" s="88">
        <v>89928</v>
      </c>
      <c r="G199" s="89">
        <f t="shared" si="9"/>
        <v>989208</v>
      </c>
      <c r="H199" s="118" t="str">
        <f t="array" ref="H199:K199">_xlfn.XLOOKUP(C199,'ESAP NEIVA FASE II UNIFICADO'!$C$6:$C$720,'ESAP NEIVA FASE II UNIFICADO'!$C$6:$F$720,"NO ESTA")</f>
        <v xml:space="preserve">SUMINISTRO E INSTALACIÓN TUBERÍA PVC-P DIAMETRO 4"                                                        </v>
      </c>
      <c r="I199" t="str">
        <v xml:space="preserve">ML   </v>
      </c>
      <c r="J199">
        <v>29</v>
      </c>
      <c r="K199">
        <v>97168</v>
      </c>
      <c r="L199" s="115">
        <f t="shared" si="10"/>
        <v>97168</v>
      </c>
      <c r="M199" s="146">
        <f t="shared" si="11"/>
        <v>1068848</v>
      </c>
      <c r="N199" s="119"/>
    </row>
    <row r="200" spans="2:14" ht="15" customHeight="1" x14ac:dyDescent="0.25">
      <c r="B200" s="86" t="s">
        <v>365</v>
      </c>
      <c r="C200" s="87" t="s">
        <v>366</v>
      </c>
      <c r="D200" s="82" t="s">
        <v>284</v>
      </c>
      <c r="E200" s="83">
        <v>5</v>
      </c>
      <c r="F200" s="88">
        <v>72421</v>
      </c>
      <c r="G200" s="89">
        <f t="shared" si="9"/>
        <v>362105</v>
      </c>
      <c r="H200" s="118" t="str">
        <f t="array" ref="H200:K200">_xlfn.XLOOKUP(C200,'ESAP NEIVA FASE II UNIFICADO'!$C$6:$C$720,'ESAP NEIVA FASE II UNIFICADO'!$C$6:$F$720,"NO ESTA")</f>
        <v xml:space="preserve">SUMINISTRO E INSTALACIÓN ACCESORIOS PVC-P DIAMETRO 4"                                                             </v>
      </c>
      <c r="I200" t="str">
        <v xml:space="preserve">UN   </v>
      </c>
      <c r="J200">
        <v>15</v>
      </c>
      <c r="K200">
        <v>78251</v>
      </c>
      <c r="L200" s="115">
        <f t="shared" si="10"/>
        <v>78251</v>
      </c>
      <c r="M200" s="146">
        <f t="shared" si="11"/>
        <v>391255</v>
      </c>
      <c r="N200" s="119"/>
    </row>
    <row r="201" spans="2:14" ht="15" customHeight="1" x14ac:dyDescent="0.25">
      <c r="B201" s="80" t="s">
        <v>367</v>
      </c>
      <c r="C201" s="81" t="s">
        <v>368</v>
      </c>
      <c r="D201" s="82" t="s">
        <v>369</v>
      </c>
      <c r="E201" s="83"/>
      <c r="F201" s="90"/>
      <c r="G201" s="89">
        <f t="shared" si="9"/>
        <v>0</v>
      </c>
      <c r="H201" s="118" t="str">
        <f t="array" ref="H201:K201">_xlfn.XLOOKUP(C201,'ESAP NEIVA FASE II UNIFICADO'!$C$6:$C$720,'ESAP NEIVA FASE II UNIFICADO'!$C$6:$F$720,"NO ESTA")</f>
        <v>SUMINISTRO E INSTALACIÓN DE APARATOS SANITARIOS</v>
      </c>
      <c r="I201" t="str">
        <v xml:space="preserve">     </v>
      </c>
      <c r="J201">
        <v>0</v>
      </c>
      <c r="K201">
        <v>0</v>
      </c>
      <c r="L201" s="115">
        <f t="shared" si="10"/>
        <v>0</v>
      </c>
      <c r="M201" s="146">
        <f t="shared" si="11"/>
        <v>0</v>
      </c>
      <c r="N201" s="119"/>
    </row>
    <row r="202" spans="2:14" ht="15" customHeight="1" x14ac:dyDescent="0.25">
      <c r="B202" s="86" t="s">
        <v>370</v>
      </c>
      <c r="C202" s="87" t="s">
        <v>371</v>
      </c>
      <c r="D202" s="82" t="s">
        <v>284</v>
      </c>
      <c r="E202" s="83">
        <v>28</v>
      </c>
      <c r="F202" s="88">
        <v>1023434</v>
      </c>
      <c r="G202" s="89">
        <f t="shared" si="9"/>
        <v>28656152</v>
      </c>
      <c r="H202" s="118" t="str">
        <f t="array" ref="H202:K202">_xlfn.XLOOKUP(C202,'ESAP NEIVA FASE II UNIFICADO'!$C$6:$C$720,'ESAP NEIVA FASE II UNIFICADO'!$C$6:$F$720,"NO ESTA")</f>
        <v>SUMINISTRO E INSTALACIÓN SANITARIO INSTITUCIONAL incluye FLUXOMETRO</v>
      </c>
      <c r="I202" t="str">
        <v xml:space="preserve">UN   </v>
      </c>
      <c r="J202">
        <v>24</v>
      </c>
      <c r="K202">
        <v>1105824</v>
      </c>
      <c r="L202" s="115">
        <f t="shared" si="10"/>
        <v>1105824</v>
      </c>
      <c r="M202" s="146">
        <f t="shared" si="11"/>
        <v>30963072</v>
      </c>
      <c r="N202" s="119"/>
    </row>
    <row r="203" spans="2:14" ht="15" customHeight="1" x14ac:dyDescent="0.25">
      <c r="B203" s="86" t="s">
        <v>372</v>
      </c>
      <c r="C203" s="87" t="s">
        <v>373</v>
      </c>
      <c r="D203" s="82" t="s">
        <v>374</v>
      </c>
      <c r="E203" s="83">
        <v>4</v>
      </c>
      <c r="F203" s="88">
        <v>620120</v>
      </c>
      <c r="G203" s="89">
        <f t="shared" si="9"/>
        <v>2480480</v>
      </c>
      <c r="H203" s="118" t="str">
        <f t="array" ref="H203:K203">_xlfn.XLOOKUP(C203,'ESAP NEIVA FASE II UNIFICADO'!$C$6:$C$720,'ESAP NEIVA FASE II UNIFICADO'!$C$6:$F$720,"NO ESTA")</f>
        <v xml:space="preserve">SUMINISTRO E INSTALACIÓN SANITARIO DE BAJO CONSUMO </v>
      </c>
      <c r="I203" t="str">
        <v>UN</v>
      </c>
      <c r="J203">
        <v>4</v>
      </c>
      <c r="K203">
        <v>670042</v>
      </c>
      <c r="L203" s="115">
        <f t="shared" si="10"/>
        <v>670042</v>
      </c>
      <c r="M203" s="146">
        <f t="shared" si="11"/>
        <v>2680168</v>
      </c>
      <c r="N203" s="119"/>
    </row>
    <row r="204" spans="2:14" ht="15" customHeight="1" x14ac:dyDescent="0.25">
      <c r="B204" s="86" t="s">
        <v>375</v>
      </c>
      <c r="C204" s="87" t="s">
        <v>376</v>
      </c>
      <c r="D204" s="82" t="s">
        <v>284</v>
      </c>
      <c r="E204" s="83">
        <v>12</v>
      </c>
      <c r="F204" s="88">
        <v>701257</v>
      </c>
      <c r="G204" s="89">
        <f t="shared" si="9"/>
        <v>8415084</v>
      </c>
      <c r="H204" s="118" t="str">
        <f t="array" ref="H204:K204">_xlfn.XLOOKUP(C204,'ESAP NEIVA FASE II UNIFICADO'!$C$6:$C$720,'ESAP NEIVA FASE II UNIFICADO'!$C$6:$F$720,"NO ESTA")</f>
        <v>SUMINISTRO E INSTALACIÓN ORINAL</v>
      </c>
      <c r="I204" t="str">
        <v xml:space="preserve">UN   </v>
      </c>
      <c r="J204">
        <v>9</v>
      </c>
      <c r="K204">
        <v>757710</v>
      </c>
      <c r="L204" s="115">
        <f t="shared" si="10"/>
        <v>757710</v>
      </c>
      <c r="M204" s="146">
        <f t="shared" si="11"/>
        <v>9092520</v>
      </c>
      <c r="N204" s="119"/>
    </row>
    <row r="205" spans="2:14" ht="24.75" customHeight="1" x14ac:dyDescent="0.25">
      <c r="B205" s="86" t="s">
        <v>377</v>
      </c>
      <c r="C205" s="87" t="s">
        <v>378</v>
      </c>
      <c r="D205" s="82" t="s">
        <v>94</v>
      </c>
      <c r="E205" s="83">
        <v>14</v>
      </c>
      <c r="F205" s="88">
        <v>201866</v>
      </c>
      <c r="G205" s="89">
        <f t="shared" si="9"/>
        <v>2826124</v>
      </c>
      <c r="H205" s="118" t="str">
        <f t="array" ref="H205:K205">_xlfn.XLOOKUP(C205,'ESAP NEIVA FASE II UNIFICADO'!$C$6:$C$720,'ESAP NEIVA FASE II UNIFICADO'!$C$6:$F$720,"NO ESTA")</f>
        <v>SUMINISTRO E INSTALACIÓN MESÓN EN GRANITO NEGRO ABSOLUTO o similar, ANCHO 0.60m</v>
      </c>
      <c r="I205" t="str">
        <v>ML</v>
      </c>
      <c r="J205">
        <v>13</v>
      </c>
      <c r="K205">
        <v>218116</v>
      </c>
      <c r="L205" s="115">
        <f t="shared" si="10"/>
        <v>218116</v>
      </c>
      <c r="M205" s="146">
        <f t="shared" si="11"/>
        <v>3053624</v>
      </c>
      <c r="N205" s="119"/>
    </row>
    <row r="206" spans="2:14" ht="15" customHeight="1" x14ac:dyDescent="0.25">
      <c r="B206" s="86" t="s">
        <v>379</v>
      </c>
      <c r="C206" s="87" t="s">
        <v>380</v>
      </c>
      <c r="D206" s="82" t="s">
        <v>284</v>
      </c>
      <c r="E206" s="83">
        <v>20</v>
      </c>
      <c r="F206" s="88">
        <v>544981</v>
      </c>
      <c r="G206" s="89">
        <f t="shared" si="9"/>
        <v>10899620</v>
      </c>
      <c r="H206" s="118" t="str">
        <f t="array" ref="H206:K206">_xlfn.XLOOKUP(C206,'ESAP NEIVA FASE II UNIFICADO'!$C$6:$C$720,'ESAP NEIVA FASE II UNIFICADO'!$C$6:$F$720,"NO ESTA")</f>
        <v xml:space="preserve">SUMINISTRO E INSTALACIÓN LAVAMANOS SOBREPONER </v>
      </c>
      <c r="I206" t="str">
        <v xml:space="preserve">UN   </v>
      </c>
      <c r="J206">
        <v>18</v>
      </c>
      <c r="K206">
        <v>588854</v>
      </c>
      <c r="L206" s="115">
        <f t="shared" si="10"/>
        <v>588854</v>
      </c>
      <c r="M206" s="146">
        <f t="shared" si="11"/>
        <v>11777080</v>
      </c>
      <c r="N206" s="119"/>
    </row>
    <row r="207" spans="2:14" ht="15" customHeight="1" x14ac:dyDescent="0.25">
      <c r="B207" s="86" t="s">
        <v>381</v>
      </c>
      <c r="C207" s="87" t="s">
        <v>382</v>
      </c>
      <c r="D207" s="82" t="s">
        <v>284</v>
      </c>
      <c r="E207" s="83">
        <v>3</v>
      </c>
      <c r="F207" s="88">
        <v>515435</v>
      </c>
      <c r="G207" s="89">
        <f t="shared" si="9"/>
        <v>1546305</v>
      </c>
      <c r="H207" s="118" t="str">
        <f t="array" ref="H207:K207">_xlfn.XLOOKUP(C207,'ESAP NEIVA FASE II UNIFICADO'!$C$6:$C$720,'ESAP NEIVA FASE II UNIFICADO'!$C$6:$F$720,"NO ESTA")</f>
        <v>SUMINISTRO E INSTALACIÓN LAVAMANOS PEDESTAL</v>
      </c>
      <c r="I207" t="str">
        <v xml:space="preserve">UN   </v>
      </c>
      <c r="J207">
        <v>3</v>
      </c>
      <c r="K207">
        <v>556929</v>
      </c>
      <c r="L207" s="115">
        <f t="shared" si="10"/>
        <v>556929</v>
      </c>
      <c r="M207" s="146">
        <f t="shared" si="11"/>
        <v>1670787</v>
      </c>
      <c r="N207" s="119"/>
    </row>
    <row r="208" spans="2:14" ht="24.75" customHeight="1" x14ac:dyDescent="0.25">
      <c r="B208" s="86" t="s">
        <v>383</v>
      </c>
      <c r="C208" s="87" t="s">
        <v>384</v>
      </c>
      <c r="D208" s="82" t="s">
        <v>13</v>
      </c>
      <c r="E208" s="83">
        <v>12</v>
      </c>
      <c r="F208" s="88">
        <v>84082</v>
      </c>
      <c r="G208" s="89">
        <f t="shared" si="9"/>
        <v>1008984</v>
      </c>
      <c r="H208" s="118" t="str">
        <f t="array" ref="H208:K208">_xlfn.XLOOKUP(C208,'ESAP NEIVA FASE II UNIFICADO'!$C$6:$C$720,'ESAP NEIVA FASE II UNIFICADO'!$C$6:$F$720,"NO ESTA")</f>
        <v>SUMINISTRO E INSTALACIÓN ESPEJO e=4MM PEGADO SOBRE BASTIDOR EN ALUMINIO DE 2X1</v>
      </c>
      <c r="I208" t="str">
        <v>M2</v>
      </c>
      <c r="J208">
        <v>11</v>
      </c>
      <c r="K208">
        <v>90851</v>
      </c>
      <c r="L208" s="115">
        <f t="shared" si="10"/>
        <v>90851</v>
      </c>
      <c r="M208" s="146">
        <f t="shared" si="11"/>
        <v>1090212</v>
      </c>
      <c r="N208" s="119"/>
    </row>
    <row r="209" spans="2:14" ht="15" customHeight="1" x14ac:dyDescent="0.25">
      <c r="B209" s="86" t="s">
        <v>385</v>
      </c>
      <c r="C209" s="87" t="s">
        <v>386</v>
      </c>
      <c r="D209" s="82" t="s">
        <v>284</v>
      </c>
      <c r="E209" s="83">
        <v>2</v>
      </c>
      <c r="F209" s="88">
        <v>40840</v>
      </c>
      <c r="G209" s="89">
        <f t="shared" si="9"/>
        <v>81680</v>
      </c>
      <c r="H209" s="118" t="str">
        <f t="array" ref="H209:K209">_xlfn.XLOOKUP(C209,'ESAP NEIVA FASE II UNIFICADO'!$C$6:$C$720,'ESAP NEIVA FASE II UNIFICADO'!$C$6:$F$720,"NO ESTA")</f>
        <v>SUMINISTRO E INSTALACIÓN LLAVES MANGUERA</v>
      </c>
      <c r="I209" t="str">
        <v xml:space="preserve">UN   </v>
      </c>
      <c r="J209">
        <v>1</v>
      </c>
      <c r="K209">
        <v>44128</v>
      </c>
      <c r="L209" s="115">
        <f t="shared" si="10"/>
        <v>44128</v>
      </c>
      <c r="M209" s="146">
        <f t="shared" si="11"/>
        <v>88256</v>
      </c>
      <c r="N209" s="119"/>
    </row>
    <row r="210" spans="2:14" ht="15" customHeight="1" x14ac:dyDescent="0.25">
      <c r="B210" s="80" t="s">
        <v>387</v>
      </c>
      <c r="C210" s="81" t="s">
        <v>388</v>
      </c>
      <c r="D210" s="82"/>
      <c r="E210" s="83"/>
      <c r="F210" s="90"/>
      <c r="G210" s="89">
        <f t="shared" si="9"/>
        <v>0</v>
      </c>
      <c r="H210" s="118" t="str">
        <f t="array" ref="H210:K210">_xlfn.XLOOKUP(C210,'ESAP NEIVA FASE II UNIFICADO'!$C$6:$C$720,'ESAP NEIVA FASE II UNIFICADO'!$C$6:$F$720,"NO ESTA")</f>
        <v xml:space="preserve">SUMINISTRO E INSTALACION RED DESAGÜES AGUAS LLUVIAS                                                                                 </v>
      </c>
      <c r="I210">
        <v>0</v>
      </c>
      <c r="J210">
        <v>0</v>
      </c>
      <c r="K210">
        <v>0</v>
      </c>
      <c r="L210" s="115">
        <f t="shared" si="10"/>
        <v>0</v>
      </c>
      <c r="M210" s="146">
        <f t="shared" si="11"/>
        <v>0</v>
      </c>
      <c r="N210" s="119"/>
    </row>
    <row r="211" spans="2:14" ht="15" customHeight="1" x14ac:dyDescent="0.25">
      <c r="B211" s="86" t="s">
        <v>389</v>
      </c>
      <c r="C211" s="87" t="s">
        <v>390</v>
      </c>
      <c r="D211" s="82" t="s">
        <v>269</v>
      </c>
      <c r="E211" s="83">
        <v>92</v>
      </c>
      <c r="F211" s="88">
        <v>33443</v>
      </c>
      <c r="G211" s="89">
        <f t="shared" si="9"/>
        <v>3076756</v>
      </c>
      <c r="H211" s="118" t="str">
        <f t="array" ref="H211:K211">_xlfn.XLOOKUP(C211,'ESAP NEIVA FASE II UNIFICADO'!$C$6:$C$720,'ESAP NEIVA FASE II UNIFICADO'!$C$6:$F$720,"NO ESTA")</f>
        <v xml:space="preserve">SUMINISTRO E INSTALACIÓN TUBERIA PVC-S DIAMETRO  3 PUL                                                                 </v>
      </c>
      <c r="I211" t="str">
        <v xml:space="preserve">ML   </v>
      </c>
      <c r="J211">
        <v>248</v>
      </c>
      <c r="K211">
        <v>36135</v>
      </c>
      <c r="L211" s="115">
        <f t="shared" si="10"/>
        <v>36135</v>
      </c>
      <c r="M211" s="146">
        <f t="shared" si="11"/>
        <v>3324420</v>
      </c>
      <c r="N211" s="119"/>
    </row>
    <row r="212" spans="2:14" ht="15" customHeight="1" x14ac:dyDescent="0.25">
      <c r="B212" s="86" t="s">
        <v>391</v>
      </c>
      <c r="C212" s="87" t="s">
        <v>392</v>
      </c>
      <c r="D212" s="82" t="s">
        <v>269</v>
      </c>
      <c r="E212" s="83">
        <v>45</v>
      </c>
      <c r="F212" s="88">
        <v>47709</v>
      </c>
      <c r="G212" s="89">
        <f t="shared" si="9"/>
        <v>2146905</v>
      </c>
      <c r="H212" s="118" t="str">
        <f t="array" ref="H212:K212">_xlfn.XLOOKUP(C212,'ESAP NEIVA FASE II UNIFICADO'!$C$6:$C$720,'ESAP NEIVA FASE II UNIFICADO'!$C$6:$F$720,"NO ESTA")</f>
        <v xml:space="preserve">SUMINISTRO E INSTALACIÓN TUBERIA PVC-S DIAMETRO 4 PUL                                                                 </v>
      </c>
      <c r="I212" t="str">
        <v xml:space="preserve">ML   </v>
      </c>
      <c r="J212">
        <v>122</v>
      </c>
      <c r="K212">
        <v>51550</v>
      </c>
      <c r="L212" s="115">
        <f t="shared" si="10"/>
        <v>51550</v>
      </c>
      <c r="M212" s="146">
        <f t="shared" si="11"/>
        <v>2319750</v>
      </c>
      <c r="N212" s="119"/>
    </row>
    <row r="213" spans="2:14" ht="15" customHeight="1" x14ac:dyDescent="0.25">
      <c r="B213" s="86" t="s">
        <v>393</v>
      </c>
      <c r="C213" s="87" t="s">
        <v>394</v>
      </c>
      <c r="D213" s="82" t="s">
        <v>269</v>
      </c>
      <c r="E213" s="83">
        <v>60</v>
      </c>
      <c r="F213" s="88">
        <v>86220</v>
      </c>
      <c r="G213" s="89">
        <f t="shared" si="9"/>
        <v>5173200</v>
      </c>
      <c r="H213" s="118" t="str">
        <f t="array" ref="H213:K213">_xlfn.XLOOKUP(C213,'ESAP NEIVA FASE II UNIFICADO'!$C$6:$C$720,'ESAP NEIVA FASE II UNIFICADO'!$C$6:$F$720,"NO ESTA")</f>
        <v xml:space="preserve">SUMINISTRO E INSTALACIÓN TUBERIA PVC-S DIAMETRO 6 PUL                                                                 </v>
      </c>
      <c r="I213" t="str">
        <v xml:space="preserve">ML   </v>
      </c>
      <c r="J213">
        <v>161</v>
      </c>
      <c r="K213">
        <v>93160</v>
      </c>
      <c r="L213" s="115">
        <f t="shared" si="10"/>
        <v>93160</v>
      </c>
      <c r="M213" s="146">
        <f t="shared" si="11"/>
        <v>5589600</v>
      </c>
      <c r="N213" s="119"/>
    </row>
    <row r="214" spans="2:14" ht="15" customHeight="1" x14ac:dyDescent="0.25">
      <c r="B214" s="86" t="s">
        <v>395</v>
      </c>
      <c r="C214" s="87" t="s">
        <v>396</v>
      </c>
      <c r="D214" s="82" t="s">
        <v>374</v>
      </c>
      <c r="E214" s="83">
        <v>38</v>
      </c>
      <c r="F214" s="88">
        <v>9904</v>
      </c>
      <c r="G214" s="89">
        <f t="shared" si="9"/>
        <v>376352</v>
      </c>
      <c r="H214" s="118" t="str">
        <f t="array" ref="H214:K214">_xlfn.XLOOKUP(C214,'ESAP NEIVA FASE II UNIFICADO'!$C$6:$C$720,'ESAP NEIVA FASE II UNIFICADO'!$C$6:$F$720,"NO ESTA")</f>
        <v xml:space="preserve">SUMINISTRO E INSTALACIÓN ACCESORIOS PVC-S DIAMETRO 3"                                                             </v>
      </c>
      <c r="I214" t="str">
        <v>UN</v>
      </c>
      <c r="J214">
        <v>101</v>
      </c>
      <c r="K214">
        <v>10700</v>
      </c>
      <c r="L214" s="115">
        <f t="shared" si="10"/>
        <v>10700</v>
      </c>
      <c r="M214" s="146">
        <f t="shared" si="11"/>
        <v>406600</v>
      </c>
      <c r="N214" s="119"/>
    </row>
    <row r="215" spans="2:14" ht="15" customHeight="1" x14ac:dyDescent="0.25">
      <c r="B215" s="86" t="s">
        <v>397</v>
      </c>
      <c r="C215" s="87" t="s">
        <v>398</v>
      </c>
      <c r="D215" s="82" t="s">
        <v>374</v>
      </c>
      <c r="E215" s="83">
        <v>21</v>
      </c>
      <c r="F215" s="88">
        <v>14553</v>
      </c>
      <c r="G215" s="89">
        <f t="shared" si="9"/>
        <v>305613</v>
      </c>
      <c r="H215" s="118" t="str">
        <f t="array" ref="H215:K215">_xlfn.XLOOKUP(C215,'ESAP NEIVA FASE II UNIFICADO'!$C$6:$C$720,'ESAP NEIVA FASE II UNIFICADO'!$C$6:$F$720,"NO ESTA")</f>
        <v xml:space="preserve">SUMINISTRO E INSTALACIÓN ACCESORIOS PVC-S DIAMETRO 4"                                                             </v>
      </c>
      <c r="I215" t="str">
        <v>UN</v>
      </c>
      <c r="J215">
        <v>58</v>
      </c>
      <c r="K215">
        <v>15725</v>
      </c>
      <c r="L215" s="115">
        <f t="shared" si="10"/>
        <v>15725</v>
      </c>
      <c r="M215" s="146">
        <f t="shared" si="11"/>
        <v>330225</v>
      </c>
      <c r="N215" s="119"/>
    </row>
    <row r="216" spans="2:14" ht="15" customHeight="1" x14ac:dyDescent="0.25">
      <c r="B216" s="86" t="s">
        <v>399</v>
      </c>
      <c r="C216" s="87" t="s">
        <v>400</v>
      </c>
      <c r="D216" s="82" t="s">
        <v>374</v>
      </c>
      <c r="E216" s="83">
        <v>25</v>
      </c>
      <c r="F216" s="88">
        <v>69355</v>
      </c>
      <c r="G216" s="89">
        <f t="shared" si="9"/>
        <v>1733875</v>
      </c>
      <c r="H216" s="118" t="str">
        <f t="array" ref="H216:K216">_xlfn.XLOOKUP(C216,'ESAP NEIVA FASE II UNIFICADO'!$C$6:$C$720,'ESAP NEIVA FASE II UNIFICADO'!$C$6:$F$720,"NO ESTA")</f>
        <v xml:space="preserve">SUMINISTRO E INSTALACIÓN ACCESORIOS PVC-S DIAMETRO 6"                                                             </v>
      </c>
      <c r="I216" t="str">
        <v>UN</v>
      </c>
      <c r="J216">
        <v>68</v>
      </c>
      <c r="K216">
        <v>74938</v>
      </c>
      <c r="L216" s="115">
        <f t="shared" si="10"/>
        <v>74938</v>
      </c>
      <c r="M216" s="146">
        <f t="shared" si="11"/>
        <v>1873450</v>
      </c>
      <c r="N216" s="119"/>
    </row>
    <row r="217" spans="2:14" ht="15" customHeight="1" x14ac:dyDescent="0.25">
      <c r="B217" s="86" t="s">
        <v>401</v>
      </c>
      <c r="C217" s="87" t="s">
        <v>402</v>
      </c>
      <c r="D217" s="82" t="s">
        <v>269</v>
      </c>
      <c r="E217" s="83">
        <v>12</v>
      </c>
      <c r="F217" s="88">
        <v>46295</v>
      </c>
      <c r="G217" s="89">
        <f t="shared" si="9"/>
        <v>555540</v>
      </c>
      <c r="H217" s="118" t="str">
        <f t="array" ref="H217:K217">_xlfn.XLOOKUP(C217,'ESAP NEIVA FASE II UNIFICADO'!$C$6:$C$720,'ESAP NEIVA FASE II UNIFICADO'!$C$6:$F$720,"NO ESTA")</f>
        <v xml:space="preserve">SUMINISTRO E INSTALACIÓN SALIDA SANITARIA DIAMETRO 3 PULG                                                               </v>
      </c>
      <c r="I217" t="str">
        <v xml:space="preserve">ML   </v>
      </c>
      <c r="J217">
        <v>31</v>
      </c>
      <c r="K217">
        <v>50021</v>
      </c>
      <c r="L217" s="115">
        <f t="shared" si="10"/>
        <v>50021</v>
      </c>
      <c r="M217" s="146">
        <f t="shared" si="11"/>
        <v>600252</v>
      </c>
      <c r="N217" s="119"/>
    </row>
    <row r="218" spans="2:14" ht="15" customHeight="1" x14ac:dyDescent="0.25">
      <c r="B218" s="86" t="s">
        <v>403</v>
      </c>
      <c r="C218" s="87" t="s">
        <v>404</v>
      </c>
      <c r="D218" s="82" t="s">
        <v>269</v>
      </c>
      <c r="E218" s="83">
        <v>8</v>
      </c>
      <c r="F218" s="88">
        <v>56892</v>
      </c>
      <c r="G218" s="89">
        <f t="shared" si="9"/>
        <v>455136</v>
      </c>
      <c r="H218" s="118" t="str">
        <f t="array" ref="H218:K218">_xlfn.XLOOKUP(C218,'ESAP NEIVA FASE II UNIFICADO'!$C$6:$C$720,'ESAP NEIVA FASE II UNIFICADO'!$C$6:$F$720,"NO ESTA")</f>
        <v xml:space="preserve">SUMINISTRO E INSTALACIÓN SALIDA SANITARIA DIAMETRO 4 PULG                                                               </v>
      </c>
      <c r="I218" t="str">
        <v xml:space="preserve">ML   </v>
      </c>
      <c r="J218">
        <v>23</v>
      </c>
      <c r="K218">
        <v>61472</v>
      </c>
      <c r="L218" s="115">
        <f t="shared" si="10"/>
        <v>61472</v>
      </c>
      <c r="M218" s="146">
        <f t="shared" si="11"/>
        <v>491776</v>
      </c>
      <c r="N218" s="119"/>
    </row>
    <row r="219" spans="2:14" ht="15" customHeight="1" x14ac:dyDescent="0.25">
      <c r="B219" s="86" t="s">
        <v>405</v>
      </c>
      <c r="C219" s="87" t="s">
        <v>406</v>
      </c>
      <c r="D219" s="82" t="s">
        <v>269</v>
      </c>
      <c r="E219" s="83">
        <v>50</v>
      </c>
      <c r="F219" s="88">
        <v>49552</v>
      </c>
      <c r="G219" s="89">
        <f t="shared" si="9"/>
        <v>2477600</v>
      </c>
      <c r="H219" s="118" t="str">
        <f t="array" ref="H219:K219">_xlfn.XLOOKUP(C219,'ESAP NEIVA FASE II UNIFICADO'!$C$6:$C$720,'ESAP NEIVA FASE II UNIFICADO'!$C$6:$F$720,"NO ESTA")</f>
        <v xml:space="preserve">SUMINISTRO E INSTALACIÓN POLIETILENO PEAD PARA FILTRO 90 mm                                                                  </v>
      </c>
      <c r="I219" t="str">
        <v xml:space="preserve">ML   </v>
      </c>
      <c r="J219">
        <v>0</v>
      </c>
      <c r="K219">
        <v>53541</v>
      </c>
      <c r="L219" s="115">
        <f t="shared" si="10"/>
        <v>53541</v>
      </c>
      <c r="M219" s="146">
        <f t="shared" si="11"/>
        <v>2677050</v>
      </c>
      <c r="N219" s="119"/>
    </row>
    <row r="220" spans="2:14" ht="15" customHeight="1" x14ac:dyDescent="0.25">
      <c r="B220" s="86" t="s">
        <v>407</v>
      </c>
      <c r="C220" s="87" t="s">
        <v>408</v>
      </c>
      <c r="D220" s="82" t="s">
        <v>269</v>
      </c>
      <c r="E220" s="83">
        <v>30</v>
      </c>
      <c r="F220" s="88">
        <v>25833</v>
      </c>
      <c r="G220" s="89">
        <f t="shared" si="9"/>
        <v>774990</v>
      </c>
      <c r="H220" s="118" t="str">
        <f t="array" ref="H220:K220">_xlfn.XLOOKUP(C220,'ESAP NEIVA FASE II UNIFICADO'!$C$6:$C$720,'ESAP NEIVA FASE II UNIFICADO'!$C$6:$F$720,"NO ESTA")</f>
        <v xml:space="preserve">SUMINISTRO E INSTALACIÓN TUBERIA PVC-ALC 90 mm                                                                  </v>
      </c>
      <c r="I220" t="str">
        <v xml:space="preserve">ML   </v>
      </c>
      <c r="J220">
        <v>0</v>
      </c>
      <c r="K220">
        <v>27913</v>
      </c>
      <c r="L220" s="115">
        <f t="shared" si="10"/>
        <v>27913</v>
      </c>
      <c r="M220" s="146">
        <f t="shared" si="11"/>
        <v>837390</v>
      </c>
      <c r="N220" s="119"/>
    </row>
    <row r="221" spans="2:14" ht="15" customHeight="1" x14ac:dyDescent="0.25">
      <c r="B221" s="86" t="s">
        <v>409</v>
      </c>
      <c r="C221" s="87" t="s">
        <v>410</v>
      </c>
      <c r="D221" s="82" t="s">
        <v>269</v>
      </c>
      <c r="E221" s="83">
        <v>15</v>
      </c>
      <c r="F221" s="88">
        <v>31747</v>
      </c>
      <c r="G221" s="89">
        <f t="shared" si="9"/>
        <v>476205</v>
      </c>
      <c r="H221" s="118" t="str">
        <f t="array" ref="H221:K221">_xlfn.XLOOKUP(C221,'ESAP NEIVA FASE II UNIFICADO'!$C$6:$C$720,'ESAP NEIVA FASE II UNIFICADO'!$C$6:$F$720,"NO ESTA")</f>
        <v xml:space="preserve">SUMINISTRO E INSTALACIÓN TUBERIA PVC-ALC 110 mm                                                                 </v>
      </c>
      <c r="I221" t="str">
        <v xml:space="preserve">ML   </v>
      </c>
      <c r="J221">
        <v>0</v>
      </c>
      <c r="K221">
        <v>34303</v>
      </c>
      <c r="L221" s="115">
        <f t="shared" si="10"/>
        <v>34303</v>
      </c>
      <c r="M221" s="146">
        <f t="shared" si="11"/>
        <v>514545</v>
      </c>
      <c r="N221" s="119"/>
    </row>
    <row r="222" spans="2:14" ht="15" customHeight="1" x14ac:dyDescent="0.25">
      <c r="B222" s="86" t="s">
        <v>411</v>
      </c>
      <c r="C222" s="87" t="s">
        <v>412</v>
      </c>
      <c r="D222" s="82" t="s">
        <v>269</v>
      </c>
      <c r="E222" s="83">
        <v>70</v>
      </c>
      <c r="F222" s="88">
        <v>42386</v>
      </c>
      <c r="G222" s="89">
        <f t="shared" si="9"/>
        <v>2967020</v>
      </c>
      <c r="H222" s="118" t="str">
        <f t="array" ref="H222:K222">_xlfn.XLOOKUP(C222,'ESAP NEIVA FASE II UNIFICADO'!$C$6:$C$720,'ESAP NEIVA FASE II UNIFICADO'!$C$6:$F$720,"NO ESTA")</f>
        <v xml:space="preserve">SUMINISTRO E INSTALACIÓN TUBERIA PVC-ALC 160 mm                                                                 </v>
      </c>
      <c r="I222" t="str">
        <v xml:space="preserve">ML   </v>
      </c>
      <c r="J222">
        <v>0</v>
      </c>
      <c r="K222">
        <v>45798</v>
      </c>
      <c r="L222" s="115">
        <f t="shared" si="10"/>
        <v>45798</v>
      </c>
      <c r="M222" s="146">
        <f t="shared" si="11"/>
        <v>3205860</v>
      </c>
      <c r="N222" s="119"/>
    </row>
    <row r="223" spans="2:14" ht="15" customHeight="1" x14ac:dyDescent="0.25">
      <c r="B223" s="86" t="s">
        <v>413</v>
      </c>
      <c r="C223" s="87" t="s">
        <v>414</v>
      </c>
      <c r="D223" s="82" t="s">
        <v>269</v>
      </c>
      <c r="E223" s="83">
        <v>20</v>
      </c>
      <c r="F223" s="88">
        <v>73947</v>
      </c>
      <c r="G223" s="89">
        <f t="shared" si="9"/>
        <v>1478940</v>
      </c>
      <c r="H223" s="118" t="str">
        <f t="array" ref="H223:K223">_xlfn.XLOOKUP(C223,'ESAP NEIVA FASE II UNIFICADO'!$C$6:$C$720,'ESAP NEIVA FASE II UNIFICADO'!$C$6:$F$720,"NO ESTA")</f>
        <v xml:space="preserve">SUMINISTRO E INSTALACIÓN TUBERIA PVC-ALC 250mm                                                                   </v>
      </c>
      <c r="I223" t="str">
        <v xml:space="preserve">ML   </v>
      </c>
      <c r="J223">
        <v>0</v>
      </c>
      <c r="K223">
        <v>79901</v>
      </c>
      <c r="L223" s="115">
        <f t="shared" si="10"/>
        <v>79901</v>
      </c>
      <c r="M223" s="146">
        <f t="shared" si="11"/>
        <v>1598020</v>
      </c>
      <c r="N223" s="119"/>
    </row>
    <row r="224" spans="2:14" ht="15" customHeight="1" x14ac:dyDescent="0.25">
      <c r="B224" s="86" t="s">
        <v>415</v>
      </c>
      <c r="C224" s="87" t="s">
        <v>358</v>
      </c>
      <c r="D224" s="82" t="s">
        <v>284</v>
      </c>
      <c r="E224" s="83">
        <v>4</v>
      </c>
      <c r="F224" s="88">
        <v>501903</v>
      </c>
      <c r="G224" s="89">
        <f t="shared" si="9"/>
        <v>2007612</v>
      </c>
      <c r="H224" s="118" t="str">
        <f t="array" ref="H224:K224">_xlfn.XLOOKUP(C224,'ESAP NEIVA FASE II UNIFICADO'!$C$6:$C$720,'ESAP NEIVA FASE II UNIFICADO'!$C$6:$F$720,"NO ESTA")</f>
        <v xml:space="preserve">SUMINISTRO Y CONSTRUCCIÓN CAJA DE INSPECCIÓN 0.80mX0.80m H mäx:1.0m                                                                    </v>
      </c>
      <c r="I224" t="str">
        <v xml:space="preserve">UN   </v>
      </c>
      <c r="J224">
        <v>1</v>
      </c>
      <c r="K224">
        <v>542308</v>
      </c>
      <c r="L224" s="115">
        <f t="shared" si="10"/>
        <v>542308</v>
      </c>
      <c r="M224" s="146">
        <f t="shared" si="11"/>
        <v>2169232</v>
      </c>
      <c r="N224" s="119"/>
    </row>
    <row r="225" spans="2:14" ht="15" customHeight="1" x14ac:dyDescent="0.25">
      <c r="B225" s="80" t="s">
        <v>416</v>
      </c>
      <c r="C225" s="81" t="s">
        <v>417</v>
      </c>
      <c r="D225" s="82"/>
      <c r="E225" s="83"/>
      <c r="F225" s="90"/>
      <c r="G225" s="89">
        <f t="shared" si="9"/>
        <v>0</v>
      </c>
      <c r="H225" s="118" t="str">
        <f t="array" ref="H225:K225">_xlfn.XLOOKUP(C225,'ESAP NEIVA FASE II UNIFICADO'!$C$6:$C$720,'ESAP NEIVA FASE II UNIFICADO'!$C$6:$F$720,"NO ESTA")</f>
        <v xml:space="preserve">EXCAVACIONES Y RELLENOS                                                                                       </v>
      </c>
      <c r="I225" t="str">
        <v xml:space="preserve">     </v>
      </c>
      <c r="J225">
        <v>0</v>
      </c>
      <c r="K225">
        <v>0</v>
      </c>
      <c r="L225" s="115">
        <f t="shared" si="10"/>
        <v>0</v>
      </c>
      <c r="M225" s="146">
        <f t="shared" si="11"/>
        <v>0</v>
      </c>
      <c r="N225" s="119"/>
    </row>
    <row r="226" spans="2:14" ht="15" customHeight="1" x14ac:dyDescent="0.25">
      <c r="B226" s="86" t="s">
        <v>418</v>
      </c>
      <c r="C226" s="87" t="s">
        <v>419</v>
      </c>
      <c r="D226" s="82" t="s">
        <v>420</v>
      </c>
      <c r="E226" s="83">
        <v>94</v>
      </c>
      <c r="F226" s="88">
        <v>36993</v>
      </c>
      <c r="G226" s="89">
        <f t="shared" si="9"/>
        <v>3477342</v>
      </c>
      <c r="H226" s="118" t="str">
        <f t="array" ref="H226:K226">_xlfn.XLOOKUP(C226,'ESAP NEIVA FASE II UNIFICADO'!$C$6:$C$720,'ESAP NEIVA FASE II UNIFICADO'!$C$6:$F$720,"NO ESTA")</f>
        <v>EXCAVACIÓN MANUAL EN MATERIAL COMÚN (incluye cargue y retiro)</v>
      </c>
      <c r="I226" t="str">
        <v>M3</v>
      </c>
      <c r="J226">
        <v>57.945499999999981</v>
      </c>
      <c r="K226">
        <v>39971</v>
      </c>
      <c r="L226" s="115">
        <f t="shared" si="10"/>
        <v>39971</v>
      </c>
      <c r="M226" s="146">
        <f t="shared" si="11"/>
        <v>3757274</v>
      </c>
      <c r="N226" s="119"/>
    </row>
    <row r="227" spans="2:14" ht="15" customHeight="1" x14ac:dyDescent="0.25">
      <c r="B227" s="86" t="s">
        <v>421</v>
      </c>
      <c r="C227" s="87" t="s">
        <v>422</v>
      </c>
      <c r="D227" s="82" t="s">
        <v>420</v>
      </c>
      <c r="E227" s="83">
        <v>28</v>
      </c>
      <c r="F227" s="88">
        <v>69956</v>
      </c>
      <c r="G227" s="89">
        <f t="shared" si="9"/>
        <v>1958768</v>
      </c>
      <c r="H227" s="118" t="str">
        <f t="array" ref="H227:K227">_xlfn.XLOOKUP(C227,'ESAP NEIVA FASE II UNIFICADO'!$C$6:$C$720,'ESAP NEIVA FASE II UNIFICADO'!$C$6:$F$720,"NO ESTA")</f>
        <v xml:space="preserve">RELLENO EN ARENA INCLUYE TRANSPORTE Y COLOCACIÓN       </v>
      </c>
      <c r="I227" t="str">
        <v>M3</v>
      </c>
      <c r="J227">
        <v>64.790000000000006</v>
      </c>
      <c r="K227">
        <v>75587</v>
      </c>
      <c r="L227" s="115">
        <f t="shared" si="10"/>
        <v>75587</v>
      </c>
      <c r="M227" s="146">
        <f t="shared" si="11"/>
        <v>2116436</v>
      </c>
      <c r="N227" s="119"/>
    </row>
    <row r="228" spans="2:14" ht="15" customHeight="1" x14ac:dyDescent="0.25">
      <c r="B228" s="86" t="s">
        <v>423</v>
      </c>
      <c r="C228" s="87" t="s">
        <v>36</v>
      </c>
      <c r="D228" s="82" t="s">
        <v>420</v>
      </c>
      <c r="E228" s="83">
        <v>28</v>
      </c>
      <c r="F228" s="88">
        <v>58243</v>
      </c>
      <c r="G228" s="89">
        <f t="shared" si="9"/>
        <v>1630804</v>
      </c>
      <c r="H228" s="118" t="str">
        <f t="array" ref="H228:K228">_xlfn.XLOOKUP(C228,'ESAP NEIVA FASE II UNIFICADO'!$C$6:$C$720,'ESAP NEIVA FASE II UNIFICADO'!$C$6:$F$720,"NO ESTA")</f>
        <v>RELLENO EN RECEBO COMÚN (Incluye Compactación)</v>
      </c>
      <c r="I228" t="str">
        <v>M3</v>
      </c>
      <c r="J228">
        <v>70.485000000000014</v>
      </c>
      <c r="K228">
        <v>62932</v>
      </c>
      <c r="L228" s="115">
        <f t="shared" si="10"/>
        <v>62932</v>
      </c>
      <c r="M228" s="146">
        <f t="shared" si="11"/>
        <v>1762096</v>
      </c>
      <c r="N228" s="119"/>
    </row>
    <row r="229" spans="2:14" ht="15" customHeight="1" x14ac:dyDescent="0.25">
      <c r="B229" s="86" t="s">
        <v>424</v>
      </c>
      <c r="C229" s="87" t="s">
        <v>425</v>
      </c>
      <c r="D229" s="82" t="s">
        <v>420</v>
      </c>
      <c r="E229" s="83">
        <v>37</v>
      </c>
      <c r="F229" s="88">
        <v>11569</v>
      </c>
      <c r="G229" s="89">
        <f t="shared" si="9"/>
        <v>428053</v>
      </c>
      <c r="H229" s="118" t="str">
        <f t="array" ref="H229:K229">_xlfn.XLOOKUP(C229,'ESAP NEIVA FASE II UNIFICADO'!$C$6:$C$720,'ESAP NEIVA FASE II UNIFICADO'!$C$6:$F$720,"NO ESTA")</f>
        <v>RELLENO EN MATERIAL COMÚN SELECCIONADO DE OBRA (Incluye Compactación)</v>
      </c>
      <c r="I229" t="str">
        <v xml:space="preserve">M3   </v>
      </c>
      <c r="J229">
        <v>0</v>
      </c>
      <c r="K229">
        <v>12500</v>
      </c>
      <c r="L229" s="115">
        <f t="shared" si="10"/>
        <v>12500</v>
      </c>
      <c r="M229" s="146">
        <f t="shared" si="11"/>
        <v>462500</v>
      </c>
      <c r="N229" s="119"/>
    </row>
    <row r="230" spans="2:14" ht="15" customHeight="1" x14ac:dyDescent="0.25">
      <c r="B230" s="80" t="s">
        <v>426</v>
      </c>
      <c r="C230" s="81" t="s">
        <v>427</v>
      </c>
      <c r="D230" s="82"/>
      <c r="E230" s="83"/>
      <c r="F230" s="90"/>
      <c r="G230" s="89">
        <f t="shared" si="9"/>
        <v>0</v>
      </c>
      <c r="H230" s="118" t="str">
        <f t="array" ref="H230:K230">_xlfn.XLOOKUP(C230,'ESAP NEIVA FASE II UNIFICADO'!$C$6:$C$720,'ESAP NEIVA FASE II UNIFICADO'!$C$6:$F$720,"NO ESTA")</f>
        <v xml:space="preserve">SUMINISTRO E INSTALACION DE EQUIPOS DE BOMBEO                                                                                             </v>
      </c>
      <c r="I230" t="str">
        <v xml:space="preserve">     </v>
      </c>
      <c r="J230">
        <v>0</v>
      </c>
      <c r="K230">
        <v>0</v>
      </c>
      <c r="L230" s="115">
        <f t="shared" si="10"/>
        <v>0</v>
      </c>
      <c r="M230" s="146">
        <f t="shared" si="11"/>
        <v>0</v>
      </c>
      <c r="N230" s="119"/>
    </row>
    <row r="231" spans="2:14" ht="25.5" customHeight="1" x14ac:dyDescent="0.25">
      <c r="B231" s="86" t="s">
        <v>428</v>
      </c>
      <c r="C231" s="87" t="s">
        <v>429</v>
      </c>
      <c r="D231" s="82" t="s">
        <v>374</v>
      </c>
      <c r="E231" s="83">
        <v>1</v>
      </c>
      <c r="F231" s="88">
        <v>32362930</v>
      </c>
      <c r="G231" s="89">
        <f t="shared" si="9"/>
        <v>32362930</v>
      </c>
      <c r="H231" s="118" t="str">
        <f t="array" ref="H231">_xlfn.XLOOKUP(C231,'ESAP NEIVA FASE II UNIFICADO'!$C$6:$C$720,'ESAP NEIVA FASE II UNIFICADO'!$C$6:$F$720,"NO ESTA")</f>
        <v>NO ESTA</v>
      </c>
      <c r="L231" s="115">
        <f t="shared" si="10"/>
        <v>32362930</v>
      </c>
      <c r="M231" s="146">
        <f t="shared" si="11"/>
        <v>32362930</v>
      </c>
      <c r="N231" s="119"/>
    </row>
    <row r="232" spans="2:14" ht="33.75" customHeight="1" x14ac:dyDescent="0.25">
      <c r="B232" s="86" t="s">
        <v>430</v>
      </c>
      <c r="C232" s="87" t="s">
        <v>431</v>
      </c>
      <c r="D232" s="82" t="s">
        <v>374</v>
      </c>
      <c r="E232" s="83">
        <v>1</v>
      </c>
      <c r="F232" s="88">
        <v>88637031</v>
      </c>
      <c r="G232" s="89">
        <f t="shared" si="9"/>
        <v>88637031</v>
      </c>
      <c r="H232" s="118" t="str">
        <f t="array" ref="H232">_xlfn.XLOOKUP(C232,'ESAP NEIVA FASE II UNIFICADO'!$C$6:$C$720,'ESAP NEIVA FASE II UNIFICADO'!$C$6:$F$720,"NO ESTA")</f>
        <v>NO ESTA</v>
      </c>
      <c r="L232" s="115">
        <f t="shared" si="10"/>
        <v>88637031</v>
      </c>
      <c r="M232" s="146">
        <f t="shared" si="11"/>
        <v>88637031</v>
      </c>
      <c r="N232" s="119"/>
    </row>
    <row r="233" spans="2:14" ht="15" customHeight="1" x14ac:dyDescent="0.25">
      <c r="B233" s="86" t="s">
        <v>432</v>
      </c>
      <c r="C233" s="87" t="s">
        <v>433</v>
      </c>
      <c r="D233" s="82" t="s">
        <v>374</v>
      </c>
      <c r="E233" s="83">
        <v>1</v>
      </c>
      <c r="F233" s="88">
        <v>13045522</v>
      </c>
      <c r="G233" s="89">
        <f t="shared" si="9"/>
        <v>13045522</v>
      </c>
      <c r="H233" s="118" t="str">
        <f t="array" ref="H233:K233">_xlfn.XLOOKUP(C233,'ESAP NEIVA FASE II UNIFICADO'!$C$6:$C$720,'ESAP NEIVA FASE II UNIFICADO'!$C$6:$F$720,"NO ESTA")</f>
        <v xml:space="preserve">SUMINISTRO E INSTALACIÓN DE EQUIPO EYECTOR 2 BOMBAS 3HP C/U </v>
      </c>
      <c r="I233" t="str">
        <v>UN</v>
      </c>
      <c r="J233">
        <v>0</v>
      </c>
      <c r="K233">
        <v>14095722</v>
      </c>
      <c r="L233" s="115">
        <f t="shared" si="10"/>
        <v>14095722</v>
      </c>
      <c r="M233" s="146">
        <f t="shared" si="11"/>
        <v>14095722</v>
      </c>
      <c r="N233" s="119"/>
    </row>
    <row r="234" spans="2:14" ht="18" customHeight="1" x14ac:dyDescent="0.25">
      <c r="B234" s="74">
        <v>13</v>
      </c>
      <c r="C234" s="75" t="s">
        <v>434</v>
      </c>
      <c r="D234" s="76"/>
      <c r="E234" s="77"/>
      <c r="F234" s="78"/>
      <c r="G234" s="89">
        <f t="shared" si="9"/>
        <v>0</v>
      </c>
      <c r="H234" s="118" t="str">
        <f t="array" ref="H234:K234">_xlfn.XLOOKUP(C234,'ESAP NEIVA FASE II UNIFICADO'!$C$6:$C$720,'ESAP NEIVA FASE II UNIFICADO'!$C$6:$F$720,"NO ESTA")</f>
        <v xml:space="preserve">RED DE PROTECCION CONTRA INCENDIO </v>
      </c>
      <c r="I234">
        <v>0</v>
      </c>
      <c r="J234">
        <v>0</v>
      </c>
      <c r="K234">
        <v>0</v>
      </c>
      <c r="L234" s="115">
        <f t="shared" si="10"/>
        <v>0</v>
      </c>
      <c r="M234" s="146">
        <f t="shared" si="11"/>
        <v>0</v>
      </c>
      <c r="N234" s="119"/>
    </row>
    <row r="235" spans="2:14" ht="15" customHeight="1" x14ac:dyDescent="0.25">
      <c r="B235" s="80" t="s">
        <v>435</v>
      </c>
      <c r="C235" s="81" t="s">
        <v>436</v>
      </c>
      <c r="D235" s="82"/>
      <c r="E235" s="83"/>
      <c r="F235" s="90"/>
      <c r="G235" s="89">
        <f t="shared" si="9"/>
        <v>0</v>
      </c>
      <c r="H235" s="118" t="str">
        <f t="array" ref="H235:K235">_xlfn.XLOOKUP(C235,'ESAP NEIVA FASE II UNIFICADO'!$C$6:$C$720,'ESAP NEIVA FASE II UNIFICADO'!$C$6:$F$720,"NO ESTA")</f>
        <v>SUMINISTRO E INSTALACIÓN RED DE ACERO NEGRO SCH 40</v>
      </c>
      <c r="I235">
        <v>0</v>
      </c>
      <c r="J235">
        <v>0</v>
      </c>
      <c r="K235">
        <v>0</v>
      </c>
      <c r="L235" s="115">
        <f t="shared" si="10"/>
        <v>0</v>
      </c>
      <c r="M235" s="146">
        <f t="shared" si="11"/>
        <v>0</v>
      </c>
      <c r="N235" s="119"/>
    </row>
    <row r="236" spans="2:14" ht="26.25" customHeight="1" x14ac:dyDescent="0.25">
      <c r="B236" s="86" t="s">
        <v>437</v>
      </c>
      <c r="C236" s="87" t="s">
        <v>438</v>
      </c>
      <c r="D236" s="82" t="s">
        <v>269</v>
      </c>
      <c r="E236" s="83">
        <v>257</v>
      </c>
      <c r="F236" s="88">
        <v>22518</v>
      </c>
      <c r="G236" s="89">
        <f t="shared" si="9"/>
        <v>5787126</v>
      </c>
      <c r="H236" s="118" t="str">
        <f t="array" ref="H236:K236">_xlfn.XLOOKUP(C236,'ESAP NEIVA FASE II UNIFICADO'!$C$6:$C$720,'ESAP NEIVA FASE II UNIFICADO'!$C$6:$F$720,"NO ESTA")</f>
        <v xml:space="preserve">SUMINISTRO E INSTALACIÓN TUBERIA ACERO 1" SCH 40 INCLUYE. SOPORTES Y ADITAMENTOS                                 </v>
      </c>
      <c r="I236" t="str">
        <v xml:space="preserve">ML   </v>
      </c>
      <c r="J236">
        <v>694</v>
      </c>
      <c r="K236">
        <v>24331</v>
      </c>
      <c r="L236" s="115">
        <f t="shared" si="10"/>
        <v>24331</v>
      </c>
      <c r="M236" s="146">
        <f t="shared" si="11"/>
        <v>6253067</v>
      </c>
      <c r="N236" s="119"/>
    </row>
    <row r="237" spans="2:14" ht="26.25" customHeight="1" x14ac:dyDescent="0.25">
      <c r="B237" s="86" t="s">
        <v>439</v>
      </c>
      <c r="C237" s="87" t="s">
        <v>440</v>
      </c>
      <c r="D237" s="82" t="s">
        <v>269</v>
      </c>
      <c r="E237" s="83">
        <v>129</v>
      </c>
      <c r="F237" s="88">
        <v>48230</v>
      </c>
      <c r="G237" s="89">
        <f t="shared" si="9"/>
        <v>6221670</v>
      </c>
      <c r="H237" s="118" t="str">
        <f t="array" ref="H237:K237">_xlfn.XLOOKUP(C237,'ESAP NEIVA FASE II UNIFICADO'!$C$6:$C$720,'ESAP NEIVA FASE II UNIFICADO'!$C$6:$F$720,"NO ESTA")</f>
        <v xml:space="preserve">SUMINISTRO E INSTALACIÓN TUBERIA ACERO 2" SCH 40 INCLUYE. SOPORTES Y ADITAMENTOS                                 </v>
      </c>
      <c r="I237" t="str">
        <v xml:space="preserve">ML   </v>
      </c>
      <c r="J237">
        <v>350</v>
      </c>
      <c r="K237">
        <v>52113</v>
      </c>
      <c r="L237" s="115">
        <f t="shared" si="10"/>
        <v>52113</v>
      </c>
      <c r="M237" s="146">
        <f t="shared" si="11"/>
        <v>6722577</v>
      </c>
      <c r="N237" s="119"/>
    </row>
    <row r="238" spans="2:14" ht="26.25" customHeight="1" x14ac:dyDescent="0.25">
      <c r="B238" s="86" t="s">
        <v>441</v>
      </c>
      <c r="C238" s="87" t="s">
        <v>442</v>
      </c>
      <c r="D238" s="82" t="s">
        <v>269</v>
      </c>
      <c r="E238" s="83">
        <v>112</v>
      </c>
      <c r="F238" s="88">
        <v>89862</v>
      </c>
      <c r="G238" s="89">
        <f t="shared" si="9"/>
        <v>10064544</v>
      </c>
      <c r="H238" s="118" t="str">
        <f t="array" ref="H238:K238">_xlfn.XLOOKUP(C238,'ESAP NEIVA FASE II UNIFICADO'!$C$6:$C$720,'ESAP NEIVA FASE II UNIFICADO'!$C$6:$F$720,"NO ESTA")</f>
        <v xml:space="preserve">SUMINISTRO E INSTALACIÓN TUBERIA ACERO 3" SCH 40 INCLUYE. SOPORTES Y ADITAMENTOS                                 </v>
      </c>
      <c r="I238" t="str">
        <v xml:space="preserve">ML   </v>
      </c>
      <c r="J238">
        <v>301</v>
      </c>
      <c r="K238">
        <v>97096</v>
      </c>
      <c r="L238" s="115">
        <f t="shared" si="10"/>
        <v>97096</v>
      </c>
      <c r="M238" s="146">
        <f t="shared" si="11"/>
        <v>10874752</v>
      </c>
      <c r="N238" s="119"/>
    </row>
    <row r="239" spans="2:14" ht="26.25" customHeight="1" x14ac:dyDescent="0.25">
      <c r="B239" s="86" t="s">
        <v>443</v>
      </c>
      <c r="C239" s="87" t="s">
        <v>444</v>
      </c>
      <c r="D239" s="82" t="s">
        <v>269</v>
      </c>
      <c r="E239" s="83">
        <v>16</v>
      </c>
      <c r="F239" s="88">
        <v>126806</v>
      </c>
      <c r="G239" s="89">
        <f t="shared" si="9"/>
        <v>2028896</v>
      </c>
      <c r="H239" s="118" t="str">
        <f t="array" ref="H239:K239">_xlfn.XLOOKUP(C239,'ESAP NEIVA FASE II UNIFICADO'!$C$6:$C$720,'ESAP NEIVA FASE II UNIFICADO'!$C$6:$F$720,"NO ESTA")</f>
        <v xml:space="preserve">SUMINISTRO E INSTALACIÓN TUBERIA ACERO 4" SCH 40 INCLUYE. SOPORTES Y ADITAMENTOS                                 </v>
      </c>
      <c r="I239" t="str">
        <v xml:space="preserve">ML   </v>
      </c>
      <c r="J239">
        <v>44</v>
      </c>
      <c r="K239">
        <v>137013</v>
      </c>
      <c r="L239" s="115">
        <f t="shared" si="10"/>
        <v>137013</v>
      </c>
      <c r="M239" s="146">
        <f t="shared" si="11"/>
        <v>2192208</v>
      </c>
      <c r="N239" s="119"/>
    </row>
    <row r="240" spans="2:14" ht="15" customHeight="1" x14ac:dyDescent="0.25">
      <c r="B240" s="86" t="s">
        <v>445</v>
      </c>
      <c r="C240" s="87" t="s">
        <v>446</v>
      </c>
      <c r="D240" s="82" t="s">
        <v>284</v>
      </c>
      <c r="E240" s="83">
        <v>95</v>
      </c>
      <c r="F240" s="88">
        <v>7586</v>
      </c>
      <c r="G240" s="89">
        <f t="shared" si="9"/>
        <v>720670</v>
      </c>
      <c r="H240" s="118" t="str">
        <f t="array" ref="H240:K240">_xlfn.XLOOKUP(C240,'ESAP NEIVA FASE II UNIFICADO'!$C$6:$C$720,'ESAP NEIVA FASE II UNIFICADO'!$C$6:$F$720,"NO ESTA")</f>
        <v xml:space="preserve">SUMINISTRO E INSTALACIÓN ACCESORIOS ACERO NEGRO 1"                                                       </v>
      </c>
      <c r="I240" t="str">
        <v xml:space="preserve">UN   </v>
      </c>
      <c r="J240">
        <v>256</v>
      </c>
      <c r="K240">
        <v>8196</v>
      </c>
      <c r="L240" s="115">
        <f t="shared" si="10"/>
        <v>8196</v>
      </c>
      <c r="M240" s="146">
        <f t="shared" si="11"/>
        <v>778620</v>
      </c>
      <c r="N240" s="119"/>
    </row>
    <row r="241" spans="2:14" ht="15" customHeight="1" x14ac:dyDescent="0.25">
      <c r="B241" s="86" t="s">
        <v>447</v>
      </c>
      <c r="C241" s="87" t="s">
        <v>448</v>
      </c>
      <c r="D241" s="82" t="s">
        <v>284</v>
      </c>
      <c r="E241" s="83">
        <v>35</v>
      </c>
      <c r="F241" s="88">
        <v>16504</v>
      </c>
      <c r="G241" s="89">
        <f t="shared" si="9"/>
        <v>577640</v>
      </c>
      <c r="H241" s="118" t="str">
        <f t="array" ref="H241:K241">_xlfn.XLOOKUP(C241,'ESAP NEIVA FASE II UNIFICADO'!$C$6:$C$720,'ESAP NEIVA FASE II UNIFICADO'!$C$6:$F$720,"NO ESTA")</f>
        <v xml:space="preserve">SUMINISTRO E INSTALACIÓN ACCESORIOS ACERO NEGRO 2"                                                       </v>
      </c>
      <c r="I241" t="str">
        <v xml:space="preserve">UN   </v>
      </c>
      <c r="J241">
        <v>95</v>
      </c>
      <c r="K241">
        <v>17833</v>
      </c>
      <c r="L241" s="115">
        <f t="shared" si="10"/>
        <v>17833</v>
      </c>
      <c r="M241" s="146">
        <f t="shared" si="11"/>
        <v>624155</v>
      </c>
      <c r="N241" s="119"/>
    </row>
    <row r="242" spans="2:14" ht="15" customHeight="1" x14ac:dyDescent="0.25">
      <c r="B242" s="86" t="s">
        <v>449</v>
      </c>
      <c r="C242" s="87" t="s">
        <v>450</v>
      </c>
      <c r="D242" s="82" t="s">
        <v>284</v>
      </c>
      <c r="E242" s="83">
        <v>48</v>
      </c>
      <c r="F242" s="88">
        <v>25555</v>
      </c>
      <c r="G242" s="89">
        <f t="shared" si="9"/>
        <v>1226640</v>
      </c>
      <c r="H242" s="118" t="str">
        <f t="array" ref="H242:K242">_xlfn.XLOOKUP(C242,'ESAP NEIVA FASE II UNIFICADO'!$C$6:$C$720,'ESAP NEIVA FASE II UNIFICADO'!$C$6:$F$720,"NO ESTA")</f>
        <v xml:space="preserve">SUMINISTRO E INSTALACIÓN ACCESORIOS ACERO NEGRO 3"                                                       </v>
      </c>
      <c r="I242" t="str">
        <v xml:space="preserve">UN   </v>
      </c>
      <c r="J242">
        <v>128</v>
      </c>
      <c r="K242">
        <v>27612</v>
      </c>
      <c r="L242" s="115">
        <f t="shared" si="10"/>
        <v>27612</v>
      </c>
      <c r="M242" s="146">
        <f t="shared" si="11"/>
        <v>1325376</v>
      </c>
      <c r="N242" s="119"/>
    </row>
    <row r="243" spans="2:14" ht="15" customHeight="1" x14ac:dyDescent="0.25">
      <c r="B243" s="86" t="s">
        <v>451</v>
      </c>
      <c r="C243" s="87" t="s">
        <v>452</v>
      </c>
      <c r="D243" s="82" t="s">
        <v>284</v>
      </c>
      <c r="E243" s="83">
        <v>7</v>
      </c>
      <c r="F243" s="88">
        <v>39933</v>
      </c>
      <c r="G243" s="89">
        <f t="shared" si="9"/>
        <v>279531</v>
      </c>
      <c r="H243" s="118" t="str">
        <f t="array" ref="H243:K243">_xlfn.XLOOKUP(C243,'ESAP NEIVA FASE II UNIFICADO'!$C$6:$C$720,'ESAP NEIVA FASE II UNIFICADO'!$C$6:$F$720,"NO ESTA")</f>
        <v xml:space="preserve">SUMINISTRO E INSTALACIÓN ACCESORIOS ACERO NEGRO 4"                                                       </v>
      </c>
      <c r="I243" t="str">
        <v xml:space="preserve">UN   </v>
      </c>
      <c r="J243">
        <v>19</v>
      </c>
      <c r="K243">
        <v>43148</v>
      </c>
      <c r="L243" s="115">
        <f t="shared" si="10"/>
        <v>43148</v>
      </c>
      <c r="M243" s="146">
        <f t="shared" si="11"/>
        <v>302036</v>
      </c>
      <c r="N243" s="119"/>
    </row>
    <row r="244" spans="2:14" ht="15" customHeight="1" x14ac:dyDescent="0.25">
      <c r="B244" s="86" t="s">
        <v>453</v>
      </c>
      <c r="C244" s="87" t="s">
        <v>454</v>
      </c>
      <c r="D244" s="82" t="s">
        <v>284</v>
      </c>
      <c r="E244" s="83">
        <v>21</v>
      </c>
      <c r="F244" s="88">
        <v>7700</v>
      </c>
      <c r="G244" s="89">
        <f t="shared" si="9"/>
        <v>161700</v>
      </c>
      <c r="H244" s="118" t="str">
        <f t="array" ref="H244:K244">_xlfn.XLOOKUP(C244,'ESAP NEIVA FASE II UNIFICADO'!$C$6:$C$720,'ESAP NEIVA FASE II UNIFICADO'!$C$6:$F$720,"NO ESTA")</f>
        <v xml:space="preserve">SUMINISTRO E INSTALACIÓN ACOPLES HIERRO FUNDIDO DIAMETRO 2"                                                      </v>
      </c>
      <c r="I244" t="str">
        <v xml:space="preserve">UN   </v>
      </c>
      <c r="J244">
        <v>55</v>
      </c>
      <c r="K244">
        <v>8320</v>
      </c>
      <c r="L244" s="115">
        <f t="shared" si="10"/>
        <v>8320</v>
      </c>
      <c r="M244" s="146">
        <f t="shared" si="11"/>
        <v>174720</v>
      </c>
      <c r="N244" s="119"/>
    </row>
    <row r="245" spans="2:14" ht="15" customHeight="1" x14ac:dyDescent="0.25">
      <c r="B245" s="86" t="s">
        <v>455</v>
      </c>
      <c r="C245" s="87" t="s">
        <v>456</v>
      </c>
      <c r="D245" s="82" t="s">
        <v>284</v>
      </c>
      <c r="E245" s="83">
        <v>22</v>
      </c>
      <c r="F245" s="88">
        <v>10220</v>
      </c>
      <c r="G245" s="89">
        <f t="shared" si="9"/>
        <v>224840</v>
      </c>
      <c r="H245" s="118" t="str">
        <f t="array" ref="H245:K245">_xlfn.XLOOKUP(C245,'ESAP NEIVA FASE II UNIFICADO'!$C$6:$C$720,'ESAP NEIVA FASE II UNIFICADO'!$C$6:$F$720,"NO ESTA")</f>
        <v xml:space="preserve">SUMINISTRO E INSTALACIÓN ACOPLES HIERRO FUNDIDO DIAMETRO 3"                                                       </v>
      </c>
      <c r="I245" t="str">
        <v xml:space="preserve">UN   </v>
      </c>
      <c r="J245">
        <v>58</v>
      </c>
      <c r="K245">
        <v>11043</v>
      </c>
      <c r="L245" s="115">
        <f t="shared" si="10"/>
        <v>11043</v>
      </c>
      <c r="M245" s="146">
        <f t="shared" si="11"/>
        <v>242946</v>
      </c>
      <c r="N245" s="119"/>
    </row>
    <row r="246" spans="2:14" ht="15" customHeight="1" x14ac:dyDescent="0.25">
      <c r="B246" s="86" t="s">
        <v>457</v>
      </c>
      <c r="C246" s="87" t="s">
        <v>458</v>
      </c>
      <c r="D246" s="82" t="s">
        <v>284</v>
      </c>
      <c r="E246" s="83">
        <v>3</v>
      </c>
      <c r="F246" s="88">
        <v>12644</v>
      </c>
      <c r="G246" s="89">
        <f t="shared" si="9"/>
        <v>37932</v>
      </c>
      <c r="H246" s="118" t="str">
        <f t="array" ref="H246:K246">_xlfn.XLOOKUP(C246,'ESAP NEIVA FASE II UNIFICADO'!$C$6:$C$720,'ESAP NEIVA FASE II UNIFICADO'!$C$6:$F$720,"NO ESTA")</f>
        <v xml:space="preserve">SUMINISTRO E INSTALACIÓN ACOPLES HIERRO FUNDIDO DIAMETRO 4"                                                       </v>
      </c>
      <c r="I246" t="str">
        <v xml:space="preserve">UN   </v>
      </c>
      <c r="J246">
        <v>9</v>
      </c>
      <c r="K246">
        <v>13663</v>
      </c>
      <c r="L246" s="115">
        <f t="shared" si="10"/>
        <v>13663</v>
      </c>
      <c r="M246" s="146">
        <f t="shared" si="11"/>
        <v>40989</v>
      </c>
      <c r="N246" s="119"/>
    </row>
    <row r="247" spans="2:14" ht="15" customHeight="1" x14ac:dyDescent="0.25">
      <c r="B247" s="86" t="s">
        <v>459</v>
      </c>
      <c r="C247" s="87" t="s">
        <v>460</v>
      </c>
      <c r="D247" s="82" t="s">
        <v>269</v>
      </c>
      <c r="E247" s="83">
        <v>222</v>
      </c>
      <c r="F247" s="88">
        <v>5448</v>
      </c>
      <c r="G247" s="89">
        <f t="shared" si="9"/>
        <v>1209456</v>
      </c>
      <c r="H247" s="118" t="str">
        <f t="array" ref="H247:K247">_xlfn.XLOOKUP(C247,'ESAP NEIVA FASE II UNIFICADO'!$C$6:$C$720,'ESAP NEIVA FASE II UNIFICADO'!$C$6:$F$720,"NO ESTA")</f>
        <v xml:space="preserve">SUMINISTRO Y APLICACIÓN PINTURA RED DE INCENDIO DIAMETRO DE 1" A 2"                                                              </v>
      </c>
      <c r="I247" t="str">
        <v xml:space="preserve">ML   </v>
      </c>
      <c r="J247">
        <v>602</v>
      </c>
      <c r="K247">
        <v>5888</v>
      </c>
      <c r="L247" s="115">
        <f t="shared" si="10"/>
        <v>5888</v>
      </c>
      <c r="M247" s="146">
        <f t="shared" si="11"/>
        <v>1307136</v>
      </c>
      <c r="N247" s="119"/>
    </row>
    <row r="248" spans="2:14" ht="15" customHeight="1" x14ac:dyDescent="0.25">
      <c r="B248" s="86" t="s">
        <v>461</v>
      </c>
      <c r="C248" s="87" t="s">
        <v>462</v>
      </c>
      <c r="D248" s="82" t="s">
        <v>269</v>
      </c>
      <c r="E248" s="83">
        <v>40</v>
      </c>
      <c r="F248" s="88">
        <v>9269</v>
      </c>
      <c r="G248" s="89">
        <f t="shared" si="9"/>
        <v>370760</v>
      </c>
      <c r="H248" s="118" t="str">
        <f t="array" ref="H248:K248">_xlfn.XLOOKUP(C248,'ESAP NEIVA FASE II UNIFICADO'!$C$6:$C$720,'ESAP NEIVA FASE II UNIFICADO'!$C$6:$F$720,"NO ESTA")</f>
        <v xml:space="preserve">SUMINISTRO Y APLICACIÓN PINTURA RED DE INCENDIO DIAMETRO DE  2 1/2" A 4"                                                          </v>
      </c>
      <c r="I248" t="str">
        <v xml:space="preserve">ML   </v>
      </c>
      <c r="J248">
        <v>107</v>
      </c>
      <c r="K248">
        <v>10014</v>
      </c>
      <c r="L248" s="115">
        <f t="shared" si="10"/>
        <v>10014</v>
      </c>
      <c r="M248" s="146">
        <f t="shared" si="11"/>
        <v>400560</v>
      </c>
      <c r="N248" s="119"/>
    </row>
    <row r="249" spans="2:14" ht="15" customHeight="1" x14ac:dyDescent="0.25">
      <c r="B249" s="80" t="s">
        <v>463</v>
      </c>
      <c r="C249" s="81" t="s">
        <v>464</v>
      </c>
      <c r="D249" s="82"/>
      <c r="E249" s="83"/>
      <c r="F249" s="90"/>
      <c r="G249" s="89">
        <f t="shared" si="9"/>
        <v>0</v>
      </c>
      <c r="H249" s="118" t="str">
        <f t="array" ref="H249:K249">_xlfn.XLOOKUP(C249,'ESAP NEIVA FASE II UNIFICADO'!$C$6:$C$720,'ESAP NEIVA FASE II UNIFICADO'!$C$6:$F$720,"NO ESTA")</f>
        <v>SUMINISTRO E INSTALACION ELEMENTOS RED CONTRA INCENDIO</v>
      </c>
      <c r="I249">
        <v>0</v>
      </c>
      <c r="J249">
        <v>0</v>
      </c>
      <c r="K249">
        <v>0</v>
      </c>
      <c r="L249" s="115">
        <f t="shared" si="10"/>
        <v>0</v>
      </c>
      <c r="M249" s="146">
        <f t="shared" si="11"/>
        <v>0</v>
      </c>
      <c r="N249" s="119"/>
    </row>
    <row r="250" spans="2:14" ht="15" customHeight="1" x14ac:dyDescent="0.25">
      <c r="B250" s="86" t="s">
        <v>465</v>
      </c>
      <c r="C250" s="87" t="s">
        <v>466</v>
      </c>
      <c r="D250" s="82" t="s">
        <v>284</v>
      </c>
      <c r="E250" s="83">
        <v>102</v>
      </c>
      <c r="F250" s="88">
        <v>54943</v>
      </c>
      <c r="G250" s="89">
        <f t="shared" si="9"/>
        <v>5604186</v>
      </c>
      <c r="H250" s="118" t="str">
        <f t="array" ref="H250:K250">_xlfn.XLOOKUP(C250,'ESAP NEIVA FASE II UNIFICADO'!$C$6:$C$720,'ESAP NEIVA FASE II UNIFICADO'!$C$6:$F$720,"NO ESTA")</f>
        <v xml:space="preserve">SUMINISTRO E INSTALACIÓN ROCIADOR PENDENT K:5.6                                                          </v>
      </c>
      <c r="I250" t="str">
        <v xml:space="preserve">UN   </v>
      </c>
      <c r="J250">
        <v>276</v>
      </c>
      <c r="K250">
        <v>59366</v>
      </c>
      <c r="L250" s="115">
        <f t="shared" si="10"/>
        <v>59366</v>
      </c>
      <c r="M250" s="146">
        <f t="shared" si="11"/>
        <v>6055332</v>
      </c>
      <c r="N250" s="119"/>
    </row>
    <row r="251" spans="2:14" ht="15" customHeight="1" x14ac:dyDescent="0.25">
      <c r="B251" s="86" t="s">
        <v>467</v>
      </c>
      <c r="C251" s="87" t="s">
        <v>468</v>
      </c>
      <c r="D251" s="82" t="s">
        <v>284</v>
      </c>
      <c r="E251" s="83">
        <v>14</v>
      </c>
      <c r="F251" s="88">
        <v>36002</v>
      </c>
      <c r="G251" s="89">
        <f t="shared" si="9"/>
        <v>504028</v>
      </c>
      <c r="H251" s="118" t="str">
        <f t="array" ref="H251:K251">_xlfn.XLOOKUP(C251,'ESAP NEIVA FASE II UNIFICADO'!$C$6:$C$720,'ESAP NEIVA FASE II UNIFICADO'!$C$6:$F$720,"NO ESTA")</f>
        <v xml:space="preserve">SUMINISTRO E INSTALACIÓN ROCIADOR MONTANTE K:5.6                                                          </v>
      </c>
      <c r="I251" t="str">
        <v xml:space="preserve">UN   </v>
      </c>
      <c r="J251">
        <v>38</v>
      </c>
      <c r="K251">
        <v>38899</v>
      </c>
      <c r="L251" s="115">
        <f t="shared" si="10"/>
        <v>38899</v>
      </c>
      <c r="M251" s="146">
        <f t="shared" si="11"/>
        <v>544586</v>
      </c>
      <c r="N251" s="119"/>
    </row>
    <row r="252" spans="2:14" ht="15" customHeight="1" x14ac:dyDescent="0.25">
      <c r="B252" s="86" t="s">
        <v>469</v>
      </c>
      <c r="C252" s="87" t="s">
        <v>470</v>
      </c>
      <c r="D252" s="82" t="s">
        <v>284</v>
      </c>
      <c r="E252" s="83">
        <v>10</v>
      </c>
      <c r="F252" s="88">
        <v>118801</v>
      </c>
      <c r="G252" s="89">
        <f t="shared" si="9"/>
        <v>1188010</v>
      </c>
      <c r="H252" s="118" t="str">
        <f t="array" ref="H252:K252">_xlfn.XLOOKUP(C252,'ESAP NEIVA FASE II UNIFICADO'!$C$6:$C$720,'ESAP NEIVA FASE II UNIFICADO'!$C$6:$F$720,"NO ESTA")</f>
        <v xml:space="preserve">SUMINISTRO E INSTALACIÓN ROCIADOR PENDENT K:11.2                                                          </v>
      </c>
      <c r="I252" t="str">
        <v xml:space="preserve">UN   </v>
      </c>
      <c r="J252">
        <v>27</v>
      </c>
      <c r="K252">
        <v>128366</v>
      </c>
      <c r="L252" s="115">
        <f t="shared" si="10"/>
        <v>128366</v>
      </c>
      <c r="M252" s="146">
        <f t="shared" si="11"/>
        <v>1283660</v>
      </c>
      <c r="N252" s="119"/>
    </row>
    <row r="253" spans="2:14" ht="15" customHeight="1" x14ac:dyDescent="0.25">
      <c r="B253" s="86" t="s">
        <v>471</v>
      </c>
      <c r="C253" s="87" t="s">
        <v>472</v>
      </c>
      <c r="D253" s="82" t="s">
        <v>284</v>
      </c>
      <c r="E253" s="83">
        <v>126</v>
      </c>
      <c r="F253" s="88">
        <v>43364</v>
      </c>
      <c r="G253" s="89">
        <f t="shared" si="9"/>
        <v>5463864</v>
      </c>
      <c r="H253" s="118" t="str">
        <f t="array" ref="H253:K253">_xlfn.XLOOKUP(C253,'ESAP NEIVA FASE II UNIFICADO'!$C$6:$C$720,'ESAP NEIVA FASE II UNIFICADO'!$C$6:$F$720,"NO ESTA")</f>
        <v xml:space="preserve">SUMINISTRO E INSTALACIÓN PUNTO HIDRÁULICO PARA ROCIADOR                                                  </v>
      </c>
      <c r="I253" t="str">
        <v xml:space="preserve">UN   </v>
      </c>
      <c r="J253">
        <v>341</v>
      </c>
      <c r="K253">
        <v>46856</v>
      </c>
      <c r="L253" s="115">
        <f t="shared" si="10"/>
        <v>46856</v>
      </c>
      <c r="M253" s="146">
        <f t="shared" si="11"/>
        <v>5903856</v>
      </c>
      <c r="N253" s="119"/>
    </row>
    <row r="254" spans="2:14" ht="15" customHeight="1" x14ac:dyDescent="0.25">
      <c r="B254" s="86" t="s">
        <v>473</v>
      </c>
      <c r="C254" s="87" t="s">
        <v>474</v>
      </c>
      <c r="D254" s="82" t="s">
        <v>284</v>
      </c>
      <c r="E254" s="83">
        <v>3</v>
      </c>
      <c r="F254" s="88">
        <v>3872781</v>
      </c>
      <c r="G254" s="89">
        <f t="shared" si="9"/>
        <v>11618343</v>
      </c>
      <c r="H254" s="118" t="str">
        <f t="array" ref="H254:K254">_xlfn.XLOOKUP(C254,'ESAP NEIVA FASE II UNIFICADO'!$C$6:$C$720,'ESAP NEIVA FASE II UNIFICADO'!$C$6:$F$720,"NO ESTA")</f>
        <v xml:space="preserve">SUMINISTRO E INSTALACIÓN ESTACIÓN DE CONTROL, PRUEBA Y DRENAJE 3"                                        </v>
      </c>
      <c r="I254" t="str">
        <v xml:space="preserve">UN   </v>
      </c>
      <c r="J254">
        <v>2</v>
      </c>
      <c r="K254">
        <v>4184551</v>
      </c>
      <c r="L254" s="115">
        <f t="shared" si="10"/>
        <v>4184551</v>
      </c>
      <c r="M254" s="146">
        <f t="shared" si="11"/>
        <v>12553653</v>
      </c>
      <c r="N254" s="119"/>
    </row>
    <row r="255" spans="2:14" ht="15" customHeight="1" x14ac:dyDescent="0.25">
      <c r="B255" s="86" t="s">
        <v>475</v>
      </c>
      <c r="C255" s="87" t="s">
        <v>476</v>
      </c>
      <c r="D255" s="82" t="s">
        <v>284</v>
      </c>
      <c r="E255" s="83">
        <v>3</v>
      </c>
      <c r="F255" s="88">
        <v>74140</v>
      </c>
      <c r="G255" s="89">
        <f t="shared" si="9"/>
        <v>222420</v>
      </c>
      <c r="H255" s="118" t="str">
        <f t="array" ref="H255:K255">_xlfn.XLOOKUP(C255,'ESAP NEIVA FASE II UNIFICADO'!$C$6:$C$720,'ESAP NEIVA FASE II UNIFICADO'!$C$6:$F$720,"NO ESTA")</f>
        <v xml:space="preserve">SUMINISTRO E INSTALACIÓN VÁLVULA TOMA Y DESC. AIRE 1" INCENDIO                                           </v>
      </c>
      <c r="I255" t="str">
        <v xml:space="preserve">UN   </v>
      </c>
      <c r="J255">
        <v>7</v>
      </c>
      <c r="K255">
        <v>80107</v>
      </c>
      <c r="L255" s="115">
        <f t="shared" si="10"/>
        <v>80107</v>
      </c>
      <c r="M255" s="146">
        <f t="shared" si="11"/>
        <v>240321</v>
      </c>
      <c r="N255" s="119"/>
    </row>
    <row r="256" spans="2:14" ht="15" customHeight="1" x14ac:dyDescent="0.25">
      <c r="B256" s="86" t="s">
        <v>477</v>
      </c>
      <c r="C256" s="87" t="s">
        <v>478</v>
      </c>
      <c r="D256" s="82" t="s">
        <v>284</v>
      </c>
      <c r="E256" s="83">
        <v>1</v>
      </c>
      <c r="F256" s="88">
        <v>1375643</v>
      </c>
      <c r="G256" s="89">
        <f t="shared" si="9"/>
        <v>1375643</v>
      </c>
      <c r="H256" s="118" t="str">
        <f t="array" ref="H256:K256">_xlfn.XLOOKUP(C256,'ESAP NEIVA FASE II UNIFICADO'!$C$6:$C$720,'ESAP NEIVA FASE II UNIFICADO'!$C$6:$F$720,"NO ESTA")</f>
        <v xml:space="preserve">SUMINISTRO E INSTALACIÓN SIAMESA DE INYECCIÓN                                                            </v>
      </c>
      <c r="I256" t="str">
        <v xml:space="preserve">UN   </v>
      </c>
      <c r="J256">
        <v>1</v>
      </c>
      <c r="K256">
        <v>1486386</v>
      </c>
      <c r="L256" s="115">
        <f t="shared" si="10"/>
        <v>1486386</v>
      </c>
      <c r="M256" s="146">
        <f t="shared" si="11"/>
        <v>1486386</v>
      </c>
      <c r="N256" s="119"/>
    </row>
    <row r="257" spans="2:14" ht="15" customHeight="1" x14ac:dyDescent="0.25">
      <c r="B257" s="86" t="s">
        <v>479</v>
      </c>
      <c r="C257" s="87" t="s">
        <v>480</v>
      </c>
      <c r="D257" s="82" t="s">
        <v>284</v>
      </c>
      <c r="E257" s="83">
        <v>1</v>
      </c>
      <c r="F257" s="88">
        <v>4975125</v>
      </c>
      <c r="G257" s="89">
        <f t="shared" si="9"/>
        <v>4975125</v>
      </c>
      <c r="H257" s="118" t="str">
        <f t="array" ref="H257:K257">_xlfn.XLOOKUP(C257,'ESAP NEIVA FASE II UNIFICADO'!$C$6:$C$720,'ESAP NEIVA FASE II UNIFICADO'!$C$6:$F$720,"NO ESTA")</f>
        <v xml:space="preserve">SUMINISTRO E INSTALACIÓN CABEZAL DE PRUEBAS                                                         </v>
      </c>
      <c r="I257" t="str">
        <v xml:space="preserve">UN   </v>
      </c>
      <c r="J257">
        <v>0</v>
      </c>
      <c r="K257">
        <v>5375637</v>
      </c>
      <c r="L257" s="115">
        <f t="shared" si="10"/>
        <v>5375637</v>
      </c>
      <c r="M257" s="146">
        <f t="shared" si="11"/>
        <v>5375637</v>
      </c>
      <c r="N257" s="119"/>
    </row>
    <row r="258" spans="2:14" ht="15" customHeight="1" x14ac:dyDescent="0.25">
      <c r="B258" s="86" t="s">
        <v>481</v>
      </c>
      <c r="C258" s="87" t="s">
        <v>482</v>
      </c>
      <c r="D258" s="82" t="s">
        <v>284</v>
      </c>
      <c r="E258" s="83">
        <v>1</v>
      </c>
      <c r="F258" s="88">
        <v>397462</v>
      </c>
      <c r="G258" s="89">
        <f t="shared" si="9"/>
        <v>397462</v>
      </c>
      <c r="H258" s="118" t="str">
        <f t="array" ref="H258:K258">_xlfn.XLOOKUP(C258,'ESAP NEIVA FASE II UNIFICADO'!$C$6:$C$720,'ESAP NEIVA FASE II UNIFICADO'!$C$6:$F$720,"NO ESTA")</f>
        <v xml:space="preserve">SUMINISTRO E INSTALACIÓN CHEQUE RANURADO 4"                                                              </v>
      </c>
      <c r="I258" t="str">
        <v xml:space="preserve">UN   </v>
      </c>
      <c r="J258">
        <v>0</v>
      </c>
      <c r="K258">
        <v>429459</v>
      </c>
      <c r="L258" s="115">
        <f t="shared" si="10"/>
        <v>429459</v>
      </c>
      <c r="M258" s="146">
        <f t="shared" si="11"/>
        <v>429459</v>
      </c>
      <c r="N258" s="119"/>
    </row>
    <row r="259" spans="2:14" ht="15" customHeight="1" x14ac:dyDescent="0.25">
      <c r="B259" s="86" t="s">
        <v>483</v>
      </c>
      <c r="C259" s="87" t="s">
        <v>484</v>
      </c>
      <c r="D259" s="82" t="s">
        <v>284</v>
      </c>
      <c r="E259" s="83">
        <v>1</v>
      </c>
      <c r="F259" s="88">
        <v>1429860</v>
      </c>
      <c r="G259" s="89">
        <f t="shared" si="9"/>
        <v>1429860</v>
      </c>
      <c r="H259" s="118" t="str">
        <f t="array" ref="H259:K259">_xlfn.XLOOKUP(C259,'ESAP NEIVA FASE II UNIFICADO'!$C$6:$C$720,'ESAP NEIVA FASE II UNIFICADO'!$C$6:$F$720,"NO ESTA")</f>
        <v xml:space="preserve">SUMINISTRO E INSTALACIÓN VÁLVULA OS&amp;Y 4"                                                                 </v>
      </c>
      <c r="I259" t="str">
        <v xml:space="preserve">UN   </v>
      </c>
      <c r="J259">
        <v>0</v>
      </c>
      <c r="K259">
        <v>1544969</v>
      </c>
      <c r="L259" s="115">
        <f t="shared" si="10"/>
        <v>1544969</v>
      </c>
      <c r="M259" s="146">
        <f t="shared" si="11"/>
        <v>1544969</v>
      </c>
      <c r="N259" s="119"/>
    </row>
    <row r="260" spans="2:14" ht="15" customHeight="1" x14ac:dyDescent="0.25">
      <c r="B260" s="86" t="s">
        <v>485</v>
      </c>
      <c r="C260" s="87" t="s">
        <v>486</v>
      </c>
      <c r="D260" s="82" t="s">
        <v>284</v>
      </c>
      <c r="E260" s="83">
        <v>5</v>
      </c>
      <c r="F260" s="88">
        <v>129341</v>
      </c>
      <c r="G260" s="89">
        <f t="shared" si="9"/>
        <v>646705</v>
      </c>
      <c r="H260" s="118" t="str">
        <f t="array" ref="H260:K260">_xlfn.XLOOKUP(C260,'ESAP NEIVA FASE II UNIFICADO'!$C$6:$C$720,'ESAP NEIVA FASE II UNIFICADO'!$C$6:$F$720,"NO ESTA")</f>
        <v xml:space="preserve">SUMINISTRO E INSTALACIÓN SOPORTE LONGITUDINAL 4 VÍAS 3"                                                               </v>
      </c>
      <c r="I260" t="str">
        <v xml:space="preserve">UN   </v>
      </c>
      <c r="J260">
        <v>15</v>
      </c>
      <c r="K260">
        <v>139754</v>
      </c>
      <c r="L260" s="115">
        <f t="shared" si="10"/>
        <v>139754</v>
      </c>
      <c r="M260" s="146">
        <f t="shared" si="11"/>
        <v>698770</v>
      </c>
      <c r="N260" s="119"/>
    </row>
    <row r="261" spans="2:14" ht="15" customHeight="1" x14ac:dyDescent="0.25">
      <c r="B261" s="86" t="s">
        <v>487</v>
      </c>
      <c r="C261" s="87" t="s">
        <v>488</v>
      </c>
      <c r="D261" s="82" t="s">
        <v>284</v>
      </c>
      <c r="E261" s="83">
        <v>1</v>
      </c>
      <c r="F261" s="88">
        <v>260130</v>
      </c>
      <c r="G261" s="89">
        <f t="shared" si="9"/>
        <v>260130</v>
      </c>
      <c r="H261" s="118" t="str">
        <f t="array" ref="H261:K261">_xlfn.XLOOKUP(C261,'ESAP NEIVA FASE II UNIFICADO'!$C$6:$C$720,'ESAP NEIVA FASE II UNIFICADO'!$C$6:$F$720,"NO ESTA")</f>
        <v xml:space="preserve">SUMINISTRO E INSTALACIÓN SOPORTE LONGITUDINAL 4 VÍAS 4"                                                               </v>
      </c>
      <c r="I261" t="str">
        <v xml:space="preserve">UN   </v>
      </c>
      <c r="J261">
        <v>2</v>
      </c>
      <c r="K261">
        <v>281071</v>
      </c>
      <c r="L261" s="115">
        <f t="shared" si="10"/>
        <v>281071</v>
      </c>
      <c r="M261" s="146">
        <f t="shared" si="11"/>
        <v>281071</v>
      </c>
      <c r="N261" s="119"/>
    </row>
    <row r="262" spans="2:14" ht="15" customHeight="1" x14ac:dyDescent="0.25">
      <c r="B262" s="86" t="s">
        <v>489</v>
      </c>
      <c r="C262" s="87" t="s">
        <v>490</v>
      </c>
      <c r="D262" s="82" t="s">
        <v>284</v>
      </c>
      <c r="E262" s="83">
        <v>12</v>
      </c>
      <c r="F262" s="88">
        <v>111240</v>
      </c>
      <c r="G262" s="89">
        <f t="shared" ref="G262:G325" si="12">ROUND(+F262*E262,2)</f>
        <v>1334880</v>
      </c>
      <c r="H262" s="118" t="str">
        <f t="array" ref="H262:K262">_xlfn.XLOOKUP(C262,'ESAP NEIVA FASE II UNIFICADO'!$C$6:$C$720,'ESAP NEIVA FASE II UNIFICADO'!$C$6:$F$720,"NO ESTA")</f>
        <v xml:space="preserve">SUMINISTRO E INSTALACIÓN SOPORTE LATERAL 2 VÍAS 2"                                                       </v>
      </c>
      <c r="I262" t="str">
        <v xml:space="preserve">UN   </v>
      </c>
      <c r="J262">
        <v>32</v>
      </c>
      <c r="K262">
        <v>120195</v>
      </c>
      <c r="L262" s="115">
        <f t="shared" ref="L262:L325" si="13">MAX(K262,F262)</f>
        <v>120195</v>
      </c>
      <c r="M262" s="146">
        <f t="shared" ref="M262:M325" si="14">L262*E262</f>
        <v>1442340</v>
      </c>
      <c r="N262" s="119"/>
    </row>
    <row r="263" spans="2:14" ht="15" customHeight="1" x14ac:dyDescent="0.25">
      <c r="B263" s="86" t="s">
        <v>491</v>
      </c>
      <c r="C263" s="87" t="s">
        <v>492</v>
      </c>
      <c r="D263" s="82" t="s">
        <v>284</v>
      </c>
      <c r="E263" s="83">
        <v>10</v>
      </c>
      <c r="F263" s="88">
        <v>117185</v>
      </c>
      <c r="G263" s="89">
        <f t="shared" si="12"/>
        <v>1171850</v>
      </c>
      <c r="H263" s="118" t="str">
        <f t="array" ref="H263:K263">_xlfn.XLOOKUP(C263,'ESAP NEIVA FASE II UNIFICADO'!$C$6:$C$720,'ESAP NEIVA FASE II UNIFICADO'!$C$6:$F$720,"NO ESTA")</f>
        <v xml:space="preserve">SUMINISTRO E INSTALACIÓN SOPORTE LATERAL 2 VÍAS 3"                                                       </v>
      </c>
      <c r="I263" t="str">
        <v xml:space="preserve">UN   </v>
      </c>
      <c r="J263">
        <v>27</v>
      </c>
      <c r="K263">
        <v>126619</v>
      </c>
      <c r="L263" s="115">
        <f t="shared" si="13"/>
        <v>126619</v>
      </c>
      <c r="M263" s="146">
        <f t="shared" si="14"/>
        <v>1266190</v>
      </c>
      <c r="N263" s="119"/>
    </row>
    <row r="264" spans="2:14" ht="15" customHeight="1" x14ac:dyDescent="0.25">
      <c r="B264" s="86" t="s">
        <v>493</v>
      </c>
      <c r="C264" s="87" t="s">
        <v>494</v>
      </c>
      <c r="D264" s="82" t="s">
        <v>284</v>
      </c>
      <c r="E264" s="83">
        <v>2</v>
      </c>
      <c r="F264" s="88">
        <v>1486307</v>
      </c>
      <c r="G264" s="89">
        <f t="shared" si="12"/>
        <v>2972614</v>
      </c>
      <c r="H264" s="118" t="str">
        <f t="array" ref="H264:K264">_xlfn.XLOOKUP(C264,'ESAP NEIVA FASE II UNIFICADO'!$C$6:$C$720,'ESAP NEIVA FASE II UNIFICADO'!$C$6:$F$720,"NO ESTA")</f>
        <v xml:space="preserve">SUMINISTRO E INSTALACIÓN GABINETE TIPO II </v>
      </c>
      <c r="I264" t="str">
        <v xml:space="preserve">UN   </v>
      </c>
      <c r="J264">
        <v>6</v>
      </c>
      <c r="K264">
        <v>1605959</v>
      </c>
      <c r="L264" s="115">
        <f t="shared" si="13"/>
        <v>1605959</v>
      </c>
      <c r="M264" s="146">
        <f t="shared" si="14"/>
        <v>3211918</v>
      </c>
      <c r="N264" s="119"/>
    </row>
    <row r="265" spans="2:14" ht="15.75" customHeight="1" x14ac:dyDescent="0.25">
      <c r="B265" s="74">
        <v>14</v>
      </c>
      <c r="C265" s="75" t="s">
        <v>495</v>
      </c>
      <c r="D265" s="76"/>
      <c r="E265" s="77"/>
      <c r="F265" s="78"/>
      <c r="G265" s="89">
        <f t="shared" si="12"/>
        <v>0</v>
      </c>
      <c r="H265" s="118" t="str">
        <f t="array" ref="H265:K265">_xlfn.XLOOKUP(C265,'ESAP NEIVA FASE II UNIFICADO'!$C$6:$C$720,'ESAP NEIVA FASE II UNIFICADO'!$C$6:$F$720,"NO ESTA")</f>
        <v>SALIDAS DE ALUMBRADO Y TOMACORRIENTES ELÉCTRICOS</v>
      </c>
      <c r="I265">
        <v>0</v>
      </c>
      <c r="J265">
        <v>0</v>
      </c>
      <c r="K265">
        <v>0</v>
      </c>
      <c r="L265" s="115">
        <f t="shared" si="13"/>
        <v>0</v>
      </c>
      <c r="M265" s="146">
        <f t="shared" si="14"/>
        <v>0</v>
      </c>
      <c r="N265" s="119"/>
    </row>
    <row r="266" spans="2:14" ht="26.25" customHeight="1" x14ac:dyDescent="0.25">
      <c r="B266" s="80" t="s">
        <v>496</v>
      </c>
      <c r="C266" s="81" t="s">
        <v>497</v>
      </c>
      <c r="D266" s="82"/>
      <c r="E266" s="83"/>
      <c r="F266" s="90"/>
      <c r="G266" s="89">
        <f t="shared" si="12"/>
        <v>0</v>
      </c>
      <c r="H266" s="118" t="str">
        <f t="array" ref="H266:K266">_xlfn.XLOOKUP(C266,'ESAP NEIVA FASE II UNIFICADO'!$C$6:$C$720,'ESAP NEIVA FASE II UNIFICADO'!$C$6:$F$720,"NO ESTA")</f>
        <v>SUMINISTRO E INSTALACIÓN SALIDAS DE ALUMBRADO EN TUBERIA PVC INCRUSTRADA (NO SE INCLUYE LAS LUMINARIAS)</v>
      </c>
      <c r="I266">
        <v>0</v>
      </c>
      <c r="J266">
        <v>0</v>
      </c>
      <c r="K266">
        <v>0</v>
      </c>
      <c r="L266" s="115">
        <f t="shared" si="13"/>
        <v>0</v>
      </c>
      <c r="M266" s="146">
        <f t="shared" si="14"/>
        <v>0</v>
      </c>
      <c r="N266" s="119"/>
    </row>
    <row r="267" spans="2:14" ht="15" customHeight="1" x14ac:dyDescent="0.25">
      <c r="B267" s="86" t="s">
        <v>498</v>
      </c>
      <c r="C267" s="87" t="s">
        <v>499</v>
      </c>
      <c r="D267" s="82" t="s">
        <v>374</v>
      </c>
      <c r="E267" s="83">
        <v>57</v>
      </c>
      <c r="F267" s="88">
        <v>76889</v>
      </c>
      <c r="G267" s="89">
        <f t="shared" si="12"/>
        <v>4382673</v>
      </c>
      <c r="H267" s="118" t="str">
        <f t="array" ref="H267:K267">_xlfn.XLOOKUP(C267,'ESAP NEIVA FASE II UNIFICADO'!$C$6:$C$720,'ESAP NEIVA FASE II UNIFICADO'!$C$6:$F$720,"NO ESTA")</f>
        <v>SUMINISTRO E INSTALACIÓN SALIDA PARA LAMPARA LED DE 1x28 W</v>
      </c>
      <c r="I267" t="str">
        <v>UN</v>
      </c>
      <c r="J267">
        <v>153</v>
      </c>
      <c r="K267">
        <v>83078</v>
      </c>
      <c r="L267" s="115">
        <f t="shared" si="13"/>
        <v>83078</v>
      </c>
      <c r="M267" s="146">
        <f t="shared" si="14"/>
        <v>4735446</v>
      </c>
      <c r="N267" s="119"/>
    </row>
    <row r="268" spans="2:14" ht="15" customHeight="1" x14ac:dyDescent="0.25">
      <c r="B268" s="86" t="s">
        <v>500</v>
      </c>
      <c r="C268" s="87" t="s">
        <v>501</v>
      </c>
      <c r="D268" s="82" t="s">
        <v>374</v>
      </c>
      <c r="E268" s="83">
        <v>30</v>
      </c>
      <c r="F268" s="88">
        <v>69557</v>
      </c>
      <c r="G268" s="89">
        <f t="shared" si="12"/>
        <v>2086710</v>
      </c>
      <c r="H268" s="118" t="str">
        <f t="array" ref="H268:K268">_xlfn.XLOOKUP(C268,'ESAP NEIVA FASE II UNIFICADO'!$C$6:$C$720,'ESAP NEIVA FASE II UNIFICADO'!$C$6:$F$720,"NO ESTA")</f>
        <v>SUMINISTRO E INSTALACIÓN SALIDA PARA LAMPARA LED DE 2x54 W</v>
      </c>
      <c r="I268" t="str">
        <v>UN</v>
      </c>
      <c r="J268">
        <v>82</v>
      </c>
      <c r="K268">
        <v>75156</v>
      </c>
      <c r="L268" s="115">
        <f t="shared" si="13"/>
        <v>75156</v>
      </c>
      <c r="M268" s="146">
        <f t="shared" si="14"/>
        <v>2254680</v>
      </c>
      <c r="N268" s="119"/>
    </row>
    <row r="269" spans="2:14" ht="15" customHeight="1" x14ac:dyDescent="0.25">
      <c r="B269" s="86" t="s">
        <v>502</v>
      </c>
      <c r="C269" s="87" t="s">
        <v>503</v>
      </c>
      <c r="D269" s="82" t="s">
        <v>374</v>
      </c>
      <c r="E269" s="83">
        <v>45</v>
      </c>
      <c r="F269" s="88">
        <v>65217</v>
      </c>
      <c r="G269" s="89">
        <f t="shared" si="12"/>
        <v>2934765</v>
      </c>
      <c r="H269" s="118" t="str">
        <f t="array" ref="H269:K269">_xlfn.XLOOKUP(C269,'ESAP NEIVA FASE II UNIFICADO'!$C$6:$C$720,'ESAP NEIVA FASE II UNIFICADO'!$C$6:$F$720,"NO ESTA")</f>
        <v>SUMINISTRO E INSTALACIÓN SALIDA PARA BALA DE LED 35W 120V</v>
      </c>
      <c r="I269" t="str">
        <v>UN</v>
      </c>
      <c r="J269">
        <v>121</v>
      </c>
      <c r="K269">
        <v>70467</v>
      </c>
      <c r="L269" s="115">
        <f t="shared" si="13"/>
        <v>70467</v>
      </c>
      <c r="M269" s="146">
        <f t="shared" si="14"/>
        <v>3171015</v>
      </c>
      <c r="N269" s="119"/>
    </row>
    <row r="270" spans="2:14" ht="15" customHeight="1" x14ac:dyDescent="0.25">
      <c r="B270" s="86" t="s">
        <v>504</v>
      </c>
      <c r="C270" s="87" t="s">
        <v>505</v>
      </c>
      <c r="D270" s="82" t="s">
        <v>374</v>
      </c>
      <c r="E270" s="83">
        <v>19</v>
      </c>
      <c r="F270" s="88">
        <v>65217</v>
      </c>
      <c r="G270" s="89">
        <f t="shared" si="12"/>
        <v>1239123</v>
      </c>
      <c r="H270" s="118" t="str">
        <f t="array" ref="H270:K270">_xlfn.XLOOKUP(C270,'ESAP NEIVA FASE II UNIFICADO'!$C$6:$C$720,'ESAP NEIVA FASE II UNIFICADO'!$C$6:$F$720,"NO ESTA")</f>
        <v>SUMINISTRO E INSTALACIÓN SALIDA PARA BALA RECESADA LED 10W 120V</v>
      </c>
      <c r="I270" t="str">
        <v>UN</v>
      </c>
      <c r="J270">
        <v>50</v>
      </c>
      <c r="K270">
        <v>70467</v>
      </c>
      <c r="L270" s="115">
        <f t="shared" si="13"/>
        <v>70467</v>
      </c>
      <c r="M270" s="146">
        <f t="shared" si="14"/>
        <v>1338873</v>
      </c>
      <c r="N270" s="119"/>
    </row>
    <row r="271" spans="2:14" ht="15" customHeight="1" x14ac:dyDescent="0.25">
      <c r="B271" s="86" t="s">
        <v>506</v>
      </c>
      <c r="C271" s="87" t="s">
        <v>507</v>
      </c>
      <c r="D271" s="82" t="s">
        <v>374</v>
      </c>
      <c r="E271" s="83">
        <v>68</v>
      </c>
      <c r="F271" s="88">
        <v>65217</v>
      </c>
      <c r="G271" s="89">
        <f t="shared" si="12"/>
        <v>4434756</v>
      </c>
      <c r="H271" s="118" t="str">
        <f t="array" ref="H271:K271">_xlfn.XLOOKUP(C271,'ESAP NEIVA FASE II UNIFICADO'!$C$6:$C$720,'ESAP NEIVA FASE II UNIFICADO'!$C$6:$F$720,"NO ESTA")</f>
        <v>SUMINISTRO E INSTALACIÓN SALIDA PARA LUMINARIA LED 2x26W 120V</v>
      </c>
      <c r="I271" t="str">
        <v>UN</v>
      </c>
      <c r="J271">
        <v>184</v>
      </c>
      <c r="K271">
        <v>70467</v>
      </c>
      <c r="L271" s="115">
        <f t="shared" si="13"/>
        <v>70467</v>
      </c>
      <c r="M271" s="146">
        <f t="shared" si="14"/>
        <v>4791756</v>
      </c>
      <c r="N271" s="119"/>
    </row>
    <row r="272" spans="2:14" ht="15" customHeight="1" x14ac:dyDescent="0.25">
      <c r="B272" s="86" t="s">
        <v>508</v>
      </c>
      <c r="C272" s="87" t="s">
        <v>509</v>
      </c>
      <c r="D272" s="82" t="s">
        <v>374</v>
      </c>
      <c r="E272" s="83">
        <v>2</v>
      </c>
      <c r="F272" s="88">
        <v>63160</v>
      </c>
      <c r="G272" s="89">
        <f t="shared" si="12"/>
        <v>126320</v>
      </c>
      <c r="H272" s="118" t="str">
        <f t="array" ref="H272:K272">_xlfn.XLOOKUP(C272,'ESAP NEIVA FASE II UNIFICADO'!$C$6:$C$720,'ESAP NEIVA FASE II UNIFICADO'!$C$6:$F$720,"NO ESTA")</f>
        <v>SUMINISTRO E INSTALACIÓN SALIDA PARA REFLECTOR DE LUZ DIRECTA</v>
      </c>
      <c r="I272" t="str">
        <v>UN</v>
      </c>
      <c r="J272">
        <v>6</v>
      </c>
      <c r="K272">
        <v>68243</v>
      </c>
      <c r="L272" s="115">
        <f t="shared" si="13"/>
        <v>68243</v>
      </c>
      <c r="M272" s="146">
        <f t="shared" si="14"/>
        <v>136486</v>
      </c>
      <c r="N272" s="119"/>
    </row>
    <row r="273" spans="2:14" ht="15" customHeight="1" x14ac:dyDescent="0.25">
      <c r="B273" s="86" t="s">
        <v>510</v>
      </c>
      <c r="C273" s="87" t="s">
        <v>511</v>
      </c>
      <c r="D273" s="82" t="s">
        <v>374</v>
      </c>
      <c r="E273" s="83">
        <v>2</v>
      </c>
      <c r="F273" s="88">
        <v>69240</v>
      </c>
      <c r="G273" s="89">
        <f t="shared" si="12"/>
        <v>138480</v>
      </c>
      <c r="H273" s="118" t="str">
        <f t="array" ref="H273:K273">_xlfn.XLOOKUP(C273,'ESAP NEIVA FASE II UNIFICADO'!$C$6:$C$720,'ESAP NEIVA FASE II UNIFICADO'!$C$6:$F$720,"NO ESTA")</f>
        <v>SUMINISTRO E INSTALACIÓN SALIDA PARA APLIQUE DE ESCALERA 1000W 120V</v>
      </c>
      <c r="I273" t="str">
        <v>UN</v>
      </c>
      <c r="J273">
        <v>6</v>
      </c>
      <c r="K273">
        <v>74815</v>
      </c>
      <c r="L273" s="115">
        <f t="shared" si="13"/>
        <v>74815</v>
      </c>
      <c r="M273" s="146">
        <f t="shared" si="14"/>
        <v>149630</v>
      </c>
      <c r="N273" s="119"/>
    </row>
    <row r="274" spans="2:14" ht="15" customHeight="1" x14ac:dyDescent="0.25">
      <c r="B274" s="86" t="s">
        <v>512</v>
      </c>
      <c r="C274" s="87" t="s">
        <v>513</v>
      </c>
      <c r="D274" s="82" t="s">
        <v>374</v>
      </c>
      <c r="E274" s="83">
        <v>25</v>
      </c>
      <c r="F274" s="88">
        <v>69240</v>
      </c>
      <c r="G274" s="89">
        <f t="shared" si="12"/>
        <v>1731000</v>
      </c>
      <c r="H274" s="118" t="str">
        <f t="array" ref="H274:K274">_xlfn.XLOOKUP(C274,'ESAP NEIVA FASE II UNIFICADO'!$C$6:$C$720,'ESAP NEIVA FASE II UNIFICADO'!$C$6:$F$720,"NO ESTA")</f>
        <v>SUMINISTRO E INSTALACIÓN SALIDA PARA BALAS LED DE PISO 3W 120V</v>
      </c>
      <c r="I274" t="str">
        <v>UN</v>
      </c>
      <c r="J274">
        <v>67</v>
      </c>
      <c r="K274">
        <v>74815</v>
      </c>
      <c r="L274" s="115">
        <f t="shared" si="13"/>
        <v>74815</v>
      </c>
      <c r="M274" s="146">
        <f t="shared" si="14"/>
        <v>1870375</v>
      </c>
      <c r="N274" s="119"/>
    </row>
    <row r="275" spans="2:14" ht="15" customHeight="1" x14ac:dyDescent="0.25">
      <c r="B275" s="86" t="s">
        <v>514</v>
      </c>
      <c r="C275" s="87" t="s">
        <v>515</v>
      </c>
      <c r="D275" s="82" t="s">
        <v>374</v>
      </c>
      <c r="E275" s="83">
        <v>4</v>
      </c>
      <c r="F275" s="88">
        <v>69240</v>
      </c>
      <c r="G275" s="89">
        <f t="shared" si="12"/>
        <v>276960</v>
      </c>
      <c r="H275" s="118" t="str">
        <f t="array" ref="H275:K275">_xlfn.XLOOKUP(C275,'ESAP NEIVA FASE II UNIFICADO'!$C$6:$C$720,'ESAP NEIVA FASE II UNIFICADO'!$C$6:$F$720,"NO ESTA")</f>
        <v>SUMINISTRO E INSTALACIÓN SALIDA PARA BALAS DE PISO 50W 120V</v>
      </c>
      <c r="I275" t="str">
        <v>UN</v>
      </c>
      <c r="J275">
        <v>10</v>
      </c>
      <c r="K275">
        <v>74815</v>
      </c>
      <c r="L275" s="115">
        <f t="shared" si="13"/>
        <v>74815</v>
      </c>
      <c r="M275" s="146">
        <f t="shared" si="14"/>
        <v>299260</v>
      </c>
      <c r="N275" s="119"/>
    </row>
    <row r="276" spans="2:14" ht="15" customHeight="1" x14ac:dyDescent="0.25">
      <c r="B276" s="86" t="s">
        <v>516</v>
      </c>
      <c r="C276" s="87" t="s">
        <v>517</v>
      </c>
      <c r="D276" s="82" t="s">
        <v>374</v>
      </c>
      <c r="E276" s="83">
        <v>16</v>
      </c>
      <c r="F276" s="88">
        <v>74050</v>
      </c>
      <c r="G276" s="89">
        <f t="shared" si="12"/>
        <v>1184800</v>
      </c>
      <c r="H276" s="118" t="str">
        <f t="array" ref="H276:K276">_xlfn.XLOOKUP(C276,'ESAP NEIVA FASE II UNIFICADO'!$C$6:$C$720,'ESAP NEIVA FASE II UNIFICADO'!$C$6:$F$720,"NO ESTA")</f>
        <v>SUMINISTRO E INSTALACIÓN SALIDA PARA INTERRUPTOR SENCILLO COLOR BLANCO</v>
      </c>
      <c r="I276" t="str">
        <v>UN</v>
      </c>
      <c r="J276">
        <v>42</v>
      </c>
      <c r="K276">
        <v>80011</v>
      </c>
      <c r="L276" s="115">
        <f t="shared" si="13"/>
        <v>80011</v>
      </c>
      <c r="M276" s="146">
        <f t="shared" si="14"/>
        <v>1280176</v>
      </c>
      <c r="N276" s="119"/>
    </row>
    <row r="277" spans="2:14" ht="15" customHeight="1" x14ac:dyDescent="0.25">
      <c r="B277" s="86" t="s">
        <v>518</v>
      </c>
      <c r="C277" s="87" t="s">
        <v>519</v>
      </c>
      <c r="D277" s="82" t="s">
        <v>374</v>
      </c>
      <c r="E277" s="83">
        <v>6</v>
      </c>
      <c r="F277" s="88">
        <v>80291</v>
      </c>
      <c r="G277" s="89">
        <f t="shared" si="12"/>
        <v>481746</v>
      </c>
      <c r="H277" s="118" t="str">
        <f t="array" ref="H277:K277">_xlfn.XLOOKUP(C277,'ESAP NEIVA FASE II UNIFICADO'!$C$6:$C$720,'ESAP NEIVA FASE II UNIFICADO'!$C$6:$F$720,"NO ESTA")</f>
        <v>SUMINISTRO E INSTALACIÓN SALIDA PARA INTERRUPTOR DOBLE COLOR BLANCO</v>
      </c>
      <c r="I277" t="str">
        <v>UN</v>
      </c>
      <c r="J277">
        <v>18</v>
      </c>
      <c r="K277">
        <v>86756</v>
      </c>
      <c r="L277" s="115">
        <f t="shared" si="13"/>
        <v>86756</v>
      </c>
      <c r="M277" s="146">
        <f t="shared" si="14"/>
        <v>520536</v>
      </c>
      <c r="N277" s="119"/>
    </row>
    <row r="278" spans="2:14" ht="27" customHeight="1" x14ac:dyDescent="0.25">
      <c r="B278" s="86" t="s">
        <v>520</v>
      </c>
      <c r="C278" s="87" t="s">
        <v>521</v>
      </c>
      <c r="D278" s="82" t="s">
        <v>374</v>
      </c>
      <c r="E278" s="83">
        <v>2</v>
      </c>
      <c r="F278" s="88">
        <v>81973</v>
      </c>
      <c r="G278" s="89">
        <f t="shared" si="12"/>
        <v>163946</v>
      </c>
      <c r="H278" s="118" t="str">
        <f t="array" ref="H278:K278">_xlfn.XLOOKUP(C278,'ESAP NEIVA FASE II UNIFICADO'!$C$6:$C$720,'ESAP NEIVA FASE II UNIFICADO'!$C$6:$F$720,"NO ESTA")</f>
        <v>SUMINISTRO E INSTALACIÓN SALIDA PARA INTERRUPTOR SENCILLO CONMUTABLE COLOR BLANCO</v>
      </c>
      <c r="I278" t="str">
        <v>UN</v>
      </c>
      <c r="J278">
        <v>6</v>
      </c>
      <c r="K278">
        <v>88571</v>
      </c>
      <c r="L278" s="115">
        <f t="shared" si="13"/>
        <v>88571</v>
      </c>
      <c r="M278" s="146">
        <f t="shared" si="14"/>
        <v>177142</v>
      </c>
      <c r="N278" s="119"/>
    </row>
    <row r="279" spans="2:14" ht="27" customHeight="1" x14ac:dyDescent="0.25">
      <c r="B279" s="86" t="s">
        <v>522</v>
      </c>
      <c r="C279" s="87" t="s">
        <v>523</v>
      </c>
      <c r="D279" s="82" t="s">
        <v>374</v>
      </c>
      <c r="E279" s="83">
        <v>2</v>
      </c>
      <c r="F279" s="88">
        <v>89569</v>
      </c>
      <c r="G279" s="89">
        <f t="shared" si="12"/>
        <v>179138</v>
      </c>
      <c r="H279" s="118" t="str">
        <f t="array" ref="H279:K279">_xlfn.XLOOKUP(C279,'ESAP NEIVA FASE II UNIFICADO'!$C$6:$C$720,'ESAP NEIVA FASE II UNIFICADO'!$C$6:$F$720,"NO ESTA")</f>
        <v>SUMINISTRO E INSTALACIÓN SALIDA PARA INTERRUPTOR DOBLE CONMUTABLE COLOR BLANCO</v>
      </c>
      <c r="I279" t="str">
        <v>UN</v>
      </c>
      <c r="J279">
        <v>4</v>
      </c>
      <c r="K279">
        <v>96779</v>
      </c>
      <c r="L279" s="115">
        <f t="shared" si="13"/>
        <v>96779</v>
      </c>
      <c r="M279" s="146">
        <f t="shared" si="14"/>
        <v>193558</v>
      </c>
      <c r="N279" s="119"/>
    </row>
    <row r="280" spans="2:14" ht="15" customHeight="1" x14ac:dyDescent="0.25">
      <c r="B280" s="86" t="s">
        <v>524</v>
      </c>
      <c r="C280" s="87" t="s">
        <v>525</v>
      </c>
      <c r="D280" s="82" t="s">
        <v>374</v>
      </c>
      <c r="E280" s="83">
        <v>5</v>
      </c>
      <c r="F280" s="88">
        <v>84061</v>
      </c>
      <c r="G280" s="89">
        <f t="shared" si="12"/>
        <v>420305</v>
      </c>
      <c r="H280" s="118" t="str">
        <f t="array" ref="H280:K280">_xlfn.XLOOKUP(C280,'ESAP NEIVA FASE II UNIFICADO'!$C$6:$C$720,'ESAP NEIVA FASE II UNIFICADO'!$C$6:$F$720,"NO ESTA")</f>
        <v>SUMINISTRO E INSTALACIÓN SALIDA PARA INTERRUPTOR DE SENSOR DE PRESENCIA</v>
      </c>
      <c r="I280" t="str">
        <v>UN</v>
      </c>
      <c r="J280">
        <v>12</v>
      </c>
      <c r="K280">
        <v>90828</v>
      </c>
      <c r="L280" s="115">
        <f t="shared" si="13"/>
        <v>90828</v>
      </c>
      <c r="M280" s="146">
        <f t="shared" si="14"/>
        <v>454140</v>
      </c>
      <c r="N280" s="119"/>
    </row>
    <row r="281" spans="2:14" ht="15" customHeight="1" x14ac:dyDescent="0.25">
      <c r="B281" s="86" t="s">
        <v>526</v>
      </c>
      <c r="C281" s="87" t="s">
        <v>527</v>
      </c>
      <c r="D281" s="82" t="s">
        <v>374</v>
      </c>
      <c r="E281" s="83">
        <v>1</v>
      </c>
      <c r="F281" s="88">
        <v>94783</v>
      </c>
      <c r="G281" s="89">
        <f t="shared" si="12"/>
        <v>94783</v>
      </c>
      <c r="H281" s="118" t="str">
        <f t="array" ref="H281:K281">_xlfn.XLOOKUP(C281,'ESAP NEIVA FASE II UNIFICADO'!$C$6:$C$720,'ESAP NEIVA FASE II UNIFICADO'!$C$6:$F$720,"NO ESTA")</f>
        <v>SUMINISTRO E INSTALACIÓN SALIDA PARA SENSOR DE MOVIEMIENTO DE TECHO</v>
      </c>
      <c r="I281" t="str">
        <v>UN</v>
      </c>
      <c r="J281">
        <v>4</v>
      </c>
      <c r="K281">
        <v>102414</v>
      </c>
      <c r="L281" s="115">
        <f t="shared" si="13"/>
        <v>102414</v>
      </c>
      <c r="M281" s="146">
        <f t="shared" si="14"/>
        <v>102414</v>
      </c>
      <c r="N281" s="119"/>
    </row>
    <row r="282" spans="2:14" ht="55.5" customHeight="1" x14ac:dyDescent="0.25">
      <c r="B282" s="86" t="s">
        <v>528</v>
      </c>
      <c r="C282" s="87" t="s">
        <v>529</v>
      </c>
      <c r="D282" s="82" t="s">
        <v>269</v>
      </c>
      <c r="E282" s="83">
        <v>176</v>
      </c>
      <c r="F282" s="88">
        <v>1578</v>
      </c>
      <c r="G282" s="89">
        <f t="shared" si="12"/>
        <v>277728</v>
      </c>
      <c r="H282" s="118" t="str">
        <f t="array" ref="H282:K282">_xlfn.XLOOKUP(C282,'ESAP NEIVA FASE II UNIFICADO'!$C$6:$C$720,'ESAP NEIVA FASE II UNIFICADO'!$C$6:$F$720,"NO ESTA")</f>
        <v xml:space="preserve">SUMINISTRO E INSTALACIÓN SALIDAS PARCIALES DE CIRCUITO PARA SALIDAS DE ALUMBRADO Y TOMACORIRIENTE DE USO NORMAL EN CABLE #12 AWG THHN/THWN, DESDE EL TABLERO DE AUTOMATICOS POR EL DUCTO PORTACABLES HASTA LOS PRIMEROS PUNTOS DE DERIVACIÓN. </v>
      </c>
      <c r="I282" t="str">
        <v xml:space="preserve">ML   </v>
      </c>
      <c r="J282">
        <v>474</v>
      </c>
      <c r="K282">
        <v>1705</v>
      </c>
      <c r="L282" s="115">
        <f t="shared" si="13"/>
        <v>1705</v>
      </c>
      <c r="M282" s="146">
        <f t="shared" si="14"/>
        <v>300080</v>
      </c>
      <c r="N282" s="119"/>
    </row>
    <row r="283" spans="2:14" ht="26.25" customHeight="1" x14ac:dyDescent="0.25">
      <c r="B283" s="80" t="s">
        <v>530</v>
      </c>
      <c r="C283" s="81" t="s">
        <v>531</v>
      </c>
      <c r="D283" s="82"/>
      <c r="E283" s="83"/>
      <c r="F283" s="104"/>
      <c r="G283" s="89">
        <f t="shared" si="12"/>
        <v>0</v>
      </c>
      <c r="H283" s="118" t="str">
        <f t="array" ref="H283:K283">_xlfn.XLOOKUP(C283,'ESAP NEIVA FASE II UNIFICADO'!$C$6:$C$720,'ESAP NEIVA FASE II UNIFICADO'!$C$6:$F$720,"NO ESTA")</f>
        <v xml:space="preserve">SUMINISTRO E INSTALACIÓN SALIDAS PARA TOMACORRIENTES USO NORMAL EN TUBERIA PVC INCRUSTRADA </v>
      </c>
      <c r="I283">
        <v>0</v>
      </c>
      <c r="J283">
        <v>0</v>
      </c>
      <c r="K283">
        <v>0</v>
      </c>
      <c r="L283" s="115">
        <f t="shared" si="13"/>
        <v>0</v>
      </c>
      <c r="M283" s="146">
        <f t="shared" si="14"/>
        <v>0</v>
      </c>
      <c r="N283" s="119"/>
    </row>
    <row r="284" spans="2:14" ht="26.25" customHeight="1" x14ac:dyDescent="0.25">
      <c r="B284" s="86" t="s">
        <v>532</v>
      </c>
      <c r="C284" s="87" t="s">
        <v>533</v>
      </c>
      <c r="D284" s="82" t="s">
        <v>284</v>
      </c>
      <c r="E284" s="83">
        <v>97</v>
      </c>
      <c r="F284" s="88">
        <v>76379</v>
      </c>
      <c r="G284" s="89">
        <f t="shared" si="12"/>
        <v>7408763</v>
      </c>
      <c r="H284" s="118" t="str">
        <f t="array" ref="H284:K284">_xlfn.XLOOKUP(C284,'ESAP NEIVA FASE II UNIFICADO'!$C$6:$C$720,'ESAP NEIVA FASE II UNIFICADO'!$C$6:$F$720,"NO ESTA")</f>
        <v>SUMINISTRO E INSTALACIÓN SALIDA PARA TOMACORRIENTE DOBLE MONOFÁSICO CON POLO A TIERRA</v>
      </c>
      <c r="I284" t="str">
        <v xml:space="preserve">UN   </v>
      </c>
      <c r="J284">
        <v>264</v>
      </c>
      <c r="K284">
        <v>82527</v>
      </c>
      <c r="L284" s="115">
        <f t="shared" si="13"/>
        <v>82527</v>
      </c>
      <c r="M284" s="146">
        <f t="shared" si="14"/>
        <v>8005119</v>
      </c>
      <c r="N284" s="119"/>
    </row>
    <row r="285" spans="2:14" ht="26.25" customHeight="1" x14ac:dyDescent="0.25">
      <c r="B285" s="86" t="s">
        <v>534</v>
      </c>
      <c r="C285" s="87" t="s">
        <v>535</v>
      </c>
      <c r="D285" s="82" t="s">
        <v>284</v>
      </c>
      <c r="E285" s="83">
        <v>2</v>
      </c>
      <c r="F285" s="88">
        <v>103251</v>
      </c>
      <c r="G285" s="89">
        <f t="shared" si="12"/>
        <v>206502</v>
      </c>
      <c r="H285" s="118" t="str">
        <f t="array" ref="H285:K285">_xlfn.XLOOKUP(C285,'ESAP NEIVA FASE II UNIFICADO'!$C$6:$C$720,'ESAP NEIVA FASE II UNIFICADO'!$C$6:$F$720,"NO ESTA")</f>
        <v>SUMINISTRO E INSTALACIÓN SALIDA PARA TOMACORRIENTE DOBLE TIPO GFCI COLOR BLANCO MONOFÁSICODE MURO CON POLO A TIERRA</v>
      </c>
      <c r="I285" t="str">
        <v xml:space="preserve">UN   </v>
      </c>
      <c r="J285">
        <v>5</v>
      </c>
      <c r="K285">
        <v>111563</v>
      </c>
      <c r="L285" s="115">
        <f t="shared" si="13"/>
        <v>111563</v>
      </c>
      <c r="M285" s="146">
        <f t="shared" si="14"/>
        <v>223126</v>
      </c>
      <c r="N285" s="119"/>
    </row>
    <row r="286" spans="2:14" ht="26.25" customHeight="1" x14ac:dyDescent="0.25">
      <c r="B286" s="86" t="s">
        <v>536</v>
      </c>
      <c r="C286" s="87" t="s">
        <v>537</v>
      </c>
      <c r="D286" s="82" t="s">
        <v>284</v>
      </c>
      <c r="E286" s="83">
        <v>7</v>
      </c>
      <c r="F286" s="88">
        <v>77293</v>
      </c>
      <c r="G286" s="89">
        <f t="shared" si="12"/>
        <v>541051</v>
      </c>
      <c r="H286" s="118" t="str">
        <f t="array" ref="H286:K286">_xlfn.XLOOKUP(C286,'ESAP NEIVA FASE II UNIFICADO'!$C$6:$C$720,'ESAP NEIVA FASE II UNIFICADO'!$C$6:$F$720,"NO ESTA")</f>
        <v>SUMINISTRO E INSTALACIÓN SALIDA PARA SECADOR 20A-120V a 1.2 METROS DE ALTURA</v>
      </c>
      <c r="I286" t="str">
        <v xml:space="preserve">UN   </v>
      </c>
      <c r="J286">
        <v>18</v>
      </c>
      <c r="K286">
        <v>83516</v>
      </c>
      <c r="L286" s="115">
        <f t="shared" si="13"/>
        <v>83516</v>
      </c>
      <c r="M286" s="146">
        <f t="shared" si="14"/>
        <v>584612</v>
      </c>
      <c r="N286" s="119"/>
    </row>
    <row r="287" spans="2:14" ht="26.25" customHeight="1" x14ac:dyDescent="0.25">
      <c r="B287" s="86" t="s">
        <v>538</v>
      </c>
      <c r="C287" s="87" t="s">
        <v>539</v>
      </c>
      <c r="D287" s="82" t="s">
        <v>284</v>
      </c>
      <c r="E287" s="83">
        <v>1</v>
      </c>
      <c r="F287" s="88">
        <v>93657</v>
      </c>
      <c r="G287" s="89">
        <f t="shared" si="12"/>
        <v>93657</v>
      </c>
      <c r="H287" s="118" t="str">
        <f t="array" ref="H287:K287">_xlfn.XLOOKUP(C287,'ESAP NEIVA FASE II UNIFICADO'!$C$6:$C$720,'ESAP NEIVA FASE II UNIFICADO'!$C$6:$F$720,"NO ESTA")</f>
        <v>SUMINISTRO E INSTALACIÓN SALIDA PARA TOMA TRIFÁSICA 208v 3FASES EN CAFETERIA</v>
      </c>
      <c r="I287" t="str">
        <v xml:space="preserve">UN   </v>
      </c>
      <c r="J287">
        <v>3</v>
      </c>
      <c r="K287">
        <v>101196</v>
      </c>
      <c r="L287" s="115">
        <f t="shared" si="13"/>
        <v>101196</v>
      </c>
      <c r="M287" s="146">
        <f t="shared" si="14"/>
        <v>101196</v>
      </c>
      <c r="N287" s="119"/>
    </row>
    <row r="288" spans="2:14" ht="51" customHeight="1" x14ac:dyDescent="0.25">
      <c r="B288" s="86" t="s">
        <v>540</v>
      </c>
      <c r="C288" s="87" t="s">
        <v>541</v>
      </c>
      <c r="D288" s="82" t="s">
        <v>269</v>
      </c>
      <c r="E288" s="83">
        <v>365</v>
      </c>
      <c r="F288" s="88">
        <v>1578</v>
      </c>
      <c r="G288" s="89">
        <f t="shared" si="12"/>
        <v>575970</v>
      </c>
      <c r="H288" s="118" t="str">
        <f t="array" ref="H288:K288">_xlfn.XLOOKUP(C288,'ESAP NEIVA FASE II UNIFICADO'!$C$6:$C$720,'ESAP NEIVA FASE II UNIFICADO'!$C$6:$F$720,"NO ESTA")</f>
        <v xml:space="preserve">SUMINISTRO E INSTALACIÓN SALIDAS PARCIALES DE CIRCUITO PARA TOMACORIRIENTE DE USO NORMAL EN CABLE #12 AWG THHN/THWN, DESDE EL TABLERO DE AUTOMATICOS POR EL DUCTO PORTACABLES HASTA LOS PRIMEROS PUNTOS DE DERIVACIÓN. </v>
      </c>
      <c r="I288" t="str">
        <v xml:space="preserve">ML   </v>
      </c>
      <c r="J288">
        <v>985</v>
      </c>
      <c r="K288">
        <v>1705</v>
      </c>
      <c r="L288" s="115">
        <f t="shared" si="13"/>
        <v>1705</v>
      </c>
      <c r="M288" s="146">
        <f t="shared" si="14"/>
        <v>622325</v>
      </c>
      <c r="N288" s="119"/>
    </row>
    <row r="289" spans="2:14" ht="26.25" customHeight="1" x14ac:dyDescent="0.25">
      <c r="B289" s="80" t="s">
        <v>542</v>
      </c>
      <c r="C289" s="81" t="s">
        <v>543</v>
      </c>
      <c r="D289" s="82"/>
      <c r="E289" s="83"/>
      <c r="F289" s="104"/>
      <c r="G289" s="89">
        <f t="shared" si="12"/>
        <v>0</v>
      </c>
      <c r="H289" s="118" t="str">
        <f t="array" ref="H289:K289">_xlfn.XLOOKUP(C289,'ESAP NEIVA FASE II UNIFICADO'!$C$6:$C$720,'ESAP NEIVA FASE II UNIFICADO'!$C$6:$F$720,"NO ESTA")</f>
        <v xml:space="preserve">SUMINISTRO E INSTALACIÓN SALIDAS PARA TOMACORRIENTES USO REGULADO EN TUBERIA PVC INCRUSTRADA </v>
      </c>
      <c r="I289">
        <v>0</v>
      </c>
      <c r="J289">
        <v>0</v>
      </c>
      <c r="K289">
        <v>0</v>
      </c>
      <c r="L289" s="115">
        <f t="shared" si="13"/>
        <v>0</v>
      </c>
      <c r="M289" s="146">
        <f t="shared" si="14"/>
        <v>0</v>
      </c>
      <c r="N289" s="119"/>
    </row>
    <row r="290" spans="2:14" ht="26.25" customHeight="1" x14ac:dyDescent="0.25">
      <c r="B290" s="86" t="s">
        <v>544</v>
      </c>
      <c r="C290" s="87" t="s">
        <v>545</v>
      </c>
      <c r="D290" s="82" t="s">
        <v>374</v>
      </c>
      <c r="E290" s="83">
        <v>15</v>
      </c>
      <c r="F290" s="88">
        <v>112981</v>
      </c>
      <c r="G290" s="89">
        <f t="shared" si="12"/>
        <v>1694715</v>
      </c>
      <c r="H290" s="118" t="str">
        <f t="array" ref="H290:K290">_xlfn.XLOOKUP(C290,'ESAP NEIVA FASE II UNIFICADO'!$C$6:$C$720,'ESAP NEIVA FASE II UNIFICADO'!$C$6:$F$720,"NO ESTA")</f>
        <v>SUMINISTRO E INSTALACIÓN SALIDA PARA TOMACORRIENTE DOBLE DE COLOR NARAJA, PARA INSTALAR EN MURO</v>
      </c>
      <c r="I290" t="str">
        <v>UN</v>
      </c>
      <c r="J290">
        <v>39</v>
      </c>
      <c r="K290">
        <v>122076</v>
      </c>
      <c r="L290" s="115">
        <f t="shared" si="13"/>
        <v>122076</v>
      </c>
      <c r="M290" s="146">
        <f t="shared" si="14"/>
        <v>1831140</v>
      </c>
      <c r="N290" s="119"/>
    </row>
    <row r="291" spans="2:14" ht="26.25" customHeight="1" x14ac:dyDescent="0.25">
      <c r="B291" s="86" t="s">
        <v>546</v>
      </c>
      <c r="C291" s="87" t="s">
        <v>547</v>
      </c>
      <c r="D291" s="82" t="s">
        <v>374</v>
      </c>
      <c r="E291" s="83">
        <v>29</v>
      </c>
      <c r="F291" s="88">
        <v>104140</v>
      </c>
      <c r="G291" s="89">
        <f t="shared" si="12"/>
        <v>3020060</v>
      </c>
      <c r="H291" s="118" t="str">
        <f t="array" ref="H291:K291">_xlfn.XLOOKUP(C291,'ESAP NEIVA FASE II UNIFICADO'!$C$6:$C$720,'ESAP NEIVA FASE II UNIFICADO'!$C$6:$F$720,"NO ESTA")</f>
        <v xml:space="preserve">SUMINISTRO E INSTALACIÓN SALIDA PARA TOMACORRIENTE DOBLE DE COLOR NARAJA, PARA INSTALAR EN CANALETA PERIMETRAL </v>
      </c>
      <c r="I291" t="str">
        <v>UN</v>
      </c>
      <c r="J291">
        <v>80</v>
      </c>
      <c r="K291">
        <v>112524</v>
      </c>
      <c r="L291" s="115">
        <f t="shared" si="13"/>
        <v>112524</v>
      </c>
      <c r="M291" s="146">
        <f t="shared" si="14"/>
        <v>3263196</v>
      </c>
      <c r="N291" s="119"/>
    </row>
    <row r="292" spans="2:14" ht="26.25" customHeight="1" x14ac:dyDescent="0.25">
      <c r="B292" s="86" t="s">
        <v>548</v>
      </c>
      <c r="C292" s="87" t="s">
        <v>549</v>
      </c>
      <c r="D292" s="82" t="s">
        <v>269</v>
      </c>
      <c r="E292" s="83">
        <v>14</v>
      </c>
      <c r="F292" s="88">
        <v>10579</v>
      </c>
      <c r="G292" s="89">
        <f t="shared" si="12"/>
        <v>148106</v>
      </c>
      <c r="H292" s="118" t="str">
        <f t="array" ref="H292:K292">_xlfn.XLOOKUP(C292,'ESAP NEIVA FASE II UNIFICADO'!$C$6:$C$720,'ESAP NEIVA FASE II UNIFICADO'!$C$6:$F$720,"NO ESTA")</f>
        <v>SUMINISTRO E INSTALACIÓN INTERCONEXIÓN ENTRE EL DUCTO PORTACABLES Y LA CANALETA PERIMETRAL EN ø 1 1/2" CON 4#12 AWG THHN/THWN</v>
      </c>
      <c r="I292" t="str">
        <v xml:space="preserve">ML   </v>
      </c>
      <c r="J292">
        <v>36</v>
      </c>
      <c r="K292">
        <v>11430</v>
      </c>
      <c r="L292" s="115">
        <f t="shared" si="13"/>
        <v>11430</v>
      </c>
      <c r="M292" s="146">
        <f t="shared" si="14"/>
        <v>160020</v>
      </c>
      <c r="N292" s="119"/>
    </row>
    <row r="293" spans="2:14" ht="49.5" customHeight="1" x14ac:dyDescent="0.25">
      <c r="B293" s="86" t="s">
        <v>550</v>
      </c>
      <c r="C293" s="87" t="s">
        <v>551</v>
      </c>
      <c r="D293" s="82" t="s">
        <v>269</v>
      </c>
      <c r="E293" s="83">
        <v>554</v>
      </c>
      <c r="F293" s="88">
        <v>1578</v>
      </c>
      <c r="G293" s="89">
        <f t="shared" si="12"/>
        <v>874212</v>
      </c>
      <c r="H293" s="118" t="str">
        <f t="array" ref="H293:K293">_xlfn.XLOOKUP(C293,'ESAP NEIVA FASE II UNIFICADO'!$C$6:$C$720,'ESAP NEIVA FASE II UNIFICADO'!$C$6:$F$720,"NO ESTA")</f>
        <v xml:space="preserve">SUMINISTRO E INSTALACIÓN SALIDAS PARCIALES DE CIRCUITO PARA TOMACORIRIENTE DE USO REGULADO EN CABLE #12 AWG THHN/THWN, DESDE EL TABLERO DE AUTOMATICOS POR EL DUCTO PORTACABLES HASTA LOS PRIMEROS PUNTOS DE DERIVACIÓN. </v>
      </c>
      <c r="I293" t="str">
        <v xml:space="preserve">ML   </v>
      </c>
      <c r="J293">
        <v>1496</v>
      </c>
      <c r="K293">
        <v>1705</v>
      </c>
      <c r="L293" s="115">
        <f t="shared" si="13"/>
        <v>1705</v>
      </c>
      <c r="M293" s="146">
        <f t="shared" si="14"/>
        <v>944570</v>
      </c>
      <c r="N293" s="119"/>
    </row>
    <row r="294" spans="2:14" ht="21" customHeight="1" x14ac:dyDescent="0.25">
      <c r="B294" s="74">
        <v>15</v>
      </c>
      <c r="C294" s="75" t="s">
        <v>552</v>
      </c>
      <c r="D294" s="76"/>
      <c r="E294" s="77"/>
      <c r="F294" s="105"/>
      <c r="G294" s="89">
        <f t="shared" si="12"/>
        <v>0</v>
      </c>
      <c r="H294" s="118" t="str">
        <f t="array" ref="H294:K294">_xlfn.XLOOKUP(C294,'ESAP NEIVA FASE II UNIFICADO'!$C$6:$C$720,'ESAP NEIVA FASE II UNIFICADO'!$C$6:$F$720,"NO ESTA")</f>
        <v>DUCTOS, ACOMETIDAS, TABLEROS, PUESTA A TIERRA, PARARRAYOS Y PLANTA ELÉCTRICA</v>
      </c>
      <c r="I294">
        <v>0</v>
      </c>
      <c r="J294">
        <v>0</v>
      </c>
      <c r="K294">
        <v>0</v>
      </c>
      <c r="L294" s="115">
        <f t="shared" si="13"/>
        <v>0</v>
      </c>
      <c r="M294" s="146">
        <f t="shared" si="14"/>
        <v>0</v>
      </c>
      <c r="N294" s="119"/>
    </row>
    <row r="295" spans="2:14" ht="15" customHeight="1" x14ac:dyDescent="0.25">
      <c r="B295" s="80" t="s">
        <v>553</v>
      </c>
      <c r="C295" s="81" t="s">
        <v>554</v>
      </c>
      <c r="D295" s="82"/>
      <c r="E295" s="83"/>
      <c r="F295" s="90"/>
      <c r="G295" s="89">
        <f t="shared" si="12"/>
        <v>0</v>
      </c>
      <c r="H295" s="118" t="str">
        <f t="array" ref="H295:K295">_xlfn.XLOOKUP(C295,'ESAP NEIVA FASE II UNIFICADO'!$C$6:$C$720,'ESAP NEIVA FASE II UNIFICADO'!$C$6:$F$720,"NO ESTA")</f>
        <v>SUMINISTRO E INSTALACIÓN DE DUCTOS PORTACABLES</v>
      </c>
      <c r="I295">
        <v>0</v>
      </c>
      <c r="J295">
        <v>0</v>
      </c>
      <c r="K295">
        <v>0</v>
      </c>
      <c r="L295" s="115">
        <f t="shared" si="13"/>
        <v>0</v>
      </c>
      <c r="M295" s="146">
        <f t="shared" si="14"/>
        <v>0</v>
      </c>
      <c r="N295" s="119"/>
    </row>
    <row r="296" spans="2:14" ht="24" customHeight="1" x14ac:dyDescent="0.25">
      <c r="B296" s="86" t="s">
        <v>555</v>
      </c>
      <c r="C296" s="87" t="s">
        <v>556</v>
      </c>
      <c r="D296" s="82" t="s">
        <v>269</v>
      </c>
      <c r="E296" s="83">
        <v>72</v>
      </c>
      <c r="F296" s="88">
        <v>97449</v>
      </c>
      <c r="G296" s="89">
        <f t="shared" si="12"/>
        <v>7016328</v>
      </c>
      <c r="H296" s="118" t="str">
        <f t="array" ref="H296">_xlfn.XLOOKUP(C296,'ESAP NEIVA FASE II UNIFICADO'!$C$6:$C$720,'ESAP NEIVA FASE II UNIFICADO'!$C$6:$F$720,"NO ESTA")</f>
        <v>NO ESTA</v>
      </c>
      <c r="L296" s="115">
        <f t="shared" si="13"/>
        <v>97449</v>
      </c>
      <c r="M296" s="146">
        <f t="shared" si="14"/>
        <v>7016328</v>
      </c>
      <c r="N296" s="119"/>
    </row>
    <row r="297" spans="2:14" ht="24" customHeight="1" x14ac:dyDescent="0.25">
      <c r="B297" s="86" t="s">
        <v>557</v>
      </c>
      <c r="C297" s="87" t="s">
        <v>558</v>
      </c>
      <c r="D297" s="82" t="s">
        <v>284</v>
      </c>
      <c r="E297" s="83">
        <v>3</v>
      </c>
      <c r="F297" s="88">
        <v>125132</v>
      </c>
      <c r="G297" s="89">
        <f t="shared" si="12"/>
        <v>375396</v>
      </c>
      <c r="H297" s="118" t="str">
        <f t="array" ref="H297:K297">_xlfn.XLOOKUP(C297,'ESAP NEIVA FASE II UNIFICADO'!$C$6:$C$720,'ESAP NEIVA FASE II UNIFICADO'!$C$6:$F$720,"NO ESTA")</f>
        <v>SUMINISTRO E INSTALACIÓN TÉE PARA DUCTO PORTACABLES TROQUELADO DE 30x10 cm</v>
      </c>
      <c r="I297" t="str">
        <v xml:space="preserve">UN   </v>
      </c>
      <c r="J297">
        <v>8</v>
      </c>
      <c r="K297">
        <v>135206</v>
      </c>
      <c r="L297" s="115">
        <f t="shared" si="13"/>
        <v>135206</v>
      </c>
      <c r="M297" s="146">
        <f t="shared" si="14"/>
        <v>405618</v>
      </c>
      <c r="N297" s="119"/>
    </row>
    <row r="298" spans="2:14" ht="24" customHeight="1" x14ac:dyDescent="0.25">
      <c r="B298" s="86" t="s">
        <v>559</v>
      </c>
      <c r="C298" s="87" t="s">
        <v>560</v>
      </c>
      <c r="D298" s="82" t="s">
        <v>284</v>
      </c>
      <c r="E298" s="83">
        <v>34</v>
      </c>
      <c r="F298" s="88">
        <v>27753</v>
      </c>
      <c r="G298" s="89">
        <f t="shared" si="12"/>
        <v>943602</v>
      </c>
      <c r="H298" s="118" t="str">
        <f t="array" ref="H298:K298">_xlfn.XLOOKUP(C298,'ESAP NEIVA FASE II UNIFICADO'!$C$6:$C$720,'ESAP NEIVA FASE II UNIFICADO'!$C$6:$F$720,"NO ESTA")</f>
        <v>SUMINISTRO E INSTALACIÓN SOPORTES DE FIJACIÓN TIPO PELDAÑO DESCOLGADO PARA DUCTOS PORTACABLES TROQUELADO</v>
      </c>
      <c r="I298" t="str">
        <v xml:space="preserve">UN   </v>
      </c>
      <c r="J298">
        <v>91</v>
      </c>
      <c r="K298">
        <v>29987</v>
      </c>
      <c r="L298" s="115">
        <f t="shared" si="13"/>
        <v>29987</v>
      </c>
      <c r="M298" s="146">
        <f t="shared" si="14"/>
        <v>1019558</v>
      </c>
      <c r="N298" s="119"/>
    </row>
    <row r="299" spans="2:14" ht="24" customHeight="1" x14ac:dyDescent="0.25">
      <c r="B299" s="86" t="s">
        <v>561</v>
      </c>
      <c r="C299" s="87" t="s">
        <v>562</v>
      </c>
      <c r="D299" s="82" t="s">
        <v>269</v>
      </c>
      <c r="E299" s="83">
        <v>25</v>
      </c>
      <c r="F299" s="88">
        <v>181403</v>
      </c>
      <c r="G299" s="89">
        <f t="shared" si="12"/>
        <v>4535075</v>
      </c>
      <c r="H299" s="118" t="str">
        <f t="array" ref="H299">_xlfn.XLOOKUP(C299,'ESAP NEIVA FASE II UNIFICADO'!$C$6:$C$720,'ESAP NEIVA FASE II UNIFICADO'!$C$6:$F$720,"NO ESTA")</f>
        <v>NO ESTA</v>
      </c>
      <c r="L299" s="115">
        <f t="shared" si="13"/>
        <v>181403</v>
      </c>
      <c r="M299" s="146">
        <f t="shared" si="14"/>
        <v>4535075</v>
      </c>
      <c r="N299" s="119"/>
    </row>
    <row r="300" spans="2:14" ht="24" customHeight="1" x14ac:dyDescent="0.25">
      <c r="B300" s="86" t="s">
        <v>563</v>
      </c>
      <c r="C300" s="87" t="s">
        <v>564</v>
      </c>
      <c r="D300" s="82" t="s">
        <v>284</v>
      </c>
      <c r="E300" s="83">
        <v>1</v>
      </c>
      <c r="F300" s="88">
        <v>150157</v>
      </c>
      <c r="G300" s="89">
        <f t="shared" si="12"/>
        <v>150157</v>
      </c>
      <c r="H300" s="118" t="str">
        <f t="array" ref="H300:K300">_xlfn.XLOOKUP(C300,'ESAP NEIVA FASE II UNIFICADO'!$C$6:$C$720,'ESAP NEIVA FASE II UNIFICADO'!$C$6:$F$720,"NO ESTA")</f>
        <v>SUMINISTRO E INSTALACIÓN TÉE PARA DUCTO PORTACABLES TROQUELADO DE 100x30 cm</v>
      </c>
      <c r="I300" t="str">
        <v xml:space="preserve">UN   </v>
      </c>
      <c r="J300">
        <v>2</v>
      </c>
      <c r="K300">
        <v>162245</v>
      </c>
      <c r="L300" s="115">
        <f t="shared" si="13"/>
        <v>162245</v>
      </c>
      <c r="M300" s="146">
        <f t="shared" si="14"/>
        <v>162245</v>
      </c>
      <c r="N300" s="119"/>
    </row>
    <row r="301" spans="2:14" ht="24" customHeight="1" x14ac:dyDescent="0.25">
      <c r="B301" s="86" t="s">
        <v>565</v>
      </c>
      <c r="C301" s="87" t="s">
        <v>566</v>
      </c>
      <c r="D301" s="82" t="s">
        <v>284</v>
      </c>
      <c r="E301" s="83">
        <v>12</v>
      </c>
      <c r="F301" s="88">
        <v>27753</v>
      </c>
      <c r="G301" s="89">
        <f t="shared" si="12"/>
        <v>333036</v>
      </c>
      <c r="H301" s="118" t="str">
        <f t="array" ref="H301:K301">_xlfn.XLOOKUP(C301,'ESAP NEIVA FASE II UNIFICADO'!$C$6:$C$720,'ESAP NEIVA FASE II UNIFICADO'!$C$6:$F$720,"NO ESTA")</f>
        <v>SUMINISTRO E INSTALACIÓN SOPORTES DE FIJACIÓN TIPO PELDAÑO DESCOLGADO PARA DUCTO PORTACABLES TROQUELADO</v>
      </c>
      <c r="I301" t="str">
        <v xml:space="preserve">UN   </v>
      </c>
      <c r="J301">
        <v>34</v>
      </c>
      <c r="K301">
        <v>29987</v>
      </c>
      <c r="L301" s="115">
        <f t="shared" si="13"/>
        <v>29987</v>
      </c>
      <c r="M301" s="146">
        <f t="shared" si="14"/>
        <v>359844</v>
      </c>
      <c r="N301" s="119"/>
    </row>
    <row r="302" spans="2:14" ht="15" customHeight="1" x14ac:dyDescent="0.25">
      <c r="B302" s="80" t="s">
        <v>567</v>
      </c>
      <c r="C302" s="81" t="s">
        <v>568</v>
      </c>
      <c r="D302" s="82"/>
      <c r="E302" s="83"/>
      <c r="F302" s="104"/>
      <c r="G302" s="89">
        <f t="shared" si="12"/>
        <v>0</v>
      </c>
      <c r="H302" s="118" t="str">
        <f t="array" ref="H302:K302">_xlfn.XLOOKUP(C302,'ESAP NEIVA FASE II UNIFICADO'!$C$6:$C$720,'ESAP NEIVA FASE II UNIFICADO'!$C$6:$F$720,"NO ESTA")</f>
        <v>CANALETA PERIMETRAL MULTITOMA</v>
      </c>
      <c r="I302">
        <v>0</v>
      </c>
      <c r="J302">
        <v>0</v>
      </c>
      <c r="K302">
        <v>0</v>
      </c>
      <c r="L302" s="115">
        <f t="shared" si="13"/>
        <v>0</v>
      </c>
      <c r="M302" s="146">
        <f t="shared" si="14"/>
        <v>0</v>
      </c>
      <c r="N302" s="119"/>
    </row>
    <row r="303" spans="2:14" ht="22.5" customHeight="1" x14ac:dyDescent="0.25">
      <c r="B303" s="86" t="s">
        <v>569</v>
      </c>
      <c r="C303" s="87" t="s">
        <v>570</v>
      </c>
      <c r="D303" s="82" t="s">
        <v>269</v>
      </c>
      <c r="E303" s="83">
        <v>68</v>
      </c>
      <c r="F303" s="88">
        <v>27618</v>
      </c>
      <c r="G303" s="89">
        <f t="shared" si="12"/>
        <v>1878024</v>
      </c>
      <c r="H303" s="118" t="str">
        <f t="array" ref="H303:K303">_xlfn.XLOOKUP(C303,'ESAP NEIVA FASE II UNIFICADO'!$C$6:$C$720,'ESAP NEIVA FASE II UNIFICADO'!$C$6:$F$720,"NO ESTA")</f>
        <v>SUMINISTRO E INSTALACIÓN CANALETA MULTITOMA DE DOS COMPARTIMIENTOS EN LÁMINA COLD ROLLED CAL. 18 DE SECCIÓN 10x4 cm CON TAPA CLIP Y ACABADO ELECTROESTÁTICO GRIS NOPAL TEXTURIZADO</v>
      </c>
      <c r="I303" t="str">
        <v xml:space="preserve">ML   </v>
      </c>
      <c r="J303">
        <v>182</v>
      </c>
      <c r="K303">
        <v>29842</v>
      </c>
      <c r="L303" s="115">
        <f t="shared" si="13"/>
        <v>29842</v>
      </c>
      <c r="M303" s="146">
        <f t="shared" si="14"/>
        <v>2029256</v>
      </c>
      <c r="N303" s="119"/>
    </row>
    <row r="304" spans="2:14" ht="42" customHeight="1" x14ac:dyDescent="0.25">
      <c r="B304" s="86" t="s">
        <v>571</v>
      </c>
      <c r="C304" s="87" t="s">
        <v>572</v>
      </c>
      <c r="D304" s="82" t="s">
        <v>374</v>
      </c>
      <c r="E304" s="83">
        <v>29</v>
      </c>
      <c r="F304" s="88">
        <v>21548</v>
      </c>
      <c r="G304" s="89">
        <f t="shared" si="12"/>
        <v>624892</v>
      </c>
      <c r="H304" s="118" t="str">
        <f t="array" ref="H304:K304">_xlfn.XLOOKUP(C304,'ESAP NEIVA FASE II UNIFICADO'!$C$6:$C$720,'ESAP NEIVA FASE II UNIFICADO'!$C$6:$F$720,"NO ESTA")</f>
        <v>SUMINISTRO E INSTALACIÓN PLACA TOMA TROQUELADA PARA CANALETA 10x4 cm, CON PERFORACIONES PARA UNA (1) TOMA DOBLE COLOR BLANCO, UNA (1) TOMA DOBLE COLOR NARANJA Y UNA (1) TOMA RJ-45</v>
      </c>
      <c r="I304" t="str">
        <v>UN</v>
      </c>
      <c r="J304">
        <v>80</v>
      </c>
      <c r="K304">
        <v>23284</v>
      </c>
      <c r="L304" s="115">
        <f t="shared" si="13"/>
        <v>23284</v>
      </c>
      <c r="M304" s="146">
        <f t="shared" si="14"/>
        <v>675236</v>
      </c>
      <c r="N304" s="119"/>
    </row>
    <row r="305" spans="2:14" ht="22.5" customHeight="1" x14ac:dyDescent="0.25">
      <c r="B305" s="80" t="s">
        <v>573</v>
      </c>
      <c r="C305" s="81" t="s">
        <v>574</v>
      </c>
      <c r="D305" s="82"/>
      <c r="E305" s="83"/>
      <c r="F305" s="104"/>
      <c r="G305" s="89">
        <f t="shared" si="12"/>
        <v>0</v>
      </c>
      <c r="H305" s="118" t="str">
        <f t="array" ref="H305:K305">_xlfn.XLOOKUP(C305,'ESAP NEIVA FASE II UNIFICADO'!$C$6:$C$720,'ESAP NEIVA FASE II UNIFICADO'!$C$6:$F$720,"NO ESTA")</f>
        <v>SUMINISTRO E INSTALACIÓN COMETIDA RED MEDIA TENSIÓN (SEGÚN NORMAS CODENSA SA ESP)</v>
      </c>
      <c r="I305">
        <v>0</v>
      </c>
      <c r="J305">
        <v>0</v>
      </c>
      <c r="K305">
        <v>0</v>
      </c>
      <c r="L305" s="115">
        <f t="shared" si="13"/>
        <v>0</v>
      </c>
      <c r="M305" s="146">
        <f t="shared" si="14"/>
        <v>0</v>
      </c>
      <c r="N305" s="119"/>
    </row>
    <row r="306" spans="2:14" ht="48" customHeight="1" x14ac:dyDescent="0.25">
      <c r="B306" s="86" t="s">
        <v>575</v>
      </c>
      <c r="C306" s="87" t="s">
        <v>576</v>
      </c>
      <c r="D306" s="82" t="s">
        <v>374</v>
      </c>
      <c r="E306" s="83">
        <v>1</v>
      </c>
      <c r="F306" s="88">
        <v>66355986</v>
      </c>
      <c r="G306" s="89">
        <f t="shared" si="12"/>
        <v>66355986</v>
      </c>
      <c r="H306" s="118" t="str">
        <f t="array" ref="H306:K306">_xlfn.XLOOKUP(C306,'ESAP NEIVA FASE II UNIFICADO'!$C$6:$C$720,'ESAP NEIVA FASE II UNIFICADO'!$C$6:$F$720,"NO ESTA")</f>
        <v>SUMINISTRO E INSTALACIÓN TRANSFORMADOR DE DISTRIBUCIÓN DE 500 Kva, NIVEL DE TENSIÓN PRIMARIO 13.200 VOLTIOS, NIVEL DE TENSIÓN SECUNDARIO 208/120 VOLTIOS. INCLUYE: RIEL DE SOPORTE PARA TRANSFORMADOR (PATIN), RUEDAS PARA RIEL CON FRENO MECANICO</v>
      </c>
      <c r="I306" t="str">
        <v>UN</v>
      </c>
      <c r="J306">
        <v>0</v>
      </c>
      <c r="K306">
        <v>71697829</v>
      </c>
      <c r="L306" s="115">
        <f t="shared" si="13"/>
        <v>71697829</v>
      </c>
      <c r="M306" s="146">
        <f t="shared" si="14"/>
        <v>71697829</v>
      </c>
      <c r="N306" s="119"/>
    </row>
    <row r="307" spans="2:14" ht="22.5" customHeight="1" x14ac:dyDescent="0.25">
      <c r="B307" s="86" t="s">
        <v>577</v>
      </c>
      <c r="C307" s="87" t="s">
        <v>578</v>
      </c>
      <c r="D307" s="82" t="s">
        <v>374</v>
      </c>
      <c r="E307" s="83">
        <v>1</v>
      </c>
      <c r="F307" s="88">
        <v>4913006</v>
      </c>
      <c r="G307" s="89">
        <f t="shared" si="12"/>
        <v>4913006</v>
      </c>
      <c r="H307" s="118" t="str">
        <f t="array" ref="H307:K307">_xlfn.XLOOKUP(C307,'ESAP NEIVA FASE II UNIFICADO'!$C$6:$C$720,'ESAP NEIVA FASE II UNIFICADO'!$C$6:$F$720,"NO ESTA")</f>
        <v>SUMINISTRO E INSTALACIÓN PUERTA CORTAFUEGO PINTURA ELECTROESTÁTICA Y SEÑALES DE RIESGO ELÉCTRICO. INCLUYE ACCESORIOS PARA ENCLAVAMIENTO</v>
      </c>
      <c r="I307" t="str">
        <v>UN</v>
      </c>
      <c r="J307">
        <v>0</v>
      </c>
      <c r="K307">
        <v>5308517</v>
      </c>
      <c r="L307" s="115">
        <f t="shared" si="13"/>
        <v>5308517</v>
      </c>
      <c r="M307" s="146">
        <f t="shared" si="14"/>
        <v>5308517</v>
      </c>
      <c r="N307" s="119"/>
    </row>
    <row r="308" spans="2:14" ht="37.5" customHeight="1" x14ac:dyDescent="0.25">
      <c r="B308" s="86" t="s">
        <v>579</v>
      </c>
      <c r="C308" s="87" t="s">
        <v>580</v>
      </c>
      <c r="D308" s="82" t="s">
        <v>374</v>
      </c>
      <c r="E308" s="83">
        <v>1</v>
      </c>
      <c r="F308" s="88">
        <v>182846</v>
      </c>
      <c r="G308" s="89">
        <f t="shared" si="12"/>
        <v>182846</v>
      </c>
      <c r="H308" s="118" t="str">
        <f t="array" ref="H308:K308">_xlfn.XLOOKUP(C308,'ESAP NEIVA FASE II UNIFICADO'!$C$6:$C$720,'ESAP NEIVA FASE II UNIFICADO'!$C$6:$F$720,"NO ESTA")</f>
        <v>SUMINISTRO E INSTALACIÓN BARRERA DE PROTECCIÓN PARA EVITAR CONTACTO DIRECTO CON TRANSFORMADOR. INCLUYE INDUMENTARIA PARA ASEGURAR LA BARRERA A LA DISTANCIA ADECUADA DEL TRANSFORMADOR</v>
      </c>
      <c r="I308" t="str">
        <v>UN</v>
      </c>
      <c r="J308">
        <v>0</v>
      </c>
      <c r="K308">
        <v>197566</v>
      </c>
      <c r="L308" s="115">
        <f t="shared" si="13"/>
        <v>197566</v>
      </c>
      <c r="M308" s="146">
        <f t="shared" si="14"/>
        <v>197566</v>
      </c>
      <c r="N308" s="119"/>
    </row>
    <row r="309" spans="2:14" ht="22.5" customHeight="1" x14ac:dyDescent="0.25">
      <c r="B309" s="86" t="s">
        <v>581</v>
      </c>
      <c r="C309" s="87" t="s">
        <v>582</v>
      </c>
      <c r="D309" s="82" t="s">
        <v>374</v>
      </c>
      <c r="E309" s="83">
        <v>1</v>
      </c>
      <c r="F309" s="88">
        <v>149015</v>
      </c>
      <c r="G309" s="89">
        <f t="shared" si="12"/>
        <v>149015</v>
      </c>
      <c r="H309" s="118" t="str">
        <f t="array" ref="H309">_xlfn.XLOOKUP(C309,'ESAP NEIVA FASE II UNIFICADO'!$C$6:$C$720,'ESAP NEIVA FASE II UNIFICADO'!$C$6:$F$720,"NO ESTA")</f>
        <v>NO ESTA</v>
      </c>
      <c r="L309" s="115">
        <f t="shared" si="13"/>
        <v>149015</v>
      </c>
      <c r="M309" s="146">
        <f t="shared" si="14"/>
        <v>149015</v>
      </c>
      <c r="N309" s="119"/>
    </row>
    <row r="310" spans="2:14" ht="22.5" customHeight="1" x14ac:dyDescent="0.25">
      <c r="B310" s="86" t="s">
        <v>583</v>
      </c>
      <c r="C310" s="87" t="s">
        <v>584</v>
      </c>
      <c r="D310" s="82" t="s">
        <v>374</v>
      </c>
      <c r="E310" s="83">
        <v>1</v>
      </c>
      <c r="F310" s="88">
        <v>300362</v>
      </c>
      <c r="G310" s="89">
        <f t="shared" si="12"/>
        <v>300362</v>
      </c>
      <c r="H310" s="118" t="str">
        <f t="array" ref="H310:K310">_xlfn.XLOOKUP(C310,'ESAP NEIVA FASE II UNIFICADO'!$C$6:$C$720,'ESAP NEIVA FASE II UNIFICADO'!$C$6:$F$720,"NO ESTA")</f>
        <v>SUMINISTRO E INSTALACIÓN PASAMUROS DE MEDIA TENSIÓN, PASA MUROS EN PVC INCLUYE OBRAS NECESARIAS PARA LA INSTALACIÓN DE LAS MISMAS (JUEGO)</v>
      </c>
      <c r="I310" t="str">
        <v>UN</v>
      </c>
      <c r="J310">
        <v>0</v>
      </c>
      <c r="K310">
        <v>324542</v>
      </c>
      <c r="L310" s="115">
        <f t="shared" si="13"/>
        <v>324542</v>
      </c>
      <c r="M310" s="146">
        <f t="shared" si="14"/>
        <v>324542</v>
      </c>
      <c r="N310" s="119"/>
    </row>
    <row r="311" spans="2:14" ht="22.5" customHeight="1" x14ac:dyDescent="0.25">
      <c r="B311" s="86" t="s">
        <v>585</v>
      </c>
      <c r="C311" s="87" t="s">
        <v>586</v>
      </c>
      <c r="D311" s="82" t="s">
        <v>374</v>
      </c>
      <c r="E311" s="83">
        <v>1</v>
      </c>
      <c r="F311" s="88">
        <v>366182</v>
      </c>
      <c r="G311" s="89">
        <f t="shared" si="12"/>
        <v>366182</v>
      </c>
      <c r="H311" s="118" t="str">
        <f t="array" ref="H311:K311">_xlfn.XLOOKUP(C311,'ESAP NEIVA FASE II UNIFICADO'!$C$6:$C$720,'ESAP NEIVA FASE II UNIFICADO'!$C$6:$F$720,"NO ESTA")</f>
        <v>SUMINISTRO E INSTALACIÓN DUCTO DE VENTILACIÓN CON DÁMPER FIRE, INCLUYE REJILLA DAMPER PARA EMERGENCIA</v>
      </c>
      <c r="I311" t="str">
        <v>UN</v>
      </c>
      <c r="J311">
        <v>0</v>
      </c>
      <c r="K311">
        <v>395661</v>
      </c>
      <c r="L311" s="115">
        <f t="shared" si="13"/>
        <v>395661</v>
      </c>
      <c r="M311" s="146">
        <f t="shared" si="14"/>
        <v>395661</v>
      </c>
      <c r="N311" s="119"/>
    </row>
    <row r="312" spans="2:14" ht="35.25" customHeight="1" x14ac:dyDescent="0.25">
      <c r="B312" s="86" t="s">
        <v>587</v>
      </c>
      <c r="C312" s="87" t="s">
        <v>588</v>
      </c>
      <c r="D312" s="82" t="s">
        <v>374</v>
      </c>
      <c r="E312" s="83">
        <v>1</v>
      </c>
      <c r="F312" s="88">
        <v>268074</v>
      </c>
      <c r="G312" s="89">
        <f t="shared" si="12"/>
        <v>268074</v>
      </c>
      <c r="H312" s="118" t="str">
        <f t="array" ref="H312">_xlfn.XLOOKUP(C312,'ESAP NEIVA FASE II UNIFICADO'!$C$6:$C$720,'ESAP NEIVA FASE II UNIFICADO'!$C$6:$F$720,"NO ESTA")</f>
        <v>NO ESTA</v>
      </c>
      <c r="L312" s="115">
        <f t="shared" si="13"/>
        <v>268074</v>
      </c>
      <c r="M312" s="146">
        <f t="shared" si="14"/>
        <v>268074</v>
      </c>
      <c r="N312" s="119"/>
    </row>
    <row r="313" spans="2:14" ht="22.5" customHeight="1" x14ac:dyDescent="0.25">
      <c r="B313" s="86" t="s">
        <v>589</v>
      </c>
      <c r="C313" s="87" t="s">
        <v>590</v>
      </c>
      <c r="D313" s="82" t="s">
        <v>374</v>
      </c>
      <c r="E313" s="83">
        <v>1</v>
      </c>
      <c r="F313" s="88">
        <v>540606</v>
      </c>
      <c r="G313" s="89">
        <f t="shared" si="12"/>
        <v>540606</v>
      </c>
      <c r="H313" s="118" t="str">
        <f t="array" ref="H313:K313">_xlfn.XLOOKUP(C313,'ESAP NEIVA FASE II UNIFICADO'!$C$6:$C$720,'ESAP NEIVA FASE II UNIFICADO'!$C$6:$F$720,"NO ESTA")</f>
        <v>SUMINISTRO E INSTALACIÓN DE DPS (DISPOSITIVO DE PROTECCIÓN CONTRA SOBRETENSIONES)</v>
      </c>
      <c r="I313" t="str">
        <v>UN</v>
      </c>
      <c r="J313">
        <v>1</v>
      </c>
      <c r="K313">
        <v>584126</v>
      </c>
      <c r="L313" s="115">
        <f t="shared" si="13"/>
        <v>584126</v>
      </c>
      <c r="M313" s="146">
        <f t="shared" si="14"/>
        <v>584126</v>
      </c>
      <c r="N313" s="119"/>
    </row>
    <row r="314" spans="2:14" ht="37.5" customHeight="1" x14ac:dyDescent="0.25">
      <c r="B314" s="86" t="s">
        <v>591</v>
      </c>
      <c r="C314" s="87" t="s">
        <v>592</v>
      </c>
      <c r="D314" s="82" t="s">
        <v>374</v>
      </c>
      <c r="E314" s="83">
        <v>1</v>
      </c>
      <c r="F314" s="88">
        <v>17350616</v>
      </c>
      <c r="G314" s="89">
        <f t="shared" si="12"/>
        <v>17350616</v>
      </c>
      <c r="H314" s="118" t="str">
        <f t="array" ref="H314">_xlfn.XLOOKUP(C314,'ESAP NEIVA FASE II UNIFICADO'!$C$6:$C$720,'ESAP NEIVA FASE II UNIFICADO'!$C$6:$F$720,"NO ESTA")</f>
        <v>NO ESTA</v>
      </c>
      <c r="L314" s="115">
        <f t="shared" si="13"/>
        <v>17350616</v>
      </c>
      <c r="M314" s="146">
        <f t="shared" si="14"/>
        <v>17350616</v>
      </c>
      <c r="N314" s="119"/>
    </row>
    <row r="315" spans="2:14" ht="40.5" customHeight="1" x14ac:dyDescent="0.25">
      <c r="B315" s="86" t="s">
        <v>593</v>
      </c>
      <c r="C315" s="87" t="s">
        <v>594</v>
      </c>
      <c r="D315" s="82" t="s">
        <v>374</v>
      </c>
      <c r="E315" s="83">
        <v>1</v>
      </c>
      <c r="F315" s="88">
        <v>1379019</v>
      </c>
      <c r="G315" s="89">
        <f t="shared" si="12"/>
        <v>1379019</v>
      </c>
      <c r="H315" s="118" t="str">
        <f t="array" ref="H315:K315">_xlfn.XLOOKUP(C315,'ESAP NEIVA FASE II UNIFICADO'!$C$6:$C$720,'ESAP NEIVA FASE II UNIFICADO'!$C$6:$F$720,"NO ESTA")</f>
        <v xml:space="preserve">SUMINISTRO E INSTALACIÓN CAJA DE INSPECCIÓN SENCILLA CON TAPA EN CONCRETO SEGÚN NORMA CS-276 CODENSA S.A. ESP PARA RED DE MEDIA Y BAJA TENSIÓN. </v>
      </c>
      <c r="I315" t="str">
        <v>UN</v>
      </c>
      <c r="J315">
        <v>2</v>
      </c>
      <c r="K315">
        <v>1490034</v>
      </c>
      <c r="L315" s="115">
        <f t="shared" si="13"/>
        <v>1490034</v>
      </c>
      <c r="M315" s="146">
        <f t="shared" si="14"/>
        <v>1490034</v>
      </c>
      <c r="N315" s="119"/>
    </row>
    <row r="316" spans="2:14" ht="15" customHeight="1" x14ac:dyDescent="0.25">
      <c r="B316" s="80" t="s">
        <v>595</v>
      </c>
      <c r="C316" s="81" t="s">
        <v>596</v>
      </c>
      <c r="D316" s="82"/>
      <c r="E316" s="83"/>
      <c r="F316" s="104"/>
      <c r="G316" s="89">
        <f t="shared" si="12"/>
        <v>0</v>
      </c>
      <c r="H316" s="118" t="str">
        <f t="array" ref="H316:K316">_xlfn.XLOOKUP(C316,'ESAP NEIVA FASE II UNIFICADO'!$C$6:$C$720,'ESAP NEIVA FASE II UNIFICADO'!$C$6:$F$720,"NO ESTA")</f>
        <v>SUMINISTRO E INSTALACIÓN ALIMENTADORES ELÉCTRICOS PRINCIPALES</v>
      </c>
      <c r="I316">
        <v>0</v>
      </c>
      <c r="J316">
        <v>0</v>
      </c>
      <c r="K316">
        <v>0</v>
      </c>
      <c r="L316" s="115">
        <f t="shared" si="13"/>
        <v>0</v>
      </c>
      <c r="M316" s="146">
        <f t="shared" si="14"/>
        <v>0</v>
      </c>
      <c r="N316" s="119"/>
    </row>
    <row r="317" spans="2:14" ht="25.5" customHeight="1" x14ac:dyDescent="0.25">
      <c r="B317" s="86" t="s">
        <v>597</v>
      </c>
      <c r="C317" s="87" t="s">
        <v>598</v>
      </c>
      <c r="D317" s="82" t="s">
        <v>269</v>
      </c>
      <c r="E317" s="83">
        <v>20</v>
      </c>
      <c r="F317" s="88">
        <v>291397</v>
      </c>
      <c r="G317" s="89">
        <f t="shared" si="12"/>
        <v>5827940</v>
      </c>
      <c r="H317" s="118" t="str">
        <f t="array" ref="H317:K317">_xlfn.XLOOKUP(C317,'ESAP NEIVA FASE II UNIFICADO'!$C$6:$C$720,'ESAP NEIVA FASE II UNIFICADO'!$C$6:$F$720,"NO ESTA")</f>
        <v>SUMINISTRO E INSTALACIÓN INTERCONEXIÓN ENTRE CAJA CS-276 Y CELDA DE MEDIDA CABLE XLPE 15KV T AWG EN TUBERÍA PVC 6".</v>
      </c>
      <c r="I317" t="str">
        <v xml:space="preserve">ML   </v>
      </c>
      <c r="J317">
        <v>0</v>
      </c>
      <c r="K317">
        <v>314854</v>
      </c>
      <c r="L317" s="115">
        <f t="shared" si="13"/>
        <v>314854</v>
      </c>
      <c r="M317" s="146">
        <f t="shared" si="14"/>
        <v>6297080</v>
      </c>
      <c r="N317" s="119"/>
    </row>
    <row r="318" spans="2:14" ht="39.75" customHeight="1" x14ac:dyDescent="0.25">
      <c r="B318" s="86" t="s">
        <v>599</v>
      </c>
      <c r="C318" s="87" t="s">
        <v>600</v>
      </c>
      <c r="D318" s="82" t="s">
        <v>269</v>
      </c>
      <c r="E318" s="83">
        <v>6</v>
      </c>
      <c r="F318" s="88">
        <v>1075492</v>
      </c>
      <c r="G318" s="89">
        <f t="shared" si="12"/>
        <v>6452952</v>
      </c>
      <c r="H318" s="118" t="str">
        <f t="array" ref="H318">_xlfn.XLOOKUP(C318,'ESAP NEIVA FASE II UNIFICADO'!$C$6:$C$720,'ESAP NEIVA FASE II UNIFICADO'!$C$6:$F$720,"NO ESTA")</f>
        <v>NO ESTA</v>
      </c>
      <c r="L318" s="115">
        <f t="shared" si="13"/>
        <v>1075492</v>
      </c>
      <c r="M318" s="146">
        <f t="shared" si="14"/>
        <v>6452952</v>
      </c>
      <c r="N318" s="119"/>
    </row>
    <row r="319" spans="2:14" ht="40.5" customHeight="1" x14ac:dyDescent="0.25">
      <c r="B319" s="86" t="s">
        <v>601</v>
      </c>
      <c r="C319" s="87" t="s">
        <v>602</v>
      </c>
      <c r="D319" s="82" t="s">
        <v>269</v>
      </c>
      <c r="E319" s="83">
        <v>5</v>
      </c>
      <c r="F319" s="88">
        <v>1131472</v>
      </c>
      <c r="G319" s="89">
        <f t="shared" si="12"/>
        <v>5657360</v>
      </c>
      <c r="H319" s="118" t="str">
        <f t="array" ref="H319">_xlfn.XLOOKUP(C319,'ESAP NEIVA FASE II UNIFICADO'!$C$6:$C$720,'ESAP NEIVA FASE II UNIFICADO'!$C$6:$F$720,"NO ESTA")</f>
        <v>NO ESTA</v>
      </c>
      <c r="L319" s="115">
        <f t="shared" si="13"/>
        <v>1131472</v>
      </c>
      <c r="M319" s="146">
        <f t="shared" si="14"/>
        <v>5657360</v>
      </c>
      <c r="N319" s="119"/>
    </row>
    <row r="320" spans="2:14" ht="15" customHeight="1" x14ac:dyDescent="0.25">
      <c r="B320" s="80" t="s">
        <v>603</v>
      </c>
      <c r="C320" s="81" t="s">
        <v>596</v>
      </c>
      <c r="D320" s="82"/>
      <c r="E320" s="83"/>
      <c r="F320" s="104"/>
      <c r="G320" s="89">
        <f t="shared" si="12"/>
        <v>0</v>
      </c>
      <c r="H320" s="118" t="str">
        <f t="array" ref="H320:K320">_xlfn.XLOOKUP(C320,'ESAP NEIVA FASE II UNIFICADO'!$C$6:$C$720,'ESAP NEIVA FASE II UNIFICADO'!$C$6:$F$720,"NO ESTA")</f>
        <v>SUMINISTRO E INSTALACIÓN ALIMENTADORES ELÉCTRICOS PRINCIPALES</v>
      </c>
      <c r="I320">
        <v>0</v>
      </c>
      <c r="J320">
        <v>0</v>
      </c>
      <c r="K320">
        <v>0</v>
      </c>
      <c r="L320" s="115">
        <f t="shared" si="13"/>
        <v>0</v>
      </c>
      <c r="M320" s="146">
        <f t="shared" si="14"/>
        <v>0</v>
      </c>
      <c r="N320" s="119"/>
    </row>
    <row r="321" spans="2:14" ht="24.75" customHeight="1" x14ac:dyDescent="0.25">
      <c r="B321" s="86" t="s">
        <v>604</v>
      </c>
      <c r="C321" s="87" t="s">
        <v>605</v>
      </c>
      <c r="D321" s="82" t="s">
        <v>269</v>
      </c>
      <c r="E321" s="83">
        <v>8</v>
      </c>
      <c r="F321" s="88">
        <v>176671</v>
      </c>
      <c r="G321" s="89">
        <f t="shared" si="12"/>
        <v>1413368</v>
      </c>
      <c r="H321" s="118" t="str">
        <f t="array" ref="H321:K321">_xlfn.XLOOKUP(C321,'ESAP NEIVA FASE II UNIFICADO'!$C$6:$C$720,'ESAP NEIVA FASE II UNIFICADO'!$C$6:$F$720,"NO ESTA")</f>
        <v>SUMINISTRO E INSTALACIÓN ALIMENTADOR DESDE TRANSFERENCIA HASTA TABLERO GENERAL DE MAQUINAS EN 3#4/0+1#4/0N+1#2T AWG EN BANDEJA PORTA CABLES</v>
      </c>
      <c r="I321" t="str">
        <v xml:space="preserve">ML   </v>
      </c>
      <c r="J321">
        <v>0</v>
      </c>
      <c r="K321">
        <v>190892</v>
      </c>
      <c r="L321" s="115">
        <f t="shared" si="13"/>
        <v>190892</v>
      </c>
      <c r="M321" s="146">
        <f t="shared" si="14"/>
        <v>1527136</v>
      </c>
      <c r="N321" s="119"/>
    </row>
    <row r="322" spans="2:14" ht="42" customHeight="1" x14ac:dyDescent="0.25">
      <c r="B322" s="86" t="s">
        <v>606</v>
      </c>
      <c r="C322" s="87" t="s">
        <v>607</v>
      </c>
      <c r="D322" s="82" t="s">
        <v>269</v>
      </c>
      <c r="E322" s="83">
        <v>52</v>
      </c>
      <c r="F322" s="88">
        <v>56745</v>
      </c>
      <c r="G322" s="89">
        <f t="shared" si="12"/>
        <v>2950740</v>
      </c>
      <c r="H322" s="118" t="str">
        <f t="array" ref="H322:K322">_xlfn.XLOOKUP(C322,'ESAP NEIVA FASE II UNIFICADO'!$C$6:$C$720,'ESAP NEIVA FASE II UNIFICADO'!$C$6:$F$720,"NO ESTA")</f>
        <v>SUMINISTRO E INSTALACIÓN ALIMENTADOR DESDE EL TABLERO GENERAL MAQUINAS HASTA EL TABLERO DE ASCENSOR EN 3#6+1#6N+1#8T AWG EN TUBERIA PVC ø 1 1/2" INCLUYENDO DE TERMINALES DE CONEXIÓN</v>
      </c>
      <c r="I322" t="str">
        <v xml:space="preserve">ML   </v>
      </c>
      <c r="J322">
        <v>0</v>
      </c>
      <c r="K322">
        <v>61314</v>
      </c>
      <c r="L322" s="115">
        <f t="shared" si="13"/>
        <v>61314</v>
      </c>
      <c r="M322" s="146">
        <f t="shared" si="14"/>
        <v>3188328</v>
      </c>
      <c r="N322" s="119"/>
    </row>
    <row r="323" spans="2:14" ht="42" customHeight="1" x14ac:dyDescent="0.25">
      <c r="B323" s="86" t="s">
        <v>608</v>
      </c>
      <c r="C323" s="87" t="s">
        <v>609</v>
      </c>
      <c r="D323" s="82" t="s">
        <v>269</v>
      </c>
      <c r="E323" s="83">
        <v>106</v>
      </c>
      <c r="F323" s="88">
        <v>56745</v>
      </c>
      <c r="G323" s="89">
        <f t="shared" si="12"/>
        <v>6014970</v>
      </c>
      <c r="H323" s="118" t="str">
        <f t="array" ref="H323:K323">_xlfn.XLOOKUP(C323,'ESAP NEIVA FASE II UNIFICADO'!$C$6:$C$720,'ESAP NEIVA FASE II UNIFICADO'!$C$6:$F$720,"NO ESTA")</f>
        <v>SUMINISTRO E INSTALACIÓN ALIMENTADOR DESDE EL TABLERO GENERAL MAQUINAS HASTA EL TABLERO NORMAL BOMBAS EN 3#6+1#6N+1#8T AWG EN TUBERIA PVC 1 ø 1 1/2" INCLUYENDO DE TERMINALES DE CONEXIÓN</v>
      </c>
      <c r="I323" t="str">
        <v xml:space="preserve">ML   </v>
      </c>
      <c r="J323">
        <v>0</v>
      </c>
      <c r="K323">
        <v>61314</v>
      </c>
      <c r="L323" s="115">
        <f t="shared" si="13"/>
        <v>61314</v>
      </c>
      <c r="M323" s="146">
        <f t="shared" si="14"/>
        <v>6499284</v>
      </c>
      <c r="N323" s="119"/>
    </row>
    <row r="324" spans="2:14" ht="42" customHeight="1" x14ac:dyDescent="0.25">
      <c r="B324" s="86" t="s">
        <v>610</v>
      </c>
      <c r="C324" s="87" t="s">
        <v>611</v>
      </c>
      <c r="D324" s="82" t="s">
        <v>269</v>
      </c>
      <c r="E324" s="83">
        <v>5</v>
      </c>
      <c r="F324" s="88">
        <v>331752</v>
      </c>
      <c r="G324" s="89">
        <f t="shared" si="12"/>
        <v>1658760</v>
      </c>
      <c r="H324" s="118" t="str">
        <f t="array" ref="H324:K324">_xlfn.XLOOKUP(C324,'ESAP NEIVA FASE II UNIFICADO'!$C$6:$C$720,'ESAP NEIVA FASE II UNIFICADO'!$C$6:$F$720,"NO ESTA")</f>
        <v>SUMINISTRO E INSTALACIÓN ALIMENTADOR DESDE TRANSFERENCIA HASTA EL TABLERO GENERAL DE DISTRIBUCIÓN EN 6#4/0+2#4/0N+1#4T EN BANDEJA PORTACABLES</v>
      </c>
      <c r="I324" t="str">
        <v xml:space="preserve">ML   </v>
      </c>
      <c r="J324">
        <v>0</v>
      </c>
      <c r="K324">
        <v>358460</v>
      </c>
      <c r="L324" s="115">
        <f t="shared" si="13"/>
        <v>358460</v>
      </c>
      <c r="M324" s="146">
        <f t="shared" si="14"/>
        <v>1792300</v>
      </c>
      <c r="N324" s="119"/>
    </row>
    <row r="325" spans="2:14" ht="42" customHeight="1" x14ac:dyDescent="0.25">
      <c r="B325" s="86" t="s">
        <v>612</v>
      </c>
      <c r="C325" s="87" t="s">
        <v>613</v>
      </c>
      <c r="D325" s="82" t="s">
        <v>269</v>
      </c>
      <c r="E325" s="83">
        <v>6</v>
      </c>
      <c r="F325" s="88">
        <v>56745</v>
      </c>
      <c r="G325" s="89">
        <f t="shared" si="12"/>
        <v>340470</v>
      </c>
      <c r="H325" s="118" t="str">
        <f t="array" ref="H325:K325">_xlfn.XLOOKUP(C325,'ESAP NEIVA FASE II UNIFICADO'!$C$6:$C$720,'ESAP NEIVA FASE II UNIFICADO'!$C$6:$F$720,"NO ESTA")</f>
        <v>SUMINISTRO E INSTALACIÓN ALIMENTADOR DESDE EL TABLERO GENERAL DE DISTRIBUCIÓN HASTA EL TNS SOTANO POR CARCAMO CON 3#6+1#6N+1#8T AWG INCLUYE TERMINALES DE CONEXIÓN</v>
      </c>
      <c r="I325" t="str">
        <v xml:space="preserve">ML   </v>
      </c>
      <c r="J325">
        <v>0</v>
      </c>
      <c r="K325">
        <v>61314</v>
      </c>
      <c r="L325" s="115">
        <f t="shared" si="13"/>
        <v>61314</v>
      </c>
      <c r="M325" s="146">
        <f t="shared" si="14"/>
        <v>367884</v>
      </c>
      <c r="N325" s="119"/>
    </row>
    <row r="326" spans="2:14" ht="42" customHeight="1" x14ac:dyDescent="0.25">
      <c r="B326" s="86" t="s">
        <v>614</v>
      </c>
      <c r="C326" s="87" t="s">
        <v>615</v>
      </c>
      <c r="D326" s="82" t="s">
        <v>269</v>
      </c>
      <c r="E326" s="83">
        <v>60</v>
      </c>
      <c r="F326" s="88">
        <v>119175</v>
      </c>
      <c r="G326" s="89">
        <f t="shared" ref="G326:G389" si="15">ROUND(+F326*E326,2)</f>
        <v>7150500</v>
      </c>
      <c r="H326" s="118" t="str">
        <f t="array" ref="H326:K326">_xlfn.XLOOKUP(C326,'ESAP NEIVA FASE II UNIFICADO'!$C$6:$C$720,'ESAP NEIVA FASE II UNIFICADO'!$C$6:$F$720,"NO ESTA")</f>
        <v>SUMINISTRO E INSTALACIÓN ALIMENTADOR DESDE EL TABLERO GENERAL DE DISTRIBUCIÓN HASTA EL TNP1 PISO 1 EN 1 ø 2" CON 3#2/0+1#2/0N+1#4T AWG INCLUYE TERMINALES DE CONEXIÓN</v>
      </c>
      <c r="I326" t="str">
        <v xml:space="preserve">ML   </v>
      </c>
      <c r="J326">
        <v>0</v>
      </c>
      <c r="K326">
        <v>128769</v>
      </c>
      <c r="L326" s="115">
        <f t="shared" ref="L326:L389" si="16">MAX(K326,F326)</f>
        <v>128769</v>
      </c>
      <c r="M326" s="146">
        <f t="shared" ref="M326:M389" si="17">L326*E326</f>
        <v>7726140</v>
      </c>
      <c r="N326" s="119"/>
    </row>
    <row r="327" spans="2:14" ht="42" customHeight="1" x14ac:dyDescent="0.25">
      <c r="B327" s="86" t="s">
        <v>616</v>
      </c>
      <c r="C327" s="87" t="s">
        <v>617</v>
      </c>
      <c r="D327" s="82" t="s">
        <v>269</v>
      </c>
      <c r="E327" s="83">
        <v>64</v>
      </c>
      <c r="F327" s="88">
        <v>176378</v>
      </c>
      <c r="G327" s="89">
        <f t="shared" si="15"/>
        <v>11288192</v>
      </c>
      <c r="H327" s="118" t="str">
        <f t="array" ref="H327:K327">_xlfn.XLOOKUP(C327,'ESAP NEIVA FASE II UNIFICADO'!$C$6:$C$720,'ESAP NEIVA FASE II UNIFICADO'!$C$6:$F$720,"NO ESTA")</f>
        <v>SUMINISTRO E INSTALACIÓN ALIMENTADOR DESDE EL TABLERO GENERAL DE DISTRIBUCIÓN HASTA EL TNP2 PISO 2 EN 1 ø 3" CON 3#4/0+1#2/0N+1#4T AWG INCLUYE TERMINALES DE CONEXIÓN</v>
      </c>
      <c r="I327" t="str">
        <v xml:space="preserve">ML   </v>
      </c>
      <c r="J327">
        <v>0</v>
      </c>
      <c r="K327">
        <v>190576</v>
      </c>
      <c r="L327" s="115">
        <f t="shared" si="16"/>
        <v>190576</v>
      </c>
      <c r="M327" s="146">
        <f t="shared" si="17"/>
        <v>12196864</v>
      </c>
      <c r="N327" s="119"/>
    </row>
    <row r="328" spans="2:14" ht="42" customHeight="1" x14ac:dyDescent="0.25">
      <c r="B328" s="86" t="s">
        <v>618</v>
      </c>
      <c r="C328" s="87" t="s">
        <v>619</v>
      </c>
      <c r="D328" s="82" t="s">
        <v>269</v>
      </c>
      <c r="E328" s="83">
        <v>68</v>
      </c>
      <c r="F328" s="88">
        <v>176378</v>
      </c>
      <c r="G328" s="89">
        <f t="shared" si="15"/>
        <v>11993704</v>
      </c>
      <c r="H328" s="118" t="str">
        <f t="array" ref="H328:K328">_xlfn.XLOOKUP(C328,'ESAP NEIVA FASE II UNIFICADO'!$C$6:$C$720,'ESAP NEIVA FASE II UNIFICADO'!$C$6:$F$720,"NO ESTA")</f>
        <v>SUMINISTRO E INSTALACIÓN ALIMENTADOR DESDE EL TABLERO GENERAL DE DISTRIBUCIÓN HASTA EL TNP3 PISO 3 EN 1 ø 3" CON 3#4/0+1#2/0N+1#4T AWG INCLUYE TERMINALES DE CONEXIÓN</v>
      </c>
      <c r="I328" t="str">
        <v xml:space="preserve">ML   </v>
      </c>
      <c r="J328">
        <v>0</v>
      </c>
      <c r="K328">
        <v>190576</v>
      </c>
      <c r="L328" s="115">
        <f t="shared" si="16"/>
        <v>190576</v>
      </c>
      <c r="M328" s="146">
        <f t="shared" si="17"/>
        <v>12959168</v>
      </c>
      <c r="N328" s="119"/>
    </row>
    <row r="329" spans="2:14" ht="42" customHeight="1" x14ac:dyDescent="0.25">
      <c r="B329" s="86" t="s">
        <v>620</v>
      </c>
      <c r="C329" s="87" t="s">
        <v>621</v>
      </c>
      <c r="D329" s="82" t="s">
        <v>269</v>
      </c>
      <c r="E329" s="83">
        <v>72</v>
      </c>
      <c r="F329" s="88">
        <v>176378</v>
      </c>
      <c r="G329" s="89">
        <f t="shared" si="15"/>
        <v>12699216</v>
      </c>
      <c r="H329" s="118" t="str">
        <f t="array" ref="H329:K329">_xlfn.XLOOKUP(C329,'ESAP NEIVA FASE II UNIFICADO'!$C$6:$C$720,'ESAP NEIVA FASE II UNIFICADO'!$C$6:$F$720,"NO ESTA")</f>
        <v>SUMINISTRO E INSTALACIÓN ALIMENTADOR DESDE EL TABLERO GENERAL DE DISTRIBUCIÓN HASTA EL TNP3 PISO 4 EN 1 Ø 3" CON 3#4/0+1#2/0N+1#4T AWG INCLUYE TERMINALES DE CONEXIÓN</v>
      </c>
      <c r="I329" t="str">
        <v xml:space="preserve">ML   </v>
      </c>
      <c r="J329">
        <v>0</v>
      </c>
      <c r="K329">
        <v>190576</v>
      </c>
      <c r="L329" s="115">
        <f t="shared" si="16"/>
        <v>190576</v>
      </c>
      <c r="M329" s="146">
        <f t="shared" si="17"/>
        <v>13721472</v>
      </c>
      <c r="N329" s="119"/>
    </row>
    <row r="330" spans="2:14" ht="42" customHeight="1" x14ac:dyDescent="0.25">
      <c r="B330" s="86" t="s">
        <v>622</v>
      </c>
      <c r="C330" s="87" t="s">
        <v>623</v>
      </c>
      <c r="D330" s="82" t="s">
        <v>269</v>
      </c>
      <c r="E330" s="83">
        <v>60</v>
      </c>
      <c r="F330" s="88">
        <v>158175</v>
      </c>
      <c r="G330" s="89">
        <f t="shared" si="15"/>
        <v>9490500</v>
      </c>
      <c r="H330" s="118" t="str">
        <f t="array" ref="H330:K330">_xlfn.XLOOKUP(C330,'ESAP NEIVA FASE II UNIFICADO'!$C$6:$C$720,'ESAP NEIVA FASE II UNIFICADO'!$C$6:$F$720,"NO ESTA")</f>
        <v xml:space="preserve">SUMINISTRO E INSTALACIÓNALIMENTADOR DESDE EL TABLERO GENERAL DE DISTRIBUCIÓN HASTA LA UPS1 PISO 1 EN 1 Ø 2" con 3#3/0+1#2/0N+1#2/OT AWG INCLUYENDO TERMINALES DE CONEXIÓN </v>
      </c>
      <c r="I330" t="str">
        <v xml:space="preserve">ML   </v>
      </c>
      <c r="J330">
        <v>0</v>
      </c>
      <c r="K330">
        <v>170907</v>
      </c>
      <c r="L330" s="115">
        <f t="shared" si="16"/>
        <v>170907</v>
      </c>
      <c r="M330" s="146">
        <f t="shared" si="17"/>
        <v>10254420</v>
      </c>
      <c r="N330" s="119"/>
    </row>
    <row r="331" spans="2:14" ht="42" customHeight="1" x14ac:dyDescent="0.25">
      <c r="B331" s="86" t="s">
        <v>624</v>
      </c>
      <c r="C331" s="87" t="s">
        <v>625</v>
      </c>
      <c r="D331" s="82" t="s">
        <v>269</v>
      </c>
      <c r="E331" s="83">
        <v>7</v>
      </c>
      <c r="F331" s="88">
        <v>92292</v>
      </c>
      <c r="G331" s="89">
        <f t="shared" si="15"/>
        <v>646044</v>
      </c>
      <c r="H331" s="118" t="str">
        <f t="array" ref="H331:K331">_xlfn.XLOOKUP(C331,'ESAP NEIVA FASE II UNIFICADO'!$C$6:$C$720,'ESAP NEIVA FASE II UNIFICADO'!$C$6:$F$720,"NO ESTA")</f>
        <v xml:space="preserve">SUMINISTRO E INSTALACIÓN ALIMENTADOR DESDE UPS1 HASTA EL TABLERO REGULADO 1 PISO 1 EN 1 Ø 2" con 3#2+1#2N+1#8T AWG INCLUYENDO TERMINALES DE CONEXIÓN </v>
      </c>
      <c r="I331" t="str">
        <v xml:space="preserve">ML   </v>
      </c>
      <c r="J331">
        <v>0</v>
      </c>
      <c r="K331">
        <v>99722</v>
      </c>
      <c r="L331" s="115">
        <f t="shared" si="16"/>
        <v>99722</v>
      </c>
      <c r="M331" s="146">
        <f t="shared" si="17"/>
        <v>698054</v>
      </c>
      <c r="N331" s="119"/>
    </row>
    <row r="332" spans="2:14" ht="42" customHeight="1" x14ac:dyDescent="0.25">
      <c r="B332" s="86" t="s">
        <v>626</v>
      </c>
      <c r="C332" s="87" t="s">
        <v>627</v>
      </c>
      <c r="D332" s="82" t="s">
        <v>269</v>
      </c>
      <c r="E332" s="83">
        <v>102</v>
      </c>
      <c r="F332" s="88">
        <v>150332</v>
      </c>
      <c r="G332" s="89">
        <f t="shared" si="15"/>
        <v>15333864</v>
      </c>
      <c r="H332" s="118" t="str">
        <f t="array" ref="H332">_xlfn.XLOOKUP(C332,'ESAP NEIVA FASE II UNIFICADO'!$C$6:$C$720,'ESAP NEIVA FASE II UNIFICADO'!$C$6:$F$720,"NO ESTA")</f>
        <v>NO ESTA</v>
      </c>
      <c r="L332" s="115">
        <f t="shared" si="16"/>
        <v>150332</v>
      </c>
      <c r="M332" s="146">
        <f t="shared" si="17"/>
        <v>15333864</v>
      </c>
      <c r="N332" s="119"/>
    </row>
    <row r="333" spans="2:14" ht="15" customHeight="1" x14ac:dyDescent="0.25">
      <c r="B333" s="80" t="s">
        <v>628</v>
      </c>
      <c r="C333" s="81" t="s">
        <v>629</v>
      </c>
      <c r="D333" s="82"/>
      <c r="E333" s="83"/>
      <c r="F333" s="104"/>
      <c r="G333" s="89">
        <f t="shared" si="15"/>
        <v>0</v>
      </c>
      <c r="H333" s="118" t="str">
        <f t="array" ref="H333:K333">_xlfn.XLOOKUP(C333,'ESAP NEIVA FASE II UNIFICADO'!$C$6:$C$720,'ESAP NEIVA FASE II UNIFICADO'!$C$6:$F$720,"NO ESTA")</f>
        <v xml:space="preserve">SUMINISTRO E INSTALACIÓN DE CANALIZACIONES </v>
      </c>
      <c r="I333">
        <v>0</v>
      </c>
      <c r="J333">
        <v>0</v>
      </c>
      <c r="K333">
        <v>0</v>
      </c>
      <c r="L333" s="115">
        <f t="shared" si="16"/>
        <v>0</v>
      </c>
      <c r="M333" s="146">
        <f t="shared" si="17"/>
        <v>0</v>
      </c>
      <c r="N333" s="119"/>
    </row>
    <row r="334" spans="2:14" ht="15" customHeight="1" x14ac:dyDescent="0.25">
      <c r="B334" s="86" t="s">
        <v>630</v>
      </c>
      <c r="C334" s="87" t="s">
        <v>631</v>
      </c>
      <c r="D334" s="82" t="s">
        <v>269</v>
      </c>
      <c r="E334" s="83">
        <v>50</v>
      </c>
      <c r="F334" s="88">
        <v>33644</v>
      </c>
      <c r="G334" s="89">
        <f t="shared" si="15"/>
        <v>1682200</v>
      </c>
      <c r="H334" s="118" t="str">
        <f t="array" ref="H334:K334">_xlfn.XLOOKUP(C334,'ESAP NEIVA FASE II UNIFICADO'!$C$6:$C$720,'ESAP NEIVA FASE II UNIFICADO'!$C$6:$F$720,"NO ESTA")</f>
        <v>SUMINISTRO E INSTALACIÓN TUBERÍA PVC Ø 4" (Incluye todos los materiales para su instalación)</v>
      </c>
      <c r="I334" t="str">
        <v xml:space="preserve">ML   </v>
      </c>
      <c r="J334">
        <v>0</v>
      </c>
      <c r="K334">
        <v>36352</v>
      </c>
      <c r="L334" s="115">
        <f t="shared" si="16"/>
        <v>36352</v>
      </c>
      <c r="M334" s="146">
        <f t="shared" si="17"/>
        <v>1817600</v>
      </c>
      <c r="N334" s="119"/>
    </row>
    <row r="335" spans="2:14" ht="15" customHeight="1" x14ac:dyDescent="0.25">
      <c r="B335" s="86" t="s">
        <v>632</v>
      </c>
      <c r="C335" s="87" t="s">
        <v>633</v>
      </c>
      <c r="D335" s="82" t="s">
        <v>269</v>
      </c>
      <c r="E335" s="83">
        <v>100</v>
      </c>
      <c r="F335" s="88">
        <v>60930</v>
      </c>
      <c r="G335" s="89">
        <f t="shared" si="15"/>
        <v>6093000</v>
      </c>
      <c r="H335" s="118" t="str">
        <f t="array" ref="H335">_xlfn.XLOOKUP(C335,'ESAP NEIVA FASE II UNIFICADO'!$C$6:$C$720,'ESAP NEIVA FASE II UNIFICADO'!$C$6:$F$720,"NO ESTA")</f>
        <v>NO ESTA</v>
      </c>
      <c r="L335" s="115">
        <f t="shared" si="16"/>
        <v>60930</v>
      </c>
      <c r="M335" s="146">
        <f t="shared" si="17"/>
        <v>6093000</v>
      </c>
      <c r="N335" s="119"/>
    </row>
    <row r="336" spans="2:14" ht="15" customHeight="1" x14ac:dyDescent="0.25">
      <c r="B336" s="80" t="s">
        <v>634</v>
      </c>
      <c r="C336" s="81" t="s">
        <v>635</v>
      </c>
      <c r="D336" s="82"/>
      <c r="E336" s="83"/>
      <c r="F336" s="88">
        <v>0</v>
      </c>
      <c r="G336" s="89">
        <f t="shared" si="15"/>
        <v>0</v>
      </c>
      <c r="H336" s="118" t="str">
        <f t="array" ref="H336:K336">_xlfn.XLOOKUP(C336,'ESAP NEIVA FASE II UNIFICADO'!$C$6:$C$720,'ESAP NEIVA FASE II UNIFICADO'!$C$6:$F$720,"NO ESTA")</f>
        <v>SUMINISTRO E INSTALACIÓN DE TABLEROS E INTERRUPTORES</v>
      </c>
      <c r="I336">
        <v>0</v>
      </c>
      <c r="J336">
        <v>0</v>
      </c>
      <c r="K336">
        <v>0</v>
      </c>
      <c r="L336" s="115">
        <f t="shared" si="16"/>
        <v>0</v>
      </c>
      <c r="M336" s="146">
        <f t="shared" si="17"/>
        <v>0</v>
      </c>
      <c r="N336" s="119"/>
    </row>
    <row r="337" spans="2:14" ht="42" customHeight="1" x14ac:dyDescent="0.25">
      <c r="B337" s="86" t="s">
        <v>636</v>
      </c>
      <c r="C337" s="87" t="s">
        <v>637</v>
      </c>
      <c r="D337" s="82" t="s">
        <v>374</v>
      </c>
      <c r="E337" s="83">
        <v>1</v>
      </c>
      <c r="F337" s="88">
        <v>786853</v>
      </c>
      <c r="G337" s="89">
        <f t="shared" si="15"/>
        <v>786853</v>
      </c>
      <c r="H337" s="118" t="str">
        <f t="array" ref="H337:K337">_xlfn.XLOOKUP(C337,'ESAP NEIVA FASE II UNIFICADO'!$C$6:$C$720,'ESAP NEIVA FASE II UNIFICADO'!$C$6:$F$720,"NO ESTA")</f>
        <v>SUMINISTRO E INSTALACIÓN TABLERO AUTOMATICO DE 38 CIRCUITOS TIPO PESADO CON PUERTA Y CERRRADURA DE CIERRE, CERRADURA Y ESPACIO TOTALIZADOR INDUSTRIAL (TNP4)</v>
      </c>
      <c r="I337" t="str">
        <v>UN</v>
      </c>
      <c r="J337">
        <v>0</v>
      </c>
      <c r="K337">
        <v>850198</v>
      </c>
      <c r="L337" s="115">
        <f t="shared" si="16"/>
        <v>850198</v>
      </c>
      <c r="M337" s="146">
        <f t="shared" si="17"/>
        <v>850198</v>
      </c>
      <c r="N337" s="119"/>
    </row>
    <row r="338" spans="2:14" ht="42" customHeight="1" x14ac:dyDescent="0.25">
      <c r="B338" s="86" t="s">
        <v>638</v>
      </c>
      <c r="C338" s="87" t="s">
        <v>639</v>
      </c>
      <c r="D338" s="82" t="s">
        <v>374</v>
      </c>
      <c r="E338" s="83">
        <v>1</v>
      </c>
      <c r="F338" s="88">
        <v>632039</v>
      </c>
      <c r="G338" s="89">
        <f t="shared" si="15"/>
        <v>632039</v>
      </c>
      <c r="H338" s="118" t="str">
        <f t="array" ref="H338:K338">_xlfn.XLOOKUP(C338,'ESAP NEIVA FASE II UNIFICADO'!$C$6:$C$720,'ESAP NEIVA FASE II UNIFICADO'!$C$6:$F$720,"NO ESTA")</f>
        <v xml:space="preserve">SUMINISTRO E INSTALACIÓN TABLERO AUTOMATICO DE 18 CIRCUITOS TIPO PESADO CON PUERTA Y CERRRADURA DE CIERRE, CERRADURA Y ESPACIO TOTALIZADOR INDUSTRIAL CON BARRAJE DE TIERRA AISLADA. </v>
      </c>
      <c r="I338" t="str">
        <v>UN</v>
      </c>
      <c r="J338">
        <v>0</v>
      </c>
      <c r="K338">
        <v>682920</v>
      </c>
      <c r="L338" s="115">
        <f t="shared" si="16"/>
        <v>682920</v>
      </c>
      <c r="M338" s="146">
        <f t="shared" si="17"/>
        <v>682920</v>
      </c>
      <c r="N338" s="119"/>
    </row>
    <row r="339" spans="2:14" ht="42" customHeight="1" x14ac:dyDescent="0.25">
      <c r="B339" s="86" t="s">
        <v>640</v>
      </c>
      <c r="C339" s="87" t="s">
        <v>641</v>
      </c>
      <c r="D339" s="82" t="s">
        <v>374</v>
      </c>
      <c r="E339" s="83">
        <v>3</v>
      </c>
      <c r="F339" s="88">
        <v>635109</v>
      </c>
      <c r="G339" s="89">
        <f t="shared" si="15"/>
        <v>1905327</v>
      </c>
      <c r="H339" s="118" t="str">
        <f t="array" ref="H339:K339">_xlfn.XLOOKUP(C339,'ESAP NEIVA FASE II UNIFICADO'!$C$6:$C$720,'ESAP NEIVA FASE II UNIFICADO'!$C$6:$F$720,"NO ESTA")</f>
        <v>SUMINISTRO E INSTALACIÓN TABLERO AUTOMATICO DE 24 CIRCUITOS TIPO PESADO CON PUERTA Y CERRRADURA DE CIERRE, CERRADURA Y ESPACIO TOTALIZADOR INDUSTRIAL CON BARRAJE DE TIERRA AISLADA (TNS, TR1, TR2)</v>
      </c>
      <c r="I339" t="str">
        <v>UN</v>
      </c>
      <c r="J339">
        <v>0</v>
      </c>
      <c r="K339">
        <v>686237</v>
      </c>
      <c r="L339" s="115">
        <f t="shared" si="16"/>
        <v>686237</v>
      </c>
      <c r="M339" s="146">
        <f t="shared" si="17"/>
        <v>2058711</v>
      </c>
      <c r="N339" s="119"/>
    </row>
    <row r="340" spans="2:14" ht="42" customHeight="1" x14ac:dyDescent="0.25">
      <c r="B340" s="86" t="s">
        <v>642</v>
      </c>
      <c r="C340" s="87" t="s">
        <v>643</v>
      </c>
      <c r="D340" s="82" t="s">
        <v>374</v>
      </c>
      <c r="E340" s="83">
        <v>3</v>
      </c>
      <c r="F340" s="88">
        <v>891523</v>
      </c>
      <c r="G340" s="89">
        <f t="shared" si="15"/>
        <v>2674569</v>
      </c>
      <c r="H340" s="118" t="str">
        <f t="array" ref="H340:K340">_xlfn.XLOOKUP(C340,'ESAP NEIVA FASE II UNIFICADO'!$C$6:$C$720,'ESAP NEIVA FASE II UNIFICADO'!$C$6:$F$720,"NO ESTA")</f>
        <v>SUMINISTRO E INSTALACIÓN TABLERO AUTOMATICO DE 42 CIRCUITOS TIPO PESADO CON PUERTA Y CERRRADURA DE CIERRE, CERRADURA Y ESPACIO TOTALIZADOR INDUSTRIAL (TNP1, TNP2, TNP3)</v>
      </c>
      <c r="I340" t="str">
        <v>UN</v>
      </c>
      <c r="J340">
        <v>0</v>
      </c>
      <c r="K340">
        <v>963294</v>
      </c>
      <c r="L340" s="115">
        <f t="shared" si="16"/>
        <v>963294</v>
      </c>
      <c r="M340" s="146">
        <f t="shared" si="17"/>
        <v>2889882</v>
      </c>
      <c r="N340" s="119"/>
    </row>
    <row r="341" spans="2:14" ht="27" customHeight="1" x14ac:dyDescent="0.25">
      <c r="B341" s="86" t="s">
        <v>644</v>
      </c>
      <c r="C341" s="87" t="s">
        <v>645</v>
      </c>
      <c r="D341" s="82" t="s">
        <v>374</v>
      </c>
      <c r="E341" s="83">
        <v>19</v>
      </c>
      <c r="F341" s="88">
        <v>19024</v>
      </c>
      <c r="G341" s="89">
        <f t="shared" si="15"/>
        <v>361456</v>
      </c>
      <c r="H341" s="118" t="str">
        <f t="array" ref="H341:K341">_xlfn.XLOOKUP(C341,'ESAP NEIVA FASE II UNIFICADO'!$C$6:$C$720,'ESAP NEIVA FASE II UNIFICADO'!$C$6:$F$720,"NO ESTA")</f>
        <v>SUMINISTRO E INSTALACIÓN INTERRUPTORES AUTOMÁTICOS ENCHUFABLES 240 V. 10kA 1x20 AMPS. TIPO ENCHUFABLE 10 Ka 240V.</v>
      </c>
      <c r="I341" t="str">
        <v>UN</v>
      </c>
      <c r="J341">
        <v>51</v>
      </c>
      <c r="K341">
        <v>20555</v>
      </c>
      <c r="L341" s="115">
        <f t="shared" si="16"/>
        <v>20555</v>
      </c>
      <c r="M341" s="146">
        <f t="shared" si="17"/>
        <v>390545</v>
      </c>
      <c r="N341" s="119"/>
    </row>
    <row r="342" spans="2:14" ht="27.75" customHeight="1" x14ac:dyDescent="0.25">
      <c r="B342" s="86" t="s">
        <v>646</v>
      </c>
      <c r="C342" s="87" t="s">
        <v>647</v>
      </c>
      <c r="D342" s="82" t="s">
        <v>374</v>
      </c>
      <c r="E342" s="83">
        <v>14</v>
      </c>
      <c r="F342" s="88">
        <v>19024</v>
      </c>
      <c r="G342" s="89">
        <f t="shared" si="15"/>
        <v>266336</v>
      </c>
      <c r="H342" s="118" t="str">
        <f t="array" ref="H342:K342">_xlfn.XLOOKUP(C342,'ESAP NEIVA FASE II UNIFICADO'!$C$6:$C$720,'ESAP NEIVA FASE II UNIFICADO'!$C$6:$F$720,"NO ESTA")</f>
        <v>SUMINISTRO E INSTALACIÓN INTERRUPTORES AUTOMÁTICOS ENCHUFABLES 240 V. 10kA 1x30 AMPS. TIPO ENCHUFABLE 10 Ka 240V.</v>
      </c>
      <c r="I342" t="str">
        <v>UN</v>
      </c>
      <c r="J342">
        <v>36</v>
      </c>
      <c r="K342">
        <v>20555</v>
      </c>
      <c r="L342" s="115">
        <f t="shared" si="16"/>
        <v>20555</v>
      </c>
      <c r="M342" s="146">
        <f t="shared" si="17"/>
        <v>287770</v>
      </c>
      <c r="N342" s="119"/>
    </row>
    <row r="343" spans="2:14" ht="30.75" customHeight="1" x14ac:dyDescent="0.25">
      <c r="B343" s="86" t="s">
        <v>648</v>
      </c>
      <c r="C343" s="87" t="s">
        <v>649</v>
      </c>
      <c r="D343" s="82" t="s">
        <v>374</v>
      </c>
      <c r="E343" s="83">
        <v>2</v>
      </c>
      <c r="F343" s="88">
        <v>53716</v>
      </c>
      <c r="G343" s="89">
        <f t="shared" si="15"/>
        <v>107432</v>
      </c>
      <c r="H343" s="118" t="str">
        <f t="array" ref="H343:K343">_xlfn.XLOOKUP(C343,'ESAP NEIVA FASE II UNIFICADO'!$C$6:$C$720,'ESAP NEIVA FASE II UNIFICADO'!$C$6:$F$720,"NO ESTA")</f>
        <v>SUMINISTRO E INSTALACIÓN INTERRUPTORES AUTOMÁTICOS ENCHUFABLES 240 V. 10kA 3x30 AMPS. TIPO ENCHUFABLE 10 Ka 240V.</v>
      </c>
      <c r="I343" t="str">
        <v>UN</v>
      </c>
      <c r="J343">
        <v>4</v>
      </c>
      <c r="K343">
        <v>58041</v>
      </c>
      <c r="L343" s="115">
        <f t="shared" si="16"/>
        <v>58041</v>
      </c>
      <c r="M343" s="146">
        <f t="shared" si="17"/>
        <v>116082</v>
      </c>
      <c r="N343" s="119"/>
    </row>
    <row r="344" spans="2:14" ht="27.75" customHeight="1" x14ac:dyDescent="0.25">
      <c r="B344" s="80" t="s">
        <v>650</v>
      </c>
      <c r="C344" s="81" t="s">
        <v>651</v>
      </c>
      <c r="D344" s="82"/>
      <c r="E344" s="83"/>
      <c r="F344" s="104"/>
      <c r="G344" s="89">
        <f t="shared" si="15"/>
        <v>0</v>
      </c>
      <c r="H344" s="118" t="str">
        <f t="array" ref="H344">_xlfn.XLOOKUP(C344,'ESAP NEIVA FASE II UNIFICADO'!$C$6:$C$720,'ESAP NEIVA FASE II UNIFICADO'!$C$6:$F$720,"NO ESTA")</f>
        <v>NO ESTA</v>
      </c>
      <c r="L344" s="115">
        <f t="shared" si="16"/>
        <v>0</v>
      </c>
      <c r="M344" s="146">
        <f t="shared" si="17"/>
        <v>0</v>
      </c>
      <c r="N344" s="119"/>
    </row>
    <row r="345" spans="2:14" ht="66" customHeight="1" x14ac:dyDescent="0.25">
      <c r="B345" s="86" t="s">
        <v>652</v>
      </c>
      <c r="C345" s="87" t="s">
        <v>653</v>
      </c>
      <c r="D345" s="82" t="s">
        <v>374</v>
      </c>
      <c r="E345" s="83">
        <v>1</v>
      </c>
      <c r="F345" s="88">
        <v>538829</v>
      </c>
      <c r="G345" s="89">
        <f t="shared" si="15"/>
        <v>538829</v>
      </c>
      <c r="H345" s="118" t="str">
        <f t="array" ref="H345">_xlfn.XLOOKUP(C345,'ESAP NEIVA FASE II UNIFICADO'!$C$6:$C$720,'ESAP NEIVA FASE II UNIFICADO'!$C$6:$F$720,"NO ESTA")</f>
        <v>NO ESTA</v>
      </c>
      <c r="L345" s="115">
        <f t="shared" si="16"/>
        <v>538829</v>
      </c>
      <c r="M345" s="146">
        <f t="shared" si="17"/>
        <v>538829</v>
      </c>
      <c r="N345" s="119"/>
    </row>
    <row r="346" spans="2:14" ht="15" customHeight="1" x14ac:dyDescent="0.25">
      <c r="B346" s="80" t="s">
        <v>654</v>
      </c>
      <c r="C346" s="81" t="s">
        <v>655</v>
      </c>
      <c r="D346" s="82"/>
      <c r="E346" s="83"/>
      <c r="F346" s="104"/>
      <c r="G346" s="89">
        <f t="shared" si="15"/>
        <v>0</v>
      </c>
      <c r="H346" s="118" t="str">
        <f t="array" ref="H346:K346">_xlfn.XLOOKUP(C346,'ESAP NEIVA FASE II UNIFICADO'!$C$6:$C$720,'ESAP NEIVA FASE II UNIFICADO'!$C$6:$F$720,"NO ESTA")</f>
        <v>SUMINISTRO E INSTALACIÓN TABLEROS DE DISTRIBUCIÓN GENERAL</v>
      </c>
      <c r="I346">
        <v>0</v>
      </c>
      <c r="J346">
        <v>0</v>
      </c>
      <c r="K346">
        <v>0</v>
      </c>
      <c r="L346" s="115">
        <f t="shared" si="16"/>
        <v>0</v>
      </c>
      <c r="M346" s="146">
        <f t="shared" si="17"/>
        <v>0</v>
      </c>
      <c r="N346" s="119"/>
    </row>
    <row r="347" spans="2:14" ht="81" customHeight="1" x14ac:dyDescent="0.25">
      <c r="B347" s="86" t="s">
        <v>656</v>
      </c>
      <c r="C347" s="87" t="s">
        <v>657</v>
      </c>
      <c r="D347" s="82" t="s">
        <v>374</v>
      </c>
      <c r="E347" s="83">
        <v>1</v>
      </c>
      <c r="F347" s="88">
        <v>14602321</v>
      </c>
      <c r="G347" s="89">
        <f t="shared" si="15"/>
        <v>14602321</v>
      </c>
      <c r="H347" s="118" t="str">
        <f t="array" ref="H347">_xlfn.XLOOKUP(C347,'ESAP NEIVA FASE II UNIFICADO'!$C$6:$C$720,'ESAP NEIVA FASE II UNIFICADO'!$C$6:$F$720,"NO ESTA")</f>
        <v>NO ESTA</v>
      </c>
      <c r="L347" s="115">
        <f t="shared" si="16"/>
        <v>14602321</v>
      </c>
      <c r="M347" s="146">
        <f t="shared" si="17"/>
        <v>14602321</v>
      </c>
      <c r="N347" s="119"/>
    </row>
    <row r="348" spans="2:14" ht="72" customHeight="1" x14ac:dyDescent="0.25">
      <c r="B348" s="86" t="s">
        <v>658</v>
      </c>
      <c r="C348" s="87" t="s">
        <v>659</v>
      </c>
      <c r="D348" s="82" t="s">
        <v>374</v>
      </c>
      <c r="E348" s="83">
        <v>1</v>
      </c>
      <c r="F348" s="88">
        <v>11035372</v>
      </c>
      <c r="G348" s="89">
        <f t="shared" si="15"/>
        <v>11035372</v>
      </c>
      <c r="H348" s="118" t="str">
        <f t="array" ref="H348">_xlfn.XLOOKUP(C348,'ESAP NEIVA FASE II UNIFICADO'!$C$6:$C$720,'ESAP NEIVA FASE II UNIFICADO'!$C$6:$F$720,"NO ESTA")</f>
        <v>NO ESTA</v>
      </c>
      <c r="L348" s="115">
        <f t="shared" si="16"/>
        <v>11035372</v>
      </c>
      <c r="M348" s="146">
        <f t="shared" si="17"/>
        <v>11035372</v>
      </c>
      <c r="N348" s="119"/>
    </row>
    <row r="349" spans="2:14" ht="69" customHeight="1" x14ac:dyDescent="0.25">
      <c r="B349" s="86" t="s">
        <v>660</v>
      </c>
      <c r="C349" s="87" t="s">
        <v>661</v>
      </c>
      <c r="D349" s="82" t="s">
        <v>374</v>
      </c>
      <c r="E349" s="83">
        <v>1</v>
      </c>
      <c r="F349" s="88">
        <v>12818847</v>
      </c>
      <c r="G349" s="89">
        <f t="shared" si="15"/>
        <v>12818847</v>
      </c>
      <c r="H349" s="118" t="str">
        <f t="array" ref="H349">_xlfn.XLOOKUP(C349,'ESAP NEIVA FASE II UNIFICADO'!$C$6:$C$720,'ESAP NEIVA FASE II UNIFICADO'!$C$6:$F$720,"NO ESTA")</f>
        <v>NO ESTA</v>
      </c>
      <c r="L349" s="115">
        <f t="shared" si="16"/>
        <v>12818847</v>
      </c>
      <c r="M349" s="146">
        <f t="shared" si="17"/>
        <v>12818847</v>
      </c>
      <c r="N349" s="119"/>
    </row>
    <row r="350" spans="2:14" ht="39" customHeight="1" x14ac:dyDescent="0.25">
      <c r="B350" s="80" t="s">
        <v>662</v>
      </c>
      <c r="C350" s="81" t="s">
        <v>663</v>
      </c>
      <c r="D350" s="82"/>
      <c r="E350" s="83"/>
      <c r="F350" s="104"/>
      <c r="G350" s="89">
        <f t="shared" si="15"/>
        <v>0</v>
      </c>
      <c r="H350" s="118" t="str">
        <f t="array" ref="H350:K350">_xlfn.XLOOKUP(C350,'ESAP NEIVA FASE II UNIFICADO'!$C$6:$C$720,'ESAP NEIVA FASE II UNIFICADO'!$C$6:$F$720,"NO ESTA")</f>
        <v xml:space="preserve">SUMINISTRO E INSTALACIÓN PUESTA A TIERRA TRANSFORMADOR Y SUBESTACIÓN (Incluye preparación de tierra con la solución Sanick Gel para obtener una elevada conductividad eléctrica (ver especificaciones técnicas de diseño anexas) </v>
      </c>
      <c r="I350">
        <v>0</v>
      </c>
      <c r="J350">
        <v>0</v>
      </c>
      <c r="K350">
        <v>0</v>
      </c>
      <c r="L350" s="115">
        <f t="shared" si="16"/>
        <v>0</v>
      </c>
      <c r="M350" s="146">
        <f t="shared" si="17"/>
        <v>0</v>
      </c>
      <c r="N350" s="119"/>
    </row>
    <row r="351" spans="2:14" ht="15" customHeight="1" x14ac:dyDescent="0.25">
      <c r="B351" s="86" t="s">
        <v>664</v>
      </c>
      <c r="C351" s="87" t="s">
        <v>665</v>
      </c>
      <c r="D351" s="82" t="s">
        <v>269</v>
      </c>
      <c r="E351" s="83">
        <v>35</v>
      </c>
      <c r="F351" s="88">
        <v>22591</v>
      </c>
      <c r="G351" s="89">
        <f t="shared" si="15"/>
        <v>790685</v>
      </c>
      <c r="H351" s="118" t="str">
        <f t="array" ref="H351:K351">_xlfn.XLOOKUP(C351,'ESAP NEIVA FASE II UNIFICADO'!$C$6:$C$720,'ESAP NEIVA FASE II UNIFICADO'!$C$6:$F$720,"NO ESTA")</f>
        <v>SUMINISTRO E INSTALACIÓN CONDUCTOR 2/0 Cu. TEMPLE DURO</v>
      </c>
      <c r="I351" t="str">
        <v xml:space="preserve">ML   </v>
      </c>
      <c r="J351">
        <v>0</v>
      </c>
      <c r="K351">
        <v>24409</v>
      </c>
      <c r="L351" s="115">
        <f t="shared" si="16"/>
        <v>24409</v>
      </c>
      <c r="M351" s="146">
        <f t="shared" si="17"/>
        <v>854315</v>
      </c>
      <c r="N351" s="119"/>
    </row>
    <row r="352" spans="2:14" ht="28.5" customHeight="1" x14ac:dyDescent="0.25">
      <c r="B352" s="86" t="s">
        <v>666</v>
      </c>
      <c r="C352" s="87" t="s">
        <v>667</v>
      </c>
      <c r="D352" s="82" t="s">
        <v>374</v>
      </c>
      <c r="E352" s="83">
        <v>6</v>
      </c>
      <c r="F352" s="88">
        <v>118125</v>
      </c>
      <c r="G352" s="89">
        <f t="shared" si="15"/>
        <v>708750</v>
      </c>
      <c r="H352" s="118" t="str">
        <f t="array" ref="H352">_xlfn.XLOOKUP(C352,'ESAP NEIVA FASE II UNIFICADO'!$C$6:$C$720,'ESAP NEIVA FASE II UNIFICADO'!$C$6:$F$720,"NO ESTA")</f>
        <v>NO ESTA</v>
      </c>
      <c r="L352" s="115">
        <f t="shared" si="16"/>
        <v>118125</v>
      </c>
      <c r="M352" s="146">
        <f t="shared" si="17"/>
        <v>708750</v>
      </c>
      <c r="N352" s="119"/>
    </row>
    <row r="353" spans="2:14" ht="38.25" customHeight="1" x14ac:dyDescent="0.25">
      <c r="B353" s="86" t="s">
        <v>668</v>
      </c>
      <c r="C353" s="87" t="s">
        <v>669</v>
      </c>
      <c r="D353" s="82" t="s">
        <v>374</v>
      </c>
      <c r="E353" s="83">
        <v>6</v>
      </c>
      <c r="F353" s="88">
        <v>122282</v>
      </c>
      <c r="G353" s="89">
        <f t="shared" si="15"/>
        <v>733692</v>
      </c>
      <c r="H353" s="118" t="str">
        <f t="array" ref="H353">_xlfn.XLOOKUP(C353,'ESAP NEIVA FASE II UNIFICADO'!$C$6:$C$720,'ESAP NEIVA FASE II UNIFICADO'!$C$6:$F$720,"NO ESTA")</f>
        <v>NO ESTA</v>
      </c>
      <c r="L353" s="115">
        <f t="shared" si="16"/>
        <v>122282</v>
      </c>
      <c r="M353" s="146">
        <f t="shared" si="17"/>
        <v>733692</v>
      </c>
      <c r="N353" s="119"/>
    </row>
    <row r="354" spans="2:14" ht="42.75" customHeight="1" x14ac:dyDescent="0.25">
      <c r="B354" s="86" t="s">
        <v>670</v>
      </c>
      <c r="C354" s="87" t="s">
        <v>671</v>
      </c>
      <c r="D354" s="82" t="s">
        <v>374</v>
      </c>
      <c r="E354" s="83">
        <v>2</v>
      </c>
      <c r="F354" s="88">
        <v>122282</v>
      </c>
      <c r="G354" s="89">
        <f t="shared" si="15"/>
        <v>244564</v>
      </c>
      <c r="H354" s="118" t="str">
        <f t="array" ref="H354">_xlfn.XLOOKUP(C354,'ESAP NEIVA FASE II UNIFICADO'!$C$6:$C$720,'ESAP NEIVA FASE II UNIFICADO'!$C$6:$F$720,"NO ESTA")</f>
        <v>NO ESTA</v>
      </c>
      <c r="L354" s="115">
        <f t="shared" si="16"/>
        <v>122282</v>
      </c>
      <c r="M354" s="146">
        <f t="shared" si="17"/>
        <v>244564</v>
      </c>
      <c r="N354" s="119"/>
    </row>
    <row r="355" spans="2:14" ht="79.5" customHeight="1" x14ac:dyDescent="0.25">
      <c r="B355" s="86" t="s">
        <v>672</v>
      </c>
      <c r="C355" s="87" t="s">
        <v>673</v>
      </c>
      <c r="D355" s="82" t="s">
        <v>16</v>
      </c>
      <c r="E355" s="83">
        <v>6</v>
      </c>
      <c r="F355" s="88">
        <v>154444</v>
      </c>
      <c r="G355" s="89">
        <f t="shared" si="15"/>
        <v>926664</v>
      </c>
      <c r="H355" s="118" t="str">
        <f t="array" ref="H355">_xlfn.XLOOKUP(C355,'ESAP NEIVA FASE II UNIFICADO'!$C$6:$C$720,'ESAP NEIVA FASE II UNIFICADO'!$C$6:$F$720,"NO ESTA")</f>
        <v>NO ESTA</v>
      </c>
      <c r="L355" s="115">
        <f t="shared" si="16"/>
        <v>154444</v>
      </c>
      <c r="M355" s="146">
        <f t="shared" si="17"/>
        <v>926664</v>
      </c>
      <c r="N355" s="119"/>
    </row>
    <row r="356" spans="2:14" ht="41.25" customHeight="1" x14ac:dyDescent="0.25">
      <c r="B356" s="80" t="s">
        <v>674</v>
      </c>
      <c r="C356" s="81" t="s">
        <v>675</v>
      </c>
      <c r="D356" s="82"/>
      <c r="E356" s="83"/>
      <c r="F356" s="104"/>
      <c r="G356" s="89">
        <f t="shared" si="15"/>
        <v>0</v>
      </c>
      <c r="H356" s="118" t="str">
        <f t="array" ref="H356:K356">_xlfn.XLOOKUP(C356,'ESAP NEIVA FASE II UNIFICADO'!$C$6:$C$720,'ESAP NEIVA FASE II UNIFICADO'!$C$6:$F$720,"NO ESTA")</f>
        <v xml:space="preserve">SUMINISTRO E INSTALACIÓN PUESTA A TIERRA TABLERO DE DISTRIBUCIÓN Y GENERAL (Incluye preparación de tierra con la solución Sanick Gel para obtener una elevada conductividad eléctrica (ver especificaciones técnicas de diseño anexas) </v>
      </c>
      <c r="I356">
        <v>0</v>
      </c>
      <c r="J356">
        <v>0</v>
      </c>
      <c r="K356">
        <v>0</v>
      </c>
      <c r="L356" s="115">
        <f t="shared" si="16"/>
        <v>0</v>
      </c>
      <c r="M356" s="146">
        <f t="shared" si="17"/>
        <v>0</v>
      </c>
      <c r="N356" s="119"/>
    </row>
    <row r="357" spans="2:14" ht="15" customHeight="1" x14ac:dyDescent="0.25">
      <c r="B357" s="86" t="s">
        <v>676</v>
      </c>
      <c r="C357" s="87" t="s">
        <v>677</v>
      </c>
      <c r="D357" s="82" t="s">
        <v>269</v>
      </c>
      <c r="E357" s="83">
        <v>10</v>
      </c>
      <c r="F357" s="88">
        <v>6659</v>
      </c>
      <c r="G357" s="89">
        <f t="shared" si="15"/>
        <v>66590</v>
      </c>
      <c r="H357" s="118" t="str">
        <f t="array" ref="H357:K357">_xlfn.XLOOKUP(C357,'ESAP NEIVA FASE II UNIFICADO'!$C$6:$C$720,'ESAP NEIVA FASE II UNIFICADO'!$C$6:$F$720,"NO ESTA")</f>
        <v>SUMINISTRO E INSTALACIÓN CONDUCTOR 6 Cu TEMPLE DURO</v>
      </c>
      <c r="I357" t="str">
        <v xml:space="preserve">ML   </v>
      </c>
      <c r="J357">
        <v>0</v>
      </c>
      <c r="K357">
        <v>7194</v>
      </c>
      <c r="L357" s="115">
        <f t="shared" si="16"/>
        <v>7194</v>
      </c>
      <c r="M357" s="146">
        <f t="shared" si="17"/>
        <v>71940</v>
      </c>
      <c r="N357" s="119"/>
    </row>
    <row r="358" spans="2:14" ht="25.5" customHeight="1" x14ac:dyDescent="0.25">
      <c r="B358" s="86" t="s">
        <v>678</v>
      </c>
      <c r="C358" s="87" t="s">
        <v>679</v>
      </c>
      <c r="D358" s="82" t="s">
        <v>374</v>
      </c>
      <c r="E358" s="83">
        <v>1</v>
      </c>
      <c r="F358" s="88">
        <v>118125</v>
      </c>
      <c r="G358" s="89">
        <f t="shared" si="15"/>
        <v>118125</v>
      </c>
      <c r="H358" s="118" t="str">
        <f t="array" ref="H358:K358">_xlfn.XLOOKUP(C358,'ESAP NEIVA FASE II UNIFICADO'!$C$6:$C$720,'ESAP NEIVA FASE II UNIFICADO'!$C$6:$F$720,"NO ESTA")</f>
        <v>SUMINISTRO E INSTALACIÓN ELECTRODO DE PUESTA A TIERRA EN VARILLA DE COBRE DE 5/8" X 2.40 M</v>
      </c>
      <c r="I358" t="str">
        <v>UN</v>
      </c>
      <c r="J358">
        <v>0</v>
      </c>
      <c r="K358">
        <v>127634</v>
      </c>
      <c r="L358" s="115">
        <f t="shared" si="16"/>
        <v>127634</v>
      </c>
      <c r="M358" s="146">
        <f t="shared" si="17"/>
        <v>127634</v>
      </c>
      <c r="N358" s="119"/>
    </row>
    <row r="359" spans="2:14" ht="40.5" customHeight="1" x14ac:dyDescent="0.25">
      <c r="B359" s="86" t="s">
        <v>680</v>
      </c>
      <c r="C359" s="87" t="s">
        <v>681</v>
      </c>
      <c r="D359" s="82" t="s">
        <v>374</v>
      </c>
      <c r="E359" s="83">
        <v>1</v>
      </c>
      <c r="F359" s="88">
        <v>122282</v>
      </c>
      <c r="G359" s="89">
        <f t="shared" si="15"/>
        <v>122282</v>
      </c>
      <c r="H359" s="118" t="str">
        <f t="array" ref="H359:K359">_xlfn.XLOOKUP(C359,'ESAP NEIVA FASE II UNIFICADO'!$C$6:$C$720,'ESAP NEIVA FASE II UNIFICADO'!$C$6:$F$720,"NO ESTA")</f>
        <v>SUMINISTRO E INSTALACIÓN CONEXIÓN TERMOSOLDADA DE VARILLA A CABLE DE COBRE DESNUDO # 6 AWG, INCLUYE SUMINISTRO DE MOLDE, FÚNDENTE Y DEMÁS ACCESORIOS.</v>
      </c>
      <c r="I359" t="str">
        <v>UN</v>
      </c>
      <c r="J359">
        <v>0</v>
      </c>
      <c r="K359">
        <v>132126</v>
      </c>
      <c r="L359" s="115">
        <f t="shared" si="16"/>
        <v>132126</v>
      </c>
      <c r="M359" s="146">
        <f t="shared" si="17"/>
        <v>132126</v>
      </c>
      <c r="N359" s="119"/>
    </row>
    <row r="360" spans="2:14" ht="43.5" customHeight="1" x14ac:dyDescent="0.25">
      <c r="B360" s="86" t="s">
        <v>682</v>
      </c>
      <c r="C360" s="87" t="s">
        <v>683</v>
      </c>
      <c r="D360" s="82" t="s">
        <v>374</v>
      </c>
      <c r="E360" s="83">
        <v>2</v>
      </c>
      <c r="F360" s="88">
        <v>122282</v>
      </c>
      <c r="G360" s="89">
        <f t="shared" si="15"/>
        <v>244564</v>
      </c>
      <c r="H360" s="118" t="str">
        <f t="array" ref="H360">_xlfn.XLOOKUP(C360,'ESAP NEIVA FASE II UNIFICADO'!$C$6:$C$720,'ESAP NEIVA FASE II UNIFICADO'!$C$6:$F$720,"NO ESTA")</f>
        <v>NO ESTA</v>
      </c>
      <c r="L360" s="115">
        <f t="shared" si="16"/>
        <v>122282</v>
      </c>
      <c r="M360" s="146">
        <f t="shared" si="17"/>
        <v>244564</v>
      </c>
      <c r="N360" s="119"/>
    </row>
    <row r="361" spans="2:14" ht="79.5" customHeight="1" x14ac:dyDescent="0.25">
      <c r="B361" s="86" t="s">
        <v>684</v>
      </c>
      <c r="C361" s="87" t="s">
        <v>673</v>
      </c>
      <c r="D361" s="82" t="s">
        <v>374</v>
      </c>
      <c r="E361" s="83">
        <v>1</v>
      </c>
      <c r="F361" s="88">
        <v>154444</v>
      </c>
      <c r="G361" s="89">
        <f t="shared" si="15"/>
        <v>154444</v>
      </c>
      <c r="H361" s="118" t="str">
        <f t="array" ref="H361">_xlfn.XLOOKUP(C361,'ESAP NEIVA FASE II UNIFICADO'!$C$6:$C$720,'ESAP NEIVA FASE II UNIFICADO'!$C$6:$F$720,"NO ESTA")</f>
        <v>NO ESTA</v>
      </c>
      <c r="L361" s="115">
        <f t="shared" si="16"/>
        <v>154444</v>
      </c>
      <c r="M361" s="146">
        <f t="shared" si="17"/>
        <v>154444</v>
      </c>
      <c r="N361" s="119"/>
    </row>
    <row r="362" spans="2:14" ht="40.5" customHeight="1" x14ac:dyDescent="0.25">
      <c r="B362" s="80" t="s">
        <v>685</v>
      </c>
      <c r="C362" s="81" t="s">
        <v>686</v>
      </c>
      <c r="D362" s="82"/>
      <c r="E362" s="83"/>
      <c r="F362" s="104"/>
      <c r="G362" s="89">
        <f t="shared" si="15"/>
        <v>0</v>
      </c>
      <c r="H362" s="118" t="str">
        <f t="array" ref="H362:K362">_xlfn.XLOOKUP(C362,'ESAP NEIVA FASE II UNIFICADO'!$C$6:$C$720,'ESAP NEIVA FASE II UNIFICADO'!$C$6:$F$720,"NO ESTA")</f>
        <v xml:space="preserve">SUMINISTRO E INSTALACIÓN PUESTA A TIERRA PLANTA GENERADORA (Incluye preparación de tierra con la solución Sanick Gel para obtener una elevada conductividad eléctrica (ver especificaciones técnicas de diseño anexas) </v>
      </c>
      <c r="I362">
        <v>0</v>
      </c>
      <c r="J362">
        <v>0</v>
      </c>
      <c r="K362">
        <v>0</v>
      </c>
      <c r="L362" s="115">
        <f t="shared" si="16"/>
        <v>0</v>
      </c>
      <c r="M362" s="146">
        <f t="shared" si="17"/>
        <v>0</v>
      </c>
      <c r="N362" s="119"/>
    </row>
    <row r="363" spans="2:14" ht="15" customHeight="1" x14ac:dyDescent="0.25">
      <c r="B363" s="86" t="s">
        <v>687</v>
      </c>
      <c r="C363" s="87" t="s">
        <v>665</v>
      </c>
      <c r="D363" s="82" t="s">
        <v>269</v>
      </c>
      <c r="E363" s="83">
        <v>8</v>
      </c>
      <c r="F363" s="88">
        <v>22591</v>
      </c>
      <c r="G363" s="89">
        <f t="shared" si="15"/>
        <v>180728</v>
      </c>
      <c r="H363" s="118" t="str">
        <f t="array" ref="H363:K363">_xlfn.XLOOKUP(C363,'ESAP NEIVA FASE II UNIFICADO'!$C$6:$C$720,'ESAP NEIVA FASE II UNIFICADO'!$C$6:$F$720,"NO ESTA")</f>
        <v>SUMINISTRO E INSTALACIÓN CONDUCTOR 2/0 Cu. TEMPLE DURO</v>
      </c>
      <c r="I363" t="str">
        <v xml:space="preserve">ML   </v>
      </c>
      <c r="J363">
        <v>0</v>
      </c>
      <c r="K363">
        <v>24409</v>
      </c>
      <c r="L363" s="115">
        <f t="shared" si="16"/>
        <v>24409</v>
      </c>
      <c r="M363" s="146">
        <f t="shared" si="17"/>
        <v>195272</v>
      </c>
      <c r="N363" s="119"/>
    </row>
    <row r="364" spans="2:14" ht="68.25" customHeight="1" x14ac:dyDescent="0.25">
      <c r="B364" s="86" t="s">
        <v>688</v>
      </c>
      <c r="C364" s="87" t="s">
        <v>689</v>
      </c>
      <c r="D364" s="82" t="s">
        <v>374</v>
      </c>
      <c r="E364" s="83">
        <v>1</v>
      </c>
      <c r="F364" s="88">
        <v>655073</v>
      </c>
      <c r="G364" s="89">
        <f t="shared" si="15"/>
        <v>655073</v>
      </c>
      <c r="H364" s="118" t="str">
        <f t="array" ref="H364">_xlfn.XLOOKUP(C364,'ESAP NEIVA FASE II UNIFICADO'!$C$6:$C$720,'ESAP NEIVA FASE II UNIFICADO'!$C$6:$F$720,"NO ESTA")</f>
        <v>NO ESTA</v>
      </c>
      <c r="L364" s="115">
        <f t="shared" si="16"/>
        <v>655073</v>
      </c>
      <c r="M364" s="146">
        <f t="shared" si="17"/>
        <v>655073</v>
      </c>
      <c r="N364" s="119"/>
    </row>
    <row r="365" spans="2:14" ht="34.5" customHeight="1" x14ac:dyDescent="0.25">
      <c r="B365" s="80" t="s">
        <v>690</v>
      </c>
      <c r="C365" s="81" t="s">
        <v>691</v>
      </c>
      <c r="D365" s="82"/>
      <c r="E365" s="83"/>
      <c r="F365" s="104"/>
      <c r="G365" s="89">
        <f t="shared" si="15"/>
        <v>0</v>
      </c>
      <c r="H365" s="118" t="str">
        <f t="array" ref="H365:K365">_xlfn.XLOOKUP(C365,'ESAP NEIVA FASE II UNIFICADO'!$C$6:$C$720,'ESAP NEIVA FASE II UNIFICADO'!$C$6:$F$720,"NO ESTA")</f>
        <v>SISTEMA DE PROTECCIÓN EXTERNA CONTRA DESCARGAS ATMOSFÉRICAS BAJANTES DE PARARRAYOS DESDE CUBIERTA A TERRENO</v>
      </c>
      <c r="I365">
        <v>0</v>
      </c>
      <c r="J365">
        <v>0</v>
      </c>
      <c r="K365">
        <v>0</v>
      </c>
      <c r="L365" s="115">
        <f t="shared" si="16"/>
        <v>0</v>
      </c>
      <c r="M365" s="146">
        <f t="shared" si="17"/>
        <v>0</v>
      </c>
      <c r="N365" s="119"/>
    </row>
    <row r="366" spans="2:14" ht="30" customHeight="1" x14ac:dyDescent="0.25">
      <c r="B366" s="86" t="s">
        <v>692</v>
      </c>
      <c r="C366" s="87" t="s">
        <v>693</v>
      </c>
      <c r="D366" s="82" t="s">
        <v>269</v>
      </c>
      <c r="E366" s="83">
        <v>65</v>
      </c>
      <c r="F366" s="88">
        <v>4400</v>
      </c>
      <c r="G366" s="89">
        <f t="shared" si="15"/>
        <v>286000</v>
      </c>
      <c r="H366" s="118" t="str">
        <f t="array" ref="H366:K366">_xlfn.XLOOKUP(C366,'ESAP NEIVA FASE II UNIFICADO'!$C$6:$C$720,'ESAP NEIVA FASE II UNIFICADO'!$C$6:$F$720,"NO ESTA")</f>
        <v>SUMINISTRO E INSTALACIÓN TENDIDO DE TUBERÍA Ø 3/4” PVC EMBEBIDO EN LAS COLUMNAS DE CONCRETO, DESDE LA CUBIERTA HASTA EL TERRENO.</v>
      </c>
      <c r="I366" t="str">
        <v xml:space="preserve">ML   </v>
      </c>
      <c r="J366">
        <v>0</v>
      </c>
      <c r="K366">
        <v>4755</v>
      </c>
      <c r="L366" s="115">
        <f t="shared" si="16"/>
        <v>4755</v>
      </c>
      <c r="M366" s="146">
        <f t="shared" si="17"/>
        <v>309075</v>
      </c>
      <c r="N366" s="119"/>
    </row>
    <row r="367" spans="2:14" ht="30" customHeight="1" x14ac:dyDescent="0.25">
      <c r="B367" s="86" t="s">
        <v>694</v>
      </c>
      <c r="C367" s="87" t="s">
        <v>695</v>
      </c>
      <c r="D367" s="82" t="s">
        <v>269</v>
      </c>
      <c r="E367" s="83">
        <v>69</v>
      </c>
      <c r="F367" s="88">
        <v>13673</v>
      </c>
      <c r="G367" s="89">
        <f t="shared" si="15"/>
        <v>943437</v>
      </c>
      <c r="H367" s="118" t="str">
        <f t="array" ref="H367:K367">_xlfn.XLOOKUP(C367,'ESAP NEIVA FASE II UNIFICADO'!$C$6:$C$720,'ESAP NEIVA FASE II UNIFICADO'!$C$6:$F$720,"NO ESTA")</f>
        <v>SUMINISTRO E INSTALACIÓN TENDIDO DE CONDUCTOR DE COBRE DESNUDO # 2 AWG, DESDE LA CUBIERTA HASTA EL TERRENO POR LAS BAJANTES.</v>
      </c>
      <c r="I367" t="str">
        <v xml:space="preserve">ML   </v>
      </c>
      <c r="J367">
        <v>0</v>
      </c>
      <c r="K367">
        <v>14774</v>
      </c>
      <c r="L367" s="115">
        <f t="shared" si="16"/>
        <v>14774</v>
      </c>
      <c r="M367" s="146">
        <f t="shared" si="17"/>
        <v>1019406</v>
      </c>
      <c r="N367" s="119"/>
    </row>
    <row r="368" spans="2:14" ht="45" customHeight="1" x14ac:dyDescent="0.25">
      <c r="B368" s="86" t="s">
        <v>696</v>
      </c>
      <c r="C368" s="87" t="s">
        <v>697</v>
      </c>
      <c r="D368" s="82" t="s">
        <v>269</v>
      </c>
      <c r="E368" s="83">
        <v>244</v>
      </c>
      <c r="F368" s="88">
        <v>4994</v>
      </c>
      <c r="G368" s="89">
        <f t="shared" si="15"/>
        <v>1218536</v>
      </c>
      <c r="H368" s="118" t="str">
        <f t="array" ref="H368:K368">_xlfn.XLOOKUP(C368,'ESAP NEIVA FASE II UNIFICADO'!$C$6:$C$720,'ESAP NEIVA FASE II UNIFICADO'!$C$6:$F$720,"NO ESTA")</f>
        <v>SUMINISTRO E INSTALACIÓN TENDIDO DE ALAMBRON 8MM SOBREPUESTO EN LOS BORDES DE LA CUBIERTA PARA INTERCONEXIÓN DE PUNTAS CAPTADORAS Y BAJANTES A MALLA A TIERRA.</v>
      </c>
      <c r="I368" t="str">
        <v xml:space="preserve">ML   </v>
      </c>
      <c r="J368">
        <v>0</v>
      </c>
      <c r="K368">
        <v>5396</v>
      </c>
      <c r="L368" s="115">
        <f t="shared" si="16"/>
        <v>5396</v>
      </c>
      <c r="M368" s="146">
        <f t="shared" si="17"/>
        <v>1316624</v>
      </c>
      <c r="N368" s="119"/>
    </row>
    <row r="369" spans="2:14" ht="45" customHeight="1" x14ac:dyDescent="0.25">
      <c r="B369" s="86" t="s">
        <v>698</v>
      </c>
      <c r="C369" s="87" t="s">
        <v>699</v>
      </c>
      <c r="D369" s="82" t="s">
        <v>269</v>
      </c>
      <c r="E369" s="83">
        <v>190</v>
      </c>
      <c r="F369" s="88">
        <v>13673</v>
      </c>
      <c r="G369" s="89">
        <f t="shared" si="15"/>
        <v>2597870</v>
      </c>
      <c r="H369" s="118" t="str">
        <f t="array" ref="H369">_xlfn.XLOOKUP(C369,'ESAP NEIVA FASE II UNIFICADO'!$C$6:$C$720,'ESAP NEIVA FASE II UNIFICADO'!$C$6:$F$720,"NO ESTA")</f>
        <v>NO ESTA</v>
      </c>
      <c r="L369" s="115">
        <f t="shared" si="16"/>
        <v>13673</v>
      </c>
      <c r="M369" s="146">
        <f t="shared" si="17"/>
        <v>2597870</v>
      </c>
      <c r="N369" s="119"/>
    </row>
    <row r="370" spans="2:14" ht="68.25" customHeight="1" x14ac:dyDescent="0.25">
      <c r="B370" s="86" t="s">
        <v>700</v>
      </c>
      <c r="C370" s="87" t="s">
        <v>701</v>
      </c>
      <c r="D370" s="82" t="s">
        <v>374</v>
      </c>
      <c r="E370" s="83">
        <v>14</v>
      </c>
      <c r="F370" s="88">
        <v>197963</v>
      </c>
      <c r="G370" s="89">
        <f t="shared" si="15"/>
        <v>2771482</v>
      </c>
      <c r="H370" s="118" t="str">
        <f t="array" ref="H370">_xlfn.XLOOKUP(C370,'ESAP NEIVA FASE II UNIFICADO'!$C$6:$C$720,'ESAP NEIVA FASE II UNIFICADO'!$C$6:$F$720,"NO ESTA")</f>
        <v>NO ESTA</v>
      </c>
      <c r="L370" s="115">
        <f t="shared" si="16"/>
        <v>197963</v>
      </c>
      <c r="M370" s="146">
        <f t="shared" si="17"/>
        <v>2771482</v>
      </c>
      <c r="N370" s="119"/>
    </row>
    <row r="371" spans="2:14" ht="35.25" customHeight="1" x14ac:dyDescent="0.25">
      <c r="B371" s="86" t="s">
        <v>702</v>
      </c>
      <c r="C371" s="87" t="s">
        <v>703</v>
      </c>
      <c r="D371" s="82" t="s">
        <v>374</v>
      </c>
      <c r="E371" s="83">
        <v>86</v>
      </c>
      <c r="F371" s="88">
        <v>19538</v>
      </c>
      <c r="G371" s="89">
        <f t="shared" si="15"/>
        <v>1680268</v>
      </c>
      <c r="H371" s="118" t="str">
        <f t="array" ref="H371:K371">_xlfn.XLOOKUP(C371,'ESAP NEIVA FASE II UNIFICADO'!$C$6:$C$720,'ESAP NEIVA FASE II UNIFICADO'!$C$6:$F$720,"NO ESTA")</f>
        <v>SUMINISTRO E INSTALACIÓN ABRAZADERAS DE BRONCE PARA SOPORTAR EL CABLE AL MURO DE CONCRETO APROBADAS PARA INTEMPERIE.</v>
      </c>
      <c r="I371" t="str">
        <v>UN</v>
      </c>
      <c r="J371">
        <v>0</v>
      </c>
      <c r="K371">
        <v>21111</v>
      </c>
      <c r="L371" s="115">
        <f t="shared" si="16"/>
        <v>21111</v>
      </c>
      <c r="M371" s="146">
        <f t="shared" si="17"/>
        <v>1815546</v>
      </c>
      <c r="N371" s="119"/>
    </row>
    <row r="372" spans="2:14" ht="35.25" customHeight="1" x14ac:dyDescent="0.25">
      <c r="B372" s="86" t="s">
        <v>704</v>
      </c>
      <c r="C372" s="87" t="s">
        <v>705</v>
      </c>
      <c r="D372" s="82" t="s">
        <v>374</v>
      </c>
      <c r="E372" s="83">
        <v>4</v>
      </c>
      <c r="F372" s="88">
        <v>24245</v>
      </c>
      <c r="G372" s="89">
        <f t="shared" si="15"/>
        <v>96980</v>
      </c>
      <c r="H372" s="118" t="str">
        <f t="array" ref="H372:K372">_xlfn.XLOOKUP(C372,'ESAP NEIVA FASE II UNIFICADO'!$C$6:$C$720,'ESAP NEIVA FASE II UNIFICADO'!$C$6:$F$720,"NO ESTA")</f>
        <v>SUMINISTRO E INSTALACIÓN GRAPA DERIVACIÓN EN T DE BRONCE PARA SOPORTAR EL CABLE AL MURO DE CONCRETO APROBADAS PARA INTEMPERIE.</v>
      </c>
      <c r="I372" t="str">
        <v>UN</v>
      </c>
      <c r="J372">
        <v>0</v>
      </c>
      <c r="K372">
        <v>26196</v>
      </c>
      <c r="L372" s="115">
        <f t="shared" si="16"/>
        <v>26196</v>
      </c>
      <c r="M372" s="146">
        <f t="shared" si="17"/>
        <v>104784</v>
      </c>
      <c r="N372" s="119"/>
    </row>
    <row r="373" spans="2:14" ht="35.25" customHeight="1" x14ac:dyDescent="0.25">
      <c r="B373" s="86" t="s">
        <v>706</v>
      </c>
      <c r="C373" s="87" t="s">
        <v>707</v>
      </c>
      <c r="D373" s="82" t="s">
        <v>374</v>
      </c>
      <c r="E373" s="83">
        <v>4</v>
      </c>
      <c r="F373" s="88">
        <v>198960</v>
      </c>
      <c r="G373" s="89">
        <f t="shared" si="15"/>
        <v>795840</v>
      </c>
      <c r="H373" s="118" t="str">
        <f t="array" ref="H373:K373">_xlfn.XLOOKUP(C373,'ESAP NEIVA FASE II UNIFICADO'!$C$6:$C$720,'ESAP NEIVA FASE II UNIFICADO'!$C$6:$F$720,"NO ESTA")</f>
        <v>SUMINISTRO E INSTALACIÓN ELECTRODO DE PUESTA A TIERRA EN CU DE 5/8"X 8' + CONECTOR</v>
      </c>
      <c r="I373" t="str">
        <v>UN</v>
      </c>
      <c r="J373">
        <v>0</v>
      </c>
      <c r="K373">
        <v>214977</v>
      </c>
      <c r="L373" s="115">
        <f t="shared" si="16"/>
        <v>214977</v>
      </c>
      <c r="M373" s="146">
        <f t="shared" si="17"/>
        <v>859908</v>
      </c>
      <c r="N373" s="119"/>
    </row>
    <row r="374" spans="2:14" ht="35.25" customHeight="1" x14ac:dyDescent="0.25">
      <c r="B374" s="86" t="s">
        <v>708</v>
      </c>
      <c r="C374" s="87" t="s">
        <v>709</v>
      </c>
      <c r="D374" s="82" t="s">
        <v>374</v>
      </c>
      <c r="E374" s="83">
        <v>4</v>
      </c>
      <c r="F374" s="88">
        <v>122282</v>
      </c>
      <c r="G374" s="89">
        <f t="shared" si="15"/>
        <v>489128</v>
      </c>
      <c r="H374" s="118" t="str">
        <f t="array" ref="H374:K374">_xlfn.XLOOKUP(C374,'ESAP NEIVA FASE II UNIFICADO'!$C$6:$C$720,'ESAP NEIVA FASE II UNIFICADO'!$C$6:$F$720,"NO ESTA")</f>
        <v>SUMINISTRO E INSTALACIÓN CONEXIÓN EXOTÉRMICA VARILLA-CABLE CALIBRE #2 AWG. INCLUYE SUMINISTRO DE MOLDE FÚNDENTE Y DEMÁS ACCESORIOS.</v>
      </c>
      <c r="I374" t="str">
        <v>UN</v>
      </c>
      <c r="J374">
        <v>0</v>
      </c>
      <c r="K374">
        <v>132126</v>
      </c>
      <c r="L374" s="115">
        <f t="shared" si="16"/>
        <v>132126</v>
      </c>
      <c r="M374" s="146">
        <f t="shared" si="17"/>
        <v>528504</v>
      </c>
      <c r="N374" s="119"/>
    </row>
    <row r="375" spans="2:14" ht="44.25" customHeight="1" x14ac:dyDescent="0.25">
      <c r="B375" s="86" t="s">
        <v>710</v>
      </c>
      <c r="C375" s="87" t="s">
        <v>711</v>
      </c>
      <c r="D375" s="82" t="s">
        <v>374</v>
      </c>
      <c r="E375" s="83">
        <v>4</v>
      </c>
      <c r="F375" s="88">
        <v>243160</v>
      </c>
      <c r="G375" s="89">
        <f t="shared" si="15"/>
        <v>972640</v>
      </c>
      <c r="H375" s="118" t="str">
        <f t="array" ref="H375">_xlfn.XLOOKUP(C375,'ESAP NEIVA FASE II UNIFICADO'!$C$6:$C$720,'ESAP NEIVA FASE II UNIFICADO'!$C$6:$F$720,"NO ESTA")</f>
        <v>NO ESTA</v>
      </c>
      <c r="L375" s="115">
        <f t="shared" si="16"/>
        <v>243160</v>
      </c>
      <c r="M375" s="146">
        <f t="shared" si="17"/>
        <v>972640</v>
      </c>
      <c r="N375" s="119"/>
    </row>
    <row r="376" spans="2:14" ht="15" customHeight="1" x14ac:dyDescent="0.25">
      <c r="B376" s="74">
        <v>16</v>
      </c>
      <c r="C376" s="75" t="s">
        <v>712</v>
      </c>
      <c r="D376" s="76"/>
      <c r="E376" s="77"/>
      <c r="F376" s="78"/>
      <c r="G376" s="89">
        <f t="shared" si="15"/>
        <v>0</v>
      </c>
      <c r="H376" s="118" t="str">
        <f t="array" ref="H376:K376">_xlfn.XLOOKUP(C376,'ESAP NEIVA FASE II UNIFICADO'!$C$6:$C$720,'ESAP NEIVA FASE II UNIFICADO'!$C$6:$F$720,"NO ESTA")</f>
        <v>LUMINARIAS Y LAMPARAS</v>
      </c>
      <c r="I376">
        <v>0</v>
      </c>
      <c r="J376">
        <v>0</v>
      </c>
      <c r="K376">
        <v>0</v>
      </c>
      <c r="L376" s="115">
        <f t="shared" si="16"/>
        <v>0</v>
      </c>
      <c r="M376" s="146">
        <f t="shared" si="17"/>
        <v>0</v>
      </c>
      <c r="N376" s="119"/>
    </row>
    <row r="377" spans="2:14" ht="15" customHeight="1" x14ac:dyDescent="0.25">
      <c r="B377" s="80" t="s">
        <v>713</v>
      </c>
      <c r="C377" s="81" t="s">
        <v>714</v>
      </c>
      <c r="D377" s="82"/>
      <c r="E377" s="83"/>
      <c r="F377" s="90"/>
      <c r="G377" s="89">
        <f t="shared" si="15"/>
        <v>0</v>
      </c>
      <c r="H377" s="118" t="str">
        <f t="array" ref="H377:K377">_xlfn.XLOOKUP(C377,'ESAP NEIVA FASE II UNIFICADO'!$C$6:$C$720,'ESAP NEIVA FASE II UNIFICADO'!$C$6:$F$720,"NO ESTA")</f>
        <v xml:space="preserve">SUMINISTRO E INSTALACIÓN DE LÁMPARAS FLUORESCENTES </v>
      </c>
      <c r="I377">
        <v>0</v>
      </c>
      <c r="J377">
        <v>0</v>
      </c>
      <c r="K377">
        <v>0</v>
      </c>
      <c r="L377" s="115">
        <f t="shared" si="16"/>
        <v>0</v>
      </c>
      <c r="M377" s="146">
        <f t="shared" si="17"/>
        <v>0</v>
      </c>
      <c r="N377" s="119"/>
    </row>
    <row r="378" spans="2:14" ht="15" customHeight="1" x14ac:dyDescent="0.25">
      <c r="B378" s="86" t="s">
        <v>715</v>
      </c>
      <c r="C378" s="87" t="s">
        <v>716</v>
      </c>
      <c r="D378" s="82" t="s">
        <v>374</v>
      </c>
      <c r="E378" s="83">
        <v>57</v>
      </c>
      <c r="F378" s="88">
        <v>125754</v>
      </c>
      <c r="G378" s="89">
        <f t="shared" si="15"/>
        <v>7167978</v>
      </c>
      <c r="H378" s="118" t="str">
        <f t="array" ref="H378:K378">_xlfn.XLOOKUP(C378,'ESAP NEIVA FASE II UNIFICADO'!$C$6:$C$720,'ESAP NEIVA FASE II UNIFICADO'!$C$6:$F$720,"NO ESTA")</f>
        <v>SUMINISTRO E INSTALACIÓN LÁMPARA LED 1x28 W</v>
      </c>
      <c r="I378" t="str">
        <v>UN</v>
      </c>
      <c r="J378">
        <v>153</v>
      </c>
      <c r="K378">
        <v>97894</v>
      </c>
      <c r="L378" s="115">
        <f t="shared" si="16"/>
        <v>125754</v>
      </c>
      <c r="M378" s="146">
        <f t="shared" si="17"/>
        <v>7167978</v>
      </c>
      <c r="N378" s="119"/>
    </row>
    <row r="379" spans="2:14" ht="15" customHeight="1" x14ac:dyDescent="0.25">
      <c r="B379" s="86" t="s">
        <v>717</v>
      </c>
      <c r="C379" s="87" t="s">
        <v>718</v>
      </c>
      <c r="D379" s="82" t="s">
        <v>374</v>
      </c>
      <c r="E379" s="83">
        <v>30</v>
      </c>
      <c r="F379" s="88">
        <v>203359</v>
      </c>
      <c r="G379" s="89">
        <f t="shared" si="15"/>
        <v>6100770</v>
      </c>
      <c r="H379" s="118" t="str">
        <f t="array" ref="H379:K379">_xlfn.XLOOKUP(C379,'ESAP NEIVA FASE II UNIFICADO'!$C$6:$C$720,'ESAP NEIVA FASE II UNIFICADO'!$C$6:$F$720,"NO ESTA")</f>
        <v>SUMINISTRO E INSTALACIÓN LÁMPARA LED 2x54 W</v>
      </c>
      <c r="I379" t="str">
        <v>UN</v>
      </c>
      <c r="J379">
        <v>82</v>
      </c>
      <c r="K379">
        <v>178068</v>
      </c>
      <c r="L379" s="115">
        <f t="shared" si="16"/>
        <v>203359</v>
      </c>
      <c r="M379" s="146">
        <f t="shared" si="17"/>
        <v>6100770</v>
      </c>
      <c r="N379" s="119"/>
    </row>
    <row r="380" spans="2:14" ht="15" customHeight="1" x14ac:dyDescent="0.25">
      <c r="B380" s="86" t="s">
        <v>719</v>
      </c>
      <c r="C380" s="87" t="s">
        <v>720</v>
      </c>
      <c r="D380" s="82" t="s">
        <v>374</v>
      </c>
      <c r="E380" s="83">
        <v>45</v>
      </c>
      <c r="F380" s="88">
        <v>176718</v>
      </c>
      <c r="G380" s="89">
        <f t="shared" si="15"/>
        <v>7952310</v>
      </c>
      <c r="H380" s="118" t="str">
        <f t="array" ref="H380:K380">_xlfn.XLOOKUP(C380,'ESAP NEIVA FASE II UNIFICADO'!$C$6:$C$720,'ESAP NEIVA FASE II UNIFICADO'!$C$6:$F$720,"NO ESTA")</f>
        <v>SUMINISTRO E INSTALACIÓN BALA LED 35W 120 V</v>
      </c>
      <c r="I380" t="str">
        <v>UN</v>
      </c>
      <c r="J380">
        <v>121</v>
      </c>
      <c r="K380">
        <v>190945</v>
      </c>
      <c r="L380" s="115">
        <f t="shared" si="16"/>
        <v>190945</v>
      </c>
      <c r="M380" s="146">
        <f t="shared" si="17"/>
        <v>8592525</v>
      </c>
      <c r="N380" s="119"/>
    </row>
    <row r="381" spans="2:14" ht="15" customHeight="1" x14ac:dyDescent="0.25">
      <c r="B381" s="86" t="s">
        <v>721</v>
      </c>
      <c r="C381" s="87" t="s">
        <v>722</v>
      </c>
      <c r="D381" s="82" t="s">
        <v>374</v>
      </c>
      <c r="E381" s="83">
        <v>19</v>
      </c>
      <c r="F381" s="88">
        <v>130349</v>
      </c>
      <c r="G381" s="89">
        <f t="shared" si="15"/>
        <v>2476631</v>
      </c>
      <c r="H381" s="118" t="str">
        <f t="array" ref="H381:K381">_xlfn.XLOOKUP(C381,'ESAP NEIVA FASE II UNIFICADO'!$C$6:$C$720,'ESAP NEIVA FASE II UNIFICADO'!$C$6:$F$720,"NO ESTA")</f>
        <v>SUMINISTRO E INSTALACIÓN BALA RECESADA LED 10W 120 V</v>
      </c>
      <c r="I381" t="str">
        <v>UN</v>
      </c>
      <c r="J381">
        <v>50</v>
      </c>
      <c r="K381">
        <v>140842</v>
      </c>
      <c r="L381" s="115">
        <f t="shared" si="16"/>
        <v>140842</v>
      </c>
      <c r="M381" s="146">
        <f t="shared" si="17"/>
        <v>2675998</v>
      </c>
      <c r="N381" s="119"/>
    </row>
    <row r="382" spans="2:14" ht="15" customHeight="1" x14ac:dyDescent="0.25">
      <c r="B382" s="86" t="s">
        <v>723</v>
      </c>
      <c r="C382" s="87" t="s">
        <v>724</v>
      </c>
      <c r="D382" s="82" t="s">
        <v>374</v>
      </c>
      <c r="E382" s="83">
        <v>68</v>
      </c>
      <c r="F382" s="88">
        <v>210010</v>
      </c>
      <c r="G382" s="89">
        <f t="shared" si="15"/>
        <v>14280680</v>
      </c>
      <c r="H382" s="118" t="str">
        <f t="array" ref="H382:K382">_xlfn.XLOOKUP(C382,'ESAP NEIVA FASE II UNIFICADO'!$C$6:$C$720,'ESAP NEIVA FASE II UNIFICADO'!$C$6:$F$720,"NO ESTA")</f>
        <v>SUMINISTRO E INSTALACIÓN LUMINARIA LED 2x26W 120V</v>
      </c>
      <c r="I382" t="str">
        <v>UN</v>
      </c>
      <c r="J382">
        <v>184</v>
      </c>
      <c r="K382">
        <v>226917</v>
      </c>
      <c r="L382" s="115">
        <f t="shared" si="16"/>
        <v>226917</v>
      </c>
      <c r="M382" s="146">
        <f t="shared" si="17"/>
        <v>15430356</v>
      </c>
      <c r="N382" s="119"/>
    </row>
    <row r="383" spans="2:14" ht="15" customHeight="1" x14ac:dyDescent="0.25">
      <c r="B383" s="86" t="s">
        <v>725</v>
      </c>
      <c r="C383" s="87" t="s">
        <v>726</v>
      </c>
      <c r="D383" s="82" t="s">
        <v>374</v>
      </c>
      <c r="E383" s="83">
        <v>2</v>
      </c>
      <c r="F383" s="88">
        <v>250408</v>
      </c>
      <c r="G383" s="89">
        <f t="shared" si="15"/>
        <v>500816</v>
      </c>
      <c r="H383" s="118" t="str">
        <f t="array" ref="H383:K383">_xlfn.XLOOKUP(C383,'ESAP NEIVA FASE II UNIFICADO'!$C$6:$C$720,'ESAP NEIVA FASE II UNIFICADO'!$C$6:$F$720,"NO ESTA")</f>
        <v>SUMINISTRO E INSTALACIÓN REFLECTOR DE LUZ INDIRECTA</v>
      </c>
      <c r="I383" t="str">
        <v>UN</v>
      </c>
      <c r="J383">
        <v>6</v>
      </c>
      <c r="K383">
        <v>270567</v>
      </c>
      <c r="L383" s="115">
        <f t="shared" si="16"/>
        <v>270567</v>
      </c>
      <c r="M383" s="146">
        <f t="shared" si="17"/>
        <v>541134</v>
      </c>
      <c r="N383" s="119"/>
    </row>
    <row r="384" spans="2:14" ht="15" customHeight="1" x14ac:dyDescent="0.25">
      <c r="B384" s="86" t="s">
        <v>727</v>
      </c>
      <c r="C384" s="87" t="s">
        <v>728</v>
      </c>
      <c r="D384" s="82" t="s">
        <v>374</v>
      </c>
      <c r="E384" s="83">
        <v>2</v>
      </c>
      <c r="F384" s="88">
        <v>185014</v>
      </c>
      <c r="G384" s="89">
        <f t="shared" si="15"/>
        <v>370028</v>
      </c>
      <c r="H384" s="118" t="str">
        <f t="array" ref="H384:K384">_xlfn.XLOOKUP(C384,'ESAP NEIVA FASE II UNIFICADO'!$C$6:$C$720,'ESAP NEIVA FASE II UNIFICADO'!$C$6:$F$720,"NO ESTA")</f>
        <v>SUMINISTRO E INSTALACIÓN APLIQUE DE ESCALERA 1000W 120V</v>
      </c>
      <c r="I384" t="str">
        <v>UN</v>
      </c>
      <c r="J384">
        <v>6</v>
      </c>
      <c r="K384">
        <v>199908</v>
      </c>
      <c r="L384" s="115">
        <f t="shared" si="16"/>
        <v>199908</v>
      </c>
      <c r="M384" s="146">
        <f t="shared" si="17"/>
        <v>399816</v>
      </c>
      <c r="N384" s="119"/>
    </row>
    <row r="385" spans="2:14" ht="15" customHeight="1" x14ac:dyDescent="0.25">
      <c r="B385" s="86" t="s">
        <v>729</v>
      </c>
      <c r="C385" s="87" t="s">
        <v>730</v>
      </c>
      <c r="D385" s="82" t="s">
        <v>374</v>
      </c>
      <c r="E385" s="83">
        <v>25</v>
      </c>
      <c r="F385" s="88">
        <v>89895</v>
      </c>
      <c r="G385" s="89">
        <f t="shared" si="15"/>
        <v>2247375</v>
      </c>
      <c r="H385" s="118" t="str">
        <f t="array" ref="H385:K385">_xlfn.XLOOKUP(C385,'ESAP NEIVA FASE II UNIFICADO'!$C$6:$C$720,'ESAP NEIVA FASE II UNIFICADO'!$C$6:$F$720,"NO ESTA")</f>
        <v>SUMINISTRO E INSTALACIÓN BALAS LED DE PISO 3W 120V</v>
      </c>
      <c r="I385" t="str">
        <v>UN</v>
      </c>
      <c r="J385">
        <v>67</v>
      </c>
      <c r="K385">
        <v>97132</v>
      </c>
      <c r="L385" s="115">
        <f t="shared" si="16"/>
        <v>97132</v>
      </c>
      <c r="M385" s="146">
        <f t="shared" si="17"/>
        <v>2428300</v>
      </c>
      <c r="N385" s="119"/>
    </row>
    <row r="386" spans="2:14" ht="15" customHeight="1" x14ac:dyDescent="0.25">
      <c r="B386" s="86" t="s">
        <v>731</v>
      </c>
      <c r="C386" s="87" t="s">
        <v>732</v>
      </c>
      <c r="D386" s="82" t="s">
        <v>374</v>
      </c>
      <c r="E386" s="83">
        <v>4</v>
      </c>
      <c r="F386" s="88">
        <v>72061</v>
      </c>
      <c r="G386" s="89">
        <f t="shared" si="15"/>
        <v>288244</v>
      </c>
      <c r="H386" s="118" t="str">
        <f t="array" ref="H386:K386">_xlfn.XLOOKUP(C386,'ESAP NEIVA FASE II UNIFICADO'!$C$6:$C$720,'ESAP NEIVA FASE II UNIFICADO'!$C$6:$F$720,"NO ESTA")</f>
        <v>SUMINISTRO E INSTALACIÓN BALAS DE PISO 50W 120 V</v>
      </c>
      <c r="I386" t="str">
        <v>UN</v>
      </c>
      <c r="J386">
        <v>10</v>
      </c>
      <c r="K386">
        <v>77862</v>
      </c>
      <c r="L386" s="115">
        <f t="shared" si="16"/>
        <v>77862</v>
      </c>
      <c r="M386" s="146">
        <f t="shared" si="17"/>
        <v>311448</v>
      </c>
      <c r="N386" s="119"/>
    </row>
    <row r="387" spans="2:14" ht="15" customHeight="1" x14ac:dyDescent="0.25">
      <c r="B387" s="74">
        <v>17</v>
      </c>
      <c r="C387" s="75" t="s">
        <v>733</v>
      </c>
      <c r="D387" s="76"/>
      <c r="E387" s="77"/>
      <c r="F387" s="78"/>
      <c r="G387" s="89">
        <f t="shared" si="15"/>
        <v>0</v>
      </c>
      <c r="H387" s="118" t="str">
        <f t="array" ref="H387:K387">_xlfn.XLOOKUP(C387,'ESAP NEIVA FASE II UNIFICADO'!$C$6:$C$720,'ESAP NEIVA FASE II UNIFICADO'!$C$6:$F$720,"NO ESTA")</f>
        <v>AIRE ACONDICIONADO</v>
      </c>
      <c r="I387">
        <v>0</v>
      </c>
      <c r="J387">
        <v>0</v>
      </c>
      <c r="K387">
        <v>0</v>
      </c>
      <c r="L387" s="115">
        <f t="shared" si="16"/>
        <v>0</v>
      </c>
      <c r="M387" s="146">
        <f t="shared" si="17"/>
        <v>0</v>
      </c>
      <c r="N387" s="119"/>
    </row>
    <row r="388" spans="2:14" ht="15" customHeight="1" x14ac:dyDescent="0.25">
      <c r="B388" s="80" t="s">
        <v>734</v>
      </c>
      <c r="C388" s="81" t="s">
        <v>735</v>
      </c>
      <c r="D388" s="82"/>
      <c r="E388" s="83"/>
      <c r="F388" s="90"/>
      <c r="G388" s="89">
        <f t="shared" si="15"/>
        <v>0</v>
      </c>
      <c r="H388" s="118" t="str">
        <f t="array" ref="H388:K388">_xlfn.XLOOKUP(C388,'ESAP NEIVA FASE II UNIFICADO'!$C$6:$C$720,'ESAP NEIVA FASE II UNIFICADO'!$C$6:$F$720,"NO ESTA")</f>
        <v>SUMINISTRO E INSTALACION DE TUBERIA AGUA FRIA PVC</v>
      </c>
      <c r="I388">
        <v>0</v>
      </c>
      <c r="J388">
        <v>0</v>
      </c>
      <c r="K388">
        <v>0</v>
      </c>
      <c r="L388" s="115">
        <f t="shared" si="16"/>
        <v>0</v>
      </c>
      <c r="M388" s="146">
        <f t="shared" si="17"/>
        <v>0</v>
      </c>
      <c r="N388" s="119"/>
    </row>
    <row r="389" spans="2:14" ht="15" customHeight="1" x14ac:dyDescent="0.25">
      <c r="B389" s="86" t="s">
        <v>736</v>
      </c>
      <c r="C389" s="87" t="s">
        <v>737</v>
      </c>
      <c r="D389" s="82" t="s">
        <v>94</v>
      </c>
      <c r="E389" s="83">
        <v>17</v>
      </c>
      <c r="F389" s="88">
        <v>66339</v>
      </c>
      <c r="G389" s="89">
        <f t="shared" si="15"/>
        <v>1127763</v>
      </c>
      <c r="H389" s="118" t="str">
        <f t="array" ref="H389:K389">_xlfn.XLOOKUP(C389,'ESAP NEIVA FASE II UNIFICADO'!$C$6:$C$720,'ESAP NEIVA FASE II UNIFICADO'!$C$6:$F$720,"NO ESTA")</f>
        <v>SUMINISTRO E INSTALACION TUBERIA Y ACCESORIOS RDE 21 Ø DIAMETRO  4"</v>
      </c>
      <c r="I389" t="str">
        <v>ML</v>
      </c>
      <c r="J389">
        <v>45</v>
      </c>
      <c r="K389">
        <v>71680</v>
      </c>
      <c r="L389" s="115">
        <f t="shared" si="16"/>
        <v>71680</v>
      </c>
      <c r="M389" s="146">
        <f t="shared" si="17"/>
        <v>1218560</v>
      </c>
      <c r="N389" s="119"/>
    </row>
    <row r="390" spans="2:14" ht="15" customHeight="1" x14ac:dyDescent="0.25">
      <c r="B390" s="86" t="s">
        <v>738</v>
      </c>
      <c r="C390" s="87" t="s">
        <v>739</v>
      </c>
      <c r="D390" s="82" t="s">
        <v>94</v>
      </c>
      <c r="E390" s="83">
        <v>9</v>
      </c>
      <c r="F390" s="88">
        <v>43135</v>
      </c>
      <c r="G390" s="89">
        <f t="shared" ref="G390:G453" si="18">ROUND(+F390*E390,2)</f>
        <v>388215</v>
      </c>
      <c r="H390" s="118" t="str">
        <f t="array" ref="H390:K390">_xlfn.XLOOKUP(C390,'ESAP NEIVA FASE II UNIFICADO'!$C$6:$C$720,'ESAP NEIVA FASE II UNIFICADO'!$C$6:$F$720,"NO ESTA")</f>
        <v>SUMINISTRO E INSTALACION TUBERIA Y ACCESORIOS RDE 21 Ø DIAMETRO  3"</v>
      </c>
      <c r="I390" t="str">
        <v>ML</v>
      </c>
      <c r="J390">
        <v>24</v>
      </c>
      <c r="K390">
        <v>46609</v>
      </c>
      <c r="L390" s="115">
        <f t="shared" ref="L390:L453" si="19">MAX(K390,F390)</f>
        <v>46609</v>
      </c>
      <c r="M390" s="146">
        <f t="shared" ref="M390:M453" si="20">L390*E390</f>
        <v>419481</v>
      </c>
      <c r="N390" s="119"/>
    </row>
    <row r="391" spans="2:14" ht="15" customHeight="1" x14ac:dyDescent="0.25">
      <c r="B391" s="86" t="s">
        <v>740</v>
      </c>
      <c r="C391" s="87" t="s">
        <v>741</v>
      </c>
      <c r="D391" s="82" t="s">
        <v>94</v>
      </c>
      <c r="E391" s="83">
        <v>24</v>
      </c>
      <c r="F391" s="88">
        <v>32147</v>
      </c>
      <c r="G391" s="89">
        <f t="shared" si="18"/>
        <v>771528</v>
      </c>
      <c r="H391" s="118" t="str">
        <f t="array" ref="H391:K391">_xlfn.XLOOKUP(C391,'ESAP NEIVA FASE II UNIFICADO'!$C$6:$C$720,'ESAP NEIVA FASE II UNIFICADO'!$C$6:$F$720,"NO ESTA")</f>
        <v>SUMINISTRO E INSTALACION TUBERIA Y ACCESORIOS RDE 21 Ø DIAMETRO  2 1/2"</v>
      </c>
      <c r="I391" t="str">
        <v>ML</v>
      </c>
      <c r="J391">
        <v>64</v>
      </c>
      <c r="K391">
        <v>34736</v>
      </c>
      <c r="L391" s="115">
        <f t="shared" si="19"/>
        <v>34736</v>
      </c>
      <c r="M391" s="146">
        <f t="shared" si="20"/>
        <v>833664</v>
      </c>
      <c r="N391" s="119"/>
    </row>
    <row r="392" spans="2:14" ht="15" customHeight="1" x14ac:dyDescent="0.25">
      <c r="B392" s="86" t="s">
        <v>742</v>
      </c>
      <c r="C392" s="87" t="s">
        <v>743</v>
      </c>
      <c r="D392" s="82" t="s">
        <v>94</v>
      </c>
      <c r="E392" s="83">
        <v>68</v>
      </c>
      <c r="F392" s="88">
        <v>21886</v>
      </c>
      <c r="G392" s="89">
        <f t="shared" si="18"/>
        <v>1488248</v>
      </c>
      <c r="H392" s="118" t="str">
        <f t="array" ref="H392:K392">_xlfn.XLOOKUP(C392,'ESAP NEIVA FASE II UNIFICADO'!$C$6:$C$720,'ESAP NEIVA FASE II UNIFICADO'!$C$6:$F$720,"NO ESTA")</f>
        <v>SUMINISTRO E INSTALACION TUBERIA Y ACCESORIOS RDE 21 Ø DIAMETRO  2"</v>
      </c>
      <c r="I392" t="str">
        <v>ML</v>
      </c>
      <c r="J392">
        <v>185.4</v>
      </c>
      <c r="K392">
        <v>23647</v>
      </c>
      <c r="L392" s="115">
        <f t="shared" si="19"/>
        <v>23647</v>
      </c>
      <c r="M392" s="146">
        <f t="shared" si="20"/>
        <v>1607996</v>
      </c>
      <c r="N392" s="119"/>
    </row>
    <row r="393" spans="2:14" ht="15" customHeight="1" x14ac:dyDescent="0.25">
      <c r="B393" s="86" t="s">
        <v>744</v>
      </c>
      <c r="C393" s="87" t="s">
        <v>745</v>
      </c>
      <c r="D393" s="82" t="s">
        <v>94</v>
      </c>
      <c r="E393" s="83">
        <v>40</v>
      </c>
      <c r="F393" s="88">
        <v>15947</v>
      </c>
      <c r="G393" s="89">
        <f t="shared" si="18"/>
        <v>637880</v>
      </c>
      <c r="H393" s="118" t="str">
        <f t="array" ref="H393:K393">_xlfn.XLOOKUP(C393,'ESAP NEIVA FASE II UNIFICADO'!$C$6:$C$720,'ESAP NEIVA FASE II UNIFICADO'!$C$6:$F$720,"NO ESTA")</f>
        <v>SUMINISTRO E INSTALACION TUBERIA Y ACCESORIOS RDE 21 Ø DIAMETRO  1 1/2"</v>
      </c>
      <c r="I393" t="str">
        <v>ML</v>
      </c>
      <c r="J393">
        <v>106.80000000000001</v>
      </c>
      <c r="K393">
        <v>17230</v>
      </c>
      <c r="L393" s="115">
        <f t="shared" si="19"/>
        <v>17230</v>
      </c>
      <c r="M393" s="146">
        <f t="shared" si="20"/>
        <v>689200</v>
      </c>
      <c r="N393" s="119"/>
    </row>
    <row r="394" spans="2:14" ht="15" customHeight="1" x14ac:dyDescent="0.25">
      <c r="B394" s="86" t="s">
        <v>746</v>
      </c>
      <c r="C394" s="87" t="s">
        <v>747</v>
      </c>
      <c r="D394" s="82" t="s">
        <v>94</v>
      </c>
      <c r="E394" s="83">
        <v>61</v>
      </c>
      <c r="F394" s="88">
        <v>13566</v>
      </c>
      <c r="G394" s="89">
        <f t="shared" si="18"/>
        <v>827526</v>
      </c>
      <c r="H394" s="118" t="str">
        <f t="array" ref="H394:K394">_xlfn.XLOOKUP(C394,'ESAP NEIVA FASE II UNIFICADO'!$C$6:$C$720,'ESAP NEIVA FASE II UNIFICADO'!$C$6:$F$720,"NO ESTA")</f>
        <v>SUMINISTRO E INSTALACION TUBERIA Y ACCESORIOS RDE 21 Ø DIAMETRO  1 1/4"</v>
      </c>
      <c r="I394" t="str">
        <v>ML</v>
      </c>
      <c r="J394">
        <v>165.6</v>
      </c>
      <c r="K394">
        <v>14658</v>
      </c>
      <c r="L394" s="115">
        <f t="shared" si="19"/>
        <v>14658</v>
      </c>
      <c r="M394" s="146">
        <f t="shared" si="20"/>
        <v>894138</v>
      </c>
      <c r="N394" s="119"/>
    </row>
    <row r="395" spans="2:14" ht="15" customHeight="1" x14ac:dyDescent="0.25">
      <c r="B395" s="86" t="s">
        <v>748</v>
      </c>
      <c r="C395" s="87" t="s">
        <v>749</v>
      </c>
      <c r="D395" s="82" t="s">
        <v>94</v>
      </c>
      <c r="E395" s="83">
        <v>10</v>
      </c>
      <c r="F395" s="88">
        <v>9925</v>
      </c>
      <c r="G395" s="89">
        <f t="shared" si="18"/>
        <v>99250</v>
      </c>
      <c r="H395" s="118" t="str">
        <f t="array" ref="H395:K395">_xlfn.XLOOKUP(C395,'ESAP NEIVA FASE II UNIFICADO'!$C$6:$C$720,'ESAP NEIVA FASE II UNIFICADO'!$C$6:$F$720,"NO ESTA")</f>
        <v>SUMINISTRO E INSTALACION TUBERIA Y ACCESORIOS RDE 21 Ø DIAMETRO  1"</v>
      </c>
      <c r="I395" t="str">
        <v>ML</v>
      </c>
      <c r="J395">
        <v>28.799999999999997</v>
      </c>
      <c r="K395">
        <v>10725</v>
      </c>
      <c r="L395" s="115">
        <f t="shared" si="19"/>
        <v>10725</v>
      </c>
      <c r="M395" s="146">
        <f t="shared" si="20"/>
        <v>107250</v>
      </c>
      <c r="N395" s="119"/>
    </row>
    <row r="396" spans="2:14" ht="15" customHeight="1" x14ac:dyDescent="0.25">
      <c r="B396" s="86" t="s">
        <v>750</v>
      </c>
      <c r="C396" s="87" t="s">
        <v>751</v>
      </c>
      <c r="D396" s="82" t="s">
        <v>94</v>
      </c>
      <c r="E396" s="83">
        <v>12</v>
      </c>
      <c r="F396" s="88">
        <v>8719</v>
      </c>
      <c r="G396" s="89">
        <f t="shared" si="18"/>
        <v>104628</v>
      </c>
      <c r="H396" s="118" t="str">
        <f t="array" ref="H396:K396">_xlfn.XLOOKUP(C396,'ESAP NEIVA FASE II UNIFICADO'!$C$6:$C$720,'ESAP NEIVA FASE II UNIFICADO'!$C$6:$F$720,"NO ESTA")</f>
        <v>SUMINISTRO E INSTALACION TUBERIA Y ACCESORIOS RDE 21 Ø DIAMETRO  3/4"</v>
      </c>
      <c r="I396" t="str">
        <v>ML</v>
      </c>
      <c r="J396">
        <v>32</v>
      </c>
      <c r="K396">
        <v>9421</v>
      </c>
      <c r="L396" s="115">
        <f t="shared" si="19"/>
        <v>9421</v>
      </c>
      <c r="M396" s="146">
        <f t="shared" si="20"/>
        <v>113052</v>
      </c>
      <c r="N396" s="119"/>
    </row>
    <row r="397" spans="2:14" ht="26.25" customHeight="1" x14ac:dyDescent="0.25">
      <c r="B397" s="80" t="s">
        <v>752</v>
      </c>
      <c r="C397" s="81" t="s">
        <v>753</v>
      </c>
      <c r="D397" s="82"/>
      <c r="E397" s="83"/>
      <c r="F397" s="90"/>
      <c r="G397" s="89">
        <f t="shared" si="18"/>
        <v>0</v>
      </c>
      <c r="H397" s="118" t="str">
        <f t="array" ref="H397">_xlfn.XLOOKUP(C397,'ESAP NEIVA FASE II UNIFICADO'!$C$6:$C$720,'ESAP NEIVA FASE II UNIFICADO'!$C$6:$F$720,"NO ESTA")</f>
        <v>NO ESTA</v>
      </c>
      <c r="L397" s="115">
        <f t="shared" si="19"/>
        <v>0</v>
      </c>
      <c r="M397" s="146">
        <f t="shared" si="20"/>
        <v>0</v>
      </c>
      <c r="N397" s="119"/>
    </row>
    <row r="398" spans="2:14" ht="26.25" customHeight="1" x14ac:dyDescent="0.25">
      <c r="B398" s="86" t="s">
        <v>754</v>
      </c>
      <c r="C398" s="87" t="s">
        <v>755</v>
      </c>
      <c r="D398" s="82" t="s">
        <v>94</v>
      </c>
      <c r="E398" s="83">
        <v>17</v>
      </c>
      <c r="F398" s="88">
        <v>38301</v>
      </c>
      <c r="G398" s="89">
        <f t="shared" si="18"/>
        <v>651117</v>
      </c>
      <c r="H398" s="118" t="str">
        <f t="array" ref="H398:K398">_xlfn.XLOOKUP(C398,'ESAP NEIVA FASE II UNIFICADO'!$C$6:$C$720,'ESAP NEIVA FASE II UNIFICADO'!$C$6:$F$720,"NO ESTA")</f>
        <v>SUMINISTRO E INSTALACION DE AISLAMIENTO TERMICO TUBERIA Y ACCESORIOS RDE 21 Ø DIAMETRO  4"</v>
      </c>
      <c r="I398" t="str">
        <v>ML</v>
      </c>
      <c r="J398">
        <v>45</v>
      </c>
      <c r="K398">
        <v>41384</v>
      </c>
      <c r="L398" s="115">
        <f t="shared" si="19"/>
        <v>41384</v>
      </c>
      <c r="M398" s="146">
        <f t="shared" si="20"/>
        <v>703528</v>
      </c>
      <c r="N398" s="119"/>
    </row>
    <row r="399" spans="2:14" ht="26.25" customHeight="1" x14ac:dyDescent="0.25">
      <c r="B399" s="86" t="s">
        <v>756</v>
      </c>
      <c r="C399" s="87" t="s">
        <v>757</v>
      </c>
      <c r="D399" s="82" t="s">
        <v>94</v>
      </c>
      <c r="E399" s="83">
        <v>9</v>
      </c>
      <c r="F399" s="88">
        <v>34406</v>
      </c>
      <c r="G399" s="89">
        <f t="shared" si="18"/>
        <v>309654</v>
      </c>
      <c r="H399" s="118" t="str">
        <f t="array" ref="H399:K399">_xlfn.XLOOKUP(C399,'ESAP NEIVA FASE II UNIFICADO'!$C$6:$C$720,'ESAP NEIVA FASE II UNIFICADO'!$C$6:$F$720,"NO ESTA")</f>
        <v>SUMINISTRO E INSTALACION DE AISLAMIENTO TERMICO TUBERIA Y ACCESORIOS RDE 21 Ø DIAMETRO  3"</v>
      </c>
      <c r="I399" t="str">
        <v>ML</v>
      </c>
      <c r="J399">
        <v>24</v>
      </c>
      <c r="K399">
        <v>37175</v>
      </c>
      <c r="L399" s="115">
        <f t="shared" si="19"/>
        <v>37175</v>
      </c>
      <c r="M399" s="146">
        <f t="shared" si="20"/>
        <v>334575</v>
      </c>
      <c r="N399" s="119"/>
    </row>
    <row r="400" spans="2:14" ht="26.25" customHeight="1" x14ac:dyDescent="0.25">
      <c r="B400" s="86" t="s">
        <v>758</v>
      </c>
      <c r="C400" s="87" t="s">
        <v>759</v>
      </c>
      <c r="D400" s="82" t="s">
        <v>94</v>
      </c>
      <c r="E400" s="83">
        <v>24</v>
      </c>
      <c r="F400" s="88">
        <v>26381</v>
      </c>
      <c r="G400" s="89">
        <f t="shared" si="18"/>
        <v>633144</v>
      </c>
      <c r="H400" s="118" t="str">
        <f t="array" ref="H400:K400">_xlfn.XLOOKUP(C400,'ESAP NEIVA FASE II UNIFICADO'!$C$6:$C$720,'ESAP NEIVA FASE II UNIFICADO'!$C$6:$F$720,"NO ESTA")</f>
        <v>SUMINISTRO E INSTALACION DE AISLAMIENTO TERMICO TUBERIA Y ACCESORIOS RDE 21 Ø DIAMETRO  2 1/2"</v>
      </c>
      <c r="I400" t="str">
        <v>ML</v>
      </c>
      <c r="J400">
        <v>64</v>
      </c>
      <c r="K400">
        <v>28505</v>
      </c>
      <c r="L400" s="115">
        <f t="shared" si="19"/>
        <v>28505</v>
      </c>
      <c r="M400" s="146">
        <f t="shared" si="20"/>
        <v>684120</v>
      </c>
      <c r="N400" s="119"/>
    </row>
    <row r="401" spans="2:14" ht="26.25" customHeight="1" x14ac:dyDescent="0.25">
      <c r="B401" s="86" t="s">
        <v>760</v>
      </c>
      <c r="C401" s="87" t="s">
        <v>761</v>
      </c>
      <c r="D401" s="82" t="s">
        <v>94</v>
      </c>
      <c r="E401" s="83">
        <v>68</v>
      </c>
      <c r="F401" s="88">
        <v>20809</v>
      </c>
      <c r="G401" s="89">
        <f t="shared" si="18"/>
        <v>1415012</v>
      </c>
      <c r="H401" s="118" t="str">
        <f t="array" ref="H401:K401">_xlfn.XLOOKUP(C401,'ESAP NEIVA FASE II UNIFICADO'!$C$6:$C$720,'ESAP NEIVA FASE II UNIFICADO'!$C$6:$F$720,"NO ESTA")</f>
        <v>SUMINISTRO E INSTALACION DE AISLAMIENTO TERMICO TUBERIA Y ACCESORIOS RDE 21 Ø DIAMETRO  2"</v>
      </c>
      <c r="I401" t="str">
        <v>ML</v>
      </c>
      <c r="J401">
        <v>185.4</v>
      </c>
      <c r="K401">
        <v>22485</v>
      </c>
      <c r="L401" s="115">
        <f t="shared" si="19"/>
        <v>22485</v>
      </c>
      <c r="M401" s="146">
        <f t="shared" si="20"/>
        <v>1528980</v>
      </c>
      <c r="N401" s="119"/>
    </row>
    <row r="402" spans="2:14" ht="26.25" customHeight="1" x14ac:dyDescent="0.25">
      <c r="B402" s="86" t="s">
        <v>762</v>
      </c>
      <c r="C402" s="87" t="s">
        <v>763</v>
      </c>
      <c r="D402" s="82" t="s">
        <v>94</v>
      </c>
      <c r="E402" s="83">
        <v>40</v>
      </c>
      <c r="F402" s="88">
        <v>15695</v>
      </c>
      <c r="G402" s="89">
        <f t="shared" si="18"/>
        <v>627800</v>
      </c>
      <c r="H402" s="118" t="str">
        <f t="array" ref="H402:K402">_xlfn.XLOOKUP(C402,'ESAP NEIVA FASE II UNIFICADO'!$C$6:$C$720,'ESAP NEIVA FASE II UNIFICADO'!$C$6:$F$720,"NO ESTA")</f>
        <v>SUMINISTRO E INSTALACION DE AISLAMIENTO TERMICO TUBERIA Y ACCESORIOS RDE 21 Ø DIAMETRO  1 1/2"</v>
      </c>
      <c r="I402" t="str">
        <v>ML</v>
      </c>
      <c r="J402">
        <v>106.80000000000001</v>
      </c>
      <c r="K402">
        <v>16958</v>
      </c>
      <c r="L402" s="115">
        <f t="shared" si="19"/>
        <v>16958</v>
      </c>
      <c r="M402" s="146">
        <f t="shared" si="20"/>
        <v>678320</v>
      </c>
      <c r="N402" s="119"/>
    </row>
    <row r="403" spans="2:14" ht="26.25" customHeight="1" x14ac:dyDescent="0.25">
      <c r="B403" s="86" t="s">
        <v>764</v>
      </c>
      <c r="C403" s="87" t="s">
        <v>765</v>
      </c>
      <c r="D403" s="82" t="s">
        <v>94</v>
      </c>
      <c r="E403" s="83">
        <v>61</v>
      </c>
      <c r="F403" s="88">
        <v>13460</v>
      </c>
      <c r="G403" s="89">
        <f t="shared" si="18"/>
        <v>821060</v>
      </c>
      <c r="H403" s="118" t="str">
        <f t="array" ref="H403:K403">_xlfn.XLOOKUP(C403,'ESAP NEIVA FASE II UNIFICADO'!$C$6:$C$720,'ESAP NEIVA FASE II UNIFICADO'!$C$6:$F$720,"NO ESTA")</f>
        <v>SUMINISTRO E INSTALACION DE AISLAMIENTO TERMICO TUBERIA Y ACCESORIOS RDE 21 Ø DIAMETRO  1 1/4"</v>
      </c>
      <c r="I403" t="str">
        <v>ML</v>
      </c>
      <c r="J403">
        <v>165.6</v>
      </c>
      <c r="K403">
        <v>14543</v>
      </c>
      <c r="L403" s="115">
        <f t="shared" si="19"/>
        <v>14543</v>
      </c>
      <c r="M403" s="146">
        <f t="shared" si="20"/>
        <v>887123</v>
      </c>
      <c r="N403" s="119"/>
    </row>
    <row r="404" spans="2:14" ht="26.25" customHeight="1" x14ac:dyDescent="0.25">
      <c r="B404" s="86" t="s">
        <v>766</v>
      </c>
      <c r="C404" s="87" t="s">
        <v>767</v>
      </c>
      <c r="D404" s="82" t="s">
        <v>94</v>
      </c>
      <c r="E404" s="83">
        <v>10</v>
      </c>
      <c r="F404" s="88">
        <v>9809</v>
      </c>
      <c r="G404" s="89">
        <f t="shared" si="18"/>
        <v>98090</v>
      </c>
      <c r="H404" s="118" t="str">
        <f t="array" ref="H404:K404">_xlfn.XLOOKUP(C404,'ESAP NEIVA FASE II UNIFICADO'!$C$6:$C$720,'ESAP NEIVA FASE II UNIFICADO'!$C$6:$F$720,"NO ESTA")</f>
        <v>SUMINISTRO E INSTALACION DE AISLAMIENTO TERMICO TUBERIA Y ACCESORIOS RDE 21 Ø DIAMETRO  1"</v>
      </c>
      <c r="I404" t="str">
        <v>ML</v>
      </c>
      <c r="J404">
        <v>28.799999999999997</v>
      </c>
      <c r="K404">
        <v>10599</v>
      </c>
      <c r="L404" s="115">
        <f t="shared" si="19"/>
        <v>10599</v>
      </c>
      <c r="M404" s="146">
        <f t="shared" si="20"/>
        <v>105990</v>
      </c>
      <c r="N404" s="119"/>
    </row>
    <row r="405" spans="2:14" ht="26.25" customHeight="1" x14ac:dyDescent="0.25">
      <c r="B405" s="86" t="s">
        <v>768</v>
      </c>
      <c r="C405" s="87" t="s">
        <v>769</v>
      </c>
      <c r="D405" s="82" t="s">
        <v>94</v>
      </c>
      <c r="E405" s="83">
        <v>12</v>
      </c>
      <c r="F405" s="88">
        <v>8561</v>
      </c>
      <c r="G405" s="89">
        <f t="shared" si="18"/>
        <v>102732</v>
      </c>
      <c r="H405" s="118" t="str">
        <f t="array" ref="H405:K405">_xlfn.XLOOKUP(C405,'ESAP NEIVA FASE II UNIFICADO'!$C$6:$C$720,'ESAP NEIVA FASE II UNIFICADO'!$C$6:$F$720,"NO ESTA")</f>
        <v>SUMINISTRO E INSTALACION DE AISLAMIENTO TERMICO TUBERIA Y ACCESORIOS RDE 21 Ø DIAMETRO  3/4"</v>
      </c>
      <c r="I405" t="str">
        <v>ML</v>
      </c>
      <c r="J405">
        <v>32</v>
      </c>
      <c r="K405">
        <v>9250</v>
      </c>
      <c r="L405" s="115">
        <f t="shared" si="19"/>
        <v>9250</v>
      </c>
      <c r="M405" s="146">
        <f t="shared" si="20"/>
        <v>111000</v>
      </c>
      <c r="N405" s="119"/>
    </row>
    <row r="406" spans="2:14" ht="15" customHeight="1" x14ac:dyDescent="0.25">
      <c r="B406" s="80" t="s">
        <v>770</v>
      </c>
      <c r="C406" s="81" t="s">
        <v>771</v>
      </c>
      <c r="D406" s="82"/>
      <c r="E406" s="83"/>
      <c r="F406" s="90"/>
      <c r="G406" s="89">
        <f t="shared" si="18"/>
        <v>0</v>
      </c>
      <c r="H406" s="118" t="str">
        <f t="array" ref="H406">_xlfn.XLOOKUP(C406,'ESAP NEIVA FASE II UNIFICADO'!$C$6:$C$720,'ESAP NEIVA FASE II UNIFICADO'!$C$6:$F$720,"NO ESTA")</f>
        <v>NO ESTA</v>
      </c>
      <c r="L406" s="115">
        <f t="shared" si="19"/>
        <v>0</v>
      </c>
      <c r="M406" s="146">
        <f t="shared" si="20"/>
        <v>0</v>
      </c>
      <c r="N406" s="119"/>
    </row>
    <row r="407" spans="2:14" ht="27" customHeight="1" x14ac:dyDescent="0.25">
      <c r="B407" s="86" t="s">
        <v>772</v>
      </c>
      <c r="C407" s="87" t="s">
        <v>773</v>
      </c>
      <c r="D407" s="82" t="s">
        <v>16</v>
      </c>
      <c r="E407" s="83">
        <v>1</v>
      </c>
      <c r="F407" s="88">
        <v>267035</v>
      </c>
      <c r="G407" s="89">
        <f t="shared" si="18"/>
        <v>267035</v>
      </c>
      <c r="H407" s="118" t="str">
        <f t="array" ref="H407:K407">_xlfn.XLOOKUP(C407,'ESAP NEIVA FASE II UNIFICADO'!$C$6:$C$720,'ESAP NEIVA FASE II UNIFICADO'!$C$6:$F$720,"NO ESTA")</f>
        <v>SUMINISTRO E INSTALACION MANOMETROS 4", INCLUYE GRIFOS DE PRUEBA Y ACCESORIOS</v>
      </c>
      <c r="I407" t="str">
        <v>UND</v>
      </c>
      <c r="J407">
        <v>3</v>
      </c>
      <c r="K407">
        <v>288532</v>
      </c>
      <c r="L407" s="115">
        <f t="shared" si="19"/>
        <v>288532</v>
      </c>
      <c r="M407" s="146">
        <f t="shared" si="20"/>
        <v>288532</v>
      </c>
      <c r="N407" s="119"/>
    </row>
    <row r="408" spans="2:14" ht="15" customHeight="1" x14ac:dyDescent="0.25">
      <c r="B408" s="86" t="s">
        <v>774</v>
      </c>
      <c r="C408" s="87" t="s">
        <v>775</v>
      </c>
      <c r="D408" s="82" t="s">
        <v>16</v>
      </c>
      <c r="E408" s="83">
        <v>1</v>
      </c>
      <c r="F408" s="88">
        <v>513828</v>
      </c>
      <c r="G408" s="89">
        <f t="shared" si="18"/>
        <v>513828</v>
      </c>
      <c r="H408" s="118" t="str">
        <f t="array" ref="H408:K408">_xlfn.XLOOKUP(C408,'ESAP NEIVA FASE II UNIFICADO'!$C$6:$C$720,'ESAP NEIVA FASE II UNIFICADO'!$C$6:$F$720,"NO ESTA")</f>
        <v>SUMINISTRO E INSTALACION TERMOMETROS 0-100F DE COLUMNA 7"</v>
      </c>
      <c r="I408" t="str">
        <v>UND</v>
      </c>
      <c r="J408">
        <v>3</v>
      </c>
      <c r="K408">
        <v>555192</v>
      </c>
      <c r="L408" s="115">
        <f t="shared" si="19"/>
        <v>555192</v>
      </c>
      <c r="M408" s="146">
        <f t="shared" si="20"/>
        <v>555192</v>
      </c>
      <c r="N408" s="119"/>
    </row>
    <row r="409" spans="2:14" ht="15" customHeight="1" x14ac:dyDescent="0.25">
      <c r="B409" s="86" t="s">
        <v>776</v>
      </c>
      <c r="C409" s="87" t="s">
        <v>777</v>
      </c>
      <c r="D409" s="82" t="s">
        <v>16</v>
      </c>
      <c r="E409" s="83">
        <v>1</v>
      </c>
      <c r="F409" s="88">
        <v>180913</v>
      </c>
      <c r="G409" s="89">
        <f t="shared" si="18"/>
        <v>180913</v>
      </c>
      <c r="H409" s="118" t="str">
        <f t="array" ref="H409:K409">_xlfn.XLOOKUP(C409,'ESAP NEIVA FASE II UNIFICADO'!$C$6:$C$720,'ESAP NEIVA FASE II UNIFICADO'!$C$6:$F$720,"NO ESTA")</f>
        <v>SUMINISTRO E INSTALACION ELIMINADORES DE AIRE</v>
      </c>
      <c r="I409" t="str">
        <v>UND</v>
      </c>
      <c r="J409">
        <v>3</v>
      </c>
      <c r="K409">
        <v>195476</v>
      </c>
      <c r="L409" s="115">
        <f t="shared" si="19"/>
        <v>195476</v>
      </c>
      <c r="M409" s="146">
        <f t="shared" si="20"/>
        <v>195476</v>
      </c>
      <c r="N409" s="119"/>
    </row>
    <row r="410" spans="2:14" ht="15" customHeight="1" x14ac:dyDescent="0.25">
      <c r="B410" s="86" t="s">
        <v>778</v>
      </c>
      <c r="C410" s="87" t="s">
        <v>779</v>
      </c>
      <c r="D410" s="82" t="s">
        <v>16</v>
      </c>
      <c r="E410" s="83">
        <v>1</v>
      </c>
      <c r="F410" s="88">
        <v>418710</v>
      </c>
      <c r="G410" s="89">
        <f t="shared" si="18"/>
        <v>418710</v>
      </c>
      <c r="H410" s="118" t="str">
        <f t="array" ref="H410:K410">_xlfn.XLOOKUP(C410,'ESAP NEIVA FASE II UNIFICADO'!$C$6:$C$720,'ESAP NEIVA FASE II UNIFICADO'!$C$6:$F$720,"NO ESTA")</f>
        <v xml:space="preserve">SUMINISTRO E INSTALACION TANQUE DE EXPANSIÓN PVC CON VALVULA DE NIVEL </v>
      </c>
      <c r="I410" t="str">
        <v>UND</v>
      </c>
      <c r="J410">
        <v>1</v>
      </c>
      <c r="K410">
        <v>452416</v>
      </c>
      <c r="L410" s="115">
        <f t="shared" si="19"/>
        <v>452416</v>
      </c>
      <c r="M410" s="146">
        <f t="shared" si="20"/>
        <v>452416</v>
      </c>
      <c r="N410" s="119"/>
    </row>
    <row r="411" spans="2:14" ht="15" customHeight="1" x14ac:dyDescent="0.25">
      <c r="B411" s="86" t="s">
        <v>780</v>
      </c>
      <c r="C411" s="87" t="s">
        <v>781</v>
      </c>
      <c r="D411" s="82" t="s">
        <v>16</v>
      </c>
      <c r="E411" s="83">
        <v>1</v>
      </c>
      <c r="F411" s="88">
        <v>2160446</v>
      </c>
      <c r="G411" s="89">
        <f t="shared" si="18"/>
        <v>2160446</v>
      </c>
      <c r="H411" s="118" t="str">
        <f t="array" ref="H411:K411">_xlfn.XLOOKUP(C411,'ESAP NEIVA FASE II UNIFICADO'!$C$6:$C$720,'ESAP NEIVA FASE II UNIFICADO'!$C$6:$F$720,"NO ESTA")</f>
        <v>SUMINISTRO E INSTALACION VALVULAS MARIPOSA DE 4" SUCCIÓN DE BOMBA</v>
      </c>
      <c r="I411" t="str">
        <v>UND</v>
      </c>
      <c r="J411">
        <v>3</v>
      </c>
      <c r="K411">
        <v>2334368</v>
      </c>
      <c r="L411" s="115">
        <f t="shared" si="19"/>
        <v>2334368</v>
      </c>
      <c r="M411" s="146">
        <f t="shared" si="20"/>
        <v>2334368</v>
      </c>
      <c r="N411" s="119"/>
    </row>
    <row r="412" spans="2:14" ht="15" customHeight="1" x14ac:dyDescent="0.25">
      <c r="B412" s="86" t="s">
        <v>782</v>
      </c>
      <c r="C412" s="87" t="s">
        <v>783</v>
      </c>
      <c r="D412" s="82" t="s">
        <v>16</v>
      </c>
      <c r="E412" s="83">
        <v>1</v>
      </c>
      <c r="F412" s="88">
        <v>2160446</v>
      </c>
      <c r="G412" s="89">
        <f t="shared" si="18"/>
        <v>2160446</v>
      </c>
      <c r="H412" s="118" t="str">
        <f t="array" ref="H412:K412">_xlfn.XLOOKUP(C412,'ESAP NEIVA FASE II UNIFICADO'!$C$6:$C$720,'ESAP NEIVA FASE II UNIFICADO'!$C$6:$F$720,"NO ESTA")</f>
        <v>SUMINISTRO E INSTALACION VALVULAS MARIPOSA DE 4" DESCARGA DE BOMBA</v>
      </c>
      <c r="I412" t="str">
        <v>UND</v>
      </c>
      <c r="J412">
        <v>3</v>
      </c>
      <c r="K412">
        <v>2334368</v>
      </c>
      <c r="L412" s="115">
        <f t="shared" si="19"/>
        <v>2334368</v>
      </c>
      <c r="M412" s="146">
        <f t="shared" si="20"/>
        <v>2334368</v>
      </c>
      <c r="N412" s="119"/>
    </row>
    <row r="413" spans="2:14" ht="15" customHeight="1" x14ac:dyDescent="0.25">
      <c r="B413" s="86" t="s">
        <v>784</v>
      </c>
      <c r="C413" s="87" t="s">
        <v>785</v>
      </c>
      <c r="D413" s="82" t="s">
        <v>16</v>
      </c>
      <c r="E413" s="83">
        <v>1</v>
      </c>
      <c r="F413" s="88">
        <v>1141492</v>
      </c>
      <c r="G413" s="89">
        <f t="shared" si="18"/>
        <v>1141492</v>
      </c>
      <c r="H413" s="118" t="str">
        <f t="array" ref="H413:K413">_xlfn.XLOOKUP(C413,'ESAP NEIVA FASE II UNIFICADO'!$C$6:$C$720,'ESAP NEIVA FASE II UNIFICADO'!$C$6:$F$720,"NO ESTA")</f>
        <v>SUMINISTRO E INSTALACION VALVULA TRIPLE - FLOTREX</v>
      </c>
      <c r="I413" t="str">
        <v>UND</v>
      </c>
      <c r="J413">
        <v>1</v>
      </c>
      <c r="K413">
        <v>1233385</v>
      </c>
      <c r="L413" s="115">
        <f t="shared" si="19"/>
        <v>1233385</v>
      </c>
      <c r="M413" s="146">
        <f t="shared" si="20"/>
        <v>1233385</v>
      </c>
      <c r="N413" s="119"/>
    </row>
    <row r="414" spans="2:14" ht="15" customHeight="1" x14ac:dyDescent="0.25">
      <c r="B414" s="86" t="s">
        <v>786</v>
      </c>
      <c r="C414" s="87" t="s">
        <v>787</v>
      </c>
      <c r="D414" s="82" t="s">
        <v>16</v>
      </c>
      <c r="E414" s="83">
        <v>1</v>
      </c>
      <c r="F414" s="88">
        <v>336113</v>
      </c>
      <c r="G414" s="89">
        <f t="shared" si="18"/>
        <v>336113</v>
      </c>
      <c r="H414" s="118" t="str">
        <f t="array" ref="H414:K414">_xlfn.XLOOKUP(C414,'ESAP NEIVA FASE II UNIFICADO'!$C$6:$C$720,'ESAP NEIVA FASE II UNIFICADO'!$C$6:$F$720,"NO ESTA")</f>
        <v>SUMINISTRO E INSTALACION VALVULA CORTINA 3" 125PSI - PISO 3</v>
      </c>
      <c r="I414" t="str">
        <v>UND</v>
      </c>
      <c r="J414">
        <v>0</v>
      </c>
      <c r="K414">
        <v>363171</v>
      </c>
      <c r="L414" s="115">
        <f t="shared" si="19"/>
        <v>363171</v>
      </c>
      <c r="M414" s="146">
        <f t="shared" si="20"/>
        <v>363171</v>
      </c>
      <c r="N414" s="119"/>
    </row>
    <row r="415" spans="2:14" ht="15" customHeight="1" x14ac:dyDescent="0.25">
      <c r="B415" s="86" t="s">
        <v>788</v>
      </c>
      <c r="C415" s="87" t="s">
        <v>789</v>
      </c>
      <c r="D415" s="82" t="s">
        <v>16</v>
      </c>
      <c r="E415" s="83">
        <v>1</v>
      </c>
      <c r="F415" s="88">
        <v>469873</v>
      </c>
      <c r="G415" s="89">
        <f t="shared" si="18"/>
        <v>469873</v>
      </c>
      <c r="H415" s="118" t="str">
        <f t="array" ref="H415:K415">_xlfn.XLOOKUP(C415,'ESAP NEIVA FASE II UNIFICADO'!$C$6:$C$720,'ESAP NEIVA FASE II UNIFICADO'!$C$6:$F$720,"NO ESTA")</f>
        <v>SUMINISTRO E INSTALACION VALVULA GLOBO 3" 125PSI - PISO 3</v>
      </c>
      <c r="I415" t="str">
        <v>UND</v>
      </c>
      <c r="J415">
        <v>0</v>
      </c>
      <c r="K415">
        <v>507699</v>
      </c>
      <c r="L415" s="115">
        <f t="shared" si="19"/>
        <v>507699</v>
      </c>
      <c r="M415" s="146">
        <f t="shared" si="20"/>
        <v>507699</v>
      </c>
      <c r="N415" s="119"/>
    </row>
    <row r="416" spans="2:14" ht="15" customHeight="1" x14ac:dyDescent="0.25">
      <c r="B416" s="86" t="s">
        <v>790</v>
      </c>
      <c r="C416" s="87" t="s">
        <v>791</v>
      </c>
      <c r="D416" s="82" t="s">
        <v>16</v>
      </c>
      <c r="E416" s="83">
        <v>2</v>
      </c>
      <c r="F416" s="88">
        <v>298659</v>
      </c>
      <c r="G416" s="89">
        <f t="shared" si="18"/>
        <v>597318</v>
      </c>
      <c r="H416" s="118" t="str">
        <f t="array" ref="H416:K416">_xlfn.XLOOKUP(C416,'ESAP NEIVA FASE II UNIFICADO'!$C$6:$C$720,'ESAP NEIVA FASE II UNIFICADO'!$C$6:$F$720,"NO ESTA")</f>
        <v>SUMINISTRO E INSTALACION VALVULAS CORTINA 2 1/2" 125PSI - PISOS 2,3,4</v>
      </c>
      <c r="I416" t="str">
        <v>UND</v>
      </c>
      <c r="J416">
        <v>5</v>
      </c>
      <c r="K416">
        <v>322703</v>
      </c>
      <c r="L416" s="115">
        <f t="shared" si="19"/>
        <v>322703</v>
      </c>
      <c r="M416" s="146">
        <f t="shared" si="20"/>
        <v>645406</v>
      </c>
      <c r="N416" s="119"/>
    </row>
    <row r="417" spans="2:14" ht="15" customHeight="1" x14ac:dyDescent="0.25">
      <c r="B417" s="86" t="s">
        <v>792</v>
      </c>
      <c r="C417" s="87" t="s">
        <v>793</v>
      </c>
      <c r="D417" s="82" t="s">
        <v>16</v>
      </c>
      <c r="E417" s="83">
        <v>2</v>
      </c>
      <c r="F417" s="88">
        <v>421363</v>
      </c>
      <c r="G417" s="89">
        <f t="shared" si="18"/>
        <v>842726</v>
      </c>
      <c r="H417" s="118" t="str">
        <f t="array" ref="H417:K417">_xlfn.XLOOKUP(C417,'ESAP NEIVA FASE II UNIFICADO'!$C$6:$C$720,'ESAP NEIVA FASE II UNIFICADO'!$C$6:$F$720,"NO ESTA")</f>
        <v>SUMINISTRO E INSTALACION VALVULAS GLOBO 2 1/2" 125PSI - PISOS 2,3,4</v>
      </c>
      <c r="I417" t="str">
        <v>UND</v>
      </c>
      <c r="J417">
        <v>5</v>
      </c>
      <c r="K417">
        <v>455284</v>
      </c>
      <c r="L417" s="115">
        <f t="shared" si="19"/>
        <v>455284</v>
      </c>
      <c r="M417" s="146">
        <f t="shared" si="20"/>
        <v>910568</v>
      </c>
      <c r="N417" s="119"/>
    </row>
    <row r="418" spans="2:14" ht="15" customHeight="1" x14ac:dyDescent="0.25">
      <c r="B418" s="86" t="s">
        <v>794</v>
      </c>
      <c r="C418" s="87" t="s">
        <v>795</v>
      </c>
      <c r="D418" s="82" t="s">
        <v>16</v>
      </c>
      <c r="E418" s="83">
        <v>1</v>
      </c>
      <c r="F418" s="88">
        <v>220900</v>
      </c>
      <c r="G418" s="89">
        <f t="shared" si="18"/>
        <v>220900</v>
      </c>
      <c r="H418" s="118" t="str">
        <f t="array" ref="H418:K418">_xlfn.XLOOKUP(C418,'ESAP NEIVA FASE II UNIFICADO'!$C$6:$C$720,'ESAP NEIVA FASE II UNIFICADO'!$C$6:$F$720,"NO ESTA")</f>
        <v>SUMINISTRO E INSTALACION VALVULAS CORTINA 2" 125PSI - PISO 1,4</v>
      </c>
      <c r="I418" t="str">
        <v>UND</v>
      </c>
      <c r="J418">
        <v>1</v>
      </c>
      <c r="K418">
        <v>238683</v>
      </c>
      <c r="L418" s="115">
        <f t="shared" si="19"/>
        <v>238683</v>
      </c>
      <c r="M418" s="146">
        <f t="shared" si="20"/>
        <v>238683</v>
      </c>
      <c r="N418" s="119"/>
    </row>
    <row r="419" spans="2:14" ht="15" customHeight="1" x14ac:dyDescent="0.25">
      <c r="B419" s="86" t="s">
        <v>796</v>
      </c>
      <c r="C419" s="87" t="s">
        <v>797</v>
      </c>
      <c r="D419" s="82" t="s">
        <v>16</v>
      </c>
      <c r="E419" s="83">
        <v>1</v>
      </c>
      <c r="F419" s="88">
        <v>240769</v>
      </c>
      <c r="G419" s="89">
        <f t="shared" si="18"/>
        <v>240769</v>
      </c>
      <c r="H419" s="118" t="str">
        <f t="array" ref="H419:K419">_xlfn.XLOOKUP(C419,'ESAP NEIVA FASE II UNIFICADO'!$C$6:$C$720,'ESAP NEIVA FASE II UNIFICADO'!$C$6:$F$720,"NO ESTA")</f>
        <v>SUMINISTRO E INSTALACION VALVULAS GLOBO 2" 125PSI - PISO 1,4</v>
      </c>
      <c r="I419" t="str">
        <v>UND</v>
      </c>
      <c r="J419">
        <v>1</v>
      </c>
      <c r="K419">
        <v>260152</v>
      </c>
      <c r="L419" s="115">
        <f t="shared" si="19"/>
        <v>260152</v>
      </c>
      <c r="M419" s="146">
        <f t="shared" si="20"/>
        <v>260152</v>
      </c>
      <c r="N419" s="119"/>
    </row>
    <row r="420" spans="2:14" ht="15" customHeight="1" x14ac:dyDescent="0.25">
      <c r="B420" s="86" t="s">
        <v>798</v>
      </c>
      <c r="C420" s="87" t="s">
        <v>799</v>
      </c>
      <c r="D420" s="82" t="s">
        <v>16</v>
      </c>
      <c r="E420" s="83">
        <v>1</v>
      </c>
      <c r="F420" s="88">
        <v>541212</v>
      </c>
      <c r="G420" s="89">
        <f t="shared" si="18"/>
        <v>541212</v>
      </c>
      <c r="H420" s="118" t="str">
        <f t="array" ref="H420:K420">_xlfn.XLOOKUP(C420,'ESAP NEIVA FASE II UNIFICADO'!$C$6:$C$720,'ESAP NEIVA FASE II UNIFICADO'!$C$6:$F$720,"NO ESTA")</f>
        <v>SUMINISTRO E INSTALACION FILTRO / STRAINER incluye SOPORTERIA</v>
      </c>
      <c r="I420" t="str">
        <v>UND</v>
      </c>
      <c r="J420">
        <v>1</v>
      </c>
      <c r="K420">
        <v>584781</v>
      </c>
      <c r="L420" s="115">
        <f t="shared" si="19"/>
        <v>584781</v>
      </c>
      <c r="M420" s="146">
        <f t="shared" si="20"/>
        <v>584781</v>
      </c>
      <c r="N420" s="119"/>
    </row>
    <row r="421" spans="2:14" ht="24" customHeight="1" x14ac:dyDescent="0.25">
      <c r="B421" s="86" t="s">
        <v>800</v>
      </c>
      <c r="C421" s="87" t="s">
        <v>801</v>
      </c>
      <c r="D421" s="82" t="s">
        <v>16</v>
      </c>
      <c r="E421" s="83">
        <v>1</v>
      </c>
      <c r="F421" s="88">
        <v>2973816</v>
      </c>
      <c r="G421" s="89">
        <f t="shared" si="18"/>
        <v>2973816</v>
      </c>
      <c r="H421" s="118" t="str">
        <f t="array" ref="H421:K421">_xlfn.XLOOKUP(C421,'ESAP NEIVA FASE II UNIFICADO'!$C$6:$C$720,'ESAP NEIVA FASE II UNIFICADO'!$C$6:$F$720,"NO ESTA")</f>
        <v>SUMINISTRO E INSTALACION FLANCHES, CABEZALES Y ACCESORIOS VARIOS ASOCIADOS</v>
      </c>
      <c r="I421" t="str">
        <v>UND</v>
      </c>
      <c r="J421">
        <v>1</v>
      </c>
      <c r="K421">
        <v>3213217</v>
      </c>
      <c r="L421" s="115">
        <f t="shared" si="19"/>
        <v>3213217</v>
      </c>
      <c r="M421" s="146">
        <f t="shared" si="20"/>
        <v>3213217</v>
      </c>
      <c r="N421" s="119"/>
    </row>
    <row r="422" spans="2:14" ht="15" customHeight="1" x14ac:dyDescent="0.25">
      <c r="B422" s="86" t="s">
        <v>802</v>
      </c>
      <c r="C422" s="87" t="s">
        <v>803</v>
      </c>
      <c r="D422" s="82" t="s">
        <v>16</v>
      </c>
      <c r="E422" s="83">
        <v>2</v>
      </c>
      <c r="F422" s="88">
        <v>931109</v>
      </c>
      <c r="G422" s="89">
        <f t="shared" si="18"/>
        <v>1862218</v>
      </c>
      <c r="H422" s="118" t="str">
        <f t="array" ref="H422:K422">_xlfn.XLOOKUP(C422,'ESAP NEIVA FASE II UNIFICADO'!$C$6:$C$720,'ESAP NEIVA FASE II UNIFICADO'!$C$6:$F$720,"NO ESTA")</f>
        <v>SUMINISTRO E INSTALACION JUNTAS FLEXIBLES CHILLER 4"</v>
      </c>
      <c r="I422" t="str">
        <v>UND</v>
      </c>
      <c r="J422">
        <v>2</v>
      </c>
      <c r="K422">
        <v>1006067</v>
      </c>
      <c r="L422" s="115">
        <f t="shared" si="19"/>
        <v>1006067</v>
      </c>
      <c r="M422" s="146">
        <f t="shared" si="20"/>
        <v>2012134</v>
      </c>
      <c r="N422" s="119"/>
    </row>
    <row r="423" spans="2:14" ht="15" customHeight="1" x14ac:dyDescent="0.25">
      <c r="B423" s="86" t="s">
        <v>804</v>
      </c>
      <c r="C423" s="87" t="s">
        <v>805</v>
      </c>
      <c r="D423" s="82" t="s">
        <v>16</v>
      </c>
      <c r="E423" s="83">
        <v>2</v>
      </c>
      <c r="F423" s="88">
        <v>889340</v>
      </c>
      <c r="G423" s="89">
        <f t="shared" si="18"/>
        <v>1778680</v>
      </c>
      <c r="H423" s="118" t="str">
        <f t="array" ref="H423:K423">_xlfn.XLOOKUP(C423,'ESAP NEIVA FASE II UNIFICADO'!$C$6:$C$720,'ESAP NEIVA FASE II UNIFICADO'!$C$6:$F$720,"NO ESTA")</f>
        <v>SUMINISTRO E INSTALACION JUNTAS FLEXIBLES BOMBA VERTICAL 3"</v>
      </c>
      <c r="I423" t="str">
        <v>UND</v>
      </c>
      <c r="J423">
        <v>2</v>
      </c>
      <c r="K423">
        <v>960934</v>
      </c>
      <c r="L423" s="115">
        <f t="shared" si="19"/>
        <v>960934</v>
      </c>
      <c r="M423" s="146">
        <f t="shared" si="20"/>
        <v>1921868</v>
      </c>
      <c r="N423" s="119"/>
    </row>
    <row r="424" spans="2:14" ht="15" customHeight="1" x14ac:dyDescent="0.25">
      <c r="B424" s="86" t="s">
        <v>806</v>
      </c>
      <c r="C424" s="87" t="s">
        <v>807</v>
      </c>
      <c r="D424" s="82" t="s">
        <v>16</v>
      </c>
      <c r="E424" s="83">
        <v>1</v>
      </c>
      <c r="F424" s="88">
        <v>235182</v>
      </c>
      <c r="G424" s="89">
        <f t="shared" si="18"/>
        <v>235182</v>
      </c>
      <c r="H424" s="118" t="str">
        <f t="array" ref="H424:K424">_xlfn.XLOOKUP(C424,'ESAP NEIVA FASE II UNIFICADO'!$C$6:$C$720,'ESAP NEIVA FASE II UNIFICADO'!$C$6:$F$720,"NO ESTA")</f>
        <v>SUMINISTRO E INSTALACION VALVULA DE CORTINA 2" FC 150 PSI</v>
      </c>
      <c r="I424" t="str">
        <v>UND</v>
      </c>
      <c r="J424">
        <v>0</v>
      </c>
      <c r="K424">
        <v>254114</v>
      </c>
      <c r="L424" s="115">
        <f t="shared" si="19"/>
        <v>254114</v>
      </c>
      <c r="M424" s="146">
        <f t="shared" si="20"/>
        <v>254114</v>
      </c>
      <c r="N424" s="119"/>
    </row>
    <row r="425" spans="2:14" ht="15" customHeight="1" x14ac:dyDescent="0.25">
      <c r="B425" s="86" t="s">
        <v>808</v>
      </c>
      <c r="C425" s="87" t="s">
        <v>809</v>
      </c>
      <c r="D425" s="82" t="s">
        <v>16</v>
      </c>
      <c r="E425" s="83">
        <v>1</v>
      </c>
      <c r="F425" s="88">
        <v>261755</v>
      </c>
      <c r="G425" s="89">
        <f t="shared" si="18"/>
        <v>261755</v>
      </c>
      <c r="H425" s="118" t="str">
        <f t="array" ref="H425:K425">_xlfn.XLOOKUP(C425,'ESAP NEIVA FASE II UNIFICADO'!$C$6:$C$720,'ESAP NEIVA FASE II UNIFICADO'!$C$6:$F$720,"NO ESTA")</f>
        <v>SUMINISTRO E INSTALACION VALVULA DE GLOBO 2" FC 150 PSI</v>
      </c>
      <c r="I425" t="str">
        <v>UND</v>
      </c>
      <c r="J425">
        <v>0</v>
      </c>
      <c r="K425">
        <v>282827</v>
      </c>
      <c r="L425" s="115">
        <f t="shared" si="19"/>
        <v>282827</v>
      </c>
      <c r="M425" s="146">
        <f t="shared" si="20"/>
        <v>282827</v>
      </c>
      <c r="N425" s="119"/>
    </row>
    <row r="426" spans="2:14" ht="15" customHeight="1" x14ac:dyDescent="0.25">
      <c r="B426" s="86" t="s">
        <v>810</v>
      </c>
      <c r="C426" s="87" t="s">
        <v>811</v>
      </c>
      <c r="D426" s="82" t="s">
        <v>16</v>
      </c>
      <c r="E426" s="83">
        <v>6</v>
      </c>
      <c r="F426" s="88">
        <v>198747</v>
      </c>
      <c r="G426" s="89">
        <f t="shared" si="18"/>
        <v>1192482</v>
      </c>
      <c r="H426" s="118" t="str">
        <f t="array" ref="H426:K426">_xlfn.XLOOKUP(C426,'ESAP NEIVA FASE II UNIFICADO'!$C$6:$C$720,'ESAP NEIVA FASE II UNIFICADO'!$C$6:$F$720,"NO ESTA")</f>
        <v>SUMINISTRO E INSTALACION VALVULAS DE CORTINA 1 1/4" FC 125 PSI</v>
      </c>
      <c r="I426" t="str">
        <v>UND</v>
      </c>
      <c r="J426">
        <v>17</v>
      </c>
      <c r="K426">
        <v>214747</v>
      </c>
      <c r="L426" s="115">
        <f t="shared" si="19"/>
        <v>214747</v>
      </c>
      <c r="M426" s="146">
        <f t="shared" si="20"/>
        <v>1288482</v>
      </c>
      <c r="N426" s="119"/>
    </row>
    <row r="427" spans="2:14" ht="15" customHeight="1" x14ac:dyDescent="0.25">
      <c r="B427" s="86" t="s">
        <v>812</v>
      </c>
      <c r="C427" s="87" t="s">
        <v>813</v>
      </c>
      <c r="D427" s="82" t="s">
        <v>16</v>
      </c>
      <c r="E427" s="83">
        <v>6</v>
      </c>
      <c r="F427" s="88">
        <v>300049</v>
      </c>
      <c r="G427" s="89">
        <f t="shared" si="18"/>
        <v>1800294</v>
      </c>
      <c r="H427" s="118" t="str">
        <f t="array" ref="H427:K427">_xlfn.XLOOKUP(C427,'ESAP NEIVA FASE II UNIFICADO'!$C$6:$C$720,'ESAP NEIVA FASE II UNIFICADO'!$C$6:$F$720,"NO ESTA")</f>
        <v>SUMINISTRO E INSTALACION VALVULAS DE GLOBO 1 1/4" FC 125 PSI</v>
      </c>
      <c r="I427" t="str">
        <v>UND</v>
      </c>
      <c r="J427">
        <v>17</v>
      </c>
      <c r="K427">
        <v>324203</v>
      </c>
      <c r="L427" s="115">
        <f t="shared" si="19"/>
        <v>324203</v>
      </c>
      <c r="M427" s="146">
        <f t="shared" si="20"/>
        <v>1945218</v>
      </c>
      <c r="N427" s="119"/>
    </row>
    <row r="428" spans="2:14" ht="15" customHeight="1" x14ac:dyDescent="0.25">
      <c r="B428" s="86" t="s">
        <v>814</v>
      </c>
      <c r="C428" s="87" t="s">
        <v>815</v>
      </c>
      <c r="D428" s="82" t="s">
        <v>16</v>
      </c>
      <c r="E428" s="83">
        <v>1</v>
      </c>
      <c r="F428" s="88">
        <v>216582</v>
      </c>
      <c r="G428" s="89">
        <f t="shared" si="18"/>
        <v>216582</v>
      </c>
      <c r="H428" s="118" t="str">
        <f t="array" ref="H428:K428">_xlfn.XLOOKUP(C428,'ESAP NEIVA FASE II UNIFICADO'!$C$6:$C$720,'ESAP NEIVA FASE II UNIFICADO'!$C$6:$F$720,"NO ESTA")</f>
        <v>SUMINISTRO E INSTALACION VALVULAS DE CORTINA 1 1/2" FC 125-150 PSI</v>
      </c>
      <c r="I428" t="str">
        <v>UND</v>
      </c>
      <c r="J428">
        <v>1</v>
      </c>
      <c r="K428">
        <v>234017</v>
      </c>
      <c r="L428" s="115">
        <f t="shared" si="19"/>
        <v>234017</v>
      </c>
      <c r="M428" s="146">
        <f t="shared" si="20"/>
        <v>234017</v>
      </c>
      <c r="N428" s="119"/>
    </row>
    <row r="429" spans="2:14" ht="15" customHeight="1" x14ac:dyDescent="0.25">
      <c r="B429" s="86" t="s">
        <v>816</v>
      </c>
      <c r="C429" s="87" t="s">
        <v>817</v>
      </c>
      <c r="D429" s="82" t="s">
        <v>16</v>
      </c>
      <c r="E429" s="83">
        <v>1</v>
      </c>
      <c r="F429" s="88">
        <v>311701</v>
      </c>
      <c r="G429" s="89">
        <f t="shared" si="18"/>
        <v>311701</v>
      </c>
      <c r="H429" s="118" t="str">
        <f t="array" ref="H429:K429">_xlfn.XLOOKUP(C429,'ESAP NEIVA FASE II UNIFICADO'!$C$6:$C$720,'ESAP NEIVA FASE II UNIFICADO'!$C$6:$F$720,"NO ESTA")</f>
        <v>SUMINISTRO E INSTALACIONVALVULAS DE GLOBO 1   1/2" FC 125-150 PSI</v>
      </c>
      <c r="I429" t="str">
        <v>UND</v>
      </c>
      <c r="J429">
        <v>1</v>
      </c>
      <c r="K429">
        <v>336793</v>
      </c>
      <c r="L429" s="115">
        <f t="shared" si="19"/>
        <v>336793</v>
      </c>
      <c r="M429" s="146">
        <f t="shared" si="20"/>
        <v>336793</v>
      </c>
      <c r="N429" s="119"/>
    </row>
    <row r="430" spans="2:14" ht="15" customHeight="1" x14ac:dyDescent="0.25">
      <c r="B430" s="86" t="s">
        <v>818</v>
      </c>
      <c r="C430" s="87" t="s">
        <v>819</v>
      </c>
      <c r="D430" s="82" t="s">
        <v>16</v>
      </c>
      <c r="E430" s="83">
        <v>2</v>
      </c>
      <c r="F430" s="88">
        <v>145243</v>
      </c>
      <c r="G430" s="89">
        <f t="shared" si="18"/>
        <v>290486</v>
      </c>
      <c r="H430" s="118" t="str">
        <f t="array" ref="H430:K430">_xlfn.XLOOKUP(C430,'ESAP NEIVA FASE II UNIFICADO'!$C$6:$C$720,'ESAP NEIVA FASE II UNIFICADO'!$C$6:$F$720,"NO ESTA")</f>
        <v>SUMINISTRO E INSTALACION VALVULAS DE CORTINA 1" FC 125 PSI</v>
      </c>
      <c r="I430" t="str">
        <v>UND</v>
      </c>
      <c r="J430">
        <v>2</v>
      </c>
      <c r="K430">
        <v>156935</v>
      </c>
      <c r="L430" s="115">
        <f t="shared" si="19"/>
        <v>156935</v>
      </c>
      <c r="M430" s="146">
        <f t="shared" si="20"/>
        <v>313870</v>
      </c>
      <c r="N430" s="119"/>
    </row>
    <row r="431" spans="2:14" ht="15" customHeight="1" x14ac:dyDescent="0.25">
      <c r="B431" s="86" t="s">
        <v>820</v>
      </c>
      <c r="C431" s="87" t="s">
        <v>821</v>
      </c>
      <c r="D431" s="82" t="s">
        <v>16</v>
      </c>
      <c r="E431" s="83">
        <v>2</v>
      </c>
      <c r="F431" s="88">
        <v>180913</v>
      </c>
      <c r="G431" s="89">
        <f t="shared" si="18"/>
        <v>361826</v>
      </c>
      <c r="H431" s="118" t="str">
        <f t="array" ref="H431:K431">_xlfn.XLOOKUP(C431,'ESAP NEIVA FASE II UNIFICADO'!$C$6:$C$720,'ESAP NEIVA FASE II UNIFICADO'!$C$6:$F$720,"NO ESTA")</f>
        <v>SUMINISTRO E INSTALACION VALVULAS DE GLOBO 1" FC 125 PSI</v>
      </c>
      <c r="I431" t="str">
        <v>UND</v>
      </c>
      <c r="J431">
        <v>2</v>
      </c>
      <c r="K431">
        <v>195476</v>
      </c>
      <c r="L431" s="115">
        <f t="shared" si="19"/>
        <v>195476</v>
      </c>
      <c r="M431" s="146">
        <f t="shared" si="20"/>
        <v>390952</v>
      </c>
      <c r="N431" s="119"/>
    </row>
    <row r="432" spans="2:14" ht="15" customHeight="1" x14ac:dyDescent="0.25">
      <c r="B432" s="86" t="s">
        <v>822</v>
      </c>
      <c r="C432" s="87" t="s">
        <v>823</v>
      </c>
      <c r="D432" s="82" t="s">
        <v>16</v>
      </c>
      <c r="E432" s="83">
        <v>4</v>
      </c>
      <c r="F432" s="88">
        <v>116150</v>
      </c>
      <c r="G432" s="89">
        <f t="shared" si="18"/>
        <v>464600</v>
      </c>
      <c r="H432" s="118" t="str">
        <f t="array" ref="H432:K432">_xlfn.XLOOKUP(C432,'ESAP NEIVA FASE II UNIFICADO'!$C$6:$C$720,'ESAP NEIVA FASE II UNIFICADO'!$C$6:$F$720,"NO ESTA")</f>
        <v>SUMINISTRO E INSTALACION VALVULAS DE CORTINA 3/4" FC 125 PSI</v>
      </c>
      <c r="I432" t="str">
        <v>UND</v>
      </c>
      <c r="J432">
        <v>4</v>
      </c>
      <c r="K432">
        <v>125501</v>
      </c>
      <c r="L432" s="115">
        <f t="shared" si="19"/>
        <v>125501</v>
      </c>
      <c r="M432" s="146">
        <f t="shared" si="20"/>
        <v>502004</v>
      </c>
      <c r="N432" s="119"/>
    </row>
    <row r="433" spans="2:14" ht="15" customHeight="1" x14ac:dyDescent="0.25">
      <c r="B433" s="86" t="s">
        <v>824</v>
      </c>
      <c r="C433" s="87" t="s">
        <v>825</v>
      </c>
      <c r="D433" s="82" t="s">
        <v>16</v>
      </c>
      <c r="E433" s="83">
        <v>4</v>
      </c>
      <c r="F433" s="88">
        <v>148848</v>
      </c>
      <c r="G433" s="89">
        <f t="shared" si="18"/>
        <v>595392</v>
      </c>
      <c r="H433" s="118" t="str">
        <f t="array" ref="H433:K433">_xlfn.XLOOKUP(C433,'ESAP NEIVA FASE II UNIFICADO'!$C$6:$C$720,'ESAP NEIVA FASE II UNIFICADO'!$C$6:$F$720,"NO ESTA")</f>
        <v>SUMINISTRO E INSTALACION VALVULAS DE GLOBO 3/4" FC 125 PSI</v>
      </c>
      <c r="I433" t="str">
        <v>UND</v>
      </c>
      <c r="J433">
        <v>4</v>
      </c>
      <c r="K433">
        <v>160830</v>
      </c>
      <c r="L433" s="115">
        <f t="shared" si="19"/>
        <v>160830</v>
      </c>
      <c r="M433" s="146">
        <f t="shared" si="20"/>
        <v>643320</v>
      </c>
      <c r="N433" s="119"/>
    </row>
    <row r="434" spans="2:14" ht="15" customHeight="1" x14ac:dyDescent="0.25">
      <c r="B434" s="86" t="s">
        <v>826</v>
      </c>
      <c r="C434" s="87" t="s">
        <v>827</v>
      </c>
      <c r="D434" s="82" t="s">
        <v>16</v>
      </c>
      <c r="E434" s="83">
        <v>2</v>
      </c>
      <c r="F434" s="88">
        <v>180913</v>
      </c>
      <c r="G434" s="89">
        <f t="shared" si="18"/>
        <v>361826</v>
      </c>
      <c r="H434" s="118" t="str">
        <f t="array" ref="H434:K434">_xlfn.XLOOKUP(C434,'ESAP NEIVA FASE II UNIFICADO'!$C$6:$C$720,'ESAP NEIVA FASE II UNIFICADO'!$C$6:$F$720,"NO ESTA")</f>
        <v>SUMINISTRO E INSTALACION TERMOTATOS DIGITALES NO PROGRAMABLES FC</v>
      </c>
      <c r="I434" t="str">
        <v>UND</v>
      </c>
      <c r="J434">
        <v>6</v>
      </c>
      <c r="K434">
        <v>195476</v>
      </c>
      <c r="L434" s="115">
        <f t="shared" si="19"/>
        <v>195476</v>
      </c>
      <c r="M434" s="146">
        <f t="shared" si="20"/>
        <v>390952</v>
      </c>
      <c r="N434" s="119"/>
    </row>
    <row r="435" spans="2:14" ht="15" customHeight="1" x14ac:dyDescent="0.25">
      <c r="B435" s="86" t="s">
        <v>828</v>
      </c>
      <c r="C435" s="87" t="s">
        <v>829</v>
      </c>
      <c r="D435" s="82" t="s">
        <v>16</v>
      </c>
      <c r="E435" s="83">
        <v>8</v>
      </c>
      <c r="F435" s="88">
        <v>299811</v>
      </c>
      <c r="G435" s="89">
        <f t="shared" si="18"/>
        <v>2398488</v>
      </c>
      <c r="H435" s="118" t="str">
        <f t="array" ref="H435:K435">_xlfn.XLOOKUP(C435,'ESAP NEIVA FASE II UNIFICADO'!$C$6:$C$720,'ESAP NEIVA FASE II UNIFICADO'!$C$6:$F$720,"NO ESTA")</f>
        <v xml:space="preserve">SUMINISTRO E INSTALACION TERMOSTATOS PROPORCIONALES DIGITALES </v>
      </c>
      <c r="I435" t="str">
        <v>UND</v>
      </c>
      <c r="J435">
        <v>22</v>
      </c>
      <c r="K435">
        <v>323946</v>
      </c>
      <c r="L435" s="115">
        <f t="shared" si="19"/>
        <v>323946</v>
      </c>
      <c r="M435" s="146">
        <f t="shared" si="20"/>
        <v>2591568</v>
      </c>
      <c r="N435" s="119"/>
    </row>
    <row r="436" spans="2:14" ht="15" customHeight="1" x14ac:dyDescent="0.25">
      <c r="B436" s="86" t="s">
        <v>830</v>
      </c>
      <c r="C436" s="87" t="s">
        <v>831</v>
      </c>
      <c r="D436" s="82" t="s">
        <v>16</v>
      </c>
      <c r="E436" s="83">
        <v>2</v>
      </c>
      <c r="F436" s="88">
        <v>228472</v>
      </c>
      <c r="G436" s="89">
        <f t="shared" si="18"/>
        <v>456944</v>
      </c>
      <c r="H436" s="118" t="str">
        <f t="array" ref="H436:K436">_xlfn.XLOOKUP(C436,'ESAP NEIVA FASE II UNIFICADO'!$C$6:$C$720,'ESAP NEIVA FASE II UNIFICADO'!$C$6:$F$720,"NO ESTA")</f>
        <v>SUMINISTRO E INSTALACION ELECTROVALVULAS ON-OFF  110V</v>
      </c>
      <c r="I436" t="str">
        <v>UND</v>
      </c>
      <c r="J436">
        <v>6</v>
      </c>
      <c r="K436">
        <v>246864</v>
      </c>
      <c r="L436" s="115">
        <f t="shared" si="19"/>
        <v>246864</v>
      </c>
      <c r="M436" s="146">
        <f t="shared" si="20"/>
        <v>493728</v>
      </c>
      <c r="N436" s="119"/>
    </row>
    <row r="437" spans="2:14" ht="15" customHeight="1" x14ac:dyDescent="0.25">
      <c r="B437" s="86" t="s">
        <v>832</v>
      </c>
      <c r="C437" s="87" t="s">
        <v>833</v>
      </c>
      <c r="D437" s="82" t="s">
        <v>16</v>
      </c>
      <c r="E437" s="83">
        <v>1</v>
      </c>
      <c r="F437" s="88">
        <v>757569</v>
      </c>
      <c r="G437" s="89">
        <f t="shared" si="18"/>
        <v>757569</v>
      </c>
      <c r="H437" s="118" t="str">
        <f t="array" ref="H437:K437">_xlfn.XLOOKUP(C437,'ESAP NEIVA FASE II UNIFICADO'!$C$6:$C$720,'ESAP NEIVA FASE II UNIFICADO'!$C$6:$F$720,"NO ESTA")</f>
        <v>SUMINISTRO E INSTALACION ELECTROVALVULAS PROPORCIONALES 2 " - 2 VIAS - 24V</v>
      </c>
      <c r="I437" t="str">
        <v>UND</v>
      </c>
      <c r="J437">
        <v>0</v>
      </c>
      <c r="K437">
        <v>818556</v>
      </c>
      <c r="L437" s="115">
        <f t="shared" si="19"/>
        <v>818556</v>
      </c>
      <c r="M437" s="146">
        <f t="shared" si="20"/>
        <v>818556</v>
      </c>
      <c r="N437" s="119"/>
    </row>
    <row r="438" spans="2:14" ht="27.75" customHeight="1" x14ac:dyDescent="0.25">
      <c r="B438" s="86" t="s">
        <v>834</v>
      </c>
      <c r="C438" s="87" t="s">
        <v>835</v>
      </c>
      <c r="D438" s="82" t="s">
        <v>16</v>
      </c>
      <c r="E438" s="83">
        <v>1</v>
      </c>
      <c r="F438" s="88">
        <v>757569</v>
      </c>
      <c r="G438" s="89">
        <f t="shared" si="18"/>
        <v>757569</v>
      </c>
      <c r="H438" s="118" t="str">
        <f t="array" ref="H438:K438">_xlfn.XLOOKUP(C438,'ESAP NEIVA FASE II UNIFICADO'!$C$6:$C$720,'ESAP NEIVA FASE II UNIFICADO'!$C$6:$F$720,"NO ESTA")</f>
        <v>SUMINISTRO E INSTALACION ELECTROVALVULAS PROPORCIONALES  1 1/2 " - 2 VIAS - 24V</v>
      </c>
      <c r="I438" t="str">
        <v>UND</v>
      </c>
      <c r="J438">
        <v>2</v>
      </c>
      <c r="K438">
        <v>818556</v>
      </c>
      <c r="L438" s="115">
        <f t="shared" si="19"/>
        <v>818556</v>
      </c>
      <c r="M438" s="146">
        <f t="shared" si="20"/>
        <v>818556</v>
      </c>
      <c r="N438" s="119"/>
    </row>
    <row r="439" spans="2:14" ht="27.75" customHeight="1" x14ac:dyDescent="0.25">
      <c r="B439" s="86" t="s">
        <v>836</v>
      </c>
      <c r="C439" s="87" t="s">
        <v>837</v>
      </c>
      <c r="D439" s="82" t="s">
        <v>16</v>
      </c>
      <c r="E439" s="83">
        <v>1</v>
      </c>
      <c r="F439" s="88">
        <v>757569</v>
      </c>
      <c r="G439" s="89">
        <f t="shared" si="18"/>
        <v>757569</v>
      </c>
      <c r="H439" s="118" t="str">
        <f t="array" ref="H439:K439">_xlfn.XLOOKUP(C439,'ESAP NEIVA FASE II UNIFICADO'!$C$6:$C$720,'ESAP NEIVA FASE II UNIFICADO'!$C$6:$F$720,"NO ESTA")</f>
        <v>SUMINISTRO E INSTALACION ELECTROVALVULAS PROPORCIONALES  1 1/2 " - 3 VIAS - 24V</v>
      </c>
      <c r="I439" t="str">
        <v>UND</v>
      </c>
      <c r="J439">
        <v>0</v>
      </c>
      <c r="K439">
        <v>818556</v>
      </c>
      <c r="L439" s="115">
        <f t="shared" si="19"/>
        <v>818556</v>
      </c>
      <c r="M439" s="146">
        <f t="shared" si="20"/>
        <v>818556</v>
      </c>
      <c r="N439" s="119"/>
    </row>
    <row r="440" spans="2:14" ht="15" customHeight="1" x14ac:dyDescent="0.25">
      <c r="B440" s="86" t="s">
        <v>838</v>
      </c>
      <c r="C440" s="87" t="s">
        <v>839</v>
      </c>
      <c r="D440" s="82" t="s">
        <v>16</v>
      </c>
      <c r="E440" s="83">
        <v>5</v>
      </c>
      <c r="F440" s="88">
        <v>668396</v>
      </c>
      <c r="G440" s="89">
        <f t="shared" si="18"/>
        <v>3341980</v>
      </c>
      <c r="H440" s="118" t="str">
        <f t="array" ref="H440:K440">_xlfn.XLOOKUP(C440,'ESAP NEIVA FASE II UNIFICADO'!$C$6:$C$720,'ESAP NEIVA FASE II UNIFICADO'!$C$6:$F$720,"NO ESTA")</f>
        <v>SUMINISTRO E INSTALACION ELECTROVALVULAS PROPORCIONALES 1 1/4 " - 24V</v>
      </c>
      <c r="I440" t="str">
        <v>UND</v>
      </c>
      <c r="J440">
        <v>15</v>
      </c>
      <c r="K440">
        <v>722203</v>
      </c>
      <c r="L440" s="115">
        <f t="shared" si="19"/>
        <v>722203</v>
      </c>
      <c r="M440" s="146">
        <f t="shared" si="20"/>
        <v>3611015</v>
      </c>
      <c r="N440" s="119"/>
    </row>
    <row r="441" spans="2:14" ht="15" customHeight="1" x14ac:dyDescent="0.25">
      <c r="B441" s="86" t="s">
        <v>840</v>
      </c>
      <c r="C441" s="87" t="s">
        <v>841</v>
      </c>
      <c r="D441" s="82" t="s">
        <v>16</v>
      </c>
      <c r="E441" s="83">
        <v>1</v>
      </c>
      <c r="F441" s="88">
        <v>539034</v>
      </c>
      <c r="G441" s="89">
        <f t="shared" si="18"/>
        <v>539034</v>
      </c>
      <c r="H441" s="118" t="str">
        <f t="array" ref="H441:K441">_xlfn.XLOOKUP(C441,'ESAP NEIVA FASE II UNIFICADO'!$C$6:$C$720,'ESAP NEIVA FASE II UNIFICADO'!$C$6:$F$720,"NO ESTA")</f>
        <v>SUMINISTRO E INSTALACION ELECTROVALVULAS PROPORCIONALES 1 " - 24V</v>
      </c>
      <c r="I441" t="str">
        <v>UND</v>
      </c>
      <c r="J441">
        <v>0</v>
      </c>
      <c r="K441">
        <v>582428</v>
      </c>
      <c r="L441" s="115">
        <f t="shared" si="19"/>
        <v>582428</v>
      </c>
      <c r="M441" s="146">
        <f t="shared" si="20"/>
        <v>582428</v>
      </c>
      <c r="N441" s="119"/>
    </row>
    <row r="442" spans="2:14" ht="15" customHeight="1" x14ac:dyDescent="0.25">
      <c r="B442" s="80" t="s">
        <v>842</v>
      </c>
      <c r="C442" s="81" t="s">
        <v>843</v>
      </c>
      <c r="D442" s="82"/>
      <c r="E442" s="83"/>
      <c r="F442" s="90"/>
      <c r="G442" s="89">
        <f t="shared" si="18"/>
        <v>0</v>
      </c>
      <c r="H442" s="118" t="str">
        <f t="array" ref="H442:K442">_xlfn.XLOOKUP(C442,'ESAP NEIVA FASE II UNIFICADO'!$C$6:$C$720,'ESAP NEIVA FASE II UNIFICADO'!$C$6:$F$720,"NO ESTA")</f>
        <v>SUMINISTRO, MONTAJE E INSTALACIÓN DE DUCTOS DE AIRE ACONDICIONADO</v>
      </c>
      <c r="I442">
        <v>0</v>
      </c>
      <c r="J442">
        <v>0</v>
      </c>
      <c r="K442">
        <v>0</v>
      </c>
      <c r="L442" s="115">
        <f t="shared" si="19"/>
        <v>0</v>
      </c>
      <c r="M442" s="146">
        <f t="shared" si="20"/>
        <v>0</v>
      </c>
      <c r="N442" s="119"/>
    </row>
    <row r="443" spans="2:14" ht="15" customHeight="1" x14ac:dyDescent="0.25">
      <c r="B443" s="86" t="s">
        <v>844</v>
      </c>
      <c r="C443" s="87" t="s">
        <v>845</v>
      </c>
      <c r="D443" s="82" t="s">
        <v>13</v>
      </c>
      <c r="E443" s="83">
        <v>28</v>
      </c>
      <c r="F443" s="88">
        <v>59051</v>
      </c>
      <c r="G443" s="89">
        <f t="shared" si="18"/>
        <v>1653428</v>
      </c>
      <c r="H443" s="118" t="str">
        <f t="array" ref="H443:K443">_xlfn.XLOOKUP(C443,'ESAP NEIVA FASE II UNIFICADO'!$C$6:$C$720,'ESAP NEIVA FASE II UNIFICADO'!$C$6:$F$720,"NO ESTA")</f>
        <v>SUMINISTRO E INSTALACION DUCTOS EN LAMINA GALVANIZADA CAL. 24 Wrap FC</v>
      </c>
      <c r="I443" t="str">
        <v>M2</v>
      </c>
      <c r="J443">
        <v>77</v>
      </c>
      <c r="K443">
        <v>63805</v>
      </c>
      <c r="L443" s="115">
        <f t="shared" si="19"/>
        <v>63805</v>
      </c>
      <c r="M443" s="146">
        <f t="shared" si="20"/>
        <v>1786540</v>
      </c>
      <c r="N443" s="119"/>
    </row>
    <row r="444" spans="2:14" ht="15" customHeight="1" x14ac:dyDescent="0.25">
      <c r="B444" s="86" t="s">
        <v>846</v>
      </c>
      <c r="C444" s="87" t="s">
        <v>847</v>
      </c>
      <c r="D444" s="82" t="s">
        <v>13</v>
      </c>
      <c r="E444" s="83">
        <v>200</v>
      </c>
      <c r="F444" s="88">
        <v>64950</v>
      </c>
      <c r="G444" s="89">
        <f t="shared" si="18"/>
        <v>12990000</v>
      </c>
      <c r="H444" s="118" t="str">
        <f t="array" ref="H444:K444">_xlfn.XLOOKUP(C444,'ESAP NEIVA FASE II UNIFICADO'!$C$6:$C$720,'ESAP NEIVA FASE II UNIFICADO'!$C$6:$F$720,"NO ESTA")</f>
        <v>SUMINISTRO E INSTALACION DUCTOS EN LAMINA GALVANIZADA CAL. 22 Wrap FC</v>
      </c>
      <c r="I444" t="str">
        <v>M2</v>
      </c>
      <c r="J444">
        <v>540</v>
      </c>
      <c r="K444">
        <v>70179</v>
      </c>
      <c r="L444" s="115">
        <f t="shared" si="19"/>
        <v>70179</v>
      </c>
      <c r="M444" s="146">
        <f t="shared" si="20"/>
        <v>14035800</v>
      </c>
      <c r="N444" s="119"/>
    </row>
    <row r="445" spans="2:14" ht="15" customHeight="1" x14ac:dyDescent="0.25">
      <c r="B445" s="86" t="s">
        <v>848</v>
      </c>
      <c r="C445" s="87" t="s">
        <v>849</v>
      </c>
      <c r="D445" s="82" t="s">
        <v>13</v>
      </c>
      <c r="E445" s="83">
        <v>228</v>
      </c>
      <c r="F445" s="88">
        <v>18007</v>
      </c>
      <c r="G445" s="89">
        <f t="shared" si="18"/>
        <v>4105596</v>
      </c>
      <c r="H445" s="118" t="str">
        <f t="array" ref="H445:K445">_xlfn.XLOOKUP(C445,'ESAP NEIVA FASE II UNIFICADO'!$C$6:$C$720,'ESAP NEIVA FASE II UNIFICADO'!$C$6:$F$720,"NO ESTA")</f>
        <v>SUMINISTRO E INSTALACION AISLAMIENTO DUCTOS EN JUMBOLON FC</v>
      </c>
      <c r="I445" t="str">
        <v>M2</v>
      </c>
      <c r="J445">
        <v>617</v>
      </c>
      <c r="K445">
        <v>19457</v>
      </c>
      <c r="L445" s="115">
        <f t="shared" si="19"/>
        <v>19457</v>
      </c>
      <c r="M445" s="146">
        <f t="shared" si="20"/>
        <v>4436196</v>
      </c>
      <c r="N445" s="119"/>
    </row>
    <row r="446" spans="2:14" ht="15" customHeight="1" x14ac:dyDescent="0.25">
      <c r="B446" s="86" t="s">
        <v>850</v>
      </c>
      <c r="C446" s="87" t="s">
        <v>851</v>
      </c>
      <c r="D446" s="82" t="s">
        <v>13</v>
      </c>
      <c r="E446" s="83">
        <v>55</v>
      </c>
      <c r="F446" s="88">
        <v>70895</v>
      </c>
      <c r="G446" s="89">
        <f t="shared" si="18"/>
        <v>3899225</v>
      </c>
      <c r="H446" s="118" t="str">
        <f t="array" ref="H446:K446">_xlfn.XLOOKUP(C446,'ESAP NEIVA FASE II UNIFICADO'!$C$6:$C$720,'ESAP NEIVA FASE II UNIFICADO'!$C$6:$F$720,"NO ESTA")</f>
        <v>SUMINISTRO E INSTALACION DUCTOS EN LAMINA GALVANIZADA CAL. 20 Wrap UMAS</v>
      </c>
      <c r="I446" t="str">
        <v>M2</v>
      </c>
      <c r="J446">
        <v>150</v>
      </c>
      <c r="K446">
        <v>76603</v>
      </c>
      <c r="L446" s="115">
        <f t="shared" si="19"/>
        <v>76603</v>
      </c>
      <c r="M446" s="146">
        <f t="shared" si="20"/>
        <v>4213165</v>
      </c>
      <c r="N446" s="119"/>
    </row>
    <row r="447" spans="2:14" ht="15" customHeight="1" x14ac:dyDescent="0.25">
      <c r="B447" s="86" t="s">
        <v>852</v>
      </c>
      <c r="C447" s="87" t="s">
        <v>853</v>
      </c>
      <c r="D447" s="82" t="s">
        <v>13</v>
      </c>
      <c r="E447" s="83">
        <v>55</v>
      </c>
      <c r="F447" s="88">
        <v>18007</v>
      </c>
      <c r="G447" s="89">
        <f t="shared" si="18"/>
        <v>990385</v>
      </c>
      <c r="H447" s="118" t="str">
        <f t="array" ref="H447:K447">_xlfn.XLOOKUP(C447,'ESAP NEIVA FASE II UNIFICADO'!$C$6:$C$720,'ESAP NEIVA FASE II UNIFICADO'!$C$6:$F$720,"NO ESTA")</f>
        <v>SUMINISTRO E INSTALACION AISLAMIENTO DUCTOS EN DUCT WRAP UMAS</v>
      </c>
      <c r="I447" t="str">
        <v>M2</v>
      </c>
      <c r="J447">
        <v>150</v>
      </c>
      <c r="K447">
        <v>19457</v>
      </c>
      <c r="L447" s="115">
        <f t="shared" si="19"/>
        <v>19457</v>
      </c>
      <c r="M447" s="146">
        <f t="shared" si="20"/>
        <v>1070135</v>
      </c>
      <c r="N447" s="119"/>
    </row>
    <row r="448" spans="2:14" ht="15" customHeight="1" x14ac:dyDescent="0.25">
      <c r="B448" s="86" t="s">
        <v>854</v>
      </c>
      <c r="C448" s="87" t="s">
        <v>855</v>
      </c>
      <c r="D448" s="82" t="s">
        <v>16</v>
      </c>
      <c r="E448" s="83">
        <v>9</v>
      </c>
      <c r="F448" s="88">
        <v>30906</v>
      </c>
      <c r="G448" s="89">
        <f t="shared" si="18"/>
        <v>278154</v>
      </c>
      <c r="H448" s="118" t="str">
        <f t="array" ref="H448:K448">_xlfn.XLOOKUP(C448,'ESAP NEIVA FASE II UNIFICADO'!$C$6:$C$720,'ESAP NEIVA FASE II UNIFICADO'!$C$6:$F$720,"NO ESTA")</f>
        <v>SUMINISTRO E INSTALACION ACOPLE FLEXIBLE DUCTOS - EQUIPOS</v>
      </c>
      <c r="I448" t="str">
        <v>UND</v>
      </c>
      <c r="J448">
        <v>24</v>
      </c>
      <c r="K448">
        <v>33394</v>
      </c>
      <c r="L448" s="115">
        <f t="shared" si="19"/>
        <v>33394</v>
      </c>
      <c r="M448" s="146">
        <f t="shared" si="20"/>
        <v>300546</v>
      </c>
      <c r="N448" s="119"/>
    </row>
    <row r="449" spans="2:14" ht="15" customHeight="1" x14ac:dyDescent="0.25">
      <c r="B449" s="80" t="s">
        <v>856</v>
      </c>
      <c r="C449" s="81" t="s">
        <v>857</v>
      </c>
      <c r="D449" s="82"/>
      <c r="E449" s="83"/>
      <c r="F449" s="90"/>
      <c r="G449" s="89">
        <f t="shared" si="18"/>
        <v>0</v>
      </c>
      <c r="H449" s="118" t="str">
        <f t="array" ref="H449:K449">_xlfn.XLOOKUP(C449,'ESAP NEIVA FASE II UNIFICADO'!$C$6:$C$720,'ESAP NEIVA FASE II UNIFICADO'!$C$6:$F$720,"NO ESTA")</f>
        <v>SUMINISTRO E INSTALACIÓN DIFUSORES Y REJILLAS</v>
      </c>
      <c r="I449">
        <v>0</v>
      </c>
      <c r="J449">
        <v>0</v>
      </c>
      <c r="K449">
        <v>0</v>
      </c>
      <c r="L449" s="115">
        <f t="shared" si="19"/>
        <v>0</v>
      </c>
      <c r="M449" s="146">
        <f t="shared" si="20"/>
        <v>0</v>
      </c>
      <c r="N449" s="119"/>
    </row>
    <row r="450" spans="2:14" ht="26.25" customHeight="1" x14ac:dyDescent="0.25">
      <c r="B450" s="86" t="s">
        <v>858</v>
      </c>
      <c r="C450" s="87" t="s">
        <v>859</v>
      </c>
      <c r="D450" s="82" t="s">
        <v>16</v>
      </c>
      <c r="E450" s="83">
        <v>30</v>
      </c>
      <c r="F450" s="88">
        <v>145568</v>
      </c>
      <c r="G450" s="89">
        <f t="shared" si="18"/>
        <v>4367040</v>
      </c>
      <c r="H450" s="118" t="str">
        <f t="array" ref="H450:K450">_xlfn.XLOOKUP(C450,'ESAP NEIVA FASE II UNIFICADO'!$C$6:$C$720,'ESAP NEIVA FASE II UNIFICADO'!$C$6:$F$720,"NO ESTA")</f>
        <v>SUMINISTRO E INSTALACION DIFUSORES SUMINISTRO DE 12" x 12" 4V (Tipo Descolgado) con Damper OB</v>
      </c>
      <c r="I450" t="str">
        <v>UND</v>
      </c>
      <c r="J450">
        <v>82</v>
      </c>
      <c r="K450">
        <v>157287</v>
      </c>
      <c r="L450" s="115">
        <f t="shared" si="19"/>
        <v>157287</v>
      </c>
      <c r="M450" s="146">
        <f t="shared" si="20"/>
        <v>4718610</v>
      </c>
      <c r="N450" s="119"/>
    </row>
    <row r="451" spans="2:14" ht="26.25" customHeight="1" x14ac:dyDescent="0.25">
      <c r="B451" s="86" t="s">
        <v>860</v>
      </c>
      <c r="C451" s="87" t="s">
        <v>861</v>
      </c>
      <c r="D451" s="82" t="s">
        <v>16</v>
      </c>
      <c r="E451" s="83">
        <v>2</v>
      </c>
      <c r="F451" s="88">
        <v>101576</v>
      </c>
      <c r="G451" s="89">
        <f t="shared" si="18"/>
        <v>203152</v>
      </c>
      <c r="H451" s="118" t="str">
        <f t="array" ref="H451:K451">_xlfn.XLOOKUP(C451,'ESAP NEIVA FASE II UNIFICADO'!$C$6:$C$720,'ESAP NEIVA FASE II UNIFICADO'!$C$6:$F$720,"NO ESTA")</f>
        <v>SUMINISTRO E INSTALACION DIFUSORES SUMINISTRO DE 9" x 9" 4V (Tipo Descolgado) con Damper OB</v>
      </c>
      <c r="I451" t="str">
        <v>UND</v>
      </c>
      <c r="J451">
        <v>4</v>
      </c>
      <c r="K451">
        <v>109753</v>
      </c>
      <c r="L451" s="115">
        <f t="shared" si="19"/>
        <v>109753</v>
      </c>
      <c r="M451" s="146">
        <f t="shared" si="20"/>
        <v>219506</v>
      </c>
      <c r="N451" s="119"/>
    </row>
    <row r="452" spans="2:14" ht="26.25" customHeight="1" x14ac:dyDescent="0.25">
      <c r="B452" s="86" t="s">
        <v>862</v>
      </c>
      <c r="C452" s="87" t="s">
        <v>863</v>
      </c>
      <c r="D452" s="82" t="s">
        <v>16</v>
      </c>
      <c r="E452" s="83">
        <v>1</v>
      </c>
      <c r="F452" s="88">
        <v>214529</v>
      </c>
      <c r="G452" s="89">
        <f t="shared" si="18"/>
        <v>214529</v>
      </c>
      <c r="H452" s="118" t="str">
        <f t="array" ref="H452:K452">_xlfn.XLOOKUP(C452,'ESAP NEIVA FASE II UNIFICADO'!$C$6:$C$720,'ESAP NEIVA FASE II UNIFICADO'!$C$6:$F$720,"NO ESTA")</f>
        <v>SUMINISTRO E INSTALACION REJILLAS SUMINISTRO DE 48" X 12" (TIPO DOBLE ALETA) con Damper incluye EXTRACTORES DE AIRE</v>
      </c>
      <c r="I452" t="str">
        <v>UND</v>
      </c>
      <c r="J452">
        <v>4</v>
      </c>
      <c r="K452">
        <v>231800</v>
      </c>
      <c r="L452" s="115">
        <f t="shared" si="19"/>
        <v>231800</v>
      </c>
      <c r="M452" s="146">
        <f t="shared" si="20"/>
        <v>231800</v>
      </c>
      <c r="N452" s="119"/>
    </row>
    <row r="453" spans="2:14" ht="26.25" customHeight="1" x14ac:dyDescent="0.25">
      <c r="B453" s="86" t="s">
        <v>864</v>
      </c>
      <c r="C453" s="87" t="s">
        <v>865</v>
      </c>
      <c r="D453" s="82" t="s">
        <v>16</v>
      </c>
      <c r="E453" s="83">
        <v>1</v>
      </c>
      <c r="F453" s="88">
        <v>54017</v>
      </c>
      <c r="G453" s="89">
        <f t="shared" si="18"/>
        <v>54017</v>
      </c>
      <c r="H453" s="118" t="str">
        <f t="array" ref="H453:K453">_xlfn.XLOOKUP(C453,'ESAP NEIVA FASE II UNIFICADO'!$C$6:$C$720,'ESAP NEIVA FASE II UNIFICADO'!$C$6:$F$720,"NO ESTA")</f>
        <v>SUMINISTRO E INSTALACION REJILLAS DE ACCESO/ RETORNO A FC DE 18" x 8" 160 CFM</v>
      </c>
      <c r="I453" t="str">
        <v>UND</v>
      </c>
      <c r="J453">
        <v>2</v>
      </c>
      <c r="K453">
        <v>58365</v>
      </c>
      <c r="L453" s="115">
        <f t="shared" si="19"/>
        <v>58365</v>
      </c>
      <c r="M453" s="146">
        <f t="shared" si="20"/>
        <v>58365</v>
      </c>
      <c r="N453" s="119"/>
    </row>
    <row r="454" spans="2:14" ht="26.25" customHeight="1" x14ac:dyDescent="0.25">
      <c r="B454" s="86" t="s">
        <v>866</v>
      </c>
      <c r="C454" s="87" t="s">
        <v>867</v>
      </c>
      <c r="D454" s="82" t="s">
        <v>16</v>
      </c>
      <c r="E454" s="83">
        <v>4</v>
      </c>
      <c r="F454" s="88">
        <v>202640</v>
      </c>
      <c r="G454" s="89">
        <f t="shared" ref="G454:G517" si="21">ROUND(+F454*E454,2)</f>
        <v>810560</v>
      </c>
      <c r="H454" s="118" t="str">
        <f t="array" ref="H454:K454">_xlfn.XLOOKUP(C454,'ESAP NEIVA FASE II UNIFICADO'!$C$6:$C$720,'ESAP NEIVA FASE II UNIFICADO'!$C$6:$F$720,"NO ESTA")</f>
        <v>SUMINISTRO E INSTALACION REJILLAS DE ACCESO/ RETORNO A FC DE 40" x 8"   320 CFM</v>
      </c>
      <c r="I454" t="str">
        <v>UND</v>
      </c>
      <c r="J454">
        <v>12</v>
      </c>
      <c r="K454">
        <v>218953</v>
      </c>
      <c r="L454" s="115">
        <f t="shared" ref="L454:L517" si="22">MAX(K454,F454)</f>
        <v>218953</v>
      </c>
      <c r="M454" s="146">
        <f t="shared" ref="M454:M517" si="23">L454*E454</f>
        <v>875812</v>
      </c>
      <c r="N454" s="119"/>
    </row>
    <row r="455" spans="2:14" ht="26.25" customHeight="1" x14ac:dyDescent="0.25">
      <c r="B455" s="86" t="s">
        <v>868</v>
      </c>
      <c r="C455" s="87" t="s">
        <v>869</v>
      </c>
      <c r="D455" s="82" t="s">
        <v>16</v>
      </c>
      <c r="E455" s="83">
        <v>3</v>
      </c>
      <c r="F455" s="88">
        <v>214529</v>
      </c>
      <c r="G455" s="89">
        <f t="shared" si="21"/>
        <v>643587</v>
      </c>
      <c r="H455" s="118" t="str">
        <f t="array" ref="H455:K455">_xlfn.XLOOKUP(C455,'ESAP NEIVA FASE II UNIFICADO'!$C$6:$C$720,'ESAP NEIVA FASE II UNIFICADO'!$C$6:$F$720,"NO ESTA")</f>
        <v>SUMINISTRO E INSTALACION REJILLAS DE ACCESO/ RETORNO A FC DE 48" x 12" 400 CFM</v>
      </c>
      <c r="I455" t="str">
        <v>UND</v>
      </c>
      <c r="J455">
        <v>8</v>
      </c>
      <c r="K455">
        <v>231800</v>
      </c>
      <c r="L455" s="115">
        <f t="shared" si="22"/>
        <v>231800</v>
      </c>
      <c r="M455" s="146">
        <f t="shared" si="23"/>
        <v>695400</v>
      </c>
      <c r="N455" s="119"/>
    </row>
    <row r="456" spans="2:14" ht="26.25" customHeight="1" x14ac:dyDescent="0.25">
      <c r="B456" s="86" t="s">
        <v>870</v>
      </c>
      <c r="C456" s="87" t="s">
        <v>871</v>
      </c>
      <c r="D456" s="82" t="s">
        <v>16</v>
      </c>
      <c r="E456" s="83">
        <v>1</v>
      </c>
      <c r="F456" s="88">
        <v>461838</v>
      </c>
      <c r="G456" s="89">
        <f t="shared" si="21"/>
        <v>461838</v>
      </c>
      <c r="H456" s="118" t="str">
        <f t="array" ref="H456:K456">_xlfn.XLOOKUP(C456,'ESAP NEIVA FASE II UNIFICADO'!$C$6:$C$720,'ESAP NEIVA FASE II UNIFICADO'!$C$6:$F$720,"NO ESTA")</f>
        <v>SUMINISTRO E INSTALACION REJILLAS DE ACCESO/ RETORNO A FC DE 48" x 20" 2400 CFM</v>
      </c>
      <c r="I456" t="str">
        <v>UND</v>
      </c>
      <c r="J456">
        <v>1</v>
      </c>
      <c r="K456">
        <v>499017</v>
      </c>
      <c r="L456" s="115">
        <f t="shared" si="22"/>
        <v>499017</v>
      </c>
      <c r="M456" s="146">
        <f t="shared" si="23"/>
        <v>499017</v>
      </c>
      <c r="N456" s="119"/>
    </row>
    <row r="457" spans="2:14" ht="26.25" customHeight="1" x14ac:dyDescent="0.25">
      <c r="B457" s="86" t="s">
        <v>872</v>
      </c>
      <c r="C457" s="87" t="s">
        <v>873</v>
      </c>
      <c r="D457" s="82" t="s">
        <v>16</v>
      </c>
      <c r="E457" s="83">
        <v>1</v>
      </c>
      <c r="F457" s="88">
        <v>410712</v>
      </c>
      <c r="G457" s="89">
        <f t="shared" si="21"/>
        <v>410712</v>
      </c>
      <c r="H457" s="118" t="str">
        <f t="array" ref="H457:K457">_xlfn.XLOOKUP(C457,'ESAP NEIVA FASE II UNIFICADO'!$C$6:$C$720,'ESAP NEIVA FASE II UNIFICADO'!$C$6:$F$720,"NO ESTA")</f>
        <v>SUMINISTRO E INSTALACION REJILLAS DE ACCESO/ RETORNO A FC DE 48" x 24" 3600 CFM</v>
      </c>
      <c r="I457" t="str">
        <v>UND</v>
      </c>
      <c r="J457">
        <v>3</v>
      </c>
      <c r="K457">
        <v>443775</v>
      </c>
      <c r="L457" s="115">
        <f t="shared" si="22"/>
        <v>443775</v>
      </c>
      <c r="M457" s="146">
        <f t="shared" si="23"/>
        <v>443775</v>
      </c>
      <c r="N457" s="119"/>
    </row>
    <row r="458" spans="2:14" ht="15" customHeight="1" x14ac:dyDescent="0.25">
      <c r="B458" s="86" t="s">
        <v>874</v>
      </c>
      <c r="C458" s="87" t="s">
        <v>875</v>
      </c>
      <c r="D458" s="82" t="s">
        <v>16</v>
      </c>
      <c r="E458" s="83">
        <v>1</v>
      </c>
      <c r="F458" s="88">
        <v>21914</v>
      </c>
      <c r="G458" s="89">
        <f t="shared" si="21"/>
        <v>21914</v>
      </c>
      <c r="H458" s="118" t="str">
        <f t="array" ref="H458:K458">_xlfn.XLOOKUP(C458,'ESAP NEIVA FASE II UNIFICADO'!$C$6:$C$720,'ESAP NEIVA FASE II UNIFICADO'!$C$6:$F$720,"NO ESTA")</f>
        <v>SUMINISTRO E INSTALACION REJILLAS DE TOMA AIRE EXTERNO TAE 6" x 6"</v>
      </c>
      <c r="I458" t="str">
        <v>UND</v>
      </c>
      <c r="J458">
        <v>0</v>
      </c>
      <c r="K458">
        <v>23678</v>
      </c>
      <c r="L458" s="115">
        <f t="shared" si="22"/>
        <v>23678</v>
      </c>
      <c r="M458" s="146">
        <f t="shared" si="23"/>
        <v>23678</v>
      </c>
      <c r="N458" s="119"/>
    </row>
    <row r="459" spans="2:14" ht="15" customHeight="1" x14ac:dyDescent="0.25">
      <c r="B459" s="86" t="s">
        <v>876</v>
      </c>
      <c r="C459" s="87" t="s">
        <v>877</v>
      </c>
      <c r="D459" s="82" t="s">
        <v>16</v>
      </c>
      <c r="E459" s="83">
        <v>1</v>
      </c>
      <c r="F459" s="88">
        <v>30236</v>
      </c>
      <c r="G459" s="89">
        <f t="shared" si="21"/>
        <v>30236</v>
      </c>
      <c r="H459" s="118" t="str">
        <f t="array" ref="H459:K459">_xlfn.XLOOKUP(C459,'ESAP NEIVA FASE II UNIFICADO'!$C$6:$C$720,'ESAP NEIVA FASE II UNIFICADO'!$C$6:$F$720,"NO ESTA")</f>
        <v>SUMINISTRO E INSTALACION REJILLAS DE TOMA AIRE EXTERNO TAE 10" x 8"</v>
      </c>
      <c r="I459" t="str">
        <v>UND</v>
      </c>
      <c r="J459">
        <v>0</v>
      </c>
      <c r="K459">
        <v>32671</v>
      </c>
      <c r="L459" s="115">
        <f t="shared" si="22"/>
        <v>32671</v>
      </c>
      <c r="M459" s="146">
        <f t="shared" si="23"/>
        <v>32671</v>
      </c>
      <c r="N459" s="119"/>
    </row>
    <row r="460" spans="2:14" ht="15" customHeight="1" x14ac:dyDescent="0.25">
      <c r="B460" s="86" t="s">
        <v>878</v>
      </c>
      <c r="C460" s="87" t="s">
        <v>879</v>
      </c>
      <c r="D460" s="82" t="s">
        <v>16</v>
      </c>
      <c r="E460" s="83">
        <v>6</v>
      </c>
      <c r="F460" s="88">
        <v>42127</v>
      </c>
      <c r="G460" s="89">
        <f t="shared" si="21"/>
        <v>252762</v>
      </c>
      <c r="H460" s="118" t="str">
        <f t="array" ref="H460:K460">_xlfn.XLOOKUP(C460,'ESAP NEIVA FASE II UNIFICADO'!$C$6:$C$720,'ESAP NEIVA FASE II UNIFICADO'!$C$6:$F$720,"NO ESTA")</f>
        <v>SUMINISTRO E INSTALACION REJILLAS DE TOMA AIRE EXTERNO TAE 12" x 8"</v>
      </c>
      <c r="I460" t="str">
        <v>UND</v>
      </c>
      <c r="J460">
        <v>16</v>
      </c>
      <c r="K460">
        <v>45518</v>
      </c>
      <c r="L460" s="115">
        <f t="shared" si="22"/>
        <v>45518</v>
      </c>
      <c r="M460" s="146">
        <f t="shared" si="23"/>
        <v>273108</v>
      </c>
      <c r="N460" s="119"/>
    </row>
    <row r="461" spans="2:14" ht="15" customHeight="1" x14ac:dyDescent="0.25">
      <c r="B461" s="86" t="s">
        <v>880</v>
      </c>
      <c r="C461" s="87" t="s">
        <v>881</v>
      </c>
      <c r="D461" s="82" t="s">
        <v>16</v>
      </c>
      <c r="E461" s="83">
        <v>1</v>
      </c>
      <c r="F461" s="88">
        <v>54017</v>
      </c>
      <c r="G461" s="89">
        <f t="shared" si="21"/>
        <v>54017</v>
      </c>
      <c r="H461" s="118" t="str">
        <f t="array" ref="H461:K461">_xlfn.XLOOKUP(C461,'ESAP NEIVA FASE II UNIFICADO'!$C$6:$C$720,'ESAP NEIVA FASE II UNIFICADO'!$C$6:$F$720,"NO ESTA")</f>
        <v>SUMINISTRO E INSTALACION REJILLAS DE TOMA AIRE EXTERNO TAE 18" x 8"</v>
      </c>
      <c r="I461" t="str">
        <v>UND</v>
      </c>
      <c r="J461">
        <v>2</v>
      </c>
      <c r="K461">
        <v>58365</v>
      </c>
      <c r="L461" s="115">
        <f t="shared" si="22"/>
        <v>58365</v>
      </c>
      <c r="M461" s="146">
        <f t="shared" si="23"/>
        <v>58365</v>
      </c>
      <c r="N461" s="119"/>
    </row>
    <row r="462" spans="2:14" ht="25.5" customHeight="1" x14ac:dyDescent="0.25">
      <c r="B462" s="86" t="s">
        <v>882</v>
      </c>
      <c r="C462" s="87" t="s">
        <v>883</v>
      </c>
      <c r="D462" s="82" t="s">
        <v>16</v>
      </c>
      <c r="E462" s="83">
        <v>1</v>
      </c>
      <c r="F462" s="88">
        <v>535555</v>
      </c>
      <c r="G462" s="89">
        <f t="shared" si="21"/>
        <v>535555</v>
      </c>
      <c r="H462" s="118" t="str">
        <f t="array" ref="H462">_xlfn.XLOOKUP(C462,'ESAP NEIVA FASE II UNIFICADO'!$C$6:$C$720,'ESAP NEIVA FASE II UNIFICADO'!$C$6:$F$720,"NO ESTA")</f>
        <v>NO ESTA</v>
      </c>
      <c r="L462" s="115">
        <f t="shared" si="22"/>
        <v>535555</v>
      </c>
      <c r="M462" s="146">
        <f t="shared" si="23"/>
        <v>535555</v>
      </c>
      <c r="N462" s="119"/>
    </row>
    <row r="463" spans="2:14" ht="25.5" customHeight="1" x14ac:dyDescent="0.25">
      <c r="B463" s="86" t="s">
        <v>884</v>
      </c>
      <c r="C463" s="87" t="s">
        <v>885</v>
      </c>
      <c r="D463" s="82" t="s">
        <v>16</v>
      </c>
      <c r="E463" s="83">
        <v>1</v>
      </c>
      <c r="F463" s="88">
        <v>618271</v>
      </c>
      <c r="G463" s="89">
        <f t="shared" si="21"/>
        <v>618271</v>
      </c>
      <c r="H463" s="118" t="str">
        <f t="array" ref="H463">_xlfn.XLOOKUP(C463,'ESAP NEIVA FASE II UNIFICADO'!$C$6:$C$720,'ESAP NEIVA FASE II UNIFICADO'!$C$6:$F$720,"NO ESTA")</f>
        <v>NO ESTA</v>
      </c>
      <c r="L463" s="115">
        <f t="shared" si="22"/>
        <v>618271</v>
      </c>
      <c r="M463" s="146">
        <f t="shared" si="23"/>
        <v>618271</v>
      </c>
      <c r="N463" s="119"/>
    </row>
    <row r="464" spans="2:14" ht="15" customHeight="1" x14ac:dyDescent="0.25">
      <c r="B464" s="80" t="s">
        <v>886</v>
      </c>
      <c r="C464" s="81" t="s">
        <v>887</v>
      </c>
      <c r="D464" s="82"/>
      <c r="E464" s="83"/>
      <c r="F464" s="90"/>
      <c r="G464" s="89">
        <f t="shared" si="21"/>
        <v>0</v>
      </c>
      <c r="H464" s="118" t="str">
        <f t="array" ref="H464:K464">_xlfn.XLOOKUP(C464,'ESAP NEIVA FASE II UNIFICADO'!$C$6:$C$720,'ESAP NEIVA FASE II UNIFICADO'!$C$6:$F$720,"NO ESTA")</f>
        <v>SUMINSITRO, MONTAJE E INSTALACIÓN DE VENTILACIÓN MECANICA</v>
      </c>
      <c r="I464">
        <v>0</v>
      </c>
      <c r="J464">
        <v>0</v>
      </c>
      <c r="K464">
        <v>0</v>
      </c>
      <c r="L464" s="115">
        <f t="shared" si="22"/>
        <v>0</v>
      </c>
      <c r="M464" s="146">
        <f t="shared" si="23"/>
        <v>0</v>
      </c>
      <c r="N464" s="119"/>
    </row>
    <row r="465" spans="2:14" ht="15" customHeight="1" x14ac:dyDescent="0.25">
      <c r="B465" s="86" t="s">
        <v>888</v>
      </c>
      <c r="C465" s="87" t="s">
        <v>851</v>
      </c>
      <c r="D465" s="82" t="s">
        <v>13</v>
      </c>
      <c r="E465" s="83">
        <v>32</v>
      </c>
      <c r="F465" s="88">
        <v>83309</v>
      </c>
      <c r="G465" s="89">
        <f t="shared" si="21"/>
        <v>2665888</v>
      </c>
      <c r="H465" s="118" t="str">
        <f t="array" ref="H465:K465">_xlfn.XLOOKUP(C465,'ESAP NEIVA FASE II UNIFICADO'!$C$6:$C$720,'ESAP NEIVA FASE II UNIFICADO'!$C$6:$F$720,"NO ESTA")</f>
        <v>SUMINISTRO E INSTALACION DUCTOS EN LAMINA GALVANIZADA CAL. 20 Wrap UMAS</v>
      </c>
      <c r="I465" t="str">
        <v>M2</v>
      </c>
      <c r="J465">
        <v>150</v>
      </c>
      <c r="K465">
        <v>76603</v>
      </c>
      <c r="L465" s="115">
        <f t="shared" si="22"/>
        <v>83309</v>
      </c>
      <c r="M465" s="146">
        <f t="shared" si="23"/>
        <v>2665888</v>
      </c>
      <c r="N465" s="119"/>
    </row>
    <row r="466" spans="2:14" ht="15" customHeight="1" x14ac:dyDescent="0.25">
      <c r="B466" s="86" t="s">
        <v>889</v>
      </c>
      <c r="C466" s="87" t="s">
        <v>890</v>
      </c>
      <c r="D466" s="82" t="s">
        <v>13</v>
      </c>
      <c r="E466" s="83">
        <v>71</v>
      </c>
      <c r="F466" s="88">
        <v>77364</v>
      </c>
      <c r="G466" s="89">
        <f t="shared" si="21"/>
        <v>5492844</v>
      </c>
      <c r="H466" s="118" t="str">
        <f t="array" ref="H466:K466">_xlfn.XLOOKUP(C466,'ESAP NEIVA FASE II UNIFICADO'!$C$6:$C$720,'ESAP NEIVA FASE II UNIFICADO'!$C$6:$F$720,"NO ESTA")</f>
        <v>SUMINISTRO E INSTALACION DUCTOS EN LAMINA GALVANIZADA CAL. 22 Wrap UMAS</v>
      </c>
      <c r="I466" t="str">
        <v>M2</v>
      </c>
      <c r="J466">
        <v>191</v>
      </c>
      <c r="K466">
        <v>83592</v>
      </c>
      <c r="L466" s="115">
        <f t="shared" si="22"/>
        <v>83592</v>
      </c>
      <c r="M466" s="146">
        <f t="shared" si="23"/>
        <v>5935032</v>
      </c>
      <c r="N466" s="119"/>
    </row>
    <row r="467" spans="2:14" ht="15" customHeight="1" x14ac:dyDescent="0.25">
      <c r="B467" s="86" t="s">
        <v>891</v>
      </c>
      <c r="C467" s="87" t="s">
        <v>892</v>
      </c>
      <c r="D467" s="82" t="s">
        <v>16</v>
      </c>
      <c r="E467" s="83">
        <v>1</v>
      </c>
      <c r="F467" s="88">
        <v>461307</v>
      </c>
      <c r="G467" s="89">
        <f t="shared" si="21"/>
        <v>461307</v>
      </c>
      <c r="H467" s="118" t="str">
        <f t="array" ref="H467:K467">_xlfn.XLOOKUP(C467,'ESAP NEIVA FASE II UNIFICADO'!$C$6:$C$720,'ESAP NEIVA FASE II UNIFICADO'!$C$6:$F$720,"NO ESTA")</f>
        <v>SUMINISTRO E INSTALACION BANCO DE FILTROS</v>
      </c>
      <c r="I467" t="str">
        <v>UND</v>
      </c>
      <c r="J467">
        <v>2</v>
      </c>
      <c r="K467">
        <v>498443</v>
      </c>
      <c r="L467" s="115">
        <f t="shared" si="22"/>
        <v>498443</v>
      </c>
      <c r="M467" s="146">
        <f t="shared" si="23"/>
        <v>498443</v>
      </c>
      <c r="N467" s="119"/>
    </row>
    <row r="468" spans="2:14" ht="15" customHeight="1" x14ac:dyDescent="0.25">
      <c r="B468" s="80" t="s">
        <v>893</v>
      </c>
      <c r="C468" s="81" t="s">
        <v>894</v>
      </c>
      <c r="D468" s="82"/>
      <c r="E468" s="83"/>
      <c r="F468" s="90"/>
      <c r="G468" s="89">
        <f t="shared" si="21"/>
        <v>0</v>
      </c>
      <c r="H468" s="118" t="str">
        <f t="array" ref="H468:K468">_xlfn.XLOOKUP(C468,'ESAP NEIVA FASE II UNIFICADO'!$C$6:$C$720,'ESAP NEIVA FASE II UNIFICADO'!$C$6:$F$720,"NO ESTA")</f>
        <v>SUMNISTRO, INSTALACION Y MONTAJE CONTROL</v>
      </c>
      <c r="I468">
        <v>0</v>
      </c>
      <c r="J468">
        <v>0</v>
      </c>
      <c r="K468">
        <v>0</v>
      </c>
      <c r="L468" s="115">
        <f t="shared" si="22"/>
        <v>0</v>
      </c>
      <c r="M468" s="146">
        <f t="shared" si="23"/>
        <v>0</v>
      </c>
      <c r="N468" s="119"/>
    </row>
    <row r="469" spans="2:14" ht="15" customHeight="1" x14ac:dyDescent="0.25">
      <c r="B469" s="86" t="s">
        <v>895</v>
      </c>
      <c r="C469" s="87" t="s">
        <v>896</v>
      </c>
      <c r="D469" s="82" t="s">
        <v>16</v>
      </c>
      <c r="E469" s="83">
        <v>1</v>
      </c>
      <c r="F469" s="88">
        <v>1830940</v>
      </c>
      <c r="G469" s="89">
        <f t="shared" si="21"/>
        <v>1830940</v>
      </c>
      <c r="H469" s="118" t="str">
        <f t="array" ref="H469:K469">_xlfn.XLOOKUP(C469,'ESAP NEIVA FASE II UNIFICADO'!$C$6:$C$720,'ESAP NEIVA FASE II UNIFICADO'!$C$6:$F$720,"NO ESTA")</f>
        <v>SUMINISTRO E INSTALACION VALVULA BYPASS 2"</v>
      </c>
      <c r="I469" t="str">
        <v>UND</v>
      </c>
      <c r="J469">
        <v>1</v>
      </c>
      <c r="K469">
        <v>1978337</v>
      </c>
      <c r="L469" s="115">
        <f t="shared" si="22"/>
        <v>1978337</v>
      </c>
      <c r="M469" s="146">
        <f t="shared" si="23"/>
        <v>1978337</v>
      </c>
      <c r="N469" s="119"/>
    </row>
    <row r="470" spans="2:14" ht="15" customHeight="1" x14ac:dyDescent="0.25">
      <c r="B470" s="86" t="s">
        <v>897</v>
      </c>
      <c r="C470" s="87" t="s">
        <v>898</v>
      </c>
      <c r="D470" s="82" t="s">
        <v>16</v>
      </c>
      <c r="E470" s="83">
        <v>2</v>
      </c>
      <c r="F470" s="88">
        <v>1117597</v>
      </c>
      <c r="G470" s="89">
        <f t="shared" si="21"/>
        <v>2235194</v>
      </c>
      <c r="H470" s="118" t="str">
        <f t="array" ref="H470:K470">_xlfn.XLOOKUP(C470,'ESAP NEIVA FASE II UNIFICADO'!$C$6:$C$720,'ESAP NEIVA FASE II UNIFICADO'!$C$6:$F$720,"NO ESTA")</f>
        <v>SUMINISTRO E INSTALACION SENSOR DIFERENCIAL DE PRESIÓN SISTEMA AGUA FRIA</v>
      </c>
      <c r="I470" t="str">
        <v>UND</v>
      </c>
      <c r="J470">
        <v>2</v>
      </c>
      <c r="K470">
        <v>1207567</v>
      </c>
      <c r="L470" s="115">
        <f t="shared" si="22"/>
        <v>1207567</v>
      </c>
      <c r="M470" s="146">
        <f t="shared" si="23"/>
        <v>2415134</v>
      </c>
      <c r="N470" s="119"/>
    </row>
    <row r="471" spans="2:14" ht="15" customHeight="1" x14ac:dyDescent="0.25">
      <c r="B471" s="86" t="s">
        <v>899</v>
      </c>
      <c r="C471" s="87" t="s">
        <v>900</v>
      </c>
      <c r="D471" s="82" t="s">
        <v>16</v>
      </c>
      <c r="E471" s="83">
        <v>1</v>
      </c>
      <c r="F471" s="88">
        <v>803110</v>
      </c>
      <c r="G471" s="89">
        <f t="shared" si="21"/>
        <v>803110</v>
      </c>
      <c r="H471" s="118" t="str">
        <f t="array" ref="H471:K471">_xlfn.XLOOKUP(C471,'ESAP NEIVA FASE II UNIFICADO'!$C$6:$C$720,'ESAP NEIVA FASE II UNIFICADO'!$C$6:$F$720,"NO ESTA")</f>
        <v>SUMINISTRO E INSTALACION SENSOR DIFERENCIAL DE PRESIÓN SISTEMA AIRE UMAS</v>
      </c>
      <c r="I471" t="str">
        <v>UND</v>
      </c>
      <c r="J471">
        <v>1</v>
      </c>
      <c r="K471">
        <v>867763</v>
      </c>
      <c r="L471" s="115">
        <f t="shared" si="22"/>
        <v>867763</v>
      </c>
      <c r="M471" s="146">
        <f t="shared" si="23"/>
        <v>867763</v>
      </c>
      <c r="N471" s="119"/>
    </row>
    <row r="472" spans="2:14" ht="15" customHeight="1" x14ac:dyDescent="0.25">
      <c r="B472" s="86" t="s">
        <v>901</v>
      </c>
      <c r="C472" s="87" t="s">
        <v>902</v>
      </c>
      <c r="D472" s="82" t="s">
        <v>16</v>
      </c>
      <c r="E472" s="83">
        <v>1</v>
      </c>
      <c r="F472" s="88">
        <v>803110</v>
      </c>
      <c r="G472" s="89">
        <f t="shared" si="21"/>
        <v>803110</v>
      </c>
      <c r="H472" s="118" t="str">
        <f t="array" ref="H472:K472">_xlfn.XLOOKUP(C472,'ESAP NEIVA FASE II UNIFICADO'!$C$6:$C$720,'ESAP NEIVA FASE II UNIFICADO'!$C$6:$F$720,"NO ESTA")</f>
        <v>SUMINISTRO E INSTALACION SENSOR DE FLUJO AIRE UMAS</v>
      </c>
      <c r="I472" t="str">
        <v>UND</v>
      </c>
      <c r="J472">
        <v>2</v>
      </c>
      <c r="K472">
        <v>867763</v>
      </c>
      <c r="L472" s="115">
        <f t="shared" si="22"/>
        <v>867763</v>
      </c>
      <c r="M472" s="146">
        <f t="shared" si="23"/>
        <v>867763</v>
      </c>
      <c r="N472" s="119"/>
    </row>
    <row r="473" spans="2:14" ht="15" customHeight="1" x14ac:dyDescent="0.25">
      <c r="B473" s="86" t="s">
        <v>903</v>
      </c>
      <c r="C473" s="87" t="s">
        <v>904</v>
      </c>
      <c r="D473" s="82" t="s">
        <v>16</v>
      </c>
      <c r="E473" s="83">
        <v>2</v>
      </c>
      <c r="F473" s="88">
        <v>1022463</v>
      </c>
      <c r="G473" s="89">
        <f t="shared" si="21"/>
        <v>2044926</v>
      </c>
      <c r="H473" s="118" t="str">
        <f t="array" ref="H473:K473">_xlfn.XLOOKUP(C473,'ESAP NEIVA FASE II UNIFICADO'!$C$6:$C$720,'ESAP NEIVA FASE II UNIFICADO'!$C$6:$F$720,"NO ESTA")</f>
        <v>SUMINISTRO E INSTALACION SENSOR CO</v>
      </c>
      <c r="I473" t="str">
        <v>UND</v>
      </c>
      <c r="J473">
        <v>3</v>
      </c>
      <c r="K473">
        <v>1104774</v>
      </c>
      <c r="L473" s="115">
        <f t="shared" si="22"/>
        <v>1104774</v>
      </c>
      <c r="M473" s="146">
        <f t="shared" si="23"/>
        <v>2209548</v>
      </c>
      <c r="N473" s="119"/>
    </row>
    <row r="474" spans="2:14" ht="15" customHeight="1" x14ac:dyDescent="0.25">
      <c r="B474" s="86" t="s">
        <v>905</v>
      </c>
      <c r="C474" s="87" t="s">
        <v>906</v>
      </c>
      <c r="D474" s="82" t="s">
        <v>16</v>
      </c>
      <c r="E474" s="83">
        <v>2</v>
      </c>
      <c r="F474" s="88">
        <v>306739</v>
      </c>
      <c r="G474" s="89">
        <f t="shared" si="21"/>
        <v>613478</v>
      </c>
      <c r="H474" s="118" t="str">
        <f t="array" ref="H474:K474">_xlfn.XLOOKUP(C474,'ESAP NEIVA FASE II UNIFICADO'!$C$6:$C$720,'ESAP NEIVA FASE II UNIFICADO'!$C$6:$F$720,"NO ESTA")</f>
        <v>SUMINISTRO E INSTALACION SENSOR CONTROL CO2 UMAS</v>
      </c>
      <c r="I474" t="str">
        <v>UND</v>
      </c>
      <c r="J474">
        <v>2</v>
      </c>
      <c r="K474">
        <v>331432</v>
      </c>
      <c r="L474" s="115">
        <f t="shared" si="22"/>
        <v>331432</v>
      </c>
      <c r="M474" s="146">
        <f t="shared" si="23"/>
        <v>662864</v>
      </c>
      <c r="N474" s="119"/>
    </row>
    <row r="475" spans="2:14" ht="15" customHeight="1" x14ac:dyDescent="0.25">
      <c r="B475" s="74">
        <v>18</v>
      </c>
      <c r="C475" s="75" t="s">
        <v>907</v>
      </c>
      <c r="D475" s="76"/>
      <c r="E475" s="77"/>
      <c r="F475" s="78"/>
      <c r="G475" s="89">
        <f t="shared" si="21"/>
        <v>0</v>
      </c>
      <c r="H475" s="118" t="str">
        <f t="array" ref="H475:K475">_xlfn.XLOOKUP(C475,'ESAP NEIVA FASE II UNIFICADO'!$C$6:$C$720,'ESAP NEIVA FASE II UNIFICADO'!$C$6:$F$720,"NO ESTA")</f>
        <v>RED DE VOZ Y DATOS Cat. 6A BLINDADO LSZH (Low Smoke Zero Halogen)</v>
      </c>
      <c r="I475">
        <v>0</v>
      </c>
      <c r="J475">
        <v>0</v>
      </c>
      <c r="K475">
        <v>0</v>
      </c>
      <c r="L475" s="115">
        <f t="shared" si="22"/>
        <v>0</v>
      </c>
      <c r="M475" s="146">
        <f t="shared" si="23"/>
        <v>0</v>
      </c>
      <c r="N475" s="119"/>
    </row>
    <row r="476" spans="2:14" ht="15" customHeight="1" x14ac:dyDescent="0.25">
      <c r="B476" s="80" t="s">
        <v>908</v>
      </c>
      <c r="C476" s="81" t="s">
        <v>909</v>
      </c>
      <c r="D476" s="82"/>
      <c r="E476" s="83"/>
      <c r="F476" s="90"/>
      <c r="G476" s="89">
        <f t="shared" si="21"/>
        <v>0</v>
      </c>
      <c r="H476" s="118" t="str">
        <f t="array" ref="H476:K476">_xlfn.XLOOKUP(C476,'ESAP NEIVA FASE II UNIFICADO'!$C$6:$C$720,'ESAP NEIVA FASE II UNIFICADO'!$C$6:$F$720,"NO ESTA")</f>
        <v>SUMINISTRO E INSTALACION DE TOMAS PUESTOS DE TRABAJO</v>
      </c>
      <c r="I476">
        <v>0</v>
      </c>
      <c r="J476">
        <v>0</v>
      </c>
      <c r="K476">
        <v>0</v>
      </c>
      <c r="L476" s="115">
        <f t="shared" si="22"/>
        <v>0</v>
      </c>
      <c r="M476" s="146">
        <f t="shared" si="23"/>
        <v>0</v>
      </c>
      <c r="N476" s="119"/>
    </row>
    <row r="477" spans="2:14" ht="26.25" customHeight="1" x14ac:dyDescent="0.25">
      <c r="B477" s="86" t="s">
        <v>910</v>
      </c>
      <c r="C477" s="87" t="s">
        <v>911</v>
      </c>
      <c r="D477" s="82" t="s">
        <v>16</v>
      </c>
      <c r="E477" s="83">
        <v>64</v>
      </c>
      <c r="F477" s="88">
        <v>34792</v>
      </c>
      <c r="G477" s="89">
        <f t="shared" si="21"/>
        <v>2226688</v>
      </c>
      <c r="H477" s="118" t="str">
        <f t="array" ref="H477:K477">_xlfn.XLOOKUP(C477,'ESAP NEIVA FASE II UNIFICADO'!$C$6:$C$720,'ESAP NEIVA FASE II UNIFICADO'!$C$6:$F$720,"NO ESTA")</f>
        <v xml:space="preserve">SUMINISTRO E INSTALACION TOMAS SENCILLA RJ45 Cat. 6A DATOS BLINDADO INCLUYE MARQUILLAS </v>
      </c>
      <c r="I477" t="str">
        <v>UND</v>
      </c>
      <c r="J477">
        <v>172</v>
      </c>
      <c r="K477">
        <v>37593</v>
      </c>
      <c r="L477" s="115">
        <f t="shared" si="22"/>
        <v>37593</v>
      </c>
      <c r="M477" s="146">
        <f t="shared" si="23"/>
        <v>2405952</v>
      </c>
      <c r="N477" s="119"/>
    </row>
    <row r="478" spans="2:14" ht="26.25" customHeight="1" x14ac:dyDescent="0.25">
      <c r="B478" s="86" t="s">
        <v>912</v>
      </c>
      <c r="C478" s="87" t="s">
        <v>913</v>
      </c>
      <c r="D478" s="82" t="s">
        <v>16</v>
      </c>
      <c r="E478" s="83">
        <v>14</v>
      </c>
      <c r="F478" s="88">
        <v>34792</v>
      </c>
      <c r="G478" s="89">
        <f t="shared" si="21"/>
        <v>487088</v>
      </c>
      <c r="H478" s="118" t="str">
        <f t="array" ref="H478:K478">_xlfn.XLOOKUP(C478,'ESAP NEIVA FASE II UNIFICADO'!$C$6:$C$720,'ESAP NEIVA FASE II UNIFICADO'!$C$6:$F$720,"NO ESTA")</f>
        <v>SUMINISTRO E INSTALACION TOMAS SENCILLA RJ45 Cat. 6A VOZ BLINDADO INCLUYE MARQUILLAS</v>
      </c>
      <c r="I478" t="str">
        <v>UND</v>
      </c>
      <c r="J478">
        <v>38</v>
      </c>
      <c r="K478">
        <v>37593</v>
      </c>
      <c r="L478" s="115">
        <f t="shared" si="22"/>
        <v>37593</v>
      </c>
      <c r="M478" s="146">
        <f t="shared" si="23"/>
        <v>526302</v>
      </c>
      <c r="N478" s="119"/>
    </row>
    <row r="479" spans="2:14" ht="15" customHeight="1" x14ac:dyDescent="0.25">
      <c r="B479" s="86" t="s">
        <v>914</v>
      </c>
      <c r="C479" s="87" t="s">
        <v>915</v>
      </c>
      <c r="D479" s="82" t="s">
        <v>16</v>
      </c>
      <c r="E479" s="83">
        <v>64</v>
      </c>
      <c r="F479" s="88">
        <v>9184</v>
      </c>
      <c r="G479" s="89">
        <f t="shared" si="21"/>
        <v>587776</v>
      </c>
      <c r="H479" s="118" t="str">
        <f t="array" ref="H479:K479">_xlfn.XLOOKUP(C479,'ESAP NEIVA FASE II UNIFICADO'!$C$6:$C$720,'ESAP NEIVA FASE II UNIFICADO'!$C$6:$F$720,"NO ESTA")</f>
        <v>SUMINISTRO E INSTALACION FACE PLATE DOBLE PARA TOMA RJ45</v>
      </c>
      <c r="I479" t="str">
        <v>UND</v>
      </c>
      <c r="J479">
        <v>172</v>
      </c>
      <c r="K479">
        <v>9923</v>
      </c>
      <c r="L479" s="115">
        <f t="shared" si="22"/>
        <v>9923</v>
      </c>
      <c r="M479" s="146">
        <f t="shared" si="23"/>
        <v>635072</v>
      </c>
      <c r="N479" s="119"/>
    </row>
    <row r="480" spans="2:14" ht="15" customHeight="1" x14ac:dyDescent="0.25">
      <c r="B480" s="86" t="s">
        <v>916</v>
      </c>
      <c r="C480" s="87" t="s">
        <v>917</v>
      </c>
      <c r="D480" s="82" t="s">
        <v>16</v>
      </c>
      <c r="E480" s="83">
        <v>64</v>
      </c>
      <c r="F480" s="88">
        <v>41852</v>
      </c>
      <c r="G480" s="89">
        <f t="shared" si="21"/>
        <v>2678528</v>
      </c>
      <c r="H480" s="118" t="str">
        <f t="array" ref="H480:K480">_xlfn.XLOOKUP(C480,'ESAP NEIVA FASE II UNIFICADO'!$C$6:$C$720,'ESAP NEIVA FASE II UNIFICADO'!$C$6:$F$720,"NO ESTA")</f>
        <v>SUMINISTRO E INSTALACION PATCH CORD. RJ45-RJ45 1,5 m Cat. 6A BLINDADO</v>
      </c>
      <c r="I480" t="str">
        <v>UND</v>
      </c>
      <c r="J480">
        <v>172</v>
      </c>
      <c r="K480">
        <v>45221</v>
      </c>
      <c r="L480" s="115">
        <f t="shared" si="22"/>
        <v>45221</v>
      </c>
      <c r="M480" s="146">
        <f t="shared" si="23"/>
        <v>2894144</v>
      </c>
      <c r="N480" s="119"/>
    </row>
    <row r="481" spans="2:14" ht="15" customHeight="1" x14ac:dyDescent="0.25">
      <c r="B481" s="80" t="s">
        <v>918</v>
      </c>
      <c r="C481" s="81" t="s">
        <v>919</v>
      </c>
      <c r="D481" s="82"/>
      <c r="E481" s="83"/>
      <c r="F481" s="104"/>
      <c r="G481" s="89">
        <f t="shared" si="21"/>
        <v>0</v>
      </c>
      <c r="H481" s="118" t="str">
        <f t="array" ref="H481:K481">_xlfn.XLOOKUP(C481,'ESAP NEIVA FASE II UNIFICADO'!$C$6:$C$720,'ESAP NEIVA FASE II UNIFICADO'!$C$6:$F$720,"NO ESTA")</f>
        <v>SUMINISTRO E INSTALACION DE CABLES</v>
      </c>
      <c r="I481">
        <v>0</v>
      </c>
      <c r="J481">
        <v>0</v>
      </c>
      <c r="K481">
        <v>0</v>
      </c>
      <c r="L481" s="115">
        <f t="shared" si="22"/>
        <v>0</v>
      </c>
      <c r="M481" s="146">
        <f t="shared" si="23"/>
        <v>0</v>
      </c>
      <c r="N481" s="119"/>
    </row>
    <row r="482" spans="2:14" ht="24.75" customHeight="1" x14ac:dyDescent="0.25">
      <c r="B482" s="86" t="s">
        <v>920</v>
      </c>
      <c r="C482" s="87" t="s">
        <v>921</v>
      </c>
      <c r="D482" s="82" t="s">
        <v>94</v>
      </c>
      <c r="E482" s="83">
        <v>1765</v>
      </c>
      <c r="F482" s="88">
        <v>4168</v>
      </c>
      <c r="G482" s="89">
        <f t="shared" si="21"/>
        <v>7356520</v>
      </c>
      <c r="H482" s="118" t="str">
        <f t="array" ref="H482:K482">_xlfn.XLOOKUP(C482,'ESAP NEIVA FASE II UNIFICADO'!$C$6:$C$720,'ESAP NEIVA FASE II UNIFICADO'!$C$6:$F$720,"NO ESTA")</f>
        <v>SUMINISTRO E INSTALACION CABLE 10 G F/UTP Cat. 6A CON CHAQUETA LSZH (LOW SMOKE ZERO HALOGEN)</v>
      </c>
      <c r="I482" t="str">
        <v>ML</v>
      </c>
      <c r="J482">
        <v>11247</v>
      </c>
      <c r="K482">
        <v>4503</v>
      </c>
      <c r="L482" s="115">
        <f t="shared" si="22"/>
        <v>4503</v>
      </c>
      <c r="M482" s="146">
        <f t="shared" si="23"/>
        <v>7947795</v>
      </c>
      <c r="N482" s="119"/>
    </row>
    <row r="483" spans="2:14" ht="15" customHeight="1" x14ac:dyDescent="0.25">
      <c r="B483" s="80" t="s">
        <v>922</v>
      </c>
      <c r="C483" s="81" t="s">
        <v>923</v>
      </c>
      <c r="D483" s="82"/>
      <c r="E483" s="83"/>
      <c r="F483" s="104"/>
      <c r="G483" s="89">
        <f t="shared" si="21"/>
        <v>0</v>
      </c>
      <c r="H483" s="118" t="str">
        <f t="array" ref="H483:K483">_xlfn.XLOOKUP(C483,'ESAP NEIVA FASE II UNIFICADO'!$C$6:$C$720,'ESAP NEIVA FASE II UNIFICADO'!$C$6:$F$720,"NO ESTA")</f>
        <v xml:space="preserve">SUMINISTRO E INSTALACION DE ELEMENTOS DE ADMINISTRACIÓN </v>
      </c>
      <c r="I483">
        <v>0</v>
      </c>
      <c r="J483">
        <v>0</v>
      </c>
      <c r="K483">
        <v>0</v>
      </c>
      <c r="L483" s="115">
        <f t="shared" si="22"/>
        <v>0</v>
      </c>
      <c r="M483" s="146">
        <f t="shared" si="23"/>
        <v>0</v>
      </c>
      <c r="N483" s="119"/>
    </row>
    <row r="484" spans="2:14" ht="15" customHeight="1" x14ac:dyDescent="0.25">
      <c r="B484" s="86" t="s">
        <v>924</v>
      </c>
      <c r="C484" s="87" t="s">
        <v>925</v>
      </c>
      <c r="D484" s="82" t="s">
        <v>16</v>
      </c>
      <c r="E484" s="83">
        <v>4</v>
      </c>
      <c r="F484" s="88">
        <v>248614</v>
      </c>
      <c r="G484" s="89">
        <f t="shared" si="21"/>
        <v>994456</v>
      </c>
      <c r="H484" s="118" t="str">
        <f t="array" ref="H484:K484">_xlfn.XLOOKUP(C484,'ESAP NEIVA FASE II UNIFICADO'!$C$6:$C$720,'ESAP NEIVA FASE II UNIFICADO'!$C$6:$F$720,"NO ESTA")</f>
        <v>SUMINISTRO E INSTALACION HERRAJE PATVH PANEL 24 Pts Cat. 6A BLINDADO</v>
      </c>
      <c r="I484" t="str">
        <v>UND</v>
      </c>
      <c r="J484">
        <v>9</v>
      </c>
      <c r="K484">
        <v>268628</v>
      </c>
      <c r="L484" s="115">
        <f t="shared" si="22"/>
        <v>268628</v>
      </c>
      <c r="M484" s="146">
        <f t="shared" si="23"/>
        <v>1074512</v>
      </c>
      <c r="N484" s="119"/>
    </row>
    <row r="485" spans="2:14" ht="26.25" customHeight="1" x14ac:dyDescent="0.25">
      <c r="B485" s="86" t="s">
        <v>926</v>
      </c>
      <c r="C485" s="87" t="s">
        <v>927</v>
      </c>
      <c r="D485" s="82" t="s">
        <v>16</v>
      </c>
      <c r="E485" s="83">
        <v>64</v>
      </c>
      <c r="F485" s="88">
        <v>34794</v>
      </c>
      <c r="G485" s="89">
        <f t="shared" si="21"/>
        <v>2226816</v>
      </c>
      <c r="H485" s="118" t="str">
        <f t="array" ref="H485:K485">_xlfn.XLOOKUP(C485,'ESAP NEIVA FASE II UNIFICADO'!$C$6:$C$720,'ESAP NEIVA FASE II UNIFICADO'!$C$6:$F$720,"NO ESTA")</f>
        <v>SUMINISTRO E INSTALACION TOMA SENCILLA RJ45 Cat. 6A AZUL DATOS BLINDADO INCLUYE MARQUILLAS</v>
      </c>
      <c r="I485" t="str">
        <v>UND</v>
      </c>
      <c r="J485">
        <v>172</v>
      </c>
      <c r="K485">
        <v>37595</v>
      </c>
      <c r="L485" s="115">
        <f t="shared" si="22"/>
        <v>37595</v>
      </c>
      <c r="M485" s="146">
        <f t="shared" si="23"/>
        <v>2406080</v>
      </c>
      <c r="N485" s="119"/>
    </row>
    <row r="486" spans="2:14" ht="26.25" customHeight="1" x14ac:dyDescent="0.25">
      <c r="B486" s="86" t="s">
        <v>928</v>
      </c>
      <c r="C486" s="87" t="s">
        <v>929</v>
      </c>
      <c r="D486" s="82" t="s">
        <v>16</v>
      </c>
      <c r="E486" s="83">
        <v>14</v>
      </c>
      <c r="F486" s="88">
        <v>34794</v>
      </c>
      <c r="G486" s="89">
        <f t="shared" si="21"/>
        <v>487116</v>
      </c>
      <c r="H486" s="118" t="str">
        <f t="array" ref="H486:K486">_xlfn.XLOOKUP(C486,'ESAP NEIVA FASE II UNIFICADO'!$C$6:$C$720,'ESAP NEIVA FASE II UNIFICADO'!$C$6:$F$720,"NO ESTA")</f>
        <v>SUMINISTRO E INSTALACION TOMA SENCILLA RJ45 Cat. 6A ROJO VOZ BLINDADO INCLUYE MARQUILLAS</v>
      </c>
      <c r="I486" t="str">
        <v>UND</v>
      </c>
      <c r="J486">
        <v>38</v>
      </c>
      <c r="K486">
        <v>37595</v>
      </c>
      <c r="L486" s="115">
        <f t="shared" si="22"/>
        <v>37595</v>
      </c>
      <c r="M486" s="146">
        <f t="shared" si="23"/>
        <v>526330</v>
      </c>
      <c r="N486" s="119"/>
    </row>
    <row r="487" spans="2:14" ht="15" customHeight="1" x14ac:dyDescent="0.25">
      <c r="B487" s="86" t="s">
        <v>930</v>
      </c>
      <c r="C487" s="87" t="s">
        <v>931</v>
      </c>
      <c r="D487" s="82" t="s">
        <v>16</v>
      </c>
      <c r="E487" s="83">
        <v>64</v>
      </c>
      <c r="F487" s="88">
        <v>44628</v>
      </c>
      <c r="G487" s="89">
        <f t="shared" si="21"/>
        <v>2856192</v>
      </c>
      <c r="H487" s="118" t="str">
        <f t="array" ref="H487:K487">_xlfn.XLOOKUP(C487,'ESAP NEIVA FASE II UNIFICADO'!$C$6:$C$720,'ESAP NEIVA FASE II UNIFICADO'!$C$6:$F$720,"NO ESTA")</f>
        <v>SUMINISTRO E INSTALACION PATCH CORD. RJ45-RJ45 3 m Cat. 6A DATOS BLINDADO</v>
      </c>
      <c r="I487" t="str">
        <v>UND</v>
      </c>
      <c r="J487">
        <v>172</v>
      </c>
      <c r="K487">
        <v>48221</v>
      </c>
      <c r="L487" s="115">
        <f t="shared" si="22"/>
        <v>48221</v>
      </c>
      <c r="M487" s="146">
        <f t="shared" si="23"/>
        <v>3086144</v>
      </c>
      <c r="N487" s="119"/>
    </row>
    <row r="488" spans="2:14" ht="15" customHeight="1" x14ac:dyDescent="0.25">
      <c r="B488" s="86" t="s">
        <v>932</v>
      </c>
      <c r="C488" s="87" t="s">
        <v>933</v>
      </c>
      <c r="D488" s="82" t="s">
        <v>16</v>
      </c>
      <c r="E488" s="83">
        <v>14</v>
      </c>
      <c r="F488" s="88">
        <v>44628</v>
      </c>
      <c r="G488" s="89">
        <f t="shared" si="21"/>
        <v>624792</v>
      </c>
      <c r="H488" s="118" t="str">
        <f t="array" ref="H488:K488">_xlfn.XLOOKUP(C488,'ESAP NEIVA FASE II UNIFICADO'!$C$6:$C$720,'ESAP NEIVA FASE II UNIFICADO'!$C$6:$F$720,"NO ESTA")</f>
        <v>SUMINISTRO E INSTALACION PATCH CORD. RJ45-RJ45 3 m Cat. 6A VOZ BLINDADO</v>
      </c>
      <c r="I488" t="str">
        <v>UND</v>
      </c>
      <c r="J488">
        <v>38</v>
      </c>
      <c r="K488">
        <v>48221</v>
      </c>
      <c r="L488" s="115">
        <f t="shared" si="22"/>
        <v>48221</v>
      </c>
      <c r="M488" s="146">
        <f t="shared" si="23"/>
        <v>675094</v>
      </c>
      <c r="N488" s="119"/>
    </row>
    <row r="489" spans="2:14" ht="15" customHeight="1" x14ac:dyDescent="0.25">
      <c r="B489" s="86" t="s">
        <v>934</v>
      </c>
      <c r="C489" s="87" t="s">
        <v>935</v>
      </c>
      <c r="D489" s="82" t="s">
        <v>16</v>
      </c>
      <c r="E489" s="83">
        <v>4</v>
      </c>
      <c r="F489" s="88">
        <v>232040</v>
      </c>
      <c r="G489" s="89">
        <f t="shared" si="21"/>
        <v>928160</v>
      </c>
      <c r="H489" s="118" t="str">
        <f t="array" ref="H489:K489">_xlfn.XLOOKUP(C489,'ESAP NEIVA FASE II UNIFICADO'!$C$6:$C$720,'ESAP NEIVA FASE II UNIFICADO'!$C$6:$F$720,"NO ESTA")</f>
        <v>SUMINISTRO E INSTALACION ORGANIZADOR HORIZONTAL 2U</v>
      </c>
      <c r="I489" t="str">
        <v>UND</v>
      </c>
      <c r="J489">
        <v>9</v>
      </c>
      <c r="K489">
        <v>250719</v>
      </c>
      <c r="L489" s="115">
        <f t="shared" si="22"/>
        <v>250719</v>
      </c>
      <c r="M489" s="146">
        <f t="shared" si="23"/>
        <v>1002876</v>
      </c>
      <c r="N489" s="119"/>
    </row>
    <row r="490" spans="2:14" ht="15" customHeight="1" x14ac:dyDescent="0.25">
      <c r="B490" s="80" t="s">
        <v>936</v>
      </c>
      <c r="C490" s="81" t="s">
        <v>937</v>
      </c>
      <c r="D490" s="82"/>
      <c r="E490" s="83"/>
      <c r="F490" s="104"/>
      <c r="G490" s="89">
        <f t="shared" si="21"/>
        <v>0</v>
      </c>
      <c r="H490" s="118" t="str">
        <f t="array" ref="H490:K490">_xlfn.XLOOKUP(C490,'ESAP NEIVA FASE II UNIFICADO'!$C$6:$C$720,'ESAP NEIVA FASE II UNIFICADO'!$C$6:$F$720,"NO ESTA")</f>
        <v>SUMINISTRO E INSTALACIÓN INTEGRACIÓN TELEFÓNICA</v>
      </c>
      <c r="I490">
        <v>0</v>
      </c>
      <c r="J490">
        <v>0</v>
      </c>
      <c r="K490">
        <v>0</v>
      </c>
      <c r="L490" s="115">
        <f t="shared" si="22"/>
        <v>0</v>
      </c>
      <c r="M490" s="146">
        <f t="shared" si="23"/>
        <v>0</v>
      </c>
      <c r="N490" s="119"/>
    </row>
    <row r="491" spans="2:14" ht="24.75" customHeight="1" x14ac:dyDescent="0.25">
      <c r="B491" s="86" t="s">
        <v>938</v>
      </c>
      <c r="C491" s="87" t="s">
        <v>939</v>
      </c>
      <c r="D491" s="82" t="s">
        <v>16</v>
      </c>
      <c r="E491" s="83">
        <v>1</v>
      </c>
      <c r="F491" s="88">
        <v>538416</v>
      </c>
      <c r="G491" s="89">
        <f t="shared" si="21"/>
        <v>538416</v>
      </c>
      <c r="H491" s="118" t="str">
        <f t="array" ref="H491:K491">_xlfn.XLOOKUP(C491,'ESAP NEIVA FASE II UNIFICADO'!$C$6:$C$720,'ESAP NEIVA FASE II UNIFICADO'!$C$6:$F$720,"NO ESTA")</f>
        <v>SUMINISTRO E INSTALACION PATCH PANEL 24 Pts Cat. 5E BLINDADO PARA INTEGRACIÓN TELEFONICA</v>
      </c>
      <c r="I491" t="str">
        <v>UND</v>
      </c>
      <c r="J491">
        <v>1</v>
      </c>
      <c r="K491">
        <v>581760</v>
      </c>
      <c r="L491" s="115">
        <f t="shared" si="22"/>
        <v>581760</v>
      </c>
      <c r="M491" s="146">
        <f t="shared" si="23"/>
        <v>581760</v>
      </c>
      <c r="N491" s="119"/>
    </row>
    <row r="492" spans="2:14" ht="24.75" customHeight="1" x14ac:dyDescent="0.25">
      <c r="B492" s="86" t="s">
        <v>940</v>
      </c>
      <c r="C492" s="87" t="s">
        <v>941</v>
      </c>
      <c r="D492" s="82" t="s">
        <v>16</v>
      </c>
      <c r="E492" s="83">
        <v>14</v>
      </c>
      <c r="F492" s="88">
        <v>32703</v>
      </c>
      <c r="G492" s="89">
        <f t="shared" si="21"/>
        <v>457842</v>
      </c>
      <c r="H492" s="118" t="str">
        <f t="array" ref="H492:K492">_xlfn.XLOOKUP(C492,'ESAP NEIVA FASE II UNIFICADO'!$C$6:$C$720,'ESAP NEIVA FASE II UNIFICADO'!$C$6:$F$720,"NO ESTA")</f>
        <v>SUMINISTRO E INSTALACION PATCH CORD RJ45-RJ45 1m Cat 5E INTEGRACIÓN TELEFÓNICA INCLUYE MARQUILLAS</v>
      </c>
      <c r="I492" t="str">
        <v>UND</v>
      </c>
      <c r="J492">
        <v>38</v>
      </c>
      <c r="K492">
        <v>35336</v>
      </c>
      <c r="L492" s="115">
        <f t="shared" si="22"/>
        <v>35336</v>
      </c>
      <c r="M492" s="146">
        <f t="shared" si="23"/>
        <v>494704</v>
      </c>
      <c r="N492" s="119"/>
    </row>
    <row r="493" spans="2:14" ht="15" customHeight="1" x14ac:dyDescent="0.25">
      <c r="B493" s="86" t="s">
        <v>942</v>
      </c>
      <c r="C493" s="87" t="s">
        <v>935</v>
      </c>
      <c r="D493" s="82" t="s">
        <v>16</v>
      </c>
      <c r="E493" s="83">
        <v>1</v>
      </c>
      <c r="F493" s="88">
        <v>232040</v>
      </c>
      <c r="G493" s="89">
        <f t="shared" si="21"/>
        <v>232040</v>
      </c>
      <c r="H493" s="118" t="str">
        <f t="array" ref="H493:K493">_xlfn.XLOOKUP(C493,'ESAP NEIVA FASE II UNIFICADO'!$C$6:$C$720,'ESAP NEIVA FASE II UNIFICADO'!$C$6:$F$720,"NO ESTA")</f>
        <v>SUMINISTRO E INSTALACION ORGANIZADOR HORIZONTAL 2U</v>
      </c>
      <c r="I493" t="str">
        <v>UND</v>
      </c>
      <c r="J493">
        <v>9</v>
      </c>
      <c r="K493">
        <v>250719</v>
      </c>
      <c r="L493" s="115">
        <f t="shared" si="22"/>
        <v>250719</v>
      </c>
      <c r="M493" s="146">
        <f t="shared" si="23"/>
        <v>250719</v>
      </c>
      <c r="N493" s="119"/>
    </row>
    <row r="494" spans="2:14" ht="15" customHeight="1" x14ac:dyDescent="0.25">
      <c r="B494" s="80" t="s">
        <v>943</v>
      </c>
      <c r="C494" s="81" t="s">
        <v>944</v>
      </c>
      <c r="D494" s="82"/>
      <c r="E494" s="83"/>
      <c r="F494" s="104"/>
      <c r="G494" s="89">
        <f t="shared" si="21"/>
        <v>0</v>
      </c>
      <c r="H494" s="118" t="str">
        <f t="array" ref="H494:K494">_xlfn.XLOOKUP(C494,'ESAP NEIVA FASE II UNIFICADO'!$C$6:$C$720,'ESAP NEIVA FASE II UNIFICADO'!$C$6:$F$720,"NO ESTA")</f>
        <v>SUMINISTRO E INSTALACIÓN DE BACKBONE</v>
      </c>
      <c r="I494">
        <v>0</v>
      </c>
      <c r="J494">
        <v>0</v>
      </c>
      <c r="K494">
        <v>0</v>
      </c>
      <c r="L494" s="115">
        <f t="shared" si="22"/>
        <v>0</v>
      </c>
      <c r="M494" s="146">
        <f t="shared" si="23"/>
        <v>0</v>
      </c>
      <c r="N494" s="119"/>
    </row>
    <row r="495" spans="2:14" ht="15" customHeight="1" x14ac:dyDescent="0.25">
      <c r="B495" s="86" t="s">
        <v>945</v>
      </c>
      <c r="C495" s="87" t="s">
        <v>946</v>
      </c>
      <c r="D495" s="82" t="s">
        <v>94</v>
      </c>
      <c r="E495" s="83">
        <v>12</v>
      </c>
      <c r="F495" s="88">
        <v>18142</v>
      </c>
      <c r="G495" s="89">
        <f t="shared" si="21"/>
        <v>217704</v>
      </c>
      <c r="H495" s="118" t="str">
        <f t="array" ref="H495:K495">_xlfn.XLOOKUP(C495,'ESAP NEIVA FASE II UNIFICADO'!$C$6:$C$720,'ESAP NEIVA FASE II UNIFICADO'!$C$6:$F$720,"NO ESTA")</f>
        <v>SUMINISTRO E INSTALACION FIBRA OPTICA 6 HILOS MULTIMODO 50/125 u.</v>
      </c>
      <c r="I495" t="str">
        <v>ML</v>
      </c>
      <c r="J495">
        <v>32</v>
      </c>
      <c r="K495">
        <v>19602</v>
      </c>
      <c r="L495" s="115">
        <f t="shared" si="22"/>
        <v>19602</v>
      </c>
      <c r="M495" s="146">
        <f t="shared" si="23"/>
        <v>235224</v>
      </c>
      <c r="N495" s="119"/>
    </row>
    <row r="496" spans="2:14" ht="15" customHeight="1" x14ac:dyDescent="0.25">
      <c r="B496" s="86" t="s">
        <v>947</v>
      </c>
      <c r="C496" s="87" t="s">
        <v>948</v>
      </c>
      <c r="D496" s="82" t="s">
        <v>16</v>
      </c>
      <c r="E496" s="83">
        <v>2</v>
      </c>
      <c r="F496" s="88">
        <v>654027</v>
      </c>
      <c r="G496" s="89">
        <f t="shared" si="21"/>
        <v>1308054</v>
      </c>
      <c r="H496" s="118" t="str">
        <f t="array" ref="H496:K496">_xlfn.XLOOKUP(C496,'ESAP NEIVA FASE II UNIFICADO'!$C$6:$C$720,'ESAP NEIVA FASE II UNIFICADO'!$C$6:$F$720,"NO ESTA")</f>
        <v>SUMINISTRO E INSTALACION BANDEJA DE FIBRA OPTICA DE 24 PUERTOS</v>
      </c>
      <c r="I496" t="str">
        <v>UND</v>
      </c>
      <c r="J496">
        <v>2</v>
      </c>
      <c r="K496">
        <v>706677</v>
      </c>
      <c r="L496" s="115">
        <f t="shared" si="22"/>
        <v>706677</v>
      </c>
      <c r="M496" s="146">
        <f t="shared" si="23"/>
        <v>1413354</v>
      </c>
      <c r="N496" s="119"/>
    </row>
    <row r="497" spans="2:14" ht="15" customHeight="1" x14ac:dyDescent="0.25">
      <c r="B497" s="86" t="s">
        <v>949</v>
      </c>
      <c r="C497" s="87" t="s">
        <v>950</v>
      </c>
      <c r="D497" s="82" t="s">
        <v>16</v>
      </c>
      <c r="E497" s="83">
        <v>2</v>
      </c>
      <c r="F497" s="88">
        <v>232040</v>
      </c>
      <c r="G497" s="89">
        <f t="shared" si="21"/>
        <v>464080</v>
      </c>
      <c r="H497" s="118" t="str">
        <f t="array" ref="H497:K497">_xlfn.XLOOKUP(C497,'ESAP NEIVA FASE II UNIFICADO'!$C$6:$C$720,'ESAP NEIVA FASE II UNIFICADO'!$C$6:$F$720,"NO ESTA")</f>
        <v>SUMINISTRO E INSTALACION ORGANIZADOR HORIZONTAL 1U</v>
      </c>
      <c r="I497" t="str">
        <v>UND</v>
      </c>
      <c r="J497">
        <v>2</v>
      </c>
      <c r="K497">
        <v>250719</v>
      </c>
      <c r="L497" s="115">
        <f t="shared" si="22"/>
        <v>250719</v>
      </c>
      <c r="M497" s="146">
        <f t="shared" si="23"/>
        <v>501438</v>
      </c>
      <c r="N497" s="119"/>
    </row>
    <row r="498" spans="2:14" ht="15" customHeight="1" x14ac:dyDescent="0.25">
      <c r="B498" s="80" t="s">
        <v>951</v>
      </c>
      <c r="C498" s="81" t="s">
        <v>952</v>
      </c>
      <c r="D498" s="82"/>
      <c r="E498" s="83"/>
      <c r="F498" s="104"/>
      <c r="G498" s="89">
        <f t="shared" si="21"/>
        <v>0</v>
      </c>
      <c r="H498" s="118" t="str">
        <f t="array" ref="H498:K498">_xlfn.XLOOKUP(C498,'ESAP NEIVA FASE II UNIFICADO'!$C$6:$C$720,'ESAP NEIVA FASE II UNIFICADO'!$C$6:$F$720,"NO ESTA")</f>
        <v xml:space="preserve">SUMINISTRO E INSTALACIÓN DE OTROS </v>
      </c>
      <c r="I498">
        <v>0</v>
      </c>
      <c r="J498">
        <v>0</v>
      </c>
      <c r="K498">
        <v>0</v>
      </c>
      <c r="L498" s="115">
        <f t="shared" si="22"/>
        <v>0</v>
      </c>
      <c r="M498" s="146">
        <f t="shared" si="23"/>
        <v>0</v>
      </c>
      <c r="N498" s="119"/>
    </row>
    <row r="499" spans="2:14" ht="25.5" customHeight="1" x14ac:dyDescent="0.25">
      <c r="B499" s="86" t="s">
        <v>953</v>
      </c>
      <c r="C499" s="87" t="s">
        <v>954</v>
      </c>
      <c r="D499" s="82" t="s">
        <v>16</v>
      </c>
      <c r="E499" s="83">
        <v>1</v>
      </c>
      <c r="F499" s="88">
        <v>4169101</v>
      </c>
      <c r="G499" s="89">
        <f t="shared" si="21"/>
        <v>4169101</v>
      </c>
      <c r="H499" s="118" t="str">
        <f t="array" ref="H499:K499">_xlfn.XLOOKUP(C499,'ESAP NEIVA FASE II UNIFICADO'!$C$6:$C$720,'ESAP NEIVA FASE II UNIFICADO'!$C$6:$F$720,"NO ESTA")</f>
        <v>SUMINISTRO E INSTALACION GABINETE 2,10 m ALTO X 0,71 m PROFUNDO Y 0,81 m DE ANCHO</v>
      </c>
      <c r="I499" t="str">
        <v>UND</v>
      </c>
      <c r="J499">
        <v>3</v>
      </c>
      <c r="K499">
        <v>4504726</v>
      </c>
      <c r="L499" s="115">
        <f t="shared" si="22"/>
        <v>4504726</v>
      </c>
      <c r="M499" s="146">
        <f t="shared" si="23"/>
        <v>4504726</v>
      </c>
      <c r="N499" s="119"/>
    </row>
    <row r="500" spans="2:14" ht="15" customHeight="1" x14ac:dyDescent="0.25">
      <c r="B500" s="86" t="s">
        <v>955</v>
      </c>
      <c r="C500" s="87" t="s">
        <v>956</v>
      </c>
      <c r="D500" s="82" t="s">
        <v>16</v>
      </c>
      <c r="E500" s="83">
        <v>2</v>
      </c>
      <c r="F500" s="88">
        <v>535775</v>
      </c>
      <c r="G500" s="89">
        <f t="shared" si="21"/>
        <v>1071550</v>
      </c>
      <c r="H500" s="118" t="str">
        <f t="array" ref="H500:K500">_xlfn.XLOOKUP(C500,'ESAP NEIVA FASE II UNIFICADO'!$C$6:$C$720,'ESAP NEIVA FASE II UNIFICADO'!$C$6:$F$720,"NO ESTA")</f>
        <v>SUMINISTRO E INSTALACION ORGANIZADOR VERTICAL</v>
      </c>
      <c r="I500" t="str">
        <v>UND</v>
      </c>
      <c r="J500">
        <v>6</v>
      </c>
      <c r="K500">
        <v>578906</v>
      </c>
      <c r="L500" s="115">
        <f t="shared" si="22"/>
        <v>578906</v>
      </c>
      <c r="M500" s="146">
        <f t="shared" si="23"/>
        <v>1157812</v>
      </c>
      <c r="N500" s="119"/>
    </row>
    <row r="501" spans="2:14" ht="26.25" customHeight="1" x14ac:dyDescent="0.25">
      <c r="B501" s="86" t="s">
        <v>957</v>
      </c>
      <c r="C501" s="87" t="s">
        <v>958</v>
      </c>
      <c r="D501" s="82" t="s">
        <v>16</v>
      </c>
      <c r="E501" s="83">
        <v>1</v>
      </c>
      <c r="F501" s="88">
        <v>463979</v>
      </c>
      <c r="G501" s="89">
        <f t="shared" si="21"/>
        <v>463979</v>
      </c>
      <c r="H501" s="118" t="str">
        <f t="array" ref="H501:K501">_xlfn.XLOOKUP(C501,'ESAP NEIVA FASE II UNIFICADO'!$C$6:$C$720,'ESAP NEIVA FASE II UNIFICADO'!$C$6:$F$720,"NO ESTA")</f>
        <v>SUMINISTRO E INSTALACION MULTITOMA CON 5 SALIDAS ELECTRICAS GRADO HOSPITALARIO</v>
      </c>
      <c r="I501" t="str">
        <v>UND</v>
      </c>
      <c r="J501">
        <v>3</v>
      </c>
      <c r="K501">
        <v>501331</v>
      </c>
      <c r="L501" s="115">
        <f t="shared" si="22"/>
        <v>501331</v>
      </c>
      <c r="M501" s="146">
        <f t="shared" si="23"/>
        <v>501331</v>
      </c>
      <c r="N501" s="119"/>
    </row>
    <row r="502" spans="2:14" ht="26.25" customHeight="1" x14ac:dyDescent="0.25">
      <c r="B502" s="86" t="s">
        <v>959</v>
      </c>
      <c r="C502" s="87" t="s">
        <v>960</v>
      </c>
      <c r="D502" s="82" t="s">
        <v>94</v>
      </c>
      <c r="E502" s="83">
        <v>11</v>
      </c>
      <c r="F502" s="88">
        <v>4287</v>
      </c>
      <c r="G502" s="89">
        <f t="shared" si="21"/>
        <v>47157</v>
      </c>
      <c r="H502" s="118" t="str">
        <f t="array" ref="H502:K502">_xlfn.XLOOKUP(C502,'ESAP NEIVA FASE II UNIFICADO'!$C$6:$C$720,'ESAP NEIVA FASE II UNIFICADO'!$C$6:$F$720,"NO ESTA")</f>
        <v>SUMINISTRO E INSTALACION CABLE THHN No. 6 AWG VERDE. PARA ATERRIZAJE DE ELEMENTOS Y GABINATE</v>
      </c>
      <c r="I502" t="str">
        <v>ML</v>
      </c>
      <c r="J502">
        <v>29</v>
      </c>
      <c r="K502">
        <v>4631</v>
      </c>
      <c r="L502" s="115">
        <f t="shared" si="22"/>
        <v>4631</v>
      </c>
      <c r="M502" s="146">
        <f t="shared" si="23"/>
        <v>50941</v>
      </c>
      <c r="N502" s="119"/>
    </row>
    <row r="503" spans="2:14" ht="15" customHeight="1" x14ac:dyDescent="0.25">
      <c r="B503" s="86" t="s">
        <v>961</v>
      </c>
      <c r="C503" s="87" t="s">
        <v>962</v>
      </c>
      <c r="D503" s="82" t="s">
        <v>94</v>
      </c>
      <c r="E503" s="83">
        <v>230</v>
      </c>
      <c r="F503" s="88">
        <v>142744</v>
      </c>
      <c r="G503" s="89">
        <f t="shared" si="21"/>
        <v>32831120</v>
      </c>
      <c r="H503" s="118" t="str">
        <f t="array" ref="H503:K503">_xlfn.XLOOKUP(C503,'ESAP NEIVA FASE II UNIFICADO'!$C$6:$C$720,'ESAP NEIVA FASE II UNIFICADO'!$C$6:$F$720,"NO ESTA")</f>
        <v>SUMINISTRO E INSTALACION BANDEJA TIPO MALLA DE 40 x 8 cm CON ACCESORIOS</v>
      </c>
      <c r="I503" t="str">
        <v>ML</v>
      </c>
      <c r="J503">
        <v>316</v>
      </c>
      <c r="K503">
        <v>154235</v>
      </c>
      <c r="L503" s="115">
        <f t="shared" si="22"/>
        <v>154235</v>
      </c>
      <c r="M503" s="146">
        <f t="shared" si="23"/>
        <v>35474050</v>
      </c>
      <c r="N503" s="119"/>
    </row>
    <row r="504" spans="2:14" ht="15" customHeight="1" x14ac:dyDescent="0.25">
      <c r="B504" s="86" t="s">
        <v>963</v>
      </c>
      <c r="C504" s="87" t="s">
        <v>964</v>
      </c>
      <c r="D504" s="82" t="s">
        <v>94</v>
      </c>
      <c r="E504" s="83">
        <v>91</v>
      </c>
      <c r="F504" s="88">
        <v>33821</v>
      </c>
      <c r="G504" s="89">
        <f t="shared" si="21"/>
        <v>3077711</v>
      </c>
      <c r="H504" s="118" t="str">
        <f t="array" ref="H504:K504">_xlfn.XLOOKUP(C504,'ESAP NEIVA FASE II UNIFICADO'!$C$6:$C$720,'ESAP NEIVA FASE II UNIFICADO'!$C$6:$F$720,"NO ESTA")</f>
        <v>SUMINISTRO E INSTALACION CANALETA METÁLICA DE 12 x 5 cm.</v>
      </c>
      <c r="I504" t="str">
        <v>ML</v>
      </c>
      <c r="J504">
        <v>245</v>
      </c>
      <c r="K504">
        <v>36543</v>
      </c>
      <c r="L504" s="115">
        <f t="shared" si="22"/>
        <v>36543</v>
      </c>
      <c r="M504" s="146">
        <f t="shared" si="23"/>
        <v>3325413</v>
      </c>
      <c r="N504" s="119"/>
    </row>
    <row r="505" spans="2:14" ht="15" customHeight="1" x14ac:dyDescent="0.25">
      <c r="B505" s="86" t="s">
        <v>965</v>
      </c>
      <c r="C505" s="87" t="s">
        <v>966</v>
      </c>
      <c r="D505" s="82" t="s">
        <v>94</v>
      </c>
      <c r="E505" s="83">
        <v>23</v>
      </c>
      <c r="F505" s="88">
        <v>18678</v>
      </c>
      <c r="G505" s="89">
        <f t="shared" si="21"/>
        <v>429594</v>
      </c>
      <c r="H505" s="118" t="str">
        <f t="array" ref="H505:K505">_xlfn.XLOOKUP(C505,'ESAP NEIVA FASE II UNIFICADO'!$C$6:$C$720,'ESAP NEIVA FASE II UNIFICADO'!$C$6:$F$720,"NO ESTA")</f>
        <v>SUMINISTRO E INSTALACION TUBERÍA EMT DE 1" INCLUYE ACCESORIOS</v>
      </c>
      <c r="I505" t="str">
        <v>ML</v>
      </c>
      <c r="J505">
        <v>64</v>
      </c>
      <c r="K505">
        <v>20181</v>
      </c>
      <c r="L505" s="115">
        <f t="shared" si="22"/>
        <v>20181</v>
      </c>
      <c r="M505" s="146">
        <f t="shared" si="23"/>
        <v>464163</v>
      </c>
      <c r="N505" s="119"/>
    </row>
    <row r="506" spans="2:14" ht="15" customHeight="1" x14ac:dyDescent="0.25">
      <c r="B506" s="86" t="s">
        <v>967</v>
      </c>
      <c r="C506" s="87" t="s">
        <v>968</v>
      </c>
      <c r="D506" s="82" t="s">
        <v>94</v>
      </c>
      <c r="E506" s="83">
        <v>61</v>
      </c>
      <c r="F506" s="88">
        <v>14844</v>
      </c>
      <c r="G506" s="89">
        <f t="shared" si="21"/>
        <v>905484</v>
      </c>
      <c r="H506" s="118" t="str">
        <f t="array" ref="H506:K506">_xlfn.XLOOKUP(C506,'ESAP NEIVA FASE II UNIFICADO'!$C$6:$C$720,'ESAP NEIVA FASE II UNIFICADO'!$C$6:$F$720,"NO ESTA")</f>
        <v>SUMINISTRO E INSTALACION TUBERÍA EMT DE 3/4" INCLUYE ACCESORIOS</v>
      </c>
      <c r="I506" t="str">
        <v>ML</v>
      </c>
      <c r="J506">
        <v>166</v>
      </c>
      <c r="K506">
        <v>16039</v>
      </c>
      <c r="L506" s="115">
        <f t="shared" si="22"/>
        <v>16039</v>
      </c>
      <c r="M506" s="146">
        <f t="shared" si="23"/>
        <v>978379</v>
      </c>
      <c r="N506" s="119"/>
    </row>
    <row r="507" spans="2:14" ht="15" customHeight="1" x14ac:dyDescent="0.25">
      <c r="B507" s="86" t="s">
        <v>969</v>
      </c>
      <c r="C507" s="87" t="s">
        <v>970</v>
      </c>
      <c r="D507" s="82" t="s">
        <v>94</v>
      </c>
      <c r="E507" s="83">
        <v>8</v>
      </c>
      <c r="F507" s="88">
        <v>5469</v>
      </c>
      <c r="G507" s="89">
        <f t="shared" si="21"/>
        <v>43752</v>
      </c>
      <c r="H507" s="118" t="str">
        <f t="array" ref="H507:K507">_xlfn.XLOOKUP(C507,'ESAP NEIVA FASE II UNIFICADO'!$C$6:$C$720,'ESAP NEIVA FASE II UNIFICADO'!$C$6:$F$720,"NO ESTA")</f>
        <v>SUMINISTRO E INSTALACION TUBERÍA PVC DE 1" INCLUYE ACCESORIOS</v>
      </c>
      <c r="I507" t="str">
        <v>ML</v>
      </c>
      <c r="J507">
        <v>22</v>
      </c>
      <c r="K507">
        <v>5910</v>
      </c>
      <c r="L507" s="115">
        <f t="shared" si="22"/>
        <v>5910</v>
      </c>
      <c r="M507" s="146">
        <f t="shared" si="23"/>
        <v>47280</v>
      </c>
      <c r="N507" s="119"/>
    </row>
    <row r="508" spans="2:14" ht="15" customHeight="1" x14ac:dyDescent="0.25">
      <c r="B508" s="86" t="s">
        <v>971</v>
      </c>
      <c r="C508" s="87" t="s">
        <v>972</v>
      </c>
      <c r="D508" s="82" t="s">
        <v>94</v>
      </c>
      <c r="E508" s="83">
        <v>31</v>
      </c>
      <c r="F508" s="88">
        <v>4400</v>
      </c>
      <c r="G508" s="89">
        <f t="shared" si="21"/>
        <v>136400</v>
      </c>
      <c r="H508" s="118" t="str">
        <f t="array" ref="H508:K508">_xlfn.XLOOKUP(C508,'ESAP NEIVA FASE II UNIFICADO'!$C$6:$C$720,'ESAP NEIVA FASE II UNIFICADO'!$C$6:$F$720,"NO ESTA")</f>
        <v>SUMINISTRO E INSTALACION TUBERÍA PVC DE 3/4" INCLUYE ACCESORIOS</v>
      </c>
      <c r="I508" t="str">
        <v>ML</v>
      </c>
      <c r="J508">
        <v>84</v>
      </c>
      <c r="K508">
        <v>4755</v>
      </c>
      <c r="L508" s="115">
        <f t="shared" si="22"/>
        <v>4755</v>
      </c>
      <c r="M508" s="146">
        <f t="shared" si="23"/>
        <v>147405</v>
      </c>
      <c r="N508" s="119"/>
    </row>
    <row r="509" spans="2:14" ht="15" customHeight="1" x14ac:dyDescent="0.25">
      <c r="B509" s="86" t="s">
        <v>973</v>
      </c>
      <c r="C509" s="87" t="s">
        <v>974</v>
      </c>
      <c r="D509" s="82" t="s">
        <v>16</v>
      </c>
      <c r="E509" s="83">
        <v>4</v>
      </c>
      <c r="F509" s="88">
        <v>713688</v>
      </c>
      <c r="G509" s="89">
        <f t="shared" si="21"/>
        <v>2854752</v>
      </c>
      <c r="H509" s="118" t="str">
        <f t="array" ref="H509:K509">_xlfn.XLOOKUP(C509,'ESAP NEIVA FASE II UNIFICADO'!$C$6:$C$720,'ESAP NEIVA FASE II UNIFICADO'!$C$6:$F$720,"NO ESTA")</f>
        <v>SUMINISTRO E INSTALACION PARRILLA ORGANIZADORA DE CABLES DE 1,20 x 0,6 m</v>
      </c>
      <c r="I509" t="str">
        <v>UND</v>
      </c>
      <c r="J509">
        <v>2</v>
      </c>
      <c r="K509">
        <v>771142</v>
      </c>
      <c r="L509" s="115">
        <f t="shared" si="22"/>
        <v>771142</v>
      </c>
      <c r="M509" s="146">
        <f t="shared" si="23"/>
        <v>3084568</v>
      </c>
      <c r="N509" s="119"/>
    </row>
    <row r="510" spans="2:14" ht="15" customHeight="1" x14ac:dyDescent="0.25">
      <c r="B510" s="86" t="s">
        <v>975</v>
      </c>
      <c r="C510" s="87" t="s">
        <v>976</v>
      </c>
      <c r="D510" s="82" t="s">
        <v>16</v>
      </c>
      <c r="E510" s="83">
        <v>4</v>
      </c>
      <c r="F510" s="88">
        <v>11964</v>
      </c>
      <c r="G510" s="89">
        <f t="shared" si="21"/>
        <v>47856</v>
      </c>
      <c r="H510" s="118" t="str">
        <f t="array" ref="H510:K510">_xlfn.XLOOKUP(C510,'ESAP NEIVA FASE II UNIFICADO'!$C$6:$C$720,'ESAP NEIVA FASE II UNIFICADO'!$C$6:$F$720,"NO ESTA")</f>
        <v>SUMINISTRO E INSTALACION CAJA DE PASO 10 x 10 m DOBLE FONDO</v>
      </c>
      <c r="I510" t="str">
        <v>UND</v>
      </c>
      <c r="J510">
        <v>4</v>
      </c>
      <c r="K510">
        <v>12928</v>
      </c>
      <c r="L510" s="115">
        <f t="shared" si="22"/>
        <v>12928</v>
      </c>
      <c r="M510" s="146">
        <f t="shared" si="23"/>
        <v>51712</v>
      </c>
      <c r="N510" s="119"/>
    </row>
    <row r="511" spans="2:14" ht="15" customHeight="1" x14ac:dyDescent="0.25">
      <c r="B511" s="80" t="s">
        <v>977</v>
      </c>
      <c r="C511" s="81" t="s">
        <v>978</v>
      </c>
      <c r="D511" s="82"/>
      <c r="E511" s="83"/>
      <c r="F511" s="106"/>
      <c r="G511" s="89">
        <f t="shared" si="21"/>
        <v>0</v>
      </c>
      <c r="H511" s="118" t="str">
        <f t="array" ref="H511:K511">_xlfn.XLOOKUP(C511,'ESAP NEIVA FASE II UNIFICADO'!$C$6:$C$720,'ESAP NEIVA FASE II UNIFICADO'!$C$6:$F$720,"NO ESTA")</f>
        <v xml:space="preserve">SUMINISTRO E INSTALACIÓN DE REDES ELECTRICAS ESPECIALES </v>
      </c>
      <c r="I511">
        <v>0</v>
      </c>
      <c r="J511">
        <v>0</v>
      </c>
      <c r="K511">
        <v>0</v>
      </c>
      <c r="L511" s="115">
        <f t="shared" si="22"/>
        <v>0</v>
      </c>
      <c r="M511" s="146">
        <f t="shared" si="23"/>
        <v>0</v>
      </c>
      <c r="N511" s="119"/>
    </row>
    <row r="512" spans="2:14" ht="15" customHeight="1" x14ac:dyDescent="0.25">
      <c r="B512" s="86" t="s">
        <v>979</v>
      </c>
      <c r="C512" s="87" t="s">
        <v>980</v>
      </c>
      <c r="D512" s="82" t="s">
        <v>16</v>
      </c>
      <c r="E512" s="83">
        <v>2</v>
      </c>
      <c r="F512" s="88">
        <v>59449</v>
      </c>
      <c r="G512" s="89">
        <f t="shared" si="21"/>
        <v>118898</v>
      </c>
      <c r="H512" s="118" t="str">
        <f t="array" ref="H512:K512">_xlfn.XLOOKUP(C512,'ESAP NEIVA FASE II UNIFICADO'!$C$6:$C$720,'ESAP NEIVA FASE II UNIFICADO'!$C$6:$F$720,"NO ESTA")</f>
        <v>SUMINISTRO E INSTALACION SALIDA TOMA NEMA L5-30 RAWELT</v>
      </c>
      <c r="I512" t="str">
        <v>UND</v>
      </c>
      <c r="J512">
        <v>2</v>
      </c>
      <c r="K512">
        <v>64235</v>
      </c>
      <c r="L512" s="115">
        <f t="shared" si="22"/>
        <v>64235</v>
      </c>
      <c r="M512" s="146">
        <f t="shared" si="23"/>
        <v>128470</v>
      </c>
      <c r="N512" s="119"/>
    </row>
    <row r="513" spans="2:14" ht="29.25" customHeight="1" x14ac:dyDescent="0.25">
      <c r="B513" s="86" t="s">
        <v>981</v>
      </c>
      <c r="C513" s="87" t="s">
        <v>982</v>
      </c>
      <c r="D513" s="82" t="s">
        <v>94</v>
      </c>
      <c r="E513" s="83">
        <v>2</v>
      </c>
      <c r="F513" s="88">
        <v>5989</v>
      </c>
      <c r="G513" s="89">
        <f t="shared" si="21"/>
        <v>11978</v>
      </c>
      <c r="H513" s="118" t="str">
        <f t="array" ref="H513:K513">_xlfn.XLOOKUP(C513,'ESAP NEIVA FASE II UNIFICADO'!$C$6:$C$720,'ESAP NEIVA FASE II UNIFICADO'!$C$6:$F$720,"NO ESTA")</f>
        <v>SUMINISTRO E INSTALACION CIRCUITO PREENSAMBLADO AZUL MONOFÁSICO NORMAL PARA RACK</v>
      </c>
      <c r="I513" t="str">
        <v>ML</v>
      </c>
      <c r="J513">
        <v>2</v>
      </c>
      <c r="K513">
        <v>6470</v>
      </c>
      <c r="L513" s="115">
        <f t="shared" si="22"/>
        <v>6470</v>
      </c>
      <c r="M513" s="146">
        <f t="shared" si="23"/>
        <v>12940</v>
      </c>
      <c r="N513" s="119"/>
    </row>
    <row r="514" spans="2:14" ht="29.25" customHeight="1" x14ac:dyDescent="0.25">
      <c r="B514" s="86" t="s">
        <v>983</v>
      </c>
      <c r="C514" s="87" t="s">
        <v>984</v>
      </c>
      <c r="D514" s="82" t="s">
        <v>94</v>
      </c>
      <c r="E514" s="83">
        <v>2</v>
      </c>
      <c r="F514" s="88">
        <v>5989</v>
      </c>
      <c r="G514" s="89">
        <f t="shared" si="21"/>
        <v>11978</v>
      </c>
      <c r="H514" s="118" t="str">
        <f t="array" ref="H514:K514">_xlfn.XLOOKUP(C514,'ESAP NEIVA FASE II UNIFICADO'!$C$6:$C$720,'ESAP NEIVA FASE II UNIFICADO'!$C$6:$F$720,"NO ESTA")</f>
        <v>SUMINISTRO E INSTALACION CIRCUITO PREENSAMBLADO ROJO MONOFÁSICO REGULADO PARA RACK</v>
      </c>
      <c r="I514" t="str">
        <v>ML</v>
      </c>
      <c r="J514">
        <v>2</v>
      </c>
      <c r="K514">
        <v>6470</v>
      </c>
      <c r="L514" s="115">
        <f t="shared" si="22"/>
        <v>6470</v>
      </c>
      <c r="M514" s="146">
        <f t="shared" si="23"/>
        <v>12940</v>
      </c>
      <c r="N514" s="119"/>
    </row>
    <row r="515" spans="2:14" ht="15" customHeight="1" x14ac:dyDescent="0.25">
      <c r="B515" s="86" t="s">
        <v>985</v>
      </c>
      <c r="C515" s="87" t="s">
        <v>986</v>
      </c>
      <c r="D515" s="82" t="s">
        <v>16</v>
      </c>
      <c r="E515" s="83">
        <v>2</v>
      </c>
      <c r="F515" s="88">
        <v>585757</v>
      </c>
      <c r="G515" s="89">
        <f t="shared" si="21"/>
        <v>1171514</v>
      </c>
      <c r="H515" s="118" t="str">
        <f t="array" ref="H515:K515">_xlfn.XLOOKUP(C515,'ESAP NEIVA FASE II UNIFICADO'!$C$6:$C$720,'ESAP NEIVA FASE II UNIFICADO'!$C$6:$F$720,"NO ESTA")</f>
        <v>SUMINISTRO E INSTALACION BARRAJE DE PUESTA A TIERRA PARA RACK TGB</v>
      </c>
      <c r="I515" t="str">
        <v>UND</v>
      </c>
      <c r="J515">
        <v>2</v>
      </c>
      <c r="K515">
        <v>632913</v>
      </c>
      <c r="L515" s="115">
        <f t="shared" si="22"/>
        <v>632913</v>
      </c>
      <c r="M515" s="146">
        <f t="shared" si="23"/>
        <v>1265826</v>
      </c>
      <c r="N515" s="119"/>
    </row>
    <row r="516" spans="2:14" ht="15" customHeight="1" x14ac:dyDescent="0.25">
      <c r="B516" s="80" t="s">
        <v>987</v>
      </c>
      <c r="C516" s="81" t="s">
        <v>988</v>
      </c>
      <c r="D516" s="82"/>
      <c r="E516" s="83"/>
      <c r="F516" s="104"/>
      <c r="G516" s="89">
        <f t="shared" si="21"/>
        <v>0</v>
      </c>
      <c r="H516" s="118" t="str">
        <f t="array" ref="H516:K516">_xlfn.XLOOKUP(C516,'ESAP NEIVA FASE II UNIFICADO'!$C$6:$C$720,'ESAP NEIVA FASE II UNIFICADO'!$C$6:$F$720,"NO ESTA")</f>
        <v>SUMINISTRO E INSTALACION DE EQUIPOS ACTIVOS</v>
      </c>
      <c r="I516">
        <v>0</v>
      </c>
      <c r="J516">
        <v>0</v>
      </c>
      <c r="K516">
        <v>0</v>
      </c>
      <c r="L516" s="115">
        <f t="shared" si="22"/>
        <v>0</v>
      </c>
      <c r="M516" s="146">
        <f t="shared" si="23"/>
        <v>0</v>
      </c>
      <c r="N516" s="119"/>
    </row>
    <row r="517" spans="2:14" ht="25.5" customHeight="1" x14ac:dyDescent="0.25">
      <c r="B517" s="86" t="s">
        <v>989</v>
      </c>
      <c r="C517" s="87" t="s">
        <v>990</v>
      </c>
      <c r="D517" s="82" t="s">
        <v>16</v>
      </c>
      <c r="E517" s="83">
        <v>1</v>
      </c>
      <c r="F517" s="88">
        <f>6797211-1.33</f>
        <v>6797209.6699999999</v>
      </c>
      <c r="G517" s="89">
        <f t="shared" si="21"/>
        <v>6797209.6699999999</v>
      </c>
      <c r="H517" s="118" t="str">
        <f t="array" ref="H517:K517">_xlfn.XLOOKUP(C517,'ESAP NEIVA FASE II UNIFICADO'!$C$6:$C$720,'ESAP NEIVA FASE II UNIFICADO'!$C$6:$F$720,"NO ESTA")</f>
        <v xml:space="preserve">SUMINISTRO E INSTALACION SWITCHE DE BORDE DE 24 PoE PUERTOS GIGABIT ETHERNET 10/100/1000 Gbps CON PUERTO DE ADMINSITRACION POR CONSOLA </v>
      </c>
      <c r="I517" t="str">
        <v>UND</v>
      </c>
      <c r="J517">
        <v>13</v>
      </c>
      <c r="K517">
        <v>7344406</v>
      </c>
      <c r="L517" s="115">
        <f t="shared" si="22"/>
        <v>7344406</v>
      </c>
      <c r="M517" s="146">
        <f t="shared" si="23"/>
        <v>7344406</v>
      </c>
      <c r="N517" s="119"/>
    </row>
    <row r="518" spans="2:14" ht="15" customHeight="1" x14ac:dyDescent="0.25">
      <c r="B518" s="86" t="s">
        <v>991</v>
      </c>
      <c r="C518" s="87" t="s">
        <v>992</v>
      </c>
      <c r="D518" s="82" t="s">
        <v>16</v>
      </c>
      <c r="E518" s="83">
        <v>1</v>
      </c>
      <c r="F518" s="88">
        <v>778929</v>
      </c>
      <c r="G518" s="89">
        <f t="shared" ref="G518:G540" si="24">ROUND(+F518*E518,2)</f>
        <v>778929</v>
      </c>
      <c r="H518" s="118" t="str">
        <f t="array" ref="H518:K518">_xlfn.XLOOKUP(C518,'ESAP NEIVA FASE II UNIFICADO'!$C$6:$C$720,'ESAP NEIVA FASE II UNIFICADO'!$C$6:$F$720,"NO ESTA")</f>
        <v>SUMINISTRO E INSTALACION MODULO SFP 10G</v>
      </c>
      <c r="I518" t="str">
        <v>UND</v>
      </c>
      <c r="J518">
        <v>0</v>
      </c>
      <c r="K518">
        <v>841635</v>
      </c>
      <c r="L518" s="115">
        <f t="shared" ref="L518:L540" si="25">MAX(K518,F518)</f>
        <v>841635</v>
      </c>
      <c r="M518" s="146">
        <f t="shared" ref="M518:M540" si="26">L518*E518</f>
        <v>841635</v>
      </c>
      <c r="N518" s="119"/>
    </row>
    <row r="519" spans="2:14" ht="24.75" customHeight="1" x14ac:dyDescent="0.25">
      <c r="B519" s="74">
        <v>19</v>
      </c>
      <c r="C519" s="75" t="s">
        <v>993</v>
      </c>
      <c r="D519" s="76"/>
      <c r="E519" s="77"/>
      <c r="F519" s="78"/>
      <c r="G519" s="89">
        <f t="shared" si="24"/>
        <v>0</v>
      </c>
      <c r="H519" s="118" t="str">
        <f t="array" ref="H519:K519">_xlfn.XLOOKUP(C519,'ESAP NEIVA FASE II UNIFICADO'!$C$6:$C$720,'ESAP NEIVA FASE II UNIFICADO'!$C$6:$F$720,"NO ESTA")</f>
        <v>SEGURIDAD ELÉCTRONICA (CCTV, CONTROL ACCESOS, DETECCION INCENDIOS Y SONIDO)</v>
      </c>
      <c r="I519">
        <v>0</v>
      </c>
      <c r="J519">
        <v>0</v>
      </c>
      <c r="K519">
        <v>0</v>
      </c>
      <c r="L519" s="115">
        <f t="shared" si="25"/>
        <v>0</v>
      </c>
      <c r="M519" s="146">
        <f t="shared" si="26"/>
        <v>0</v>
      </c>
      <c r="N519" s="119"/>
    </row>
    <row r="520" spans="2:14" ht="15" customHeight="1" x14ac:dyDescent="0.25">
      <c r="B520" s="80" t="s">
        <v>994</v>
      </c>
      <c r="C520" s="81" t="s">
        <v>995</v>
      </c>
      <c r="D520" s="82"/>
      <c r="E520" s="83"/>
      <c r="F520" s="90"/>
      <c r="G520" s="89">
        <f t="shared" si="24"/>
        <v>0</v>
      </c>
      <c r="H520" s="118" t="str">
        <f t="array" ref="H520:K520">_xlfn.XLOOKUP(C520,'ESAP NEIVA FASE II UNIFICADO'!$C$6:$C$720,'ESAP NEIVA FASE II UNIFICADO'!$C$6:$F$720,"NO ESTA")</f>
        <v>SUMINISTRO E INSTALACION DE DETECCIÓN DE INDENDIO</v>
      </c>
      <c r="I520">
        <v>0</v>
      </c>
      <c r="J520">
        <v>0</v>
      </c>
      <c r="K520">
        <v>0</v>
      </c>
      <c r="L520" s="115">
        <f t="shared" si="25"/>
        <v>0</v>
      </c>
      <c r="M520" s="146">
        <f t="shared" si="26"/>
        <v>0</v>
      </c>
      <c r="N520" s="119"/>
    </row>
    <row r="521" spans="2:14" ht="22.5" customHeight="1" x14ac:dyDescent="0.25">
      <c r="B521" s="86" t="s">
        <v>996</v>
      </c>
      <c r="C521" s="87" t="s">
        <v>997</v>
      </c>
      <c r="D521" s="82" t="s">
        <v>16</v>
      </c>
      <c r="E521" s="83">
        <v>3</v>
      </c>
      <c r="F521" s="88">
        <v>472015</v>
      </c>
      <c r="G521" s="89">
        <f t="shared" si="24"/>
        <v>1416045</v>
      </c>
      <c r="H521" s="118" t="str">
        <f t="array" ref="H521:K521">_xlfn.XLOOKUP(C521,'ESAP NEIVA FASE II UNIFICADO'!$C$6:$C$720,'ESAP NEIVA FASE II UNIFICADO'!$C$6:$F$720,"NO ESTA")</f>
        <v>SUMINISTRO E INSTALACION ESTACION MANUAL DIRECCIONABLE DE AVISO, CON CUBIERTA ACRILICA</v>
      </c>
      <c r="I521" t="str">
        <v>UND</v>
      </c>
      <c r="J521">
        <v>8</v>
      </c>
      <c r="K521">
        <v>503198</v>
      </c>
      <c r="L521" s="115">
        <f t="shared" si="25"/>
        <v>503198</v>
      </c>
      <c r="M521" s="146">
        <f t="shared" si="26"/>
        <v>1509594</v>
      </c>
      <c r="N521" s="119"/>
    </row>
    <row r="522" spans="2:14" ht="15" customHeight="1" x14ac:dyDescent="0.25">
      <c r="B522" s="86" t="s">
        <v>998</v>
      </c>
      <c r="C522" s="87" t="s">
        <v>999</v>
      </c>
      <c r="D522" s="82" t="s">
        <v>16</v>
      </c>
      <c r="E522" s="83">
        <v>3</v>
      </c>
      <c r="F522" s="88">
        <v>337783</v>
      </c>
      <c r="G522" s="89">
        <f t="shared" si="24"/>
        <v>1013349</v>
      </c>
      <c r="H522" s="118" t="str">
        <f t="array" ref="H522:K522">_xlfn.XLOOKUP(C522,'ESAP NEIVA FASE II UNIFICADO'!$C$6:$C$720,'ESAP NEIVA FASE II UNIFICADO'!$C$6:$F$720,"NO ESTA")</f>
        <v>SUMINISTRO E INSTALACION SIRENA / ESTROBO CON SUS MODULOS DE CONTROL</v>
      </c>
      <c r="I522" t="str">
        <v>UND</v>
      </c>
      <c r="J522">
        <v>8</v>
      </c>
      <c r="K522">
        <v>360098</v>
      </c>
      <c r="L522" s="115">
        <f t="shared" si="25"/>
        <v>360098</v>
      </c>
      <c r="M522" s="146">
        <f t="shared" si="26"/>
        <v>1080294</v>
      </c>
      <c r="N522" s="119"/>
    </row>
    <row r="523" spans="2:14" ht="15" customHeight="1" x14ac:dyDescent="0.25">
      <c r="B523" s="86" t="s">
        <v>1000</v>
      </c>
      <c r="C523" s="87" t="s">
        <v>1001</v>
      </c>
      <c r="D523" s="82" t="s">
        <v>16</v>
      </c>
      <c r="E523" s="83">
        <v>46</v>
      </c>
      <c r="F523" s="88">
        <v>379961</v>
      </c>
      <c r="G523" s="89">
        <f t="shared" si="24"/>
        <v>17478206</v>
      </c>
      <c r="H523" s="118" t="str">
        <f t="array" ref="H523:K523">_xlfn.XLOOKUP(C523,'ESAP NEIVA FASE II UNIFICADO'!$C$6:$C$720,'ESAP NEIVA FASE II UNIFICADO'!$C$6:$F$720,"NO ESTA")</f>
        <v>SUMINISTRO E INSTALACION DETECTOR DE HUMO DIRECCIONABLE CON BASE</v>
      </c>
      <c r="I523" t="str">
        <v>UND</v>
      </c>
      <c r="J523">
        <v>96</v>
      </c>
      <c r="K523">
        <v>405062</v>
      </c>
      <c r="L523" s="115">
        <f t="shared" si="25"/>
        <v>405062</v>
      </c>
      <c r="M523" s="146">
        <f t="shared" si="26"/>
        <v>18632852</v>
      </c>
      <c r="N523" s="119"/>
    </row>
    <row r="524" spans="2:14" ht="15" customHeight="1" x14ac:dyDescent="0.25">
      <c r="B524" s="86" t="s">
        <v>1002</v>
      </c>
      <c r="C524" s="87" t="s">
        <v>1003</v>
      </c>
      <c r="D524" s="82" t="s">
        <v>16</v>
      </c>
      <c r="E524" s="83">
        <v>2</v>
      </c>
      <c r="F524" s="88">
        <v>355859</v>
      </c>
      <c r="G524" s="89">
        <f t="shared" si="24"/>
        <v>711718</v>
      </c>
      <c r="H524" s="118" t="str">
        <f t="array" ref="H524:K524">_xlfn.XLOOKUP(C524,'ESAP NEIVA FASE II UNIFICADO'!$C$6:$C$720,'ESAP NEIVA FASE II UNIFICADO'!$C$6:$F$720,"NO ESTA")</f>
        <v>SUMINISTRO E INSTALACION DETECTOR DE MONOXIDO DIRECCIONABLE CON BASE</v>
      </c>
      <c r="I524" t="str">
        <v>UND</v>
      </c>
      <c r="J524">
        <v>6</v>
      </c>
      <c r="K524">
        <v>379368</v>
      </c>
      <c r="L524" s="115">
        <f t="shared" si="25"/>
        <v>379368</v>
      </c>
      <c r="M524" s="146">
        <f t="shared" si="26"/>
        <v>758736</v>
      </c>
      <c r="N524" s="119"/>
    </row>
    <row r="525" spans="2:14" ht="15" customHeight="1" x14ac:dyDescent="0.25">
      <c r="B525" s="86" t="s">
        <v>1004</v>
      </c>
      <c r="C525" s="87" t="s">
        <v>1005</v>
      </c>
      <c r="D525" s="82" t="s">
        <v>16</v>
      </c>
      <c r="E525" s="83">
        <v>2</v>
      </c>
      <c r="F525" s="88">
        <v>375660</v>
      </c>
      <c r="G525" s="89">
        <f t="shared" si="24"/>
        <v>751320</v>
      </c>
      <c r="H525" s="118" t="str">
        <f t="array" ref="H525:K525">_xlfn.XLOOKUP(C525,'ESAP NEIVA FASE II UNIFICADO'!$C$6:$C$720,'ESAP NEIVA FASE II UNIFICADO'!$C$6:$F$720,"NO ESTA")</f>
        <v>SUMINISTRO E INSTALACION CITOFONO DE EMERGENCIA</v>
      </c>
      <c r="I525" t="str">
        <v>UND</v>
      </c>
      <c r="J525">
        <v>5</v>
      </c>
      <c r="K525">
        <v>400477</v>
      </c>
      <c r="L525" s="115">
        <f t="shared" si="25"/>
        <v>400477</v>
      </c>
      <c r="M525" s="146">
        <f t="shared" si="26"/>
        <v>800954</v>
      </c>
      <c r="N525" s="119"/>
    </row>
    <row r="526" spans="2:14" ht="23.25" customHeight="1" x14ac:dyDescent="0.25">
      <c r="B526" s="86" t="s">
        <v>1006</v>
      </c>
      <c r="C526" s="87" t="s">
        <v>1007</v>
      </c>
      <c r="D526" s="82" t="s">
        <v>16</v>
      </c>
      <c r="E526" s="83">
        <v>1</v>
      </c>
      <c r="F526" s="88">
        <v>7889971</v>
      </c>
      <c r="G526" s="89">
        <f t="shared" si="24"/>
        <v>7889971</v>
      </c>
      <c r="H526" s="118" t="str">
        <f t="array" ref="H526:K526">_xlfn.XLOOKUP(C526,'ESAP NEIVA FASE II UNIFICADO'!$C$6:$C$720,'ESAP NEIVA FASE II UNIFICADO'!$C$6:$F$720,"NO ESTA")</f>
        <v xml:space="preserve">SUMINISTRO E INSTALACION CENTRAL DE DETECCION DE INCENDIO E INTRUSIÓN, CONSU GABINETE, FUENTE, CPU, DISPLAY Y TECLEDO, CON UN 30% DE RESERVA PARA AMPLIACIÓN. </v>
      </c>
      <c r="I526" t="str">
        <v>UND</v>
      </c>
      <c r="J526">
        <v>1</v>
      </c>
      <c r="K526">
        <v>8411205</v>
      </c>
      <c r="L526" s="115">
        <f t="shared" si="25"/>
        <v>8411205</v>
      </c>
      <c r="M526" s="146">
        <f t="shared" si="26"/>
        <v>8411205</v>
      </c>
      <c r="N526" s="119"/>
    </row>
    <row r="527" spans="2:14" ht="15" customHeight="1" x14ac:dyDescent="0.25">
      <c r="B527" s="86" t="s">
        <v>1008</v>
      </c>
      <c r="C527" s="87" t="s">
        <v>1009</v>
      </c>
      <c r="D527" s="82" t="s">
        <v>94</v>
      </c>
      <c r="E527" s="83">
        <v>496</v>
      </c>
      <c r="F527" s="88">
        <v>4940</v>
      </c>
      <c r="G527" s="89">
        <f t="shared" si="24"/>
        <v>2450240</v>
      </c>
      <c r="H527" s="118" t="str">
        <f t="array" ref="H527:K527">_xlfn.XLOOKUP(C527,'ESAP NEIVA FASE II UNIFICADO'!$C$6:$C$720,'ESAP NEIVA FASE II UNIFICADO'!$C$6:$F$720,"NO ESTA")</f>
        <v>SUMINISTRO E INSTALACION CABLE BLINDADO 2 x 16 AWG FPL</v>
      </c>
      <c r="I527" t="str">
        <v>ML</v>
      </c>
      <c r="J527">
        <v>1277</v>
      </c>
      <c r="K527">
        <v>5267</v>
      </c>
      <c r="L527" s="115">
        <f t="shared" si="25"/>
        <v>5267</v>
      </c>
      <c r="M527" s="146">
        <f t="shared" si="26"/>
        <v>2612432</v>
      </c>
      <c r="N527" s="119"/>
    </row>
    <row r="528" spans="2:14" ht="15" customHeight="1" x14ac:dyDescent="0.25">
      <c r="B528" s="86" t="s">
        <v>1010</v>
      </c>
      <c r="C528" s="87" t="s">
        <v>968</v>
      </c>
      <c r="D528" s="82" t="s">
        <v>94</v>
      </c>
      <c r="E528" s="83">
        <v>456</v>
      </c>
      <c r="F528" s="88">
        <v>15045</v>
      </c>
      <c r="G528" s="89">
        <f t="shared" si="24"/>
        <v>6860520</v>
      </c>
      <c r="H528" s="118" t="str">
        <f t="array" ref="H528:K528">_xlfn.XLOOKUP(C528,'ESAP NEIVA FASE II UNIFICADO'!$C$6:$C$720,'ESAP NEIVA FASE II UNIFICADO'!$C$6:$F$720,"NO ESTA")</f>
        <v>SUMINISTRO E INSTALACION TUBERÍA EMT DE 3/4" INCLUYE ACCESORIOS</v>
      </c>
      <c r="I528" t="str">
        <v>ML</v>
      </c>
      <c r="J528">
        <v>166</v>
      </c>
      <c r="K528">
        <v>16039</v>
      </c>
      <c r="L528" s="115">
        <f t="shared" si="25"/>
        <v>16039</v>
      </c>
      <c r="M528" s="146">
        <f t="shared" si="26"/>
        <v>7313784</v>
      </c>
      <c r="N528" s="119"/>
    </row>
    <row r="529" spans="2:15" ht="15" customHeight="1" x14ac:dyDescent="0.25">
      <c r="B529" s="86" t="s">
        <v>1011</v>
      </c>
      <c r="C529" s="87" t="s">
        <v>972</v>
      </c>
      <c r="D529" s="82" t="s">
        <v>94</v>
      </c>
      <c r="E529" s="83">
        <v>7</v>
      </c>
      <c r="F529" s="88">
        <v>4460</v>
      </c>
      <c r="G529" s="89">
        <f t="shared" si="24"/>
        <v>31220</v>
      </c>
      <c r="H529" s="118" t="str">
        <f t="array" ref="H529:K529">_xlfn.XLOOKUP(C529,'ESAP NEIVA FASE II UNIFICADO'!$C$6:$C$720,'ESAP NEIVA FASE II UNIFICADO'!$C$6:$F$720,"NO ESTA")</f>
        <v>SUMINISTRO E INSTALACION TUBERÍA PVC DE 3/4" INCLUYE ACCESORIOS</v>
      </c>
      <c r="I529" t="str">
        <v>ML</v>
      </c>
      <c r="J529">
        <v>84</v>
      </c>
      <c r="K529">
        <v>4755</v>
      </c>
      <c r="L529" s="115">
        <f t="shared" si="25"/>
        <v>4755</v>
      </c>
      <c r="M529" s="146">
        <f t="shared" si="26"/>
        <v>33285</v>
      </c>
      <c r="N529" s="119"/>
    </row>
    <row r="530" spans="2:15" ht="15" customHeight="1" x14ac:dyDescent="0.25">
      <c r="B530" s="86" t="s">
        <v>1012</v>
      </c>
      <c r="C530" s="87" t="s">
        <v>976</v>
      </c>
      <c r="D530" s="82" t="s">
        <v>16</v>
      </c>
      <c r="E530" s="83">
        <v>9</v>
      </c>
      <c r="F530" s="88">
        <v>12126</v>
      </c>
      <c r="G530" s="89">
        <f t="shared" si="24"/>
        <v>109134</v>
      </c>
      <c r="H530" s="118" t="str">
        <f t="array" ref="H530:K530">_xlfn.XLOOKUP(C530,'ESAP NEIVA FASE II UNIFICADO'!$C$6:$C$720,'ESAP NEIVA FASE II UNIFICADO'!$C$6:$F$720,"NO ESTA")</f>
        <v>SUMINISTRO E INSTALACION CAJA DE PASO 10 x 10 m DOBLE FONDO</v>
      </c>
      <c r="I530" t="str">
        <v>UND</v>
      </c>
      <c r="J530">
        <v>4</v>
      </c>
      <c r="K530">
        <v>12928</v>
      </c>
      <c r="L530" s="115">
        <f t="shared" si="25"/>
        <v>12928</v>
      </c>
      <c r="M530" s="146">
        <f t="shared" si="26"/>
        <v>116352</v>
      </c>
      <c r="N530" s="119"/>
    </row>
    <row r="531" spans="2:15" ht="15" customHeight="1" x14ac:dyDescent="0.25">
      <c r="B531" s="74">
        <v>20</v>
      </c>
      <c r="C531" s="75" t="s">
        <v>1013</v>
      </c>
      <c r="D531" s="76"/>
      <c r="E531" s="77"/>
      <c r="F531" s="78"/>
      <c r="G531" s="89">
        <f t="shared" si="24"/>
        <v>0</v>
      </c>
      <c r="H531" s="118" t="str">
        <f t="array" ref="H531">_xlfn.XLOOKUP(C531,'ESAP NEIVA FASE II UNIFICADO'!$C$6:$C$720,'ESAP NEIVA FASE II UNIFICADO'!$C$6:$F$720,"NO ESTA")</f>
        <v>NO ESTA</v>
      </c>
      <c r="L531" s="115">
        <f t="shared" si="25"/>
        <v>0</v>
      </c>
      <c r="M531" s="146">
        <f t="shared" si="26"/>
        <v>0</v>
      </c>
      <c r="N531" s="119"/>
    </row>
    <row r="532" spans="2:15" ht="23.25" customHeight="1" x14ac:dyDescent="0.25">
      <c r="B532" s="86" t="s">
        <v>1014</v>
      </c>
      <c r="C532" s="87" t="s">
        <v>1015</v>
      </c>
      <c r="D532" s="82" t="s">
        <v>13</v>
      </c>
      <c r="E532" s="83">
        <v>600</v>
      </c>
      <c r="F532" s="88">
        <v>22414</v>
      </c>
      <c r="G532" s="89">
        <f t="shared" si="24"/>
        <v>13448400</v>
      </c>
      <c r="H532" s="118" t="str">
        <f t="array" ref="H532">_xlfn.XLOOKUP(C532,'ESAP NEIVA FASE II UNIFICADO'!$C$6:$C$720,'ESAP NEIVA FASE II UNIFICADO'!$C$6:$F$720,"NO ESTA")</f>
        <v>NO ESTA</v>
      </c>
      <c r="L532" s="115">
        <f t="shared" si="25"/>
        <v>22414</v>
      </c>
      <c r="M532" s="146">
        <f t="shared" si="26"/>
        <v>13448400</v>
      </c>
      <c r="N532" s="119"/>
    </row>
    <row r="533" spans="2:15" ht="23.25" customHeight="1" x14ac:dyDescent="0.25">
      <c r="B533" s="86" t="s">
        <v>1016</v>
      </c>
      <c r="C533" s="87" t="s">
        <v>1017</v>
      </c>
      <c r="D533" s="82" t="s">
        <v>13</v>
      </c>
      <c r="E533" s="83">
        <v>600</v>
      </c>
      <c r="F533" s="88">
        <v>19110</v>
      </c>
      <c r="G533" s="89">
        <f t="shared" si="24"/>
        <v>11466000</v>
      </c>
      <c r="H533" s="118" t="str">
        <f t="array" ref="H533">_xlfn.XLOOKUP(C533,'ESAP NEIVA FASE II UNIFICADO'!$C$6:$C$720,'ESAP NEIVA FASE II UNIFICADO'!$C$6:$F$720,"NO ESTA")</f>
        <v>NO ESTA</v>
      </c>
      <c r="L533" s="115">
        <f t="shared" si="25"/>
        <v>19110</v>
      </c>
      <c r="M533" s="146">
        <f t="shared" si="26"/>
        <v>11466000</v>
      </c>
      <c r="N533" s="119"/>
    </row>
    <row r="534" spans="2:15" ht="15" customHeight="1" x14ac:dyDescent="0.25">
      <c r="B534" s="86" t="s">
        <v>1018</v>
      </c>
      <c r="C534" s="87" t="s">
        <v>1019</v>
      </c>
      <c r="D534" s="82" t="s">
        <v>94</v>
      </c>
      <c r="E534" s="83">
        <v>1500</v>
      </c>
      <c r="F534" s="88">
        <v>6903</v>
      </c>
      <c r="G534" s="89">
        <f t="shared" si="24"/>
        <v>10354500</v>
      </c>
      <c r="H534" s="118" t="str">
        <f t="array" ref="H534">_xlfn.XLOOKUP(C534,'ESAP NEIVA FASE II UNIFICADO'!$C$6:$C$720,'ESAP NEIVA FASE II UNIFICADO'!$C$6:$F$720,"NO ESTA")</f>
        <v>NO ESTA</v>
      </c>
      <c r="L534" s="115">
        <f t="shared" si="25"/>
        <v>6903</v>
      </c>
      <c r="M534" s="146">
        <f t="shared" si="26"/>
        <v>10354500</v>
      </c>
      <c r="N534" s="119"/>
    </row>
    <row r="535" spans="2:15" ht="27" customHeight="1" x14ac:dyDescent="0.25">
      <c r="B535" s="86" t="s">
        <v>1020</v>
      </c>
      <c r="C535" s="87" t="s">
        <v>1021</v>
      </c>
      <c r="D535" s="82" t="s">
        <v>13</v>
      </c>
      <c r="E535" s="83">
        <v>100</v>
      </c>
      <c r="F535" s="88">
        <v>145695</v>
      </c>
      <c r="G535" s="89">
        <f t="shared" si="24"/>
        <v>14569500</v>
      </c>
      <c r="H535" s="118" t="str">
        <f t="array" ref="H535">_xlfn.XLOOKUP(C535,'ESAP NEIVA FASE II UNIFICADO'!$C$6:$C$720,'ESAP NEIVA FASE II UNIFICADO'!$C$6:$F$720,"NO ESTA")</f>
        <v>NO ESTA</v>
      </c>
      <c r="L535" s="115">
        <f t="shared" si="25"/>
        <v>145695</v>
      </c>
      <c r="M535" s="146">
        <f t="shared" si="26"/>
        <v>14569500</v>
      </c>
      <c r="N535" s="119"/>
    </row>
    <row r="536" spans="2:15" ht="15" customHeight="1" x14ac:dyDescent="0.25">
      <c r="B536" s="86" t="s">
        <v>1022</v>
      </c>
      <c r="C536" s="87" t="s">
        <v>1023</v>
      </c>
      <c r="D536" s="82" t="s">
        <v>55</v>
      </c>
      <c r="E536" s="83">
        <v>1072.0999999999999</v>
      </c>
      <c r="F536" s="88">
        <v>12123</v>
      </c>
      <c r="G536" s="89">
        <f t="shared" si="24"/>
        <v>12997068.300000001</v>
      </c>
      <c r="H536" s="118" t="str">
        <f t="array" ref="H536">_xlfn.XLOOKUP(C536,'ESAP NEIVA FASE II UNIFICADO'!$C$6:$C$720,'ESAP NEIVA FASE II UNIFICADO'!$C$6:$F$720,"NO ESTA")</f>
        <v>NO ESTA</v>
      </c>
      <c r="L536" s="115">
        <f t="shared" si="25"/>
        <v>12123</v>
      </c>
      <c r="M536" s="146">
        <f t="shared" si="26"/>
        <v>12997068.299999999</v>
      </c>
      <c r="N536" s="119"/>
    </row>
    <row r="537" spans="2:15" ht="38.25" customHeight="1" x14ac:dyDescent="0.25">
      <c r="B537" s="86" t="s">
        <v>1024</v>
      </c>
      <c r="C537" s="87" t="s">
        <v>1025</v>
      </c>
      <c r="D537" s="82" t="s">
        <v>16</v>
      </c>
      <c r="E537" s="83">
        <v>793</v>
      </c>
      <c r="F537" s="88">
        <v>15884</v>
      </c>
      <c r="G537" s="89">
        <f t="shared" si="24"/>
        <v>12596012</v>
      </c>
      <c r="H537" s="118" t="str">
        <f t="array" ref="H537">_xlfn.XLOOKUP(C537,'ESAP NEIVA FASE II UNIFICADO'!$C$6:$C$720,'ESAP NEIVA FASE II UNIFICADO'!$C$6:$F$720,"NO ESTA")</f>
        <v>NO ESTA</v>
      </c>
      <c r="L537" s="115">
        <f t="shared" si="25"/>
        <v>15884</v>
      </c>
      <c r="M537" s="146">
        <f t="shared" si="26"/>
        <v>12596012</v>
      </c>
      <c r="N537" s="119"/>
    </row>
    <row r="538" spans="2:15" ht="38.25" customHeight="1" x14ac:dyDescent="0.25">
      <c r="B538" s="86" t="s">
        <v>1026</v>
      </c>
      <c r="C538" s="87" t="s">
        <v>1027</v>
      </c>
      <c r="D538" s="82" t="s">
        <v>13</v>
      </c>
      <c r="E538" s="83">
        <v>40</v>
      </c>
      <c r="F538" s="88">
        <v>101239</v>
      </c>
      <c r="G538" s="89">
        <f t="shared" si="24"/>
        <v>4049560</v>
      </c>
      <c r="H538" s="118" t="str">
        <f t="array" ref="H538">_xlfn.XLOOKUP(C538,'ESAP NEIVA FASE II UNIFICADO'!$C$6:$C$720,'ESAP NEIVA FASE II UNIFICADO'!$C$6:$F$720,"NO ESTA")</f>
        <v>NO ESTA</v>
      </c>
      <c r="L538" s="115">
        <f t="shared" si="25"/>
        <v>101239</v>
      </c>
      <c r="M538" s="146">
        <f t="shared" si="26"/>
        <v>4049560</v>
      </c>
      <c r="N538" s="119"/>
    </row>
    <row r="539" spans="2:15" ht="37.15" customHeight="1" x14ac:dyDescent="0.25">
      <c r="B539" s="86" t="s">
        <v>1028</v>
      </c>
      <c r="C539" s="87" t="s">
        <v>1029</v>
      </c>
      <c r="D539" s="82" t="s">
        <v>13</v>
      </c>
      <c r="E539" s="83">
        <v>1316</v>
      </c>
      <c r="F539" s="88">
        <v>154532</v>
      </c>
      <c r="G539" s="89">
        <f t="shared" si="24"/>
        <v>203364112</v>
      </c>
      <c r="H539" s="118" t="str">
        <f t="array" ref="H539">_xlfn.XLOOKUP(C539,'ESAP NEIVA FASE II UNIFICADO'!$C$6:$C$720,'ESAP NEIVA FASE II UNIFICADO'!$C$6:$F$720,"NO ESTA")</f>
        <v>NO ESTA</v>
      </c>
      <c r="L539" s="115">
        <f t="shared" si="25"/>
        <v>154532</v>
      </c>
      <c r="M539" s="146">
        <f t="shared" si="26"/>
        <v>203364112</v>
      </c>
      <c r="N539" s="119"/>
    </row>
    <row r="540" spans="2:15" ht="16.5" x14ac:dyDescent="0.25">
      <c r="B540" s="86" t="s">
        <v>1030</v>
      </c>
      <c r="C540" s="87" t="s">
        <v>1031</v>
      </c>
      <c r="D540" s="82" t="s">
        <v>13</v>
      </c>
      <c r="E540" s="83">
        <v>700</v>
      </c>
      <c r="F540" s="88">
        <v>35041</v>
      </c>
      <c r="G540" s="89">
        <f t="shared" si="24"/>
        <v>24528700</v>
      </c>
      <c r="H540" s="118" t="str">
        <f t="array" ref="H540">_xlfn.XLOOKUP(C540,'ESAP NEIVA FASE II UNIFICADO'!$C$6:$C$720,'ESAP NEIVA FASE II UNIFICADO'!$C$6:$F$720,"NO ESTA")</f>
        <v>NO ESTA</v>
      </c>
      <c r="L540" s="115">
        <f t="shared" si="25"/>
        <v>35041</v>
      </c>
      <c r="M540" s="146">
        <f t="shared" si="26"/>
        <v>24528700</v>
      </c>
      <c r="N540" s="119"/>
    </row>
    <row r="541" spans="2:15" ht="16.5" x14ac:dyDescent="0.25">
      <c r="B541" s="419" t="s">
        <v>1032</v>
      </c>
      <c r="C541" s="419"/>
      <c r="D541" s="419"/>
      <c r="E541" s="419"/>
      <c r="F541" s="107"/>
      <c r="G541" s="108">
        <f>+SUM(G6:G540)</f>
        <v>5637570802.1599979</v>
      </c>
      <c r="I541" s="108">
        <v>5830808778</v>
      </c>
      <c r="M541" s="159">
        <f>SUM(M6:M540)</f>
        <v>5849039902.54</v>
      </c>
      <c r="O541" s="108"/>
    </row>
    <row r="542" spans="2:15" ht="16.5" x14ac:dyDescent="0.25">
      <c r="B542" s="419" t="s">
        <v>1033</v>
      </c>
      <c r="C542" s="419"/>
      <c r="D542" s="419"/>
      <c r="E542" s="419"/>
      <c r="F542" s="109"/>
      <c r="G542" s="110">
        <f>+G543+G544+G545</f>
        <v>1467459679.8000002</v>
      </c>
      <c r="I542" s="95">
        <f>+I541-G541</f>
        <v>193237975.84000206</v>
      </c>
      <c r="K542" s="95" t="e">
        <f>+I30-I542</f>
        <v>#VALUE!</v>
      </c>
    </row>
    <row r="543" spans="2:15" ht="16.5" x14ac:dyDescent="0.25">
      <c r="B543" s="420" t="s">
        <v>1034</v>
      </c>
      <c r="C543" s="420"/>
      <c r="D543" s="420"/>
      <c r="E543" s="420"/>
      <c r="F543" s="111">
        <v>0.20030000000000001</v>
      </c>
      <c r="G543" s="112">
        <f>ROUND(+$G$541*F543,2)</f>
        <v>1129205431.6700001</v>
      </c>
    </row>
    <row r="544" spans="2:15" ht="16.5" x14ac:dyDescent="0.25">
      <c r="B544" s="420" t="s">
        <v>1035</v>
      </c>
      <c r="C544" s="420"/>
      <c r="D544" s="420"/>
      <c r="E544" s="420"/>
      <c r="F544" s="113">
        <v>0.01</v>
      </c>
      <c r="G544" s="112">
        <f>ROUND(+$G$541*F544,2)</f>
        <v>56375708.020000003</v>
      </c>
    </row>
    <row r="545" spans="2:9" ht="16.5" x14ac:dyDescent="0.25">
      <c r="B545" s="420" t="s">
        <v>1036</v>
      </c>
      <c r="C545" s="420"/>
      <c r="D545" s="420"/>
      <c r="E545" s="420"/>
      <c r="F545" s="111">
        <v>0.05</v>
      </c>
      <c r="G545" s="112">
        <f>ROUND(+$G$541*F545,2)</f>
        <v>281878540.11000001</v>
      </c>
    </row>
    <row r="546" spans="2:9" ht="16.5" x14ac:dyDescent="0.3">
      <c r="B546" s="419" t="s">
        <v>1037</v>
      </c>
      <c r="C546" s="419"/>
      <c r="D546" s="419"/>
      <c r="E546" s="419"/>
      <c r="F546" s="114"/>
      <c r="G546" s="110">
        <f>+G541+G542</f>
        <v>7105030481.9599981</v>
      </c>
      <c r="I546" s="115">
        <f>'[3]Nieva 2021 trabajando 4'!K554-'Neiva 2021 FASE I UNIFICADO (2)'!G548+50000000</f>
        <v>312855316.42000198</v>
      </c>
    </row>
    <row r="547" spans="2:9" ht="16.5" x14ac:dyDescent="0.25">
      <c r="B547" s="420" t="s">
        <v>1038</v>
      </c>
      <c r="C547" s="420"/>
      <c r="D547" s="420"/>
      <c r="E547" s="420"/>
      <c r="F547" s="111">
        <v>0.19</v>
      </c>
      <c r="G547" s="112">
        <f>ROUND(+G545*F547,2)</f>
        <v>53556922.619999997</v>
      </c>
      <c r="I547" s="95"/>
    </row>
    <row r="548" spans="2:9" ht="16.5" x14ac:dyDescent="0.25">
      <c r="B548" s="419" t="s">
        <v>1039</v>
      </c>
      <c r="C548" s="419"/>
      <c r="D548" s="419"/>
      <c r="E548" s="419"/>
      <c r="F548" s="116"/>
      <c r="G548" s="108">
        <f>+G546+G547</f>
        <v>7158587404.579998</v>
      </c>
      <c r="I548" s="108">
        <f>7403747930</f>
        <v>7403747930</v>
      </c>
    </row>
    <row r="549" spans="2:9" x14ac:dyDescent="0.25">
      <c r="G549" s="115"/>
    </row>
    <row r="550" spans="2:9" x14ac:dyDescent="0.25">
      <c r="G550" s="120"/>
    </row>
    <row r="551" spans="2:9" x14ac:dyDescent="0.25">
      <c r="G551" s="121"/>
      <c r="I551" s="121">
        <f>492000000/G548</f>
        <v>6.8728643263505168E-2</v>
      </c>
    </row>
    <row r="552" spans="2:9" x14ac:dyDescent="0.25">
      <c r="G552" s="121"/>
    </row>
    <row r="553" spans="2:9" x14ac:dyDescent="0.25">
      <c r="G553" s="115"/>
    </row>
    <row r="554" spans="2:9" x14ac:dyDescent="0.25">
      <c r="G554" s="122"/>
    </row>
    <row r="555" spans="2:9" x14ac:dyDescent="0.25">
      <c r="G555" s="115"/>
    </row>
  </sheetData>
  <mergeCells count="9">
    <mergeCell ref="B546:E546"/>
    <mergeCell ref="B547:E547"/>
    <mergeCell ref="B548:E548"/>
    <mergeCell ref="B1:G2"/>
    <mergeCell ref="B541:E541"/>
    <mergeCell ref="B542:E542"/>
    <mergeCell ref="B543:E543"/>
    <mergeCell ref="B544:E544"/>
    <mergeCell ref="B545:E545"/>
  </mergeCells>
  <pageMargins left="0.70866141732283472" right="0.70866141732283472" top="0.74803149606299213" bottom="0.74803149606299213" header="0.31496062992125984" footer="0.31496062992125984"/>
  <pageSetup scale="6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555"/>
  <sheetViews>
    <sheetView showZeros="0" view="pageBreakPreview" topLeftCell="E526" zoomScale="87" zoomScaleNormal="90" zoomScaleSheetLayoutView="87" workbookViewId="0">
      <selection activeCell="M553" sqref="M553"/>
    </sheetView>
  </sheetViews>
  <sheetFormatPr baseColWidth="10" defaultColWidth="11.5703125" defaultRowHeight="15" x14ac:dyDescent="0.25"/>
  <cols>
    <col min="1" max="1" width="3.5703125" customWidth="1"/>
    <col min="2" max="2" width="9.140625" bestFit="1" customWidth="1"/>
    <col min="3" max="3" width="58.140625" style="117" customWidth="1"/>
    <col min="4" max="4" width="11.5703125" style="118" customWidth="1"/>
    <col min="5" max="5" width="11.5703125" style="119" customWidth="1"/>
    <col min="6" max="6" width="17.7109375" customWidth="1"/>
    <col min="7" max="9" width="19.5703125" customWidth="1"/>
    <col min="10" max="10" width="48.85546875" style="213" customWidth="1"/>
    <col min="11" max="11" width="20.28515625" customWidth="1"/>
    <col min="12" max="12" width="11.5703125" customWidth="1"/>
    <col min="13" max="13" width="17.85546875" customWidth="1"/>
    <col min="14" max="14" width="15.42578125" bestFit="1" customWidth="1"/>
    <col min="15" max="15" width="17.42578125" customWidth="1"/>
    <col min="16" max="16" width="9.140625" bestFit="1" customWidth="1"/>
    <col min="17" max="17" width="24.5703125" customWidth="1"/>
  </cols>
  <sheetData>
    <row r="1" spans="2:16" ht="14.45" customHeight="1" x14ac:dyDescent="0.25">
      <c r="B1" s="421" t="s">
        <v>0</v>
      </c>
      <c r="C1" s="422"/>
      <c r="D1" s="422"/>
      <c r="E1" s="422"/>
      <c r="F1" s="422"/>
      <c r="G1" s="422"/>
      <c r="H1" s="151"/>
      <c r="I1" s="151"/>
    </row>
    <row r="2" spans="2:16" x14ac:dyDescent="0.25">
      <c r="B2" s="423"/>
      <c r="C2" s="424"/>
      <c r="D2" s="424"/>
      <c r="E2" s="424"/>
      <c r="F2" s="424"/>
      <c r="G2" s="424"/>
      <c r="H2" s="151"/>
      <c r="I2" s="151"/>
    </row>
    <row r="3" spans="2:16" ht="16.5" x14ac:dyDescent="0.25">
      <c r="B3" s="70" t="s">
        <v>1</v>
      </c>
      <c r="C3" s="71" t="s">
        <v>2</v>
      </c>
      <c r="D3" s="70" t="s">
        <v>3</v>
      </c>
      <c r="E3" s="72" t="s">
        <v>4</v>
      </c>
      <c r="F3" s="73" t="s">
        <v>5</v>
      </c>
      <c r="G3" s="70" t="s">
        <v>6</v>
      </c>
      <c r="H3" s="206"/>
      <c r="I3" s="206"/>
      <c r="J3" s="213" t="s">
        <v>7</v>
      </c>
    </row>
    <row r="4" spans="2:16" ht="16.5" x14ac:dyDescent="0.25">
      <c r="B4" s="74">
        <v>1</v>
      </c>
      <c r="C4" s="75" t="s">
        <v>8</v>
      </c>
      <c r="D4" s="76"/>
      <c r="E4" s="77"/>
      <c r="F4" s="78"/>
      <c r="G4" s="79"/>
      <c r="H4" s="223">
        <v>5.2999999999999999E-2</v>
      </c>
      <c r="I4" s="207"/>
    </row>
    <row r="5" spans="2:16" ht="18" customHeight="1" x14ac:dyDescent="0.25">
      <c r="B5" s="80" t="s">
        <v>9</v>
      </c>
      <c r="C5" s="81" t="s">
        <v>10</v>
      </c>
      <c r="D5" s="82"/>
      <c r="E5" s="83"/>
      <c r="F5" s="84"/>
      <c r="G5" s="85"/>
      <c r="H5" s="208"/>
      <c r="I5" s="208"/>
      <c r="N5" t="s">
        <v>1040</v>
      </c>
      <c r="O5" t="s">
        <v>1041</v>
      </c>
    </row>
    <row r="6" spans="2:16" ht="15" customHeight="1" x14ac:dyDescent="0.25">
      <c r="B6" s="86" t="s">
        <v>11</v>
      </c>
      <c r="C6" s="87" t="s">
        <v>12</v>
      </c>
      <c r="D6" s="82" t="s">
        <v>13</v>
      </c>
      <c r="E6" s="83">
        <v>250</v>
      </c>
      <c r="F6" s="88">
        <v>25729</v>
      </c>
      <c r="G6" s="89">
        <f t="shared" ref="G6:G69" si="0">ROUND(+F6*E6,2)</f>
        <v>6432250</v>
      </c>
      <c r="H6" s="209">
        <f t="shared" ref="H6:H69" si="1">+ROUND(F6*(1+$H$4),0)</f>
        <v>27093</v>
      </c>
      <c r="I6" s="209">
        <f>ROUND(H6*E6,2)</f>
        <v>6773250</v>
      </c>
      <c r="J6" s="213" t="str">
        <f t="array" ref="J6:M6">_xlfn.XLOOKUP(C6,'ESAP NEIVA FASE II UNIFICADO'!$C$6:$C$720,'ESAP NEIVA FASE II UNIFICADO'!$C$6:$F$720,"NO ESTA")</f>
        <v>DESCAPOTE A MAQUINA (INCLUYE RETIRO)</v>
      </c>
      <c r="K6" t="str">
        <v>M2</v>
      </c>
      <c r="L6">
        <v>295</v>
      </c>
      <c r="M6">
        <v>23484</v>
      </c>
      <c r="N6" s="115">
        <f t="shared" ref="N6:N69" si="2">MAX(M6,F6)</f>
        <v>25729</v>
      </c>
      <c r="O6" s="146">
        <f t="shared" ref="O6:O69" si="3">N6*E6</f>
        <v>6432250</v>
      </c>
    </row>
    <row r="7" spans="2:16" ht="15" customHeight="1" x14ac:dyDescent="0.25">
      <c r="B7" s="86" t="s">
        <v>14</v>
      </c>
      <c r="C7" s="87" t="s">
        <v>15</v>
      </c>
      <c r="D7" s="82" t="s">
        <v>16</v>
      </c>
      <c r="E7" s="83">
        <v>8</v>
      </c>
      <c r="F7" s="88">
        <v>32444</v>
      </c>
      <c r="G7" s="89">
        <f t="shared" si="0"/>
        <v>259552</v>
      </c>
      <c r="H7" s="209">
        <f t="shared" si="1"/>
        <v>34164</v>
      </c>
      <c r="I7" s="209">
        <f t="shared" ref="I7:I70" si="4">ROUND(H7*E7,2)</f>
        <v>273312</v>
      </c>
      <c r="J7" s="213" t="str">
        <f t="array" ref="J7:M7">_xlfn.XLOOKUP(C7,'ESAP NEIVA FASE II UNIFICADO'!$C$6:$C$720,'ESAP NEIVA FASE II UNIFICADO'!$C$6:$F$720,"NO ESTA")</f>
        <v>BARRERA DE PROTECCIÓN PARA ARBOLES EXISTENTES</v>
      </c>
      <c r="K7" t="str">
        <v>UND</v>
      </c>
      <c r="L7">
        <v>0</v>
      </c>
      <c r="M7">
        <v>35057</v>
      </c>
      <c r="N7" s="115">
        <f t="shared" si="2"/>
        <v>35057</v>
      </c>
      <c r="O7" s="146">
        <f t="shared" si="3"/>
        <v>280456</v>
      </c>
    </row>
    <row r="8" spans="2:16" ht="18" customHeight="1" x14ac:dyDescent="0.25">
      <c r="B8" s="80" t="s">
        <v>17</v>
      </c>
      <c r="C8" s="81" t="s">
        <v>18</v>
      </c>
      <c r="D8" s="82"/>
      <c r="E8" s="83"/>
      <c r="F8" s="90"/>
      <c r="G8" s="89">
        <f t="shared" si="0"/>
        <v>0</v>
      </c>
      <c r="H8" s="209">
        <f t="shared" si="1"/>
        <v>0</v>
      </c>
      <c r="I8" s="209">
        <f t="shared" si="4"/>
        <v>0</v>
      </c>
      <c r="N8" s="115">
        <f t="shared" si="2"/>
        <v>0</v>
      </c>
      <c r="O8" s="146">
        <f t="shared" si="3"/>
        <v>0</v>
      </c>
    </row>
    <row r="9" spans="2:16" ht="12" customHeight="1" x14ac:dyDescent="0.25">
      <c r="B9" s="80" t="s">
        <v>19</v>
      </c>
      <c r="C9" s="81" t="s">
        <v>20</v>
      </c>
      <c r="D9" s="82"/>
      <c r="E9" s="83"/>
      <c r="F9" s="90"/>
      <c r="G9" s="89">
        <f t="shared" si="0"/>
        <v>0</v>
      </c>
      <c r="H9" s="209">
        <f t="shared" si="1"/>
        <v>0</v>
      </c>
      <c r="I9" s="209">
        <f t="shared" si="4"/>
        <v>0</v>
      </c>
      <c r="N9" s="115">
        <f t="shared" si="2"/>
        <v>0</v>
      </c>
      <c r="O9" s="146">
        <f t="shared" si="3"/>
        <v>0</v>
      </c>
    </row>
    <row r="10" spans="2:16" ht="30" customHeight="1" x14ac:dyDescent="0.25">
      <c r="B10" s="86" t="s">
        <v>21</v>
      </c>
      <c r="C10" s="87" t="s">
        <v>22</v>
      </c>
      <c r="D10" s="82" t="s">
        <v>13</v>
      </c>
      <c r="E10" s="83">
        <v>0</v>
      </c>
      <c r="F10" s="88">
        <v>21893</v>
      </c>
      <c r="G10" s="89">
        <f t="shared" si="0"/>
        <v>0</v>
      </c>
      <c r="H10" s="209">
        <f t="shared" si="1"/>
        <v>23053</v>
      </c>
      <c r="I10" s="209">
        <f t="shared" si="4"/>
        <v>0</v>
      </c>
      <c r="J10" s="213" t="str">
        <f t="array" ref="J10">_xlfn.XLOOKUP(C10,'ESAP NEIVA FASE II UNIFICADO'!$C$6:$C$720,'ESAP NEIVA FASE II UNIFICADO'!$C$6:$F$720,"NO ESTA")</f>
        <v>NO ESTA</v>
      </c>
      <c r="N10" s="115">
        <f t="shared" si="2"/>
        <v>21893</v>
      </c>
      <c r="O10" s="146">
        <f t="shared" si="3"/>
        <v>0</v>
      </c>
      <c r="P10" s="119"/>
    </row>
    <row r="11" spans="2:16" ht="30" customHeight="1" x14ac:dyDescent="0.25">
      <c r="B11" s="86" t="s">
        <v>23</v>
      </c>
      <c r="C11" s="87" t="s">
        <v>24</v>
      </c>
      <c r="D11" s="82" t="s">
        <v>13</v>
      </c>
      <c r="E11" s="83">
        <v>151</v>
      </c>
      <c r="F11" s="88">
        <v>28536</v>
      </c>
      <c r="G11" s="89">
        <f t="shared" si="0"/>
        <v>4308936</v>
      </c>
      <c r="H11" s="209">
        <f t="shared" si="1"/>
        <v>30048</v>
      </c>
      <c r="I11" s="209">
        <f t="shared" si="4"/>
        <v>4537248</v>
      </c>
      <c r="J11" s="213" t="str">
        <f t="array" ref="J11">_xlfn.XLOOKUP(C11,'ESAP NEIVA FASE II UNIFICADO'!$C$6:$C$720,'ESAP NEIVA FASE II UNIFICADO'!$C$6:$F$720,"NO ESTA")</f>
        <v>NO ESTA</v>
      </c>
      <c r="N11" s="115">
        <f t="shared" si="2"/>
        <v>28536</v>
      </c>
      <c r="O11" s="146">
        <f t="shared" si="3"/>
        <v>4308936</v>
      </c>
      <c r="P11" s="119"/>
    </row>
    <row r="12" spans="2:16" ht="13.5" customHeight="1" x14ac:dyDescent="0.25">
      <c r="B12" s="74">
        <v>2</v>
      </c>
      <c r="C12" s="75" t="s">
        <v>25</v>
      </c>
      <c r="D12" s="76"/>
      <c r="E12" s="77"/>
      <c r="F12" s="78"/>
      <c r="G12" s="89">
        <f t="shared" si="0"/>
        <v>0</v>
      </c>
      <c r="H12" s="209">
        <f t="shared" si="1"/>
        <v>0</v>
      </c>
      <c r="I12" s="209">
        <f t="shared" si="4"/>
        <v>0</v>
      </c>
      <c r="N12" s="115">
        <f t="shared" si="2"/>
        <v>0</v>
      </c>
      <c r="O12" s="146">
        <f t="shared" si="3"/>
        <v>0</v>
      </c>
      <c r="P12" s="119"/>
    </row>
    <row r="13" spans="2:16" ht="38.25" customHeight="1" x14ac:dyDescent="0.25">
      <c r="B13" s="80" t="s">
        <v>26</v>
      </c>
      <c r="C13" s="81" t="s">
        <v>27</v>
      </c>
      <c r="D13" s="82"/>
      <c r="E13" s="83"/>
      <c r="F13" s="84"/>
      <c r="G13" s="89">
        <f t="shared" si="0"/>
        <v>0</v>
      </c>
      <c r="H13" s="209">
        <f t="shared" si="1"/>
        <v>0</v>
      </c>
      <c r="I13" s="209">
        <f t="shared" si="4"/>
        <v>0</v>
      </c>
      <c r="N13" s="115">
        <f t="shared" si="2"/>
        <v>0</v>
      </c>
      <c r="O13" s="146">
        <f t="shared" si="3"/>
        <v>0</v>
      </c>
      <c r="P13" s="119"/>
    </row>
    <row r="14" spans="2:16" s="215" customFormat="1" ht="40.5" customHeight="1" x14ac:dyDescent="0.25">
      <c r="B14" s="86" t="s">
        <v>28</v>
      </c>
      <c r="C14" s="87" t="s">
        <v>29</v>
      </c>
      <c r="D14" s="82" t="s">
        <v>30</v>
      </c>
      <c r="E14" s="83">
        <v>0</v>
      </c>
      <c r="F14" s="88">
        <v>29285</v>
      </c>
      <c r="G14" s="89">
        <f t="shared" si="0"/>
        <v>0</v>
      </c>
      <c r="H14" s="209">
        <f t="shared" si="1"/>
        <v>30837</v>
      </c>
      <c r="I14" s="209">
        <f t="shared" si="4"/>
        <v>0</v>
      </c>
      <c r="J14" s="214" t="str">
        <f t="array" ref="J14:M14">_xlfn.XLOOKUP(C14,'ESAP NEIVA FASE II UNIFICADO'!$C$6:$C$720,'ESAP NEIVA FASE II UNIFICADO'!$C$6:$F$720,"NO ESTA")</f>
        <v>EXCAVACIÓN MECÁNICA EN MATERIAL COMÚN (incluye cargue y retiro)</v>
      </c>
      <c r="K14" s="215" t="str">
        <v>M3</v>
      </c>
      <c r="L14" s="215">
        <v>400</v>
      </c>
      <c r="M14" s="215">
        <v>31642</v>
      </c>
      <c r="N14" s="216">
        <f t="shared" si="2"/>
        <v>31642</v>
      </c>
      <c r="O14" s="217">
        <f t="shared" si="3"/>
        <v>0</v>
      </c>
      <c r="P14" s="218"/>
    </row>
    <row r="15" spans="2:16" s="215" customFormat="1" ht="38.25" customHeight="1" x14ac:dyDescent="0.25">
      <c r="B15" s="86" t="s">
        <v>31</v>
      </c>
      <c r="C15" s="87" t="s">
        <v>32</v>
      </c>
      <c r="D15" s="82" t="s">
        <v>30</v>
      </c>
      <c r="E15" s="83">
        <v>299.45</v>
      </c>
      <c r="F15" s="88">
        <v>36993</v>
      </c>
      <c r="G15" s="89">
        <f t="shared" si="0"/>
        <v>11077553.85</v>
      </c>
      <c r="H15" s="209">
        <f t="shared" si="1"/>
        <v>38954</v>
      </c>
      <c r="I15" s="209">
        <f t="shared" si="4"/>
        <v>11664775.300000001</v>
      </c>
      <c r="J15" s="214" t="str">
        <f t="array" ref="J15:M15">_xlfn.XLOOKUP(C15,'ESAP NEIVA FASE II UNIFICADO'!$C$6:$C$720,'ESAP NEIVA FASE II UNIFICADO'!$C$6:$F$720,"NO ESTA")</f>
        <v>EXCAVACIÓN MANUAL EN MATERIAL COMÚN (incluye cargue y retiro)</v>
      </c>
      <c r="K15" s="215" t="str">
        <v>M3</v>
      </c>
      <c r="L15" s="215">
        <v>57.945499999999981</v>
      </c>
      <c r="M15" s="215">
        <v>39971</v>
      </c>
      <c r="N15" s="216">
        <f t="shared" si="2"/>
        <v>39971</v>
      </c>
      <c r="O15" s="217">
        <f t="shared" si="3"/>
        <v>11969315.949999999</v>
      </c>
      <c r="P15" s="218"/>
    </row>
    <row r="16" spans="2:16" ht="30" customHeight="1" x14ac:dyDescent="0.25">
      <c r="B16" s="86" t="s">
        <v>33</v>
      </c>
      <c r="C16" s="147" t="s">
        <v>34</v>
      </c>
      <c r="D16" s="82" t="s">
        <v>30</v>
      </c>
      <c r="E16" s="83">
        <v>524.07000000000005</v>
      </c>
      <c r="F16" s="88">
        <v>11569</v>
      </c>
      <c r="G16" s="89">
        <f t="shared" si="0"/>
        <v>6062965.8300000001</v>
      </c>
      <c r="H16" s="209">
        <f t="shared" si="1"/>
        <v>12182</v>
      </c>
      <c r="I16" s="209">
        <f t="shared" si="4"/>
        <v>6384220.7400000002</v>
      </c>
      <c r="J16" s="213" t="str">
        <f t="array" ref="J16:M16">_xlfn.XLOOKUP(C16,'ESAP NEIVA FASE II UNIFICADO'!$C$6:$C$720,'ESAP NEIVA FASE II UNIFICADO'!$C$6:$F$720,"NO ESTA")</f>
        <v>RELLENOS EN MATERIAL COMÚN, SELECCIONADO DE OBRA (Incluye Compactación)</v>
      </c>
      <c r="K16" t="str">
        <v>M3</v>
      </c>
      <c r="L16">
        <v>56.107679999999959</v>
      </c>
      <c r="M16">
        <v>12500</v>
      </c>
      <c r="N16" s="115">
        <f t="shared" si="2"/>
        <v>12500</v>
      </c>
      <c r="O16" s="146">
        <f t="shared" si="3"/>
        <v>6550875.0000000009</v>
      </c>
      <c r="P16" s="119"/>
    </row>
    <row r="17" spans="2:16" ht="17.25" customHeight="1" x14ac:dyDescent="0.25">
      <c r="B17" s="86" t="s">
        <v>35</v>
      </c>
      <c r="C17" s="87" t="s">
        <v>36</v>
      </c>
      <c r="D17" s="82" t="s">
        <v>30</v>
      </c>
      <c r="E17" s="83">
        <v>122.54</v>
      </c>
      <c r="F17" s="88">
        <v>58243</v>
      </c>
      <c r="G17" s="89">
        <f t="shared" si="0"/>
        <v>7137097.2199999997</v>
      </c>
      <c r="H17" s="209">
        <f t="shared" si="1"/>
        <v>61330</v>
      </c>
      <c r="I17" s="209">
        <f t="shared" si="4"/>
        <v>7515378.2000000002</v>
      </c>
      <c r="J17" s="213" t="str">
        <f t="array" ref="J17:M17">_xlfn.XLOOKUP(C17,'ESAP NEIVA FASE II UNIFICADO'!$C$6:$C$720,'ESAP NEIVA FASE II UNIFICADO'!$C$6:$F$720,"NO ESTA")</f>
        <v>RELLENO EN RECEBO COMÚN (Incluye Compactación)</v>
      </c>
      <c r="K17" t="str">
        <v>M3</v>
      </c>
      <c r="L17">
        <v>70.485000000000014</v>
      </c>
      <c r="M17">
        <v>62932</v>
      </c>
      <c r="N17" s="115">
        <f t="shared" si="2"/>
        <v>62932</v>
      </c>
      <c r="O17" s="146">
        <f t="shared" si="3"/>
        <v>7711687.2800000003</v>
      </c>
      <c r="P17" s="119"/>
    </row>
    <row r="18" spans="2:16" ht="18.75" customHeight="1" x14ac:dyDescent="0.25">
      <c r="B18" s="80" t="s">
        <v>37</v>
      </c>
      <c r="C18" s="81" t="s">
        <v>38</v>
      </c>
      <c r="D18" s="82"/>
      <c r="E18" s="83"/>
      <c r="F18" s="90"/>
      <c r="G18" s="89">
        <f t="shared" si="0"/>
        <v>0</v>
      </c>
      <c r="H18" s="209">
        <f t="shared" si="1"/>
        <v>0</v>
      </c>
      <c r="I18" s="209">
        <f t="shared" si="4"/>
        <v>0</v>
      </c>
      <c r="J18" s="213" t="str">
        <f t="array" ref="J18:M18">_xlfn.XLOOKUP(C18,'ESAP NEIVA FASE II UNIFICADO'!$C$6:$C$720,'ESAP NEIVA FASE II UNIFICADO'!$C$6:$F$720,"NO ESTA")</f>
        <v xml:space="preserve">CONCRETOS DE CIMENTACIÓN </v>
      </c>
      <c r="K18">
        <v>0</v>
      </c>
      <c r="L18">
        <v>0</v>
      </c>
      <c r="M18">
        <v>0</v>
      </c>
      <c r="N18" s="115">
        <f t="shared" si="2"/>
        <v>0</v>
      </c>
      <c r="O18" s="146">
        <f t="shared" si="3"/>
        <v>0</v>
      </c>
      <c r="P18" s="119"/>
    </row>
    <row r="19" spans="2:16" ht="14.25" customHeight="1" x14ac:dyDescent="0.25">
      <c r="B19" s="86" t="s">
        <v>39</v>
      </c>
      <c r="C19" s="147" t="s">
        <v>40</v>
      </c>
      <c r="D19" s="82" t="s">
        <v>13</v>
      </c>
      <c r="E19" s="83">
        <v>1111.51</v>
      </c>
      <c r="F19" s="88">
        <v>22663</v>
      </c>
      <c r="G19" s="89">
        <f t="shared" si="0"/>
        <v>25190151.129999999</v>
      </c>
      <c r="H19" s="209">
        <f t="shared" si="1"/>
        <v>23864</v>
      </c>
      <c r="I19" s="209">
        <f t="shared" si="4"/>
        <v>26525074.640000001</v>
      </c>
      <c r="J19" s="213" t="str">
        <f t="array" ref="J19:M19">_xlfn.XLOOKUP(C19,'ESAP NEIVA FASE II UNIFICADO'!$C$6:$C$720,'ESAP NEIVA FASE II UNIFICADO'!$C$6:$F$720,"NO ESTA")</f>
        <v>CONCRETO POBRE DE LIMPIEZA  e=0.05 m</v>
      </c>
      <c r="K19" t="str">
        <v>M2</v>
      </c>
      <c r="L19">
        <v>72.123000000000047</v>
      </c>
      <c r="M19">
        <v>25442</v>
      </c>
      <c r="N19" s="115">
        <f t="shared" si="2"/>
        <v>25442</v>
      </c>
      <c r="O19" s="146">
        <f t="shared" si="3"/>
        <v>28279037.419999998</v>
      </c>
      <c r="P19" s="119"/>
    </row>
    <row r="20" spans="2:16" ht="18.75" customHeight="1" x14ac:dyDescent="0.25">
      <c r="B20" s="86" t="s">
        <v>41</v>
      </c>
      <c r="C20" s="87" t="s">
        <v>42</v>
      </c>
      <c r="D20" s="82" t="s">
        <v>30</v>
      </c>
      <c r="E20" s="83">
        <v>46.48</v>
      </c>
      <c r="F20" s="88">
        <v>670304</v>
      </c>
      <c r="G20" s="89">
        <f t="shared" si="0"/>
        <v>31155729.920000002</v>
      </c>
      <c r="H20" s="209">
        <f t="shared" si="1"/>
        <v>705830</v>
      </c>
      <c r="I20" s="209">
        <f t="shared" si="4"/>
        <v>32806978.399999999</v>
      </c>
      <c r="J20" s="213" t="str">
        <f t="array" ref="J20:M20">_xlfn.XLOOKUP(C20,'ESAP NEIVA FASE II UNIFICADO'!$C$6:$C$720,'ESAP NEIVA FASE II UNIFICADO'!$C$6:$F$720,"NO ESTA")</f>
        <v>CONCRETO PARA ZAPATAS DE 4000 psi</v>
      </c>
      <c r="K20" t="str">
        <v>M3</v>
      </c>
      <c r="L20">
        <v>36</v>
      </c>
      <c r="M20">
        <v>652838</v>
      </c>
      <c r="N20" s="115">
        <f t="shared" si="2"/>
        <v>670304</v>
      </c>
      <c r="O20" s="146">
        <f t="shared" si="3"/>
        <v>31155729.919999998</v>
      </c>
      <c r="P20" s="119"/>
    </row>
    <row r="21" spans="2:16" ht="15" customHeight="1" x14ac:dyDescent="0.25">
      <c r="B21" s="86" t="s">
        <v>43</v>
      </c>
      <c r="C21" s="87" t="s">
        <v>44</v>
      </c>
      <c r="D21" s="82" t="s">
        <v>30</v>
      </c>
      <c r="E21" s="91">
        <v>45.04</v>
      </c>
      <c r="F21" s="88">
        <v>670304</v>
      </c>
      <c r="G21" s="89">
        <f t="shared" si="0"/>
        <v>30190492.16</v>
      </c>
      <c r="H21" s="209">
        <f t="shared" si="1"/>
        <v>705830</v>
      </c>
      <c r="I21" s="209">
        <f t="shared" si="4"/>
        <v>31790583.199999999</v>
      </c>
      <c r="J21" s="213" t="str">
        <f t="array" ref="J21:M21">_xlfn.XLOOKUP(C21,'ESAP NEIVA FASE II UNIFICADO'!$C$6:$C$720,'ESAP NEIVA FASE II UNIFICADO'!$C$6:$F$720,"NO ESTA")</f>
        <v>VIGAS DE CIMENTACIÓN DE 4000 psi</v>
      </c>
      <c r="K21" t="str">
        <v>M3</v>
      </c>
      <c r="L21">
        <v>36.5</v>
      </c>
      <c r="M21">
        <v>652838</v>
      </c>
      <c r="N21" s="115">
        <f t="shared" si="2"/>
        <v>670304</v>
      </c>
      <c r="O21" s="146">
        <f t="shared" si="3"/>
        <v>30190492.16</v>
      </c>
      <c r="P21" s="119"/>
    </row>
    <row r="22" spans="2:16" ht="18.75" customHeight="1" x14ac:dyDescent="0.25">
      <c r="B22" s="86" t="s">
        <v>45</v>
      </c>
      <c r="C22" s="87" t="s">
        <v>46</v>
      </c>
      <c r="D22" s="82" t="s">
        <v>30</v>
      </c>
      <c r="E22" s="83">
        <v>34.93</v>
      </c>
      <c r="F22" s="88">
        <v>742932</v>
      </c>
      <c r="G22" s="89">
        <f t="shared" si="0"/>
        <v>25950614.760000002</v>
      </c>
      <c r="H22" s="209">
        <f t="shared" si="1"/>
        <v>782307</v>
      </c>
      <c r="I22" s="209">
        <f t="shared" si="4"/>
        <v>27325983.510000002</v>
      </c>
      <c r="J22" s="213" t="str">
        <f t="array" ref="J22:M22">_xlfn.XLOOKUP(C22,'ESAP NEIVA FASE II UNIFICADO'!$C$6:$C$720,'ESAP NEIVA FASE II UNIFICADO'!$C$6:$F$720,"NO ESTA")</f>
        <v>MURO DE CONTENCIÓN SOTANO EN CONCRETO DE 4000 PSI</v>
      </c>
      <c r="K22" t="str">
        <v>M3</v>
      </c>
      <c r="L22">
        <v>13</v>
      </c>
      <c r="M22">
        <v>795025</v>
      </c>
      <c r="N22" s="115">
        <f t="shared" si="2"/>
        <v>795025</v>
      </c>
      <c r="O22" s="146">
        <f t="shared" si="3"/>
        <v>27770223.25</v>
      </c>
      <c r="P22" s="119"/>
    </row>
    <row r="23" spans="2:16" ht="15.75" customHeight="1" x14ac:dyDescent="0.25">
      <c r="B23" s="80" t="s">
        <v>47</v>
      </c>
      <c r="C23" s="81" t="s">
        <v>48</v>
      </c>
      <c r="D23" s="82"/>
      <c r="E23" s="83"/>
      <c r="F23" s="90"/>
      <c r="G23" s="89">
        <f t="shared" si="0"/>
        <v>0</v>
      </c>
      <c r="H23" s="209">
        <f t="shared" si="1"/>
        <v>0</v>
      </c>
      <c r="I23" s="209">
        <f t="shared" si="4"/>
        <v>0</v>
      </c>
      <c r="J23" s="213" t="str">
        <f t="array" ref="J23:M23">_xlfn.XLOOKUP(C23,'ESAP NEIVA FASE II UNIFICADO'!$C$6:$C$720,'ESAP NEIVA FASE II UNIFICADO'!$C$6:$F$720,"NO ESTA")</f>
        <v xml:space="preserve">CONSTRUCCIÓN VARIOS EN CONCRETO </v>
      </c>
      <c r="K23">
        <v>0</v>
      </c>
      <c r="L23">
        <v>0</v>
      </c>
      <c r="M23">
        <v>0</v>
      </c>
      <c r="N23" s="115">
        <f t="shared" si="2"/>
        <v>0</v>
      </c>
      <c r="O23" s="146">
        <f t="shared" si="3"/>
        <v>0</v>
      </c>
      <c r="P23" s="119"/>
    </row>
    <row r="24" spans="2:16" ht="19.5" customHeight="1" x14ac:dyDescent="0.25">
      <c r="B24" s="86" t="s">
        <v>49</v>
      </c>
      <c r="C24" s="87" t="s">
        <v>50</v>
      </c>
      <c r="D24" s="82" t="s">
        <v>30</v>
      </c>
      <c r="E24" s="83">
        <v>50.62</v>
      </c>
      <c r="F24" s="88">
        <v>742932</v>
      </c>
      <c r="G24" s="89">
        <f t="shared" si="0"/>
        <v>37607217.840000004</v>
      </c>
      <c r="H24" s="209">
        <f t="shared" si="1"/>
        <v>782307</v>
      </c>
      <c r="I24" s="209">
        <f t="shared" si="4"/>
        <v>39600380.340000004</v>
      </c>
      <c r="J24" s="213" t="str">
        <f t="array" ref="J24:M24">_xlfn.XLOOKUP(C24,'ESAP NEIVA FASE II UNIFICADO'!$C$6:$C$720,'ESAP NEIVA FASE II UNIFICADO'!$C$6:$F$720,"NO ESTA")</f>
        <v>TANQUE DE ALMACENAMIENTO Y RESERVA EN CONCRETO DE 4000 PSI</v>
      </c>
      <c r="K24" t="str">
        <v>M3</v>
      </c>
      <c r="L24">
        <v>13.700000000000003</v>
      </c>
      <c r="M24">
        <v>821235</v>
      </c>
      <c r="N24" s="115">
        <f t="shared" si="2"/>
        <v>821235</v>
      </c>
      <c r="O24" s="146">
        <f t="shared" si="3"/>
        <v>41570915.699999996</v>
      </c>
      <c r="P24" s="119"/>
    </row>
    <row r="25" spans="2:16" ht="18" customHeight="1" x14ac:dyDescent="0.25">
      <c r="B25" s="80" t="s">
        <v>51</v>
      </c>
      <c r="C25" s="81" t="s">
        <v>52</v>
      </c>
      <c r="D25" s="82"/>
      <c r="E25" s="83"/>
      <c r="F25" s="90"/>
      <c r="G25" s="89">
        <f t="shared" si="0"/>
        <v>0</v>
      </c>
      <c r="H25" s="209">
        <f t="shared" si="1"/>
        <v>0</v>
      </c>
      <c r="I25" s="209">
        <f t="shared" si="4"/>
        <v>0</v>
      </c>
      <c r="J25" s="213" t="str">
        <f t="array" ref="J25:M25">_xlfn.XLOOKUP(C25,'ESAP NEIVA FASE II UNIFICADO'!$C$6:$C$720,'ESAP NEIVA FASE II UNIFICADO'!$C$6:$F$720,"NO ESTA")</f>
        <v>SUMINISTRO E INSTALACIÓN ACERO DE REFUERZO CIMENTACIÓN</v>
      </c>
      <c r="K25">
        <v>0</v>
      </c>
      <c r="L25">
        <v>0</v>
      </c>
      <c r="M25">
        <v>0</v>
      </c>
      <c r="N25" s="115">
        <f t="shared" si="2"/>
        <v>0</v>
      </c>
      <c r="O25" s="146">
        <f t="shared" si="3"/>
        <v>0</v>
      </c>
      <c r="P25" s="119"/>
    </row>
    <row r="26" spans="2:16" ht="16.5" customHeight="1" x14ac:dyDescent="0.25">
      <c r="B26" s="92" t="s">
        <v>53</v>
      </c>
      <c r="C26" s="93" t="s">
        <v>54</v>
      </c>
      <c r="D26" s="92" t="s">
        <v>55</v>
      </c>
      <c r="E26" s="83">
        <v>16621.25</v>
      </c>
      <c r="F26" s="94">
        <v>5000</v>
      </c>
      <c r="G26" s="89">
        <f t="shared" si="0"/>
        <v>83106250</v>
      </c>
      <c r="H26" s="209">
        <f t="shared" si="1"/>
        <v>5265</v>
      </c>
      <c r="I26" s="209">
        <f t="shared" si="4"/>
        <v>87510881.25</v>
      </c>
      <c r="J26" s="213" t="str">
        <f t="array" ref="J26:M26">_xlfn.XLOOKUP(C26,'ESAP NEIVA FASE II UNIFICADO'!$C$6:$C$720,'ESAP NEIVA FASE II UNIFICADO'!$C$6:$F$720,"NO ESTA",0,)</f>
        <v>ACERO DE REFUERZO 60000 psi Incluye ALAMBRE DE AMARRE</v>
      </c>
      <c r="K26" s="95" t="str">
        <v>KG</v>
      </c>
      <c r="L26">
        <v>8230.6999999999971</v>
      </c>
      <c r="M26">
        <v>5000</v>
      </c>
      <c r="N26" s="115">
        <f t="shared" si="2"/>
        <v>5000</v>
      </c>
      <c r="O26" s="146">
        <f t="shared" si="3"/>
        <v>83106250</v>
      </c>
      <c r="P26" s="119"/>
    </row>
    <row r="27" spans="2:16" ht="25.9" customHeight="1" x14ac:dyDescent="0.25">
      <c r="B27" s="86" t="s">
        <v>56</v>
      </c>
      <c r="C27" s="93" t="s">
        <v>57</v>
      </c>
      <c r="D27" s="82" t="s">
        <v>13</v>
      </c>
      <c r="E27" s="83">
        <v>1871.1</v>
      </c>
      <c r="F27" s="94">
        <v>7500</v>
      </c>
      <c r="G27" s="89">
        <f t="shared" si="0"/>
        <v>14033250</v>
      </c>
      <c r="H27" s="209">
        <f t="shared" si="1"/>
        <v>7898</v>
      </c>
      <c r="I27" s="209">
        <f t="shared" si="4"/>
        <v>14777947.800000001</v>
      </c>
      <c r="J27" s="213" t="str">
        <f t="array" ref="J27:M27">_xlfn.XLOOKUP(C27,'ESAP NEIVA FASE II UNIFICADO'!$C$6:$C$720,'ESAP NEIVA FASE II UNIFICADO'!$C$6:$F$720,"NO ESTA")</f>
        <v>MALLA ELECTROSOLDADA PLACA CONTRAPISO Q84 Ø4 mm separación 15x15 cm o similar</v>
      </c>
      <c r="K27" t="str">
        <v>M2</v>
      </c>
      <c r="L27">
        <v>242.5</v>
      </c>
      <c r="M27">
        <v>7500</v>
      </c>
      <c r="N27" s="115">
        <f t="shared" si="2"/>
        <v>7500</v>
      </c>
      <c r="O27" s="146">
        <f t="shared" si="3"/>
        <v>14033250</v>
      </c>
      <c r="P27" s="119"/>
    </row>
    <row r="28" spans="2:16" ht="16.5" customHeight="1" x14ac:dyDescent="0.25">
      <c r="B28" s="74">
        <v>3</v>
      </c>
      <c r="C28" s="75" t="s">
        <v>58</v>
      </c>
      <c r="D28" s="76"/>
      <c r="E28" s="77"/>
      <c r="F28" s="78"/>
      <c r="G28" s="89">
        <f t="shared" si="0"/>
        <v>0</v>
      </c>
      <c r="H28" s="209">
        <f t="shared" si="1"/>
        <v>0</v>
      </c>
      <c r="I28" s="209">
        <f t="shared" si="4"/>
        <v>0</v>
      </c>
      <c r="J28" s="213" t="str">
        <f t="array" ref="J28:M28">_xlfn.XLOOKUP(C28,'ESAP NEIVA FASE II UNIFICADO'!$C$6:$C$720,'ESAP NEIVA FASE II UNIFICADO'!$C$6:$F$720,"NO ESTA")</f>
        <v>ESTRUCTURAS EN CONCRETO Y METALICAS</v>
      </c>
      <c r="K28" s="96">
        <v>0</v>
      </c>
      <c r="L28">
        <v>0</v>
      </c>
      <c r="M28">
        <v>0</v>
      </c>
      <c r="N28" s="115">
        <f t="shared" si="2"/>
        <v>0</v>
      </c>
      <c r="O28" s="146">
        <f t="shared" si="3"/>
        <v>0</v>
      </c>
      <c r="P28" s="119"/>
    </row>
    <row r="29" spans="2:16" ht="16.5" customHeight="1" x14ac:dyDescent="0.25">
      <c r="B29" s="80" t="s">
        <v>59</v>
      </c>
      <c r="C29" s="81" t="s">
        <v>60</v>
      </c>
      <c r="D29" s="82"/>
      <c r="E29" s="83"/>
      <c r="F29" s="84"/>
      <c r="G29" s="89">
        <f t="shared" si="0"/>
        <v>0</v>
      </c>
      <c r="H29" s="209">
        <f t="shared" si="1"/>
        <v>0</v>
      </c>
      <c r="I29" s="209">
        <f t="shared" si="4"/>
        <v>0</v>
      </c>
      <c r="J29" s="213" t="str">
        <f t="array" ref="J29:M29">_xlfn.XLOOKUP(C29,'ESAP NEIVA FASE II UNIFICADO'!$C$6:$C$720,'ESAP NEIVA FASE II UNIFICADO'!$C$6:$F$720,"NO ESTA")</f>
        <v>ELEMENTOS ESTRUCTURALES</v>
      </c>
      <c r="K29" s="96">
        <v>0</v>
      </c>
      <c r="L29">
        <v>0</v>
      </c>
      <c r="M29">
        <v>0</v>
      </c>
      <c r="N29" s="115">
        <f t="shared" si="2"/>
        <v>0</v>
      </c>
      <c r="O29" s="146">
        <f t="shared" si="3"/>
        <v>0</v>
      </c>
      <c r="P29" s="119"/>
    </row>
    <row r="30" spans="2:16" ht="20.25" customHeight="1" x14ac:dyDescent="0.25">
      <c r="B30" s="86" t="s">
        <v>61</v>
      </c>
      <c r="C30" s="87" t="s">
        <v>62</v>
      </c>
      <c r="D30" s="82" t="s">
        <v>30</v>
      </c>
      <c r="E30" s="83">
        <v>247.78</v>
      </c>
      <c r="F30" s="88">
        <v>789448</v>
      </c>
      <c r="G30" s="89">
        <f t="shared" si="0"/>
        <v>195609425.44</v>
      </c>
      <c r="H30" s="209">
        <f t="shared" si="1"/>
        <v>831289</v>
      </c>
      <c r="I30" s="209">
        <f t="shared" si="4"/>
        <v>205976788.41999999</v>
      </c>
      <c r="J30" s="213" t="str">
        <f t="array" ref="J30:M30">_xlfn.XLOOKUP(C30,'ESAP NEIVA FASE II UNIFICADO'!$C$6:$C$720,'ESAP NEIVA FASE II UNIFICADO'!$C$6:$F$720,"NO ESTA")</f>
        <v>COLUMNAS EN CONCRETO DE 4000 psi</v>
      </c>
      <c r="K30" s="96" t="str">
        <v>M3</v>
      </c>
      <c r="L30">
        <v>24.939999999999998</v>
      </c>
      <c r="M30">
        <v>789448</v>
      </c>
      <c r="N30" s="115">
        <f t="shared" si="2"/>
        <v>789448</v>
      </c>
      <c r="O30" s="146">
        <f t="shared" si="3"/>
        <v>195609425.44</v>
      </c>
      <c r="P30" s="119"/>
    </row>
    <row r="31" spans="2:16" ht="30" customHeight="1" x14ac:dyDescent="0.25">
      <c r="B31" s="86" t="s">
        <v>63</v>
      </c>
      <c r="C31" s="87" t="s">
        <v>64</v>
      </c>
      <c r="D31" s="82" t="s">
        <v>30</v>
      </c>
      <c r="E31" s="83">
        <v>152.63999999999999</v>
      </c>
      <c r="F31" s="88">
        <v>789448</v>
      </c>
      <c r="G31" s="89">
        <f t="shared" si="0"/>
        <v>120501342.72</v>
      </c>
      <c r="H31" s="209">
        <f t="shared" si="1"/>
        <v>831289</v>
      </c>
      <c r="I31" s="209">
        <f t="shared" si="4"/>
        <v>126887952.95999999</v>
      </c>
      <c r="J31" s="213" t="str">
        <f t="array" ref="J31:M31">_xlfn.XLOOKUP(C31,'ESAP NEIVA FASE II UNIFICADO'!$C$6:$C$720,'ESAP NEIVA FASE II UNIFICADO'!$C$6:$F$720,"NO ESTA")</f>
        <v>PANTALLAS ASCENSORES Y ESCALERA EJES F2 Y K2 EN CONCRETO DE 4000 PSI</v>
      </c>
      <c r="K31" t="str">
        <v>M3</v>
      </c>
      <c r="L31">
        <v>15.569999999999993</v>
      </c>
      <c r="M31">
        <v>789448</v>
      </c>
      <c r="N31" s="115">
        <f t="shared" si="2"/>
        <v>789448</v>
      </c>
      <c r="O31" s="146">
        <f t="shared" si="3"/>
        <v>120501342.71999998</v>
      </c>
      <c r="P31" s="119"/>
    </row>
    <row r="32" spans="2:16" ht="13.5" customHeight="1" x14ac:dyDescent="0.25">
      <c r="B32" s="80" t="s">
        <v>65</v>
      </c>
      <c r="C32" s="81" t="s">
        <v>66</v>
      </c>
      <c r="D32" s="82"/>
      <c r="E32" s="83"/>
      <c r="F32" s="90"/>
      <c r="G32" s="89">
        <f t="shared" si="0"/>
        <v>0</v>
      </c>
      <c r="H32" s="209">
        <f t="shared" si="1"/>
        <v>0</v>
      </c>
      <c r="I32" s="209">
        <f t="shared" si="4"/>
        <v>0</v>
      </c>
      <c r="J32" s="213" t="str">
        <f t="array" ref="J32:M32">_xlfn.XLOOKUP(C32,'ESAP NEIVA FASE II UNIFICADO'!$C$6:$C$720,'ESAP NEIVA FASE II UNIFICADO'!$C$6:$F$720,"NO ESTA")</f>
        <v>PLACAS Y LOSAS DE ENTREPISO</v>
      </c>
      <c r="K32" s="95">
        <v>0</v>
      </c>
      <c r="L32">
        <v>0</v>
      </c>
      <c r="M32">
        <v>0</v>
      </c>
      <c r="N32" s="115">
        <f t="shared" si="2"/>
        <v>0</v>
      </c>
      <c r="O32" s="146">
        <f t="shared" si="3"/>
        <v>0</v>
      </c>
      <c r="P32" s="119"/>
    </row>
    <row r="33" spans="2:16" ht="30" customHeight="1" x14ac:dyDescent="0.25">
      <c r="B33" s="86" t="s">
        <v>67</v>
      </c>
      <c r="C33" s="87" t="s">
        <v>68</v>
      </c>
      <c r="D33" s="82" t="s">
        <v>30</v>
      </c>
      <c r="E33" s="83">
        <v>2128.8200000000002</v>
      </c>
      <c r="F33" s="88">
        <v>702783</v>
      </c>
      <c r="G33" s="89">
        <f t="shared" si="0"/>
        <v>1496098506.0599999</v>
      </c>
      <c r="H33" s="209">
        <f t="shared" si="1"/>
        <v>740030</v>
      </c>
      <c r="I33" s="209">
        <f t="shared" si="4"/>
        <v>1575390664.5999999</v>
      </c>
      <c r="J33" s="213" t="str">
        <f t="array" ref="J33">_xlfn.XLOOKUP(C33,'ESAP NEIVA FASE II UNIFICADO'!$C$6:$C$720,'ESAP NEIVA FASE II UNIFICADO'!$C$6:$F$720,"NO ESTA")</f>
        <v>NO ESTA</v>
      </c>
      <c r="N33" s="115">
        <f t="shared" si="2"/>
        <v>702783</v>
      </c>
      <c r="O33" s="146">
        <f t="shared" si="3"/>
        <v>1496098506.0600002</v>
      </c>
      <c r="P33" s="119"/>
    </row>
    <row r="34" spans="2:16" ht="16.5" customHeight="1" x14ac:dyDescent="0.25">
      <c r="B34" s="86" t="s">
        <v>69</v>
      </c>
      <c r="C34" s="148" t="s">
        <v>70</v>
      </c>
      <c r="D34" s="82" t="s">
        <v>13</v>
      </c>
      <c r="E34" s="83">
        <v>1581</v>
      </c>
      <c r="F34" s="88">
        <v>95313</v>
      </c>
      <c r="G34" s="89">
        <f t="shared" si="0"/>
        <v>150689853</v>
      </c>
      <c r="H34" s="209">
        <f t="shared" si="1"/>
        <v>100365</v>
      </c>
      <c r="I34" s="209">
        <f t="shared" si="4"/>
        <v>158677065</v>
      </c>
      <c r="J34" s="213" t="str">
        <f t="array" ref="J34:M34">_xlfn.XLOOKUP(C34,'ESAP NEIVA FASE II UNIFICADO'!$C$6:$C$720,'ESAP NEIVA FASE II UNIFICADO'!$C$6:$F$720,"NO ESTA")</f>
        <v>PLACA MACIZA CONTRAPISO CIMENTACION E: 15 cms</v>
      </c>
      <c r="K34" t="str">
        <v>M2</v>
      </c>
      <c r="L34">
        <v>235.59999999999991</v>
      </c>
      <c r="M34">
        <v>95123</v>
      </c>
      <c r="N34" s="115">
        <f t="shared" si="2"/>
        <v>95313</v>
      </c>
      <c r="O34" s="146">
        <f t="shared" si="3"/>
        <v>150689853</v>
      </c>
      <c r="P34" s="119"/>
    </row>
    <row r="35" spans="2:16" ht="19.5" customHeight="1" x14ac:dyDescent="0.25">
      <c r="B35" s="86" t="s">
        <v>71</v>
      </c>
      <c r="C35" s="87" t="s">
        <v>72</v>
      </c>
      <c r="D35" s="82" t="s">
        <v>30</v>
      </c>
      <c r="E35" s="83">
        <v>8.9</v>
      </c>
      <c r="F35" s="88">
        <v>705686</v>
      </c>
      <c r="G35" s="89">
        <f t="shared" si="0"/>
        <v>6280605.4000000004</v>
      </c>
      <c r="H35" s="209">
        <f t="shared" si="1"/>
        <v>743087</v>
      </c>
      <c r="I35" s="209">
        <f t="shared" si="4"/>
        <v>6613474.2999999998</v>
      </c>
      <c r="J35" s="213" t="str">
        <f t="array" ref="J35:M35">_xlfn.XLOOKUP(C35,'ESAP NEIVA FASE II UNIFICADO'!$C$6:$C$720,'ESAP NEIVA FASE II UNIFICADO'!$C$6:$F$720,"NO ESTA")</f>
        <v xml:space="preserve">PLACA MACIZA ZONA ASCENSOR 2DA PLANTA </v>
      </c>
      <c r="K35" t="str">
        <v>M3</v>
      </c>
      <c r="L35">
        <v>0</v>
      </c>
      <c r="M35">
        <v>789448</v>
      </c>
      <c r="N35" s="115">
        <f t="shared" si="2"/>
        <v>789448</v>
      </c>
      <c r="O35" s="146">
        <f t="shared" si="3"/>
        <v>7026087.2000000002</v>
      </c>
      <c r="P35" s="119"/>
    </row>
    <row r="36" spans="2:16" ht="15" customHeight="1" x14ac:dyDescent="0.25">
      <c r="B36" s="80" t="s">
        <v>73</v>
      </c>
      <c r="C36" s="81" t="s">
        <v>74</v>
      </c>
      <c r="D36" s="82"/>
      <c r="E36" s="83"/>
      <c r="F36" s="90"/>
      <c r="G36" s="89">
        <f t="shared" si="0"/>
        <v>0</v>
      </c>
      <c r="H36" s="209">
        <f t="shared" si="1"/>
        <v>0</v>
      </c>
      <c r="I36" s="209">
        <f t="shared" si="4"/>
        <v>0</v>
      </c>
      <c r="J36" s="213" t="str">
        <f t="array" ref="J36:M36">_xlfn.XLOOKUP(C36,'ESAP NEIVA FASE II UNIFICADO'!$C$6:$C$720,'ESAP NEIVA FASE II UNIFICADO'!$C$6:$F$720,"NO ESTA")</f>
        <v>CONSTRUCCIONES VARIAS EN CONCRETO</v>
      </c>
      <c r="K36">
        <v>0</v>
      </c>
      <c r="L36">
        <v>0</v>
      </c>
      <c r="M36">
        <v>0</v>
      </c>
      <c r="N36" s="115">
        <f t="shared" si="2"/>
        <v>0</v>
      </c>
      <c r="O36" s="146">
        <f t="shared" si="3"/>
        <v>0</v>
      </c>
      <c r="P36" s="119"/>
    </row>
    <row r="37" spans="2:16" ht="17.25" customHeight="1" x14ac:dyDescent="0.25">
      <c r="B37" s="86" t="s">
        <v>75</v>
      </c>
      <c r="C37" s="87" t="s">
        <v>76</v>
      </c>
      <c r="D37" s="82" t="s">
        <v>30</v>
      </c>
      <c r="E37" s="83">
        <v>73</v>
      </c>
      <c r="F37" s="88">
        <v>687672</v>
      </c>
      <c r="G37" s="89">
        <f t="shared" si="0"/>
        <v>50200056</v>
      </c>
      <c r="H37" s="209">
        <f t="shared" si="1"/>
        <v>724119</v>
      </c>
      <c r="I37" s="209">
        <f t="shared" si="4"/>
        <v>52860687</v>
      </c>
      <c r="J37" s="213" t="str">
        <f t="array" ref="J37:M37">_xlfn.XLOOKUP(C37,'ESAP NEIVA FASE II UNIFICADO'!$C$6:$C$720,'ESAP NEIVA FASE II UNIFICADO'!$C$6:$F$720,"NO ESTA")</f>
        <v>MURO EN CONCRETO DE 4000 PSI DESCOLGADO VIGA 00C 30x120</v>
      </c>
      <c r="K37" t="str">
        <v>M3</v>
      </c>
      <c r="L37">
        <v>11.299999999999997</v>
      </c>
      <c r="M37">
        <v>795025</v>
      </c>
      <c r="N37" s="115">
        <f t="shared" si="2"/>
        <v>795025</v>
      </c>
      <c r="O37" s="146">
        <f t="shared" si="3"/>
        <v>58036825</v>
      </c>
      <c r="P37" s="119"/>
    </row>
    <row r="38" spans="2:16" ht="19.5" customHeight="1" x14ac:dyDescent="0.25">
      <c r="B38" s="86" t="s">
        <v>77</v>
      </c>
      <c r="C38" s="87" t="s">
        <v>78</v>
      </c>
      <c r="D38" s="82" t="s">
        <v>30</v>
      </c>
      <c r="E38" s="83">
        <v>109</v>
      </c>
      <c r="F38" s="88">
        <v>687672</v>
      </c>
      <c r="G38" s="89">
        <f t="shared" si="0"/>
        <v>74956248</v>
      </c>
      <c r="H38" s="209">
        <f t="shared" si="1"/>
        <v>724119</v>
      </c>
      <c r="I38" s="209">
        <f t="shared" si="4"/>
        <v>78928971</v>
      </c>
      <c r="J38" s="213" t="str">
        <f t="array" ref="J38:M38">_xlfn.XLOOKUP(C38,'ESAP NEIVA FASE II UNIFICADO'!$C$6:$C$720,'ESAP NEIVA FASE II UNIFICADO'!$C$6:$F$720,"NO ESTA")</f>
        <v>MURO ESTRUCTURAL EN CONCRETO DE 4000 PSI FACHADA EXTERIOR</v>
      </c>
      <c r="K38" t="str">
        <v>M3</v>
      </c>
      <c r="L38">
        <v>15.900000000000006</v>
      </c>
      <c r="M38">
        <v>766762</v>
      </c>
      <c r="N38" s="115">
        <f t="shared" si="2"/>
        <v>766762</v>
      </c>
      <c r="O38" s="146">
        <f t="shared" si="3"/>
        <v>83577058</v>
      </c>
      <c r="P38" s="119"/>
    </row>
    <row r="39" spans="2:16" ht="17.25" customHeight="1" x14ac:dyDescent="0.25">
      <c r="B39" s="86" t="s">
        <v>79</v>
      </c>
      <c r="C39" s="87" t="s">
        <v>80</v>
      </c>
      <c r="D39" s="82" t="s">
        <v>30</v>
      </c>
      <c r="E39" s="83">
        <v>30</v>
      </c>
      <c r="F39" s="88">
        <v>705686</v>
      </c>
      <c r="G39" s="89">
        <f t="shared" si="0"/>
        <v>21170580</v>
      </c>
      <c r="H39" s="209">
        <f t="shared" si="1"/>
        <v>743087</v>
      </c>
      <c r="I39" s="209">
        <f t="shared" si="4"/>
        <v>22292610</v>
      </c>
      <c r="J39" s="213" t="str">
        <f t="array" ref="J39:M39">_xlfn.XLOOKUP(C39,'ESAP NEIVA FASE II UNIFICADO'!$C$6:$C$720,'ESAP NEIVA FASE II UNIFICADO'!$C$6:$F$720,"NO ESTA")</f>
        <v>ESCALERAS INTERNAS</v>
      </c>
      <c r="K39" t="str">
        <v>M3</v>
      </c>
      <c r="L39">
        <v>4.7000000000000028</v>
      </c>
      <c r="M39">
        <v>910627</v>
      </c>
      <c r="N39" s="115">
        <f t="shared" si="2"/>
        <v>910627</v>
      </c>
      <c r="O39" s="146">
        <f t="shared" si="3"/>
        <v>27318810</v>
      </c>
      <c r="P39" s="119"/>
    </row>
    <row r="40" spans="2:16" ht="18" customHeight="1" x14ac:dyDescent="0.25">
      <c r="B40" s="86" t="s">
        <v>81</v>
      </c>
      <c r="C40" s="87" t="s">
        <v>82</v>
      </c>
      <c r="D40" s="82" t="s">
        <v>30</v>
      </c>
      <c r="E40" s="83">
        <v>17</v>
      </c>
      <c r="F40" s="88">
        <v>705686</v>
      </c>
      <c r="G40" s="89">
        <f t="shared" si="0"/>
        <v>11996662</v>
      </c>
      <c r="H40" s="209">
        <f t="shared" si="1"/>
        <v>743087</v>
      </c>
      <c r="I40" s="209">
        <f t="shared" si="4"/>
        <v>12632479</v>
      </c>
      <c r="J40" s="213" t="str">
        <f t="array" ref="J40:M40">_xlfn.XLOOKUP(C40,'ESAP NEIVA FASE II UNIFICADO'!$C$6:$C$720,'ESAP NEIVA FASE II UNIFICADO'!$C$6:$F$720,"NO ESTA")</f>
        <v>ESCALERA ACCESO SEGUNDO (2DO) Y TERCER (3ER) PISO EJES 1 Y 4'</v>
      </c>
      <c r="K40" t="str">
        <v>M3</v>
      </c>
      <c r="L40">
        <v>2</v>
      </c>
      <c r="M40">
        <v>910627</v>
      </c>
      <c r="N40" s="115">
        <f t="shared" si="2"/>
        <v>910627</v>
      </c>
      <c r="O40" s="146">
        <f t="shared" si="3"/>
        <v>15480659</v>
      </c>
      <c r="P40" s="119"/>
    </row>
    <row r="41" spans="2:16" ht="15.75" customHeight="1" x14ac:dyDescent="0.25">
      <c r="B41" s="86" t="s">
        <v>83</v>
      </c>
      <c r="C41" s="87" t="s">
        <v>84</v>
      </c>
      <c r="D41" s="82" t="s">
        <v>30</v>
      </c>
      <c r="E41" s="83">
        <v>63</v>
      </c>
      <c r="F41" s="88">
        <v>723230</v>
      </c>
      <c r="G41" s="89">
        <f t="shared" si="0"/>
        <v>45563490</v>
      </c>
      <c r="H41" s="209">
        <f t="shared" si="1"/>
        <v>761561</v>
      </c>
      <c r="I41" s="209">
        <f t="shared" si="4"/>
        <v>47978343</v>
      </c>
      <c r="J41" s="213" t="str">
        <f t="array" ref="J41:M41">_xlfn.XLOOKUP(C41,'ESAP NEIVA FASE II UNIFICADO'!$C$6:$C$720,'ESAP NEIVA FASE II UNIFICADO'!$C$6:$F$720,"NO ESTA")</f>
        <v>RAMPAS DE ACCESO Incluye ACERO DE REFUERZO</v>
      </c>
      <c r="K41" t="str">
        <v>M3</v>
      </c>
      <c r="L41">
        <v>9</v>
      </c>
      <c r="M41">
        <v>852120</v>
      </c>
      <c r="N41" s="115">
        <f t="shared" si="2"/>
        <v>852120</v>
      </c>
      <c r="O41" s="146">
        <f t="shared" si="3"/>
        <v>53683560</v>
      </c>
      <c r="P41" s="119"/>
    </row>
    <row r="42" spans="2:16" ht="39.75" customHeight="1" x14ac:dyDescent="0.25">
      <c r="B42" s="80" t="s">
        <v>85</v>
      </c>
      <c r="C42" s="81" t="s">
        <v>86</v>
      </c>
      <c r="D42" s="82"/>
      <c r="E42" s="83"/>
      <c r="F42" s="90"/>
      <c r="G42" s="89">
        <f t="shared" si="0"/>
        <v>0</v>
      </c>
      <c r="H42" s="209">
        <f t="shared" si="1"/>
        <v>0</v>
      </c>
      <c r="I42" s="209">
        <f t="shared" si="4"/>
        <v>0</v>
      </c>
      <c r="J42" s="213" t="str">
        <f t="array" ref="J42:M42">_xlfn.XLOOKUP(C42,'ESAP NEIVA FASE II UNIFICADO'!$C$6:$C$720,'ESAP NEIVA FASE II UNIFICADO'!$C$6:$F$720,"NO ESTA")</f>
        <v>SUMINISTRO E INSTALACIÓN ACERO DE REFUERZO ELEMENTOS ESTRUCTURALES, PLACAS MACIZAS, CONSTRUCCIONES VARIAS EN CONCRETOS</v>
      </c>
      <c r="K42">
        <v>0</v>
      </c>
      <c r="L42">
        <v>0</v>
      </c>
      <c r="M42">
        <v>0</v>
      </c>
      <c r="N42" s="115">
        <f t="shared" si="2"/>
        <v>0</v>
      </c>
      <c r="O42" s="146">
        <f t="shared" si="3"/>
        <v>0</v>
      </c>
      <c r="P42" s="119"/>
    </row>
    <row r="43" spans="2:16" ht="18" customHeight="1" x14ac:dyDescent="0.25">
      <c r="B43" s="86" t="s">
        <v>87</v>
      </c>
      <c r="C43" s="93" t="s">
        <v>54</v>
      </c>
      <c r="D43" s="82" t="s">
        <v>55</v>
      </c>
      <c r="E43" s="83">
        <v>134615.48000000001</v>
      </c>
      <c r="F43" s="88">
        <v>5000</v>
      </c>
      <c r="G43" s="89">
        <f t="shared" si="0"/>
        <v>673077400</v>
      </c>
      <c r="H43" s="209">
        <f t="shared" si="1"/>
        <v>5265</v>
      </c>
      <c r="I43" s="209">
        <f t="shared" si="4"/>
        <v>708750502.20000005</v>
      </c>
      <c r="J43" s="213" t="str">
        <f t="array" ref="J43:M43">_xlfn.XLOOKUP(C43,'ESAP NEIVA FASE II UNIFICADO'!$C$6:$C$720,'ESAP NEIVA FASE II UNIFICADO'!$C$6:$F$720,"NO ESTA")</f>
        <v>ACERO DE REFUERZO 60000 psi Incluye ALAMBRE DE AMARRE</v>
      </c>
      <c r="K43" t="str">
        <v>KG</v>
      </c>
      <c r="L43">
        <v>8230.6999999999971</v>
      </c>
      <c r="M43">
        <v>5000</v>
      </c>
      <c r="N43" s="115">
        <f t="shared" si="2"/>
        <v>5000</v>
      </c>
      <c r="O43" s="146">
        <f t="shared" si="3"/>
        <v>673077400</v>
      </c>
      <c r="P43" s="119"/>
    </row>
    <row r="44" spans="2:16" ht="30" customHeight="1" x14ac:dyDescent="0.25">
      <c r="B44" s="86" t="s">
        <v>88</v>
      </c>
      <c r="C44" s="93" t="s">
        <v>89</v>
      </c>
      <c r="D44" s="82" t="s">
        <v>13</v>
      </c>
      <c r="E44" s="83">
        <v>6220.01</v>
      </c>
      <c r="F44" s="88">
        <v>7500</v>
      </c>
      <c r="G44" s="89">
        <f t="shared" si="0"/>
        <v>46650075</v>
      </c>
      <c r="H44" s="209">
        <f t="shared" si="1"/>
        <v>7898</v>
      </c>
      <c r="I44" s="209">
        <f t="shared" si="4"/>
        <v>49125638.979999997</v>
      </c>
      <c r="J44" s="213" t="str">
        <f t="array" ref="J44:M44">_xlfn.XLOOKUP(C44,'ESAP NEIVA FASE II UNIFICADO'!$C$6:$C$720,'ESAP NEIVA FASE II UNIFICADO'!$C$6:$F$720,"NO ESTA")</f>
        <v>MALLA ELECTROSOLDADA PLACA ENTREPISO Q85 Ø4 mm separación 15x15 cm o similar</v>
      </c>
      <c r="K44" t="str">
        <v>M2</v>
      </c>
      <c r="L44">
        <v>938.19999999999982</v>
      </c>
      <c r="M44">
        <v>7500</v>
      </c>
      <c r="N44" s="115">
        <f t="shared" si="2"/>
        <v>7500</v>
      </c>
      <c r="O44" s="146">
        <f t="shared" si="3"/>
        <v>46650075</v>
      </c>
      <c r="P44" s="119"/>
    </row>
    <row r="45" spans="2:16" ht="30" customHeight="1" x14ac:dyDescent="0.25">
      <c r="B45" s="80" t="s">
        <v>90</v>
      </c>
      <c r="C45" s="81" t="s">
        <v>91</v>
      </c>
      <c r="D45" s="82"/>
      <c r="E45" s="83"/>
      <c r="F45" s="90"/>
      <c r="G45" s="89">
        <f t="shared" si="0"/>
        <v>0</v>
      </c>
      <c r="H45" s="209">
        <f t="shared" si="1"/>
        <v>0</v>
      </c>
      <c r="I45" s="209">
        <f t="shared" si="4"/>
        <v>0</v>
      </c>
      <c r="J45" s="213" t="str">
        <f t="array" ref="J45:M45">_xlfn.XLOOKUP(C45,'ESAP NEIVA FASE II UNIFICADO'!$C$6:$C$720,'ESAP NEIVA FASE II UNIFICADO'!$C$6:$F$720,"NO ESTA")</f>
        <v>SUMINISTRO E INSTALACION DE ESTRUCTURA METALICA CUBIERTA</v>
      </c>
      <c r="K45">
        <v>0</v>
      </c>
      <c r="L45">
        <v>0</v>
      </c>
      <c r="M45">
        <v>0</v>
      </c>
      <c r="N45" s="115">
        <f t="shared" si="2"/>
        <v>0</v>
      </c>
      <c r="O45" s="146">
        <f t="shared" si="3"/>
        <v>0</v>
      </c>
      <c r="P45" s="119"/>
    </row>
    <row r="46" spans="2:16" ht="15" customHeight="1" x14ac:dyDescent="0.25">
      <c r="B46" s="86" t="s">
        <v>92</v>
      </c>
      <c r="C46" s="87" t="s">
        <v>93</v>
      </c>
      <c r="D46" s="82" t="s">
        <v>94</v>
      </c>
      <c r="E46" s="83">
        <v>194</v>
      </c>
      <c r="F46" s="88">
        <v>102216</v>
      </c>
      <c r="G46" s="89">
        <f t="shared" si="0"/>
        <v>19829904</v>
      </c>
      <c r="H46" s="209">
        <f t="shared" si="1"/>
        <v>107633</v>
      </c>
      <c r="I46" s="209">
        <f t="shared" si="4"/>
        <v>20880802</v>
      </c>
      <c r="J46" s="213" t="str">
        <f t="array" ref="J46:M46">_xlfn.XLOOKUP(C46,'ESAP NEIVA FASE II UNIFICADO'!$C$6:$C$720,'ESAP NEIVA FASE II UNIFICADO'!$C$6:$F$720,"NO ESTA")</f>
        <v>CERCHA METALICA CUBIERTA</v>
      </c>
      <c r="K46" s="95" t="str">
        <v>ML</v>
      </c>
      <c r="L46">
        <v>14.099999999999994</v>
      </c>
      <c r="M46">
        <v>109392</v>
      </c>
      <c r="N46" s="115">
        <f t="shared" si="2"/>
        <v>109392</v>
      </c>
      <c r="O46" s="146">
        <f t="shared" si="3"/>
        <v>21222048</v>
      </c>
      <c r="P46" s="119"/>
    </row>
    <row r="47" spans="2:16" ht="15" customHeight="1" x14ac:dyDescent="0.25">
      <c r="B47" s="86" t="s">
        <v>95</v>
      </c>
      <c r="C47" s="87" t="s">
        <v>96</v>
      </c>
      <c r="D47" s="82" t="s">
        <v>94</v>
      </c>
      <c r="E47" s="83">
        <v>1240</v>
      </c>
      <c r="F47" s="88">
        <v>72433</v>
      </c>
      <c r="G47" s="89">
        <f t="shared" si="0"/>
        <v>89816920</v>
      </c>
      <c r="H47" s="209">
        <f t="shared" si="1"/>
        <v>76272</v>
      </c>
      <c r="I47" s="209">
        <f t="shared" si="4"/>
        <v>94577280</v>
      </c>
      <c r="J47" s="213" t="str">
        <f t="array" ref="J47:M47">_xlfn.XLOOKUP(C47,'ESAP NEIVA FASE II UNIFICADO'!$C$6:$C$720,'ESAP NEIVA FASE II UNIFICADO'!$C$6:$F$720,"NO ESTA")</f>
        <v>CORREAS METALICAS CUBIERTA</v>
      </c>
      <c r="K47" t="str">
        <v>ML</v>
      </c>
      <c r="L47">
        <v>28.599999999999994</v>
      </c>
      <c r="M47">
        <v>78264</v>
      </c>
      <c r="N47" s="115">
        <f t="shared" si="2"/>
        <v>78264</v>
      </c>
      <c r="O47" s="146">
        <f t="shared" si="3"/>
        <v>97047360</v>
      </c>
      <c r="P47" s="119"/>
    </row>
    <row r="48" spans="2:16" ht="15" customHeight="1" x14ac:dyDescent="0.25">
      <c r="B48" s="86" t="s">
        <v>97</v>
      </c>
      <c r="C48" s="87" t="s">
        <v>98</v>
      </c>
      <c r="D48" s="82" t="s">
        <v>13</v>
      </c>
      <c r="E48" s="83">
        <v>508</v>
      </c>
      <c r="F48" s="88">
        <v>95772</v>
      </c>
      <c r="G48" s="89">
        <f t="shared" si="0"/>
        <v>48652176</v>
      </c>
      <c r="H48" s="209">
        <f t="shared" si="1"/>
        <v>100848</v>
      </c>
      <c r="I48" s="209">
        <f t="shared" si="4"/>
        <v>51230784</v>
      </c>
      <c r="J48" s="213" t="str">
        <f t="array" ref="J48:M48">_xlfn.XLOOKUP(C48,'ESAP NEIVA FASE II UNIFICADO'!$C$6:$C$720,'ESAP NEIVA FASE II UNIFICADO'!$C$6:$F$720,"NO ESTA")</f>
        <v>CUBIERTA TIPO SANDWICH</v>
      </c>
      <c r="K48" t="str">
        <v>M2</v>
      </c>
      <c r="L48">
        <v>488.5</v>
      </c>
      <c r="M48">
        <v>103483</v>
      </c>
      <c r="N48" s="115">
        <f t="shared" si="2"/>
        <v>103483</v>
      </c>
      <c r="O48" s="146">
        <f t="shared" si="3"/>
        <v>52569364</v>
      </c>
      <c r="P48" s="119"/>
    </row>
    <row r="49" spans="2:16" ht="14.25" customHeight="1" x14ac:dyDescent="0.25">
      <c r="B49" s="74">
        <v>4</v>
      </c>
      <c r="C49" s="75" t="s">
        <v>99</v>
      </c>
      <c r="D49" s="76"/>
      <c r="E49" s="77"/>
      <c r="F49" s="78"/>
      <c r="G49" s="89">
        <f t="shared" si="0"/>
        <v>0</v>
      </c>
      <c r="H49" s="209">
        <f t="shared" si="1"/>
        <v>0</v>
      </c>
      <c r="I49" s="209">
        <f t="shared" si="4"/>
        <v>0</v>
      </c>
      <c r="J49" s="213" t="str">
        <f t="array" ref="J49:M49">_xlfn.XLOOKUP(C49,'ESAP NEIVA FASE II UNIFICADO'!$C$6:$C$720,'ESAP NEIVA FASE II UNIFICADO'!$C$6:$F$720,"NO ESTA")</f>
        <v>CIELO RASOS</v>
      </c>
      <c r="K49">
        <v>0</v>
      </c>
      <c r="L49">
        <v>0</v>
      </c>
      <c r="M49">
        <v>0</v>
      </c>
      <c r="N49" s="115">
        <f t="shared" si="2"/>
        <v>0</v>
      </c>
      <c r="O49" s="146">
        <f t="shared" si="3"/>
        <v>0</v>
      </c>
      <c r="P49" s="119"/>
    </row>
    <row r="50" spans="2:16" ht="17.25" customHeight="1" x14ac:dyDescent="0.25">
      <c r="B50" s="80" t="s">
        <v>100</v>
      </c>
      <c r="C50" s="81" t="s">
        <v>101</v>
      </c>
      <c r="D50" s="82"/>
      <c r="E50" s="83"/>
      <c r="F50" s="84"/>
      <c r="G50" s="89">
        <f t="shared" si="0"/>
        <v>0</v>
      </c>
      <c r="H50" s="209">
        <f t="shared" si="1"/>
        <v>0</v>
      </c>
      <c r="I50" s="209">
        <f t="shared" si="4"/>
        <v>0</v>
      </c>
      <c r="J50" s="213" t="str">
        <f t="array" ref="J50:M50">_xlfn.XLOOKUP(C50,'ESAP NEIVA FASE II UNIFICADO'!$C$6:$C$720,'ESAP NEIVA FASE II UNIFICADO'!$C$6:$F$720,"NO ESTA")</f>
        <v>SUMINISTRO E INSTALACION DE CIELOS RASOS PISO 1</v>
      </c>
      <c r="K50">
        <v>0</v>
      </c>
      <c r="L50">
        <v>0</v>
      </c>
      <c r="M50">
        <v>0</v>
      </c>
      <c r="N50" s="115">
        <f t="shared" si="2"/>
        <v>0</v>
      </c>
      <c r="O50" s="146">
        <f t="shared" si="3"/>
        <v>0</v>
      </c>
      <c r="P50" s="119"/>
    </row>
    <row r="51" spans="2:16" ht="31.5" customHeight="1" x14ac:dyDescent="0.25">
      <c r="B51" s="86" t="s">
        <v>102</v>
      </c>
      <c r="C51" s="147" t="s">
        <v>103</v>
      </c>
      <c r="D51" s="82" t="s">
        <v>13</v>
      </c>
      <c r="E51" s="83">
        <v>59.86</v>
      </c>
      <c r="F51" s="88">
        <v>41614</v>
      </c>
      <c r="G51" s="89">
        <f t="shared" si="0"/>
        <v>2491014.04</v>
      </c>
      <c r="H51" s="209">
        <f t="shared" si="1"/>
        <v>43820</v>
      </c>
      <c r="I51" s="209">
        <f t="shared" si="4"/>
        <v>2623065.2000000002</v>
      </c>
      <c r="J51" s="213" t="str">
        <f t="array" ref="J51:M51">_xlfn.XLOOKUP(C51,'ESAP NEIVA FASE II UNIFICADO'!$C$6:$C$720,'ESAP NEIVA FASE II UNIFICADO'!$C$6:$F$720,"NO ESTA")</f>
        <v>SUMINISTRO E INSTALACION CIELO RASO EN DRYWALL LAMINA VERDE RH  PINTADO A 3 MANOS PINTURA VINILO TIPO 1 o similar  BLANCA Ref. Planos 09512</v>
      </c>
      <c r="K51" t="str">
        <v>M2</v>
      </c>
      <c r="L51">
        <v>68.989999999999995</v>
      </c>
      <c r="M51">
        <v>52673</v>
      </c>
      <c r="N51" s="115">
        <f t="shared" si="2"/>
        <v>52673</v>
      </c>
      <c r="O51" s="146">
        <f t="shared" si="3"/>
        <v>3153005.78</v>
      </c>
      <c r="P51" s="119"/>
    </row>
    <row r="52" spans="2:16" ht="26.25" customHeight="1" x14ac:dyDescent="0.25">
      <c r="B52" s="86" t="s">
        <v>104</v>
      </c>
      <c r="C52" s="149" t="s">
        <v>105</v>
      </c>
      <c r="D52" s="82" t="s">
        <v>13</v>
      </c>
      <c r="E52" s="83">
        <v>388.43</v>
      </c>
      <c r="F52" s="88">
        <v>41614</v>
      </c>
      <c r="G52" s="89">
        <f t="shared" si="0"/>
        <v>16164126.02</v>
      </c>
      <c r="H52" s="209">
        <f t="shared" si="1"/>
        <v>43820</v>
      </c>
      <c r="I52" s="209">
        <f t="shared" si="4"/>
        <v>17021002.600000001</v>
      </c>
      <c r="J52" s="213" t="str">
        <f t="array" ref="J52:M52">_xlfn.XLOOKUP(C52,'ESAP NEIVA FASE II UNIFICADO'!$C$6:$C$720,'ESAP NEIVA FASE II UNIFICADO'!$C$6:$F$720,"NO ESTA")</f>
        <v>SUMINISTRO E INSTALACION CIELO RASO EN DRYWALL LAMINA BLANCA PINTADO A 3 MANOS PINTURA VINILO TIPO 1  BLANCA Ref. Planos 09511</v>
      </c>
      <c r="K52" t="str">
        <v>M2</v>
      </c>
      <c r="L52">
        <v>0</v>
      </c>
      <c r="M52">
        <v>52673</v>
      </c>
      <c r="N52" s="115">
        <f t="shared" si="2"/>
        <v>52673</v>
      </c>
      <c r="O52" s="146">
        <f t="shared" si="3"/>
        <v>20459773.390000001</v>
      </c>
      <c r="P52" s="119"/>
    </row>
    <row r="53" spans="2:16" ht="15.75" customHeight="1" x14ac:dyDescent="0.25">
      <c r="B53" s="74">
        <v>5</v>
      </c>
      <c r="C53" s="75" t="s">
        <v>106</v>
      </c>
      <c r="D53" s="76"/>
      <c r="E53" s="77"/>
      <c r="F53" s="78"/>
      <c r="G53" s="89">
        <f t="shared" si="0"/>
        <v>0</v>
      </c>
      <c r="H53" s="209">
        <f t="shared" si="1"/>
        <v>0</v>
      </c>
      <c r="I53" s="209">
        <f t="shared" si="4"/>
        <v>0</v>
      </c>
      <c r="J53" s="213" t="str">
        <f t="array" ref="J53:M53">_xlfn.XLOOKUP(C53,'ESAP NEIVA FASE II UNIFICADO'!$C$6:$C$720,'ESAP NEIVA FASE II UNIFICADO'!$C$6:$F$720,"NO ESTA")</f>
        <v>CONSTRUCCIÓN DE MUROS ARQUITECTONICOS</v>
      </c>
      <c r="K53">
        <v>0</v>
      </c>
      <c r="L53">
        <v>0</v>
      </c>
      <c r="M53">
        <v>0</v>
      </c>
      <c r="N53" s="115">
        <f t="shared" si="2"/>
        <v>0</v>
      </c>
      <c r="O53" s="146">
        <f t="shared" si="3"/>
        <v>0</v>
      </c>
      <c r="P53" s="119"/>
    </row>
    <row r="54" spans="2:16" ht="15" customHeight="1" x14ac:dyDescent="0.25">
      <c r="B54" s="80" t="s">
        <v>107</v>
      </c>
      <c r="C54" s="81" t="s">
        <v>108</v>
      </c>
      <c r="D54" s="82"/>
      <c r="E54" s="83"/>
      <c r="F54" s="90"/>
      <c r="G54" s="89">
        <f t="shared" si="0"/>
        <v>0</v>
      </c>
      <c r="H54" s="209">
        <f t="shared" si="1"/>
        <v>0</v>
      </c>
      <c r="I54" s="209">
        <f t="shared" si="4"/>
        <v>0</v>
      </c>
      <c r="J54" s="213" t="str">
        <f t="array" ref="J54:M54">_xlfn.XLOOKUP(C54,'ESAP NEIVA FASE II UNIFICADO'!$C$6:$C$720,'ESAP NEIVA FASE II UNIFICADO'!$C$6:$F$720,"NO ESTA")</f>
        <v>CONSTRUCCIÓN MUROS ARQUITECTONICOS SEMISOTANO</v>
      </c>
      <c r="K54">
        <v>0</v>
      </c>
      <c r="L54">
        <v>0</v>
      </c>
      <c r="M54">
        <v>0</v>
      </c>
      <c r="N54" s="115">
        <f t="shared" si="2"/>
        <v>0</v>
      </c>
      <c r="O54" s="146">
        <f t="shared" si="3"/>
        <v>0</v>
      </c>
      <c r="P54" s="119"/>
    </row>
    <row r="55" spans="2:16" ht="15" customHeight="1" x14ac:dyDescent="0.25">
      <c r="B55" s="86" t="s">
        <v>109</v>
      </c>
      <c r="C55" s="87" t="s">
        <v>110</v>
      </c>
      <c r="D55" s="82" t="s">
        <v>30</v>
      </c>
      <c r="E55" s="83">
        <v>0.73</v>
      </c>
      <c r="F55" s="88">
        <v>687672</v>
      </c>
      <c r="G55" s="89">
        <f t="shared" si="0"/>
        <v>502000.56</v>
      </c>
      <c r="H55" s="209">
        <f t="shared" si="1"/>
        <v>724119</v>
      </c>
      <c r="I55" s="209">
        <f t="shared" si="4"/>
        <v>528606.87</v>
      </c>
      <c r="J55" s="213" t="str">
        <f t="array" ref="J55:M55">_xlfn.XLOOKUP(C55,'ESAP NEIVA FASE II UNIFICADO'!$C$6:$C$720,'ESAP NEIVA FASE II UNIFICADO'!$C$6:$F$720,"NO ESTA")</f>
        <v>MURO EN CONCRETO DE 4000 PSI e=0.12 m Ver. Planos Tipo Muro M-1</v>
      </c>
      <c r="K55" t="str">
        <v>M3</v>
      </c>
      <c r="L55">
        <v>0</v>
      </c>
      <c r="M55">
        <v>821235</v>
      </c>
      <c r="N55" s="115">
        <f t="shared" si="2"/>
        <v>821235</v>
      </c>
      <c r="O55" s="146">
        <f t="shared" si="3"/>
        <v>599501.54999999993</v>
      </c>
      <c r="P55" s="119"/>
    </row>
    <row r="56" spans="2:16" ht="15" customHeight="1" x14ac:dyDescent="0.25">
      <c r="B56" s="86" t="s">
        <v>111</v>
      </c>
      <c r="C56" s="87" t="s">
        <v>112</v>
      </c>
      <c r="D56" s="82" t="s">
        <v>30</v>
      </c>
      <c r="E56" s="83">
        <v>11.33</v>
      </c>
      <c r="F56" s="88">
        <v>687672</v>
      </c>
      <c r="G56" s="89">
        <f t="shared" si="0"/>
        <v>7791323.7599999998</v>
      </c>
      <c r="H56" s="209">
        <f t="shared" si="1"/>
        <v>724119</v>
      </c>
      <c r="I56" s="209">
        <f t="shared" si="4"/>
        <v>8204268.2699999996</v>
      </c>
      <c r="J56" s="213" t="str">
        <f t="array" ref="J56:M56">_xlfn.XLOOKUP(C56,'ESAP NEIVA FASE II UNIFICADO'!$C$6:$C$720,'ESAP NEIVA FASE II UNIFICADO'!$C$6:$F$720,"NO ESTA")</f>
        <v>MURO EN CONCRETO DE 4000 PSI e=0.15 m Ver. Planos Tipo Muro M-2</v>
      </c>
      <c r="K56" t="str">
        <v>M3</v>
      </c>
      <c r="L56">
        <v>11.33</v>
      </c>
      <c r="M56">
        <v>821235</v>
      </c>
      <c r="N56" s="115">
        <f t="shared" si="2"/>
        <v>821235</v>
      </c>
      <c r="O56" s="146">
        <f t="shared" si="3"/>
        <v>9304592.5500000007</v>
      </c>
      <c r="P56" s="119"/>
    </row>
    <row r="57" spans="2:16" ht="15" customHeight="1" x14ac:dyDescent="0.25">
      <c r="B57" s="86" t="s">
        <v>113</v>
      </c>
      <c r="C57" s="87" t="s">
        <v>114</v>
      </c>
      <c r="D57" s="82" t="s">
        <v>30</v>
      </c>
      <c r="E57" s="83">
        <v>95.6</v>
      </c>
      <c r="F57" s="88">
        <v>687672</v>
      </c>
      <c r="G57" s="89">
        <f t="shared" si="0"/>
        <v>65741443.200000003</v>
      </c>
      <c r="H57" s="209">
        <f t="shared" si="1"/>
        <v>724119</v>
      </c>
      <c r="I57" s="209">
        <f t="shared" si="4"/>
        <v>69225776.400000006</v>
      </c>
      <c r="J57" s="213" t="str">
        <f t="array" ref="J57:M57">_xlfn.XLOOKUP(C57,'ESAP NEIVA FASE II UNIFICADO'!$C$6:$C$720,'ESAP NEIVA FASE II UNIFICADO'!$C$6:$F$720,"NO ESTA")</f>
        <v>MURO EN CONCRETO DE 4000 PSI e=0.25 m Ver. Planos Tipo Muro M-3</v>
      </c>
      <c r="K57" t="str">
        <v>M3</v>
      </c>
      <c r="L57">
        <v>95.594999999999999</v>
      </c>
      <c r="M57">
        <v>821235</v>
      </c>
      <c r="N57" s="115">
        <f t="shared" si="2"/>
        <v>821235</v>
      </c>
      <c r="O57" s="146">
        <f t="shared" si="3"/>
        <v>78510066</v>
      </c>
      <c r="P57" s="119"/>
    </row>
    <row r="58" spans="2:16" ht="15" customHeight="1" x14ac:dyDescent="0.25">
      <c r="B58" s="86" t="s">
        <v>115</v>
      </c>
      <c r="C58" s="87" t="s">
        <v>116</v>
      </c>
      <c r="D58" s="82" t="s">
        <v>30</v>
      </c>
      <c r="E58" s="83">
        <v>20.12</v>
      </c>
      <c r="F58" s="88">
        <v>687672</v>
      </c>
      <c r="G58" s="89">
        <f t="shared" si="0"/>
        <v>13835960.640000001</v>
      </c>
      <c r="H58" s="209">
        <f t="shared" si="1"/>
        <v>724119</v>
      </c>
      <c r="I58" s="209">
        <f t="shared" si="4"/>
        <v>14569274.279999999</v>
      </c>
      <c r="J58" s="213" t="str">
        <f t="array" ref="J58:M58">_xlfn.XLOOKUP(C58,'ESAP NEIVA FASE II UNIFICADO'!$C$6:$C$720,'ESAP NEIVA FASE II UNIFICADO'!$C$6:$F$720,"NO ESTA")</f>
        <v>MURO EN CONCRETO DE 4000 PSI e=0.30 m Ver. Planos Tipo Muro M-4</v>
      </c>
      <c r="K58" t="str">
        <v>M3</v>
      </c>
      <c r="L58">
        <v>20.12</v>
      </c>
      <c r="M58">
        <v>821235</v>
      </c>
      <c r="N58" s="115">
        <f t="shared" si="2"/>
        <v>821235</v>
      </c>
      <c r="O58" s="146">
        <f t="shared" si="3"/>
        <v>16523248.200000001</v>
      </c>
      <c r="P58" s="119"/>
    </row>
    <row r="59" spans="2:16" ht="15" customHeight="1" x14ac:dyDescent="0.25">
      <c r="B59" s="86" t="s">
        <v>117</v>
      </c>
      <c r="C59" s="87" t="s">
        <v>118</v>
      </c>
      <c r="D59" s="82" t="s">
        <v>30</v>
      </c>
      <c r="E59" s="83">
        <v>80.489999999999995</v>
      </c>
      <c r="F59" s="88">
        <v>687672</v>
      </c>
      <c r="G59" s="89">
        <f t="shared" si="0"/>
        <v>55350719.280000001</v>
      </c>
      <c r="H59" s="209">
        <f t="shared" si="1"/>
        <v>724119</v>
      </c>
      <c r="I59" s="209">
        <f t="shared" si="4"/>
        <v>58284338.310000002</v>
      </c>
      <c r="J59" s="213" t="str">
        <f t="array" ref="J59:M59">_xlfn.XLOOKUP(C59,'ESAP NEIVA FASE II UNIFICADO'!$C$6:$C$720,'ESAP NEIVA FASE II UNIFICADO'!$C$6:$F$720,"NO ESTA")</f>
        <v>MURO EN CONCRETO DE 4000 PSI e=0.40 m Ver. Planos Tipo Muro M-5</v>
      </c>
      <c r="K59" t="str">
        <v>M3</v>
      </c>
      <c r="L59">
        <v>80.484999999999999</v>
      </c>
      <c r="M59">
        <v>821235</v>
      </c>
      <c r="N59" s="115">
        <f t="shared" si="2"/>
        <v>821235</v>
      </c>
      <c r="O59" s="146">
        <f t="shared" si="3"/>
        <v>66101205.149999999</v>
      </c>
      <c r="P59" s="119"/>
    </row>
    <row r="60" spans="2:16" ht="15" customHeight="1" x14ac:dyDescent="0.25">
      <c r="B60" s="86" t="s">
        <v>119</v>
      </c>
      <c r="C60" s="87" t="s">
        <v>120</v>
      </c>
      <c r="D60" s="82" t="s">
        <v>13</v>
      </c>
      <c r="E60" s="83">
        <v>79.69</v>
      </c>
      <c r="F60" s="88">
        <v>146012</v>
      </c>
      <c r="G60" s="89">
        <f t="shared" si="0"/>
        <v>11635696.279999999</v>
      </c>
      <c r="H60" s="209">
        <f t="shared" si="1"/>
        <v>153751</v>
      </c>
      <c r="I60" s="209">
        <f t="shared" si="4"/>
        <v>12252417.189999999</v>
      </c>
      <c r="J60" s="213" t="str">
        <f t="array" ref="J60:M60">_xlfn.XLOOKUP(C60,'ESAP NEIVA FASE II UNIFICADO'!$C$6:$C$720,'ESAP NEIVA FASE II UNIFICADO'!$C$6:$F$720,"NO ESTA")</f>
        <v>MURO EN LADRILLO GRAN FORMATO e= 0.12 m Ref. Tierra Ver. Planos Tipo Muro M-6</v>
      </c>
      <c r="K60" t="str">
        <v>M2</v>
      </c>
      <c r="L60">
        <v>79.69</v>
      </c>
      <c r="M60">
        <v>141317</v>
      </c>
      <c r="N60" s="115">
        <f t="shared" si="2"/>
        <v>146012</v>
      </c>
      <c r="O60" s="146">
        <f t="shared" si="3"/>
        <v>11635696.279999999</v>
      </c>
      <c r="P60" s="119"/>
    </row>
    <row r="61" spans="2:16" ht="15" customHeight="1" x14ac:dyDescent="0.25">
      <c r="B61" s="86" t="s">
        <v>121</v>
      </c>
      <c r="C61" s="87" t="s">
        <v>122</v>
      </c>
      <c r="D61" s="82" t="s">
        <v>13</v>
      </c>
      <c r="E61" s="83">
        <v>21.32</v>
      </c>
      <c r="F61" s="88">
        <v>292026</v>
      </c>
      <c r="G61" s="89">
        <f t="shared" si="0"/>
        <v>6225994.3200000003</v>
      </c>
      <c r="H61" s="209">
        <f t="shared" si="1"/>
        <v>307503</v>
      </c>
      <c r="I61" s="209">
        <f t="shared" si="4"/>
        <v>6555963.96</v>
      </c>
      <c r="J61" s="213" t="str">
        <f t="array" ref="J61:M61">_xlfn.XLOOKUP(C61,'ESAP NEIVA FASE II UNIFICADO'!$C$6:$C$720,'ESAP NEIVA FASE II UNIFICADO'!$C$6:$F$720,"NO ESTA")</f>
        <v xml:space="preserve">MURO EN LADRILLO GRAN FORMATO e= 0.25 m Ref. Tierra Ver. Planos Tipo Muro M-7 </v>
      </c>
      <c r="K61" t="str">
        <v>M2</v>
      </c>
      <c r="L61">
        <v>21.32</v>
      </c>
      <c r="M61">
        <v>186538</v>
      </c>
      <c r="N61" s="115">
        <f t="shared" si="2"/>
        <v>292026</v>
      </c>
      <c r="O61" s="146">
        <f t="shared" si="3"/>
        <v>6225994.3200000003</v>
      </c>
      <c r="P61" s="119"/>
    </row>
    <row r="62" spans="2:16" ht="15" customHeight="1" x14ac:dyDescent="0.25">
      <c r="B62" s="97" t="s">
        <v>123</v>
      </c>
      <c r="C62" s="98" t="s">
        <v>124</v>
      </c>
      <c r="D62" s="82"/>
      <c r="E62" s="83"/>
      <c r="F62" s="90"/>
      <c r="G62" s="89">
        <f t="shared" si="0"/>
        <v>0</v>
      </c>
      <c r="H62" s="209">
        <f t="shared" si="1"/>
        <v>0</v>
      </c>
      <c r="I62" s="209">
        <f t="shared" si="4"/>
        <v>0</v>
      </c>
      <c r="J62" s="213" t="str">
        <f t="array" ref="J62:M62">_xlfn.XLOOKUP(C62,'ESAP NEIVA FASE II UNIFICADO'!$C$6:$C$720,'ESAP NEIVA FASE II UNIFICADO'!$C$6:$F$720,"NO ESTA")</f>
        <v>CONSTRUCCIÓN MUROS ARQUITECTONICOS EXTERIORES</v>
      </c>
      <c r="K62">
        <v>0</v>
      </c>
      <c r="L62">
        <v>0</v>
      </c>
      <c r="M62">
        <v>0</v>
      </c>
      <c r="N62" s="115">
        <f t="shared" si="2"/>
        <v>0</v>
      </c>
      <c r="O62" s="146">
        <f t="shared" si="3"/>
        <v>0</v>
      </c>
      <c r="P62" s="119"/>
    </row>
    <row r="63" spans="2:16" ht="15" customHeight="1" x14ac:dyDescent="0.25">
      <c r="B63" s="86" t="s">
        <v>125</v>
      </c>
      <c r="C63" s="87" t="s">
        <v>112</v>
      </c>
      <c r="D63" s="82" t="s">
        <v>30</v>
      </c>
      <c r="E63" s="83">
        <v>0.17</v>
      </c>
      <c r="F63" s="88">
        <v>687672</v>
      </c>
      <c r="G63" s="89">
        <f t="shared" si="0"/>
        <v>116904.24</v>
      </c>
      <c r="H63" s="209">
        <f t="shared" si="1"/>
        <v>724119</v>
      </c>
      <c r="I63" s="209">
        <f t="shared" si="4"/>
        <v>123100.23</v>
      </c>
      <c r="J63" s="213" t="str">
        <f t="array" ref="J63:M63">_xlfn.XLOOKUP(C63,'ESAP NEIVA FASE II UNIFICADO'!$C$6:$C$720,'ESAP NEIVA FASE II UNIFICADO'!$C$6:$F$720,"NO ESTA")</f>
        <v>MURO EN CONCRETO DE 4000 PSI e=0.15 m Ver. Planos Tipo Muro M-2</v>
      </c>
      <c r="K63" t="str">
        <v>M3</v>
      </c>
      <c r="L63">
        <v>11.33</v>
      </c>
      <c r="M63">
        <v>821235</v>
      </c>
      <c r="N63" s="115">
        <f t="shared" si="2"/>
        <v>821235</v>
      </c>
      <c r="O63" s="146">
        <f t="shared" si="3"/>
        <v>139609.95000000001</v>
      </c>
      <c r="P63" s="119"/>
    </row>
    <row r="64" spans="2:16" ht="15" customHeight="1" x14ac:dyDescent="0.25">
      <c r="B64" s="86" t="s">
        <v>126</v>
      </c>
      <c r="C64" s="87" t="s">
        <v>114</v>
      </c>
      <c r="D64" s="82" t="s">
        <v>30</v>
      </c>
      <c r="E64" s="83">
        <v>56.08</v>
      </c>
      <c r="F64" s="88">
        <v>687672</v>
      </c>
      <c r="G64" s="89">
        <f t="shared" si="0"/>
        <v>38564645.759999998</v>
      </c>
      <c r="H64" s="209">
        <f t="shared" si="1"/>
        <v>724119</v>
      </c>
      <c r="I64" s="209">
        <f t="shared" si="4"/>
        <v>40608593.520000003</v>
      </c>
      <c r="J64" s="213" t="str">
        <f t="array" ref="J64:M64">_xlfn.XLOOKUP(C64,'ESAP NEIVA FASE II UNIFICADO'!$C$6:$C$720,'ESAP NEIVA FASE II UNIFICADO'!$C$6:$F$720,"NO ESTA")</f>
        <v>MURO EN CONCRETO DE 4000 PSI e=0.25 m Ver. Planos Tipo Muro M-3</v>
      </c>
      <c r="K64" t="str">
        <v>M3</v>
      </c>
      <c r="L64">
        <v>95.594999999999999</v>
      </c>
      <c r="M64">
        <v>821235</v>
      </c>
      <c r="N64" s="115">
        <f t="shared" si="2"/>
        <v>821235</v>
      </c>
      <c r="O64" s="146">
        <f t="shared" si="3"/>
        <v>46054858.799999997</v>
      </c>
      <c r="P64" s="119"/>
    </row>
    <row r="65" spans="2:16" ht="15" customHeight="1" x14ac:dyDescent="0.25">
      <c r="B65" s="80" t="s">
        <v>127</v>
      </c>
      <c r="C65" s="81" t="s">
        <v>128</v>
      </c>
      <c r="D65" s="82"/>
      <c r="E65" s="83"/>
      <c r="F65" s="90"/>
      <c r="G65" s="89">
        <f t="shared" si="0"/>
        <v>0</v>
      </c>
      <c r="H65" s="209">
        <f t="shared" si="1"/>
        <v>0</v>
      </c>
      <c r="I65" s="209">
        <f t="shared" si="4"/>
        <v>0</v>
      </c>
      <c r="J65" s="213" t="str">
        <f t="array" ref="J65:M65">_xlfn.XLOOKUP(C65,'ESAP NEIVA FASE II UNIFICADO'!$C$6:$C$720,'ESAP NEIVA FASE II UNIFICADO'!$C$6:$F$720,"NO ESTA")</f>
        <v>CONSTRUCCIÓN MUROS ARQUITECTONICOS PISO 1</v>
      </c>
      <c r="K65">
        <v>0</v>
      </c>
      <c r="L65">
        <v>0</v>
      </c>
      <c r="M65">
        <v>0</v>
      </c>
      <c r="N65" s="115">
        <f t="shared" si="2"/>
        <v>0</v>
      </c>
      <c r="O65" s="146">
        <f t="shared" si="3"/>
        <v>0</v>
      </c>
      <c r="P65" s="119"/>
    </row>
    <row r="66" spans="2:16" ht="15" customHeight="1" x14ac:dyDescent="0.25">
      <c r="B66" s="86" t="s">
        <v>129</v>
      </c>
      <c r="C66" s="87" t="s">
        <v>130</v>
      </c>
      <c r="D66" s="82" t="s">
        <v>13</v>
      </c>
      <c r="E66" s="83">
        <v>91.92</v>
      </c>
      <c r="F66" s="88">
        <v>105344</v>
      </c>
      <c r="G66" s="89">
        <f t="shared" si="0"/>
        <v>9683220.4800000004</v>
      </c>
      <c r="H66" s="209">
        <f t="shared" si="1"/>
        <v>110927</v>
      </c>
      <c r="I66" s="209">
        <f t="shared" si="4"/>
        <v>10196409.84</v>
      </c>
      <c r="J66" s="213" t="str">
        <f t="array" ref="J66:M66">_xlfn.XLOOKUP(C66,'ESAP NEIVA FASE II UNIFICADO'!$C$6:$C$720,'ESAP NEIVA FASE II UNIFICADO'!$C$6:$F$720,"NO ESTA")</f>
        <v>ENCHAPE DE MURO BAÑOS PORCELANATO GRIS 30*40CM</v>
      </c>
      <c r="K66" t="str">
        <v>M2</v>
      </c>
      <c r="L66">
        <v>91.915000000000006</v>
      </c>
      <c r="M66">
        <v>102358</v>
      </c>
      <c r="N66" s="115">
        <f t="shared" si="2"/>
        <v>105344</v>
      </c>
      <c r="O66" s="146">
        <f t="shared" si="3"/>
        <v>9683220.4800000004</v>
      </c>
      <c r="P66" s="119"/>
    </row>
    <row r="67" spans="2:16" ht="15" customHeight="1" x14ac:dyDescent="0.25">
      <c r="B67" s="86" t="s">
        <v>131</v>
      </c>
      <c r="C67" s="87" t="s">
        <v>112</v>
      </c>
      <c r="D67" s="82" t="s">
        <v>30</v>
      </c>
      <c r="E67" s="83">
        <v>29.67</v>
      </c>
      <c r="F67" s="88">
        <v>687672</v>
      </c>
      <c r="G67" s="89">
        <f t="shared" si="0"/>
        <v>20403228.239999998</v>
      </c>
      <c r="H67" s="209">
        <f t="shared" si="1"/>
        <v>724119</v>
      </c>
      <c r="I67" s="209">
        <f t="shared" si="4"/>
        <v>21484610.73</v>
      </c>
      <c r="J67" s="213" t="str">
        <f t="array" ref="J67:M67">_xlfn.XLOOKUP(C67,'ESAP NEIVA FASE II UNIFICADO'!$C$6:$C$720,'ESAP NEIVA FASE II UNIFICADO'!$C$6:$F$720,"NO ESTA")</f>
        <v>MURO EN CONCRETO DE 4000 PSI e=0.15 m Ver. Planos Tipo Muro M-2</v>
      </c>
      <c r="K67" t="str">
        <v>M3</v>
      </c>
      <c r="L67">
        <v>11.33</v>
      </c>
      <c r="M67">
        <v>821235</v>
      </c>
      <c r="N67" s="115">
        <f t="shared" si="2"/>
        <v>821235</v>
      </c>
      <c r="O67" s="146">
        <f t="shared" si="3"/>
        <v>24366042.450000003</v>
      </c>
      <c r="P67" s="119"/>
    </row>
    <row r="68" spans="2:16" ht="15" customHeight="1" x14ac:dyDescent="0.25">
      <c r="B68" s="86" t="s">
        <v>132</v>
      </c>
      <c r="C68" s="87" t="s">
        <v>114</v>
      </c>
      <c r="D68" s="82" t="s">
        <v>30</v>
      </c>
      <c r="E68" s="83">
        <v>8.76</v>
      </c>
      <c r="F68" s="88">
        <v>687672</v>
      </c>
      <c r="G68" s="89">
        <f t="shared" si="0"/>
        <v>6024006.7199999997</v>
      </c>
      <c r="H68" s="209">
        <f t="shared" si="1"/>
        <v>724119</v>
      </c>
      <c r="I68" s="209">
        <f t="shared" si="4"/>
        <v>6343282.4400000004</v>
      </c>
      <c r="J68" s="213" t="str">
        <f t="array" ref="J68:M68">_xlfn.XLOOKUP(C68,'ESAP NEIVA FASE II UNIFICADO'!$C$6:$C$720,'ESAP NEIVA FASE II UNIFICADO'!$C$6:$F$720,"NO ESTA")</f>
        <v>MURO EN CONCRETO DE 4000 PSI e=0.25 m Ver. Planos Tipo Muro M-3</v>
      </c>
      <c r="K68" t="str">
        <v>M3</v>
      </c>
      <c r="L68">
        <v>95.594999999999999</v>
      </c>
      <c r="M68">
        <v>821235</v>
      </c>
      <c r="N68" s="115">
        <f t="shared" si="2"/>
        <v>821235</v>
      </c>
      <c r="O68" s="146">
        <f t="shared" si="3"/>
        <v>7194018.5999999996</v>
      </c>
      <c r="P68" s="119"/>
    </row>
    <row r="69" spans="2:16" ht="15" customHeight="1" x14ac:dyDescent="0.25">
      <c r="B69" s="86" t="s">
        <v>133</v>
      </c>
      <c r="C69" s="87" t="s">
        <v>118</v>
      </c>
      <c r="D69" s="82" t="s">
        <v>134</v>
      </c>
      <c r="E69" s="83">
        <v>54.4</v>
      </c>
      <c r="F69" s="88">
        <v>687672</v>
      </c>
      <c r="G69" s="89">
        <f t="shared" si="0"/>
        <v>37409356.799999997</v>
      </c>
      <c r="H69" s="209">
        <f t="shared" si="1"/>
        <v>724119</v>
      </c>
      <c r="I69" s="209">
        <f t="shared" si="4"/>
        <v>39392073.600000001</v>
      </c>
      <c r="J69" s="213" t="str">
        <f t="array" ref="J69:M69">_xlfn.XLOOKUP(C69,'ESAP NEIVA FASE II UNIFICADO'!$C$6:$C$720,'ESAP NEIVA FASE II UNIFICADO'!$C$6:$F$720,"NO ESTA")</f>
        <v>MURO EN CONCRETO DE 4000 PSI e=0.40 m Ver. Planos Tipo Muro M-5</v>
      </c>
      <c r="K69" t="str">
        <v>M3</v>
      </c>
      <c r="L69">
        <v>80.484999999999999</v>
      </c>
      <c r="M69">
        <v>821235</v>
      </c>
      <c r="N69" s="115">
        <f t="shared" si="2"/>
        <v>821235</v>
      </c>
      <c r="O69" s="146">
        <f t="shared" si="3"/>
        <v>44675184</v>
      </c>
      <c r="P69" s="119"/>
    </row>
    <row r="70" spans="2:16" ht="23.45" customHeight="1" x14ac:dyDescent="0.25">
      <c r="B70" s="86" t="s">
        <v>135</v>
      </c>
      <c r="C70" s="87" t="s">
        <v>120</v>
      </c>
      <c r="D70" s="82" t="s">
        <v>13</v>
      </c>
      <c r="E70" s="83">
        <v>204.57</v>
      </c>
      <c r="F70" s="88">
        <v>146012</v>
      </c>
      <c r="G70" s="89">
        <f t="shared" ref="G70:G133" si="5">ROUND(+F70*E70,2)</f>
        <v>29869674.84</v>
      </c>
      <c r="H70" s="209">
        <f t="shared" ref="H70:H133" si="6">+ROUND(F70*(1+$H$4),0)</f>
        <v>153751</v>
      </c>
      <c r="I70" s="209">
        <f t="shared" si="4"/>
        <v>31452842.07</v>
      </c>
      <c r="J70" s="213" t="str">
        <f t="array" ref="J70:M70">_xlfn.XLOOKUP(C70,'ESAP NEIVA FASE II UNIFICADO'!$C$6:$C$720,'ESAP NEIVA FASE II UNIFICADO'!$C$6:$F$720,"NO ESTA")</f>
        <v>MURO EN LADRILLO GRAN FORMATO e= 0.12 m Ref. Tierra Ver. Planos Tipo Muro M-6</v>
      </c>
      <c r="K70" t="str">
        <v>M2</v>
      </c>
      <c r="L70">
        <v>79.69</v>
      </c>
      <c r="M70">
        <v>141317</v>
      </c>
      <c r="N70" s="115">
        <f t="shared" ref="N70:N133" si="7">MAX(M70,F70)</f>
        <v>146012</v>
      </c>
      <c r="O70" s="146">
        <f t="shared" ref="O70:O133" si="8">N70*E70</f>
        <v>29869674.84</v>
      </c>
      <c r="P70" s="119"/>
    </row>
    <row r="71" spans="2:16" ht="31.15" customHeight="1" x14ac:dyDescent="0.25">
      <c r="B71" s="86" t="s">
        <v>136</v>
      </c>
      <c r="C71" s="87" t="s">
        <v>122</v>
      </c>
      <c r="D71" s="82" t="s">
        <v>13</v>
      </c>
      <c r="E71" s="83">
        <v>76.38</v>
      </c>
      <c r="F71" s="88">
        <v>292026</v>
      </c>
      <c r="G71" s="89">
        <f t="shared" si="5"/>
        <v>22304945.879999999</v>
      </c>
      <c r="H71" s="209">
        <f t="shared" si="6"/>
        <v>307503</v>
      </c>
      <c r="I71" s="209">
        <f t="shared" ref="I71:I134" si="9">ROUND(H71*E71,2)</f>
        <v>23487079.140000001</v>
      </c>
      <c r="J71" s="213" t="str">
        <f t="array" ref="J71:M71">_xlfn.XLOOKUP(C71,'ESAP NEIVA FASE II UNIFICADO'!$C$6:$C$720,'ESAP NEIVA FASE II UNIFICADO'!$C$6:$F$720,"NO ESTA")</f>
        <v xml:space="preserve">MURO EN LADRILLO GRAN FORMATO e= 0.25 m Ref. Tierra Ver. Planos Tipo Muro M-7 </v>
      </c>
      <c r="K71" t="str">
        <v>M2</v>
      </c>
      <c r="L71">
        <v>21.32</v>
      </c>
      <c r="M71">
        <v>186538</v>
      </c>
      <c r="N71" s="115">
        <f t="shared" si="7"/>
        <v>292026</v>
      </c>
      <c r="O71" s="146">
        <f t="shared" si="8"/>
        <v>22304945.879999999</v>
      </c>
      <c r="P71" s="119"/>
    </row>
    <row r="72" spans="2:16" ht="15" customHeight="1" x14ac:dyDescent="0.25">
      <c r="B72" s="80" t="s">
        <v>137</v>
      </c>
      <c r="C72" s="81" t="s">
        <v>138</v>
      </c>
      <c r="D72" s="82"/>
      <c r="E72" s="83"/>
      <c r="F72" s="90"/>
      <c r="G72" s="89">
        <f t="shared" si="5"/>
        <v>0</v>
      </c>
      <c r="H72" s="209">
        <f t="shared" si="6"/>
        <v>0</v>
      </c>
      <c r="I72" s="209">
        <f t="shared" si="9"/>
        <v>0</v>
      </c>
      <c r="J72" s="213" t="str">
        <f t="array" ref="J72:M72">_xlfn.XLOOKUP(C72,'ESAP NEIVA FASE II UNIFICADO'!$C$6:$C$720,'ESAP NEIVA FASE II UNIFICADO'!$C$6:$F$720,"NO ESTA")</f>
        <v>CONSTRUCCIÓN MUROS ARQUITECTONICOS PISO 2</v>
      </c>
      <c r="K72">
        <v>0</v>
      </c>
      <c r="L72">
        <v>0</v>
      </c>
      <c r="M72">
        <v>0</v>
      </c>
      <c r="N72" s="115">
        <f t="shared" si="7"/>
        <v>0</v>
      </c>
      <c r="O72" s="146">
        <f t="shared" si="8"/>
        <v>0</v>
      </c>
      <c r="P72" s="119"/>
    </row>
    <row r="73" spans="2:16" ht="15" customHeight="1" x14ac:dyDescent="0.25">
      <c r="B73" s="86" t="s">
        <v>139</v>
      </c>
      <c r="C73" s="87" t="s">
        <v>130</v>
      </c>
      <c r="D73" s="82" t="s">
        <v>13</v>
      </c>
      <c r="E73" s="83">
        <v>89.61</v>
      </c>
      <c r="F73" s="88">
        <v>105344</v>
      </c>
      <c r="G73" s="89">
        <f t="shared" si="5"/>
        <v>9439875.8399999999</v>
      </c>
      <c r="H73" s="209">
        <f t="shared" si="6"/>
        <v>110927</v>
      </c>
      <c r="I73" s="209">
        <f t="shared" si="9"/>
        <v>9940168.4700000007</v>
      </c>
      <c r="J73" s="213" t="str">
        <f t="array" ref="J73:M73">_xlfn.XLOOKUP(C73,'ESAP NEIVA FASE II UNIFICADO'!$C$6:$C$720,'ESAP NEIVA FASE II UNIFICADO'!$C$6:$F$720,"NO ESTA")</f>
        <v>ENCHAPE DE MURO BAÑOS PORCELANATO GRIS 30*40CM</v>
      </c>
      <c r="K73" t="str">
        <v>M2</v>
      </c>
      <c r="L73">
        <v>91.915000000000006</v>
      </c>
      <c r="M73">
        <v>102358</v>
      </c>
      <c r="N73" s="115">
        <f t="shared" si="7"/>
        <v>105344</v>
      </c>
      <c r="O73" s="146">
        <f t="shared" si="8"/>
        <v>9439875.8399999999</v>
      </c>
      <c r="P73" s="119"/>
    </row>
    <row r="74" spans="2:16" ht="15" customHeight="1" x14ac:dyDescent="0.25">
      <c r="B74" s="86" t="s">
        <v>140</v>
      </c>
      <c r="C74" s="87" t="s">
        <v>110</v>
      </c>
      <c r="D74" s="82" t="s">
        <v>30</v>
      </c>
      <c r="E74" s="83">
        <v>1.1299999999999999</v>
      </c>
      <c r="F74" s="88">
        <v>687672</v>
      </c>
      <c r="G74" s="89">
        <f t="shared" si="5"/>
        <v>777069.36</v>
      </c>
      <c r="H74" s="209">
        <f t="shared" si="6"/>
        <v>724119</v>
      </c>
      <c r="I74" s="209">
        <f t="shared" si="9"/>
        <v>818254.47</v>
      </c>
      <c r="J74" s="213" t="str">
        <f t="array" ref="J74:M74">_xlfn.XLOOKUP(C74,'ESAP NEIVA FASE II UNIFICADO'!$C$6:$C$720,'ESAP NEIVA FASE II UNIFICADO'!$C$6:$F$720,"NO ESTA")</f>
        <v>MURO EN CONCRETO DE 4000 PSI e=0.12 m Ver. Planos Tipo Muro M-1</v>
      </c>
      <c r="K74" t="str">
        <v>M3</v>
      </c>
      <c r="L74">
        <v>0</v>
      </c>
      <c r="M74">
        <v>821235</v>
      </c>
      <c r="N74" s="115">
        <f t="shared" si="7"/>
        <v>821235</v>
      </c>
      <c r="O74" s="146">
        <f t="shared" si="8"/>
        <v>927995.54999999993</v>
      </c>
      <c r="P74" s="119"/>
    </row>
    <row r="75" spans="2:16" ht="15" customHeight="1" x14ac:dyDescent="0.25">
      <c r="B75" s="86" t="s">
        <v>141</v>
      </c>
      <c r="C75" s="87" t="s">
        <v>112</v>
      </c>
      <c r="D75" s="82" t="s">
        <v>30</v>
      </c>
      <c r="E75" s="83">
        <v>31.71</v>
      </c>
      <c r="F75" s="88">
        <v>687672</v>
      </c>
      <c r="G75" s="89">
        <f t="shared" si="5"/>
        <v>21806079.120000001</v>
      </c>
      <c r="H75" s="209">
        <f t="shared" si="6"/>
        <v>724119</v>
      </c>
      <c r="I75" s="209">
        <f t="shared" si="9"/>
        <v>22961813.489999998</v>
      </c>
      <c r="J75" s="213" t="str">
        <f t="array" ref="J75:M75">_xlfn.XLOOKUP(C75,'ESAP NEIVA FASE II UNIFICADO'!$C$6:$C$720,'ESAP NEIVA FASE II UNIFICADO'!$C$6:$F$720,"NO ESTA")</f>
        <v>MURO EN CONCRETO DE 4000 PSI e=0.15 m Ver. Planos Tipo Muro M-2</v>
      </c>
      <c r="K75" t="str">
        <v>M3</v>
      </c>
      <c r="L75">
        <v>11.33</v>
      </c>
      <c r="M75">
        <v>821235</v>
      </c>
      <c r="N75" s="115">
        <f t="shared" si="7"/>
        <v>821235</v>
      </c>
      <c r="O75" s="146">
        <f t="shared" si="8"/>
        <v>26041361.850000001</v>
      </c>
      <c r="P75" s="119"/>
    </row>
    <row r="76" spans="2:16" ht="15" customHeight="1" x14ac:dyDescent="0.25">
      <c r="B76" s="86" t="s">
        <v>142</v>
      </c>
      <c r="C76" s="87" t="s">
        <v>114</v>
      </c>
      <c r="D76" s="82" t="s">
        <v>30</v>
      </c>
      <c r="E76" s="83">
        <v>77.67</v>
      </c>
      <c r="F76" s="88">
        <v>687672</v>
      </c>
      <c r="G76" s="89">
        <f t="shared" si="5"/>
        <v>53411484.240000002</v>
      </c>
      <c r="H76" s="209">
        <f t="shared" si="6"/>
        <v>724119</v>
      </c>
      <c r="I76" s="209">
        <f t="shared" si="9"/>
        <v>56242322.729999997</v>
      </c>
      <c r="J76" s="213" t="str">
        <f t="array" ref="J76:M76">_xlfn.XLOOKUP(C76,'ESAP NEIVA FASE II UNIFICADO'!$C$6:$C$720,'ESAP NEIVA FASE II UNIFICADO'!$C$6:$F$720,"NO ESTA")</f>
        <v>MURO EN CONCRETO DE 4000 PSI e=0.25 m Ver. Planos Tipo Muro M-3</v>
      </c>
      <c r="K76" t="str">
        <v>M3</v>
      </c>
      <c r="L76">
        <v>95.594999999999999</v>
      </c>
      <c r="M76">
        <v>821235</v>
      </c>
      <c r="N76" s="115">
        <f t="shared" si="7"/>
        <v>821235</v>
      </c>
      <c r="O76" s="146">
        <f t="shared" si="8"/>
        <v>63785322.450000003</v>
      </c>
      <c r="P76" s="119"/>
    </row>
    <row r="77" spans="2:16" ht="15" customHeight="1" x14ac:dyDescent="0.25">
      <c r="B77" s="86" t="s">
        <v>143</v>
      </c>
      <c r="C77" s="87" t="s">
        <v>120</v>
      </c>
      <c r="D77" s="82" t="s">
        <v>13</v>
      </c>
      <c r="E77" s="83">
        <v>139.68</v>
      </c>
      <c r="F77" s="88">
        <v>146012</v>
      </c>
      <c r="G77" s="89">
        <f t="shared" si="5"/>
        <v>20394956.16</v>
      </c>
      <c r="H77" s="209">
        <f t="shared" si="6"/>
        <v>153751</v>
      </c>
      <c r="I77" s="209">
        <f t="shared" si="9"/>
        <v>21475939.68</v>
      </c>
      <c r="J77" s="213" t="str">
        <f t="array" ref="J77:M77">_xlfn.XLOOKUP(C77,'ESAP NEIVA FASE II UNIFICADO'!$C$6:$C$720,'ESAP NEIVA FASE II UNIFICADO'!$C$6:$F$720,"NO ESTA")</f>
        <v>MURO EN LADRILLO GRAN FORMATO e= 0.12 m Ref. Tierra Ver. Planos Tipo Muro M-6</v>
      </c>
      <c r="K77" t="str">
        <v>M2</v>
      </c>
      <c r="L77">
        <v>79.69</v>
      </c>
      <c r="M77">
        <v>141317</v>
      </c>
      <c r="N77" s="115">
        <f t="shared" si="7"/>
        <v>146012</v>
      </c>
      <c r="O77" s="146">
        <f t="shared" si="8"/>
        <v>20394956.16</v>
      </c>
      <c r="P77" s="119"/>
    </row>
    <row r="78" spans="2:16" ht="15" customHeight="1" x14ac:dyDescent="0.25">
      <c r="B78" s="86" t="s">
        <v>144</v>
      </c>
      <c r="C78" s="87" t="s">
        <v>122</v>
      </c>
      <c r="D78" s="82" t="s">
        <v>13</v>
      </c>
      <c r="E78" s="83">
        <v>124.47</v>
      </c>
      <c r="F78" s="88">
        <v>292026</v>
      </c>
      <c r="G78" s="89">
        <f t="shared" si="5"/>
        <v>36348476.219999999</v>
      </c>
      <c r="H78" s="209">
        <f t="shared" si="6"/>
        <v>307503</v>
      </c>
      <c r="I78" s="209">
        <f t="shared" si="9"/>
        <v>38274898.409999996</v>
      </c>
      <c r="J78" s="213" t="str">
        <f t="array" ref="J78:M78">_xlfn.XLOOKUP(C78,'ESAP NEIVA FASE II UNIFICADO'!$C$6:$C$720,'ESAP NEIVA FASE II UNIFICADO'!$C$6:$F$720,"NO ESTA")</f>
        <v xml:space="preserve">MURO EN LADRILLO GRAN FORMATO e= 0.25 m Ref. Tierra Ver. Planos Tipo Muro M-7 </v>
      </c>
      <c r="K78" t="str">
        <v>M2</v>
      </c>
      <c r="L78">
        <v>21.32</v>
      </c>
      <c r="M78">
        <v>186538</v>
      </c>
      <c r="N78" s="115">
        <f t="shared" si="7"/>
        <v>292026</v>
      </c>
      <c r="O78" s="146">
        <f t="shared" si="8"/>
        <v>36348476.219999999</v>
      </c>
      <c r="P78" s="119"/>
    </row>
    <row r="79" spans="2:16" ht="12.75" customHeight="1" x14ac:dyDescent="0.25">
      <c r="B79" s="74">
        <v>6</v>
      </c>
      <c r="C79" s="75" t="s">
        <v>145</v>
      </c>
      <c r="D79" s="76"/>
      <c r="E79" s="77"/>
      <c r="F79" s="78"/>
      <c r="G79" s="89">
        <f t="shared" si="5"/>
        <v>0</v>
      </c>
      <c r="H79" s="209">
        <f t="shared" si="6"/>
        <v>0</v>
      </c>
      <c r="I79" s="209">
        <f t="shared" si="9"/>
        <v>0</v>
      </c>
      <c r="J79" s="213" t="str">
        <f t="array" ref="J79:M79">_xlfn.XLOOKUP(C79,'ESAP NEIVA FASE II UNIFICADO'!$C$6:$C$720,'ESAP NEIVA FASE II UNIFICADO'!$C$6:$F$720,"NO ESTA")</f>
        <v>ACABADOS DE PISOS</v>
      </c>
      <c r="K79">
        <v>0</v>
      </c>
      <c r="L79">
        <v>0</v>
      </c>
      <c r="M79">
        <v>0</v>
      </c>
      <c r="N79" s="115">
        <f t="shared" si="7"/>
        <v>0</v>
      </c>
      <c r="O79" s="146">
        <f t="shared" si="8"/>
        <v>0</v>
      </c>
      <c r="P79" s="119"/>
    </row>
    <row r="80" spans="2:16" ht="15" customHeight="1" x14ac:dyDescent="0.25">
      <c r="B80" s="80" t="s">
        <v>146</v>
      </c>
      <c r="C80" s="81" t="s">
        <v>147</v>
      </c>
      <c r="D80" s="82"/>
      <c r="E80" s="83"/>
      <c r="F80" s="90"/>
      <c r="G80" s="89">
        <f t="shared" si="5"/>
        <v>0</v>
      </c>
      <c r="H80" s="209">
        <f t="shared" si="6"/>
        <v>0</v>
      </c>
      <c r="I80" s="209">
        <f t="shared" si="9"/>
        <v>0</v>
      </c>
      <c r="J80" s="213" t="str">
        <f t="array" ref="J80:M80">_xlfn.XLOOKUP(C80,'ESAP NEIVA FASE II UNIFICADO'!$C$6:$C$720,'ESAP NEIVA FASE II UNIFICADO'!$C$6:$F$720,"NO ESTA")</f>
        <v>SUMINISTRO E INSTALACIÓN PISOS SEMISOTANO</v>
      </c>
      <c r="K80">
        <v>0</v>
      </c>
      <c r="L80">
        <v>0</v>
      </c>
      <c r="M80">
        <v>0</v>
      </c>
      <c r="N80" s="115">
        <f t="shared" si="7"/>
        <v>0</v>
      </c>
      <c r="O80" s="146">
        <f t="shared" si="8"/>
        <v>0</v>
      </c>
      <c r="P80" s="119"/>
    </row>
    <row r="81" spans="2:16" ht="23.25" customHeight="1" x14ac:dyDescent="0.25">
      <c r="B81" s="86" t="s">
        <v>148</v>
      </c>
      <c r="C81" s="87" t="s">
        <v>149</v>
      </c>
      <c r="D81" s="82" t="s">
        <v>13</v>
      </c>
      <c r="E81" s="83">
        <v>457.19</v>
      </c>
      <c r="F81" s="88">
        <v>89579</v>
      </c>
      <c r="G81" s="89">
        <f t="shared" si="5"/>
        <v>40954623.009999998</v>
      </c>
      <c r="H81" s="209">
        <f t="shared" si="6"/>
        <v>94327</v>
      </c>
      <c r="I81" s="209">
        <f t="shared" si="9"/>
        <v>43125361.130000003</v>
      </c>
      <c r="J81" s="213" t="str">
        <f t="array" ref="J81:M81">_xlfn.XLOOKUP(C81,'ESAP NEIVA FASE II UNIFICADO'!$C$6:$C$720,'ESAP NEIVA FASE II UNIFICADO'!$C$6:$F$720,"NO ESTA")</f>
        <v xml:space="preserve">ANDEN INTERNO EN CONCRETO DE 2500 PSI CON ACABADO CEMENTO PULIDO Ref. Planos 03318 </v>
      </c>
      <c r="K81" t="str">
        <v>M2</v>
      </c>
      <c r="L81">
        <v>0</v>
      </c>
      <c r="M81">
        <v>89287</v>
      </c>
      <c r="N81" s="115">
        <f t="shared" si="7"/>
        <v>89579</v>
      </c>
      <c r="O81" s="146">
        <f t="shared" si="8"/>
        <v>40954623.009999998</v>
      </c>
      <c r="P81" s="119"/>
    </row>
    <row r="82" spans="2:16" ht="15" customHeight="1" x14ac:dyDescent="0.25">
      <c r="B82" s="86" t="s">
        <v>150</v>
      </c>
      <c r="C82" s="87" t="s">
        <v>151</v>
      </c>
      <c r="D82" s="82" t="s">
        <v>13</v>
      </c>
      <c r="E82" s="83">
        <v>1963.08</v>
      </c>
      <c r="F82" s="88">
        <v>7314</v>
      </c>
      <c r="G82" s="89">
        <f t="shared" si="5"/>
        <v>14357967.119999999</v>
      </c>
      <c r="H82" s="209">
        <f t="shared" si="6"/>
        <v>7702</v>
      </c>
      <c r="I82" s="209">
        <f t="shared" si="9"/>
        <v>15119642.16</v>
      </c>
      <c r="J82" s="213" t="str">
        <f t="array" ref="J82:M82">_xlfn.XLOOKUP(C82,'ESAP NEIVA FASE II UNIFICADO'!$C$6:$C$720,'ESAP NEIVA FASE II UNIFICADO'!$C$6:$F$720,"NO ESTA")</f>
        <v>ACABADO DE PISO DE CONCRETO GRIS PULIDO   Ref. Planos 09650-1</v>
      </c>
      <c r="K82" t="str">
        <v>M2</v>
      </c>
      <c r="L82">
        <v>0</v>
      </c>
      <c r="M82">
        <v>8211</v>
      </c>
      <c r="N82" s="115">
        <f t="shared" si="7"/>
        <v>8211</v>
      </c>
      <c r="O82" s="146">
        <f t="shared" si="8"/>
        <v>16118849.879999999</v>
      </c>
      <c r="P82" s="119"/>
    </row>
    <row r="83" spans="2:16" ht="22.5" customHeight="1" x14ac:dyDescent="0.25">
      <c r="B83" s="86" t="s">
        <v>152</v>
      </c>
      <c r="C83" s="147" t="s">
        <v>153</v>
      </c>
      <c r="D83" s="82" t="s">
        <v>13</v>
      </c>
      <c r="E83" s="83">
        <v>1.4</v>
      </c>
      <c r="F83" s="88">
        <v>102488</v>
      </c>
      <c r="G83" s="89">
        <f t="shared" si="5"/>
        <v>143483.20000000001</v>
      </c>
      <c r="H83" s="209">
        <f t="shared" si="6"/>
        <v>107920</v>
      </c>
      <c r="I83" s="209">
        <f t="shared" si="9"/>
        <v>151088</v>
      </c>
      <c r="J83" s="213" t="str">
        <f t="array" ref="J83:M83">_xlfn.XLOOKUP(C83,'ESAP NEIVA FASE II UNIFICADO'!$C$6:$C$720,'ESAP NEIVA FASE II UNIFICADO'!$C$6:$F$720,"NO ESTA")</f>
        <v>SUMINISTRO E INSTALACION PISO TABLETA ZONAS COMUNES Incluye ALISTADO Referencia  ALFA 30 X 30 HUILA Ref. Planos 09610.1</v>
      </c>
      <c r="K83" t="str">
        <v>M2</v>
      </c>
      <c r="L83">
        <v>0</v>
      </c>
      <c r="M83">
        <v>108210</v>
      </c>
      <c r="N83" s="115">
        <f t="shared" si="7"/>
        <v>108210</v>
      </c>
      <c r="O83" s="146">
        <f t="shared" si="8"/>
        <v>151494</v>
      </c>
      <c r="P83" s="119"/>
    </row>
    <row r="84" spans="2:16" ht="15" customHeight="1" x14ac:dyDescent="0.25">
      <c r="B84" s="80" t="s">
        <v>154</v>
      </c>
      <c r="C84" s="81" t="s">
        <v>155</v>
      </c>
      <c r="D84" s="82"/>
      <c r="E84" s="83"/>
      <c r="F84" s="90"/>
      <c r="G84" s="89">
        <f t="shared" si="5"/>
        <v>0</v>
      </c>
      <c r="H84" s="209">
        <f t="shared" si="6"/>
        <v>0</v>
      </c>
      <c r="I84" s="209">
        <f t="shared" si="9"/>
        <v>0</v>
      </c>
      <c r="J84" s="213" t="str">
        <f t="array" ref="J84:M84">_xlfn.XLOOKUP(C84,'ESAP NEIVA FASE II UNIFICADO'!$C$6:$C$720,'ESAP NEIVA FASE II UNIFICADO'!$C$6:$F$720,"NO ESTA")</f>
        <v>SUMINISTRO E INSTALACIÓN DE PISOS ESPACIO PUBLICO</v>
      </c>
      <c r="K84">
        <v>0</v>
      </c>
      <c r="L84">
        <v>0</v>
      </c>
      <c r="M84">
        <v>0</v>
      </c>
      <c r="N84" s="115">
        <f t="shared" si="7"/>
        <v>0</v>
      </c>
      <c r="O84" s="146">
        <f t="shared" si="8"/>
        <v>0</v>
      </c>
      <c r="P84" s="119"/>
    </row>
    <row r="85" spans="2:16" ht="36.75" customHeight="1" x14ac:dyDescent="0.25">
      <c r="B85" s="86" t="s">
        <v>156</v>
      </c>
      <c r="C85" s="147" t="s">
        <v>157</v>
      </c>
      <c r="D85" s="82" t="s">
        <v>13</v>
      </c>
      <c r="E85" s="83">
        <v>45.8</v>
      </c>
      <c r="F85" s="88">
        <v>84865</v>
      </c>
      <c r="G85" s="89">
        <f t="shared" si="5"/>
        <v>3886817</v>
      </c>
      <c r="H85" s="209">
        <f t="shared" si="6"/>
        <v>89363</v>
      </c>
      <c r="I85" s="209">
        <f t="shared" si="9"/>
        <v>4092825.4</v>
      </c>
      <c r="J85" s="213" t="str">
        <f t="array" ref="J85:M85">_xlfn.XLOOKUP(C85,'ESAP NEIVA FASE II UNIFICADO'!$C$6:$C$720,'ESAP NEIVA FASE II UNIFICADO'!$C$6:$F$720,"NO ESTA")</f>
        <v>SUMINISTRO E INSTALACION ANDEN EN LOSETA PREFABRICADA Referencia A50  GRIS 40 X 40 incluye alistadio - (Especificación Cartilla Andenes IDU-2011)</v>
      </c>
      <c r="K85" t="str">
        <v>M2</v>
      </c>
      <c r="L85">
        <v>1832.0720000000001</v>
      </c>
      <c r="M85">
        <v>91697</v>
      </c>
      <c r="N85" s="115">
        <f t="shared" si="7"/>
        <v>91697</v>
      </c>
      <c r="O85" s="146">
        <f t="shared" si="8"/>
        <v>4199722.5999999996</v>
      </c>
      <c r="P85" s="119"/>
    </row>
    <row r="86" spans="2:16" ht="21.75" customHeight="1" x14ac:dyDescent="0.25">
      <c r="B86" s="86" t="s">
        <v>158</v>
      </c>
      <c r="C86" s="87" t="s">
        <v>159</v>
      </c>
      <c r="D86" s="82" t="s">
        <v>13</v>
      </c>
      <c r="E86" s="83">
        <v>4.59</v>
      </c>
      <c r="F86" s="88">
        <v>89130</v>
      </c>
      <c r="G86" s="89">
        <f t="shared" si="5"/>
        <v>409106.7</v>
      </c>
      <c r="H86" s="209">
        <f t="shared" si="6"/>
        <v>93854</v>
      </c>
      <c r="I86" s="209">
        <f t="shared" si="9"/>
        <v>430789.86</v>
      </c>
      <c r="J86" s="213" t="str">
        <f t="array" ref="J86:M86">_xlfn.XLOOKUP(C86,'ESAP NEIVA FASE II UNIFICADO'!$C$6:$C$720,'ESAP NEIVA FASE II UNIFICADO'!$C$6:$F$720,"NO ESTA")</f>
        <v>SUMINISTRO E INSTALACION JARDIN Ref. Planos A2900 (Incluye material aislante, impermeabilizante, tierra, abonos y plantas ornamentales)</v>
      </c>
      <c r="K86" t="str">
        <v>M2</v>
      </c>
      <c r="L86">
        <v>183.66400000000002</v>
      </c>
      <c r="M86">
        <v>96306</v>
      </c>
      <c r="N86" s="115">
        <f t="shared" si="7"/>
        <v>96306</v>
      </c>
      <c r="O86" s="146">
        <f t="shared" si="8"/>
        <v>442044.54</v>
      </c>
      <c r="P86" s="119"/>
    </row>
    <row r="87" spans="2:16" ht="15" customHeight="1" x14ac:dyDescent="0.25">
      <c r="B87" s="80" t="s">
        <v>160</v>
      </c>
      <c r="C87" s="81" t="s">
        <v>161</v>
      </c>
      <c r="D87" s="82"/>
      <c r="E87" s="83"/>
      <c r="F87" s="90"/>
      <c r="G87" s="89">
        <f t="shared" si="5"/>
        <v>0</v>
      </c>
      <c r="H87" s="209">
        <f t="shared" si="6"/>
        <v>0</v>
      </c>
      <c r="I87" s="209">
        <f t="shared" si="9"/>
        <v>0</v>
      </c>
      <c r="J87" s="213" t="str">
        <f t="array" ref="J87:M87">_xlfn.XLOOKUP(C87,'ESAP NEIVA FASE II UNIFICADO'!$C$6:$C$720,'ESAP NEIVA FASE II UNIFICADO'!$C$6:$F$720,"NO ESTA")</f>
        <v>SUMINISTRO E INSTALACIÓN DE PISOS PISO 1</v>
      </c>
      <c r="K87">
        <v>0</v>
      </c>
      <c r="L87">
        <v>0</v>
      </c>
      <c r="M87">
        <v>0</v>
      </c>
      <c r="N87" s="115">
        <f t="shared" si="7"/>
        <v>0</v>
      </c>
      <c r="O87" s="146">
        <f t="shared" si="8"/>
        <v>0</v>
      </c>
      <c r="P87" s="119"/>
    </row>
    <row r="88" spans="2:16" ht="27" customHeight="1" x14ac:dyDescent="0.25">
      <c r="B88" s="86" t="s">
        <v>162</v>
      </c>
      <c r="C88" s="147" t="s">
        <v>153</v>
      </c>
      <c r="D88" s="82" t="s">
        <v>13</v>
      </c>
      <c r="E88" s="83">
        <v>718.89</v>
      </c>
      <c r="F88" s="88">
        <v>102488</v>
      </c>
      <c r="G88" s="89">
        <f t="shared" si="5"/>
        <v>73677598.319999993</v>
      </c>
      <c r="H88" s="209">
        <f t="shared" si="6"/>
        <v>107920</v>
      </c>
      <c r="I88" s="209">
        <f t="shared" si="9"/>
        <v>77582608.799999997</v>
      </c>
      <c r="J88" s="213" t="str">
        <f t="array" ref="J88:M88">_xlfn.XLOOKUP(C88,'ESAP NEIVA FASE II UNIFICADO'!$C$6:$C$720,'ESAP NEIVA FASE II UNIFICADO'!$C$6:$F$720,"NO ESTA")</f>
        <v>SUMINISTRO E INSTALACION PISO TABLETA ZONAS COMUNES Incluye ALISTADO Referencia  ALFA 30 X 30 HUILA Ref. Planos 09610.1</v>
      </c>
      <c r="K88" t="str">
        <v>M2</v>
      </c>
      <c r="L88">
        <v>0</v>
      </c>
      <c r="M88">
        <v>108210</v>
      </c>
      <c r="N88" s="115">
        <f t="shared" si="7"/>
        <v>108210</v>
      </c>
      <c r="O88" s="146">
        <f t="shared" si="8"/>
        <v>77791086.900000006</v>
      </c>
      <c r="P88" s="119"/>
    </row>
    <row r="89" spans="2:16" ht="25.5" customHeight="1" x14ac:dyDescent="0.25">
      <c r="B89" s="86" t="s">
        <v>163</v>
      </c>
      <c r="C89" s="149" t="s">
        <v>164</v>
      </c>
      <c r="D89" s="82" t="s">
        <v>13</v>
      </c>
      <c r="E89" s="83">
        <v>576.27</v>
      </c>
      <c r="F89" s="88">
        <v>67225</v>
      </c>
      <c r="G89" s="89">
        <f t="shared" si="5"/>
        <v>38739750.75</v>
      </c>
      <c r="H89" s="209">
        <f t="shared" si="6"/>
        <v>70788</v>
      </c>
      <c r="I89" s="209">
        <f t="shared" si="9"/>
        <v>40793000.759999998</v>
      </c>
      <c r="J89" s="213" t="str">
        <f t="array" ref="J89:M89">_xlfn.XLOOKUP(C89,'ESAP NEIVA FASE II UNIFICADO'!$C$6:$C$720,'ESAP NEIVA FASE II UNIFICADO'!$C$6:$F$720,"NO ESTA")</f>
        <v>SUMINISTRO E INSTALACION PISO LOSETA PREFABRICADA GRIS Referencia A30 DE 40X60 - (Especificación Cartilla Andenes IDU-2011)  Ref. Planos 09620.8</v>
      </c>
      <c r="K89" t="str">
        <v>M2</v>
      </c>
      <c r="L89">
        <v>230.83</v>
      </c>
      <c r="M89">
        <v>70614</v>
      </c>
      <c r="N89" s="115">
        <f t="shared" si="7"/>
        <v>70614</v>
      </c>
      <c r="O89" s="146">
        <f t="shared" si="8"/>
        <v>40692729.780000001</v>
      </c>
      <c r="P89" s="119"/>
    </row>
    <row r="90" spans="2:16" ht="15" customHeight="1" x14ac:dyDescent="0.25">
      <c r="B90" s="86" t="s">
        <v>165</v>
      </c>
      <c r="C90" s="87" t="s">
        <v>166</v>
      </c>
      <c r="D90" s="82" t="s">
        <v>13</v>
      </c>
      <c r="E90" s="83">
        <v>33.11</v>
      </c>
      <c r="F90" s="88">
        <v>45103</v>
      </c>
      <c r="G90" s="89">
        <f t="shared" si="5"/>
        <v>1493360.33</v>
      </c>
      <c r="H90" s="209">
        <f t="shared" si="6"/>
        <v>47493</v>
      </c>
      <c r="I90" s="209">
        <f t="shared" si="9"/>
        <v>1572493.23</v>
      </c>
      <c r="J90" s="213" t="str">
        <f t="array" ref="J90:M90">_xlfn.XLOOKUP(C90,'ESAP NEIVA FASE II UNIFICADO'!$C$6:$C$720,'ESAP NEIVA FASE II UNIFICADO'!$C$6:$F$720,"NO ESTA")</f>
        <v>SUMINISTRO E INSTALACION PISO EN VINILO GRIS TARIMA Ref. Planos 09650.1</v>
      </c>
      <c r="K90" t="str">
        <v>M2</v>
      </c>
      <c r="L90">
        <v>11.069999999999999</v>
      </c>
      <c r="M90">
        <v>47066</v>
      </c>
      <c r="N90" s="115">
        <f t="shared" si="7"/>
        <v>47066</v>
      </c>
      <c r="O90" s="146">
        <f t="shared" si="8"/>
        <v>1558355.26</v>
      </c>
      <c r="P90" s="119"/>
    </row>
    <row r="91" spans="2:16" ht="22.5" customHeight="1" x14ac:dyDescent="0.25">
      <c r="B91" s="86" t="s">
        <v>167</v>
      </c>
      <c r="C91" s="87" t="s">
        <v>168</v>
      </c>
      <c r="D91" s="82" t="s">
        <v>13</v>
      </c>
      <c r="E91" s="83">
        <v>297.04000000000002</v>
      </c>
      <c r="F91" s="88">
        <v>97000</v>
      </c>
      <c r="G91" s="89">
        <f t="shared" si="5"/>
        <v>28812880</v>
      </c>
      <c r="H91" s="209">
        <f t="shared" si="6"/>
        <v>102141</v>
      </c>
      <c r="I91" s="209">
        <f t="shared" si="9"/>
        <v>30339962.640000001</v>
      </c>
      <c r="J91" s="213" t="str">
        <f t="array" ref="J91:M91">_xlfn.XLOOKUP(C91,'ESAP NEIVA FASE II UNIFICADO'!$C$6:$C$720,'ESAP NEIVA FASE II UNIFICADO'!$C$6:$F$720,"NO ESTA")</f>
        <v>SUMINISTRO E INSTALACION PISO EN ALFOMBRA Referencia TRAFICO PESADO Ref. Planos 09680.A1</v>
      </c>
      <c r="K91" t="str">
        <v>M2</v>
      </c>
      <c r="L91">
        <v>12.31</v>
      </c>
      <c r="M91">
        <v>102069</v>
      </c>
      <c r="N91" s="115">
        <f t="shared" si="7"/>
        <v>102069</v>
      </c>
      <c r="O91" s="146">
        <f t="shared" si="8"/>
        <v>30318575.760000002</v>
      </c>
      <c r="P91" s="119"/>
    </row>
    <row r="92" spans="2:16" ht="23.25" customHeight="1" x14ac:dyDescent="0.25">
      <c r="B92" s="86" t="s">
        <v>169</v>
      </c>
      <c r="C92" s="87" t="s">
        <v>159</v>
      </c>
      <c r="D92" s="82" t="s">
        <v>13</v>
      </c>
      <c r="E92" s="83">
        <v>145.79</v>
      </c>
      <c r="F92" s="88">
        <v>89130</v>
      </c>
      <c r="G92" s="89">
        <f t="shared" si="5"/>
        <v>12994262.699999999</v>
      </c>
      <c r="H92" s="209">
        <f t="shared" si="6"/>
        <v>93854</v>
      </c>
      <c r="I92" s="209">
        <f t="shared" si="9"/>
        <v>13682974.66</v>
      </c>
      <c r="J92" s="213" t="str">
        <f t="array" ref="J92:M92">_xlfn.XLOOKUP(C92,'ESAP NEIVA FASE II UNIFICADO'!$C$6:$C$720,'ESAP NEIVA FASE II UNIFICADO'!$C$6:$F$720,"NO ESTA")</f>
        <v>SUMINISTRO E INSTALACION JARDIN Ref. Planos A2900 (Incluye material aislante, impermeabilizante, tierra, abonos y plantas ornamentales)</v>
      </c>
      <c r="K92" t="str">
        <v>M2</v>
      </c>
      <c r="L92">
        <v>183.66400000000002</v>
      </c>
      <c r="M92">
        <v>96306</v>
      </c>
      <c r="N92" s="115">
        <f t="shared" si="7"/>
        <v>96306</v>
      </c>
      <c r="O92" s="146">
        <f t="shared" si="8"/>
        <v>14040451.739999998</v>
      </c>
      <c r="P92" s="119"/>
    </row>
    <row r="93" spans="2:16" ht="15" customHeight="1" x14ac:dyDescent="0.25">
      <c r="B93" s="80" t="s">
        <v>170</v>
      </c>
      <c r="C93" s="81" t="s">
        <v>171</v>
      </c>
      <c r="D93" s="82"/>
      <c r="E93" s="83"/>
      <c r="F93" s="90"/>
      <c r="G93" s="89">
        <f t="shared" si="5"/>
        <v>0</v>
      </c>
      <c r="H93" s="209">
        <f t="shared" si="6"/>
        <v>0</v>
      </c>
      <c r="I93" s="209">
        <f t="shared" si="9"/>
        <v>0</v>
      </c>
      <c r="J93" s="213" t="str">
        <f t="array" ref="J93:M93">_xlfn.XLOOKUP(C93,'ESAP NEIVA FASE II UNIFICADO'!$C$6:$C$720,'ESAP NEIVA FASE II UNIFICADO'!$C$6:$F$720,"NO ESTA")</f>
        <v>SUMINISTRO E INSTALACIÓN DE PISOS PISO 2</v>
      </c>
      <c r="K93">
        <v>0</v>
      </c>
      <c r="L93">
        <v>0</v>
      </c>
      <c r="M93">
        <v>0</v>
      </c>
      <c r="N93" s="115">
        <f t="shared" si="7"/>
        <v>0</v>
      </c>
      <c r="O93" s="146">
        <f t="shared" si="8"/>
        <v>0</v>
      </c>
      <c r="P93" s="119"/>
    </row>
    <row r="94" spans="2:16" ht="22.5" customHeight="1" x14ac:dyDescent="0.25">
      <c r="B94" s="86" t="s">
        <v>172</v>
      </c>
      <c r="C94" s="147" t="s">
        <v>153</v>
      </c>
      <c r="D94" s="82" t="s">
        <v>13</v>
      </c>
      <c r="E94" s="83">
        <v>1039</v>
      </c>
      <c r="F94" s="88">
        <v>102488</v>
      </c>
      <c r="G94" s="89">
        <f t="shared" si="5"/>
        <v>106485032</v>
      </c>
      <c r="H94" s="209">
        <f t="shared" si="6"/>
        <v>107920</v>
      </c>
      <c r="I94" s="209">
        <f t="shared" si="9"/>
        <v>112128880</v>
      </c>
      <c r="J94" s="213" t="str">
        <f t="array" ref="J94:M94">_xlfn.XLOOKUP(C94,'ESAP NEIVA FASE II UNIFICADO'!$C$6:$C$720,'ESAP NEIVA FASE II UNIFICADO'!$C$6:$F$720,"NO ESTA")</f>
        <v>SUMINISTRO E INSTALACION PISO TABLETA ZONAS COMUNES Incluye ALISTADO Referencia  ALFA 30 X 30 HUILA Ref. Planos 09610.1</v>
      </c>
      <c r="K94" t="str">
        <v>M2</v>
      </c>
      <c r="L94">
        <v>0</v>
      </c>
      <c r="M94">
        <v>108210</v>
      </c>
      <c r="N94" s="115">
        <f t="shared" si="7"/>
        <v>108210</v>
      </c>
      <c r="O94" s="146">
        <f t="shared" si="8"/>
        <v>112430190</v>
      </c>
      <c r="P94" s="119"/>
    </row>
    <row r="95" spans="2:16" ht="26.25" customHeight="1" x14ac:dyDescent="0.25">
      <c r="B95" s="86" t="s">
        <v>173</v>
      </c>
      <c r="C95" s="149" t="s">
        <v>164</v>
      </c>
      <c r="D95" s="82" t="s">
        <v>13</v>
      </c>
      <c r="E95" s="83">
        <v>190.12</v>
      </c>
      <c r="F95" s="88">
        <v>67225</v>
      </c>
      <c r="G95" s="89">
        <f t="shared" si="5"/>
        <v>12780817</v>
      </c>
      <c r="H95" s="209">
        <f t="shared" si="6"/>
        <v>70788</v>
      </c>
      <c r="I95" s="209">
        <f t="shared" si="9"/>
        <v>13458214.560000001</v>
      </c>
      <c r="J95" s="213" t="str">
        <f t="array" ref="J95:M95">_xlfn.XLOOKUP(C95,'ESAP NEIVA FASE II UNIFICADO'!$C$6:$C$720,'ESAP NEIVA FASE II UNIFICADO'!$C$6:$F$720,"NO ESTA")</f>
        <v>SUMINISTRO E INSTALACION PISO LOSETA PREFABRICADA GRIS Referencia A30 DE 40X60 - (Especificación Cartilla Andenes IDU-2011)  Ref. Planos 09620.8</v>
      </c>
      <c r="K95" t="str">
        <v>M2</v>
      </c>
      <c r="L95">
        <v>230.83</v>
      </c>
      <c r="M95">
        <v>70614</v>
      </c>
      <c r="N95" s="115">
        <f t="shared" si="7"/>
        <v>70614</v>
      </c>
      <c r="O95" s="146">
        <f t="shared" si="8"/>
        <v>13425133.68</v>
      </c>
      <c r="P95" s="119"/>
    </row>
    <row r="96" spans="2:16" ht="26.25" customHeight="1" x14ac:dyDescent="0.25">
      <c r="B96" s="86" t="s">
        <v>174</v>
      </c>
      <c r="C96" s="87" t="s">
        <v>159</v>
      </c>
      <c r="D96" s="82" t="s">
        <v>13</v>
      </c>
      <c r="E96" s="83">
        <v>110.24</v>
      </c>
      <c r="F96" s="88">
        <v>89130</v>
      </c>
      <c r="G96" s="89">
        <f t="shared" si="5"/>
        <v>9825691.1999999993</v>
      </c>
      <c r="H96" s="209">
        <f t="shared" si="6"/>
        <v>93854</v>
      </c>
      <c r="I96" s="209">
        <f t="shared" si="9"/>
        <v>10346464.960000001</v>
      </c>
      <c r="J96" s="213" t="str">
        <f t="array" ref="J96:M96">_xlfn.XLOOKUP(C96,'ESAP NEIVA FASE II UNIFICADO'!$C$6:$C$720,'ESAP NEIVA FASE II UNIFICADO'!$C$6:$F$720,"NO ESTA")</f>
        <v>SUMINISTRO E INSTALACION JARDIN Ref. Planos A2900 (Incluye material aislante, impermeabilizante, tierra, abonos y plantas ornamentales)</v>
      </c>
      <c r="K96" t="str">
        <v>M2</v>
      </c>
      <c r="L96">
        <v>183.66400000000002</v>
      </c>
      <c r="M96">
        <v>96306</v>
      </c>
      <c r="N96" s="115">
        <f t="shared" si="7"/>
        <v>96306</v>
      </c>
      <c r="O96" s="146">
        <f t="shared" si="8"/>
        <v>10616773.439999999</v>
      </c>
      <c r="P96" s="119"/>
    </row>
    <row r="97" spans="2:16" ht="16.5" customHeight="1" x14ac:dyDescent="0.25">
      <c r="B97" s="74">
        <v>7</v>
      </c>
      <c r="C97" s="75" t="s">
        <v>175</v>
      </c>
      <c r="D97" s="76"/>
      <c r="E97" s="77"/>
      <c r="F97" s="78"/>
      <c r="G97" s="89">
        <f t="shared" si="5"/>
        <v>0</v>
      </c>
      <c r="H97" s="209">
        <f t="shared" si="6"/>
        <v>0</v>
      </c>
      <c r="I97" s="209">
        <f t="shared" si="9"/>
        <v>0</v>
      </c>
      <c r="J97" s="213" t="str">
        <f t="array" ref="J97:M97">_xlfn.XLOOKUP(C97,'ESAP NEIVA FASE II UNIFICADO'!$C$6:$C$720,'ESAP NEIVA FASE II UNIFICADO'!$C$6:$F$720,"NO ESTA")</f>
        <v>VENTANERIA</v>
      </c>
      <c r="K97">
        <v>0</v>
      </c>
      <c r="L97">
        <v>0</v>
      </c>
      <c r="M97">
        <v>0</v>
      </c>
      <c r="N97" s="115">
        <f t="shared" si="7"/>
        <v>0</v>
      </c>
      <c r="O97" s="146">
        <f t="shared" si="8"/>
        <v>0</v>
      </c>
      <c r="P97" s="119"/>
    </row>
    <row r="98" spans="2:16" ht="15" customHeight="1" x14ac:dyDescent="0.25">
      <c r="B98" s="80" t="s">
        <v>176</v>
      </c>
      <c r="C98" s="81" t="s">
        <v>177</v>
      </c>
      <c r="D98" s="82"/>
      <c r="E98" s="83"/>
      <c r="F98" s="90"/>
      <c r="G98" s="89">
        <f t="shared" si="5"/>
        <v>0</v>
      </c>
      <c r="H98" s="209">
        <f t="shared" si="6"/>
        <v>0</v>
      </c>
      <c r="I98" s="209">
        <f t="shared" si="9"/>
        <v>0</v>
      </c>
      <c r="J98" s="213" t="str">
        <f t="array" ref="J98:M98">_xlfn.XLOOKUP(C98,'ESAP NEIVA FASE II UNIFICADO'!$C$6:$C$720,'ESAP NEIVA FASE II UNIFICADO'!$C$6:$F$720,"NO ESTA")</f>
        <v>SUMINISTRO E INSTALACION VENTANAS ESPACIO PUBLICO</v>
      </c>
      <c r="K98">
        <v>0</v>
      </c>
      <c r="L98">
        <v>0</v>
      </c>
      <c r="M98">
        <v>0</v>
      </c>
      <c r="N98" s="115">
        <f t="shared" si="7"/>
        <v>0</v>
      </c>
      <c r="O98" s="146">
        <f t="shared" si="8"/>
        <v>0</v>
      </c>
      <c r="P98" s="119"/>
    </row>
    <row r="99" spans="2:16" ht="27.75" customHeight="1" x14ac:dyDescent="0.25">
      <c r="B99" s="86" t="s">
        <v>178</v>
      </c>
      <c r="C99" s="87" t="s">
        <v>179</v>
      </c>
      <c r="D99" s="82" t="s">
        <v>13</v>
      </c>
      <c r="E99" s="83">
        <v>4.8600000000000003</v>
      </c>
      <c r="F99" s="88">
        <v>247547</v>
      </c>
      <c r="G99" s="89">
        <f t="shared" si="5"/>
        <v>1203078.42</v>
      </c>
      <c r="H99" s="209">
        <f t="shared" si="6"/>
        <v>260667</v>
      </c>
      <c r="I99" s="209">
        <f t="shared" si="9"/>
        <v>1266841.6200000001</v>
      </c>
      <c r="J99" s="213" t="str">
        <f t="array" ref="J99">_xlfn.XLOOKUP(C99,'ESAP NEIVA FASE II UNIFICADO'!$C$6:$C$720,'ESAP NEIVA FASE II UNIFICADO'!$C$6:$F$720,"NO ESTA")</f>
        <v>NO ESTA</v>
      </c>
      <c r="N99" s="115">
        <f t="shared" si="7"/>
        <v>247547</v>
      </c>
      <c r="O99" s="146">
        <f t="shared" si="8"/>
        <v>1203078.4200000002</v>
      </c>
      <c r="P99" s="119"/>
    </row>
    <row r="100" spans="2:16" ht="15" customHeight="1" x14ac:dyDescent="0.25">
      <c r="B100" s="80" t="s">
        <v>180</v>
      </c>
      <c r="C100" s="81" t="s">
        <v>181</v>
      </c>
      <c r="D100" s="82"/>
      <c r="E100" s="83"/>
      <c r="F100" s="90"/>
      <c r="G100" s="89">
        <f t="shared" si="5"/>
        <v>0</v>
      </c>
      <c r="H100" s="209">
        <f t="shared" si="6"/>
        <v>0</v>
      </c>
      <c r="I100" s="209">
        <f t="shared" si="9"/>
        <v>0</v>
      </c>
      <c r="J100" s="213" t="str">
        <f t="array" ref="J100:M100">_xlfn.XLOOKUP(C100,'ESAP NEIVA FASE II UNIFICADO'!$C$6:$C$720,'ESAP NEIVA FASE II UNIFICADO'!$C$6:$F$720,"NO ESTA")</f>
        <v>SUMINISTRO E INSTALACION VENTANAS PISO 1</v>
      </c>
      <c r="K100">
        <v>0</v>
      </c>
      <c r="L100">
        <v>0</v>
      </c>
      <c r="M100">
        <v>0</v>
      </c>
      <c r="N100" s="115">
        <f t="shared" si="7"/>
        <v>0</v>
      </c>
      <c r="O100" s="146">
        <f t="shared" si="8"/>
        <v>0</v>
      </c>
      <c r="P100" s="119"/>
    </row>
    <row r="101" spans="2:16" ht="25.5" customHeight="1" x14ac:dyDescent="0.25">
      <c r="B101" s="86" t="s">
        <v>182</v>
      </c>
      <c r="C101" s="147" t="s">
        <v>183</v>
      </c>
      <c r="D101" s="82" t="s">
        <v>13</v>
      </c>
      <c r="E101" s="83">
        <v>0.55000000000000004</v>
      </c>
      <c r="F101" s="88">
        <v>247547</v>
      </c>
      <c r="G101" s="89">
        <f t="shared" si="5"/>
        <v>136150.85</v>
      </c>
      <c r="H101" s="209">
        <f t="shared" si="6"/>
        <v>260667</v>
      </c>
      <c r="I101" s="209">
        <f t="shared" si="9"/>
        <v>143366.85</v>
      </c>
      <c r="J101" s="213" t="str">
        <f t="array" ref="J101:M101">_xlfn.XLOOKUP(C101,'ESAP NEIVA FASE II UNIFICADO'!$C$6:$C$720,'ESAP NEIVA FASE II UNIFICADO'!$C$6:$F$720,"NO ESTA")</f>
        <v>SUMINISTRO E INSTALACION VENTANA EN ALUMINIO o similar TIPO V3 Incluye VIDRIO Referencia SOLARBAN Ver NOTAS GENERALES DE PLANCHA</v>
      </c>
      <c r="K101" t="str">
        <v>M2</v>
      </c>
      <c r="L101">
        <v>0</v>
      </c>
      <c r="M101">
        <v>267475</v>
      </c>
      <c r="N101" s="115">
        <f t="shared" si="7"/>
        <v>267475</v>
      </c>
      <c r="O101" s="146">
        <f t="shared" si="8"/>
        <v>147111.25</v>
      </c>
      <c r="P101" s="119"/>
    </row>
    <row r="102" spans="2:16" ht="25.5" customHeight="1" x14ac:dyDescent="0.25">
      <c r="B102" s="86" t="s">
        <v>184</v>
      </c>
      <c r="C102" s="87" t="s">
        <v>185</v>
      </c>
      <c r="D102" s="82" t="s">
        <v>13</v>
      </c>
      <c r="E102" s="83">
        <v>0.36</v>
      </c>
      <c r="F102" s="88">
        <v>247547</v>
      </c>
      <c r="G102" s="89">
        <f t="shared" si="5"/>
        <v>89116.92</v>
      </c>
      <c r="H102" s="209">
        <f t="shared" si="6"/>
        <v>260667</v>
      </c>
      <c r="I102" s="209">
        <f t="shared" si="9"/>
        <v>93840.12</v>
      </c>
      <c r="J102" s="213" t="str">
        <f t="array" ref="J102">_xlfn.XLOOKUP(C102,'ESAP NEIVA FASE II UNIFICADO'!$C$6:$C$720,'ESAP NEIVA FASE II UNIFICADO'!$C$6:$F$720,"NO ESTA")</f>
        <v>NO ESTA</v>
      </c>
      <c r="N102" s="115">
        <f t="shared" si="7"/>
        <v>247547</v>
      </c>
      <c r="O102" s="146">
        <f t="shared" si="8"/>
        <v>89116.92</v>
      </c>
      <c r="P102" s="119"/>
    </row>
    <row r="103" spans="2:16" ht="15" customHeight="1" x14ac:dyDescent="0.25">
      <c r="B103" s="80" t="s">
        <v>186</v>
      </c>
      <c r="C103" s="81" t="s">
        <v>187</v>
      </c>
      <c r="D103" s="82"/>
      <c r="E103" s="83"/>
      <c r="F103" s="90"/>
      <c r="G103" s="89">
        <f t="shared" si="5"/>
        <v>0</v>
      </c>
      <c r="H103" s="209">
        <f t="shared" si="6"/>
        <v>0</v>
      </c>
      <c r="I103" s="209">
        <f t="shared" si="9"/>
        <v>0</v>
      </c>
      <c r="J103" s="213" t="str">
        <f t="array" ref="J103:M103">_xlfn.XLOOKUP(C103,'ESAP NEIVA FASE II UNIFICADO'!$C$6:$C$720,'ESAP NEIVA FASE II UNIFICADO'!$C$6:$F$720,"NO ESTA")</f>
        <v>SUMINISTRO E INSTALACION VENTANAS PISO 2</v>
      </c>
      <c r="K103">
        <v>0</v>
      </c>
      <c r="L103">
        <v>0</v>
      </c>
      <c r="M103">
        <v>0</v>
      </c>
      <c r="N103" s="115">
        <f t="shared" si="7"/>
        <v>0</v>
      </c>
      <c r="O103" s="146">
        <f t="shared" si="8"/>
        <v>0</v>
      </c>
      <c r="P103" s="119"/>
    </row>
    <row r="104" spans="2:16" ht="25.5" customHeight="1" x14ac:dyDescent="0.25">
      <c r="B104" s="86" t="s">
        <v>188</v>
      </c>
      <c r="C104" s="147" t="s">
        <v>189</v>
      </c>
      <c r="D104" s="82" t="s">
        <v>13</v>
      </c>
      <c r="E104" s="83">
        <v>0.05</v>
      </c>
      <c r="F104" s="88">
        <v>247547</v>
      </c>
      <c r="G104" s="89">
        <f t="shared" si="5"/>
        <v>12377.35</v>
      </c>
      <c r="H104" s="209">
        <f t="shared" si="6"/>
        <v>260667</v>
      </c>
      <c r="I104" s="209">
        <f t="shared" si="9"/>
        <v>13033.35</v>
      </c>
      <c r="J104" s="213" t="str">
        <f t="array" ref="J104:M104">_xlfn.XLOOKUP(C104,'ESAP NEIVA FASE II UNIFICADO'!$C$6:$C$720,'ESAP NEIVA FASE II UNIFICADO'!$C$6:$F$720,"NO ESTA")</f>
        <v>SUMINISTRO E INSTALACION VENTANA EN ALUMINIO o similar TIPO V1 Incluye VIDRIO Referencia SOLARBAN Ver NOTAS GENERALES DE PLANCHA</v>
      </c>
      <c r="K104" t="str">
        <v>M2</v>
      </c>
      <c r="L104">
        <v>0</v>
      </c>
      <c r="M104">
        <v>267475</v>
      </c>
      <c r="N104" s="115">
        <f t="shared" si="7"/>
        <v>267475</v>
      </c>
      <c r="O104" s="146">
        <f t="shared" si="8"/>
        <v>13373.75</v>
      </c>
      <c r="P104" s="119"/>
    </row>
    <row r="105" spans="2:16" ht="25.5" customHeight="1" x14ac:dyDescent="0.25">
      <c r="B105" s="86" t="s">
        <v>190</v>
      </c>
      <c r="C105" s="149" t="s">
        <v>191</v>
      </c>
      <c r="D105" s="82" t="s">
        <v>13</v>
      </c>
      <c r="E105" s="83">
        <v>0.32</v>
      </c>
      <c r="F105" s="88">
        <v>247547</v>
      </c>
      <c r="G105" s="89">
        <f t="shared" si="5"/>
        <v>79215.039999999994</v>
      </c>
      <c r="H105" s="209">
        <f t="shared" si="6"/>
        <v>260667</v>
      </c>
      <c r="I105" s="209">
        <f t="shared" si="9"/>
        <v>83413.440000000002</v>
      </c>
      <c r="J105" s="213" t="str">
        <f t="array" ref="J105:M105">_xlfn.XLOOKUP(C105,'ESAP NEIVA FASE II UNIFICADO'!$C$6:$C$720,'ESAP NEIVA FASE II UNIFICADO'!$C$6:$F$720,"NO ESTA")</f>
        <v>SUMINISTRO E INSTALACION VENTANA EN ALUMINIO o similar TIPO V2 Incluye VIDRIO Referencia SOLARBAN Ver NOTAS GENERALES DE PLANCHA</v>
      </c>
      <c r="K105" t="str">
        <v>M2</v>
      </c>
      <c r="L105">
        <v>0</v>
      </c>
      <c r="M105">
        <v>267475</v>
      </c>
      <c r="N105" s="115">
        <f t="shared" si="7"/>
        <v>267475</v>
      </c>
      <c r="O105" s="146">
        <f t="shared" si="8"/>
        <v>85592</v>
      </c>
      <c r="P105" s="119"/>
    </row>
    <row r="106" spans="2:16" ht="25.5" customHeight="1" x14ac:dyDescent="0.25">
      <c r="B106" s="86" t="s">
        <v>192</v>
      </c>
      <c r="C106" s="147" t="s">
        <v>183</v>
      </c>
      <c r="D106" s="82" t="s">
        <v>13</v>
      </c>
      <c r="E106" s="83">
        <v>0.48</v>
      </c>
      <c r="F106" s="88">
        <v>247547</v>
      </c>
      <c r="G106" s="89">
        <f t="shared" si="5"/>
        <v>118822.56</v>
      </c>
      <c r="H106" s="209">
        <f t="shared" si="6"/>
        <v>260667</v>
      </c>
      <c r="I106" s="209">
        <f t="shared" si="9"/>
        <v>125120.16</v>
      </c>
      <c r="J106" s="213" t="str">
        <f t="array" ref="J106:M106">_xlfn.XLOOKUP(C106,'ESAP NEIVA FASE II UNIFICADO'!$C$6:$C$720,'ESAP NEIVA FASE II UNIFICADO'!$C$6:$F$720,"NO ESTA")</f>
        <v>SUMINISTRO E INSTALACION VENTANA EN ALUMINIO o similar TIPO V3 Incluye VIDRIO Referencia SOLARBAN Ver NOTAS GENERALES DE PLANCHA</v>
      </c>
      <c r="K106" t="str">
        <v>M2</v>
      </c>
      <c r="L106">
        <v>0</v>
      </c>
      <c r="M106">
        <v>267475</v>
      </c>
      <c r="N106" s="115">
        <f t="shared" si="7"/>
        <v>267475</v>
      </c>
      <c r="O106" s="146">
        <f t="shared" si="8"/>
        <v>128388</v>
      </c>
      <c r="P106" s="119"/>
    </row>
    <row r="107" spans="2:16" ht="25.5" customHeight="1" x14ac:dyDescent="0.25">
      <c r="B107" s="86" t="s">
        <v>193</v>
      </c>
      <c r="C107" s="87" t="s">
        <v>185</v>
      </c>
      <c r="D107" s="82" t="s">
        <v>13</v>
      </c>
      <c r="E107" s="83">
        <v>0.12</v>
      </c>
      <c r="F107" s="88">
        <v>247547</v>
      </c>
      <c r="G107" s="89">
        <f t="shared" si="5"/>
        <v>29705.64</v>
      </c>
      <c r="H107" s="209">
        <f t="shared" si="6"/>
        <v>260667</v>
      </c>
      <c r="I107" s="209">
        <f t="shared" si="9"/>
        <v>31280.04</v>
      </c>
      <c r="J107" s="213" t="str">
        <f t="array" ref="J107">_xlfn.XLOOKUP(C107,'ESAP NEIVA FASE II UNIFICADO'!$C$6:$C$720,'ESAP NEIVA FASE II UNIFICADO'!$C$6:$F$720,"NO ESTA")</f>
        <v>NO ESTA</v>
      </c>
      <c r="N107" s="115">
        <f t="shared" si="7"/>
        <v>247547</v>
      </c>
      <c r="O107" s="146">
        <f t="shared" si="8"/>
        <v>29705.64</v>
      </c>
      <c r="P107" s="119"/>
    </row>
    <row r="108" spans="2:16" ht="25.5" customHeight="1" x14ac:dyDescent="0.25">
      <c r="B108" s="86" t="s">
        <v>194</v>
      </c>
      <c r="C108" s="147" t="s">
        <v>195</v>
      </c>
      <c r="D108" s="82" t="s">
        <v>13</v>
      </c>
      <c r="E108" s="83">
        <v>0.36</v>
      </c>
      <c r="F108" s="88">
        <v>247547</v>
      </c>
      <c r="G108" s="89">
        <f t="shared" si="5"/>
        <v>89116.92</v>
      </c>
      <c r="H108" s="209">
        <f t="shared" si="6"/>
        <v>260667</v>
      </c>
      <c r="I108" s="209">
        <f t="shared" si="9"/>
        <v>93840.12</v>
      </c>
      <c r="J108" s="213" t="str">
        <f t="array" ref="J108:M108">_xlfn.XLOOKUP(C108,'ESAP NEIVA FASE II UNIFICADO'!$C$6:$C$720,'ESAP NEIVA FASE II UNIFICADO'!$C$6:$F$720,"NO ESTA")</f>
        <v>SUMINISTRO E INSTALACION VENTANA EN ALUMINIO o similar TIPO V5 Incluye VIDRIO Referencia SOLARBAN Ver NOTAS GENERALES DE PLANCHA</v>
      </c>
      <c r="K108" t="str">
        <v>M2</v>
      </c>
      <c r="L108">
        <v>0</v>
      </c>
      <c r="M108">
        <v>267475</v>
      </c>
      <c r="N108" s="115">
        <f t="shared" si="7"/>
        <v>267475</v>
      </c>
      <c r="O108" s="146">
        <f t="shared" si="8"/>
        <v>96291</v>
      </c>
      <c r="P108" s="119"/>
    </row>
    <row r="109" spans="2:16" ht="15" customHeight="1" x14ac:dyDescent="0.25">
      <c r="B109" s="99">
        <v>8</v>
      </c>
      <c r="C109" s="100" t="s">
        <v>196</v>
      </c>
      <c r="D109" s="101"/>
      <c r="E109" s="102"/>
      <c r="F109" s="103"/>
      <c r="G109" s="89">
        <f t="shared" si="5"/>
        <v>0</v>
      </c>
      <c r="H109" s="209">
        <f t="shared" si="6"/>
        <v>0</v>
      </c>
      <c r="I109" s="209">
        <f t="shared" si="9"/>
        <v>0</v>
      </c>
      <c r="J109" s="213" t="str">
        <f t="array" ref="J109:M109">_xlfn.XLOOKUP(C109,'ESAP NEIVA FASE II UNIFICADO'!$C$6:$C$720,'ESAP NEIVA FASE II UNIFICADO'!$C$6:$F$720,"NO ESTA")</f>
        <v>VENTANALES</v>
      </c>
      <c r="K109">
        <v>0</v>
      </c>
      <c r="L109">
        <v>0</v>
      </c>
      <c r="M109">
        <v>0</v>
      </c>
      <c r="N109" s="115">
        <f t="shared" si="7"/>
        <v>0</v>
      </c>
      <c r="O109" s="146">
        <f t="shared" si="8"/>
        <v>0</v>
      </c>
      <c r="P109" s="119"/>
    </row>
    <row r="110" spans="2:16" ht="15" customHeight="1" x14ac:dyDescent="0.25">
      <c r="B110" s="80" t="s">
        <v>197</v>
      </c>
      <c r="C110" s="81" t="s">
        <v>198</v>
      </c>
      <c r="D110" s="82"/>
      <c r="E110" s="83"/>
      <c r="F110" s="90"/>
      <c r="G110" s="89">
        <f t="shared" si="5"/>
        <v>0</v>
      </c>
      <c r="H110" s="209">
        <f t="shared" si="6"/>
        <v>0</v>
      </c>
      <c r="I110" s="209">
        <f t="shared" si="9"/>
        <v>0</v>
      </c>
      <c r="J110" s="213" t="str">
        <f t="array" ref="J110:M110">_xlfn.XLOOKUP(C110,'ESAP NEIVA FASE II UNIFICADO'!$C$6:$C$720,'ESAP NEIVA FASE II UNIFICADO'!$C$6:$F$720,"NO ESTA")</f>
        <v>SUMINISTRO E INSTALACION VENTANALES PISO 1</v>
      </c>
      <c r="K110">
        <v>0</v>
      </c>
      <c r="L110">
        <v>0</v>
      </c>
      <c r="M110">
        <v>0</v>
      </c>
      <c r="N110" s="115">
        <f t="shared" si="7"/>
        <v>0</v>
      </c>
      <c r="O110" s="146">
        <f t="shared" si="8"/>
        <v>0</v>
      </c>
      <c r="P110" s="119"/>
    </row>
    <row r="111" spans="2:16" ht="25.5" customHeight="1" x14ac:dyDescent="0.25">
      <c r="B111" s="86" t="s">
        <v>199</v>
      </c>
      <c r="C111" s="87" t="s">
        <v>200</v>
      </c>
      <c r="D111" s="82" t="s">
        <v>13</v>
      </c>
      <c r="E111" s="83">
        <v>16.32</v>
      </c>
      <c r="F111" s="88">
        <v>288650</v>
      </c>
      <c r="G111" s="89">
        <f t="shared" si="5"/>
        <v>4710768</v>
      </c>
      <c r="H111" s="209">
        <f t="shared" si="6"/>
        <v>303948</v>
      </c>
      <c r="I111" s="209">
        <f t="shared" si="9"/>
        <v>4960431.3600000003</v>
      </c>
      <c r="J111" s="213" t="str">
        <f t="array" ref="J111:M111">_xlfn.XLOOKUP(C111,'ESAP NEIVA FASE II UNIFICADO'!$C$6:$C$720,'ESAP NEIVA FASE II UNIFICADO'!$C$6:$F$720,"NO ESTA")</f>
        <v>SUMINISTRO E INSTALACION VENTANAL INTERIOR EN ALUMINIO o similar TIPO V-0 Incluye VIDRIO Referencia TRASLUCIDO TEMPLADO 10MM Ver NOTAS GENERALES DE PLANCHA</v>
      </c>
      <c r="K111" t="str">
        <v>M2</v>
      </c>
      <c r="L111">
        <v>44.879999999999995</v>
      </c>
      <c r="M111">
        <v>311887</v>
      </c>
      <c r="N111" s="115">
        <f t="shared" si="7"/>
        <v>311887</v>
      </c>
      <c r="O111" s="146">
        <f t="shared" si="8"/>
        <v>5089995.84</v>
      </c>
      <c r="P111" s="119"/>
    </row>
    <row r="112" spans="2:16" ht="25.5" customHeight="1" x14ac:dyDescent="0.25">
      <c r="B112" s="86" t="s">
        <v>201</v>
      </c>
      <c r="C112" s="147" t="s">
        <v>202</v>
      </c>
      <c r="D112" s="82" t="s">
        <v>13</v>
      </c>
      <c r="E112" s="83">
        <v>111.43</v>
      </c>
      <c r="F112" s="88">
        <v>327106</v>
      </c>
      <c r="G112" s="89">
        <f t="shared" si="5"/>
        <v>36449421.579999998</v>
      </c>
      <c r="H112" s="209">
        <f t="shared" si="6"/>
        <v>344443</v>
      </c>
      <c r="I112" s="209">
        <f t="shared" si="9"/>
        <v>38381283.490000002</v>
      </c>
      <c r="J112" s="213" t="str">
        <f t="array" ref="J112:M112">_xlfn.XLOOKUP(C112,'ESAP NEIVA FASE II UNIFICADO'!$C$6:$C$720,'ESAP NEIVA FASE II UNIFICADO'!$C$6:$F$720,"NO ESTA")</f>
        <v>SUMINISTRO E INSTALACION VENTANAL PERFIL 12cm EN ALUMINIO o similar TIPO V-1 Incluye VIDRIO Referencia SOLARBAN Ver NOTAS GENERALES DE PLANCHA</v>
      </c>
      <c r="K112" t="str">
        <v>M2</v>
      </c>
      <c r="L112">
        <v>111.41999999999999</v>
      </c>
      <c r="M112">
        <v>353438</v>
      </c>
      <c r="N112" s="115">
        <f t="shared" si="7"/>
        <v>353438</v>
      </c>
      <c r="O112" s="146">
        <f t="shared" si="8"/>
        <v>39383596.340000004</v>
      </c>
      <c r="P112" s="119"/>
    </row>
    <row r="113" spans="2:16" ht="25.5" customHeight="1" x14ac:dyDescent="0.25">
      <c r="B113" s="86" t="s">
        <v>203</v>
      </c>
      <c r="C113" s="149" t="s">
        <v>204</v>
      </c>
      <c r="D113" s="82" t="s">
        <v>13</v>
      </c>
      <c r="E113" s="83">
        <v>17.010000000000002</v>
      </c>
      <c r="F113" s="88">
        <v>342227</v>
      </c>
      <c r="G113" s="89">
        <f t="shared" si="5"/>
        <v>5821281.2699999996</v>
      </c>
      <c r="H113" s="209">
        <f t="shared" si="6"/>
        <v>360365</v>
      </c>
      <c r="I113" s="209">
        <f t="shared" si="9"/>
        <v>6129808.6500000004</v>
      </c>
      <c r="J113" s="213" t="str">
        <f t="array" ref="J113:M113">_xlfn.XLOOKUP(C113,'ESAP NEIVA FASE II UNIFICADO'!$C$6:$C$720,'ESAP NEIVA FASE II UNIFICADO'!$C$6:$F$720,"NO ESTA")</f>
        <v>SUMINISTRO E INSTALACION VENTANAL DOBLE ALTURA EN ALUMINIO o similar TIPO V-4 Incluye VIDRIO Referencia SOLARBAN Ver NOTAS GENERALES DE PLANCHA</v>
      </c>
      <c r="K113" t="str">
        <v>M2</v>
      </c>
      <c r="L113">
        <v>17.010000000000002</v>
      </c>
      <c r="M113">
        <v>369778</v>
      </c>
      <c r="N113" s="115">
        <f t="shared" si="7"/>
        <v>369778</v>
      </c>
      <c r="O113" s="146">
        <f t="shared" si="8"/>
        <v>6289923.7800000003</v>
      </c>
      <c r="P113" s="119"/>
    </row>
    <row r="114" spans="2:16" ht="25.5" customHeight="1" x14ac:dyDescent="0.25">
      <c r="B114" s="86" t="s">
        <v>205</v>
      </c>
      <c r="C114" s="149" t="s">
        <v>206</v>
      </c>
      <c r="D114" s="82" t="s">
        <v>13</v>
      </c>
      <c r="E114" s="83">
        <v>13.07</v>
      </c>
      <c r="F114" s="88">
        <v>342227</v>
      </c>
      <c r="G114" s="89">
        <f t="shared" si="5"/>
        <v>4472906.8899999997</v>
      </c>
      <c r="H114" s="209">
        <f t="shared" si="6"/>
        <v>360365</v>
      </c>
      <c r="I114" s="209">
        <f t="shared" si="9"/>
        <v>4709970.55</v>
      </c>
      <c r="J114" s="213" t="str">
        <f t="array" ref="J114:M114">_xlfn.XLOOKUP(C114,'ESAP NEIVA FASE II UNIFICADO'!$C$6:$C$720,'ESAP NEIVA FASE II UNIFICADO'!$C$6:$F$720,"NO ESTA")</f>
        <v>SUMINISTRO E INSTALACIONVENTANAL DOBLE ALTURA LIBRE EN ALUMINIO o similar TIPO V-5 Incluye VIDRIO Referencia SOLARBAN Ver NOTAS GENERALES DE PLANCHA</v>
      </c>
      <c r="K114" t="str">
        <v>M2</v>
      </c>
      <c r="L114">
        <v>13.059999999999999</v>
      </c>
      <c r="M114">
        <v>369778</v>
      </c>
      <c r="N114" s="115">
        <f t="shared" si="7"/>
        <v>369778</v>
      </c>
      <c r="O114" s="146">
        <f t="shared" si="8"/>
        <v>4832998.46</v>
      </c>
      <c r="P114" s="119"/>
    </row>
    <row r="115" spans="2:16" ht="15" customHeight="1" x14ac:dyDescent="0.25">
      <c r="B115" s="80" t="s">
        <v>207</v>
      </c>
      <c r="C115" s="81" t="s">
        <v>208</v>
      </c>
      <c r="D115" s="82"/>
      <c r="E115" s="83"/>
      <c r="F115" s="90"/>
      <c r="G115" s="89">
        <f t="shared" si="5"/>
        <v>0</v>
      </c>
      <c r="H115" s="209">
        <f t="shared" si="6"/>
        <v>0</v>
      </c>
      <c r="I115" s="209">
        <f t="shared" si="9"/>
        <v>0</v>
      </c>
      <c r="J115" s="213" t="str">
        <f t="array" ref="J115:M115">_xlfn.XLOOKUP(C115,'ESAP NEIVA FASE II UNIFICADO'!$C$6:$C$720,'ESAP NEIVA FASE II UNIFICADO'!$C$6:$F$720,"NO ESTA")</f>
        <v>SUMINISTRO E INSTALACION VENTANALES PISO 2</v>
      </c>
      <c r="K115">
        <v>0</v>
      </c>
      <c r="L115">
        <v>0</v>
      </c>
      <c r="M115">
        <v>0</v>
      </c>
      <c r="N115" s="115">
        <f t="shared" si="7"/>
        <v>0</v>
      </c>
      <c r="O115" s="146">
        <f t="shared" si="8"/>
        <v>0</v>
      </c>
      <c r="P115" s="119"/>
    </row>
    <row r="116" spans="2:16" ht="25.5" customHeight="1" x14ac:dyDescent="0.25">
      <c r="B116" s="86" t="s">
        <v>209</v>
      </c>
      <c r="C116" s="87" t="s">
        <v>210</v>
      </c>
      <c r="D116" s="82" t="s">
        <v>13</v>
      </c>
      <c r="E116" s="83">
        <v>21.89</v>
      </c>
      <c r="F116" s="88">
        <v>228879</v>
      </c>
      <c r="G116" s="89">
        <f t="shared" si="5"/>
        <v>5010161.3099999996</v>
      </c>
      <c r="H116" s="209">
        <f t="shared" si="6"/>
        <v>241010</v>
      </c>
      <c r="I116" s="209">
        <f t="shared" si="9"/>
        <v>5275708.9000000004</v>
      </c>
      <c r="J116" s="213" t="str">
        <f t="array" ref="J116:M116">_xlfn.XLOOKUP(C116,'ESAP NEIVA FASE II UNIFICADO'!$C$6:$C$720,'ESAP NEIVA FASE II UNIFICADO'!$C$6:$F$720,"NO ESTA")</f>
        <v>SUMINISTRO E INSTALACION CORTASOL Referencia 84R TIPO CS-1 Ver NOTAS GENERALES DE PLANCHA</v>
      </c>
      <c r="K116" t="str">
        <v>M2</v>
      </c>
      <c r="L116">
        <v>221.89</v>
      </c>
      <c r="M116">
        <v>247305</v>
      </c>
      <c r="N116" s="115">
        <f t="shared" si="7"/>
        <v>247305</v>
      </c>
      <c r="O116" s="146">
        <f t="shared" si="8"/>
        <v>5413506.4500000002</v>
      </c>
      <c r="P116" s="119"/>
    </row>
    <row r="117" spans="2:16" ht="25.5" customHeight="1" x14ac:dyDescent="0.25">
      <c r="B117" s="86" t="s">
        <v>211</v>
      </c>
      <c r="C117" s="87" t="s">
        <v>200</v>
      </c>
      <c r="D117" s="82" t="s">
        <v>13</v>
      </c>
      <c r="E117" s="83">
        <v>13.48</v>
      </c>
      <c r="F117" s="88">
        <v>288650</v>
      </c>
      <c r="G117" s="89">
        <f t="shared" si="5"/>
        <v>3891002</v>
      </c>
      <c r="H117" s="209">
        <f t="shared" si="6"/>
        <v>303948</v>
      </c>
      <c r="I117" s="209">
        <f t="shared" si="9"/>
        <v>4097219.04</v>
      </c>
      <c r="J117" s="213" t="str">
        <f t="array" ref="J117:M117">_xlfn.XLOOKUP(C117,'ESAP NEIVA FASE II UNIFICADO'!$C$6:$C$720,'ESAP NEIVA FASE II UNIFICADO'!$C$6:$F$720,"NO ESTA")</f>
        <v>SUMINISTRO E INSTALACION VENTANAL INTERIOR EN ALUMINIO o similar TIPO V-0 Incluye VIDRIO Referencia TRASLUCIDO TEMPLADO 10MM Ver NOTAS GENERALES DE PLANCHA</v>
      </c>
      <c r="K117" t="str">
        <v>M2</v>
      </c>
      <c r="L117">
        <v>44.879999999999995</v>
      </c>
      <c r="M117">
        <v>311887</v>
      </c>
      <c r="N117" s="115">
        <f t="shared" si="7"/>
        <v>311887</v>
      </c>
      <c r="O117" s="146">
        <f t="shared" si="8"/>
        <v>4204236.76</v>
      </c>
      <c r="P117" s="119"/>
    </row>
    <row r="118" spans="2:16" ht="25.5" customHeight="1" x14ac:dyDescent="0.25">
      <c r="B118" s="86" t="s">
        <v>212</v>
      </c>
      <c r="C118" s="147" t="s">
        <v>202</v>
      </c>
      <c r="D118" s="82" t="s">
        <v>13</v>
      </c>
      <c r="E118" s="83">
        <v>30.01</v>
      </c>
      <c r="F118" s="88">
        <v>327106</v>
      </c>
      <c r="G118" s="89">
        <f t="shared" si="5"/>
        <v>9816451.0600000005</v>
      </c>
      <c r="H118" s="209">
        <f t="shared" si="6"/>
        <v>344443</v>
      </c>
      <c r="I118" s="209">
        <f t="shared" si="9"/>
        <v>10336734.43</v>
      </c>
      <c r="J118" s="213" t="str">
        <f t="array" ref="J118:M118">_xlfn.XLOOKUP(C118,'ESAP NEIVA FASE II UNIFICADO'!$C$6:$C$720,'ESAP NEIVA FASE II UNIFICADO'!$C$6:$F$720,"NO ESTA")</f>
        <v>SUMINISTRO E INSTALACION VENTANAL PERFIL 12cm EN ALUMINIO o similar TIPO V-1 Incluye VIDRIO Referencia SOLARBAN Ver NOTAS GENERALES DE PLANCHA</v>
      </c>
      <c r="K118" t="str">
        <v>M2</v>
      </c>
      <c r="L118">
        <v>111.41999999999999</v>
      </c>
      <c r="M118">
        <v>353438</v>
      </c>
      <c r="N118" s="115">
        <f t="shared" si="7"/>
        <v>353438</v>
      </c>
      <c r="O118" s="146">
        <f t="shared" si="8"/>
        <v>10606674.380000001</v>
      </c>
      <c r="P118" s="119"/>
    </row>
    <row r="119" spans="2:16" ht="25.5" customHeight="1" x14ac:dyDescent="0.25">
      <c r="B119" s="86" t="s">
        <v>213</v>
      </c>
      <c r="C119" s="149" t="s">
        <v>214</v>
      </c>
      <c r="D119" s="82" t="s">
        <v>13</v>
      </c>
      <c r="E119" s="83">
        <v>63.83</v>
      </c>
      <c r="F119" s="88">
        <v>327106</v>
      </c>
      <c r="G119" s="89">
        <f t="shared" si="5"/>
        <v>20879175.98</v>
      </c>
      <c r="H119" s="209">
        <f t="shared" si="6"/>
        <v>344443</v>
      </c>
      <c r="I119" s="209">
        <f t="shared" si="9"/>
        <v>21985796.690000001</v>
      </c>
      <c r="J119" s="213" t="str">
        <f t="array" ref="J119:M119">_xlfn.XLOOKUP(C119,'ESAP NEIVA FASE II UNIFICADO'!$C$6:$C$720,'ESAP NEIVA FASE II UNIFICADO'!$C$6:$F$720,"NO ESTA")</f>
        <v>SUMINISTRO E INSTALACION VENTANAL PERFIL 12cm  AULAS COMPLETO EN ALUMINIO o similar TIPO V-2 Incluye VIDRIO Referencia SOLARBAN Ver NOTAS GENERALES DE PLANCHA</v>
      </c>
      <c r="K119" t="str">
        <v>M2</v>
      </c>
      <c r="L119">
        <v>78.760000000000005</v>
      </c>
      <c r="M119">
        <v>353438</v>
      </c>
      <c r="N119" s="115">
        <f t="shared" si="7"/>
        <v>353438</v>
      </c>
      <c r="O119" s="146">
        <f t="shared" si="8"/>
        <v>22559947.539999999</v>
      </c>
      <c r="P119" s="119"/>
    </row>
    <row r="120" spans="2:16" ht="25.5" customHeight="1" x14ac:dyDescent="0.25">
      <c r="B120" s="86" t="s">
        <v>215</v>
      </c>
      <c r="C120" s="149" t="s">
        <v>216</v>
      </c>
      <c r="D120" s="82" t="s">
        <v>13</v>
      </c>
      <c r="E120" s="83">
        <v>7.99</v>
      </c>
      <c r="F120" s="88">
        <v>339589</v>
      </c>
      <c r="G120" s="89">
        <f t="shared" si="5"/>
        <v>2713316.11</v>
      </c>
      <c r="H120" s="209">
        <f t="shared" si="6"/>
        <v>357587</v>
      </c>
      <c r="I120" s="209">
        <f t="shared" si="9"/>
        <v>2857120.13</v>
      </c>
      <c r="J120" s="213" t="str">
        <f t="array" ref="J120:M120">_xlfn.XLOOKUP(C120,'ESAP NEIVA FASE II UNIFICADO'!$C$6:$C$720,'ESAP NEIVA FASE II UNIFICADO'!$C$6:$F$720,"NO ESTA")</f>
        <v>SUMINISTRO E INSTALACION VENTANAL PERFIL 15cm EN ALUMINIO o similar TIPO V-3 Incluye VIDRIO Referencia SOLARBAN Ver NOTAS GENERALES DE PLANCHA</v>
      </c>
      <c r="K120" t="str">
        <v>M2</v>
      </c>
      <c r="L120">
        <v>78.989999999999995</v>
      </c>
      <c r="M120">
        <v>366927</v>
      </c>
      <c r="N120" s="115">
        <f t="shared" si="7"/>
        <v>366927</v>
      </c>
      <c r="O120" s="146">
        <f t="shared" si="8"/>
        <v>2931746.73</v>
      </c>
      <c r="P120" s="119"/>
    </row>
    <row r="121" spans="2:16" ht="25.5" customHeight="1" x14ac:dyDescent="0.25">
      <c r="B121" s="86" t="s">
        <v>217</v>
      </c>
      <c r="C121" s="149" t="s">
        <v>218</v>
      </c>
      <c r="D121" s="82" t="s">
        <v>13</v>
      </c>
      <c r="E121" s="83">
        <v>11.76</v>
      </c>
      <c r="F121" s="88">
        <v>342227</v>
      </c>
      <c r="G121" s="89">
        <f t="shared" si="5"/>
        <v>4024589.52</v>
      </c>
      <c r="H121" s="209">
        <f t="shared" si="6"/>
        <v>360365</v>
      </c>
      <c r="I121" s="209">
        <f t="shared" si="9"/>
        <v>4237892.4000000004</v>
      </c>
      <c r="J121" s="213" t="str">
        <f t="array" ref="J121:M121">_xlfn.XLOOKUP(C121,'ESAP NEIVA FASE II UNIFICADO'!$C$6:$C$720,'ESAP NEIVA FASE II UNIFICADO'!$C$6:$F$720,"NO ESTA")</f>
        <v>SUMINISTRO E INSTALACION VENTANAL DOBLE ALTURA LIBRE EN ALUMINIO o similar TIPO V-5 Incluye VIDRIO Referencia SOLARBAN Ver NOTAS GENERALES DE PLANCHA</v>
      </c>
      <c r="K121" t="str">
        <v>M2</v>
      </c>
      <c r="L121">
        <v>11.76</v>
      </c>
      <c r="M121">
        <v>369778</v>
      </c>
      <c r="N121" s="115">
        <f t="shared" si="7"/>
        <v>369778</v>
      </c>
      <c r="O121" s="146">
        <f t="shared" si="8"/>
        <v>4348589.28</v>
      </c>
      <c r="P121" s="119"/>
    </row>
    <row r="122" spans="2:16" ht="25.5" customHeight="1" x14ac:dyDescent="0.25">
      <c r="B122" s="86" t="s">
        <v>219</v>
      </c>
      <c r="C122" s="150" t="s">
        <v>220</v>
      </c>
      <c r="D122" s="82" t="s">
        <v>13</v>
      </c>
      <c r="E122" s="83">
        <v>10.72</v>
      </c>
      <c r="F122" s="88">
        <v>381287</v>
      </c>
      <c r="G122" s="89">
        <f t="shared" si="5"/>
        <v>4087396.64</v>
      </c>
      <c r="H122" s="209">
        <f t="shared" si="6"/>
        <v>401495</v>
      </c>
      <c r="I122" s="209">
        <f t="shared" si="9"/>
        <v>4304026.4000000004</v>
      </c>
      <c r="J122" s="213" t="str">
        <f t="array" ref="J122:M122">_xlfn.XLOOKUP(C122,'ESAP NEIVA FASE II UNIFICADO'!$C$6:$C$720,'ESAP NEIVA FASE II UNIFICADO'!$C$6:$F$720,"NO ESTA")</f>
        <v>SUMINISTRO E INSTALACION VENTANAL INTERIOR PERFIL 15cm SALONES EN ALUMINIO o similar TIPO V-6Incluye VIDRIO Referencia TRASLUCIDO TEMPLADO 10MM Ver NOTAS GENERALES DE PLANCHA</v>
      </c>
      <c r="K122" t="str">
        <v>M2</v>
      </c>
      <c r="L122">
        <v>15.659999999999998</v>
      </c>
      <c r="M122">
        <v>411981</v>
      </c>
      <c r="N122" s="115">
        <f t="shared" si="7"/>
        <v>411981</v>
      </c>
      <c r="O122" s="146">
        <f t="shared" si="8"/>
        <v>4416436.32</v>
      </c>
      <c r="P122" s="119"/>
    </row>
    <row r="123" spans="2:16" ht="17.25" customHeight="1" x14ac:dyDescent="0.25">
      <c r="B123" s="74">
        <v>9</v>
      </c>
      <c r="C123" s="75" t="s">
        <v>221</v>
      </c>
      <c r="D123" s="76"/>
      <c r="E123" s="77"/>
      <c r="F123" s="78"/>
      <c r="G123" s="89">
        <f t="shared" si="5"/>
        <v>0</v>
      </c>
      <c r="H123" s="209">
        <f t="shared" si="6"/>
        <v>0</v>
      </c>
      <c r="I123" s="209">
        <f t="shared" si="9"/>
        <v>0</v>
      </c>
      <c r="J123" s="213" t="str">
        <f t="array" ref="J123:M123">_xlfn.XLOOKUP(C123,'ESAP NEIVA FASE II UNIFICADO'!$C$6:$C$720,'ESAP NEIVA FASE II UNIFICADO'!$C$6:$F$720,"NO ESTA")</f>
        <v>PUERTAS</v>
      </c>
      <c r="K123">
        <v>0</v>
      </c>
      <c r="L123">
        <v>0</v>
      </c>
      <c r="M123">
        <v>0</v>
      </c>
      <c r="N123" s="115">
        <f t="shared" si="7"/>
        <v>0</v>
      </c>
      <c r="O123" s="146">
        <f t="shared" si="8"/>
        <v>0</v>
      </c>
      <c r="P123" s="119"/>
    </row>
    <row r="124" spans="2:16" ht="15" customHeight="1" x14ac:dyDescent="0.25">
      <c r="B124" s="80" t="s">
        <v>222</v>
      </c>
      <c r="C124" s="81" t="s">
        <v>223</v>
      </c>
      <c r="D124" s="82"/>
      <c r="E124" s="83"/>
      <c r="F124" s="90"/>
      <c r="G124" s="89">
        <f t="shared" si="5"/>
        <v>0</v>
      </c>
      <c r="H124" s="209">
        <f t="shared" si="6"/>
        <v>0</v>
      </c>
      <c r="I124" s="209">
        <f t="shared" si="9"/>
        <v>0</v>
      </c>
      <c r="J124" s="213" t="str">
        <f t="array" ref="J124:M124">_xlfn.XLOOKUP(C124,'ESAP NEIVA FASE II UNIFICADO'!$C$6:$C$720,'ESAP NEIVA FASE II UNIFICADO'!$C$6:$F$720,"NO ESTA")</f>
        <v>SUMINISTRO E INSTALACIÓN PUERTAS SEMISOTANO</v>
      </c>
      <c r="K124">
        <v>0</v>
      </c>
      <c r="L124">
        <v>0</v>
      </c>
      <c r="M124">
        <v>0</v>
      </c>
      <c r="N124" s="115">
        <f t="shared" si="7"/>
        <v>0</v>
      </c>
      <c r="O124" s="146">
        <f t="shared" si="8"/>
        <v>0</v>
      </c>
      <c r="P124" s="119"/>
    </row>
    <row r="125" spans="2:16" ht="25.5" customHeight="1" x14ac:dyDescent="0.25">
      <c r="B125" s="86" t="s">
        <v>224</v>
      </c>
      <c r="C125" s="87" t="s">
        <v>225</v>
      </c>
      <c r="D125" s="82" t="s">
        <v>13</v>
      </c>
      <c r="E125" s="83">
        <v>4.4000000000000004</v>
      </c>
      <c r="F125" s="88">
        <v>1279025</v>
      </c>
      <c r="G125" s="89">
        <f t="shared" si="5"/>
        <v>5627710</v>
      </c>
      <c r="H125" s="209">
        <f t="shared" si="6"/>
        <v>1346813</v>
      </c>
      <c r="I125" s="209">
        <f t="shared" si="9"/>
        <v>5925977.2000000002</v>
      </c>
      <c r="J125" s="213" t="str">
        <f t="array" ref="J125:M125">_xlfn.XLOOKUP(C125,'ESAP NEIVA FASE II UNIFICADO'!$C$6:$C$720,'ESAP NEIVA FASE II UNIFICADO'!$C$6:$F$720,"NO ESTA")</f>
        <v>SUMINISTRO E INSTALACION PUERTA DE EVACUACIÓN TIPO P-1 Ver NOTAS GENERALES DE PLANCHA</v>
      </c>
      <c r="K125" t="str">
        <v>M2</v>
      </c>
      <c r="L125">
        <v>0</v>
      </c>
      <c r="M125">
        <v>1381990</v>
      </c>
      <c r="N125" s="115">
        <f t="shared" si="7"/>
        <v>1381990</v>
      </c>
      <c r="O125" s="146">
        <f t="shared" si="8"/>
        <v>6080756.0000000009</v>
      </c>
      <c r="P125" s="119"/>
    </row>
    <row r="126" spans="2:16" ht="25.5" customHeight="1" x14ac:dyDescent="0.25">
      <c r="B126" s="86" t="s">
        <v>226</v>
      </c>
      <c r="C126" s="87" t="s">
        <v>227</v>
      </c>
      <c r="D126" s="82" t="s">
        <v>13</v>
      </c>
      <c r="E126" s="83">
        <v>15.12</v>
      </c>
      <c r="F126" s="88">
        <v>121747</v>
      </c>
      <c r="G126" s="89">
        <f t="shared" si="5"/>
        <v>1840814.64</v>
      </c>
      <c r="H126" s="209">
        <f t="shared" si="6"/>
        <v>128200</v>
      </c>
      <c r="I126" s="209">
        <f t="shared" si="9"/>
        <v>1938384</v>
      </c>
      <c r="J126" s="213" t="str">
        <f t="array" ref="J126:M126">_xlfn.XLOOKUP(C126,'ESAP NEIVA FASE II UNIFICADO'!$C$6:$C$720,'ESAP NEIVA FASE II UNIFICADO'!$C$6:$F$720,"NO ESTA")</f>
        <v>SUMINISTRO E INSTALACION PUERTA METALICA DEPOSITOS TIPO P-2 Ver NOTAS GENERALES DE PLANCHA</v>
      </c>
      <c r="K126" t="str">
        <v>M2</v>
      </c>
      <c r="L126">
        <v>0</v>
      </c>
      <c r="M126">
        <v>131548</v>
      </c>
      <c r="N126" s="115">
        <f t="shared" si="7"/>
        <v>131548</v>
      </c>
      <c r="O126" s="146">
        <f t="shared" si="8"/>
        <v>1989005.76</v>
      </c>
      <c r="P126" s="119"/>
    </row>
    <row r="127" spans="2:16" ht="25.5" customHeight="1" x14ac:dyDescent="0.25">
      <c r="B127" s="86" t="s">
        <v>228</v>
      </c>
      <c r="C127" s="87" t="s">
        <v>229</v>
      </c>
      <c r="D127" s="82" t="s">
        <v>13</v>
      </c>
      <c r="E127" s="83">
        <v>33.6</v>
      </c>
      <c r="F127" s="88">
        <v>143171</v>
      </c>
      <c r="G127" s="89">
        <f t="shared" si="5"/>
        <v>4810545.5999999996</v>
      </c>
      <c r="H127" s="209">
        <f t="shared" si="6"/>
        <v>150759</v>
      </c>
      <c r="I127" s="209">
        <f t="shared" si="9"/>
        <v>5065502.4000000004</v>
      </c>
      <c r="J127" s="213" t="str">
        <f t="array" ref="J127:M127">_xlfn.XLOOKUP(C127,'ESAP NEIVA FASE II UNIFICADO'!$C$6:$C$720,'ESAP NEIVA FASE II UNIFICADO'!$C$6:$F$720,"NO ESTA")</f>
        <v>SUMINISTRO E INSTALACION PUERTA METALICA DOBLE HOJA TIPO P-7 Ver NOTAS GENERALES DE PLANCHA</v>
      </c>
      <c r="K127" t="str">
        <v>M2</v>
      </c>
      <c r="L127">
        <v>0</v>
      </c>
      <c r="M127">
        <v>154697</v>
      </c>
      <c r="N127" s="115">
        <f t="shared" si="7"/>
        <v>154697</v>
      </c>
      <c r="O127" s="146">
        <f t="shared" si="8"/>
        <v>5197819.2</v>
      </c>
      <c r="P127" s="119"/>
    </row>
    <row r="128" spans="2:16" ht="25.5" customHeight="1" x14ac:dyDescent="0.25">
      <c r="B128" s="86" t="s">
        <v>230</v>
      </c>
      <c r="C128" s="87" t="s">
        <v>231</v>
      </c>
      <c r="D128" s="82" t="s">
        <v>13</v>
      </c>
      <c r="E128" s="83">
        <v>15.84</v>
      </c>
      <c r="F128" s="88">
        <v>233422</v>
      </c>
      <c r="G128" s="89">
        <f t="shared" si="5"/>
        <v>3697404.48</v>
      </c>
      <c r="H128" s="209">
        <f t="shared" si="6"/>
        <v>245793</v>
      </c>
      <c r="I128" s="209">
        <f t="shared" si="9"/>
        <v>3893361.12</v>
      </c>
      <c r="J128" s="213" t="str">
        <f t="array" ref="J128">_xlfn.XLOOKUP(C128,'ESAP NEIVA FASE II UNIFICADO'!$C$6:$C$720,'ESAP NEIVA FASE II UNIFICADO'!$C$6:$F$720,"NO ESTA")</f>
        <v>NO ESTA</v>
      </c>
      <c r="N128" s="115">
        <f t="shared" si="7"/>
        <v>233422</v>
      </c>
      <c r="O128" s="146">
        <f t="shared" si="8"/>
        <v>3697404.48</v>
      </c>
      <c r="P128" s="119"/>
    </row>
    <row r="129" spans="2:16" ht="15" customHeight="1" x14ac:dyDescent="0.25">
      <c r="B129" s="80" t="s">
        <v>232</v>
      </c>
      <c r="C129" s="81" t="s">
        <v>233</v>
      </c>
      <c r="D129" s="82"/>
      <c r="E129" s="83"/>
      <c r="F129" s="90"/>
      <c r="G129" s="89">
        <f t="shared" si="5"/>
        <v>0</v>
      </c>
      <c r="H129" s="209">
        <f t="shared" si="6"/>
        <v>0</v>
      </c>
      <c r="I129" s="209">
        <f t="shared" si="9"/>
        <v>0</v>
      </c>
      <c r="J129" s="213" t="str">
        <f t="array" ref="J129:M129">_xlfn.XLOOKUP(C129,'ESAP NEIVA FASE II UNIFICADO'!$C$6:$C$720,'ESAP NEIVA FASE II UNIFICADO'!$C$6:$F$720,"NO ESTA")</f>
        <v>SUMINISTRO E INSTALACIÓN PUERTAS PISO 1</v>
      </c>
      <c r="K129">
        <v>0</v>
      </c>
      <c r="L129">
        <v>0</v>
      </c>
      <c r="M129">
        <v>0</v>
      </c>
      <c r="N129" s="115">
        <f t="shared" si="7"/>
        <v>0</v>
      </c>
      <c r="O129" s="146">
        <f t="shared" si="8"/>
        <v>0</v>
      </c>
      <c r="P129" s="119"/>
    </row>
    <row r="130" spans="2:16" ht="25.5" customHeight="1" x14ac:dyDescent="0.25">
      <c r="B130" s="86" t="s">
        <v>234</v>
      </c>
      <c r="C130" s="87" t="s">
        <v>225</v>
      </c>
      <c r="D130" s="82" t="s">
        <v>13</v>
      </c>
      <c r="E130" s="83">
        <v>4.4000000000000004</v>
      </c>
      <c r="F130" s="88">
        <v>1279025</v>
      </c>
      <c r="G130" s="89">
        <f t="shared" si="5"/>
        <v>5627710</v>
      </c>
      <c r="H130" s="209">
        <f t="shared" si="6"/>
        <v>1346813</v>
      </c>
      <c r="I130" s="209">
        <f t="shared" si="9"/>
        <v>5925977.2000000002</v>
      </c>
      <c r="J130" s="213" t="str">
        <f t="array" ref="J130:M130">_xlfn.XLOOKUP(C130,'ESAP NEIVA FASE II UNIFICADO'!$C$6:$C$720,'ESAP NEIVA FASE II UNIFICADO'!$C$6:$F$720,"NO ESTA")</f>
        <v>SUMINISTRO E INSTALACION PUERTA DE EVACUACIÓN TIPO P-1 Ver NOTAS GENERALES DE PLANCHA</v>
      </c>
      <c r="K130" t="str">
        <v>M2</v>
      </c>
      <c r="L130">
        <v>0</v>
      </c>
      <c r="M130">
        <v>1381990</v>
      </c>
      <c r="N130" s="115">
        <f t="shared" si="7"/>
        <v>1381990</v>
      </c>
      <c r="O130" s="146">
        <f t="shared" si="8"/>
        <v>6080756.0000000009</v>
      </c>
      <c r="P130" s="119"/>
    </row>
    <row r="131" spans="2:16" ht="25.5" customHeight="1" x14ac:dyDescent="0.25">
      <c r="B131" s="86" t="s">
        <v>235</v>
      </c>
      <c r="C131" s="87" t="s">
        <v>227</v>
      </c>
      <c r="D131" s="82" t="s">
        <v>13</v>
      </c>
      <c r="E131" s="83">
        <v>12.96</v>
      </c>
      <c r="F131" s="88">
        <v>121747</v>
      </c>
      <c r="G131" s="89">
        <f t="shared" si="5"/>
        <v>1577841.12</v>
      </c>
      <c r="H131" s="209">
        <f t="shared" si="6"/>
        <v>128200</v>
      </c>
      <c r="I131" s="209">
        <f t="shared" si="9"/>
        <v>1661472</v>
      </c>
      <c r="J131" s="213" t="str">
        <f t="array" ref="J131:M131">_xlfn.XLOOKUP(C131,'ESAP NEIVA FASE II UNIFICADO'!$C$6:$C$720,'ESAP NEIVA FASE II UNIFICADO'!$C$6:$F$720,"NO ESTA")</f>
        <v>SUMINISTRO E INSTALACION PUERTA METALICA DEPOSITOS TIPO P-2 Ver NOTAS GENERALES DE PLANCHA</v>
      </c>
      <c r="K131" t="str">
        <v>M2</v>
      </c>
      <c r="L131">
        <v>0</v>
      </c>
      <c r="M131">
        <v>131548</v>
      </c>
      <c r="N131" s="115">
        <f t="shared" si="7"/>
        <v>131548</v>
      </c>
      <c r="O131" s="146">
        <f t="shared" si="8"/>
        <v>1704862.08</v>
      </c>
      <c r="P131" s="119"/>
    </row>
    <row r="132" spans="2:16" ht="25.5" customHeight="1" x14ac:dyDescent="0.25">
      <c r="B132" s="86" t="s">
        <v>236</v>
      </c>
      <c r="C132" s="87" t="s">
        <v>237</v>
      </c>
      <c r="D132" s="82" t="s">
        <v>13</v>
      </c>
      <c r="E132" s="83">
        <v>2.4</v>
      </c>
      <c r="F132" s="88">
        <v>677048</v>
      </c>
      <c r="G132" s="89">
        <f t="shared" si="5"/>
        <v>1624915.2</v>
      </c>
      <c r="H132" s="209">
        <f t="shared" si="6"/>
        <v>712932</v>
      </c>
      <c r="I132" s="209">
        <f t="shared" si="9"/>
        <v>1711036.8</v>
      </c>
      <c r="J132" s="213" t="str">
        <f t="array" ref="J132:M132">_xlfn.XLOOKUP(C132,'ESAP NEIVA FASE II UNIFICADO'!$C$6:$C$720,'ESAP NEIVA FASE II UNIFICADO'!$C$6:$F$720,"NO ESTA")</f>
        <v>SUMINISTRO E INSTALACION PUERTA DIVISORIA DE MADERA TIPO P-3 Ver NOTAS GENERALES DE PLANCHA</v>
      </c>
      <c r="K132" t="str">
        <v>M2</v>
      </c>
      <c r="L132">
        <v>0</v>
      </c>
      <c r="M132">
        <v>731553</v>
      </c>
      <c r="N132" s="115">
        <f t="shared" si="7"/>
        <v>731553</v>
      </c>
      <c r="O132" s="146">
        <f t="shared" si="8"/>
        <v>1755727.2</v>
      </c>
      <c r="P132" s="119"/>
    </row>
    <row r="133" spans="2:16" ht="25.5" customHeight="1" x14ac:dyDescent="0.25">
      <c r="B133" s="86" t="s">
        <v>238</v>
      </c>
      <c r="C133" s="87" t="s">
        <v>239</v>
      </c>
      <c r="D133" s="82" t="s">
        <v>13</v>
      </c>
      <c r="E133" s="83">
        <v>12.96</v>
      </c>
      <c r="F133" s="88">
        <v>677048</v>
      </c>
      <c r="G133" s="89">
        <f t="shared" si="5"/>
        <v>8774542.0800000001</v>
      </c>
      <c r="H133" s="209">
        <f t="shared" si="6"/>
        <v>712932</v>
      </c>
      <c r="I133" s="209">
        <f t="shared" si="9"/>
        <v>9239598.7200000007</v>
      </c>
      <c r="J133" s="213" t="str">
        <f t="array" ref="J133:M133">_xlfn.XLOOKUP(C133,'ESAP NEIVA FASE II UNIFICADO'!$C$6:$C$720,'ESAP NEIVA FASE II UNIFICADO'!$C$6:$F$720,"NO ESTA")</f>
        <v>SUMINISTRO E INSTALACION PUERTA DIVISORIA DE MADERA TIPO P-4 Ver NOTAS GENERALES DE PLANCHA</v>
      </c>
      <c r="K133" t="str">
        <v>M2</v>
      </c>
      <c r="L133">
        <v>0</v>
      </c>
      <c r="M133">
        <v>731553</v>
      </c>
      <c r="N133" s="115">
        <f t="shared" si="7"/>
        <v>731553</v>
      </c>
      <c r="O133" s="146">
        <f t="shared" si="8"/>
        <v>9480926.8800000008</v>
      </c>
      <c r="P133" s="119"/>
    </row>
    <row r="134" spans="2:16" ht="25.5" customHeight="1" x14ac:dyDescent="0.25">
      <c r="B134" s="86" t="s">
        <v>240</v>
      </c>
      <c r="C134" s="87" t="s">
        <v>241</v>
      </c>
      <c r="D134" s="82" t="s">
        <v>13</v>
      </c>
      <c r="E134" s="83">
        <v>5.76</v>
      </c>
      <c r="F134" s="88">
        <v>677048</v>
      </c>
      <c r="G134" s="89">
        <f t="shared" ref="G134:G197" si="10">ROUND(+F134*E134,2)</f>
        <v>3899796.48</v>
      </c>
      <c r="H134" s="209">
        <f t="shared" ref="H134:H197" si="11">+ROUND(F134*(1+$H$4),0)</f>
        <v>712932</v>
      </c>
      <c r="I134" s="209">
        <f t="shared" si="9"/>
        <v>4106488.32</v>
      </c>
      <c r="J134" s="213" t="str">
        <f t="array" ref="J134:M134">_xlfn.XLOOKUP(C134,'ESAP NEIVA FASE II UNIFICADO'!$C$6:$C$720,'ESAP NEIVA FASE II UNIFICADO'!$C$6:$F$720,"NO ESTA")</f>
        <v>SUMINISTRO E INSTALACION PUERTA DIVISORIA DE MADERA TIPO P-5 Ver NOTAS GENERALES DE PLANCHA</v>
      </c>
      <c r="K134" t="str">
        <v>M2</v>
      </c>
      <c r="L134">
        <v>0</v>
      </c>
      <c r="M134">
        <v>731553</v>
      </c>
      <c r="N134" s="115">
        <f t="shared" ref="N134:N197" si="12">MAX(M134,F134)</f>
        <v>731553</v>
      </c>
      <c r="O134" s="146">
        <f t="shared" ref="O134:O197" si="13">N134*E134</f>
        <v>4213745.28</v>
      </c>
      <c r="P134" s="119"/>
    </row>
    <row r="135" spans="2:16" ht="25.5" customHeight="1" x14ac:dyDescent="0.25">
      <c r="B135" s="86" t="s">
        <v>242</v>
      </c>
      <c r="C135" s="87" t="s">
        <v>229</v>
      </c>
      <c r="D135" s="82" t="s">
        <v>13</v>
      </c>
      <c r="E135" s="83">
        <v>4.8</v>
      </c>
      <c r="F135" s="88">
        <v>143171</v>
      </c>
      <c r="G135" s="89">
        <f t="shared" si="10"/>
        <v>687220.8</v>
      </c>
      <c r="H135" s="209">
        <f t="shared" si="11"/>
        <v>150759</v>
      </c>
      <c r="I135" s="209">
        <f t="shared" ref="I135:I198" si="14">ROUND(H135*E135,2)</f>
        <v>723643.2</v>
      </c>
      <c r="J135" s="213" t="str">
        <f t="array" ref="J135:M135">_xlfn.XLOOKUP(C135,'ESAP NEIVA FASE II UNIFICADO'!$C$6:$C$720,'ESAP NEIVA FASE II UNIFICADO'!$C$6:$F$720,"NO ESTA")</f>
        <v>SUMINISTRO E INSTALACION PUERTA METALICA DOBLE HOJA TIPO P-7 Ver NOTAS GENERALES DE PLANCHA</v>
      </c>
      <c r="K135" t="str">
        <v>M2</v>
      </c>
      <c r="L135">
        <v>0</v>
      </c>
      <c r="M135">
        <v>154697</v>
      </c>
      <c r="N135" s="115">
        <f t="shared" si="12"/>
        <v>154697</v>
      </c>
      <c r="O135" s="146">
        <f t="shared" si="13"/>
        <v>742545.6</v>
      </c>
      <c r="P135" s="119"/>
    </row>
    <row r="136" spans="2:16" ht="25.5" customHeight="1" x14ac:dyDescent="0.25">
      <c r="B136" s="86" t="s">
        <v>243</v>
      </c>
      <c r="C136" s="87" t="s">
        <v>244</v>
      </c>
      <c r="D136" s="82" t="s">
        <v>13</v>
      </c>
      <c r="E136" s="83">
        <v>24.8</v>
      </c>
      <c r="F136" s="88">
        <v>536623</v>
      </c>
      <c r="G136" s="89">
        <f t="shared" si="10"/>
        <v>13308250.4</v>
      </c>
      <c r="H136" s="209">
        <f t="shared" si="11"/>
        <v>565064</v>
      </c>
      <c r="I136" s="209">
        <f t="shared" si="14"/>
        <v>14013587.199999999</v>
      </c>
      <c r="J136" s="213" t="str">
        <f t="array" ref="J136:M136">_xlfn.XLOOKUP(C136,'ESAP NEIVA FASE II UNIFICADO'!$C$6:$C$720,'ESAP NEIVA FASE II UNIFICADO'!$C$6:$F$720,"NO ESTA")</f>
        <v>SUMINISTRO E INSTALACION PUERTA DIVISORIA EN VIDRIO TIPO PV1 Ver NOTAS GENERALES DE PLANCHA</v>
      </c>
      <c r="K136" t="str">
        <v>M2</v>
      </c>
      <c r="L136">
        <v>0</v>
      </c>
      <c r="M136">
        <v>579822</v>
      </c>
      <c r="N136" s="115">
        <f t="shared" si="12"/>
        <v>579822</v>
      </c>
      <c r="O136" s="146">
        <f t="shared" si="13"/>
        <v>14379585.6</v>
      </c>
      <c r="P136" s="119"/>
    </row>
    <row r="137" spans="2:16" ht="15" customHeight="1" x14ac:dyDescent="0.25">
      <c r="B137" s="80" t="s">
        <v>245</v>
      </c>
      <c r="C137" s="81" t="s">
        <v>246</v>
      </c>
      <c r="D137" s="82"/>
      <c r="E137" s="83"/>
      <c r="F137" s="90"/>
      <c r="G137" s="89">
        <f t="shared" si="10"/>
        <v>0</v>
      </c>
      <c r="H137" s="209">
        <f t="shared" si="11"/>
        <v>0</v>
      </c>
      <c r="I137" s="209">
        <f t="shared" si="14"/>
        <v>0</v>
      </c>
      <c r="J137" s="213" t="str">
        <f t="array" ref="J137:M137">_xlfn.XLOOKUP(C137,'ESAP NEIVA FASE II UNIFICADO'!$C$6:$C$720,'ESAP NEIVA FASE II UNIFICADO'!$C$6:$F$720,"NO ESTA")</f>
        <v>SUMINISTRO E INSTALACIÓN PUERTAS PISO 2</v>
      </c>
      <c r="K137">
        <v>0</v>
      </c>
      <c r="L137">
        <v>0</v>
      </c>
      <c r="M137">
        <v>0</v>
      </c>
      <c r="N137" s="115">
        <f t="shared" si="12"/>
        <v>0</v>
      </c>
      <c r="O137" s="146">
        <f t="shared" si="13"/>
        <v>0</v>
      </c>
      <c r="P137" s="119"/>
    </row>
    <row r="138" spans="2:16" ht="25.5" customHeight="1" x14ac:dyDescent="0.25">
      <c r="B138" s="86" t="s">
        <v>247</v>
      </c>
      <c r="C138" s="87" t="s">
        <v>225</v>
      </c>
      <c r="D138" s="82" t="s">
        <v>13</v>
      </c>
      <c r="E138" s="83">
        <v>2.2000000000000002</v>
      </c>
      <c r="F138" s="88">
        <v>1279025</v>
      </c>
      <c r="G138" s="89">
        <f t="shared" si="10"/>
        <v>2813855</v>
      </c>
      <c r="H138" s="209">
        <f t="shared" si="11"/>
        <v>1346813</v>
      </c>
      <c r="I138" s="209">
        <f t="shared" si="14"/>
        <v>2962988.6</v>
      </c>
      <c r="J138" s="213" t="str">
        <f t="array" ref="J138:M138">_xlfn.XLOOKUP(C138,'ESAP NEIVA FASE II UNIFICADO'!$C$6:$C$720,'ESAP NEIVA FASE II UNIFICADO'!$C$6:$F$720,"NO ESTA")</f>
        <v>SUMINISTRO E INSTALACION PUERTA DE EVACUACIÓN TIPO P-1 Ver NOTAS GENERALES DE PLANCHA</v>
      </c>
      <c r="K138" t="str">
        <v>M2</v>
      </c>
      <c r="L138">
        <v>0</v>
      </c>
      <c r="M138">
        <v>1381990</v>
      </c>
      <c r="N138" s="115">
        <f t="shared" si="12"/>
        <v>1381990</v>
      </c>
      <c r="O138" s="146">
        <f t="shared" si="13"/>
        <v>3040378.0000000005</v>
      </c>
      <c r="P138" s="119"/>
    </row>
    <row r="139" spans="2:16" ht="25.5" customHeight="1" x14ac:dyDescent="0.25">
      <c r="B139" s="86" t="s">
        <v>248</v>
      </c>
      <c r="C139" s="87" t="s">
        <v>227</v>
      </c>
      <c r="D139" s="82" t="s">
        <v>13</v>
      </c>
      <c r="E139" s="83">
        <v>2.16</v>
      </c>
      <c r="F139" s="88">
        <v>121747</v>
      </c>
      <c r="G139" s="89">
        <f t="shared" si="10"/>
        <v>262973.52</v>
      </c>
      <c r="H139" s="209">
        <f t="shared" si="11"/>
        <v>128200</v>
      </c>
      <c r="I139" s="209">
        <f t="shared" si="14"/>
        <v>276912</v>
      </c>
      <c r="J139" s="213" t="str">
        <f t="array" ref="J139:M139">_xlfn.XLOOKUP(C139,'ESAP NEIVA FASE II UNIFICADO'!$C$6:$C$720,'ESAP NEIVA FASE II UNIFICADO'!$C$6:$F$720,"NO ESTA")</f>
        <v>SUMINISTRO E INSTALACION PUERTA METALICA DEPOSITOS TIPO P-2 Ver NOTAS GENERALES DE PLANCHA</v>
      </c>
      <c r="K139" t="str">
        <v>M2</v>
      </c>
      <c r="L139">
        <v>0</v>
      </c>
      <c r="M139">
        <v>131548</v>
      </c>
      <c r="N139" s="115">
        <f t="shared" si="12"/>
        <v>131548</v>
      </c>
      <c r="O139" s="146">
        <f t="shared" si="13"/>
        <v>284143.68</v>
      </c>
      <c r="P139" s="119"/>
    </row>
    <row r="140" spans="2:16" ht="25.5" customHeight="1" x14ac:dyDescent="0.25">
      <c r="B140" s="86" t="s">
        <v>249</v>
      </c>
      <c r="C140" s="87" t="s">
        <v>237</v>
      </c>
      <c r="D140" s="82" t="s">
        <v>13</v>
      </c>
      <c r="E140" s="83">
        <v>4.8</v>
      </c>
      <c r="F140" s="88">
        <v>677048</v>
      </c>
      <c r="G140" s="89">
        <f t="shared" si="10"/>
        <v>3249830.4</v>
      </c>
      <c r="H140" s="209">
        <f t="shared" si="11"/>
        <v>712932</v>
      </c>
      <c r="I140" s="209">
        <f t="shared" si="14"/>
        <v>3422073.6</v>
      </c>
      <c r="J140" s="213" t="str">
        <f t="array" ref="J140:M140">_xlfn.XLOOKUP(C140,'ESAP NEIVA FASE II UNIFICADO'!$C$6:$C$720,'ESAP NEIVA FASE II UNIFICADO'!$C$6:$F$720,"NO ESTA")</f>
        <v>SUMINISTRO E INSTALACION PUERTA DIVISORIA DE MADERA TIPO P-3 Ver NOTAS GENERALES DE PLANCHA</v>
      </c>
      <c r="K140" t="str">
        <v>M2</v>
      </c>
      <c r="L140">
        <v>0</v>
      </c>
      <c r="M140">
        <v>731553</v>
      </c>
      <c r="N140" s="115">
        <f t="shared" si="12"/>
        <v>731553</v>
      </c>
      <c r="O140" s="146">
        <f t="shared" si="13"/>
        <v>3511454.4</v>
      </c>
      <c r="P140" s="119"/>
    </row>
    <row r="141" spans="2:16" ht="25.5" customHeight="1" x14ac:dyDescent="0.25">
      <c r="B141" s="86" t="s">
        <v>250</v>
      </c>
      <c r="C141" s="87" t="s">
        <v>239</v>
      </c>
      <c r="D141" s="82" t="s">
        <v>13</v>
      </c>
      <c r="E141" s="83">
        <v>2.16</v>
      </c>
      <c r="F141" s="88">
        <v>677048</v>
      </c>
      <c r="G141" s="89">
        <f t="shared" si="10"/>
        <v>1462423.68</v>
      </c>
      <c r="H141" s="209">
        <f t="shared" si="11"/>
        <v>712932</v>
      </c>
      <c r="I141" s="209">
        <f t="shared" si="14"/>
        <v>1539933.12</v>
      </c>
      <c r="J141" s="213" t="str">
        <f t="array" ref="J141:M141">_xlfn.XLOOKUP(C141,'ESAP NEIVA FASE II UNIFICADO'!$C$6:$C$720,'ESAP NEIVA FASE II UNIFICADO'!$C$6:$F$720,"NO ESTA")</f>
        <v>SUMINISTRO E INSTALACION PUERTA DIVISORIA DE MADERA TIPO P-4 Ver NOTAS GENERALES DE PLANCHA</v>
      </c>
      <c r="K141" t="str">
        <v>M2</v>
      </c>
      <c r="L141">
        <v>0</v>
      </c>
      <c r="M141">
        <v>731553</v>
      </c>
      <c r="N141" s="115">
        <f t="shared" si="12"/>
        <v>731553</v>
      </c>
      <c r="O141" s="146">
        <f t="shared" si="13"/>
        <v>1580154.4800000002</v>
      </c>
      <c r="P141" s="119"/>
    </row>
    <row r="142" spans="2:16" ht="25.5" customHeight="1" x14ac:dyDescent="0.25">
      <c r="B142" s="86" t="s">
        <v>251</v>
      </c>
      <c r="C142" s="87" t="s">
        <v>241</v>
      </c>
      <c r="D142" s="82" t="s">
        <v>13</v>
      </c>
      <c r="E142" s="83">
        <v>2.88</v>
      </c>
      <c r="F142" s="88">
        <v>677048</v>
      </c>
      <c r="G142" s="89">
        <f t="shared" si="10"/>
        <v>1949898.24</v>
      </c>
      <c r="H142" s="209">
        <f t="shared" si="11"/>
        <v>712932</v>
      </c>
      <c r="I142" s="209">
        <f t="shared" si="14"/>
        <v>2053244.16</v>
      </c>
      <c r="J142" s="213" t="str">
        <f t="array" ref="J142:M142">_xlfn.XLOOKUP(C142,'ESAP NEIVA FASE II UNIFICADO'!$C$6:$C$720,'ESAP NEIVA FASE II UNIFICADO'!$C$6:$F$720,"NO ESTA")</f>
        <v>SUMINISTRO E INSTALACION PUERTA DIVISORIA DE MADERA TIPO P-5 Ver NOTAS GENERALES DE PLANCHA</v>
      </c>
      <c r="K142" t="str">
        <v>M2</v>
      </c>
      <c r="L142">
        <v>0</v>
      </c>
      <c r="M142">
        <v>731553</v>
      </c>
      <c r="N142" s="115">
        <f t="shared" si="12"/>
        <v>731553</v>
      </c>
      <c r="O142" s="146">
        <f t="shared" si="13"/>
        <v>2106872.64</v>
      </c>
      <c r="P142" s="119"/>
    </row>
    <row r="143" spans="2:16" ht="25.5" customHeight="1" x14ac:dyDescent="0.25">
      <c r="B143" s="86" t="s">
        <v>252</v>
      </c>
      <c r="C143" s="87" t="s">
        <v>244</v>
      </c>
      <c r="D143" s="82" t="s">
        <v>13</v>
      </c>
      <c r="E143" s="83">
        <v>14.21</v>
      </c>
      <c r="F143" s="88">
        <v>536623</v>
      </c>
      <c r="G143" s="89">
        <f t="shared" si="10"/>
        <v>7625412.8300000001</v>
      </c>
      <c r="H143" s="209">
        <f t="shared" si="11"/>
        <v>565064</v>
      </c>
      <c r="I143" s="209">
        <f t="shared" si="14"/>
        <v>8029559.4400000004</v>
      </c>
      <c r="J143" s="213" t="str">
        <f t="array" ref="J143:M143">_xlfn.XLOOKUP(C143,'ESAP NEIVA FASE II UNIFICADO'!$C$6:$C$720,'ESAP NEIVA FASE II UNIFICADO'!$C$6:$F$720,"NO ESTA")</f>
        <v>SUMINISTRO E INSTALACION PUERTA DIVISORIA EN VIDRIO TIPO PV1 Ver NOTAS GENERALES DE PLANCHA</v>
      </c>
      <c r="K143" t="str">
        <v>M2</v>
      </c>
      <c r="L143">
        <v>0</v>
      </c>
      <c r="M143">
        <v>579822</v>
      </c>
      <c r="N143" s="115">
        <f t="shared" si="12"/>
        <v>579822</v>
      </c>
      <c r="O143" s="146">
        <f t="shared" si="13"/>
        <v>8239270.6200000001</v>
      </c>
      <c r="P143" s="119"/>
    </row>
    <row r="144" spans="2:16" ht="16.5" customHeight="1" x14ac:dyDescent="0.25">
      <c r="B144" s="74">
        <v>10</v>
      </c>
      <c r="C144" s="75" t="s">
        <v>253</v>
      </c>
      <c r="D144" s="76"/>
      <c r="E144" s="77"/>
      <c r="F144" s="78"/>
      <c r="G144" s="89">
        <f t="shared" si="10"/>
        <v>0</v>
      </c>
      <c r="H144" s="209">
        <f t="shared" si="11"/>
        <v>0</v>
      </c>
      <c r="I144" s="209">
        <f t="shared" si="14"/>
        <v>0</v>
      </c>
      <c r="J144" s="213" t="str">
        <f t="array" ref="J144:M144">_xlfn.XLOOKUP(C144,'ESAP NEIVA FASE II UNIFICADO'!$C$6:$C$720,'ESAP NEIVA FASE II UNIFICADO'!$C$6:$F$720,"NO ESTA")</f>
        <v>OTROS ARQUITECTONICOS</v>
      </c>
      <c r="K144">
        <v>0</v>
      </c>
      <c r="L144">
        <v>0</v>
      </c>
      <c r="M144">
        <v>0</v>
      </c>
      <c r="N144" s="115">
        <f t="shared" si="12"/>
        <v>0</v>
      </c>
      <c r="O144" s="146">
        <f t="shared" si="13"/>
        <v>0</v>
      </c>
      <c r="P144" s="119"/>
    </row>
    <row r="145" spans="2:16" ht="15" customHeight="1" x14ac:dyDescent="0.25">
      <c r="B145" s="80" t="s">
        <v>254</v>
      </c>
      <c r="C145" s="81" t="s">
        <v>255</v>
      </c>
      <c r="D145" s="82"/>
      <c r="E145" s="83"/>
      <c r="F145" s="90"/>
      <c r="G145" s="89">
        <f t="shared" si="10"/>
        <v>0</v>
      </c>
      <c r="H145" s="209">
        <f t="shared" si="11"/>
        <v>0</v>
      </c>
      <c r="I145" s="209">
        <f t="shared" si="14"/>
        <v>0</v>
      </c>
      <c r="J145" s="213" t="str">
        <f t="array" ref="J145:M145">_xlfn.XLOOKUP(C145,'ESAP NEIVA FASE II UNIFICADO'!$C$6:$C$720,'ESAP NEIVA FASE II UNIFICADO'!$C$6:$F$720,"NO ESTA")</f>
        <v>SUMINISTRO E INSTALACIÓN DE BARANDAS</v>
      </c>
      <c r="K145">
        <v>0</v>
      </c>
      <c r="L145">
        <v>0</v>
      </c>
      <c r="M145">
        <v>0</v>
      </c>
      <c r="N145" s="115">
        <f t="shared" si="12"/>
        <v>0</v>
      </c>
      <c r="O145" s="146">
        <f t="shared" si="13"/>
        <v>0</v>
      </c>
      <c r="P145" s="119"/>
    </row>
    <row r="146" spans="2:16" ht="25.5" customHeight="1" x14ac:dyDescent="0.25">
      <c r="B146" s="86" t="s">
        <v>256</v>
      </c>
      <c r="C146" s="87" t="s">
        <v>257</v>
      </c>
      <c r="D146" s="82" t="s">
        <v>94</v>
      </c>
      <c r="E146" s="83">
        <v>106</v>
      </c>
      <c r="F146" s="88">
        <v>616205</v>
      </c>
      <c r="G146" s="89">
        <f t="shared" si="10"/>
        <v>65317730</v>
      </c>
      <c r="H146" s="209">
        <f t="shared" si="11"/>
        <v>648864</v>
      </c>
      <c r="I146" s="209">
        <f t="shared" si="14"/>
        <v>68779584</v>
      </c>
      <c r="J146" s="213" t="str">
        <f t="array" ref="J146:M146">_xlfn.XLOOKUP(C146,'ESAP NEIVA FASE II UNIFICADO'!$C$6:$C$720,'ESAP NEIVA FASE II UNIFICADO'!$C$6:$F$720,"NO ESTA")</f>
        <v>SUMINISTRO E INSTALACION BARANDA TIPO B1 EN ACERO INOXIDABLE (Incluye todos los accesorios para su instalación)</v>
      </c>
      <c r="K146" t="str">
        <v>ML</v>
      </c>
      <c r="L146">
        <v>288.39999999999998</v>
      </c>
      <c r="M146">
        <v>592889</v>
      </c>
      <c r="N146" s="115">
        <f t="shared" si="12"/>
        <v>616205</v>
      </c>
      <c r="O146" s="146">
        <f t="shared" si="13"/>
        <v>65317730</v>
      </c>
      <c r="P146" s="119"/>
    </row>
    <row r="147" spans="2:16" ht="25.5" customHeight="1" x14ac:dyDescent="0.25">
      <c r="B147" s="86" t="s">
        <v>258</v>
      </c>
      <c r="C147" s="87" t="s">
        <v>259</v>
      </c>
      <c r="D147" s="82" t="s">
        <v>94</v>
      </c>
      <c r="E147" s="83">
        <v>16</v>
      </c>
      <c r="F147" s="88">
        <v>234945</v>
      </c>
      <c r="G147" s="89">
        <f t="shared" si="10"/>
        <v>3759120</v>
      </c>
      <c r="H147" s="209">
        <f t="shared" si="11"/>
        <v>247397</v>
      </c>
      <c r="I147" s="209">
        <f t="shared" si="14"/>
        <v>3958352</v>
      </c>
      <c r="J147" s="213" t="str">
        <f t="array" ref="J147:M147">_xlfn.XLOOKUP(C147,'ESAP NEIVA FASE II UNIFICADO'!$C$6:$C$720,'ESAP NEIVA FASE II UNIFICADO'!$C$6:$F$720,"NO ESTA")</f>
        <v>SUMINISTRO E INSTALACION PASAMANOS PUNTO FIJO No. 1 (Incluye todos los accesorios para su instalación)</v>
      </c>
      <c r="K147" t="str">
        <v>ML</v>
      </c>
      <c r="L147">
        <v>44.13</v>
      </c>
      <c r="M147">
        <v>253859</v>
      </c>
      <c r="N147" s="115">
        <f t="shared" si="12"/>
        <v>253859</v>
      </c>
      <c r="O147" s="146">
        <f t="shared" si="13"/>
        <v>4061744</v>
      </c>
      <c r="P147" s="119"/>
    </row>
    <row r="148" spans="2:16" ht="15" customHeight="1" x14ac:dyDescent="0.25">
      <c r="B148" s="80" t="s">
        <v>260</v>
      </c>
      <c r="C148" s="81" t="s">
        <v>261</v>
      </c>
      <c r="D148" s="82"/>
      <c r="E148" s="83"/>
      <c r="F148" s="90"/>
      <c r="G148" s="89">
        <f t="shared" si="10"/>
        <v>0</v>
      </c>
      <c r="H148" s="209">
        <f t="shared" si="11"/>
        <v>0</v>
      </c>
      <c r="I148" s="209">
        <f t="shared" si="14"/>
        <v>0</v>
      </c>
      <c r="J148" s="213" t="str">
        <f t="array" ref="J148:M148">_xlfn.XLOOKUP(C148,'ESAP NEIVA FASE II UNIFICADO'!$C$6:$C$720,'ESAP NEIVA FASE II UNIFICADO'!$C$6:$F$720,"NO ESTA")</f>
        <v>SUMINISTRO E INSTALACIÓN DE DIVISIONES DE BAÑOS</v>
      </c>
      <c r="K148">
        <v>0</v>
      </c>
      <c r="L148">
        <v>0</v>
      </c>
      <c r="M148">
        <v>0</v>
      </c>
      <c r="N148" s="115">
        <f t="shared" si="12"/>
        <v>0</v>
      </c>
      <c r="O148" s="146">
        <f t="shared" si="13"/>
        <v>0</v>
      </c>
      <c r="P148" s="119"/>
    </row>
    <row r="149" spans="2:16" ht="25.5" customHeight="1" x14ac:dyDescent="0.25">
      <c r="B149" s="86" t="s">
        <v>262</v>
      </c>
      <c r="C149" s="87" t="s">
        <v>263</v>
      </c>
      <c r="D149" s="82" t="s">
        <v>13</v>
      </c>
      <c r="E149" s="83">
        <v>83.5</v>
      </c>
      <c r="F149" s="88">
        <v>563546</v>
      </c>
      <c r="G149" s="89">
        <f t="shared" si="10"/>
        <v>47056091</v>
      </c>
      <c r="H149" s="209">
        <f t="shared" si="11"/>
        <v>593414</v>
      </c>
      <c r="I149" s="209">
        <f t="shared" si="14"/>
        <v>49550069</v>
      </c>
      <c r="J149" s="213" t="str">
        <f t="array" ref="J149:M149">_xlfn.XLOOKUP(C149,'ESAP NEIVA FASE II UNIFICADO'!$C$6:$C$720,'ESAP NEIVA FASE II UNIFICADO'!$C$6:$F$720,"NO ESTA")</f>
        <v>SUMINISTRO E INSTALACION DIVISION EN ACERO INOXIDABLE BAÑOS (Incluye todos los accesorios para su instalación)</v>
      </c>
      <c r="K149" t="str">
        <v>M2</v>
      </c>
      <c r="L149">
        <v>83.5</v>
      </c>
      <c r="M149">
        <v>608913</v>
      </c>
      <c r="N149" s="115">
        <f t="shared" si="12"/>
        <v>608913</v>
      </c>
      <c r="O149" s="146">
        <f t="shared" si="13"/>
        <v>50844235.5</v>
      </c>
      <c r="P149" s="119"/>
    </row>
    <row r="150" spans="2:16" ht="14.25" customHeight="1" x14ac:dyDescent="0.25">
      <c r="B150" s="74">
        <v>12</v>
      </c>
      <c r="C150" s="75" t="s">
        <v>264</v>
      </c>
      <c r="D150" s="76"/>
      <c r="E150" s="77"/>
      <c r="F150" s="78"/>
      <c r="G150" s="89">
        <f t="shared" si="10"/>
        <v>0</v>
      </c>
      <c r="H150" s="209">
        <f t="shared" si="11"/>
        <v>0</v>
      </c>
      <c r="I150" s="209">
        <f t="shared" si="14"/>
        <v>0</v>
      </c>
      <c r="J150" s="213" t="str">
        <f t="array" ref="J150:M150">_xlfn.XLOOKUP(C150,'ESAP NEIVA FASE II UNIFICADO'!$C$6:$C$720,'ESAP NEIVA FASE II UNIFICADO'!$C$6:$F$720,"NO ESTA")</f>
        <v xml:space="preserve">RED HIDRÁULICO Y SANITARIO </v>
      </c>
      <c r="K150">
        <v>0</v>
      </c>
      <c r="L150">
        <v>0</v>
      </c>
      <c r="M150">
        <v>0</v>
      </c>
      <c r="N150" s="115">
        <f t="shared" si="12"/>
        <v>0</v>
      </c>
      <c r="O150" s="146">
        <f t="shared" si="13"/>
        <v>0</v>
      </c>
      <c r="P150" s="119"/>
    </row>
    <row r="151" spans="2:16" ht="15" customHeight="1" x14ac:dyDescent="0.25">
      <c r="B151" s="80" t="s">
        <v>265</v>
      </c>
      <c r="C151" s="81" t="s">
        <v>266</v>
      </c>
      <c r="D151" s="82"/>
      <c r="E151" s="83"/>
      <c r="F151" s="90"/>
      <c r="G151" s="89">
        <f t="shared" si="10"/>
        <v>0</v>
      </c>
      <c r="H151" s="209">
        <f t="shared" si="11"/>
        <v>0</v>
      </c>
      <c r="I151" s="209">
        <f t="shared" si="14"/>
        <v>0</v>
      </c>
      <c r="J151" s="213" t="str">
        <f t="array" ref="J151:M151">_xlfn.XLOOKUP(C151,'ESAP NEIVA FASE II UNIFICADO'!$C$6:$C$720,'ESAP NEIVA FASE II UNIFICADO'!$C$6:$F$720,"NO ESTA")</f>
        <v>SUMINISTRO E INSTALACIÓN RED AGUA POTABLE</v>
      </c>
      <c r="K151">
        <v>0</v>
      </c>
      <c r="L151">
        <v>0</v>
      </c>
      <c r="M151">
        <v>0</v>
      </c>
      <c r="N151" s="115">
        <f t="shared" si="12"/>
        <v>0</v>
      </c>
      <c r="O151" s="146">
        <f t="shared" si="13"/>
        <v>0</v>
      </c>
      <c r="P151" s="119"/>
    </row>
    <row r="152" spans="2:16" ht="15" customHeight="1" x14ac:dyDescent="0.25">
      <c r="B152" s="86" t="s">
        <v>267</v>
      </c>
      <c r="C152" s="87" t="s">
        <v>268</v>
      </c>
      <c r="D152" s="82" t="s">
        <v>269</v>
      </c>
      <c r="E152" s="83">
        <v>45</v>
      </c>
      <c r="F152" s="88">
        <v>11732</v>
      </c>
      <c r="G152" s="89">
        <f t="shared" si="10"/>
        <v>527940</v>
      </c>
      <c r="H152" s="209">
        <f t="shared" si="11"/>
        <v>12354</v>
      </c>
      <c r="I152" s="209">
        <f t="shared" si="14"/>
        <v>555930</v>
      </c>
      <c r="J152" s="213" t="str">
        <f t="array" ref="J152:M152">_xlfn.XLOOKUP(C152,'ESAP NEIVA FASE II UNIFICADO'!$C$6:$C$720,'ESAP NEIVA FASE II UNIFICADO'!$C$6:$F$720,"NO ESTA")</f>
        <v>SUMINISTRO E INSTALACIÓN TUBERIA PVC-P DIAMETRO 1/2" RDE 9</v>
      </c>
      <c r="K152" t="str">
        <v xml:space="preserve">ML   </v>
      </c>
      <c r="L152">
        <v>121</v>
      </c>
      <c r="M152">
        <v>12676</v>
      </c>
      <c r="N152" s="115">
        <f t="shared" si="12"/>
        <v>12676</v>
      </c>
      <c r="O152" s="146">
        <f t="shared" si="13"/>
        <v>570420</v>
      </c>
      <c r="P152" s="119"/>
    </row>
    <row r="153" spans="2:16" ht="15" customHeight="1" x14ac:dyDescent="0.25">
      <c r="B153" s="86" t="s">
        <v>270</v>
      </c>
      <c r="C153" s="87" t="s">
        <v>271</v>
      </c>
      <c r="D153" s="82" t="s">
        <v>269</v>
      </c>
      <c r="E153" s="83">
        <v>18</v>
      </c>
      <c r="F153" s="88">
        <v>17455</v>
      </c>
      <c r="G153" s="89">
        <f t="shared" si="10"/>
        <v>314190</v>
      </c>
      <c r="H153" s="209">
        <f t="shared" si="11"/>
        <v>18380</v>
      </c>
      <c r="I153" s="209">
        <f t="shared" si="14"/>
        <v>330840</v>
      </c>
      <c r="J153" s="213" t="str">
        <f t="array" ref="J153:M153">_xlfn.XLOOKUP(C153,'ESAP NEIVA FASE II UNIFICADO'!$C$6:$C$720,'ESAP NEIVA FASE II UNIFICADO'!$C$6:$F$720,"NO ESTA")</f>
        <v>SUMINISTRO E INSTALACIÓN TUBERIA PCV-P DIAMETRO 3/4" RDE 11</v>
      </c>
      <c r="K153" t="str">
        <v xml:space="preserve">ML   </v>
      </c>
      <c r="L153">
        <v>49</v>
      </c>
      <c r="M153">
        <v>18861</v>
      </c>
      <c r="N153" s="115">
        <f t="shared" si="12"/>
        <v>18861</v>
      </c>
      <c r="O153" s="146">
        <f t="shared" si="13"/>
        <v>339498</v>
      </c>
      <c r="P153" s="119"/>
    </row>
    <row r="154" spans="2:16" ht="15" customHeight="1" x14ac:dyDescent="0.25">
      <c r="B154" s="86" t="s">
        <v>272</v>
      </c>
      <c r="C154" s="87" t="s">
        <v>273</v>
      </c>
      <c r="D154" s="82" t="s">
        <v>269</v>
      </c>
      <c r="E154" s="83">
        <v>15</v>
      </c>
      <c r="F154" s="88">
        <v>18509</v>
      </c>
      <c r="G154" s="89">
        <f t="shared" si="10"/>
        <v>277635</v>
      </c>
      <c r="H154" s="209">
        <f t="shared" si="11"/>
        <v>19490</v>
      </c>
      <c r="I154" s="209">
        <f t="shared" si="14"/>
        <v>292350</v>
      </c>
      <c r="J154" s="213" t="str">
        <f t="array" ref="J154:M154">_xlfn.XLOOKUP(C154,'ESAP NEIVA FASE II UNIFICADO'!$C$6:$C$720,'ESAP NEIVA FASE II UNIFICADO'!$C$6:$F$720,"NO ESTA")</f>
        <v>SUMINISTRO E INSTALACIÓN TUBERIA PCV-P DIAMETRO 1" RDE 13,5</v>
      </c>
      <c r="K154" t="str">
        <v xml:space="preserve">ML   </v>
      </c>
      <c r="L154">
        <v>40</v>
      </c>
      <c r="M154">
        <v>19999</v>
      </c>
      <c r="N154" s="115">
        <f t="shared" si="12"/>
        <v>19999</v>
      </c>
      <c r="O154" s="146">
        <f t="shared" si="13"/>
        <v>299985</v>
      </c>
      <c r="P154" s="119"/>
    </row>
    <row r="155" spans="2:16" ht="15" customHeight="1" x14ac:dyDescent="0.25">
      <c r="B155" s="86" t="s">
        <v>274</v>
      </c>
      <c r="C155" s="87" t="s">
        <v>275</v>
      </c>
      <c r="D155" s="82" t="s">
        <v>269</v>
      </c>
      <c r="E155" s="83">
        <v>23</v>
      </c>
      <c r="F155" s="88">
        <v>19662</v>
      </c>
      <c r="G155" s="89">
        <f t="shared" si="10"/>
        <v>452226</v>
      </c>
      <c r="H155" s="209">
        <f t="shared" si="11"/>
        <v>20704</v>
      </c>
      <c r="I155" s="209">
        <f t="shared" si="14"/>
        <v>476192</v>
      </c>
      <c r="J155" s="213" t="str">
        <f t="array" ref="J155:M155">_xlfn.XLOOKUP(C155,'ESAP NEIVA FASE II UNIFICADO'!$C$6:$C$720,'ESAP NEIVA FASE II UNIFICADO'!$C$6:$F$720,"NO ESTA")</f>
        <v>SUMINISTRO E INSTALACIÓN TUBERIA PCV-P DIAMETRO 1 1/4" RDE 21</v>
      </c>
      <c r="K155" t="str">
        <v xml:space="preserve">ML   </v>
      </c>
      <c r="L155">
        <v>64</v>
      </c>
      <c r="M155">
        <v>21245</v>
      </c>
      <c r="N155" s="115">
        <f t="shared" si="12"/>
        <v>21245</v>
      </c>
      <c r="O155" s="146">
        <f t="shared" si="13"/>
        <v>488635</v>
      </c>
      <c r="P155" s="119"/>
    </row>
    <row r="156" spans="2:16" ht="15" customHeight="1" x14ac:dyDescent="0.25">
      <c r="B156" s="86" t="s">
        <v>276</v>
      </c>
      <c r="C156" s="87" t="s">
        <v>277</v>
      </c>
      <c r="D156" s="82" t="s">
        <v>269</v>
      </c>
      <c r="E156" s="83">
        <v>21</v>
      </c>
      <c r="F156" s="88">
        <v>25274</v>
      </c>
      <c r="G156" s="89">
        <f t="shared" si="10"/>
        <v>530754</v>
      </c>
      <c r="H156" s="209">
        <f t="shared" si="11"/>
        <v>26614</v>
      </c>
      <c r="I156" s="209">
        <f t="shared" si="14"/>
        <v>558894</v>
      </c>
      <c r="J156" s="213" t="str">
        <f t="array" ref="J156:M156">_xlfn.XLOOKUP(C156,'ESAP NEIVA FASE II UNIFICADO'!$C$6:$C$720,'ESAP NEIVA FASE II UNIFICADO'!$C$6:$F$720,"NO ESTA")</f>
        <v>SUMINISTRO E INSTALACIÓN TUBERIA PCV-P DIAMETRO 1 1/2" RDE 21</v>
      </c>
      <c r="K156" t="str">
        <v xml:space="preserve">ML   </v>
      </c>
      <c r="L156">
        <v>57</v>
      </c>
      <c r="M156">
        <v>27309</v>
      </c>
      <c r="N156" s="115">
        <f t="shared" si="12"/>
        <v>27309</v>
      </c>
      <c r="O156" s="146">
        <f t="shared" si="13"/>
        <v>573489</v>
      </c>
      <c r="P156" s="119"/>
    </row>
    <row r="157" spans="2:16" ht="15" customHeight="1" x14ac:dyDescent="0.25">
      <c r="B157" s="86" t="s">
        <v>278</v>
      </c>
      <c r="C157" s="87" t="s">
        <v>279</v>
      </c>
      <c r="D157" s="82" t="s">
        <v>269</v>
      </c>
      <c r="E157" s="83">
        <v>33</v>
      </c>
      <c r="F157" s="88">
        <v>36185</v>
      </c>
      <c r="G157" s="89">
        <f t="shared" si="10"/>
        <v>1194105</v>
      </c>
      <c r="H157" s="209">
        <f t="shared" si="11"/>
        <v>38103</v>
      </c>
      <c r="I157" s="209">
        <f t="shared" si="14"/>
        <v>1257399</v>
      </c>
      <c r="J157" s="213" t="str">
        <f t="array" ref="J157:M157">_xlfn.XLOOKUP(C157,'ESAP NEIVA FASE II UNIFICADO'!$C$6:$C$720,'ESAP NEIVA FASE II UNIFICADO'!$C$6:$F$720,"NO ESTA")</f>
        <v>SUMINISTRO E INSTALACIÓN TUBERIA PCV-P DIAMETRO 2" RDE 21</v>
      </c>
      <c r="K157" t="str">
        <v xml:space="preserve">ML   </v>
      </c>
      <c r="L157">
        <v>90</v>
      </c>
      <c r="M157">
        <v>39097</v>
      </c>
      <c r="N157" s="115">
        <f t="shared" si="12"/>
        <v>39097</v>
      </c>
      <c r="O157" s="146">
        <f t="shared" si="13"/>
        <v>1290201</v>
      </c>
      <c r="P157" s="119"/>
    </row>
    <row r="158" spans="2:16" ht="15" customHeight="1" x14ac:dyDescent="0.25">
      <c r="B158" s="86" t="s">
        <v>280</v>
      </c>
      <c r="C158" s="87" t="s">
        <v>281</v>
      </c>
      <c r="D158" s="82" t="s">
        <v>269</v>
      </c>
      <c r="E158" s="83">
        <v>7</v>
      </c>
      <c r="F158" s="88">
        <v>48841</v>
      </c>
      <c r="G158" s="89">
        <f t="shared" si="10"/>
        <v>341887</v>
      </c>
      <c r="H158" s="209">
        <f t="shared" si="11"/>
        <v>51430</v>
      </c>
      <c r="I158" s="209">
        <f t="shared" si="14"/>
        <v>360010</v>
      </c>
      <c r="J158" s="213" t="str">
        <f t="array" ref="J158:M158">_xlfn.XLOOKUP(C158,'ESAP NEIVA FASE II UNIFICADO'!$C$6:$C$720,'ESAP NEIVA FASE II UNIFICADO'!$C$6:$F$720,"NO ESTA")</f>
        <v>SUMINISTRO E INSTALACIÓN TUBERIA PCV-P DIAMETRO 2 1/2" RDE 21</v>
      </c>
      <c r="K158" t="str">
        <v xml:space="preserve">ML   </v>
      </c>
      <c r="L158">
        <v>18</v>
      </c>
      <c r="M158">
        <v>52773</v>
      </c>
      <c r="N158" s="115">
        <f t="shared" si="12"/>
        <v>52773</v>
      </c>
      <c r="O158" s="146">
        <f t="shared" si="13"/>
        <v>369411</v>
      </c>
      <c r="P158" s="119"/>
    </row>
    <row r="159" spans="2:16" ht="15" customHeight="1" x14ac:dyDescent="0.25">
      <c r="B159" s="86" t="s">
        <v>282</v>
      </c>
      <c r="C159" s="87" t="s">
        <v>283</v>
      </c>
      <c r="D159" s="82" t="s">
        <v>284</v>
      </c>
      <c r="E159" s="83">
        <v>39</v>
      </c>
      <c r="F159" s="88">
        <v>3037</v>
      </c>
      <c r="G159" s="89">
        <f t="shared" si="10"/>
        <v>118443</v>
      </c>
      <c r="H159" s="209">
        <f t="shared" si="11"/>
        <v>3198</v>
      </c>
      <c r="I159" s="209">
        <f t="shared" si="14"/>
        <v>124722</v>
      </c>
      <c r="J159" s="213" t="str">
        <f t="array" ref="J159:M159">_xlfn.XLOOKUP(C159,'ESAP NEIVA FASE II UNIFICADO'!$C$6:$C$720,'ESAP NEIVA FASE II UNIFICADO'!$C$6:$F$720,"NO ESTA")</f>
        <v>SUMINISTRO E INSTALACIÓN ACCESORIOS PVC-P 1/2" SCH 40</v>
      </c>
      <c r="K159" t="str">
        <v xml:space="preserve">UN   </v>
      </c>
      <c r="L159">
        <v>105</v>
      </c>
      <c r="M159">
        <v>3281</v>
      </c>
      <c r="N159" s="115">
        <f t="shared" si="12"/>
        <v>3281</v>
      </c>
      <c r="O159" s="146">
        <f t="shared" si="13"/>
        <v>127959</v>
      </c>
      <c r="P159" s="119"/>
    </row>
    <row r="160" spans="2:16" ht="15" customHeight="1" x14ac:dyDescent="0.25">
      <c r="B160" s="86" t="s">
        <v>285</v>
      </c>
      <c r="C160" s="87" t="s">
        <v>286</v>
      </c>
      <c r="D160" s="82" t="s">
        <v>284</v>
      </c>
      <c r="E160" s="83">
        <v>14</v>
      </c>
      <c r="F160" s="88">
        <v>3606</v>
      </c>
      <c r="G160" s="89">
        <f t="shared" si="10"/>
        <v>50484</v>
      </c>
      <c r="H160" s="209">
        <f t="shared" si="11"/>
        <v>3797</v>
      </c>
      <c r="I160" s="209">
        <f t="shared" si="14"/>
        <v>53158</v>
      </c>
      <c r="J160" s="213" t="str">
        <f t="array" ref="J160:M160">_xlfn.XLOOKUP(C160,'ESAP NEIVA FASE II UNIFICADO'!$C$6:$C$720,'ESAP NEIVA FASE II UNIFICADO'!$C$6:$F$720,"NO ESTA")</f>
        <v>SUMINISTRO E INSTALACIÓN ACCESORIOS PVC-P 3/4" SCH 40</v>
      </c>
      <c r="K160" t="str">
        <v xml:space="preserve">UN   </v>
      </c>
      <c r="L160">
        <v>38</v>
      </c>
      <c r="M160">
        <v>3896</v>
      </c>
      <c r="N160" s="115">
        <f t="shared" si="12"/>
        <v>3896</v>
      </c>
      <c r="O160" s="146">
        <f t="shared" si="13"/>
        <v>54544</v>
      </c>
      <c r="P160" s="119"/>
    </row>
    <row r="161" spans="2:16" ht="15" customHeight="1" x14ac:dyDescent="0.25">
      <c r="B161" s="86" t="s">
        <v>287</v>
      </c>
      <c r="C161" s="87" t="s">
        <v>288</v>
      </c>
      <c r="D161" s="82" t="s">
        <v>284</v>
      </c>
      <c r="E161" s="83">
        <v>11</v>
      </c>
      <c r="F161" s="88">
        <v>4260</v>
      </c>
      <c r="G161" s="89">
        <f t="shared" si="10"/>
        <v>46860</v>
      </c>
      <c r="H161" s="209">
        <f t="shared" si="11"/>
        <v>4486</v>
      </c>
      <c r="I161" s="209">
        <f t="shared" si="14"/>
        <v>49346</v>
      </c>
      <c r="J161" s="213" t="str">
        <f t="array" ref="J161:M161">_xlfn.XLOOKUP(C161,'ESAP NEIVA FASE II UNIFICADO'!$C$6:$C$720,'ESAP NEIVA FASE II UNIFICADO'!$C$6:$F$720,"NO ESTA")</f>
        <v>SUMINISTRO E INSTALACIÓN ACCESORIOS PVC-P 1" SCH 40</v>
      </c>
      <c r="K161" t="str">
        <v xml:space="preserve">UN   </v>
      </c>
      <c r="L161">
        <v>30</v>
      </c>
      <c r="M161">
        <v>4602</v>
      </c>
      <c r="N161" s="115">
        <f t="shared" si="12"/>
        <v>4602</v>
      </c>
      <c r="O161" s="146">
        <f t="shared" si="13"/>
        <v>50622</v>
      </c>
      <c r="P161" s="119"/>
    </row>
    <row r="162" spans="2:16" ht="15" customHeight="1" x14ac:dyDescent="0.25">
      <c r="B162" s="86" t="s">
        <v>289</v>
      </c>
      <c r="C162" s="87" t="s">
        <v>290</v>
      </c>
      <c r="D162" s="82" t="s">
        <v>284</v>
      </c>
      <c r="E162" s="83">
        <v>35</v>
      </c>
      <c r="F162" s="88">
        <v>6724</v>
      </c>
      <c r="G162" s="89">
        <f t="shared" si="10"/>
        <v>235340</v>
      </c>
      <c r="H162" s="209">
        <f t="shared" si="11"/>
        <v>7080</v>
      </c>
      <c r="I162" s="209">
        <f t="shared" si="14"/>
        <v>247800</v>
      </c>
      <c r="J162" s="213" t="str">
        <f t="array" ref="J162:M162">_xlfn.XLOOKUP(C162,'ESAP NEIVA FASE II UNIFICADO'!$C$6:$C$720,'ESAP NEIVA FASE II UNIFICADO'!$C$6:$F$720,"NO ESTA")</f>
        <v>SUMINISTRO E INSTALACIÓN ACCESORIOS PVC-P 1 1/4" SCH 40</v>
      </c>
      <c r="K162" t="str">
        <v xml:space="preserve">UN   </v>
      </c>
      <c r="L162">
        <v>96</v>
      </c>
      <c r="M162">
        <v>7266</v>
      </c>
      <c r="N162" s="115">
        <f t="shared" si="12"/>
        <v>7266</v>
      </c>
      <c r="O162" s="146">
        <f t="shared" si="13"/>
        <v>254310</v>
      </c>
      <c r="P162" s="119"/>
    </row>
    <row r="163" spans="2:16" ht="15" customHeight="1" x14ac:dyDescent="0.25">
      <c r="B163" s="86" t="s">
        <v>291</v>
      </c>
      <c r="C163" s="87" t="s">
        <v>292</v>
      </c>
      <c r="D163" s="82" t="s">
        <v>284</v>
      </c>
      <c r="E163" s="83">
        <v>30</v>
      </c>
      <c r="F163" s="88">
        <v>8290</v>
      </c>
      <c r="G163" s="89">
        <f t="shared" si="10"/>
        <v>248700</v>
      </c>
      <c r="H163" s="209">
        <f t="shared" si="11"/>
        <v>8729</v>
      </c>
      <c r="I163" s="209">
        <f t="shared" si="14"/>
        <v>261870</v>
      </c>
      <c r="J163" s="213" t="str">
        <f t="array" ref="J163:M163">_xlfn.XLOOKUP(C163,'ESAP NEIVA FASE II UNIFICADO'!$C$6:$C$720,'ESAP NEIVA FASE II UNIFICADO'!$C$6:$F$720,"NO ESTA")</f>
        <v xml:space="preserve">SUMINISTRO E INSTALACIÓN ACCESORIOS PVC-P 1 1/2" SCH 40                                                </v>
      </c>
      <c r="K163" t="str">
        <v xml:space="preserve">UN   </v>
      </c>
      <c r="L163">
        <v>82</v>
      </c>
      <c r="M163">
        <v>8958</v>
      </c>
      <c r="N163" s="115">
        <f t="shared" si="12"/>
        <v>8958</v>
      </c>
      <c r="O163" s="146">
        <f t="shared" si="13"/>
        <v>268740</v>
      </c>
      <c r="P163" s="119"/>
    </row>
    <row r="164" spans="2:16" ht="15" customHeight="1" x14ac:dyDescent="0.25">
      <c r="B164" s="86" t="s">
        <v>293</v>
      </c>
      <c r="C164" s="87" t="s">
        <v>294</v>
      </c>
      <c r="D164" s="82" t="s">
        <v>284</v>
      </c>
      <c r="E164" s="83">
        <v>21</v>
      </c>
      <c r="F164" s="88">
        <v>11299</v>
      </c>
      <c r="G164" s="89">
        <f t="shared" si="10"/>
        <v>237279</v>
      </c>
      <c r="H164" s="209">
        <f t="shared" si="11"/>
        <v>11898</v>
      </c>
      <c r="I164" s="209">
        <f t="shared" si="14"/>
        <v>249858</v>
      </c>
      <c r="J164" s="213" t="str">
        <f t="array" ref="J164:M164">_xlfn.XLOOKUP(C164,'ESAP NEIVA FASE II UNIFICADO'!$C$6:$C$720,'ESAP NEIVA FASE II UNIFICADO'!$C$6:$F$720,"NO ESTA")</f>
        <v>SUMINISTRO E INSTALACIÓN ACCESORIOS PVC-P 2" SCH 40</v>
      </c>
      <c r="K164" t="str">
        <v xml:space="preserve">UN   </v>
      </c>
      <c r="L164">
        <v>55</v>
      </c>
      <c r="M164">
        <v>12209</v>
      </c>
      <c r="N164" s="115">
        <f t="shared" si="12"/>
        <v>12209</v>
      </c>
      <c r="O164" s="146">
        <f t="shared" si="13"/>
        <v>256389</v>
      </c>
      <c r="P164" s="119"/>
    </row>
    <row r="165" spans="2:16" ht="15" customHeight="1" x14ac:dyDescent="0.25">
      <c r="B165" s="86" t="s">
        <v>295</v>
      </c>
      <c r="C165" s="87" t="s">
        <v>296</v>
      </c>
      <c r="D165" s="82" t="s">
        <v>284</v>
      </c>
      <c r="E165" s="83">
        <v>4</v>
      </c>
      <c r="F165" s="88">
        <v>27497</v>
      </c>
      <c r="G165" s="89">
        <f t="shared" si="10"/>
        <v>109988</v>
      </c>
      <c r="H165" s="209">
        <f t="shared" si="11"/>
        <v>28954</v>
      </c>
      <c r="I165" s="209">
        <f t="shared" si="14"/>
        <v>115816</v>
      </c>
      <c r="J165" s="213" t="str">
        <f t="array" ref="J165:M165">_xlfn.XLOOKUP(C165,'ESAP NEIVA FASE II UNIFICADO'!$C$6:$C$720,'ESAP NEIVA FASE II UNIFICADO'!$C$6:$F$720,"NO ESTA")</f>
        <v xml:space="preserve">SUMINISTRO E INSTALACIÓN ACCESORIOS PVC-P 2 1/2" SCH 40                                           </v>
      </c>
      <c r="K165" t="str">
        <v xml:space="preserve">UN   </v>
      </c>
      <c r="L165">
        <v>12</v>
      </c>
      <c r="M165">
        <v>29710</v>
      </c>
      <c r="N165" s="115">
        <f t="shared" si="12"/>
        <v>29710</v>
      </c>
      <c r="O165" s="146">
        <f t="shared" si="13"/>
        <v>118840</v>
      </c>
      <c r="P165" s="119"/>
    </row>
    <row r="166" spans="2:16" ht="15" customHeight="1" x14ac:dyDescent="0.25">
      <c r="B166" s="86" t="s">
        <v>297</v>
      </c>
      <c r="C166" s="87" t="s">
        <v>298</v>
      </c>
      <c r="D166" s="82" t="s">
        <v>284</v>
      </c>
      <c r="E166" s="83">
        <v>18</v>
      </c>
      <c r="F166" s="88">
        <v>1578</v>
      </c>
      <c r="G166" s="89">
        <f t="shared" si="10"/>
        <v>28404</v>
      </c>
      <c r="H166" s="209">
        <f t="shared" si="11"/>
        <v>1662</v>
      </c>
      <c r="I166" s="209">
        <f t="shared" si="14"/>
        <v>29916</v>
      </c>
      <c r="J166" s="213" t="str">
        <f t="array" ref="J166:M166">_xlfn.XLOOKUP(C166,'ESAP NEIVA FASE II UNIFICADO'!$C$6:$C$720,'ESAP NEIVA FASE II UNIFICADO'!$C$6:$F$720,"NO ESTA")</f>
        <v xml:space="preserve">SUMINISTRO E INSTALACIÓN SOPORTE DE 1/2"                                                                 </v>
      </c>
      <c r="K166" t="str">
        <v xml:space="preserve">UN   </v>
      </c>
      <c r="L166">
        <v>49</v>
      </c>
      <c r="M166">
        <v>1705</v>
      </c>
      <c r="N166" s="115">
        <f t="shared" si="12"/>
        <v>1705</v>
      </c>
      <c r="O166" s="146">
        <f t="shared" si="13"/>
        <v>30690</v>
      </c>
      <c r="P166" s="119"/>
    </row>
    <row r="167" spans="2:16" ht="15" customHeight="1" x14ac:dyDescent="0.25">
      <c r="B167" s="86" t="s">
        <v>299</v>
      </c>
      <c r="C167" s="87" t="s">
        <v>300</v>
      </c>
      <c r="D167" s="82" t="s">
        <v>284</v>
      </c>
      <c r="E167" s="83">
        <v>6</v>
      </c>
      <c r="F167" s="88">
        <v>2120</v>
      </c>
      <c r="G167" s="89">
        <f t="shared" si="10"/>
        <v>12720</v>
      </c>
      <c r="H167" s="209">
        <f t="shared" si="11"/>
        <v>2232</v>
      </c>
      <c r="I167" s="209">
        <f t="shared" si="14"/>
        <v>13392</v>
      </c>
      <c r="J167" s="213" t="str">
        <f t="array" ref="J167:M167">_xlfn.XLOOKUP(C167,'ESAP NEIVA FASE II UNIFICADO'!$C$6:$C$720,'ESAP NEIVA FASE II UNIFICADO'!$C$6:$F$720,"NO ESTA")</f>
        <v xml:space="preserve">SUMINISTRO E INSTALACIÓN SOPORTE DE 3/4"                                                                 </v>
      </c>
      <c r="K167" t="str">
        <v xml:space="preserve">UN   </v>
      </c>
      <c r="L167">
        <v>18</v>
      </c>
      <c r="M167">
        <v>2289</v>
      </c>
      <c r="N167" s="115">
        <f t="shared" si="12"/>
        <v>2289</v>
      </c>
      <c r="O167" s="146">
        <f t="shared" si="13"/>
        <v>13734</v>
      </c>
      <c r="P167" s="119"/>
    </row>
    <row r="168" spans="2:16" ht="15" customHeight="1" x14ac:dyDescent="0.25">
      <c r="B168" s="86" t="s">
        <v>301</v>
      </c>
      <c r="C168" s="87" t="s">
        <v>302</v>
      </c>
      <c r="D168" s="82" t="s">
        <v>284</v>
      </c>
      <c r="E168" s="83">
        <v>6</v>
      </c>
      <c r="F168" s="88">
        <v>2555</v>
      </c>
      <c r="G168" s="89">
        <f t="shared" si="10"/>
        <v>15330</v>
      </c>
      <c r="H168" s="209">
        <f t="shared" si="11"/>
        <v>2690</v>
      </c>
      <c r="I168" s="209">
        <f t="shared" si="14"/>
        <v>16140</v>
      </c>
      <c r="J168" s="213" t="str">
        <f t="array" ref="J168:M168">_xlfn.XLOOKUP(C168,'ESAP NEIVA FASE II UNIFICADO'!$C$6:$C$720,'ESAP NEIVA FASE II UNIFICADO'!$C$6:$F$720,"NO ESTA")</f>
        <v xml:space="preserve">SUMINISTRO E INSTALACIÓN SOPORTE DE 1"                                                                   </v>
      </c>
      <c r="K168" t="str">
        <v xml:space="preserve">UN   </v>
      </c>
      <c r="L168">
        <v>18</v>
      </c>
      <c r="M168">
        <v>2761</v>
      </c>
      <c r="N168" s="115">
        <f t="shared" si="12"/>
        <v>2761</v>
      </c>
      <c r="O168" s="146">
        <f t="shared" si="13"/>
        <v>16566</v>
      </c>
      <c r="P168" s="119"/>
    </row>
    <row r="169" spans="2:16" ht="15" customHeight="1" x14ac:dyDescent="0.25">
      <c r="B169" s="86" t="s">
        <v>303</v>
      </c>
      <c r="C169" s="87" t="s">
        <v>304</v>
      </c>
      <c r="D169" s="82" t="s">
        <v>284</v>
      </c>
      <c r="E169" s="83">
        <v>10</v>
      </c>
      <c r="F169" s="88">
        <v>2898</v>
      </c>
      <c r="G169" s="89">
        <f t="shared" si="10"/>
        <v>28980</v>
      </c>
      <c r="H169" s="209">
        <f t="shared" si="11"/>
        <v>3052</v>
      </c>
      <c r="I169" s="209">
        <f t="shared" si="14"/>
        <v>30520</v>
      </c>
      <c r="J169" s="213" t="str">
        <f t="array" ref="J169:M169">_xlfn.XLOOKUP(C169,'ESAP NEIVA FASE II UNIFICADO'!$C$6:$C$720,'ESAP NEIVA FASE II UNIFICADO'!$C$6:$F$720,"NO ESTA")</f>
        <v xml:space="preserve">SUMINISTRO E INSTALACIÓN SOPORTE DE 1 1/4"                                                               </v>
      </c>
      <c r="K169" t="str">
        <v xml:space="preserve">UN   </v>
      </c>
      <c r="L169">
        <v>26</v>
      </c>
      <c r="M169">
        <v>3131</v>
      </c>
      <c r="N169" s="115">
        <f t="shared" si="12"/>
        <v>3131</v>
      </c>
      <c r="O169" s="146">
        <f t="shared" si="13"/>
        <v>31310</v>
      </c>
      <c r="P169" s="119"/>
    </row>
    <row r="170" spans="2:16" ht="15" customHeight="1" x14ac:dyDescent="0.25">
      <c r="B170" s="86" t="s">
        <v>305</v>
      </c>
      <c r="C170" s="87" t="s">
        <v>306</v>
      </c>
      <c r="D170" s="82" t="s">
        <v>284</v>
      </c>
      <c r="E170" s="83">
        <v>9</v>
      </c>
      <c r="F170" s="88">
        <v>3509</v>
      </c>
      <c r="G170" s="89">
        <f t="shared" si="10"/>
        <v>31581</v>
      </c>
      <c r="H170" s="209">
        <f t="shared" si="11"/>
        <v>3695</v>
      </c>
      <c r="I170" s="209">
        <f t="shared" si="14"/>
        <v>33255</v>
      </c>
      <c r="J170" s="213" t="str">
        <f t="array" ref="J170:M170">_xlfn.XLOOKUP(C170,'ESAP NEIVA FASE II UNIFICADO'!$C$6:$C$720,'ESAP NEIVA FASE II UNIFICADO'!$C$6:$F$720,"NO ESTA")</f>
        <v xml:space="preserve">SUMINISTRO E INSTALACIÓN SOPORTE DE 1 1/2"                                                               </v>
      </c>
      <c r="K170" t="str">
        <v xml:space="preserve">UN   </v>
      </c>
      <c r="L170">
        <v>24</v>
      </c>
      <c r="M170">
        <v>3791</v>
      </c>
      <c r="N170" s="115">
        <f t="shared" si="12"/>
        <v>3791</v>
      </c>
      <c r="O170" s="146">
        <f t="shared" si="13"/>
        <v>34119</v>
      </c>
      <c r="P170" s="119"/>
    </row>
    <row r="171" spans="2:16" ht="15" customHeight="1" x14ac:dyDescent="0.25">
      <c r="B171" s="86" t="s">
        <v>307</v>
      </c>
      <c r="C171" s="87" t="s">
        <v>308</v>
      </c>
      <c r="D171" s="82" t="s">
        <v>284</v>
      </c>
      <c r="E171" s="83">
        <v>11</v>
      </c>
      <c r="F171" s="88">
        <v>4520</v>
      </c>
      <c r="G171" s="89">
        <f t="shared" si="10"/>
        <v>49720</v>
      </c>
      <c r="H171" s="209">
        <f t="shared" si="11"/>
        <v>4760</v>
      </c>
      <c r="I171" s="209">
        <f t="shared" si="14"/>
        <v>52360</v>
      </c>
      <c r="J171" s="213" t="str">
        <f t="array" ref="J171:M171">_xlfn.XLOOKUP(C171,'ESAP NEIVA FASE II UNIFICADO'!$C$6:$C$720,'ESAP NEIVA FASE II UNIFICADO'!$C$6:$F$720,"NO ESTA")</f>
        <v xml:space="preserve">SUMINISTRO E INSTALACIÓN SOPORTE DE 2"                                                                   </v>
      </c>
      <c r="K171" t="str">
        <v xml:space="preserve">UN   </v>
      </c>
      <c r="L171">
        <v>31</v>
      </c>
      <c r="M171">
        <v>4884</v>
      </c>
      <c r="N171" s="115">
        <f t="shared" si="12"/>
        <v>4884</v>
      </c>
      <c r="O171" s="146">
        <f t="shared" si="13"/>
        <v>53724</v>
      </c>
      <c r="P171" s="119"/>
    </row>
    <row r="172" spans="2:16" ht="15" customHeight="1" x14ac:dyDescent="0.25">
      <c r="B172" s="86" t="s">
        <v>309</v>
      </c>
      <c r="C172" s="87" t="s">
        <v>310</v>
      </c>
      <c r="D172" s="82" t="s">
        <v>284</v>
      </c>
      <c r="E172" s="83">
        <v>3</v>
      </c>
      <c r="F172" s="88">
        <v>5223</v>
      </c>
      <c r="G172" s="89">
        <f t="shared" si="10"/>
        <v>15669</v>
      </c>
      <c r="H172" s="209">
        <f t="shared" si="11"/>
        <v>5500</v>
      </c>
      <c r="I172" s="209">
        <f t="shared" si="14"/>
        <v>16500</v>
      </c>
      <c r="J172" s="213" t="str">
        <f t="array" ref="J172:M172">_xlfn.XLOOKUP(C172,'ESAP NEIVA FASE II UNIFICADO'!$C$6:$C$720,'ESAP NEIVA FASE II UNIFICADO'!$C$6:$F$720,"NO ESTA")</f>
        <v xml:space="preserve">SUMINISTRO E INSTALACIÓN SOPORTE DE 2 1/2"                                                               </v>
      </c>
      <c r="K172" t="str">
        <v xml:space="preserve">UN   </v>
      </c>
      <c r="L172">
        <v>7</v>
      </c>
      <c r="M172">
        <v>5644</v>
      </c>
      <c r="N172" s="115">
        <f t="shared" si="12"/>
        <v>5644</v>
      </c>
      <c r="O172" s="146">
        <f t="shared" si="13"/>
        <v>16932</v>
      </c>
      <c r="P172" s="119"/>
    </row>
    <row r="173" spans="2:16" ht="15" customHeight="1" x14ac:dyDescent="0.25">
      <c r="B173" s="86" t="s">
        <v>311</v>
      </c>
      <c r="C173" s="87" t="s">
        <v>312</v>
      </c>
      <c r="D173" s="82" t="s">
        <v>284</v>
      </c>
      <c r="E173" s="83">
        <v>15</v>
      </c>
      <c r="F173" s="88">
        <v>59442</v>
      </c>
      <c r="G173" s="89">
        <f t="shared" si="10"/>
        <v>891630</v>
      </c>
      <c r="H173" s="209">
        <f t="shared" si="11"/>
        <v>62592</v>
      </c>
      <c r="I173" s="209">
        <f t="shared" si="14"/>
        <v>938880</v>
      </c>
      <c r="J173" s="213" t="str">
        <f t="array" ref="J173:M173">_xlfn.XLOOKUP(C173,'ESAP NEIVA FASE II UNIFICADO'!$C$6:$C$720,'ESAP NEIVA FASE II UNIFICADO'!$C$6:$F$720,"NO ESTA")</f>
        <v xml:space="preserve">SUMINISTRO E INSTALACIÓN PUNTO HIDRÁULICO PVC-P 1/2"                                                      </v>
      </c>
      <c r="K173" t="str">
        <v xml:space="preserve">UN   </v>
      </c>
      <c r="L173">
        <v>41</v>
      </c>
      <c r="M173">
        <v>64227</v>
      </c>
      <c r="N173" s="115">
        <f t="shared" si="12"/>
        <v>64227</v>
      </c>
      <c r="O173" s="146">
        <f t="shared" si="13"/>
        <v>963405</v>
      </c>
      <c r="P173" s="119"/>
    </row>
    <row r="174" spans="2:16" ht="15" customHeight="1" x14ac:dyDescent="0.25">
      <c r="B174" s="86" t="s">
        <v>313</v>
      </c>
      <c r="C174" s="87" t="s">
        <v>314</v>
      </c>
      <c r="D174" s="82" t="s">
        <v>284</v>
      </c>
      <c r="E174" s="83">
        <v>5</v>
      </c>
      <c r="F174" s="88">
        <v>63334</v>
      </c>
      <c r="G174" s="89">
        <f t="shared" si="10"/>
        <v>316670</v>
      </c>
      <c r="H174" s="209">
        <f t="shared" si="11"/>
        <v>66691</v>
      </c>
      <c r="I174" s="209">
        <f t="shared" si="14"/>
        <v>333455</v>
      </c>
      <c r="J174" s="213" t="str">
        <f t="array" ref="J174:M174">_xlfn.XLOOKUP(C174,'ESAP NEIVA FASE II UNIFICADO'!$C$6:$C$720,'ESAP NEIVA FASE II UNIFICADO'!$C$6:$F$720,"NO ESTA")</f>
        <v xml:space="preserve">SUMINISTRO E INSTALACIÓN PUNTO HIDRÁULICO PVC-P 3/4"                                                      </v>
      </c>
      <c r="K174" t="str">
        <v xml:space="preserve">UN   </v>
      </c>
      <c r="L174">
        <v>14</v>
      </c>
      <c r="M174">
        <v>68433</v>
      </c>
      <c r="N174" s="115">
        <f t="shared" si="12"/>
        <v>68433</v>
      </c>
      <c r="O174" s="146">
        <f t="shared" si="13"/>
        <v>342165</v>
      </c>
      <c r="P174" s="119"/>
    </row>
    <row r="175" spans="2:16" ht="15" customHeight="1" x14ac:dyDescent="0.25">
      <c r="B175" s="86" t="s">
        <v>315</v>
      </c>
      <c r="C175" s="87" t="s">
        <v>316</v>
      </c>
      <c r="D175" s="82" t="s">
        <v>284</v>
      </c>
      <c r="E175" s="83">
        <v>15</v>
      </c>
      <c r="F175" s="88">
        <v>90180</v>
      </c>
      <c r="G175" s="89">
        <f t="shared" si="10"/>
        <v>1352700</v>
      </c>
      <c r="H175" s="209">
        <f t="shared" si="11"/>
        <v>94960</v>
      </c>
      <c r="I175" s="209">
        <f t="shared" si="14"/>
        <v>1424400</v>
      </c>
      <c r="J175" s="213" t="str">
        <f t="array" ref="J175:M175">_xlfn.XLOOKUP(C175,'ESAP NEIVA FASE II UNIFICADO'!$C$6:$C$720,'ESAP NEIVA FASE II UNIFICADO'!$C$6:$F$720,"NO ESTA")</f>
        <v xml:space="preserve">SUMINISTRO E INSTALACIÓN PUNTO HIDRÁULICO PVC-P 1 1/4"                                                    </v>
      </c>
      <c r="K175" t="str">
        <v xml:space="preserve">UN   </v>
      </c>
      <c r="L175">
        <v>39</v>
      </c>
      <c r="M175">
        <v>97439</v>
      </c>
      <c r="N175" s="115">
        <f t="shared" si="12"/>
        <v>97439</v>
      </c>
      <c r="O175" s="146">
        <f t="shared" si="13"/>
        <v>1461585</v>
      </c>
      <c r="P175" s="119"/>
    </row>
    <row r="176" spans="2:16" ht="15" customHeight="1" x14ac:dyDescent="0.25">
      <c r="B176" s="86" t="s">
        <v>317</v>
      </c>
      <c r="C176" s="87" t="s">
        <v>318</v>
      </c>
      <c r="D176" s="82" t="s">
        <v>284</v>
      </c>
      <c r="E176" s="83">
        <v>5</v>
      </c>
      <c r="F176" s="88">
        <v>58595</v>
      </c>
      <c r="G176" s="89">
        <f t="shared" si="10"/>
        <v>292975</v>
      </c>
      <c r="H176" s="209">
        <f t="shared" si="11"/>
        <v>61701</v>
      </c>
      <c r="I176" s="209">
        <f t="shared" si="14"/>
        <v>308505</v>
      </c>
      <c r="J176" s="213" t="str">
        <f t="array" ref="J176:M176">_xlfn.XLOOKUP(C176,'ESAP NEIVA FASE II UNIFICADO'!$C$6:$C$720,'ESAP NEIVA FASE II UNIFICADO'!$C$6:$F$720,"NO ESTA")</f>
        <v xml:space="preserve">SUMINISTRO E INSTALACIÓN REGISTRO CORTINA ROSCAR 1/2"                                                   </v>
      </c>
      <c r="K176" t="str">
        <v xml:space="preserve">UN   </v>
      </c>
      <c r="L176">
        <v>12</v>
      </c>
      <c r="M176">
        <v>63313</v>
      </c>
      <c r="N176" s="115">
        <f t="shared" si="12"/>
        <v>63313</v>
      </c>
      <c r="O176" s="146">
        <f t="shared" si="13"/>
        <v>316565</v>
      </c>
      <c r="P176" s="119"/>
    </row>
    <row r="177" spans="2:16" ht="15" customHeight="1" x14ac:dyDescent="0.25">
      <c r="B177" s="86" t="s">
        <v>319</v>
      </c>
      <c r="C177" s="87" t="s">
        <v>320</v>
      </c>
      <c r="D177" s="82" t="s">
        <v>284</v>
      </c>
      <c r="E177" s="83">
        <v>2</v>
      </c>
      <c r="F177" s="88">
        <v>151859</v>
      </c>
      <c r="G177" s="89">
        <f t="shared" si="10"/>
        <v>303718</v>
      </c>
      <c r="H177" s="209">
        <f t="shared" si="11"/>
        <v>159908</v>
      </c>
      <c r="I177" s="209">
        <f t="shared" si="14"/>
        <v>319816</v>
      </c>
      <c r="J177" s="213" t="str">
        <f t="array" ref="J177:M177">_xlfn.XLOOKUP(C177,'ESAP NEIVA FASE II UNIFICADO'!$C$6:$C$720,'ESAP NEIVA FASE II UNIFICADO'!$C$6:$F$720,"NO ESTA")</f>
        <v xml:space="preserve">SUMINISTRO E INSTALACIÓN REGISTRO CORTINA P/D ROSCAR 1 1/4"                                                 </v>
      </c>
      <c r="K177" t="str">
        <v xml:space="preserve">UN   </v>
      </c>
      <c r="L177">
        <v>6</v>
      </c>
      <c r="M177">
        <v>164084</v>
      </c>
      <c r="N177" s="115">
        <f t="shared" si="12"/>
        <v>164084</v>
      </c>
      <c r="O177" s="146">
        <f t="shared" si="13"/>
        <v>328168</v>
      </c>
      <c r="P177" s="119"/>
    </row>
    <row r="178" spans="2:16" ht="15" customHeight="1" x14ac:dyDescent="0.25">
      <c r="B178" s="86" t="s">
        <v>321</v>
      </c>
      <c r="C178" s="87" t="s">
        <v>322</v>
      </c>
      <c r="D178" s="82" t="s">
        <v>284</v>
      </c>
      <c r="E178" s="83">
        <v>2</v>
      </c>
      <c r="F178" s="88">
        <v>206156</v>
      </c>
      <c r="G178" s="89">
        <f t="shared" si="10"/>
        <v>412312</v>
      </c>
      <c r="H178" s="209">
        <f t="shared" si="11"/>
        <v>217082</v>
      </c>
      <c r="I178" s="209">
        <f t="shared" si="14"/>
        <v>434164</v>
      </c>
      <c r="J178" s="213" t="str">
        <f t="array" ref="J178:M178">_xlfn.XLOOKUP(C178,'ESAP NEIVA FASE II UNIFICADO'!$C$6:$C$720,'ESAP NEIVA FASE II UNIFICADO'!$C$6:$F$720,"NO ESTA")</f>
        <v xml:space="preserve">SUMINISTRO E INSTALACIÓN REGISTRO CORTINA P/D ROSCAR 1 1/2"                                                 </v>
      </c>
      <c r="K178" t="str">
        <v xml:space="preserve">UN   </v>
      </c>
      <c r="L178">
        <v>6</v>
      </c>
      <c r="M178">
        <v>222753</v>
      </c>
      <c r="N178" s="115">
        <f t="shared" si="12"/>
        <v>222753</v>
      </c>
      <c r="O178" s="146">
        <f t="shared" si="13"/>
        <v>445506</v>
      </c>
      <c r="P178" s="119"/>
    </row>
    <row r="179" spans="2:16" ht="15" customHeight="1" x14ac:dyDescent="0.25">
      <c r="B179" s="86" t="s">
        <v>323</v>
      </c>
      <c r="C179" s="87" t="s">
        <v>324</v>
      </c>
      <c r="D179" s="82" t="s">
        <v>284</v>
      </c>
      <c r="E179" s="83">
        <v>2</v>
      </c>
      <c r="F179" s="88">
        <v>100357</v>
      </c>
      <c r="G179" s="89">
        <f t="shared" si="10"/>
        <v>200714</v>
      </c>
      <c r="H179" s="209">
        <f t="shared" si="11"/>
        <v>105676</v>
      </c>
      <c r="I179" s="209">
        <f t="shared" si="14"/>
        <v>211352</v>
      </c>
      <c r="J179" s="213" t="str">
        <f t="array" ref="J179:M179">_xlfn.XLOOKUP(C179,'ESAP NEIVA FASE II UNIFICADO'!$C$6:$C$720,'ESAP NEIVA FASE II UNIFICADO'!$C$6:$F$720,"NO ESTA")</f>
        <v xml:space="preserve">SUMINISTRO E INSTALACIÓN VÁLVULA FLOTADOR 1"                                                           </v>
      </c>
      <c r="K179" t="str">
        <v xml:space="preserve">UN   </v>
      </c>
      <c r="L179">
        <v>0</v>
      </c>
      <c r="M179">
        <v>108436</v>
      </c>
      <c r="N179" s="115">
        <f t="shared" si="12"/>
        <v>108436</v>
      </c>
      <c r="O179" s="146">
        <f t="shared" si="13"/>
        <v>216872</v>
      </c>
      <c r="P179" s="119"/>
    </row>
    <row r="180" spans="2:16" ht="15" customHeight="1" x14ac:dyDescent="0.25">
      <c r="B180" s="86" t="s">
        <v>325</v>
      </c>
      <c r="C180" s="87" t="s">
        <v>326</v>
      </c>
      <c r="D180" s="82" t="s">
        <v>284</v>
      </c>
      <c r="E180" s="83">
        <v>1</v>
      </c>
      <c r="F180" s="88">
        <v>156932</v>
      </c>
      <c r="G180" s="89">
        <f t="shared" si="10"/>
        <v>156932</v>
      </c>
      <c r="H180" s="209">
        <f t="shared" si="11"/>
        <v>165249</v>
      </c>
      <c r="I180" s="209">
        <f t="shared" si="14"/>
        <v>165249</v>
      </c>
      <c r="J180" s="213" t="str">
        <f t="array" ref="J180:M180">_xlfn.XLOOKUP(C180,'ESAP NEIVA FASE II UNIFICADO'!$C$6:$C$720,'ESAP NEIVA FASE II UNIFICADO'!$C$6:$F$720,"NO ESTA")</f>
        <v xml:space="preserve">SUMINISTRO E INSTALACIÓN MEDIDOR VELOCIMETRICO  3/4"                                                   </v>
      </c>
      <c r="K180" t="str">
        <v xml:space="preserve">UN   </v>
      </c>
      <c r="L180">
        <v>0</v>
      </c>
      <c r="M180">
        <v>169565</v>
      </c>
      <c r="N180" s="115">
        <f t="shared" si="12"/>
        <v>169565</v>
      </c>
      <c r="O180" s="146">
        <f t="shared" si="13"/>
        <v>169565</v>
      </c>
      <c r="P180" s="119"/>
    </row>
    <row r="181" spans="2:16" ht="15" customHeight="1" x14ac:dyDescent="0.25">
      <c r="B181" s="80" t="s">
        <v>327</v>
      </c>
      <c r="C181" s="81" t="s">
        <v>328</v>
      </c>
      <c r="D181" s="82"/>
      <c r="E181" s="83"/>
      <c r="F181" s="90"/>
      <c r="G181" s="89">
        <f t="shared" si="10"/>
        <v>0</v>
      </c>
      <c r="H181" s="209">
        <f t="shared" si="11"/>
        <v>0</v>
      </c>
      <c r="I181" s="209">
        <f t="shared" si="14"/>
        <v>0</v>
      </c>
      <c r="J181" s="213" t="str">
        <f t="array" ref="J181:M181">_xlfn.XLOOKUP(C181,'ESAP NEIVA FASE II UNIFICADO'!$C$6:$C$720,'ESAP NEIVA FASE II UNIFICADO'!$C$6:$F$720,"NO ESTA")</f>
        <v xml:space="preserve">SUMINISTRO E INSTALACION RED DESAGÜES AGUAS RESIDUALES                                                                              </v>
      </c>
      <c r="K181">
        <v>0</v>
      </c>
      <c r="L181">
        <v>0</v>
      </c>
      <c r="M181">
        <v>0</v>
      </c>
      <c r="N181" s="115">
        <f t="shared" si="12"/>
        <v>0</v>
      </c>
      <c r="O181" s="146">
        <f t="shared" si="13"/>
        <v>0</v>
      </c>
      <c r="P181" s="119"/>
    </row>
    <row r="182" spans="2:16" ht="15" customHeight="1" x14ac:dyDescent="0.25">
      <c r="B182" s="86" t="s">
        <v>329</v>
      </c>
      <c r="C182" s="87" t="s">
        <v>330</v>
      </c>
      <c r="D182" s="82" t="s">
        <v>269</v>
      </c>
      <c r="E182" s="83">
        <v>12</v>
      </c>
      <c r="F182" s="88">
        <v>22725</v>
      </c>
      <c r="G182" s="89">
        <f t="shared" si="10"/>
        <v>272700</v>
      </c>
      <c r="H182" s="209">
        <f t="shared" si="11"/>
        <v>23929</v>
      </c>
      <c r="I182" s="209">
        <f t="shared" si="14"/>
        <v>287148</v>
      </c>
      <c r="J182" s="213" t="str">
        <f t="array" ref="J182:M182">_xlfn.XLOOKUP(C182,'ESAP NEIVA FASE II UNIFICADO'!$C$6:$C$720,'ESAP NEIVA FASE II UNIFICADO'!$C$6:$F$720,"NO ESTA")</f>
        <v xml:space="preserve">SUMINISTRO E INSTALACIÓN TUBERIA PVC-S DIAMETRO 2"                                                                        </v>
      </c>
      <c r="K182" t="str">
        <v xml:space="preserve">ML   </v>
      </c>
      <c r="L182">
        <v>34</v>
      </c>
      <c r="M182">
        <v>24554</v>
      </c>
      <c r="N182" s="115">
        <f t="shared" si="12"/>
        <v>24554</v>
      </c>
      <c r="O182" s="146">
        <f t="shared" si="13"/>
        <v>294648</v>
      </c>
      <c r="P182" s="119"/>
    </row>
    <row r="183" spans="2:16" ht="15" customHeight="1" x14ac:dyDescent="0.25">
      <c r="B183" s="86" t="s">
        <v>331</v>
      </c>
      <c r="C183" s="87" t="s">
        <v>332</v>
      </c>
      <c r="D183" s="82" t="s">
        <v>269</v>
      </c>
      <c r="E183" s="83">
        <v>58</v>
      </c>
      <c r="F183" s="88">
        <v>33443</v>
      </c>
      <c r="G183" s="89">
        <f t="shared" si="10"/>
        <v>1939694</v>
      </c>
      <c r="H183" s="209">
        <f t="shared" si="11"/>
        <v>35215</v>
      </c>
      <c r="I183" s="209">
        <f t="shared" si="14"/>
        <v>2042470</v>
      </c>
      <c r="J183" s="213" t="str">
        <f t="array" ref="J183:M183">_xlfn.XLOOKUP(C183,'ESAP NEIVA FASE II UNIFICADO'!$C$6:$C$720,'ESAP NEIVA FASE II UNIFICADO'!$C$6:$F$720,"NO ESTA")</f>
        <v xml:space="preserve">SUMINISTRO E INSTALACIÓN TUBERIA PVC-S DIAMETRO 3"                                                                        </v>
      </c>
      <c r="K183" t="str">
        <v xml:space="preserve">ML   </v>
      </c>
      <c r="L183">
        <v>157</v>
      </c>
      <c r="M183">
        <v>36135</v>
      </c>
      <c r="N183" s="115">
        <f t="shared" si="12"/>
        <v>36135</v>
      </c>
      <c r="O183" s="146">
        <f t="shared" si="13"/>
        <v>2095830</v>
      </c>
      <c r="P183" s="119"/>
    </row>
    <row r="184" spans="2:16" ht="15" customHeight="1" x14ac:dyDescent="0.25">
      <c r="B184" s="86" t="s">
        <v>333</v>
      </c>
      <c r="C184" s="87" t="s">
        <v>334</v>
      </c>
      <c r="D184" s="82" t="s">
        <v>269</v>
      </c>
      <c r="E184" s="83">
        <v>101</v>
      </c>
      <c r="F184" s="88">
        <v>47709</v>
      </c>
      <c r="G184" s="89">
        <f t="shared" si="10"/>
        <v>4818609</v>
      </c>
      <c r="H184" s="209">
        <f t="shared" si="11"/>
        <v>50238</v>
      </c>
      <c r="I184" s="209">
        <f t="shared" si="14"/>
        <v>5074038</v>
      </c>
      <c r="J184" s="213" t="str">
        <f t="array" ref="J184:M184">_xlfn.XLOOKUP(C184,'ESAP NEIVA FASE II UNIFICADO'!$C$6:$C$720,'ESAP NEIVA FASE II UNIFICADO'!$C$6:$F$720,"NO ESTA")</f>
        <v xml:space="preserve">SUMINISTRO E INSTALACIÓN TUBERÍA PVC-S DIAMETRO 4"                                                                        </v>
      </c>
      <c r="K184" t="str">
        <v xml:space="preserve">ML   </v>
      </c>
      <c r="L184">
        <v>272</v>
      </c>
      <c r="M184">
        <v>51550</v>
      </c>
      <c r="N184" s="115">
        <f t="shared" si="12"/>
        <v>51550</v>
      </c>
      <c r="O184" s="146">
        <f t="shared" si="13"/>
        <v>5206550</v>
      </c>
      <c r="P184" s="119"/>
    </row>
    <row r="185" spans="2:16" ht="15" customHeight="1" x14ac:dyDescent="0.25">
      <c r="B185" s="86" t="s">
        <v>335</v>
      </c>
      <c r="C185" s="87" t="s">
        <v>336</v>
      </c>
      <c r="D185" s="82" t="s">
        <v>269</v>
      </c>
      <c r="E185" s="83">
        <v>26</v>
      </c>
      <c r="F185" s="88">
        <v>19775</v>
      </c>
      <c r="G185" s="89">
        <f t="shared" si="10"/>
        <v>514150</v>
      </c>
      <c r="H185" s="209">
        <f t="shared" si="11"/>
        <v>20823</v>
      </c>
      <c r="I185" s="209">
        <f t="shared" si="14"/>
        <v>541398</v>
      </c>
      <c r="J185" s="213" t="str">
        <f t="array" ref="J185:M185">_xlfn.XLOOKUP(C185,'ESAP NEIVA FASE II UNIFICADO'!$C$6:$C$720,'ESAP NEIVA FASE II UNIFICADO'!$C$6:$F$720,"NO ESTA")</f>
        <v xml:space="preserve">SUMINISTRO E INSTALACIÓN TUBERIA PVC-VENT DIAMETRO 2"                                                                     </v>
      </c>
      <c r="K185" t="str">
        <v xml:space="preserve">ML   </v>
      </c>
      <c r="L185">
        <v>72</v>
      </c>
      <c r="M185">
        <v>21367</v>
      </c>
      <c r="N185" s="115">
        <f t="shared" si="12"/>
        <v>21367</v>
      </c>
      <c r="O185" s="146">
        <f t="shared" si="13"/>
        <v>555542</v>
      </c>
      <c r="P185" s="119"/>
    </row>
    <row r="186" spans="2:16" ht="15" customHeight="1" x14ac:dyDescent="0.25">
      <c r="B186" s="86" t="s">
        <v>337</v>
      </c>
      <c r="C186" s="87" t="s">
        <v>338</v>
      </c>
      <c r="D186" s="82" t="s">
        <v>269</v>
      </c>
      <c r="E186" s="83">
        <v>36</v>
      </c>
      <c r="F186" s="88">
        <v>29401</v>
      </c>
      <c r="G186" s="89">
        <f t="shared" si="10"/>
        <v>1058436</v>
      </c>
      <c r="H186" s="209">
        <f t="shared" si="11"/>
        <v>30959</v>
      </c>
      <c r="I186" s="209">
        <f t="shared" si="14"/>
        <v>1114524</v>
      </c>
      <c r="J186" s="213" t="str">
        <f t="array" ref="J186:M186">_xlfn.XLOOKUP(C186,'ESAP NEIVA FASE II UNIFICADO'!$C$6:$C$720,'ESAP NEIVA FASE II UNIFICADO'!$C$6:$F$720,"NO ESTA")</f>
        <v xml:space="preserve">SUMINISTRO E INSTALACIÓN TUBERIA PVC-VENT DIAMETRO 3"                                                                     </v>
      </c>
      <c r="K186" t="str">
        <v xml:space="preserve">ML   </v>
      </c>
      <c r="L186">
        <v>97</v>
      </c>
      <c r="M186">
        <v>31767</v>
      </c>
      <c r="N186" s="115">
        <f t="shared" si="12"/>
        <v>31767</v>
      </c>
      <c r="O186" s="146">
        <f t="shared" si="13"/>
        <v>1143612</v>
      </c>
      <c r="P186" s="119"/>
    </row>
    <row r="187" spans="2:16" ht="15" customHeight="1" x14ac:dyDescent="0.25">
      <c r="B187" s="86" t="s">
        <v>339</v>
      </c>
      <c r="C187" s="87" t="s">
        <v>340</v>
      </c>
      <c r="D187" s="82" t="s">
        <v>284</v>
      </c>
      <c r="E187" s="83">
        <v>45</v>
      </c>
      <c r="F187" s="88">
        <v>6952</v>
      </c>
      <c r="G187" s="89">
        <f t="shared" si="10"/>
        <v>312840</v>
      </c>
      <c r="H187" s="209">
        <f t="shared" si="11"/>
        <v>7320</v>
      </c>
      <c r="I187" s="209">
        <f t="shared" si="14"/>
        <v>329400</v>
      </c>
      <c r="J187" s="213" t="str">
        <f t="array" ref="J187:M187">_xlfn.XLOOKUP(C187,'ESAP NEIVA FASE II UNIFICADO'!$C$6:$C$720,'ESAP NEIVA FASE II UNIFICADO'!$C$6:$F$720,"NO ESTA")</f>
        <v xml:space="preserve">SUMINISTRO E INSTALACIÓN ACCESORIOS PVC-S DIAMETRO  2"                                                             </v>
      </c>
      <c r="K187" t="str">
        <v xml:space="preserve">UN   </v>
      </c>
      <c r="L187">
        <v>122</v>
      </c>
      <c r="M187">
        <v>7512</v>
      </c>
      <c r="N187" s="115">
        <f t="shared" si="12"/>
        <v>7512</v>
      </c>
      <c r="O187" s="146">
        <f t="shared" si="13"/>
        <v>338040</v>
      </c>
      <c r="P187" s="119"/>
    </row>
    <row r="188" spans="2:16" ht="15" customHeight="1" x14ac:dyDescent="0.25">
      <c r="B188" s="86" t="s">
        <v>341</v>
      </c>
      <c r="C188" s="87" t="s">
        <v>342</v>
      </c>
      <c r="D188" s="82" t="s">
        <v>284</v>
      </c>
      <c r="E188" s="83">
        <v>60</v>
      </c>
      <c r="F188" s="88">
        <v>9904</v>
      </c>
      <c r="G188" s="89">
        <f t="shared" si="10"/>
        <v>594240</v>
      </c>
      <c r="H188" s="209">
        <f t="shared" si="11"/>
        <v>10429</v>
      </c>
      <c r="I188" s="209">
        <f t="shared" si="14"/>
        <v>625740</v>
      </c>
      <c r="J188" s="213" t="str">
        <f t="array" ref="J188:M188">_xlfn.XLOOKUP(C188,'ESAP NEIVA FASE II UNIFICADO'!$C$6:$C$720,'ESAP NEIVA FASE II UNIFICADO'!$C$6:$F$720,"NO ESTA")</f>
        <v xml:space="preserve">SUMINISTRO E INSTALACIÓN ACCESORIOS PVC-S DIAMETRO  3"                                                             </v>
      </c>
      <c r="K188" t="str">
        <v xml:space="preserve">UN   </v>
      </c>
      <c r="L188">
        <v>161</v>
      </c>
      <c r="M188">
        <v>10700</v>
      </c>
      <c r="N188" s="115">
        <f t="shared" si="12"/>
        <v>10700</v>
      </c>
      <c r="O188" s="146">
        <f t="shared" si="13"/>
        <v>642000</v>
      </c>
      <c r="P188" s="119"/>
    </row>
    <row r="189" spans="2:16" ht="15" customHeight="1" x14ac:dyDescent="0.25">
      <c r="B189" s="86" t="s">
        <v>343</v>
      </c>
      <c r="C189" s="87" t="s">
        <v>344</v>
      </c>
      <c r="D189" s="82" t="s">
        <v>284</v>
      </c>
      <c r="E189" s="83">
        <v>106</v>
      </c>
      <c r="F189" s="88">
        <v>14553</v>
      </c>
      <c r="G189" s="89">
        <f t="shared" si="10"/>
        <v>1542618</v>
      </c>
      <c r="H189" s="209">
        <f t="shared" si="11"/>
        <v>15324</v>
      </c>
      <c r="I189" s="209">
        <f t="shared" si="14"/>
        <v>1624344</v>
      </c>
      <c r="J189" s="213" t="str">
        <f t="array" ref="J189:M189">_xlfn.XLOOKUP(C189,'ESAP NEIVA FASE II UNIFICADO'!$C$6:$C$720,'ESAP NEIVA FASE II UNIFICADO'!$C$6:$F$720,"NO ESTA")</f>
        <v xml:space="preserve">SUMINISTRO E INSTALACIÓN ACCESORIOS PVC-S DIAMETRO  4"                                                             </v>
      </c>
      <c r="K189" t="str">
        <v xml:space="preserve">UN   </v>
      </c>
      <c r="L189">
        <v>288</v>
      </c>
      <c r="M189">
        <v>15725</v>
      </c>
      <c r="N189" s="115">
        <f t="shared" si="12"/>
        <v>15725</v>
      </c>
      <c r="O189" s="146">
        <f t="shared" si="13"/>
        <v>1666850</v>
      </c>
      <c r="P189" s="119"/>
    </row>
    <row r="190" spans="2:16" ht="15" customHeight="1" x14ac:dyDescent="0.25">
      <c r="B190" s="86" t="s">
        <v>345</v>
      </c>
      <c r="C190" s="87" t="s">
        <v>346</v>
      </c>
      <c r="D190" s="82" t="s">
        <v>284</v>
      </c>
      <c r="E190" s="83">
        <v>5</v>
      </c>
      <c r="F190" s="88">
        <v>4520</v>
      </c>
      <c r="G190" s="89">
        <f t="shared" si="10"/>
        <v>22600</v>
      </c>
      <c r="H190" s="209">
        <f t="shared" si="11"/>
        <v>4760</v>
      </c>
      <c r="I190" s="209">
        <f t="shared" si="14"/>
        <v>23800</v>
      </c>
      <c r="J190" s="213" t="str">
        <f t="array" ref="J190:M190">_xlfn.XLOOKUP(C190,'ESAP NEIVA FASE II UNIFICADO'!$C$6:$C$720,'ESAP NEIVA FASE II UNIFICADO'!$C$6:$F$720,"NO ESTA")</f>
        <v xml:space="preserve">SUMINISTRO E INSTALACIÓN SOPORTE 2"                                                                   </v>
      </c>
      <c r="K190" t="str">
        <v xml:space="preserve">UN   </v>
      </c>
      <c r="L190">
        <v>14</v>
      </c>
      <c r="M190">
        <v>4884</v>
      </c>
      <c r="N190" s="115">
        <f t="shared" si="12"/>
        <v>4884</v>
      </c>
      <c r="O190" s="146">
        <f t="shared" si="13"/>
        <v>24420</v>
      </c>
      <c r="P190" s="119"/>
    </row>
    <row r="191" spans="2:16" ht="15" customHeight="1" x14ac:dyDescent="0.25">
      <c r="B191" s="86" t="s">
        <v>347</v>
      </c>
      <c r="C191" s="87" t="s">
        <v>348</v>
      </c>
      <c r="D191" s="82" t="s">
        <v>284</v>
      </c>
      <c r="E191" s="83">
        <v>23</v>
      </c>
      <c r="F191" s="88">
        <v>5749</v>
      </c>
      <c r="G191" s="89">
        <f t="shared" si="10"/>
        <v>132227</v>
      </c>
      <c r="H191" s="209">
        <f t="shared" si="11"/>
        <v>6054</v>
      </c>
      <c r="I191" s="209">
        <f t="shared" si="14"/>
        <v>139242</v>
      </c>
      <c r="J191" s="213" t="str">
        <f t="array" ref="J191:M191">_xlfn.XLOOKUP(C191,'ESAP NEIVA FASE II UNIFICADO'!$C$6:$C$720,'ESAP NEIVA FASE II UNIFICADO'!$C$6:$F$720,"NO ESTA")</f>
        <v xml:space="preserve">SUMINISTRO E INSTALACIÓN SOPORTE 3"                                                                   </v>
      </c>
      <c r="K191" t="str">
        <v xml:space="preserve">UN   </v>
      </c>
      <c r="L191">
        <v>64</v>
      </c>
      <c r="M191">
        <v>6212</v>
      </c>
      <c r="N191" s="115">
        <f t="shared" si="12"/>
        <v>6212</v>
      </c>
      <c r="O191" s="146">
        <f t="shared" si="13"/>
        <v>142876</v>
      </c>
      <c r="P191" s="119"/>
    </row>
    <row r="192" spans="2:16" ht="15" customHeight="1" x14ac:dyDescent="0.25">
      <c r="B192" s="86" t="s">
        <v>349</v>
      </c>
      <c r="C192" s="87" t="s">
        <v>350</v>
      </c>
      <c r="D192" s="82" t="s">
        <v>284</v>
      </c>
      <c r="E192" s="83">
        <v>38</v>
      </c>
      <c r="F192" s="88">
        <v>11411</v>
      </c>
      <c r="G192" s="89">
        <f t="shared" si="10"/>
        <v>433618</v>
      </c>
      <c r="H192" s="209">
        <f t="shared" si="11"/>
        <v>12016</v>
      </c>
      <c r="I192" s="209">
        <f t="shared" si="14"/>
        <v>456608</v>
      </c>
      <c r="J192" s="213" t="str">
        <f t="array" ref="J192:M192">_xlfn.XLOOKUP(C192,'ESAP NEIVA FASE II UNIFICADO'!$C$6:$C$720,'ESAP NEIVA FASE II UNIFICADO'!$C$6:$F$720,"NO ESTA")</f>
        <v xml:space="preserve">SUMINISTRO E INSTALACIÓN SOPORTE 4"                                                                   </v>
      </c>
      <c r="K192" t="str">
        <v xml:space="preserve">UN   </v>
      </c>
      <c r="L192">
        <v>101</v>
      </c>
      <c r="M192">
        <v>12329</v>
      </c>
      <c r="N192" s="115">
        <f t="shared" si="12"/>
        <v>12329</v>
      </c>
      <c r="O192" s="146">
        <f t="shared" si="13"/>
        <v>468502</v>
      </c>
      <c r="P192" s="119"/>
    </row>
    <row r="193" spans="2:16" ht="15" customHeight="1" x14ac:dyDescent="0.25">
      <c r="B193" s="86" t="s">
        <v>351</v>
      </c>
      <c r="C193" s="87" t="s">
        <v>352</v>
      </c>
      <c r="D193" s="82" t="s">
        <v>284</v>
      </c>
      <c r="E193" s="83">
        <v>14</v>
      </c>
      <c r="F193" s="88">
        <v>38301</v>
      </c>
      <c r="G193" s="89">
        <f t="shared" si="10"/>
        <v>536214</v>
      </c>
      <c r="H193" s="209">
        <f t="shared" si="11"/>
        <v>40331</v>
      </c>
      <c r="I193" s="209">
        <f t="shared" si="14"/>
        <v>564634</v>
      </c>
      <c r="J193" s="213" t="str">
        <f t="array" ref="J193:M193">_xlfn.XLOOKUP(C193,'ESAP NEIVA FASE II UNIFICADO'!$C$6:$C$720,'ESAP NEIVA FASE II UNIFICADO'!$C$6:$F$720,"NO ESTA")</f>
        <v xml:space="preserve">SUMINISTRO E INSTALACIÓN SALIDA SANITARIA 2"                                    </v>
      </c>
      <c r="K193" t="str">
        <v xml:space="preserve">UN   </v>
      </c>
      <c r="L193">
        <v>36</v>
      </c>
      <c r="M193">
        <v>41384</v>
      </c>
      <c r="N193" s="115">
        <f t="shared" si="12"/>
        <v>41384</v>
      </c>
      <c r="O193" s="146">
        <f t="shared" si="13"/>
        <v>579376</v>
      </c>
      <c r="P193" s="119"/>
    </row>
    <row r="194" spans="2:16" ht="15" customHeight="1" x14ac:dyDescent="0.25">
      <c r="B194" s="86" t="s">
        <v>353</v>
      </c>
      <c r="C194" s="87" t="s">
        <v>354</v>
      </c>
      <c r="D194" s="82" t="s">
        <v>284</v>
      </c>
      <c r="E194" s="83">
        <v>9</v>
      </c>
      <c r="F194" s="88">
        <v>46295</v>
      </c>
      <c r="G194" s="89">
        <f t="shared" si="10"/>
        <v>416655</v>
      </c>
      <c r="H194" s="209">
        <f t="shared" si="11"/>
        <v>48749</v>
      </c>
      <c r="I194" s="209">
        <f t="shared" si="14"/>
        <v>438741</v>
      </c>
      <c r="J194" s="213" t="str">
        <f t="array" ref="J194:M194">_xlfn.XLOOKUP(C194,'ESAP NEIVA FASE II UNIFICADO'!$C$6:$C$720,'ESAP NEIVA FASE II UNIFICADO'!$C$6:$F$720,"NO ESTA")</f>
        <v xml:space="preserve">SUMINISTRO E INSTALACIÓN SALIDA SANITARIA 3"                                    </v>
      </c>
      <c r="K194" t="str">
        <v xml:space="preserve">UN   </v>
      </c>
      <c r="L194">
        <v>23</v>
      </c>
      <c r="M194">
        <v>50021</v>
      </c>
      <c r="N194" s="115">
        <f t="shared" si="12"/>
        <v>50021</v>
      </c>
      <c r="O194" s="146">
        <f t="shared" si="13"/>
        <v>450189</v>
      </c>
      <c r="P194" s="119"/>
    </row>
    <row r="195" spans="2:16" ht="15" customHeight="1" x14ac:dyDescent="0.25">
      <c r="B195" s="86" t="s">
        <v>355</v>
      </c>
      <c r="C195" s="87" t="s">
        <v>356</v>
      </c>
      <c r="D195" s="82" t="s">
        <v>284</v>
      </c>
      <c r="E195" s="83">
        <v>16</v>
      </c>
      <c r="F195" s="88">
        <v>56892</v>
      </c>
      <c r="G195" s="89">
        <f t="shared" si="10"/>
        <v>910272</v>
      </c>
      <c r="H195" s="209">
        <f t="shared" si="11"/>
        <v>59907</v>
      </c>
      <c r="I195" s="209">
        <f t="shared" si="14"/>
        <v>958512</v>
      </c>
      <c r="J195" s="213" t="str">
        <f t="array" ref="J195:M195">_xlfn.XLOOKUP(C195,'ESAP NEIVA FASE II UNIFICADO'!$C$6:$C$720,'ESAP NEIVA FASE II UNIFICADO'!$C$6:$F$720,"NO ESTA")</f>
        <v xml:space="preserve">SUMINISTRO E INSTALACIÓN SALIDA SANITARIA 4"                                    </v>
      </c>
      <c r="K195" t="str">
        <v xml:space="preserve">UN   </v>
      </c>
      <c r="L195">
        <v>42</v>
      </c>
      <c r="M195">
        <v>61472</v>
      </c>
      <c r="N195" s="115">
        <f t="shared" si="12"/>
        <v>61472</v>
      </c>
      <c r="O195" s="146">
        <f t="shared" si="13"/>
        <v>983552</v>
      </c>
      <c r="P195" s="119"/>
    </row>
    <row r="196" spans="2:16" ht="15" customHeight="1" x14ac:dyDescent="0.25">
      <c r="B196" s="86" t="s">
        <v>357</v>
      </c>
      <c r="C196" s="87" t="s">
        <v>358</v>
      </c>
      <c r="D196" s="82" t="s">
        <v>284</v>
      </c>
      <c r="E196" s="83">
        <v>1</v>
      </c>
      <c r="F196" s="88">
        <v>501903</v>
      </c>
      <c r="G196" s="89">
        <f t="shared" si="10"/>
        <v>501903</v>
      </c>
      <c r="H196" s="209">
        <f t="shared" si="11"/>
        <v>528504</v>
      </c>
      <c r="I196" s="209">
        <f t="shared" si="14"/>
        <v>528504</v>
      </c>
      <c r="J196" s="213" t="str">
        <f t="array" ref="J196:M196">_xlfn.XLOOKUP(C196,'ESAP NEIVA FASE II UNIFICADO'!$C$6:$C$720,'ESAP NEIVA FASE II UNIFICADO'!$C$6:$F$720,"NO ESTA")</f>
        <v xml:space="preserve">SUMINISTRO Y CONSTRUCCIÓN CAJA DE INSPECCIÓN 0.80mX0.80m H mäx:1.0m                                                                    </v>
      </c>
      <c r="K196" t="str">
        <v xml:space="preserve">UN   </v>
      </c>
      <c r="L196">
        <v>1</v>
      </c>
      <c r="M196">
        <v>542308</v>
      </c>
      <c r="N196" s="115">
        <f t="shared" si="12"/>
        <v>542308</v>
      </c>
      <c r="O196" s="146">
        <f t="shared" si="13"/>
        <v>542308</v>
      </c>
      <c r="P196" s="119"/>
    </row>
    <row r="197" spans="2:16" ht="15" customHeight="1" x14ac:dyDescent="0.25">
      <c r="B197" s="86" t="s">
        <v>359</v>
      </c>
      <c r="C197" s="87" t="s">
        <v>360</v>
      </c>
      <c r="D197" s="82" t="s">
        <v>269</v>
      </c>
      <c r="E197" s="83">
        <v>11</v>
      </c>
      <c r="F197" s="88">
        <v>42386</v>
      </c>
      <c r="G197" s="89">
        <f t="shared" si="10"/>
        <v>466246</v>
      </c>
      <c r="H197" s="209">
        <f t="shared" si="11"/>
        <v>44632</v>
      </c>
      <c r="I197" s="209">
        <f t="shared" si="14"/>
        <v>490952</v>
      </c>
      <c r="J197" s="213" t="str">
        <f t="array" ref="J197:M197">_xlfn.XLOOKUP(C197,'ESAP NEIVA FASE II UNIFICADO'!$C$6:$C$720,'ESAP NEIVA FASE II UNIFICADO'!$C$6:$F$720,"NO ESTA")</f>
        <v xml:space="preserve">SUMINISTRO E INSTALACIÓN TUBERIA PVC-ALC DIAMETRO 160mm                                                                   </v>
      </c>
      <c r="K197" t="str">
        <v xml:space="preserve">ML   </v>
      </c>
      <c r="L197">
        <v>29</v>
      </c>
      <c r="M197">
        <v>45798</v>
      </c>
      <c r="N197" s="115">
        <f t="shared" si="12"/>
        <v>45798</v>
      </c>
      <c r="O197" s="146">
        <f t="shared" si="13"/>
        <v>503778</v>
      </c>
      <c r="P197" s="119"/>
    </row>
    <row r="198" spans="2:16" ht="15" customHeight="1" x14ac:dyDescent="0.25">
      <c r="B198" s="86" t="s">
        <v>361</v>
      </c>
      <c r="C198" s="87" t="s">
        <v>362</v>
      </c>
      <c r="D198" s="82" t="s">
        <v>269</v>
      </c>
      <c r="E198" s="83">
        <v>3</v>
      </c>
      <c r="F198" s="88">
        <v>59190</v>
      </c>
      <c r="G198" s="89">
        <f t="shared" ref="G198:G261" si="15">ROUND(+F198*E198,2)</f>
        <v>177570</v>
      </c>
      <c r="H198" s="209">
        <f t="shared" ref="H198:H261" si="16">+ROUND(F198*(1+$H$4),0)</f>
        <v>62327</v>
      </c>
      <c r="I198" s="209">
        <f t="shared" si="14"/>
        <v>186981</v>
      </c>
      <c r="J198" s="213" t="str">
        <f t="array" ref="J198:M198">_xlfn.XLOOKUP(C198,'ESAP NEIVA FASE II UNIFICADO'!$C$6:$C$720,'ESAP NEIVA FASE II UNIFICADO'!$C$6:$F$720,"NO ESTA")</f>
        <v xml:space="preserve">SUMINISTRO E INSTALACIÓN TUBERIA PVC-ALC DIAMETRO 200mm                                                                   </v>
      </c>
      <c r="K198" t="str">
        <v xml:space="preserve">ML   </v>
      </c>
      <c r="L198">
        <v>7</v>
      </c>
      <c r="M198">
        <v>63955</v>
      </c>
      <c r="N198" s="115">
        <f t="shared" ref="N198:N261" si="17">MAX(M198,F198)</f>
        <v>63955</v>
      </c>
      <c r="O198" s="146">
        <f t="shared" ref="O198:O261" si="18">N198*E198</f>
        <v>191865</v>
      </c>
      <c r="P198" s="119"/>
    </row>
    <row r="199" spans="2:16" ht="15" customHeight="1" x14ac:dyDescent="0.25">
      <c r="B199" s="86" t="s">
        <v>363</v>
      </c>
      <c r="C199" s="87" t="s">
        <v>364</v>
      </c>
      <c r="D199" s="82" t="s">
        <v>269</v>
      </c>
      <c r="E199" s="83">
        <v>11</v>
      </c>
      <c r="F199" s="88">
        <v>89928</v>
      </c>
      <c r="G199" s="89">
        <f t="shared" si="15"/>
        <v>989208</v>
      </c>
      <c r="H199" s="209">
        <f t="shared" si="16"/>
        <v>94694</v>
      </c>
      <c r="I199" s="209">
        <f t="shared" ref="I199:I262" si="19">ROUND(H199*E199,2)</f>
        <v>1041634</v>
      </c>
      <c r="J199" s="213" t="str">
        <f t="array" ref="J199:M199">_xlfn.XLOOKUP(C199,'ESAP NEIVA FASE II UNIFICADO'!$C$6:$C$720,'ESAP NEIVA FASE II UNIFICADO'!$C$6:$F$720,"NO ESTA")</f>
        <v xml:space="preserve">SUMINISTRO E INSTALACIÓN TUBERÍA PVC-P DIAMETRO 4"                                                        </v>
      </c>
      <c r="K199" t="str">
        <v xml:space="preserve">ML   </v>
      </c>
      <c r="L199">
        <v>29</v>
      </c>
      <c r="M199">
        <v>97168</v>
      </c>
      <c r="N199" s="115">
        <f t="shared" si="17"/>
        <v>97168</v>
      </c>
      <c r="O199" s="146">
        <f t="shared" si="18"/>
        <v>1068848</v>
      </c>
      <c r="P199" s="119"/>
    </row>
    <row r="200" spans="2:16" ht="15" customHeight="1" x14ac:dyDescent="0.25">
      <c r="B200" s="86" t="s">
        <v>365</v>
      </c>
      <c r="C200" s="87" t="s">
        <v>366</v>
      </c>
      <c r="D200" s="82" t="s">
        <v>284</v>
      </c>
      <c r="E200" s="83">
        <v>5</v>
      </c>
      <c r="F200" s="88">
        <v>72421</v>
      </c>
      <c r="G200" s="89">
        <f t="shared" si="15"/>
        <v>362105</v>
      </c>
      <c r="H200" s="209">
        <f t="shared" si="16"/>
        <v>76259</v>
      </c>
      <c r="I200" s="209">
        <f t="shared" si="19"/>
        <v>381295</v>
      </c>
      <c r="J200" s="213" t="str">
        <f t="array" ref="J200:M200">_xlfn.XLOOKUP(C200,'ESAP NEIVA FASE II UNIFICADO'!$C$6:$C$720,'ESAP NEIVA FASE II UNIFICADO'!$C$6:$F$720,"NO ESTA")</f>
        <v xml:space="preserve">SUMINISTRO E INSTALACIÓN ACCESORIOS PVC-P DIAMETRO 4"                                                             </v>
      </c>
      <c r="K200" t="str">
        <v xml:space="preserve">UN   </v>
      </c>
      <c r="L200">
        <v>15</v>
      </c>
      <c r="M200">
        <v>78251</v>
      </c>
      <c r="N200" s="115">
        <f t="shared" si="17"/>
        <v>78251</v>
      </c>
      <c r="O200" s="146">
        <f t="shared" si="18"/>
        <v>391255</v>
      </c>
      <c r="P200" s="119"/>
    </row>
    <row r="201" spans="2:16" ht="15" customHeight="1" x14ac:dyDescent="0.25">
      <c r="B201" s="80" t="s">
        <v>367</v>
      </c>
      <c r="C201" s="81" t="s">
        <v>368</v>
      </c>
      <c r="D201" s="82" t="s">
        <v>369</v>
      </c>
      <c r="E201" s="83"/>
      <c r="F201" s="90"/>
      <c r="G201" s="89">
        <f t="shared" si="15"/>
        <v>0</v>
      </c>
      <c r="H201" s="209">
        <f t="shared" si="16"/>
        <v>0</v>
      </c>
      <c r="I201" s="209">
        <f t="shared" si="19"/>
        <v>0</v>
      </c>
      <c r="J201" s="213" t="str">
        <f t="array" ref="J201:M201">_xlfn.XLOOKUP(C201,'ESAP NEIVA FASE II UNIFICADO'!$C$6:$C$720,'ESAP NEIVA FASE II UNIFICADO'!$C$6:$F$720,"NO ESTA")</f>
        <v>SUMINISTRO E INSTALACIÓN DE APARATOS SANITARIOS</v>
      </c>
      <c r="K201" t="str">
        <v xml:space="preserve">     </v>
      </c>
      <c r="L201">
        <v>0</v>
      </c>
      <c r="M201">
        <v>0</v>
      </c>
      <c r="N201" s="115">
        <f t="shared" si="17"/>
        <v>0</v>
      </c>
      <c r="O201" s="146">
        <f t="shared" si="18"/>
        <v>0</v>
      </c>
      <c r="P201" s="119"/>
    </row>
    <row r="202" spans="2:16" ht="15" customHeight="1" x14ac:dyDescent="0.25">
      <c r="B202" s="86" t="s">
        <v>370</v>
      </c>
      <c r="C202" s="87" t="s">
        <v>371</v>
      </c>
      <c r="D202" s="82" t="s">
        <v>284</v>
      </c>
      <c r="E202" s="83">
        <v>28</v>
      </c>
      <c r="F202" s="88">
        <v>1023434</v>
      </c>
      <c r="G202" s="89">
        <f t="shared" si="15"/>
        <v>28656152</v>
      </c>
      <c r="H202" s="209">
        <f t="shared" si="16"/>
        <v>1077676</v>
      </c>
      <c r="I202" s="209">
        <f t="shared" si="19"/>
        <v>30174928</v>
      </c>
      <c r="J202" s="213" t="str">
        <f t="array" ref="J202:M202">_xlfn.XLOOKUP(C202,'ESAP NEIVA FASE II UNIFICADO'!$C$6:$C$720,'ESAP NEIVA FASE II UNIFICADO'!$C$6:$F$720,"NO ESTA")</f>
        <v>SUMINISTRO E INSTALACIÓN SANITARIO INSTITUCIONAL incluye FLUXOMETRO</v>
      </c>
      <c r="K202" t="str">
        <v xml:space="preserve">UN   </v>
      </c>
      <c r="L202">
        <v>24</v>
      </c>
      <c r="M202">
        <v>1105824</v>
      </c>
      <c r="N202" s="115">
        <f t="shared" si="17"/>
        <v>1105824</v>
      </c>
      <c r="O202" s="146">
        <f t="shared" si="18"/>
        <v>30963072</v>
      </c>
      <c r="P202" s="119"/>
    </row>
    <row r="203" spans="2:16" ht="15" customHeight="1" x14ac:dyDescent="0.25">
      <c r="B203" s="86" t="s">
        <v>372</v>
      </c>
      <c r="C203" s="87" t="s">
        <v>373</v>
      </c>
      <c r="D203" s="82" t="s">
        <v>374</v>
      </c>
      <c r="E203" s="83">
        <v>4</v>
      </c>
      <c r="F203" s="88">
        <v>620120</v>
      </c>
      <c r="G203" s="89">
        <f t="shared" si="15"/>
        <v>2480480</v>
      </c>
      <c r="H203" s="209">
        <f t="shared" si="16"/>
        <v>652986</v>
      </c>
      <c r="I203" s="209">
        <f t="shared" si="19"/>
        <v>2611944</v>
      </c>
      <c r="J203" s="213" t="str">
        <f t="array" ref="J203:M203">_xlfn.XLOOKUP(C203,'ESAP NEIVA FASE II UNIFICADO'!$C$6:$C$720,'ESAP NEIVA FASE II UNIFICADO'!$C$6:$F$720,"NO ESTA")</f>
        <v xml:space="preserve">SUMINISTRO E INSTALACIÓN SANITARIO DE BAJO CONSUMO </v>
      </c>
      <c r="K203" t="str">
        <v>UN</v>
      </c>
      <c r="L203">
        <v>4</v>
      </c>
      <c r="M203">
        <v>670042</v>
      </c>
      <c r="N203" s="115">
        <f t="shared" si="17"/>
        <v>670042</v>
      </c>
      <c r="O203" s="146">
        <f t="shared" si="18"/>
        <v>2680168</v>
      </c>
      <c r="P203" s="119"/>
    </row>
    <row r="204" spans="2:16" ht="15" customHeight="1" x14ac:dyDescent="0.25">
      <c r="B204" s="86" t="s">
        <v>375</v>
      </c>
      <c r="C204" s="87" t="s">
        <v>376</v>
      </c>
      <c r="D204" s="82" t="s">
        <v>284</v>
      </c>
      <c r="E204" s="83">
        <v>12</v>
      </c>
      <c r="F204" s="88">
        <v>701257</v>
      </c>
      <c r="G204" s="89">
        <f t="shared" si="15"/>
        <v>8415084</v>
      </c>
      <c r="H204" s="209">
        <f t="shared" si="16"/>
        <v>738424</v>
      </c>
      <c r="I204" s="209">
        <f t="shared" si="19"/>
        <v>8861088</v>
      </c>
      <c r="J204" s="213" t="str">
        <f t="array" ref="J204:M204">_xlfn.XLOOKUP(C204,'ESAP NEIVA FASE II UNIFICADO'!$C$6:$C$720,'ESAP NEIVA FASE II UNIFICADO'!$C$6:$F$720,"NO ESTA")</f>
        <v>SUMINISTRO E INSTALACIÓN ORINAL</v>
      </c>
      <c r="K204" t="str">
        <v xml:space="preserve">UN   </v>
      </c>
      <c r="L204">
        <v>9</v>
      </c>
      <c r="M204">
        <v>757710</v>
      </c>
      <c r="N204" s="115">
        <f t="shared" si="17"/>
        <v>757710</v>
      </c>
      <c r="O204" s="146">
        <f t="shared" si="18"/>
        <v>9092520</v>
      </c>
      <c r="P204" s="119"/>
    </row>
    <row r="205" spans="2:16" ht="24.75" customHeight="1" x14ac:dyDescent="0.25">
      <c r="B205" s="86" t="s">
        <v>377</v>
      </c>
      <c r="C205" s="87" t="s">
        <v>378</v>
      </c>
      <c r="D205" s="82" t="s">
        <v>94</v>
      </c>
      <c r="E205" s="83">
        <v>14</v>
      </c>
      <c r="F205" s="88">
        <v>201866</v>
      </c>
      <c r="G205" s="89">
        <f t="shared" si="15"/>
        <v>2826124</v>
      </c>
      <c r="H205" s="209">
        <f t="shared" si="16"/>
        <v>212565</v>
      </c>
      <c r="I205" s="209">
        <f t="shared" si="19"/>
        <v>2975910</v>
      </c>
      <c r="J205" s="213" t="str">
        <f t="array" ref="J205:M205">_xlfn.XLOOKUP(C205,'ESAP NEIVA FASE II UNIFICADO'!$C$6:$C$720,'ESAP NEIVA FASE II UNIFICADO'!$C$6:$F$720,"NO ESTA")</f>
        <v>SUMINISTRO E INSTALACIÓN MESÓN EN GRANITO NEGRO ABSOLUTO o similar, ANCHO 0.60m</v>
      </c>
      <c r="K205" t="str">
        <v>ML</v>
      </c>
      <c r="L205">
        <v>13</v>
      </c>
      <c r="M205">
        <v>218116</v>
      </c>
      <c r="N205" s="115">
        <f t="shared" si="17"/>
        <v>218116</v>
      </c>
      <c r="O205" s="146">
        <f t="shared" si="18"/>
        <v>3053624</v>
      </c>
      <c r="P205" s="119"/>
    </row>
    <row r="206" spans="2:16" ht="15" customHeight="1" x14ac:dyDescent="0.25">
      <c r="B206" s="86" t="s">
        <v>379</v>
      </c>
      <c r="C206" s="87" t="s">
        <v>380</v>
      </c>
      <c r="D206" s="82" t="s">
        <v>284</v>
      </c>
      <c r="E206" s="83">
        <v>20</v>
      </c>
      <c r="F206" s="88">
        <v>544981</v>
      </c>
      <c r="G206" s="89">
        <f t="shared" si="15"/>
        <v>10899620</v>
      </c>
      <c r="H206" s="209">
        <f t="shared" si="16"/>
        <v>573865</v>
      </c>
      <c r="I206" s="209">
        <f t="shared" si="19"/>
        <v>11477300</v>
      </c>
      <c r="J206" s="213" t="str">
        <f t="array" ref="J206:M206">_xlfn.XLOOKUP(C206,'ESAP NEIVA FASE II UNIFICADO'!$C$6:$C$720,'ESAP NEIVA FASE II UNIFICADO'!$C$6:$F$720,"NO ESTA")</f>
        <v xml:space="preserve">SUMINISTRO E INSTALACIÓN LAVAMANOS SOBREPONER </v>
      </c>
      <c r="K206" t="str">
        <v xml:space="preserve">UN   </v>
      </c>
      <c r="L206">
        <v>18</v>
      </c>
      <c r="M206">
        <v>588854</v>
      </c>
      <c r="N206" s="115">
        <f t="shared" si="17"/>
        <v>588854</v>
      </c>
      <c r="O206" s="146">
        <f t="shared" si="18"/>
        <v>11777080</v>
      </c>
      <c r="P206" s="119"/>
    </row>
    <row r="207" spans="2:16" ht="15" customHeight="1" x14ac:dyDescent="0.25">
      <c r="B207" s="86" t="s">
        <v>381</v>
      </c>
      <c r="C207" s="87" t="s">
        <v>382</v>
      </c>
      <c r="D207" s="82" t="s">
        <v>284</v>
      </c>
      <c r="E207" s="83">
        <v>3</v>
      </c>
      <c r="F207" s="88">
        <v>515435</v>
      </c>
      <c r="G207" s="89">
        <f t="shared" si="15"/>
        <v>1546305</v>
      </c>
      <c r="H207" s="209">
        <f t="shared" si="16"/>
        <v>542753</v>
      </c>
      <c r="I207" s="209">
        <f t="shared" si="19"/>
        <v>1628259</v>
      </c>
      <c r="J207" s="213" t="str">
        <f t="array" ref="J207:M207">_xlfn.XLOOKUP(C207,'ESAP NEIVA FASE II UNIFICADO'!$C$6:$C$720,'ESAP NEIVA FASE II UNIFICADO'!$C$6:$F$720,"NO ESTA")</f>
        <v>SUMINISTRO E INSTALACIÓN LAVAMANOS PEDESTAL</v>
      </c>
      <c r="K207" t="str">
        <v xml:space="preserve">UN   </v>
      </c>
      <c r="L207">
        <v>3</v>
      </c>
      <c r="M207">
        <v>556929</v>
      </c>
      <c r="N207" s="115">
        <f t="shared" si="17"/>
        <v>556929</v>
      </c>
      <c r="O207" s="146">
        <f t="shared" si="18"/>
        <v>1670787</v>
      </c>
      <c r="P207" s="119"/>
    </row>
    <row r="208" spans="2:16" ht="24.75" customHeight="1" x14ac:dyDescent="0.25">
      <c r="B208" s="86" t="s">
        <v>383</v>
      </c>
      <c r="C208" s="87" t="s">
        <v>384</v>
      </c>
      <c r="D208" s="82" t="s">
        <v>13</v>
      </c>
      <c r="E208" s="83">
        <v>12</v>
      </c>
      <c r="F208" s="88">
        <v>84082</v>
      </c>
      <c r="G208" s="89">
        <f t="shared" si="15"/>
        <v>1008984</v>
      </c>
      <c r="H208" s="209">
        <f t="shared" si="16"/>
        <v>88538</v>
      </c>
      <c r="I208" s="209">
        <f t="shared" si="19"/>
        <v>1062456</v>
      </c>
      <c r="J208" s="213" t="str">
        <f t="array" ref="J208:M208">_xlfn.XLOOKUP(C208,'ESAP NEIVA FASE II UNIFICADO'!$C$6:$C$720,'ESAP NEIVA FASE II UNIFICADO'!$C$6:$F$720,"NO ESTA")</f>
        <v>SUMINISTRO E INSTALACIÓN ESPEJO e=4MM PEGADO SOBRE BASTIDOR EN ALUMINIO DE 2X1</v>
      </c>
      <c r="K208" t="str">
        <v>M2</v>
      </c>
      <c r="L208">
        <v>11</v>
      </c>
      <c r="M208">
        <v>90851</v>
      </c>
      <c r="N208" s="115">
        <f t="shared" si="17"/>
        <v>90851</v>
      </c>
      <c r="O208" s="146">
        <f t="shared" si="18"/>
        <v>1090212</v>
      </c>
      <c r="P208" s="119"/>
    </row>
    <row r="209" spans="2:16" ht="15" customHeight="1" x14ac:dyDescent="0.25">
      <c r="B209" s="86" t="s">
        <v>385</v>
      </c>
      <c r="C209" s="87" t="s">
        <v>386</v>
      </c>
      <c r="D209" s="82" t="s">
        <v>284</v>
      </c>
      <c r="E209" s="83">
        <v>2</v>
      </c>
      <c r="F209" s="88">
        <v>40840</v>
      </c>
      <c r="G209" s="89">
        <f t="shared" si="15"/>
        <v>81680</v>
      </c>
      <c r="H209" s="209">
        <f t="shared" si="16"/>
        <v>43005</v>
      </c>
      <c r="I209" s="209">
        <f t="shared" si="19"/>
        <v>86010</v>
      </c>
      <c r="J209" s="213" t="str">
        <f t="array" ref="J209:M209">_xlfn.XLOOKUP(C209,'ESAP NEIVA FASE II UNIFICADO'!$C$6:$C$720,'ESAP NEIVA FASE II UNIFICADO'!$C$6:$F$720,"NO ESTA")</f>
        <v>SUMINISTRO E INSTALACIÓN LLAVES MANGUERA</v>
      </c>
      <c r="K209" t="str">
        <v xml:space="preserve">UN   </v>
      </c>
      <c r="L209">
        <v>1</v>
      </c>
      <c r="M209">
        <v>44128</v>
      </c>
      <c r="N209" s="115">
        <f t="shared" si="17"/>
        <v>44128</v>
      </c>
      <c r="O209" s="146">
        <f t="shared" si="18"/>
        <v>88256</v>
      </c>
      <c r="P209" s="119"/>
    </row>
    <row r="210" spans="2:16" ht="15" customHeight="1" x14ac:dyDescent="0.25">
      <c r="B210" s="80" t="s">
        <v>387</v>
      </c>
      <c r="C210" s="81" t="s">
        <v>388</v>
      </c>
      <c r="D210" s="82"/>
      <c r="E210" s="83"/>
      <c r="F210" s="90"/>
      <c r="G210" s="89">
        <f t="shared" si="15"/>
        <v>0</v>
      </c>
      <c r="H210" s="209">
        <f t="shared" si="16"/>
        <v>0</v>
      </c>
      <c r="I210" s="209">
        <f t="shared" si="19"/>
        <v>0</v>
      </c>
      <c r="J210" s="213" t="str">
        <f t="array" ref="J210:M210">_xlfn.XLOOKUP(C210,'ESAP NEIVA FASE II UNIFICADO'!$C$6:$C$720,'ESAP NEIVA FASE II UNIFICADO'!$C$6:$F$720,"NO ESTA")</f>
        <v xml:space="preserve">SUMINISTRO E INSTALACION RED DESAGÜES AGUAS LLUVIAS                                                                                 </v>
      </c>
      <c r="K210">
        <v>0</v>
      </c>
      <c r="L210">
        <v>0</v>
      </c>
      <c r="M210">
        <v>0</v>
      </c>
      <c r="N210" s="115">
        <f t="shared" si="17"/>
        <v>0</v>
      </c>
      <c r="O210" s="146">
        <f t="shared" si="18"/>
        <v>0</v>
      </c>
      <c r="P210" s="119"/>
    </row>
    <row r="211" spans="2:16" ht="15" customHeight="1" x14ac:dyDescent="0.25">
      <c r="B211" s="86" t="s">
        <v>389</v>
      </c>
      <c r="C211" s="87" t="s">
        <v>390</v>
      </c>
      <c r="D211" s="82" t="s">
        <v>269</v>
      </c>
      <c r="E211" s="83">
        <v>92</v>
      </c>
      <c r="F211" s="88">
        <v>33443</v>
      </c>
      <c r="G211" s="89">
        <f t="shared" si="15"/>
        <v>3076756</v>
      </c>
      <c r="H211" s="209">
        <f t="shared" si="16"/>
        <v>35215</v>
      </c>
      <c r="I211" s="209">
        <f t="shared" si="19"/>
        <v>3239780</v>
      </c>
      <c r="J211" s="213" t="str">
        <f t="array" ref="J211:M211">_xlfn.XLOOKUP(C211,'ESAP NEIVA FASE II UNIFICADO'!$C$6:$C$720,'ESAP NEIVA FASE II UNIFICADO'!$C$6:$F$720,"NO ESTA")</f>
        <v xml:space="preserve">SUMINISTRO E INSTALACIÓN TUBERIA PVC-S DIAMETRO  3 PUL                                                                 </v>
      </c>
      <c r="K211" t="str">
        <v xml:space="preserve">ML   </v>
      </c>
      <c r="L211">
        <v>248</v>
      </c>
      <c r="M211">
        <v>36135</v>
      </c>
      <c r="N211" s="115">
        <f t="shared" si="17"/>
        <v>36135</v>
      </c>
      <c r="O211" s="146">
        <f t="shared" si="18"/>
        <v>3324420</v>
      </c>
      <c r="P211" s="119"/>
    </row>
    <row r="212" spans="2:16" ht="15" customHeight="1" x14ac:dyDescent="0.25">
      <c r="B212" s="86" t="s">
        <v>391</v>
      </c>
      <c r="C212" s="87" t="s">
        <v>392</v>
      </c>
      <c r="D212" s="82" t="s">
        <v>269</v>
      </c>
      <c r="E212" s="83">
        <v>45</v>
      </c>
      <c r="F212" s="88">
        <v>47709</v>
      </c>
      <c r="G212" s="89">
        <f t="shared" si="15"/>
        <v>2146905</v>
      </c>
      <c r="H212" s="209">
        <f t="shared" si="16"/>
        <v>50238</v>
      </c>
      <c r="I212" s="209">
        <f t="shared" si="19"/>
        <v>2260710</v>
      </c>
      <c r="J212" s="213" t="str">
        <f t="array" ref="J212:M212">_xlfn.XLOOKUP(C212,'ESAP NEIVA FASE II UNIFICADO'!$C$6:$C$720,'ESAP NEIVA FASE II UNIFICADO'!$C$6:$F$720,"NO ESTA")</f>
        <v xml:space="preserve">SUMINISTRO E INSTALACIÓN TUBERIA PVC-S DIAMETRO 4 PUL                                                                 </v>
      </c>
      <c r="K212" t="str">
        <v xml:space="preserve">ML   </v>
      </c>
      <c r="L212">
        <v>122</v>
      </c>
      <c r="M212">
        <v>51550</v>
      </c>
      <c r="N212" s="115">
        <f t="shared" si="17"/>
        <v>51550</v>
      </c>
      <c r="O212" s="146">
        <f t="shared" si="18"/>
        <v>2319750</v>
      </c>
      <c r="P212" s="119"/>
    </row>
    <row r="213" spans="2:16" ht="15" customHeight="1" x14ac:dyDescent="0.25">
      <c r="B213" s="86" t="s">
        <v>393</v>
      </c>
      <c r="C213" s="87" t="s">
        <v>394</v>
      </c>
      <c r="D213" s="82" t="s">
        <v>269</v>
      </c>
      <c r="E213" s="83">
        <v>60</v>
      </c>
      <c r="F213" s="88">
        <v>86220</v>
      </c>
      <c r="G213" s="89">
        <f t="shared" si="15"/>
        <v>5173200</v>
      </c>
      <c r="H213" s="209">
        <f t="shared" si="16"/>
        <v>90790</v>
      </c>
      <c r="I213" s="209">
        <f t="shared" si="19"/>
        <v>5447400</v>
      </c>
      <c r="J213" s="213" t="str">
        <f t="array" ref="J213:M213">_xlfn.XLOOKUP(C213,'ESAP NEIVA FASE II UNIFICADO'!$C$6:$C$720,'ESAP NEIVA FASE II UNIFICADO'!$C$6:$F$720,"NO ESTA")</f>
        <v xml:space="preserve">SUMINISTRO E INSTALACIÓN TUBERIA PVC-S DIAMETRO 6 PUL                                                                 </v>
      </c>
      <c r="K213" t="str">
        <v xml:space="preserve">ML   </v>
      </c>
      <c r="L213">
        <v>161</v>
      </c>
      <c r="M213">
        <v>93160</v>
      </c>
      <c r="N213" s="115">
        <f t="shared" si="17"/>
        <v>93160</v>
      </c>
      <c r="O213" s="146">
        <f t="shared" si="18"/>
        <v>5589600</v>
      </c>
      <c r="P213" s="119"/>
    </row>
    <row r="214" spans="2:16" ht="15" customHeight="1" x14ac:dyDescent="0.25">
      <c r="B214" s="86" t="s">
        <v>395</v>
      </c>
      <c r="C214" s="87" t="s">
        <v>396</v>
      </c>
      <c r="D214" s="82" t="s">
        <v>374</v>
      </c>
      <c r="E214" s="83">
        <v>38</v>
      </c>
      <c r="F214" s="88">
        <v>9904</v>
      </c>
      <c r="G214" s="89">
        <f t="shared" si="15"/>
        <v>376352</v>
      </c>
      <c r="H214" s="209">
        <f t="shared" si="16"/>
        <v>10429</v>
      </c>
      <c r="I214" s="209">
        <f t="shared" si="19"/>
        <v>396302</v>
      </c>
      <c r="J214" s="213" t="str">
        <f t="array" ref="J214:M214">_xlfn.XLOOKUP(C214,'ESAP NEIVA FASE II UNIFICADO'!$C$6:$C$720,'ESAP NEIVA FASE II UNIFICADO'!$C$6:$F$720,"NO ESTA")</f>
        <v xml:space="preserve">SUMINISTRO E INSTALACIÓN ACCESORIOS PVC-S DIAMETRO 3"                                                             </v>
      </c>
      <c r="K214" t="str">
        <v>UN</v>
      </c>
      <c r="L214">
        <v>101</v>
      </c>
      <c r="M214">
        <v>10700</v>
      </c>
      <c r="N214" s="115">
        <f t="shared" si="17"/>
        <v>10700</v>
      </c>
      <c r="O214" s="146">
        <f t="shared" si="18"/>
        <v>406600</v>
      </c>
      <c r="P214" s="119"/>
    </row>
    <row r="215" spans="2:16" ht="15" customHeight="1" x14ac:dyDescent="0.25">
      <c r="B215" s="86" t="s">
        <v>397</v>
      </c>
      <c r="C215" s="87" t="s">
        <v>398</v>
      </c>
      <c r="D215" s="82" t="s">
        <v>374</v>
      </c>
      <c r="E215" s="83">
        <v>21</v>
      </c>
      <c r="F215" s="88">
        <v>14553</v>
      </c>
      <c r="G215" s="89">
        <f t="shared" si="15"/>
        <v>305613</v>
      </c>
      <c r="H215" s="209">
        <f t="shared" si="16"/>
        <v>15324</v>
      </c>
      <c r="I215" s="209">
        <f t="shared" si="19"/>
        <v>321804</v>
      </c>
      <c r="J215" s="213" t="str">
        <f t="array" ref="J215:M215">_xlfn.XLOOKUP(C215,'ESAP NEIVA FASE II UNIFICADO'!$C$6:$C$720,'ESAP NEIVA FASE II UNIFICADO'!$C$6:$F$720,"NO ESTA")</f>
        <v xml:space="preserve">SUMINISTRO E INSTALACIÓN ACCESORIOS PVC-S DIAMETRO 4"                                                             </v>
      </c>
      <c r="K215" t="str">
        <v>UN</v>
      </c>
      <c r="L215">
        <v>58</v>
      </c>
      <c r="M215">
        <v>15725</v>
      </c>
      <c r="N215" s="115">
        <f t="shared" si="17"/>
        <v>15725</v>
      </c>
      <c r="O215" s="146">
        <f t="shared" si="18"/>
        <v>330225</v>
      </c>
      <c r="P215" s="119"/>
    </row>
    <row r="216" spans="2:16" ht="15" customHeight="1" x14ac:dyDescent="0.25">
      <c r="B216" s="86" t="s">
        <v>399</v>
      </c>
      <c r="C216" s="87" t="s">
        <v>400</v>
      </c>
      <c r="D216" s="82" t="s">
        <v>374</v>
      </c>
      <c r="E216" s="83">
        <v>25</v>
      </c>
      <c r="F216" s="88">
        <v>69355</v>
      </c>
      <c r="G216" s="89">
        <f t="shared" si="15"/>
        <v>1733875</v>
      </c>
      <c r="H216" s="209">
        <f t="shared" si="16"/>
        <v>73031</v>
      </c>
      <c r="I216" s="209">
        <f t="shared" si="19"/>
        <v>1825775</v>
      </c>
      <c r="J216" s="213" t="str">
        <f t="array" ref="J216:M216">_xlfn.XLOOKUP(C216,'ESAP NEIVA FASE II UNIFICADO'!$C$6:$C$720,'ESAP NEIVA FASE II UNIFICADO'!$C$6:$F$720,"NO ESTA")</f>
        <v xml:space="preserve">SUMINISTRO E INSTALACIÓN ACCESORIOS PVC-S DIAMETRO 6"                                                             </v>
      </c>
      <c r="K216" t="str">
        <v>UN</v>
      </c>
      <c r="L216">
        <v>68</v>
      </c>
      <c r="M216">
        <v>74938</v>
      </c>
      <c r="N216" s="115">
        <f t="shared" si="17"/>
        <v>74938</v>
      </c>
      <c r="O216" s="146">
        <f t="shared" si="18"/>
        <v>1873450</v>
      </c>
      <c r="P216" s="119"/>
    </row>
    <row r="217" spans="2:16" ht="15" customHeight="1" x14ac:dyDescent="0.25">
      <c r="B217" s="86" t="s">
        <v>401</v>
      </c>
      <c r="C217" s="87" t="s">
        <v>402</v>
      </c>
      <c r="D217" s="82" t="s">
        <v>269</v>
      </c>
      <c r="E217" s="83">
        <v>12</v>
      </c>
      <c r="F217" s="88">
        <v>46295</v>
      </c>
      <c r="G217" s="89">
        <f t="shared" si="15"/>
        <v>555540</v>
      </c>
      <c r="H217" s="209">
        <f t="shared" si="16"/>
        <v>48749</v>
      </c>
      <c r="I217" s="209">
        <f t="shared" si="19"/>
        <v>584988</v>
      </c>
      <c r="J217" s="213" t="str">
        <f t="array" ref="J217:M217">_xlfn.XLOOKUP(C217,'ESAP NEIVA FASE II UNIFICADO'!$C$6:$C$720,'ESAP NEIVA FASE II UNIFICADO'!$C$6:$F$720,"NO ESTA")</f>
        <v xml:space="preserve">SUMINISTRO E INSTALACIÓN SALIDA SANITARIA DIAMETRO 3 PULG                                                               </v>
      </c>
      <c r="K217" t="str">
        <v xml:space="preserve">ML   </v>
      </c>
      <c r="L217">
        <v>31</v>
      </c>
      <c r="M217">
        <v>50021</v>
      </c>
      <c r="N217" s="115">
        <f t="shared" si="17"/>
        <v>50021</v>
      </c>
      <c r="O217" s="146">
        <f t="shared" si="18"/>
        <v>600252</v>
      </c>
      <c r="P217" s="119"/>
    </row>
    <row r="218" spans="2:16" ht="15" customHeight="1" x14ac:dyDescent="0.25">
      <c r="B218" s="86" t="s">
        <v>403</v>
      </c>
      <c r="C218" s="87" t="s">
        <v>404</v>
      </c>
      <c r="D218" s="82" t="s">
        <v>269</v>
      </c>
      <c r="E218" s="83">
        <v>8</v>
      </c>
      <c r="F218" s="88">
        <v>56892</v>
      </c>
      <c r="G218" s="89">
        <f t="shared" si="15"/>
        <v>455136</v>
      </c>
      <c r="H218" s="209">
        <f t="shared" si="16"/>
        <v>59907</v>
      </c>
      <c r="I218" s="209">
        <f t="shared" si="19"/>
        <v>479256</v>
      </c>
      <c r="J218" s="213" t="str">
        <f t="array" ref="J218:M218">_xlfn.XLOOKUP(C218,'ESAP NEIVA FASE II UNIFICADO'!$C$6:$C$720,'ESAP NEIVA FASE II UNIFICADO'!$C$6:$F$720,"NO ESTA")</f>
        <v xml:space="preserve">SUMINISTRO E INSTALACIÓN SALIDA SANITARIA DIAMETRO 4 PULG                                                               </v>
      </c>
      <c r="K218" t="str">
        <v xml:space="preserve">ML   </v>
      </c>
      <c r="L218">
        <v>23</v>
      </c>
      <c r="M218">
        <v>61472</v>
      </c>
      <c r="N218" s="115">
        <f t="shared" si="17"/>
        <v>61472</v>
      </c>
      <c r="O218" s="146">
        <f t="shared" si="18"/>
        <v>491776</v>
      </c>
      <c r="P218" s="119"/>
    </row>
    <row r="219" spans="2:16" ht="15" customHeight="1" x14ac:dyDescent="0.25">
      <c r="B219" s="86" t="s">
        <v>405</v>
      </c>
      <c r="C219" s="87" t="s">
        <v>406</v>
      </c>
      <c r="D219" s="82" t="s">
        <v>269</v>
      </c>
      <c r="E219" s="83">
        <v>50</v>
      </c>
      <c r="F219" s="88">
        <v>49552</v>
      </c>
      <c r="G219" s="89">
        <f t="shared" si="15"/>
        <v>2477600</v>
      </c>
      <c r="H219" s="209">
        <f t="shared" si="16"/>
        <v>52178</v>
      </c>
      <c r="I219" s="209">
        <f t="shared" si="19"/>
        <v>2608900</v>
      </c>
      <c r="J219" s="213" t="str">
        <f t="array" ref="J219:M219">_xlfn.XLOOKUP(C219,'ESAP NEIVA FASE II UNIFICADO'!$C$6:$C$720,'ESAP NEIVA FASE II UNIFICADO'!$C$6:$F$720,"NO ESTA")</f>
        <v xml:space="preserve">SUMINISTRO E INSTALACIÓN POLIETILENO PEAD PARA FILTRO 90 mm                                                                  </v>
      </c>
      <c r="K219" t="str">
        <v xml:space="preserve">ML   </v>
      </c>
      <c r="L219">
        <v>0</v>
      </c>
      <c r="M219">
        <v>53541</v>
      </c>
      <c r="N219" s="115">
        <f t="shared" si="17"/>
        <v>53541</v>
      </c>
      <c r="O219" s="146">
        <f t="shared" si="18"/>
        <v>2677050</v>
      </c>
      <c r="P219" s="119"/>
    </row>
    <row r="220" spans="2:16" ht="15" customHeight="1" x14ac:dyDescent="0.25">
      <c r="B220" s="86" t="s">
        <v>407</v>
      </c>
      <c r="C220" s="87" t="s">
        <v>408</v>
      </c>
      <c r="D220" s="82" t="s">
        <v>269</v>
      </c>
      <c r="E220" s="83">
        <v>30</v>
      </c>
      <c r="F220" s="88">
        <v>25833</v>
      </c>
      <c r="G220" s="89">
        <f t="shared" si="15"/>
        <v>774990</v>
      </c>
      <c r="H220" s="209">
        <f t="shared" si="16"/>
        <v>27202</v>
      </c>
      <c r="I220" s="209">
        <f t="shared" si="19"/>
        <v>816060</v>
      </c>
      <c r="J220" s="213" t="str">
        <f t="array" ref="J220:M220">_xlfn.XLOOKUP(C220,'ESAP NEIVA FASE II UNIFICADO'!$C$6:$C$720,'ESAP NEIVA FASE II UNIFICADO'!$C$6:$F$720,"NO ESTA")</f>
        <v xml:space="preserve">SUMINISTRO E INSTALACIÓN TUBERIA PVC-ALC 90 mm                                                                  </v>
      </c>
      <c r="K220" t="str">
        <v xml:space="preserve">ML   </v>
      </c>
      <c r="L220">
        <v>0</v>
      </c>
      <c r="M220">
        <v>27913</v>
      </c>
      <c r="N220" s="115">
        <f t="shared" si="17"/>
        <v>27913</v>
      </c>
      <c r="O220" s="146">
        <f t="shared" si="18"/>
        <v>837390</v>
      </c>
      <c r="P220" s="119"/>
    </row>
    <row r="221" spans="2:16" ht="15" customHeight="1" x14ac:dyDescent="0.25">
      <c r="B221" s="86" t="s">
        <v>409</v>
      </c>
      <c r="C221" s="87" t="s">
        <v>410</v>
      </c>
      <c r="D221" s="82" t="s">
        <v>269</v>
      </c>
      <c r="E221" s="83">
        <v>15</v>
      </c>
      <c r="F221" s="88">
        <v>31747</v>
      </c>
      <c r="G221" s="89">
        <f t="shared" si="15"/>
        <v>476205</v>
      </c>
      <c r="H221" s="209">
        <f t="shared" si="16"/>
        <v>33430</v>
      </c>
      <c r="I221" s="209">
        <f t="shared" si="19"/>
        <v>501450</v>
      </c>
      <c r="J221" s="213" t="str">
        <f t="array" ref="J221:M221">_xlfn.XLOOKUP(C221,'ESAP NEIVA FASE II UNIFICADO'!$C$6:$C$720,'ESAP NEIVA FASE II UNIFICADO'!$C$6:$F$720,"NO ESTA")</f>
        <v xml:space="preserve">SUMINISTRO E INSTALACIÓN TUBERIA PVC-ALC 110 mm                                                                 </v>
      </c>
      <c r="K221" t="str">
        <v xml:space="preserve">ML   </v>
      </c>
      <c r="L221">
        <v>0</v>
      </c>
      <c r="M221">
        <v>34303</v>
      </c>
      <c r="N221" s="115">
        <f t="shared" si="17"/>
        <v>34303</v>
      </c>
      <c r="O221" s="146">
        <f t="shared" si="18"/>
        <v>514545</v>
      </c>
      <c r="P221" s="119"/>
    </row>
    <row r="222" spans="2:16" ht="15" customHeight="1" x14ac:dyDescent="0.25">
      <c r="B222" s="86" t="s">
        <v>411</v>
      </c>
      <c r="C222" s="87" t="s">
        <v>412</v>
      </c>
      <c r="D222" s="82" t="s">
        <v>269</v>
      </c>
      <c r="E222" s="83">
        <v>70</v>
      </c>
      <c r="F222" s="88">
        <v>42386</v>
      </c>
      <c r="G222" s="89">
        <f t="shared" si="15"/>
        <v>2967020</v>
      </c>
      <c r="H222" s="209">
        <f t="shared" si="16"/>
        <v>44632</v>
      </c>
      <c r="I222" s="209">
        <f t="shared" si="19"/>
        <v>3124240</v>
      </c>
      <c r="J222" s="213" t="str">
        <f t="array" ref="J222:M222">_xlfn.XLOOKUP(C222,'ESAP NEIVA FASE II UNIFICADO'!$C$6:$C$720,'ESAP NEIVA FASE II UNIFICADO'!$C$6:$F$720,"NO ESTA")</f>
        <v xml:space="preserve">SUMINISTRO E INSTALACIÓN TUBERIA PVC-ALC 160 mm                                                                 </v>
      </c>
      <c r="K222" t="str">
        <v xml:space="preserve">ML   </v>
      </c>
      <c r="L222">
        <v>0</v>
      </c>
      <c r="M222">
        <v>45798</v>
      </c>
      <c r="N222" s="115">
        <f t="shared" si="17"/>
        <v>45798</v>
      </c>
      <c r="O222" s="146">
        <f t="shared" si="18"/>
        <v>3205860</v>
      </c>
      <c r="P222" s="119"/>
    </row>
    <row r="223" spans="2:16" ht="15" customHeight="1" x14ac:dyDescent="0.25">
      <c r="B223" s="86" t="s">
        <v>413</v>
      </c>
      <c r="C223" s="87" t="s">
        <v>414</v>
      </c>
      <c r="D223" s="82" t="s">
        <v>269</v>
      </c>
      <c r="E223" s="83">
        <v>20</v>
      </c>
      <c r="F223" s="88">
        <v>73947</v>
      </c>
      <c r="G223" s="89">
        <f t="shared" si="15"/>
        <v>1478940</v>
      </c>
      <c r="H223" s="209">
        <f t="shared" si="16"/>
        <v>77866</v>
      </c>
      <c r="I223" s="209">
        <f t="shared" si="19"/>
        <v>1557320</v>
      </c>
      <c r="J223" s="213" t="str">
        <f t="array" ref="J223:M223">_xlfn.XLOOKUP(C223,'ESAP NEIVA FASE II UNIFICADO'!$C$6:$C$720,'ESAP NEIVA FASE II UNIFICADO'!$C$6:$F$720,"NO ESTA")</f>
        <v xml:space="preserve">SUMINISTRO E INSTALACIÓN TUBERIA PVC-ALC 250mm                                                                   </v>
      </c>
      <c r="K223" t="str">
        <v xml:space="preserve">ML   </v>
      </c>
      <c r="L223">
        <v>0</v>
      </c>
      <c r="M223">
        <v>79901</v>
      </c>
      <c r="N223" s="115">
        <f t="shared" si="17"/>
        <v>79901</v>
      </c>
      <c r="O223" s="146">
        <f t="shared" si="18"/>
        <v>1598020</v>
      </c>
      <c r="P223" s="119"/>
    </row>
    <row r="224" spans="2:16" ht="15" customHeight="1" x14ac:dyDescent="0.25">
      <c r="B224" s="86" t="s">
        <v>415</v>
      </c>
      <c r="C224" s="87" t="s">
        <v>358</v>
      </c>
      <c r="D224" s="82" t="s">
        <v>284</v>
      </c>
      <c r="E224" s="83">
        <v>4</v>
      </c>
      <c r="F224" s="88">
        <v>501903</v>
      </c>
      <c r="G224" s="89">
        <f t="shared" si="15"/>
        <v>2007612</v>
      </c>
      <c r="H224" s="209">
        <f t="shared" si="16"/>
        <v>528504</v>
      </c>
      <c r="I224" s="209">
        <f t="shared" si="19"/>
        <v>2114016</v>
      </c>
      <c r="J224" s="213" t="str">
        <f t="array" ref="J224:M224">_xlfn.XLOOKUP(C224,'ESAP NEIVA FASE II UNIFICADO'!$C$6:$C$720,'ESAP NEIVA FASE II UNIFICADO'!$C$6:$F$720,"NO ESTA")</f>
        <v xml:space="preserve">SUMINISTRO Y CONSTRUCCIÓN CAJA DE INSPECCIÓN 0.80mX0.80m H mäx:1.0m                                                                    </v>
      </c>
      <c r="K224" t="str">
        <v xml:space="preserve">UN   </v>
      </c>
      <c r="L224">
        <v>1</v>
      </c>
      <c r="M224">
        <v>542308</v>
      </c>
      <c r="N224" s="115">
        <f t="shared" si="17"/>
        <v>542308</v>
      </c>
      <c r="O224" s="146">
        <f t="shared" si="18"/>
        <v>2169232</v>
      </c>
      <c r="P224" s="119"/>
    </row>
    <row r="225" spans="2:16" ht="15" customHeight="1" x14ac:dyDescent="0.25">
      <c r="B225" s="80" t="s">
        <v>416</v>
      </c>
      <c r="C225" s="81" t="s">
        <v>417</v>
      </c>
      <c r="D225" s="82"/>
      <c r="E225" s="83"/>
      <c r="F225" s="90"/>
      <c r="G225" s="89">
        <f t="shared" si="15"/>
        <v>0</v>
      </c>
      <c r="H225" s="209">
        <f t="shared" si="16"/>
        <v>0</v>
      </c>
      <c r="I225" s="209">
        <f t="shared" si="19"/>
        <v>0</v>
      </c>
      <c r="J225" s="213" t="str">
        <f t="array" ref="J225:M225">_xlfn.XLOOKUP(C225,'ESAP NEIVA FASE II UNIFICADO'!$C$6:$C$720,'ESAP NEIVA FASE II UNIFICADO'!$C$6:$F$720,"NO ESTA")</f>
        <v xml:space="preserve">EXCAVACIONES Y RELLENOS                                                                                       </v>
      </c>
      <c r="K225" t="str">
        <v xml:space="preserve">     </v>
      </c>
      <c r="L225">
        <v>0</v>
      </c>
      <c r="M225">
        <v>0</v>
      </c>
      <c r="N225" s="115">
        <f t="shared" si="17"/>
        <v>0</v>
      </c>
      <c r="O225" s="146">
        <f t="shared" si="18"/>
        <v>0</v>
      </c>
      <c r="P225" s="119"/>
    </row>
    <row r="226" spans="2:16" ht="15" customHeight="1" x14ac:dyDescent="0.25">
      <c r="B226" s="86" t="s">
        <v>418</v>
      </c>
      <c r="C226" s="87" t="s">
        <v>419</v>
      </c>
      <c r="D226" s="82" t="s">
        <v>420</v>
      </c>
      <c r="E226" s="83">
        <v>94</v>
      </c>
      <c r="F226" s="88">
        <v>36993</v>
      </c>
      <c r="G226" s="89">
        <f t="shared" si="15"/>
        <v>3477342</v>
      </c>
      <c r="H226" s="209">
        <f t="shared" si="16"/>
        <v>38954</v>
      </c>
      <c r="I226" s="209">
        <f t="shared" si="19"/>
        <v>3661676</v>
      </c>
      <c r="J226" s="213" t="str">
        <f t="array" ref="J226:M226">_xlfn.XLOOKUP(C226,'ESAP NEIVA FASE II UNIFICADO'!$C$6:$C$720,'ESAP NEIVA FASE II UNIFICADO'!$C$6:$F$720,"NO ESTA")</f>
        <v>EXCAVACIÓN MANUAL EN MATERIAL COMÚN (incluye cargue y retiro)</v>
      </c>
      <c r="K226" t="str">
        <v>M3</v>
      </c>
      <c r="L226">
        <v>57.945499999999981</v>
      </c>
      <c r="M226">
        <v>39971</v>
      </c>
      <c r="N226" s="115">
        <f t="shared" si="17"/>
        <v>39971</v>
      </c>
      <c r="O226" s="146">
        <f t="shared" si="18"/>
        <v>3757274</v>
      </c>
      <c r="P226" s="119"/>
    </row>
    <row r="227" spans="2:16" ht="15" customHeight="1" x14ac:dyDescent="0.25">
      <c r="B227" s="86" t="s">
        <v>421</v>
      </c>
      <c r="C227" s="87" t="s">
        <v>422</v>
      </c>
      <c r="D227" s="82" t="s">
        <v>420</v>
      </c>
      <c r="E227" s="83">
        <v>28</v>
      </c>
      <c r="F227" s="88">
        <v>69956</v>
      </c>
      <c r="G227" s="89">
        <f t="shared" si="15"/>
        <v>1958768</v>
      </c>
      <c r="H227" s="209">
        <f t="shared" si="16"/>
        <v>73664</v>
      </c>
      <c r="I227" s="209">
        <f t="shared" si="19"/>
        <v>2062592</v>
      </c>
      <c r="J227" s="213" t="str">
        <f t="array" ref="J227:M227">_xlfn.XLOOKUP(C227,'ESAP NEIVA FASE II UNIFICADO'!$C$6:$C$720,'ESAP NEIVA FASE II UNIFICADO'!$C$6:$F$720,"NO ESTA")</f>
        <v xml:space="preserve">RELLENO EN ARENA INCLUYE TRANSPORTE Y COLOCACIÓN       </v>
      </c>
      <c r="K227" t="str">
        <v>M3</v>
      </c>
      <c r="L227">
        <v>64.790000000000006</v>
      </c>
      <c r="M227">
        <v>75587</v>
      </c>
      <c r="N227" s="115">
        <f t="shared" si="17"/>
        <v>75587</v>
      </c>
      <c r="O227" s="146">
        <f t="shared" si="18"/>
        <v>2116436</v>
      </c>
      <c r="P227" s="119"/>
    </row>
    <row r="228" spans="2:16" ht="15" customHeight="1" x14ac:dyDescent="0.25">
      <c r="B228" s="86" t="s">
        <v>423</v>
      </c>
      <c r="C228" s="87" t="s">
        <v>36</v>
      </c>
      <c r="D228" s="82" t="s">
        <v>420</v>
      </c>
      <c r="E228" s="83">
        <v>28</v>
      </c>
      <c r="F228" s="88">
        <v>58243</v>
      </c>
      <c r="G228" s="89">
        <f t="shared" si="15"/>
        <v>1630804</v>
      </c>
      <c r="H228" s="209">
        <f t="shared" si="16"/>
        <v>61330</v>
      </c>
      <c r="I228" s="209">
        <f t="shared" si="19"/>
        <v>1717240</v>
      </c>
      <c r="J228" s="213" t="str">
        <f t="array" ref="J228:M228">_xlfn.XLOOKUP(C228,'ESAP NEIVA FASE II UNIFICADO'!$C$6:$C$720,'ESAP NEIVA FASE II UNIFICADO'!$C$6:$F$720,"NO ESTA")</f>
        <v>RELLENO EN RECEBO COMÚN (Incluye Compactación)</v>
      </c>
      <c r="K228" t="str">
        <v>M3</v>
      </c>
      <c r="L228">
        <v>70.485000000000014</v>
      </c>
      <c r="M228">
        <v>62932</v>
      </c>
      <c r="N228" s="115">
        <f t="shared" si="17"/>
        <v>62932</v>
      </c>
      <c r="O228" s="146">
        <f t="shared" si="18"/>
        <v>1762096</v>
      </c>
      <c r="P228" s="119"/>
    </row>
    <row r="229" spans="2:16" ht="15" customHeight="1" x14ac:dyDescent="0.25">
      <c r="B229" s="86" t="s">
        <v>424</v>
      </c>
      <c r="C229" s="87" t="s">
        <v>425</v>
      </c>
      <c r="D229" s="82" t="s">
        <v>420</v>
      </c>
      <c r="E229" s="83">
        <v>37</v>
      </c>
      <c r="F229" s="88">
        <v>11569</v>
      </c>
      <c r="G229" s="89">
        <f t="shared" si="15"/>
        <v>428053</v>
      </c>
      <c r="H229" s="209">
        <f t="shared" si="16"/>
        <v>12182</v>
      </c>
      <c r="I229" s="209">
        <f t="shared" si="19"/>
        <v>450734</v>
      </c>
      <c r="J229" s="213" t="str">
        <f t="array" ref="J229:M229">_xlfn.XLOOKUP(C229,'ESAP NEIVA FASE II UNIFICADO'!$C$6:$C$720,'ESAP NEIVA FASE II UNIFICADO'!$C$6:$F$720,"NO ESTA")</f>
        <v>RELLENO EN MATERIAL COMÚN SELECCIONADO DE OBRA (Incluye Compactación)</v>
      </c>
      <c r="K229" t="str">
        <v xml:space="preserve">M3   </v>
      </c>
      <c r="L229">
        <v>0</v>
      </c>
      <c r="M229">
        <v>12500</v>
      </c>
      <c r="N229" s="115">
        <f t="shared" si="17"/>
        <v>12500</v>
      </c>
      <c r="O229" s="146">
        <f t="shared" si="18"/>
        <v>462500</v>
      </c>
      <c r="P229" s="119"/>
    </row>
    <row r="230" spans="2:16" ht="15" customHeight="1" x14ac:dyDescent="0.25">
      <c r="B230" s="80" t="s">
        <v>426</v>
      </c>
      <c r="C230" s="81" t="s">
        <v>427</v>
      </c>
      <c r="D230" s="82"/>
      <c r="E230" s="83"/>
      <c r="F230" s="90"/>
      <c r="G230" s="89">
        <f t="shared" si="15"/>
        <v>0</v>
      </c>
      <c r="H230" s="209">
        <f t="shared" si="16"/>
        <v>0</v>
      </c>
      <c r="I230" s="209">
        <f t="shared" si="19"/>
        <v>0</v>
      </c>
      <c r="J230" s="213" t="str">
        <f t="array" ref="J230:M230">_xlfn.XLOOKUP(C230,'ESAP NEIVA FASE II UNIFICADO'!$C$6:$C$720,'ESAP NEIVA FASE II UNIFICADO'!$C$6:$F$720,"NO ESTA")</f>
        <v xml:space="preserve">SUMINISTRO E INSTALACION DE EQUIPOS DE BOMBEO                                                                                             </v>
      </c>
      <c r="K230" t="str">
        <v xml:space="preserve">     </v>
      </c>
      <c r="L230">
        <v>0</v>
      </c>
      <c r="M230">
        <v>0</v>
      </c>
      <c r="N230" s="115">
        <f t="shared" si="17"/>
        <v>0</v>
      </c>
      <c r="O230" s="146">
        <f t="shared" si="18"/>
        <v>0</v>
      </c>
      <c r="P230" s="119"/>
    </row>
    <row r="231" spans="2:16" ht="25.5" customHeight="1" x14ac:dyDescent="0.25">
      <c r="B231" s="86" t="s">
        <v>428</v>
      </c>
      <c r="C231" s="87" t="s">
        <v>429</v>
      </c>
      <c r="D231" s="82" t="s">
        <v>374</v>
      </c>
      <c r="E231" s="83">
        <v>1</v>
      </c>
      <c r="F231" s="88">
        <v>32362930</v>
      </c>
      <c r="G231" s="89">
        <f t="shared" si="15"/>
        <v>32362930</v>
      </c>
      <c r="H231" s="209">
        <f t="shared" si="16"/>
        <v>34078165</v>
      </c>
      <c r="I231" s="209">
        <f t="shared" si="19"/>
        <v>34078165</v>
      </c>
      <c r="J231" s="213" t="str">
        <f t="array" ref="J231">_xlfn.XLOOKUP(C231,'ESAP NEIVA FASE II UNIFICADO'!$C$6:$C$720,'ESAP NEIVA FASE II UNIFICADO'!$C$6:$F$720,"NO ESTA")</f>
        <v>NO ESTA</v>
      </c>
      <c r="N231" s="115">
        <f t="shared" si="17"/>
        <v>32362930</v>
      </c>
      <c r="O231" s="146">
        <f t="shared" si="18"/>
        <v>32362930</v>
      </c>
      <c r="P231" s="119"/>
    </row>
    <row r="232" spans="2:16" ht="33.75" customHeight="1" x14ac:dyDescent="0.25">
      <c r="B232" s="86" t="s">
        <v>430</v>
      </c>
      <c r="C232" s="87" t="s">
        <v>431</v>
      </c>
      <c r="D232" s="82" t="s">
        <v>374</v>
      </c>
      <c r="E232" s="83">
        <v>1</v>
      </c>
      <c r="F232" s="88">
        <v>88637031</v>
      </c>
      <c r="G232" s="89">
        <f t="shared" si="15"/>
        <v>88637031</v>
      </c>
      <c r="H232" s="209">
        <f t="shared" si="16"/>
        <v>93334794</v>
      </c>
      <c r="I232" s="209">
        <f t="shared" si="19"/>
        <v>93334794</v>
      </c>
      <c r="J232" s="213" t="str">
        <f t="array" ref="J232">_xlfn.XLOOKUP(C232,'ESAP NEIVA FASE II UNIFICADO'!$C$6:$C$720,'ESAP NEIVA FASE II UNIFICADO'!$C$6:$F$720,"NO ESTA")</f>
        <v>NO ESTA</v>
      </c>
      <c r="N232" s="115">
        <f t="shared" si="17"/>
        <v>88637031</v>
      </c>
      <c r="O232" s="146">
        <f t="shared" si="18"/>
        <v>88637031</v>
      </c>
      <c r="P232" s="119"/>
    </row>
    <row r="233" spans="2:16" ht="15" customHeight="1" x14ac:dyDescent="0.25">
      <c r="B233" s="86" t="s">
        <v>432</v>
      </c>
      <c r="C233" s="87" t="s">
        <v>433</v>
      </c>
      <c r="D233" s="82" t="s">
        <v>374</v>
      </c>
      <c r="E233" s="83">
        <v>1</v>
      </c>
      <c r="F233" s="88">
        <v>13045522</v>
      </c>
      <c r="G233" s="89">
        <f t="shared" si="15"/>
        <v>13045522</v>
      </c>
      <c r="H233" s="209">
        <f t="shared" si="16"/>
        <v>13736935</v>
      </c>
      <c r="I233" s="209">
        <f t="shared" si="19"/>
        <v>13736935</v>
      </c>
      <c r="J233" s="213" t="str">
        <f t="array" ref="J233:M233">_xlfn.XLOOKUP(C233,'ESAP NEIVA FASE II UNIFICADO'!$C$6:$C$720,'ESAP NEIVA FASE II UNIFICADO'!$C$6:$F$720,"NO ESTA")</f>
        <v xml:space="preserve">SUMINISTRO E INSTALACIÓN DE EQUIPO EYECTOR 2 BOMBAS 3HP C/U </v>
      </c>
      <c r="K233" t="str">
        <v>UN</v>
      </c>
      <c r="L233">
        <v>0</v>
      </c>
      <c r="M233">
        <v>14095722</v>
      </c>
      <c r="N233" s="115">
        <f t="shared" si="17"/>
        <v>14095722</v>
      </c>
      <c r="O233" s="146">
        <f t="shared" si="18"/>
        <v>14095722</v>
      </c>
      <c r="P233" s="119"/>
    </row>
    <row r="234" spans="2:16" ht="18" customHeight="1" x14ac:dyDescent="0.25">
      <c r="B234" s="74">
        <v>13</v>
      </c>
      <c r="C234" s="75" t="s">
        <v>434</v>
      </c>
      <c r="D234" s="76"/>
      <c r="E234" s="77"/>
      <c r="F234" s="78"/>
      <c r="G234" s="89">
        <f t="shared" si="15"/>
        <v>0</v>
      </c>
      <c r="H234" s="209">
        <f t="shared" si="16"/>
        <v>0</v>
      </c>
      <c r="I234" s="209">
        <f t="shared" si="19"/>
        <v>0</v>
      </c>
      <c r="J234" s="213" t="str">
        <f t="array" ref="J234:M234">_xlfn.XLOOKUP(C234,'ESAP NEIVA FASE II UNIFICADO'!$C$6:$C$720,'ESAP NEIVA FASE II UNIFICADO'!$C$6:$F$720,"NO ESTA")</f>
        <v xml:space="preserve">RED DE PROTECCION CONTRA INCENDIO </v>
      </c>
      <c r="K234">
        <v>0</v>
      </c>
      <c r="L234">
        <v>0</v>
      </c>
      <c r="M234">
        <v>0</v>
      </c>
      <c r="N234" s="115">
        <f t="shared" si="17"/>
        <v>0</v>
      </c>
      <c r="O234" s="146">
        <f t="shared" si="18"/>
        <v>0</v>
      </c>
      <c r="P234" s="119"/>
    </row>
    <row r="235" spans="2:16" ht="15" customHeight="1" x14ac:dyDescent="0.25">
      <c r="B235" s="80" t="s">
        <v>435</v>
      </c>
      <c r="C235" s="81" t="s">
        <v>436</v>
      </c>
      <c r="D235" s="82"/>
      <c r="E235" s="83"/>
      <c r="F235" s="90"/>
      <c r="G235" s="89">
        <f t="shared" si="15"/>
        <v>0</v>
      </c>
      <c r="H235" s="209">
        <f t="shared" si="16"/>
        <v>0</v>
      </c>
      <c r="I235" s="209">
        <f t="shared" si="19"/>
        <v>0</v>
      </c>
      <c r="J235" s="213" t="str">
        <f t="array" ref="J235:M235">_xlfn.XLOOKUP(C235,'ESAP NEIVA FASE II UNIFICADO'!$C$6:$C$720,'ESAP NEIVA FASE II UNIFICADO'!$C$6:$F$720,"NO ESTA")</f>
        <v>SUMINISTRO E INSTALACIÓN RED DE ACERO NEGRO SCH 40</v>
      </c>
      <c r="K235">
        <v>0</v>
      </c>
      <c r="L235">
        <v>0</v>
      </c>
      <c r="M235">
        <v>0</v>
      </c>
      <c r="N235" s="115">
        <f t="shared" si="17"/>
        <v>0</v>
      </c>
      <c r="O235" s="146">
        <f t="shared" si="18"/>
        <v>0</v>
      </c>
      <c r="P235" s="119"/>
    </row>
    <row r="236" spans="2:16" ht="26.25" customHeight="1" x14ac:dyDescent="0.25">
      <c r="B236" s="86" t="s">
        <v>437</v>
      </c>
      <c r="C236" s="87" t="s">
        <v>438</v>
      </c>
      <c r="D236" s="82" t="s">
        <v>269</v>
      </c>
      <c r="E236" s="83">
        <v>257</v>
      </c>
      <c r="F236" s="88">
        <v>22518</v>
      </c>
      <c r="G236" s="89">
        <f t="shared" si="15"/>
        <v>5787126</v>
      </c>
      <c r="H236" s="209">
        <f t="shared" si="16"/>
        <v>23711</v>
      </c>
      <c r="I236" s="209">
        <f t="shared" si="19"/>
        <v>6093727</v>
      </c>
      <c r="J236" s="213" t="str">
        <f t="array" ref="J236:M236">_xlfn.XLOOKUP(C236,'ESAP NEIVA FASE II UNIFICADO'!$C$6:$C$720,'ESAP NEIVA FASE II UNIFICADO'!$C$6:$F$720,"NO ESTA")</f>
        <v xml:space="preserve">SUMINISTRO E INSTALACIÓN TUBERIA ACERO 1" SCH 40 INCLUYE. SOPORTES Y ADITAMENTOS                                 </v>
      </c>
      <c r="K236" t="str">
        <v xml:space="preserve">ML   </v>
      </c>
      <c r="L236">
        <v>694</v>
      </c>
      <c r="M236">
        <v>24331</v>
      </c>
      <c r="N236" s="115">
        <f t="shared" si="17"/>
        <v>24331</v>
      </c>
      <c r="O236" s="146">
        <f t="shared" si="18"/>
        <v>6253067</v>
      </c>
      <c r="P236" s="119"/>
    </row>
    <row r="237" spans="2:16" ht="26.25" customHeight="1" x14ac:dyDescent="0.25">
      <c r="B237" s="86" t="s">
        <v>439</v>
      </c>
      <c r="C237" s="87" t="s">
        <v>440</v>
      </c>
      <c r="D237" s="82" t="s">
        <v>269</v>
      </c>
      <c r="E237" s="83">
        <v>129</v>
      </c>
      <c r="F237" s="88">
        <v>48230</v>
      </c>
      <c r="G237" s="89">
        <f t="shared" si="15"/>
        <v>6221670</v>
      </c>
      <c r="H237" s="209">
        <f t="shared" si="16"/>
        <v>50786</v>
      </c>
      <c r="I237" s="209">
        <f t="shared" si="19"/>
        <v>6551394</v>
      </c>
      <c r="J237" s="213" t="str">
        <f t="array" ref="J237:M237">_xlfn.XLOOKUP(C237,'ESAP NEIVA FASE II UNIFICADO'!$C$6:$C$720,'ESAP NEIVA FASE II UNIFICADO'!$C$6:$F$720,"NO ESTA")</f>
        <v xml:space="preserve">SUMINISTRO E INSTALACIÓN TUBERIA ACERO 2" SCH 40 INCLUYE. SOPORTES Y ADITAMENTOS                                 </v>
      </c>
      <c r="K237" t="str">
        <v xml:space="preserve">ML   </v>
      </c>
      <c r="L237">
        <v>350</v>
      </c>
      <c r="M237">
        <v>52113</v>
      </c>
      <c r="N237" s="115">
        <f t="shared" si="17"/>
        <v>52113</v>
      </c>
      <c r="O237" s="146">
        <f t="shared" si="18"/>
        <v>6722577</v>
      </c>
      <c r="P237" s="119"/>
    </row>
    <row r="238" spans="2:16" ht="26.25" customHeight="1" x14ac:dyDescent="0.25">
      <c r="B238" s="86" t="s">
        <v>441</v>
      </c>
      <c r="C238" s="87" t="s">
        <v>442</v>
      </c>
      <c r="D238" s="82" t="s">
        <v>269</v>
      </c>
      <c r="E238" s="83">
        <v>112</v>
      </c>
      <c r="F238" s="88">
        <v>89862</v>
      </c>
      <c r="G238" s="89">
        <f t="shared" si="15"/>
        <v>10064544</v>
      </c>
      <c r="H238" s="209">
        <f t="shared" si="16"/>
        <v>94625</v>
      </c>
      <c r="I238" s="209">
        <f t="shared" si="19"/>
        <v>10598000</v>
      </c>
      <c r="J238" s="213" t="str">
        <f t="array" ref="J238:M238">_xlfn.XLOOKUP(C238,'ESAP NEIVA FASE II UNIFICADO'!$C$6:$C$720,'ESAP NEIVA FASE II UNIFICADO'!$C$6:$F$720,"NO ESTA")</f>
        <v xml:space="preserve">SUMINISTRO E INSTALACIÓN TUBERIA ACERO 3" SCH 40 INCLUYE. SOPORTES Y ADITAMENTOS                                 </v>
      </c>
      <c r="K238" t="str">
        <v xml:space="preserve">ML   </v>
      </c>
      <c r="L238">
        <v>301</v>
      </c>
      <c r="M238">
        <v>97096</v>
      </c>
      <c r="N238" s="115">
        <f t="shared" si="17"/>
        <v>97096</v>
      </c>
      <c r="O238" s="146">
        <f t="shared" si="18"/>
        <v>10874752</v>
      </c>
      <c r="P238" s="119"/>
    </row>
    <row r="239" spans="2:16" ht="26.25" customHeight="1" x14ac:dyDescent="0.25">
      <c r="B239" s="86" t="s">
        <v>443</v>
      </c>
      <c r="C239" s="87" t="s">
        <v>444</v>
      </c>
      <c r="D239" s="82" t="s">
        <v>269</v>
      </c>
      <c r="E239" s="83">
        <v>16</v>
      </c>
      <c r="F239" s="88">
        <v>126806</v>
      </c>
      <c r="G239" s="89">
        <f t="shared" si="15"/>
        <v>2028896</v>
      </c>
      <c r="H239" s="209">
        <f t="shared" si="16"/>
        <v>133527</v>
      </c>
      <c r="I239" s="209">
        <f t="shared" si="19"/>
        <v>2136432</v>
      </c>
      <c r="J239" s="213" t="str">
        <f t="array" ref="J239:M239">_xlfn.XLOOKUP(C239,'ESAP NEIVA FASE II UNIFICADO'!$C$6:$C$720,'ESAP NEIVA FASE II UNIFICADO'!$C$6:$F$720,"NO ESTA")</f>
        <v xml:space="preserve">SUMINISTRO E INSTALACIÓN TUBERIA ACERO 4" SCH 40 INCLUYE. SOPORTES Y ADITAMENTOS                                 </v>
      </c>
      <c r="K239" t="str">
        <v xml:space="preserve">ML   </v>
      </c>
      <c r="L239">
        <v>44</v>
      </c>
      <c r="M239">
        <v>137013</v>
      </c>
      <c r="N239" s="115">
        <f t="shared" si="17"/>
        <v>137013</v>
      </c>
      <c r="O239" s="146">
        <f t="shared" si="18"/>
        <v>2192208</v>
      </c>
      <c r="P239" s="119"/>
    </row>
    <row r="240" spans="2:16" ht="15" customHeight="1" x14ac:dyDescent="0.25">
      <c r="B240" s="86" t="s">
        <v>445</v>
      </c>
      <c r="C240" s="87" t="s">
        <v>446</v>
      </c>
      <c r="D240" s="82" t="s">
        <v>284</v>
      </c>
      <c r="E240" s="83">
        <v>95</v>
      </c>
      <c r="F240" s="88">
        <v>7586</v>
      </c>
      <c r="G240" s="89">
        <f t="shared" si="15"/>
        <v>720670</v>
      </c>
      <c r="H240" s="209">
        <f t="shared" si="16"/>
        <v>7988</v>
      </c>
      <c r="I240" s="209">
        <f t="shared" si="19"/>
        <v>758860</v>
      </c>
      <c r="J240" s="213" t="str">
        <f t="array" ref="J240:M240">_xlfn.XLOOKUP(C240,'ESAP NEIVA FASE II UNIFICADO'!$C$6:$C$720,'ESAP NEIVA FASE II UNIFICADO'!$C$6:$F$720,"NO ESTA")</f>
        <v xml:space="preserve">SUMINISTRO E INSTALACIÓN ACCESORIOS ACERO NEGRO 1"                                                       </v>
      </c>
      <c r="K240" t="str">
        <v xml:space="preserve">UN   </v>
      </c>
      <c r="L240">
        <v>256</v>
      </c>
      <c r="M240">
        <v>8196</v>
      </c>
      <c r="N240" s="115">
        <f t="shared" si="17"/>
        <v>8196</v>
      </c>
      <c r="O240" s="146">
        <f t="shared" si="18"/>
        <v>778620</v>
      </c>
      <c r="P240" s="119"/>
    </row>
    <row r="241" spans="2:16" ht="15" customHeight="1" x14ac:dyDescent="0.25">
      <c r="B241" s="86" t="s">
        <v>447</v>
      </c>
      <c r="C241" s="87" t="s">
        <v>448</v>
      </c>
      <c r="D241" s="82" t="s">
        <v>284</v>
      </c>
      <c r="E241" s="83">
        <v>35</v>
      </c>
      <c r="F241" s="88">
        <v>16504</v>
      </c>
      <c r="G241" s="89">
        <f t="shared" si="15"/>
        <v>577640</v>
      </c>
      <c r="H241" s="209">
        <f t="shared" si="16"/>
        <v>17379</v>
      </c>
      <c r="I241" s="209">
        <f t="shared" si="19"/>
        <v>608265</v>
      </c>
      <c r="J241" s="213" t="str">
        <f t="array" ref="J241:M241">_xlfn.XLOOKUP(C241,'ESAP NEIVA FASE II UNIFICADO'!$C$6:$C$720,'ESAP NEIVA FASE II UNIFICADO'!$C$6:$F$720,"NO ESTA")</f>
        <v xml:space="preserve">SUMINISTRO E INSTALACIÓN ACCESORIOS ACERO NEGRO 2"                                                       </v>
      </c>
      <c r="K241" t="str">
        <v xml:space="preserve">UN   </v>
      </c>
      <c r="L241">
        <v>95</v>
      </c>
      <c r="M241">
        <v>17833</v>
      </c>
      <c r="N241" s="115">
        <f t="shared" si="17"/>
        <v>17833</v>
      </c>
      <c r="O241" s="146">
        <f t="shared" si="18"/>
        <v>624155</v>
      </c>
      <c r="P241" s="119"/>
    </row>
    <row r="242" spans="2:16" ht="15" customHeight="1" x14ac:dyDescent="0.25">
      <c r="B242" s="86" t="s">
        <v>449</v>
      </c>
      <c r="C242" s="87" t="s">
        <v>450</v>
      </c>
      <c r="D242" s="82" t="s">
        <v>284</v>
      </c>
      <c r="E242" s="83">
        <v>48</v>
      </c>
      <c r="F242" s="88">
        <v>25555</v>
      </c>
      <c r="G242" s="89">
        <f t="shared" si="15"/>
        <v>1226640</v>
      </c>
      <c r="H242" s="209">
        <f t="shared" si="16"/>
        <v>26909</v>
      </c>
      <c r="I242" s="209">
        <f t="shared" si="19"/>
        <v>1291632</v>
      </c>
      <c r="J242" s="213" t="str">
        <f t="array" ref="J242:M242">_xlfn.XLOOKUP(C242,'ESAP NEIVA FASE II UNIFICADO'!$C$6:$C$720,'ESAP NEIVA FASE II UNIFICADO'!$C$6:$F$720,"NO ESTA")</f>
        <v xml:space="preserve">SUMINISTRO E INSTALACIÓN ACCESORIOS ACERO NEGRO 3"                                                       </v>
      </c>
      <c r="K242" t="str">
        <v xml:space="preserve">UN   </v>
      </c>
      <c r="L242">
        <v>128</v>
      </c>
      <c r="M242">
        <v>27612</v>
      </c>
      <c r="N242" s="115">
        <f t="shared" si="17"/>
        <v>27612</v>
      </c>
      <c r="O242" s="146">
        <f t="shared" si="18"/>
        <v>1325376</v>
      </c>
      <c r="P242" s="119"/>
    </row>
    <row r="243" spans="2:16" ht="15" customHeight="1" x14ac:dyDescent="0.25">
      <c r="B243" s="86" t="s">
        <v>451</v>
      </c>
      <c r="C243" s="87" t="s">
        <v>452</v>
      </c>
      <c r="D243" s="82" t="s">
        <v>284</v>
      </c>
      <c r="E243" s="83">
        <v>7</v>
      </c>
      <c r="F243" s="88">
        <v>39933</v>
      </c>
      <c r="G243" s="89">
        <f t="shared" si="15"/>
        <v>279531</v>
      </c>
      <c r="H243" s="209">
        <f t="shared" si="16"/>
        <v>42049</v>
      </c>
      <c r="I243" s="209">
        <f t="shared" si="19"/>
        <v>294343</v>
      </c>
      <c r="J243" s="213" t="str">
        <f t="array" ref="J243:M243">_xlfn.XLOOKUP(C243,'ESAP NEIVA FASE II UNIFICADO'!$C$6:$C$720,'ESAP NEIVA FASE II UNIFICADO'!$C$6:$F$720,"NO ESTA")</f>
        <v xml:space="preserve">SUMINISTRO E INSTALACIÓN ACCESORIOS ACERO NEGRO 4"                                                       </v>
      </c>
      <c r="K243" t="str">
        <v xml:space="preserve">UN   </v>
      </c>
      <c r="L243">
        <v>19</v>
      </c>
      <c r="M243">
        <v>43148</v>
      </c>
      <c r="N243" s="115">
        <f t="shared" si="17"/>
        <v>43148</v>
      </c>
      <c r="O243" s="146">
        <f t="shared" si="18"/>
        <v>302036</v>
      </c>
      <c r="P243" s="119"/>
    </row>
    <row r="244" spans="2:16" ht="15" customHeight="1" x14ac:dyDescent="0.25">
      <c r="B244" s="86" t="s">
        <v>453</v>
      </c>
      <c r="C244" s="87" t="s">
        <v>454</v>
      </c>
      <c r="D244" s="82" t="s">
        <v>284</v>
      </c>
      <c r="E244" s="83">
        <v>21</v>
      </c>
      <c r="F244" s="88">
        <v>7700</v>
      </c>
      <c r="G244" s="89">
        <f t="shared" si="15"/>
        <v>161700</v>
      </c>
      <c r="H244" s="209">
        <f t="shared" si="16"/>
        <v>8108</v>
      </c>
      <c r="I244" s="209">
        <f t="shared" si="19"/>
        <v>170268</v>
      </c>
      <c r="J244" s="213" t="str">
        <f t="array" ref="J244:M244">_xlfn.XLOOKUP(C244,'ESAP NEIVA FASE II UNIFICADO'!$C$6:$C$720,'ESAP NEIVA FASE II UNIFICADO'!$C$6:$F$720,"NO ESTA")</f>
        <v xml:space="preserve">SUMINISTRO E INSTALACIÓN ACOPLES HIERRO FUNDIDO DIAMETRO 2"                                                      </v>
      </c>
      <c r="K244" t="str">
        <v xml:space="preserve">UN   </v>
      </c>
      <c r="L244">
        <v>55</v>
      </c>
      <c r="M244">
        <v>8320</v>
      </c>
      <c r="N244" s="115">
        <f t="shared" si="17"/>
        <v>8320</v>
      </c>
      <c r="O244" s="146">
        <f t="shared" si="18"/>
        <v>174720</v>
      </c>
      <c r="P244" s="119"/>
    </row>
    <row r="245" spans="2:16" ht="15" customHeight="1" x14ac:dyDescent="0.25">
      <c r="B245" s="86" t="s">
        <v>455</v>
      </c>
      <c r="C245" s="87" t="s">
        <v>456</v>
      </c>
      <c r="D245" s="82" t="s">
        <v>284</v>
      </c>
      <c r="E245" s="83">
        <v>22</v>
      </c>
      <c r="F245" s="88">
        <v>10220</v>
      </c>
      <c r="G245" s="89">
        <f t="shared" si="15"/>
        <v>224840</v>
      </c>
      <c r="H245" s="209">
        <f t="shared" si="16"/>
        <v>10762</v>
      </c>
      <c r="I245" s="209">
        <f t="shared" si="19"/>
        <v>236764</v>
      </c>
      <c r="J245" s="213" t="str">
        <f t="array" ref="J245:M245">_xlfn.XLOOKUP(C245,'ESAP NEIVA FASE II UNIFICADO'!$C$6:$C$720,'ESAP NEIVA FASE II UNIFICADO'!$C$6:$F$720,"NO ESTA")</f>
        <v xml:space="preserve">SUMINISTRO E INSTALACIÓN ACOPLES HIERRO FUNDIDO DIAMETRO 3"                                                       </v>
      </c>
      <c r="K245" t="str">
        <v xml:space="preserve">UN   </v>
      </c>
      <c r="L245">
        <v>58</v>
      </c>
      <c r="M245">
        <v>11043</v>
      </c>
      <c r="N245" s="115">
        <f t="shared" si="17"/>
        <v>11043</v>
      </c>
      <c r="O245" s="146">
        <f t="shared" si="18"/>
        <v>242946</v>
      </c>
      <c r="P245" s="119"/>
    </row>
    <row r="246" spans="2:16" ht="15" customHeight="1" x14ac:dyDescent="0.25">
      <c r="B246" s="86" t="s">
        <v>457</v>
      </c>
      <c r="C246" s="87" t="s">
        <v>458</v>
      </c>
      <c r="D246" s="82" t="s">
        <v>284</v>
      </c>
      <c r="E246" s="83">
        <v>3</v>
      </c>
      <c r="F246" s="88">
        <v>12644</v>
      </c>
      <c r="G246" s="89">
        <f t="shared" si="15"/>
        <v>37932</v>
      </c>
      <c r="H246" s="209">
        <f t="shared" si="16"/>
        <v>13314</v>
      </c>
      <c r="I246" s="209">
        <f t="shared" si="19"/>
        <v>39942</v>
      </c>
      <c r="J246" s="213" t="str">
        <f t="array" ref="J246:M246">_xlfn.XLOOKUP(C246,'ESAP NEIVA FASE II UNIFICADO'!$C$6:$C$720,'ESAP NEIVA FASE II UNIFICADO'!$C$6:$F$720,"NO ESTA")</f>
        <v xml:space="preserve">SUMINISTRO E INSTALACIÓN ACOPLES HIERRO FUNDIDO DIAMETRO 4"                                                       </v>
      </c>
      <c r="K246" t="str">
        <v xml:space="preserve">UN   </v>
      </c>
      <c r="L246">
        <v>9</v>
      </c>
      <c r="M246">
        <v>13663</v>
      </c>
      <c r="N246" s="115">
        <f t="shared" si="17"/>
        <v>13663</v>
      </c>
      <c r="O246" s="146">
        <f t="shared" si="18"/>
        <v>40989</v>
      </c>
      <c r="P246" s="119"/>
    </row>
    <row r="247" spans="2:16" ht="15" customHeight="1" x14ac:dyDescent="0.25">
      <c r="B247" s="86" t="s">
        <v>459</v>
      </c>
      <c r="C247" s="87" t="s">
        <v>460</v>
      </c>
      <c r="D247" s="82" t="s">
        <v>269</v>
      </c>
      <c r="E247" s="83">
        <v>222</v>
      </c>
      <c r="F247" s="88">
        <v>5448</v>
      </c>
      <c r="G247" s="89">
        <f t="shared" si="15"/>
        <v>1209456</v>
      </c>
      <c r="H247" s="209">
        <f t="shared" si="16"/>
        <v>5737</v>
      </c>
      <c r="I247" s="209">
        <f t="shared" si="19"/>
        <v>1273614</v>
      </c>
      <c r="J247" s="213" t="str">
        <f t="array" ref="J247:M247">_xlfn.XLOOKUP(C247,'ESAP NEIVA FASE II UNIFICADO'!$C$6:$C$720,'ESAP NEIVA FASE II UNIFICADO'!$C$6:$F$720,"NO ESTA")</f>
        <v xml:space="preserve">SUMINISTRO Y APLICACIÓN PINTURA RED DE INCENDIO DIAMETRO DE 1" A 2"                                                              </v>
      </c>
      <c r="K247" t="str">
        <v xml:space="preserve">ML   </v>
      </c>
      <c r="L247">
        <v>602</v>
      </c>
      <c r="M247">
        <v>5888</v>
      </c>
      <c r="N247" s="115">
        <f t="shared" si="17"/>
        <v>5888</v>
      </c>
      <c r="O247" s="146">
        <f t="shared" si="18"/>
        <v>1307136</v>
      </c>
      <c r="P247" s="119"/>
    </row>
    <row r="248" spans="2:16" ht="15" customHeight="1" x14ac:dyDescent="0.25">
      <c r="B248" s="86" t="s">
        <v>461</v>
      </c>
      <c r="C248" s="87" t="s">
        <v>462</v>
      </c>
      <c r="D248" s="82" t="s">
        <v>269</v>
      </c>
      <c r="E248" s="83">
        <v>40</v>
      </c>
      <c r="F248" s="88">
        <v>9269</v>
      </c>
      <c r="G248" s="89">
        <f t="shared" si="15"/>
        <v>370760</v>
      </c>
      <c r="H248" s="209">
        <f t="shared" si="16"/>
        <v>9760</v>
      </c>
      <c r="I248" s="209">
        <f t="shared" si="19"/>
        <v>390400</v>
      </c>
      <c r="J248" s="213" t="str">
        <f t="array" ref="J248:M248">_xlfn.XLOOKUP(C248,'ESAP NEIVA FASE II UNIFICADO'!$C$6:$C$720,'ESAP NEIVA FASE II UNIFICADO'!$C$6:$F$720,"NO ESTA")</f>
        <v xml:space="preserve">SUMINISTRO Y APLICACIÓN PINTURA RED DE INCENDIO DIAMETRO DE  2 1/2" A 4"                                                          </v>
      </c>
      <c r="K248" t="str">
        <v xml:space="preserve">ML   </v>
      </c>
      <c r="L248">
        <v>107</v>
      </c>
      <c r="M248">
        <v>10014</v>
      </c>
      <c r="N248" s="115">
        <f t="shared" si="17"/>
        <v>10014</v>
      </c>
      <c r="O248" s="146">
        <f t="shared" si="18"/>
        <v>400560</v>
      </c>
      <c r="P248" s="119"/>
    </row>
    <row r="249" spans="2:16" ht="15" customHeight="1" x14ac:dyDescent="0.25">
      <c r="B249" s="80" t="s">
        <v>463</v>
      </c>
      <c r="C249" s="81" t="s">
        <v>464</v>
      </c>
      <c r="D249" s="82"/>
      <c r="E249" s="83"/>
      <c r="F249" s="90"/>
      <c r="G249" s="89">
        <f t="shared" si="15"/>
        <v>0</v>
      </c>
      <c r="H249" s="209">
        <f t="shared" si="16"/>
        <v>0</v>
      </c>
      <c r="I249" s="209">
        <f t="shared" si="19"/>
        <v>0</v>
      </c>
      <c r="J249" s="213" t="str">
        <f t="array" ref="J249:M249">_xlfn.XLOOKUP(C249,'ESAP NEIVA FASE II UNIFICADO'!$C$6:$C$720,'ESAP NEIVA FASE II UNIFICADO'!$C$6:$F$720,"NO ESTA")</f>
        <v>SUMINISTRO E INSTALACION ELEMENTOS RED CONTRA INCENDIO</v>
      </c>
      <c r="K249">
        <v>0</v>
      </c>
      <c r="L249">
        <v>0</v>
      </c>
      <c r="M249">
        <v>0</v>
      </c>
      <c r="N249" s="115">
        <f t="shared" si="17"/>
        <v>0</v>
      </c>
      <c r="O249" s="146">
        <f t="shared" si="18"/>
        <v>0</v>
      </c>
      <c r="P249" s="119"/>
    </row>
    <row r="250" spans="2:16" ht="15" customHeight="1" x14ac:dyDescent="0.25">
      <c r="B250" s="86" t="s">
        <v>465</v>
      </c>
      <c r="C250" s="87" t="s">
        <v>466</v>
      </c>
      <c r="D250" s="82" t="s">
        <v>284</v>
      </c>
      <c r="E250" s="83">
        <v>102</v>
      </c>
      <c r="F250" s="88">
        <v>54943</v>
      </c>
      <c r="G250" s="89">
        <f t="shared" si="15"/>
        <v>5604186</v>
      </c>
      <c r="H250" s="209">
        <f t="shared" si="16"/>
        <v>57855</v>
      </c>
      <c r="I250" s="209">
        <f t="shared" si="19"/>
        <v>5901210</v>
      </c>
      <c r="J250" s="213" t="str">
        <f t="array" ref="J250:M250">_xlfn.XLOOKUP(C250,'ESAP NEIVA FASE II UNIFICADO'!$C$6:$C$720,'ESAP NEIVA FASE II UNIFICADO'!$C$6:$F$720,"NO ESTA")</f>
        <v xml:space="preserve">SUMINISTRO E INSTALACIÓN ROCIADOR PENDENT K:5.6                                                          </v>
      </c>
      <c r="K250" t="str">
        <v xml:space="preserve">UN   </v>
      </c>
      <c r="L250">
        <v>276</v>
      </c>
      <c r="M250">
        <v>59366</v>
      </c>
      <c r="N250" s="115">
        <f t="shared" si="17"/>
        <v>59366</v>
      </c>
      <c r="O250" s="146">
        <f t="shared" si="18"/>
        <v>6055332</v>
      </c>
      <c r="P250" s="119"/>
    </row>
    <row r="251" spans="2:16" ht="15" customHeight="1" x14ac:dyDescent="0.25">
      <c r="B251" s="86" t="s">
        <v>467</v>
      </c>
      <c r="C251" s="87" t="s">
        <v>468</v>
      </c>
      <c r="D251" s="82" t="s">
        <v>284</v>
      </c>
      <c r="E251" s="83">
        <v>14</v>
      </c>
      <c r="F251" s="88">
        <v>36002</v>
      </c>
      <c r="G251" s="89">
        <f t="shared" si="15"/>
        <v>504028</v>
      </c>
      <c r="H251" s="209">
        <f t="shared" si="16"/>
        <v>37910</v>
      </c>
      <c r="I251" s="209">
        <f t="shared" si="19"/>
        <v>530740</v>
      </c>
      <c r="J251" s="213" t="str">
        <f t="array" ref="J251:M251">_xlfn.XLOOKUP(C251,'ESAP NEIVA FASE II UNIFICADO'!$C$6:$C$720,'ESAP NEIVA FASE II UNIFICADO'!$C$6:$F$720,"NO ESTA")</f>
        <v xml:space="preserve">SUMINISTRO E INSTALACIÓN ROCIADOR MONTANTE K:5.6                                                          </v>
      </c>
      <c r="K251" t="str">
        <v xml:space="preserve">UN   </v>
      </c>
      <c r="L251">
        <v>38</v>
      </c>
      <c r="M251">
        <v>38899</v>
      </c>
      <c r="N251" s="115">
        <f t="shared" si="17"/>
        <v>38899</v>
      </c>
      <c r="O251" s="146">
        <f t="shared" si="18"/>
        <v>544586</v>
      </c>
      <c r="P251" s="119"/>
    </row>
    <row r="252" spans="2:16" ht="15" customHeight="1" x14ac:dyDescent="0.25">
      <c r="B252" s="86" t="s">
        <v>469</v>
      </c>
      <c r="C252" s="87" t="s">
        <v>470</v>
      </c>
      <c r="D252" s="82" t="s">
        <v>284</v>
      </c>
      <c r="E252" s="83">
        <v>10</v>
      </c>
      <c r="F252" s="88">
        <v>118801</v>
      </c>
      <c r="G252" s="89">
        <f t="shared" si="15"/>
        <v>1188010</v>
      </c>
      <c r="H252" s="209">
        <f t="shared" si="16"/>
        <v>125097</v>
      </c>
      <c r="I252" s="209">
        <f t="shared" si="19"/>
        <v>1250970</v>
      </c>
      <c r="J252" s="213" t="str">
        <f t="array" ref="J252:M252">_xlfn.XLOOKUP(C252,'ESAP NEIVA FASE II UNIFICADO'!$C$6:$C$720,'ESAP NEIVA FASE II UNIFICADO'!$C$6:$F$720,"NO ESTA")</f>
        <v xml:space="preserve">SUMINISTRO E INSTALACIÓN ROCIADOR PENDENT K:11.2                                                          </v>
      </c>
      <c r="K252" t="str">
        <v xml:space="preserve">UN   </v>
      </c>
      <c r="L252">
        <v>27</v>
      </c>
      <c r="M252">
        <v>128366</v>
      </c>
      <c r="N252" s="115">
        <f t="shared" si="17"/>
        <v>128366</v>
      </c>
      <c r="O252" s="146">
        <f t="shared" si="18"/>
        <v>1283660</v>
      </c>
      <c r="P252" s="119"/>
    </row>
    <row r="253" spans="2:16" ht="15" customHeight="1" x14ac:dyDescent="0.25">
      <c r="B253" s="86" t="s">
        <v>471</v>
      </c>
      <c r="C253" s="87" t="s">
        <v>472</v>
      </c>
      <c r="D253" s="82" t="s">
        <v>284</v>
      </c>
      <c r="E253" s="83">
        <v>126</v>
      </c>
      <c r="F253" s="88">
        <v>43364</v>
      </c>
      <c r="G253" s="89">
        <f t="shared" si="15"/>
        <v>5463864</v>
      </c>
      <c r="H253" s="209">
        <f t="shared" si="16"/>
        <v>45662</v>
      </c>
      <c r="I253" s="209">
        <f t="shared" si="19"/>
        <v>5753412</v>
      </c>
      <c r="J253" s="213" t="str">
        <f t="array" ref="J253:M253">_xlfn.XLOOKUP(C253,'ESAP NEIVA FASE II UNIFICADO'!$C$6:$C$720,'ESAP NEIVA FASE II UNIFICADO'!$C$6:$F$720,"NO ESTA")</f>
        <v xml:space="preserve">SUMINISTRO E INSTALACIÓN PUNTO HIDRÁULICO PARA ROCIADOR                                                  </v>
      </c>
      <c r="K253" t="str">
        <v xml:space="preserve">UN   </v>
      </c>
      <c r="L253">
        <v>341</v>
      </c>
      <c r="M253">
        <v>46856</v>
      </c>
      <c r="N253" s="115">
        <f t="shared" si="17"/>
        <v>46856</v>
      </c>
      <c r="O253" s="146">
        <f t="shared" si="18"/>
        <v>5903856</v>
      </c>
      <c r="P253" s="119"/>
    </row>
    <row r="254" spans="2:16" ht="15" customHeight="1" x14ac:dyDescent="0.25">
      <c r="B254" s="86" t="s">
        <v>473</v>
      </c>
      <c r="C254" s="87" t="s">
        <v>474</v>
      </c>
      <c r="D254" s="82" t="s">
        <v>284</v>
      </c>
      <c r="E254" s="83">
        <v>3</v>
      </c>
      <c r="F254" s="88">
        <v>3872781</v>
      </c>
      <c r="G254" s="89">
        <f t="shared" si="15"/>
        <v>11618343</v>
      </c>
      <c r="H254" s="209">
        <f t="shared" si="16"/>
        <v>4078038</v>
      </c>
      <c r="I254" s="209">
        <f t="shared" si="19"/>
        <v>12234114</v>
      </c>
      <c r="J254" s="213" t="str">
        <f t="array" ref="J254:M254">_xlfn.XLOOKUP(C254,'ESAP NEIVA FASE II UNIFICADO'!$C$6:$C$720,'ESAP NEIVA FASE II UNIFICADO'!$C$6:$F$720,"NO ESTA")</f>
        <v xml:space="preserve">SUMINISTRO E INSTALACIÓN ESTACIÓN DE CONTROL, PRUEBA Y DRENAJE 3"                                        </v>
      </c>
      <c r="K254" t="str">
        <v xml:space="preserve">UN   </v>
      </c>
      <c r="L254">
        <v>2</v>
      </c>
      <c r="M254">
        <v>4184551</v>
      </c>
      <c r="N254" s="115">
        <f t="shared" si="17"/>
        <v>4184551</v>
      </c>
      <c r="O254" s="146">
        <f t="shared" si="18"/>
        <v>12553653</v>
      </c>
      <c r="P254" s="119"/>
    </row>
    <row r="255" spans="2:16" ht="15" customHeight="1" x14ac:dyDescent="0.25">
      <c r="B255" s="86" t="s">
        <v>475</v>
      </c>
      <c r="C255" s="87" t="s">
        <v>476</v>
      </c>
      <c r="D255" s="82" t="s">
        <v>284</v>
      </c>
      <c r="E255" s="83">
        <v>3</v>
      </c>
      <c r="F255" s="88">
        <v>74140</v>
      </c>
      <c r="G255" s="89">
        <f t="shared" si="15"/>
        <v>222420</v>
      </c>
      <c r="H255" s="209">
        <f t="shared" si="16"/>
        <v>78069</v>
      </c>
      <c r="I255" s="209">
        <f t="shared" si="19"/>
        <v>234207</v>
      </c>
      <c r="J255" s="213" t="str">
        <f t="array" ref="J255:M255">_xlfn.XLOOKUP(C255,'ESAP NEIVA FASE II UNIFICADO'!$C$6:$C$720,'ESAP NEIVA FASE II UNIFICADO'!$C$6:$F$720,"NO ESTA")</f>
        <v xml:space="preserve">SUMINISTRO E INSTALACIÓN VÁLVULA TOMA Y DESC. AIRE 1" INCENDIO                                           </v>
      </c>
      <c r="K255" t="str">
        <v xml:space="preserve">UN   </v>
      </c>
      <c r="L255">
        <v>7</v>
      </c>
      <c r="M255">
        <v>80107</v>
      </c>
      <c r="N255" s="115">
        <f t="shared" si="17"/>
        <v>80107</v>
      </c>
      <c r="O255" s="146">
        <f t="shared" si="18"/>
        <v>240321</v>
      </c>
      <c r="P255" s="119"/>
    </row>
    <row r="256" spans="2:16" ht="15" customHeight="1" x14ac:dyDescent="0.25">
      <c r="B256" s="86" t="s">
        <v>477</v>
      </c>
      <c r="C256" s="87" t="s">
        <v>478</v>
      </c>
      <c r="D256" s="82" t="s">
        <v>284</v>
      </c>
      <c r="E256" s="83">
        <v>1</v>
      </c>
      <c r="F256" s="88">
        <v>1375643</v>
      </c>
      <c r="G256" s="89">
        <f t="shared" si="15"/>
        <v>1375643</v>
      </c>
      <c r="H256" s="209">
        <f t="shared" si="16"/>
        <v>1448552</v>
      </c>
      <c r="I256" s="209">
        <f t="shared" si="19"/>
        <v>1448552</v>
      </c>
      <c r="J256" s="213" t="str">
        <f t="array" ref="J256:M256">_xlfn.XLOOKUP(C256,'ESAP NEIVA FASE II UNIFICADO'!$C$6:$C$720,'ESAP NEIVA FASE II UNIFICADO'!$C$6:$F$720,"NO ESTA")</f>
        <v xml:space="preserve">SUMINISTRO E INSTALACIÓN SIAMESA DE INYECCIÓN                                                            </v>
      </c>
      <c r="K256" t="str">
        <v xml:space="preserve">UN   </v>
      </c>
      <c r="L256">
        <v>1</v>
      </c>
      <c r="M256">
        <v>1486386</v>
      </c>
      <c r="N256" s="115">
        <f t="shared" si="17"/>
        <v>1486386</v>
      </c>
      <c r="O256" s="146">
        <f t="shared" si="18"/>
        <v>1486386</v>
      </c>
      <c r="P256" s="119"/>
    </row>
    <row r="257" spans="2:16" ht="15" customHeight="1" x14ac:dyDescent="0.25">
      <c r="B257" s="86" t="s">
        <v>479</v>
      </c>
      <c r="C257" s="87" t="s">
        <v>480</v>
      </c>
      <c r="D257" s="82" t="s">
        <v>284</v>
      </c>
      <c r="E257" s="83">
        <v>1</v>
      </c>
      <c r="F257" s="88">
        <v>4975125</v>
      </c>
      <c r="G257" s="89">
        <f t="shared" si="15"/>
        <v>4975125</v>
      </c>
      <c r="H257" s="209">
        <f t="shared" si="16"/>
        <v>5238807</v>
      </c>
      <c r="I257" s="209">
        <f t="shared" si="19"/>
        <v>5238807</v>
      </c>
      <c r="J257" s="213" t="str">
        <f t="array" ref="J257:M257">_xlfn.XLOOKUP(C257,'ESAP NEIVA FASE II UNIFICADO'!$C$6:$C$720,'ESAP NEIVA FASE II UNIFICADO'!$C$6:$F$720,"NO ESTA")</f>
        <v xml:space="preserve">SUMINISTRO E INSTALACIÓN CABEZAL DE PRUEBAS                                                         </v>
      </c>
      <c r="K257" t="str">
        <v xml:space="preserve">UN   </v>
      </c>
      <c r="L257">
        <v>0</v>
      </c>
      <c r="M257">
        <v>5375637</v>
      </c>
      <c r="N257" s="115">
        <f t="shared" si="17"/>
        <v>5375637</v>
      </c>
      <c r="O257" s="146">
        <f t="shared" si="18"/>
        <v>5375637</v>
      </c>
      <c r="P257" s="119"/>
    </row>
    <row r="258" spans="2:16" ht="15" customHeight="1" x14ac:dyDescent="0.25">
      <c r="B258" s="86" t="s">
        <v>481</v>
      </c>
      <c r="C258" s="87" t="s">
        <v>482</v>
      </c>
      <c r="D258" s="82" t="s">
        <v>284</v>
      </c>
      <c r="E258" s="83">
        <v>1</v>
      </c>
      <c r="F258" s="88">
        <v>397462</v>
      </c>
      <c r="G258" s="89">
        <f t="shared" si="15"/>
        <v>397462</v>
      </c>
      <c r="H258" s="209">
        <f t="shared" si="16"/>
        <v>418527</v>
      </c>
      <c r="I258" s="209">
        <f t="shared" si="19"/>
        <v>418527</v>
      </c>
      <c r="J258" s="213" t="str">
        <f t="array" ref="J258:M258">_xlfn.XLOOKUP(C258,'ESAP NEIVA FASE II UNIFICADO'!$C$6:$C$720,'ESAP NEIVA FASE II UNIFICADO'!$C$6:$F$720,"NO ESTA")</f>
        <v xml:space="preserve">SUMINISTRO E INSTALACIÓN CHEQUE RANURADO 4"                                                              </v>
      </c>
      <c r="K258" t="str">
        <v xml:space="preserve">UN   </v>
      </c>
      <c r="L258">
        <v>0</v>
      </c>
      <c r="M258">
        <v>429459</v>
      </c>
      <c r="N258" s="115">
        <f t="shared" si="17"/>
        <v>429459</v>
      </c>
      <c r="O258" s="146">
        <f t="shared" si="18"/>
        <v>429459</v>
      </c>
      <c r="P258" s="119"/>
    </row>
    <row r="259" spans="2:16" ht="15" customHeight="1" x14ac:dyDescent="0.25">
      <c r="B259" s="86" t="s">
        <v>483</v>
      </c>
      <c r="C259" s="87" t="s">
        <v>484</v>
      </c>
      <c r="D259" s="82" t="s">
        <v>284</v>
      </c>
      <c r="E259" s="83">
        <v>1</v>
      </c>
      <c r="F259" s="88">
        <v>1429860</v>
      </c>
      <c r="G259" s="89">
        <f t="shared" si="15"/>
        <v>1429860</v>
      </c>
      <c r="H259" s="209">
        <f t="shared" si="16"/>
        <v>1505643</v>
      </c>
      <c r="I259" s="209">
        <f t="shared" si="19"/>
        <v>1505643</v>
      </c>
      <c r="J259" s="213" t="str">
        <f t="array" ref="J259:M259">_xlfn.XLOOKUP(C259,'ESAP NEIVA FASE II UNIFICADO'!$C$6:$C$720,'ESAP NEIVA FASE II UNIFICADO'!$C$6:$F$720,"NO ESTA")</f>
        <v xml:space="preserve">SUMINISTRO E INSTALACIÓN VÁLVULA OS&amp;Y 4"                                                                 </v>
      </c>
      <c r="K259" t="str">
        <v xml:space="preserve">UN   </v>
      </c>
      <c r="L259">
        <v>0</v>
      </c>
      <c r="M259">
        <v>1544969</v>
      </c>
      <c r="N259" s="115">
        <f t="shared" si="17"/>
        <v>1544969</v>
      </c>
      <c r="O259" s="146">
        <f t="shared" si="18"/>
        <v>1544969</v>
      </c>
      <c r="P259" s="119"/>
    </row>
    <row r="260" spans="2:16" ht="15" customHeight="1" x14ac:dyDescent="0.25">
      <c r="B260" s="86" t="s">
        <v>485</v>
      </c>
      <c r="C260" s="87" t="s">
        <v>486</v>
      </c>
      <c r="D260" s="82" t="s">
        <v>284</v>
      </c>
      <c r="E260" s="83">
        <v>5</v>
      </c>
      <c r="F260" s="88">
        <v>129341</v>
      </c>
      <c r="G260" s="89">
        <f t="shared" si="15"/>
        <v>646705</v>
      </c>
      <c r="H260" s="209">
        <f t="shared" si="16"/>
        <v>136196</v>
      </c>
      <c r="I260" s="209">
        <f t="shared" si="19"/>
        <v>680980</v>
      </c>
      <c r="J260" s="213" t="str">
        <f t="array" ref="J260:M260">_xlfn.XLOOKUP(C260,'ESAP NEIVA FASE II UNIFICADO'!$C$6:$C$720,'ESAP NEIVA FASE II UNIFICADO'!$C$6:$F$720,"NO ESTA")</f>
        <v xml:space="preserve">SUMINISTRO E INSTALACIÓN SOPORTE LONGITUDINAL 4 VÍAS 3"                                                               </v>
      </c>
      <c r="K260" t="str">
        <v xml:space="preserve">UN   </v>
      </c>
      <c r="L260">
        <v>15</v>
      </c>
      <c r="M260">
        <v>139754</v>
      </c>
      <c r="N260" s="115">
        <f t="shared" si="17"/>
        <v>139754</v>
      </c>
      <c r="O260" s="146">
        <f t="shared" si="18"/>
        <v>698770</v>
      </c>
      <c r="P260" s="119"/>
    </row>
    <row r="261" spans="2:16" ht="15" customHeight="1" x14ac:dyDescent="0.25">
      <c r="B261" s="86" t="s">
        <v>487</v>
      </c>
      <c r="C261" s="87" t="s">
        <v>488</v>
      </c>
      <c r="D261" s="82" t="s">
        <v>284</v>
      </c>
      <c r="E261" s="83">
        <v>1</v>
      </c>
      <c r="F261" s="88">
        <v>260130</v>
      </c>
      <c r="G261" s="89">
        <f t="shared" si="15"/>
        <v>260130</v>
      </c>
      <c r="H261" s="209">
        <f t="shared" si="16"/>
        <v>273917</v>
      </c>
      <c r="I261" s="209">
        <f t="shared" si="19"/>
        <v>273917</v>
      </c>
      <c r="J261" s="213" t="str">
        <f t="array" ref="J261:M261">_xlfn.XLOOKUP(C261,'ESAP NEIVA FASE II UNIFICADO'!$C$6:$C$720,'ESAP NEIVA FASE II UNIFICADO'!$C$6:$F$720,"NO ESTA")</f>
        <v xml:space="preserve">SUMINISTRO E INSTALACIÓN SOPORTE LONGITUDINAL 4 VÍAS 4"                                                               </v>
      </c>
      <c r="K261" t="str">
        <v xml:space="preserve">UN   </v>
      </c>
      <c r="L261">
        <v>2</v>
      </c>
      <c r="M261">
        <v>281071</v>
      </c>
      <c r="N261" s="115">
        <f t="shared" si="17"/>
        <v>281071</v>
      </c>
      <c r="O261" s="146">
        <f t="shared" si="18"/>
        <v>281071</v>
      </c>
      <c r="P261" s="119"/>
    </row>
    <row r="262" spans="2:16" ht="15" customHeight="1" x14ac:dyDescent="0.25">
      <c r="B262" s="86" t="s">
        <v>489</v>
      </c>
      <c r="C262" s="87" t="s">
        <v>490</v>
      </c>
      <c r="D262" s="82" t="s">
        <v>284</v>
      </c>
      <c r="E262" s="83">
        <v>12</v>
      </c>
      <c r="F262" s="88">
        <v>111240</v>
      </c>
      <c r="G262" s="89">
        <f t="shared" ref="G262:G325" si="20">ROUND(+F262*E262,2)</f>
        <v>1334880</v>
      </c>
      <c r="H262" s="209">
        <f t="shared" ref="H262:H325" si="21">+ROUND(F262*(1+$H$4),0)</f>
        <v>117136</v>
      </c>
      <c r="I262" s="209">
        <f t="shared" si="19"/>
        <v>1405632</v>
      </c>
      <c r="J262" s="213" t="str">
        <f t="array" ref="J262:M262">_xlfn.XLOOKUP(C262,'ESAP NEIVA FASE II UNIFICADO'!$C$6:$C$720,'ESAP NEIVA FASE II UNIFICADO'!$C$6:$F$720,"NO ESTA")</f>
        <v xml:space="preserve">SUMINISTRO E INSTALACIÓN SOPORTE LATERAL 2 VÍAS 2"                                                       </v>
      </c>
      <c r="K262" t="str">
        <v xml:space="preserve">UN   </v>
      </c>
      <c r="L262">
        <v>32</v>
      </c>
      <c r="M262">
        <v>120195</v>
      </c>
      <c r="N262" s="115">
        <f t="shared" ref="N262:N325" si="22">MAX(M262,F262)</f>
        <v>120195</v>
      </c>
      <c r="O262" s="146">
        <f t="shared" ref="O262:O325" si="23">N262*E262</f>
        <v>1442340</v>
      </c>
      <c r="P262" s="119"/>
    </row>
    <row r="263" spans="2:16" ht="15" customHeight="1" x14ac:dyDescent="0.25">
      <c r="B263" s="86" t="s">
        <v>491</v>
      </c>
      <c r="C263" s="87" t="s">
        <v>492</v>
      </c>
      <c r="D263" s="82" t="s">
        <v>284</v>
      </c>
      <c r="E263" s="83">
        <v>10</v>
      </c>
      <c r="F263" s="88">
        <v>117185</v>
      </c>
      <c r="G263" s="89">
        <f t="shared" si="20"/>
        <v>1171850</v>
      </c>
      <c r="H263" s="209">
        <f t="shared" si="21"/>
        <v>123396</v>
      </c>
      <c r="I263" s="209">
        <f t="shared" ref="I263:I326" si="24">ROUND(H263*E263,2)</f>
        <v>1233960</v>
      </c>
      <c r="J263" s="213" t="str">
        <f t="array" ref="J263:M263">_xlfn.XLOOKUP(C263,'ESAP NEIVA FASE II UNIFICADO'!$C$6:$C$720,'ESAP NEIVA FASE II UNIFICADO'!$C$6:$F$720,"NO ESTA")</f>
        <v xml:space="preserve">SUMINISTRO E INSTALACIÓN SOPORTE LATERAL 2 VÍAS 3"                                                       </v>
      </c>
      <c r="K263" t="str">
        <v xml:space="preserve">UN   </v>
      </c>
      <c r="L263">
        <v>27</v>
      </c>
      <c r="M263">
        <v>126619</v>
      </c>
      <c r="N263" s="115">
        <f t="shared" si="22"/>
        <v>126619</v>
      </c>
      <c r="O263" s="146">
        <f t="shared" si="23"/>
        <v>1266190</v>
      </c>
      <c r="P263" s="119"/>
    </row>
    <row r="264" spans="2:16" ht="15" customHeight="1" x14ac:dyDescent="0.25">
      <c r="B264" s="86" t="s">
        <v>493</v>
      </c>
      <c r="C264" s="87" t="s">
        <v>494</v>
      </c>
      <c r="D264" s="82" t="s">
        <v>284</v>
      </c>
      <c r="E264" s="83">
        <v>2</v>
      </c>
      <c r="F264" s="88">
        <v>1486307</v>
      </c>
      <c r="G264" s="89">
        <f t="shared" si="20"/>
        <v>2972614</v>
      </c>
      <c r="H264" s="209">
        <f t="shared" si="21"/>
        <v>1565081</v>
      </c>
      <c r="I264" s="209">
        <f t="shared" si="24"/>
        <v>3130162</v>
      </c>
      <c r="J264" s="213" t="str">
        <f t="array" ref="J264:M264">_xlfn.XLOOKUP(C264,'ESAP NEIVA FASE II UNIFICADO'!$C$6:$C$720,'ESAP NEIVA FASE II UNIFICADO'!$C$6:$F$720,"NO ESTA")</f>
        <v xml:space="preserve">SUMINISTRO E INSTALACIÓN GABINETE TIPO II </v>
      </c>
      <c r="K264" t="str">
        <v xml:space="preserve">UN   </v>
      </c>
      <c r="L264">
        <v>6</v>
      </c>
      <c r="M264">
        <v>1605959</v>
      </c>
      <c r="N264" s="115">
        <f t="shared" si="22"/>
        <v>1605959</v>
      </c>
      <c r="O264" s="146">
        <f t="shared" si="23"/>
        <v>3211918</v>
      </c>
      <c r="P264" s="119"/>
    </row>
    <row r="265" spans="2:16" ht="15.75" customHeight="1" x14ac:dyDescent="0.25">
      <c r="B265" s="74">
        <v>14</v>
      </c>
      <c r="C265" s="75" t="s">
        <v>495</v>
      </c>
      <c r="D265" s="76"/>
      <c r="E265" s="77"/>
      <c r="F265" s="78"/>
      <c r="G265" s="89">
        <f t="shared" si="20"/>
        <v>0</v>
      </c>
      <c r="H265" s="209">
        <f t="shared" si="21"/>
        <v>0</v>
      </c>
      <c r="I265" s="209">
        <f t="shared" si="24"/>
        <v>0</v>
      </c>
      <c r="J265" s="213" t="str">
        <f t="array" ref="J265:M265">_xlfn.XLOOKUP(C265,'ESAP NEIVA FASE II UNIFICADO'!$C$6:$C$720,'ESAP NEIVA FASE II UNIFICADO'!$C$6:$F$720,"NO ESTA")</f>
        <v>SALIDAS DE ALUMBRADO Y TOMACORRIENTES ELÉCTRICOS</v>
      </c>
      <c r="K265">
        <v>0</v>
      </c>
      <c r="L265">
        <v>0</v>
      </c>
      <c r="M265">
        <v>0</v>
      </c>
      <c r="N265" s="115">
        <f t="shared" si="22"/>
        <v>0</v>
      </c>
      <c r="O265" s="146">
        <f t="shared" si="23"/>
        <v>0</v>
      </c>
      <c r="P265" s="119"/>
    </row>
    <row r="266" spans="2:16" ht="26.25" customHeight="1" x14ac:dyDescent="0.25">
      <c r="B266" s="80" t="s">
        <v>496</v>
      </c>
      <c r="C266" s="81" t="s">
        <v>497</v>
      </c>
      <c r="D266" s="82"/>
      <c r="E266" s="83"/>
      <c r="F266" s="90"/>
      <c r="G266" s="89">
        <f t="shared" si="20"/>
        <v>0</v>
      </c>
      <c r="H266" s="209">
        <f t="shared" si="21"/>
        <v>0</v>
      </c>
      <c r="I266" s="209">
        <f t="shared" si="24"/>
        <v>0</v>
      </c>
      <c r="J266" s="213" t="str">
        <f t="array" ref="J266:M266">_xlfn.XLOOKUP(C266,'ESAP NEIVA FASE II UNIFICADO'!$C$6:$C$720,'ESAP NEIVA FASE II UNIFICADO'!$C$6:$F$720,"NO ESTA")</f>
        <v>SUMINISTRO E INSTALACIÓN SALIDAS DE ALUMBRADO EN TUBERIA PVC INCRUSTRADA (NO SE INCLUYE LAS LUMINARIAS)</v>
      </c>
      <c r="K266">
        <v>0</v>
      </c>
      <c r="L266">
        <v>0</v>
      </c>
      <c r="M266">
        <v>0</v>
      </c>
      <c r="N266" s="115">
        <f t="shared" si="22"/>
        <v>0</v>
      </c>
      <c r="O266" s="146">
        <f t="shared" si="23"/>
        <v>0</v>
      </c>
      <c r="P266" s="119"/>
    </row>
    <row r="267" spans="2:16" ht="15" customHeight="1" x14ac:dyDescent="0.25">
      <c r="B267" s="86" t="s">
        <v>498</v>
      </c>
      <c r="C267" s="87" t="s">
        <v>499</v>
      </c>
      <c r="D267" s="82" t="s">
        <v>374</v>
      </c>
      <c r="E267" s="83">
        <v>57</v>
      </c>
      <c r="F267" s="88">
        <v>76889</v>
      </c>
      <c r="G267" s="89">
        <f t="shared" si="20"/>
        <v>4382673</v>
      </c>
      <c r="H267" s="209">
        <f t="shared" si="21"/>
        <v>80964</v>
      </c>
      <c r="I267" s="209">
        <f t="shared" si="24"/>
        <v>4614948</v>
      </c>
      <c r="J267" s="213" t="str">
        <f t="array" ref="J267:M267">_xlfn.XLOOKUP(C267,'ESAP NEIVA FASE II UNIFICADO'!$C$6:$C$720,'ESAP NEIVA FASE II UNIFICADO'!$C$6:$F$720,"NO ESTA")</f>
        <v>SUMINISTRO E INSTALACIÓN SALIDA PARA LAMPARA LED DE 1x28 W</v>
      </c>
      <c r="K267" t="str">
        <v>UN</v>
      </c>
      <c r="L267">
        <v>153</v>
      </c>
      <c r="M267">
        <v>83078</v>
      </c>
      <c r="N267" s="115">
        <f t="shared" si="22"/>
        <v>83078</v>
      </c>
      <c r="O267" s="146">
        <f t="shared" si="23"/>
        <v>4735446</v>
      </c>
      <c r="P267" s="119"/>
    </row>
    <row r="268" spans="2:16" ht="15" customHeight="1" x14ac:dyDescent="0.25">
      <c r="B268" s="86" t="s">
        <v>500</v>
      </c>
      <c r="C268" s="87" t="s">
        <v>501</v>
      </c>
      <c r="D268" s="82" t="s">
        <v>374</v>
      </c>
      <c r="E268" s="83">
        <v>30</v>
      </c>
      <c r="F268" s="88">
        <v>69557</v>
      </c>
      <c r="G268" s="89">
        <f t="shared" si="20"/>
        <v>2086710</v>
      </c>
      <c r="H268" s="209">
        <f t="shared" si="21"/>
        <v>73244</v>
      </c>
      <c r="I268" s="209">
        <f t="shared" si="24"/>
        <v>2197320</v>
      </c>
      <c r="J268" s="213" t="str">
        <f t="array" ref="J268:M268">_xlfn.XLOOKUP(C268,'ESAP NEIVA FASE II UNIFICADO'!$C$6:$C$720,'ESAP NEIVA FASE II UNIFICADO'!$C$6:$F$720,"NO ESTA")</f>
        <v>SUMINISTRO E INSTALACIÓN SALIDA PARA LAMPARA LED DE 2x54 W</v>
      </c>
      <c r="K268" t="str">
        <v>UN</v>
      </c>
      <c r="L268">
        <v>82</v>
      </c>
      <c r="M268">
        <v>75156</v>
      </c>
      <c r="N268" s="115">
        <f t="shared" si="22"/>
        <v>75156</v>
      </c>
      <c r="O268" s="146">
        <f t="shared" si="23"/>
        <v>2254680</v>
      </c>
      <c r="P268" s="119"/>
    </row>
    <row r="269" spans="2:16" ht="15" customHeight="1" x14ac:dyDescent="0.25">
      <c r="B269" s="86" t="s">
        <v>502</v>
      </c>
      <c r="C269" s="87" t="s">
        <v>503</v>
      </c>
      <c r="D269" s="82" t="s">
        <v>374</v>
      </c>
      <c r="E269" s="83">
        <v>45</v>
      </c>
      <c r="F269" s="88">
        <v>65217</v>
      </c>
      <c r="G269" s="89">
        <f t="shared" si="20"/>
        <v>2934765</v>
      </c>
      <c r="H269" s="209">
        <f t="shared" si="21"/>
        <v>68674</v>
      </c>
      <c r="I269" s="209">
        <f t="shared" si="24"/>
        <v>3090330</v>
      </c>
      <c r="J269" s="213" t="str">
        <f t="array" ref="J269:M269">_xlfn.XLOOKUP(C269,'ESAP NEIVA FASE II UNIFICADO'!$C$6:$C$720,'ESAP NEIVA FASE II UNIFICADO'!$C$6:$F$720,"NO ESTA")</f>
        <v>SUMINISTRO E INSTALACIÓN SALIDA PARA BALA DE LED 35W 120V</v>
      </c>
      <c r="K269" t="str">
        <v>UN</v>
      </c>
      <c r="L269">
        <v>121</v>
      </c>
      <c r="M269">
        <v>70467</v>
      </c>
      <c r="N269" s="115">
        <f t="shared" si="22"/>
        <v>70467</v>
      </c>
      <c r="O269" s="146">
        <f t="shared" si="23"/>
        <v>3171015</v>
      </c>
      <c r="P269" s="119"/>
    </row>
    <row r="270" spans="2:16" ht="15" customHeight="1" x14ac:dyDescent="0.25">
      <c r="B270" s="86" t="s">
        <v>504</v>
      </c>
      <c r="C270" s="87" t="s">
        <v>505</v>
      </c>
      <c r="D270" s="82" t="s">
        <v>374</v>
      </c>
      <c r="E270" s="83">
        <v>19</v>
      </c>
      <c r="F270" s="88">
        <v>65217</v>
      </c>
      <c r="G270" s="89">
        <f t="shared" si="20"/>
        <v>1239123</v>
      </c>
      <c r="H270" s="209">
        <f t="shared" si="21"/>
        <v>68674</v>
      </c>
      <c r="I270" s="209">
        <f t="shared" si="24"/>
        <v>1304806</v>
      </c>
      <c r="J270" s="213" t="str">
        <f t="array" ref="J270:M270">_xlfn.XLOOKUP(C270,'ESAP NEIVA FASE II UNIFICADO'!$C$6:$C$720,'ESAP NEIVA FASE II UNIFICADO'!$C$6:$F$720,"NO ESTA")</f>
        <v>SUMINISTRO E INSTALACIÓN SALIDA PARA BALA RECESADA LED 10W 120V</v>
      </c>
      <c r="K270" t="str">
        <v>UN</v>
      </c>
      <c r="L270">
        <v>50</v>
      </c>
      <c r="M270">
        <v>70467</v>
      </c>
      <c r="N270" s="115">
        <f t="shared" si="22"/>
        <v>70467</v>
      </c>
      <c r="O270" s="146">
        <f t="shared" si="23"/>
        <v>1338873</v>
      </c>
      <c r="P270" s="119"/>
    </row>
    <row r="271" spans="2:16" ht="15" customHeight="1" x14ac:dyDescent="0.25">
      <c r="B271" s="86" t="s">
        <v>506</v>
      </c>
      <c r="C271" s="87" t="s">
        <v>507</v>
      </c>
      <c r="D271" s="82" t="s">
        <v>374</v>
      </c>
      <c r="E271" s="83">
        <v>68</v>
      </c>
      <c r="F271" s="88">
        <v>65217</v>
      </c>
      <c r="G271" s="89">
        <f t="shared" si="20"/>
        <v>4434756</v>
      </c>
      <c r="H271" s="209">
        <f t="shared" si="21"/>
        <v>68674</v>
      </c>
      <c r="I271" s="209">
        <f t="shared" si="24"/>
        <v>4669832</v>
      </c>
      <c r="J271" s="213" t="str">
        <f t="array" ref="J271:M271">_xlfn.XLOOKUP(C271,'ESAP NEIVA FASE II UNIFICADO'!$C$6:$C$720,'ESAP NEIVA FASE II UNIFICADO'!$C$6:$F$720,"NO ESTA")</f>
        <v>SUMINISTRO E INSTALACIÓN SALIDA PARA LUMINARIA LED 2x26W 120V</v>
      </c>
      <c r="K271" t="str">
        <v>UN</v>
      </c>
      <c r="L271">
        <v>184</v>
      </c>
      <c r="M271">
        <v>70467</v>
      </c>
      <c r="N271" s="115">
        <f t="shared" si="22"/>
        <v>70467</v>
      </c>
      <c r="O271" s="146">
        <f t="shared" si="23"/>
        <v>4791756</v>
      </c>
      <c r="P271" s="119"/>
    </row>
    <row r="272" spans="2:16" ht="15" customHeight="1" x14ac:dyDescent="0.25">
      <c r="B272" s="86" t="s">
        <v>508</v>
      </c>
      <c r="C272" s="87" t="s">
        <v>509</v>
      </c>
      <c r="D272" s="82" t="s">
        <v>374</v>
      </c>
      <c r="E272" s="83">
        <v>2</v>
      </c>
      <c r="F272" s="88">
        <v>63160</v>
      </c>
      <c r="G272" s="89">
        <f t="shared" si="20"/>
        <v>126320</v>
      </c>
      <c r="H272" s="209">
        <f t="shared" si="21"/>
        <v>66507</v>
      </c>
      <c r="I272" s="209">
        <f t="shared" si="24"/>
        <v>133014</v>
      </c>
      <c r="J272" s="213" t="str">
        <f t="array" ref="J272:M272">_xlfn.XLOOKUP(C272,'ESAP NEIVA FASE II UNIFICADO'!$C$6:$C$720,'ESAP NEIVA FASE II UNIFICADO'!$C$6:$F$720,"NO ESTA")</f>
        <v>SUMINISTRO E INSTALACIÓN SALIDA PARA REFLECTOR DE LUZ DIRECTA</v>
      </c>
      <c r="K272" t="str">
        <v>UN</v>
      </c>
      <c r="L272">
        <v>6</v>
      </c>
      <c r="M272">
        <v>68243</v>
      </c>
      <c r="N272" s="115">
        <f t="shared" si="22"/>
        <v>68243</v>
      </c>
      <c r="O272" s="146">
        <f t="shared" si="23"/>
        <v>136486</v>
      </c>
      <c r="P272" s="119"/>
    </row>
    <row r="273" spans="2:16" ht="15" customHeight="1" x14ac:dyDescent="0.25">
      <c r="B273" s="86" t="s">
        <v>510</v>
      </c>
      <c r="C273" s="87" t="s">
        <v>511</v>
      </c>
      <c r="D273" s="82" t="s">
        <v>374</v>
      </c>
      <c r="E273" s="83">
        <v>2</v>
      </c>
      <c r="F273" s="88">
        <v>69240</v>
      </c>
      <c r="G273" s="89">
        <f t="shared" si="20"/>
        <v>138480</v>
      </c>
      <c r="H273" s="209">
        <f t="shared" si="21"/>
        <v>72910</v>
      </c>
      <c r="I273" s="209">
        <f t="shared" si="24"/>
        <v>145820</v>
      </c>
      <c r="J273" s="213" t="str">
        <f t="array" ref="J273:M273">_xlfn.XLOOKUP(C273,'ESAP NEIVA FASE II UNIFICADO'!$C$6:$C$720,'ESAP NEIVA FASE II UNIFICADO'!$C$6:$F$720,"NO ESTA")</f>
        <v>SUMINISTRO E INSTALACIÓN SALIDA PARA APLIQUE DE ESCALERA 1000W 120V</v>
      </c>
      <c r="K273" t="str">
        <v>UN</v>
      </c>
      <c r="L273">
        <v>6</v>
      </c>
      <c r="M273">
        <v>74815</v>
      </c>
      <c r="N273" s="115">
        <f t="shared" si="22"/>
        <v>74815</v>
      </c>
      <c r="O273" s="146">
        <f t="shared" si="23"/>
        <v>149630</v>
      </c>
      <c r="P273" s="119"/>
    </row>
    <row r="274" spans="2:16" ht="15" customHeight="1" x14ac:dyDescent="0.25">
      <c r="B274" s="86" t="s">
        <v>512</v>
      </c>
      <c r="C274" s="87" t="s">
        <v>513</v>
      </c>
      <c r="D274" s="82" t="s">
        <v>374</v>
      </c>
      <c r="E274" s="83">
        <v>25</v>
      </c>
      <c r="F274" s="88">
        <v>69240</v>
      </c>
      <c r="G274" s="89">
        <f t="shared" si="20"/>
        <v>1731000</v>
      </c>
      <c r="H274" s="209">
        <f t="shared" si="21"/>
        <v>72910</v>
      </c>
      <c r="I274" s="209">
        <f t="shared" si="24"/>
        <v>1822750</v>
      </c>
      <c r="J274" s="213" t="str">
        <f t="array" ref="J274:M274">_xlfn.XLOOKUP(C274,'ESAP NEIVA FASE II UNIFICADO'!$C$6:$C$720,'ESAP NEIVA FASE II UNIFICADO'!$C$6:$F$720,"NO ESTA")</f>
        <v>SUMINISTRO E INSTALACIÓN SALIDA PARA BALAS LED DE PISO 3W 120V</v>
      </c>
      <c r="K274" t="str">
        <v>UN</v>
      </c>
      <c r="L274">
        <v>67</v>
      </c>
      <c r="M274">
        <v>74815</v>
      </c>
      <c r="N274" s="115">
        <f t="shared" si="22"/>
        <v>74815</v>
      </c>
      <c r="O274" s="146">
        <f t="shared" si="23"/>
        <v>1870375</v>
      </c>
      <c r="P274" s="119"/>
    </row>
    <row r="275" spans="2:16" ht="15" customHeight="1" x14ac:dyDescent="0.25">
      <c r="B275" s="86" t="s">
        <v>514</v>
      </c>
      <c r="C275" s="87" t="s">
        <v>515</v>
      </c>
      <c r="D275" s="82" t="s">
        <v>374</v>
      </c>
      <c r="E275" s="83">
        <v>4</v>
      </c>
      <c r="F275" s="88">
        <v>69240</v>
      </c>
      <c r="G275" s="89">
        <f t="shared" si="20"/>
        <v>276960</v>
      </c>
      <c r="H275" s="209">
        <f t="shared" si="21"/>
        <v>72910</v>
      </c>
      <c r="I275" s="209">
        <f t="shared" si="24"/>
        <v>291640</v>
      </c>
      <c r="J275" s="213" t="str">
        <f t="array" ref="J275:M275">_xlfn.XLOOKUP(C275,'ESAP NEIVA FASE II UNIFICADO'!$C$6:$C$720,'ESAP NEIVA FASE II UNIFICADO'!$C$6:$F$720,"NO ESTA")</f>
        <v>SUMINISTRO E INSTALACIÓN SALIDA PARA BALAS DE PISO 50W 120V</v>
      </c>
      <c r="K275" t="str">
        <v>UN</v>
      </c>
      <c r="L275">
        <v>10</v>
      </c>
      <c r="M275">
        <v>74815</v>
      </c>
      <c r="N275" s="115">
        <f t="shared" si="22"/>
        <v>74815</v>
      </c>
      <c r="O275" s="146">
        <f t="shared" si="23"/>
        <v>299260</v>
      </c>
      <c r="P275" s="119"/>
    </row>
    <row r="276" spans="2:16" ht="15" customHeight="1" x14ac:dyDescent="0.25">
      <c r="B276" s="86" t="s">
        <v>516</v>
      </c>
      <c r="C276" s="87" t="s">
        <v>517</v>
      </c>
      <c r="D276" s="82" t="s">
        <v>374</v>
      </c>
      <c r="E276" s="83">
        <v>16</v>
      </c>
      <c r="F276" s="88">
        <v>74050</v>
      </c>
      <c r="G276" s="89">
        <f t="shared" si="20"/>
        <v>1184800</v>
      </c>
      <c r="H276" s="209">
        <f t="shared" si="21"/>
        <v>77975</v>
      </c>
      <c r="I276" s="209">
        <f t="shared" si="24"/>
        <v>1247600</v>
      </c>
      <c r="J276" s="213" t="str">
        <f t="array" ref="J276:M276">_xlfn.XLOOKUP(C276,'ESAP NEIVA FASE II UNIFICADO'!$C$6:$C$720,'ESAP NEIVA FASE II UNIFICADO'!$C$6:$F$720,"NO ESTA")</f>
        <v>SUMINISTRO E INSTALACIÓN SALIDA PARA INTERRUPTOR SENCILLO COLOR BLANCO</v>
      </c>
      <c r="K276" t="str">
        <v>UN</v>
      </c>
      <c r="L276">
        <v>42</v>
      </c>
      <c r="M276">
        <v>80011</v>
      </c>
      <c r="N276" s="115">
        <f t="shared" si="22"/>
        <v>80011</v>
      </c>
      <c r="O276" s="146">
        <f t="shared" si="23"/>
        <v>1280176</v>
      </c>
      <c r="P276" s="119"/>
    </row>
    <row r="277" spans="2:16" ht="15" customHeight="1" x14ac:dyDescent="0.25">
      <c r="B277" s="86" t="s">
        <v>518</v>
      </c>
      <c r="C277" s="87" t="s">
        <v>519</v>
      </c>
      <c r="D277" s="82" t="s">
        <v>374</v>
      </c>
      <c r="E277" s="83">
        <v>6</v>
      </c>
      <c r="F277" s="88">
        <v>80291</v>
      </c>
      <c r="G277" s="89">
        <f t="shared" si="20"/>
        <v>481746</v>
      </c>
      <c r="H277" s="209">
        <f t="shared" si="21"/>
        <v>84546</v>
      </c>
      <c r="I277" s="209">
        <f t="shared" si="24"/>
        <v>507276</v>
      </c>
      <c r="J277" s="213" t="str">
        <f t="array" ref="J277:M277">_xlfn.XLOOKUP(C277,'ESAP NEIVA FASE II UNIFICADO'!$C$6:$C$720,'ESAP NEIVA FASE II UNIFICADO'!$C$6:$F$720,"NO ESTA")</f>
        <v>SUMINISTRO E INSTALACIÓN SALIDA PARA INTERRUPTOR DOBLE COLOR BLANCO</v>
      </c>
      <c r="K277" t="str">
        <v>UN</v>
      </c>
      <c r="L277">
        <v>18</v>
      </c>
      <c r="M277">
        <v>86756</v>
      </c>
      <c r="N277" s="115">
        <f t="shared" si="22"/>
        <v>86756</v>
      </c>
      <c r="O277" s="146">
        <f t="shared" si="23"/>
        <v>520536</v>
      </c>
      <c r="P277" s="119"/>
    </row>
    <row r="278" spans="2:16" ht="27" customHeight="1" x14ac:dyDescent="0.25">
      <c r="B278" s="86" t="s">
        <v>520</v>
      </c>
      <c r="C278" s="87" t="s">
        <v>521</v>
      </c>
      <c r="D278" s="82" t="s">
        <v>374</v>
      </c>
      <c r="E278" s="83">
        <v>2</v>
      </c>
      <c r="F278" s="88">
        <v>81973</v>
      </c>
      <c r="G278" s="89">
        <f t="shared" si="20"/>
        <v>163946</v>
      </c>
      <c r="H278" s="209">
        <f t="shared" si="21"/>
        <v>86318</v>
      </c>
      <c r="I278" s="209">
        <f t="shared" si="24"/>
        <v>172636</v>
      </c>
      <c r="J278" s="213" t="str">
        <f t="array" ref="J278:M278">_xlfn.XLOOKUP(C278,'ESAP NEIVA FASE II UNIFICADO'!$C$6:$C$720,'ESAP NEIVA FASE II UNIFICADO'!$C$6:$F$720,"NO ESTA")</f>
        <v>SUMINISTRO E INSTALACIÓN SALIDA PARA INTERRUPTOR SENCILLO CONMUTABLE COLOR BLANCO</v>
      </c>
      <c r="K278" t="str">
        <v>UN</v>
      </c>
      <c r="L278">
        <v>6</v>
      </c>
      <c r="M278">
        <v>88571</v>
      </c>
      <c r="N278" s="115">
        <f t="shared" si="22"/>
        <v>88571</v>
      </c>
      <c r="O278" s="146">
        <f t="shared" si="23"/>
        <v>177142</v>
      </c>
      <c r="P278" s="119"/>
    </row>
    <row r="279" spans="2:16" ht="27" customHeight="1" x14ac:dyDescent="0.25">
      <c r="B279" s="86" t="s">
        <v>522</v>
      </c>
      <c r="C279" s="87" t="s">
        <v>523</v>
      </c>
      <c r="D279" s="82" t="s">
        <v>374</v>
      </c>
      <c r="E279" s="83">
        <v>2</v>
      </c>
      <c r="F279" s="88">
        <v>89569</v>
      </c>
      <c r="G279" s="89">
        <f t="shared" si="20"/>
        <v>179138</v>
      </c>
      <c r="H279" s="209">
        <f t="shared" si="21"/>
        <v>94316</v>
      </c>
      <c r="I279" s="209">
        <f t="shared" si="24"/>
        <v>188632</v>
      </c>
      <c r="J279" s="213" t="str">
        <f t="array" ref="J279:M279">_xlfn.XLOOKUP(C279,'ESAP NEIVA FASE II UNIFICADO'!$C$6:$C$720,'ESAP NEIVA FASE II UNIFICADO'!$C$6:$F$720,"NO ESTA")</f>
        <v>SUMINISTRO E INSTALACIÓN SALIDA PARA INTERRUPTOR DOBLE CONMUTABLE COLOR BLANCO</v>
      </c>
      <c r="K279" t="str">
        <v>UN</v>
      </c>
      <c r="L279">
        <v>4</v>
      </c>
      <c r="M279">
        <v>96779</v>
      </c>
      <c r="N279" s="115">
        <f t="shared" si="22"/>
        <v>96779</v>
      </c>
      <c r="O279" s="146">
        <f t="shared" si="23"/>
        <v>193558</v>
      </c>
      <c r="P279" s="119"/>
    </row>
    <row r="280" spans="2:16" ht="15" customHeight="1" x14ac:dyDescent="0.25">
      <c r="B280" s="86" t="s">
        <v>524</v>
      </c>
      <c r="C280" s="87" t="s">
        <v>525</v>
      </c>
      <c r="D280" s="82" t="s">
        <v>374</v>
      </c>
      <c r="E280" s="83">
        <v>5</v>
      </c>
      <c r="F280" s="88">
        <v>84061</v>
      </c>
      <c r="G280" s="89">
        <f t="shared" si="20"/>
        <v>420305</v>
      </c>
      <c r="H280" s="209">
        <f t="shared" si="21"/>
        <v>88516</v>
      </c>
      <c r="I280" s="209">
        <f t="shared" si="24"/>
        <v>442580</v>
      </c>
      <c r="J280" s="213" t="str">
        <f t="array" ref="J280:M280">_xlfn.XLOOKUP(C280,'ESAP NEIVA FASE II UNIFICADO'!$C$6:$C$720,'ESAP NEIVA FASE II UNIFICADO'!$C$6:$F$720,"NO ESTA")</f>
        <v>SUMINISTRO E INSTALACIÓN SALIDA PARA INTERRUPTOR DE SENSOR DE PRESENCIA</v>
      </c>
      <c r="K280" t="str">
        <v>UN</v>
      </c>
      <c r="L280">
        <v>12</v>
      </c>
      <c r="M280">
        <v>90828</v>
      </c>
      <c r="N280" s="115">
        <f t="shared" si="22"/>
        <v>90828</v>
      </c>
      <c r="O280" s="146">
        <f t="shared" si="23"/>
        <v>454140</v>
      </c>
      <c r="P280" s="119"/>
    </row>
    <row r="281" spans="2:16" ht="15" customHeight="1" x14ac:dyDescent="0.25">
      <c r="B281" s="86" t="s">
        <v>526</v>
      </c>
      <c r="C281" s="87" t="s">
        <v>527</v>
      </c>
      <c r="D281" s="82" t="s">
        <v>374</v>
      </c>
      <c r="E281" s="83">
        <v>1</v>
      </c>
      <c r="F281" s="88">
        <v>94783</v>
      </c>
      <c r="G281" s="89">
        <f t="shared" si="20"/>
        <v>94783</v>
      </c>
      <c r="H281" s="209">
        <f t="shared" si="21"/>
        <v>99806</v>
      </c>
      <c r="I281" s="209">
        <f t="shared" si="24"/>
        <v>99806</v>
      </c>
      <c r="J281" s="213" t="str">
        <f t="array" ref="J281:M281">_xlfn.XLOOKUP(C281,'ESAP NEIVA FASE II UNIFICADO'!$C$6:$C$720,'ESAP NEIVA FASE II UNIFICADO'!$C$6:$F$720,"NO ESTA")</f>
        <v>SUMINISTRO E INSTALACIÓN SALIDA PARA SENSOR DE MOVIEMIENTO DE TECHO</v>
      </c>
      <c r="K281" t="str">
        <v>UN</v>
      </c>
      <c r="L281">
        <v>4</v>
      </c>
      <c r="M281">
        <v>102414</v>
      </c>
      <c r="N281" s="115">
        <f t="shared" si="22"/>
        <v>102414</v>
      </c>
      <c r="O281" s="146">
        <f t="shared" si="23"/>
        <v>102414</v>
      </c>
      <c r="P281" s="119"/>
    </row>
    <row r="282" spans="2:16" ht="55.5" customHeight="1" x14ac:dyDescent="0.25">
      <c r="B282" s="86" t="s">
        <v>528</v>
      </c>
      <c r="C282" s="87" t="s">
        <v>529</v>
      </c>
      <c r="D282" s="82" t="s">
        <v>269</v>
      </c>
      <c r="E282" s="83">
        <v>176</v>
      </c>
      <c r="F282" s="88">
        <v>1578</v>
      </c>
      <c r="G282" s="89">
        <f t="shared" si="20"/>
        <v>277728</v>
      </c>
      <c r="H282" s="209">
        <f t="shared" si="21"/>
        <v>1662</v>
      </c>
      <c r="I282" s="209">
        <f t="shared" si="24"/>
        <v>292512</v>
      </c>
      <c r="J282" s="213" t="str">
        <f t="array" ref="J282:M282">_xlfn.XLOOKUP(C282,'ESAP NEIVA FASE II UNIFICADO'!$C$6:$C$720,'ESAP NEIVA FASE II UNIFICADO'!$C$6:$F$720,"NO ESTA")</f>
        <v xml:space="preserve">SUMINISTRO E INSTALACIÓN SALIDAS PARCIALES DE CIRCUITO PARA SALIDAS DE ALUMBRADO Y TOMACORIRIENTE DE USO NORMAL EN CABLE #12 AWG THHN/THWN, DESDE EL TABLERO DE AUTOMATICOS POR EL DUCTO PORTACABLES HASTA LOS PRIMEROS PUNTOS DE DERIVACIÓN. </v>
      </c>
      <c r="K282" t="str">
        <v xml:space="preserve">ML   </v>
      </c>
      <c r="L282">
        <v>474</v>
      </c>
      <c r="M282">
        <v>1705</v>
      </c>
      <c r="N282" s="115">
        <f t="shared" si="22"/>
        <v>1705</v>
      </c>
      <c r="O282" s="146">
        <f t="shared" si="23"/>
        <v>300080</v>
      </c>
      <c r="P282" s="119"/>
    </row>
    <row r="283" spans="2:16" ht="26.25" customHeight="1" x14ac:dyDescent="0.25">
      <c r="B283" s="80" t="s">
        <v>530</v>
      </c>
      <c r="C283" s="81" t="s">
        <v>531</v>
      </c>
      <c r="D283" s="82"/>
      <c r="E283" s="83"/>
      <c r="F283" s="104"/>
      <c r="G283" s="89">
        <f t="shared" si="20"/>
        <v>0</v>
      </c>
      <c r="H283" s="209">
        <f t="shared" si="21"/>
        <v>0</v>
      </c>
      <c r="I283" s="209">
        <f t="shared" si="24"/>
        <v>0</v>
      </c>
      <c r="J283" s="213" t="str">
        <f t="array" ref="J283:M283">_xlfn.XLOOKUP(C283,'ESAP NEIVA FASE II UNIFICADO'!$C$6:$C$720,'ESAP NEIVA FASE II UNIFICADO'!$C$6:$F$720,"NO ESTA")</f>
        <v xml:space="preserve">SUMINISTRO E INSTALACIÓN SALIDAS PARA TOMACORRIENTES USO NORMAL EN TUBERIA PVC INCRUSTRADA </v>
      </c>
      <c r="K283">
        <v>0</v>
      </c>
      <c r="L283">
        <v>0</v>
      </c>
      <c r="M283">
        <v>0</v>
      </c>
      <c r="N283" s="115">
        <f t="shared" si="22"/>
        <v>0</v>
      </c>
      <c r="O283" s="146">
        <f t="shared" si="23"/>
        <v>0</v>
      </c>
      <c r="P283" s="119"/>
    </row>
    <row r="284" spans="2:16" ht="26.25" customHeight="1" x14ac:dyDescent="0.25">
      <c r="B284" s="86" t="s">
        <v>532</v>
      </c>
      <c r="C284" s="87" t="s">
        <v>533</v>
      </c>
      <c r="D284" s="82" t="s">
        <v>284</v>
      </c>
      <c r="E284" s="83">
        <v>97</v>
      </c>
      <c r="F284" s="88">
        <v>76379</v>
      </c>
      <c r="G284" s="89">
        <f t="shared" si="20"/>
        <v>7408763</v>
      </c>
      <c r="H284" s="209">
        <f t="shared" si="21"/>
        <v>80427</v>
      </c>
      <c r="I284" s="209">
        <f t="shared" si="24"/>
        <v>7801419</v>
      </c>
      <c r="J284" s="213" t="str">
        <f t="array" ref="J284:M284">_xlfn.XLOOKUP(C284,'ESAP NEIVA FASE II UNIFICADO'!$C$6:$C$720,'ESAP NEIVA FASE II UNIFICADO'!$C$6:$F$720,"NO ESTA")</f>
        <v>SUMINISTRO E INSTALACIÓN SALIDA PARA TOMACORRIENTE DOBLE MONOFÁSICO CON POLO A TIERRA</v>
      </c>
      <c r="K284" t="str">
        <v xml:space="preserve">UN   </v>
      </c>
      <c r="L284">
        <v>264</v>
      </c>
      <c r="M284">
        <v>82527</v>
      </c>
      <c r="N284" s="115">
        <f t="shared" si="22"/>
        <v>82527</v>
      </c>
      <c r="O284" s="146">
        <f t="shared" si="23"/>
        <v>8005119</v>
      </c>
      <c r="P284" s="119"/>
    </row>
    <row r="285" spans="2:16" ht="26.25" customHeight="1" x14ac:dyDescent="0.25">
      <c r="B285" s="86" t="s">
        <v>534</v>
      </c>
      <c r="C285" s="87" t="s">
        <v>535</v>
      </c>
      <c r="D285" s="82" t="s">
        <v>284</v>
      </c>
      <c r="E285" s="83">
        <v>2</v>
      </c>
      <c r="F285" s="88">
        <v>103251</v>
      </c>
      <c r="G285" s="89">
        <f t="shared" si="20"/>
        <v>206502</v>
      </c>
      <c r="H285" s="209">
        <f t="shared" si="21"/>
        <v>108723</v>
      </c>
      <c r="I285" s="209">
        <f t="shared" si="24"/>
        <v>217446</v>
      </c>
      <c r="J285" s="213" t="str">
        <f t="array" ref="J285:M285">_xlfn.XLOOKUP(C285,'ESAP NEIVA FASE II UNIFICADO'!$C$6:$C$720,'ESAP NEIVA FASE II UNIFICADO'!$C$6:$F$720,"NO ESTA")</f>
        <v>SUMINISTRO E INSTALACIÓN SALIDA PARA TOMACORRIENTE DOBLE TIPO GFCI COLOR BLANCO MONOFÁSICODE MURO CON POLO A TIERRA</v>
      </c>
      <c r="K285" t="str">
        <v xml:space="preserve">UN   </v>
      </c>
      <c r="L285">
        <v>5</v>
      </c>
      <c r="M285">
        <v>111563</v>
      </c>
      <c r="N285" s="115">
        <f t="shared" si="22"/>
        <v>111563</v>
      </c>
      <c r="O285" s="146">
        <f t="shared" si="23"/>
        <v>223126</v>
      </c>
      <c r="P285" s="119"/>
    </row>
    <row r="286" spans="2:16" ht="26.25" customHeight="1" x14ac:dyDescent="0.25">
      <c r="B286" s="86" t="s">
        <v>536</v>
      </c>
      <c r="C286" s="87" t="s">
        <v>537</v>
      </c>
      <c r="D286" s="82" t="s">
        <v>284</v>
      </c>
      <c r="E286" s="83">
        <v>7</v>
      </c>
      <c r="F286" s="88">
        <v>77293</v>
      </c>
      <c r="G286" s="89">
        <f t="shared" si="20"/>
        <v>541051</v>
      </c>
      <c r="H286" s="209">
        <f t="shared" si="21"/>
        <v>81390</v>
      </c>
      <c r="I286" s="209">
        <f t="shared" si="24"/>
        <v>569730</v>
      </c>
      <c r="J286" s="213" t="str">
        <f t="array" ref="J286:M286">_xlfn.XLOOKUP(C286,'ESAP NEIVA FASE II UNIFICADO'!$C$6:$C$720,'ESAP NEIVA FASE II UNIFICADO'!$C$6:$F$720,"NO ESTA")</f>
        <v>SUMINISTRO E INSTALACIÓN SALIDA PARA SECADOR 20A-120V a 1.2 METROS DE ALTURA</v>
      </c>
      <c r="K286" t="str">
        <v xml:space="preserve">UN   </v>
      </c>
      <c r="L286">
        <v>18</v>
      </c>
      <c r="M286">
        <v>83516</v>
      </c>
      <c r="N286" s="115">
        <f t="shared" si="22"/>
        <v>83516</v>
      </c>
      <c r="O286" s="146">
        <f t="shared" si="23"/>
        <v>584612</v>
      </c>
      <c r="P286" s="119"/>
    </row>
    <row r="287" spans="2:16" ht="26.25" customHeight="1" x14ac:dyDescent="0.25">
      <c r="B287" s="86" t="s">
        <v>538</v>
      </c>
      <c r="C287" s="87" t="s">
        <v>539</v>
      </c>
      <c r="D287" s="82" t="s">
        <v>284</v>
      </c>
      <c r="E287" s="83">
        <v>1</v>
      </c>
      <c r="F287" s="88">
        <v>93657</v>
      </c>
      <c r="G287" s="89">
        <f t="shared" si="20"/>
        <v>93657</v>
      </c>
      <c r="H287" s="209">
        <f t="shared" si="21"/>
        <v>98621</v>
      </c>
      <c r="I287" s="209">
        <f t="shared" si="24"/>
        <v>98621</v>
      </c>
      <c r="J287" s="213" t="str">
        <f t="array" ref="J287:M287">_xlfn.XLOOKUP(C287,'ESAP NEIVA FASE II UNIFICADO'!$C$6:$C$720,'ESAP NEIVA FASE II UNIFICADO'!$C$6:$F$720,"NO ESTA")</f>
        <v>SUMINISTRO E INSTALACIÓN SALIDA PARA TOMA TRIFÁSICA 208v 3FASES EN CAFETERIA</v>
      </c>
      <c r="K287" t="str">
        <v xml:space="preserve">UN   </v>
      </c>
      <c r="L287">
        <v>3</v>
      </c>
      <c r="M287">
        <v>101196</v>
      </c>
      <c r="N287" s="115">
        <f t="shared" si="22"/>
        <v>101196</v>
      </c>
      <c r="O287" s="146">
        <f t="shared" si="23"/>
        <v>101196</v>
      </c>
      <c r="P287" s="119"/>
    </row>
    <row r="288" spans="2:16" ht="51" customHeight="1" x14ac:dyDescent="0.25">
      <c r="B288" s="86" t="s">
        <v>540</v>
      </c>
      <c r="C288" s="87" t="s">
        <v>541</v>
      </c>
      <c r="D288" s="82" t="s">
        <v>269</v>
      </c>
      <c r="E288" s="83">
        <v>365</v>
      </c>
      <c r="F288" s="88">
        <v>1578</v>
      </c>
      <c r="G288" s="89">
        <f t="shared" si="20"/>
        <v>575970</v>
      </c>
      <c r="H288" s="209">
        <f t="shared" si="21"/>
        <v>1662</v>
      </c>
      <c r="I288" s="209">
        <f t="shared" si="24"/>
        <v>606630</v>
      </c>
      <c r="J288" s="213" t="str">
        <f t="array" ref="J288:M288">_xlfn.XLOOKUP(C288,'ESAP NEIVA FASE II UNIFICADO'!$C$6:$C$720,'ESAP NEIVA FASE II UNIFICADO'!$C$6:$F$720,"NO ESTA")</f>
        <v xml:space="preserve">SUMINISTRO E INSTALACIÓN SALIDAS PARCIALES DE CIRCUITO PARA TOMACORIRIENTE DE USO NORMAL EN CABLE #12 AWG THHN/THWN, DESDE EL TABLERO DE AUTOMATICOS POR EL DUCTO PORTACABLES HASTA LOS PRIMEROS PUNTOS DE DERIVACIÓN. </v>
      </c>
      <c r="K288" t="str">
        <v xml:space="preserve">ML   </v>
      </c>
      <c r="L288">
        <v>985</v>
      </c>
      <c r="M288">
        <v>1705</v>
      </c>
      <c r="N288" s="115">
        <f t="shared" si="22"/>
        <v>1705</v>
      </c>
      <c r="O288" s="146">
        <f t="shared" si="23"/>
        <v>622325</v>
      </c>
      <c r="P288" s="119"/>
    </row>
    <row r="289" spans="2:16" ht="26.25" customHeight="1" x14ac:dyDescent="0.25">
      <c r="B289" s="80" t="s">
        <v>542</v>
      </c>
      <c r="C289" s="81" t="s">
        <v>543</v>
      </c>
      <c r="D289" s="82"/>
      <c r="E289" s="83"/>
      <c r="F289" s="104"/>
      <c r="G289" s="89">
        <f t="shared" si="20"/>
        <v>0</v>
      </c>
      <c r="H289" s="209">
        <f t="shared" si="21"/>
        <v>0</v>
      </c>
      <c r="I289" s="209">
        <f t="shared" si="24"/>
        <v>0</v>
      </c>
      <c r="J289" s="213" t="str">
        <f t="array" ref="J289:M289">_xlfn.XLOOKUP(C289,'ESAP NEIVA FASE II UNIFICADO'!$C$6:$C$720,'ESAP NEIVA FASE II UNIFICADO'!$C$6:$F$720,"NO ESTA")</f>
        <v xml:space="preserve">SUMINISTRO E INSTALACIÓN SALIDAS PARA TOMACORRIENTES USO REGULADO EN TUBERIA PVC INCRUSTRADA </v>
      </c>
      <c r="K289">
        <v>0</v>
      </c>
      <c r="L289">
        <v>0</v>
      </c>
      <c r="M289">
        <v>0</v>
      </c>
      <c r="N289" s="115">
        <f t="shared" si="22"/>
        <v>0</v>
      </c>
      <c r="O289" s="146">
        <f t="shared" si="23"/>
        <v>0</v>
      </c>
      <c r="P289" s="119"/>
    </row>
    <row r="290" spans="2:16" ht="26.25" customHeight="1" x14ac:dyDescent="0.25">
      <c r="B290" s="86" t="s">
        <v>544</v>
      </c>
      <c r="C290" s="87" t="s">
        <v>545</v>
      </c>
      <c r="D290" s="82" t="s">
        <v>374</v>
      </c>
      <c r="E290" s="83">
        <v>15</v>
      </c>
      <c r="F290" s="88">
        <v>112981</v>
      </c>
      <c r="G290" s="89">
        <f t="shared" si="20"/>
        <v>1694715</v>
      </c>
      <c r="H290" s="209">
        <f t="shared" si="21"/>
        <v>118969</v>
      </c>
      <c r="I290" s="209">
        <f t="shared" si="24"/>
        <v>1784535</v>
      </c>
      <c r="J290" s="213" t="str">
        <f t="array" ref="J290:M290">_xlfn.XLOOKUP(C290,'ESAP NEIVA FASE II UNIFICADO'!$C$6:$C$720,'ESAP NEIVA FASE II UNIFICADO'!$C$6:$F$720,"NO ESTA")</f>
        <v>SUMINISTRO E INSTALACIÓN SALIDA PARA TOMACORRIENTE DOBLE DE COLOR NARAJA, PARA INSTALAR EN MURO</v>
      </c>
      <c r="K290" t="str">
        <v>UN</v>
      </c>
      <c r="L290">
        <v>39</v>
      </c>
      <c r="M290">
        <v>122076</v>
      </c>
      <c r="N290" s="115">
        <f t="shared" si="22"/>
        <v>122076</v>
      </c>
      <c r="O290" s="146">
        <f t="shared" si="23"/>
        <v>1831140</v>
      </c>
      <c r="P290" s="119"/>
    </row>
    <row r="291" spans="2:16" ht="26.25" customHeight="1" x14ac:dyDescent="0.25">
      <c r="B291" s="86" t="s">
        <v>546</v>
      </c>
      <c r="C291" s="87" t="s">
        <v>547</v>
      </c>
      <c r="D291" s="82" t="s">
        <v>374</v>
      </c>
      <c r="E291" s="83">
        <v>29</v>
      </c>
      <c r="F291" s="88">
        <v>104140</v>
      </c>
      <c r="G291" s="89">
        <f t="shared" si="20"/>
        <v>3020060</v>
      </c>
      <c r="H291" s="209">
        <f t="shared" si="21"/>
        <v>109659</v>
      </c>
      <c r="I291" s="209">
        <f t="shared" si="24"/>
        <v>3180111</v>
      </c>
      <c r="J291" s="213" t="str">
        <f t="array" ref="J291:M291">_xlfn.XLOOKUP(C291,'ESAP NEIVA FASE II UNIFICADO'!$C$6:$C$720,'ESAP NEIVA FASE II UNIFICADO'!$C$6:$F$720,"NO ESTA")</f>
        <v xml:space="preserve">SUMINISTRO E INSTALACIÓN SALIDA PARA TOMACORRIENTE DOBLE DE COLOR NARAJA, PARA INSTALAR EN CANALETA PERIMETRAL </v>
      </c>
      <c r="K291" t="str">
        <v>UN</v>
      </c>
      <c r="L291">
        <v>80</v>
      </c>
      <c r="M291">
        <v>112524</v>
      </c>
      <c r="N291" s="115">
        <f t="shared" si="22"/>
        <v>112524</v>
      </c>
      <c r="O291" s="146">
        <f t="shared" si="23"/>
        <v>3263196</v>
      </c>
      <c r="P291" s="119"/>
    </row>
    <row r="292" spans="2:16" ht="26.25" customHeight="1" x14ac:dyDescent="0.25">
      <c r="B292" s="86" t="s">
        <v>548</v>
      </c>
      <c r="C292" s="87" t="s">
        <v>549</v>
      </c>
      <c r="D292" s="82" t="s">
        <v>269</v>
      </c>
      <c r="E292" s="83">
        <v>14</v>
      </c>
      <c r="F292" s="88">
        <v>10579</v>
      </c>
      <c r="G292" s="89">
        <f t="shared" si="20"/>
        <v>148106</v>
      </c>
      <c r="H292" s="209">
        <f t="shared" si="21"/>
        <v>11140</v>
      </c>
      <c r="I292" s="209">
        <f t="shared" si="24"/>
        <v>155960</v>
      </c>
      <c r="J292" s="213" t="str">
        <f t="array" ref="J292:M292">_xlfn.XLOOKUP(C292,'ESAP NEIVA FASE II UNIFICADO'!$C$6:$C$720,'ESAP NEIVA FASE II UNIFICADO'!$C$6:$F$720,"NO ESTA")</f>
        <v>SUMINISTRO E INSTALACIÓN INTERCONEXIÓN ENTRE EL DUCTO PORTACABLES Y LA CANALETA PERIMETRAL EN ø 1 1/2" CON 4#12 AWG THHN/THWN</v>
      </c>
      <c r="K292" t="str">
        <v xml:space="preserve">ML   </v>
      </c>
      <c r="L292">
        <v>36</v>
      </c>
      <c r="M292">
        <v>11430</v>
      </c>
      <c r="N292" s="115">
        <f t="shared" si="22"/>
        <v>11430</v>
      </c>
      <c r="O292" s="146">
        <f t="shared" si="23"/>
        <v>160020</v>
      </c>
      <c r="P292" s="119"/>
    </row>
    <row r="293" spans="2:16" ht="49.5" customHeight="1" x14ac:dyDescent="0.25">
      <c r="B293" s="86" t="s">
        <v>550</v>
      </c>
      <c r="C293" s="87" t="s">
        <v>551</v>
      </c>
      <c r="D293" s="82" t="s">
        <v>269</v>
      </c>
      <c r="E293" s="83">
        <v>554</v>
      </c>
      <c r="F293" s="88">
        <v>1578</v>
      </c>
      <c r="G293" s="89">
        <f t="shared" si="20"/>
        <v>874212</v>
      </c>
      <c r="H293" s="209">
        <f t="shared" si="21"/>
        <v>1662</v>
      </c>
      <c r="I293" s="209">
        <f t="shared" si="24"/>
        <v>920748</v>
      </c>
      <c r="J293" s="213" t="str">
        <f t="array" ref="J293:M293">_xlfn.XLOOKUP(C293,'ESAP NEIVA FASE II UNIFICADO'!$C$6:$C$720,'ESAP NEIVA FASE II UNIFICADO'!$C$6:$F$720,"NO ESTA")</f>
        <v xml:space="preserve">SUMINISTRO E INSTALACIÓN SALIDAS PARCIALES DE CIRCUITO PARA TOMACORIRIENTE DE USO REGULADO EN CABLE #12 AWG THHN/THWN, DESDE EL TABLERO DE AUTOMATICOS POR EL DUCTO PORTACABLES HASTA LOS PRIMEROS PUNTOS DE DERIVACIÓN. </v>
      </c>
      <c r="K293" t="str">
        <v xml:space="preserve">ML   </v>
      </c>
      <c r="L293">
        <v>1496</v>
      </c>
      <c r="M293">
        <v>1705</v>
      </c>
      <c r="N293" s="115">
        <f t="shared" si="22"/>
        <v>1705</v>
      </c>
      <c r="O293" s="146">
        <f t="shared" si="23"/>
        <v>944570</v>
      </c>
      <c r="P293" s="119"/>
    </row>
    <row r="294" spans="2:16" ht="21" customHeight="1" x14ac:dyDescent="0.25">
      <c r="B294" s="74">
        <v>15</v>
      </c>
      <c r="C294" s="75" t="s">
        <v>552</v>
      </c>
      <c r="D294" s="76"/>
      <c r="E294" s="77"/>
      <c r="F294" s="105"/>
      <c r="G294" s="89">
        <f t="shared" si="20"/>
        <v>0</v>
      </c>
      <c r="H294" s="209">
        <f t="shared" si="21"/>
        <v>0</v>
      </c>
      <c r="I294" s="209">
        <f t="shared" si="24"/>
        <v>0</v>
      </c>
      <c r="J294" s="213" t="str">
        <f t="array" ref="J294:M294">_xlfn.XLOOKUP(C294,'ESAP NEIVA FASE II UNIFICADO'!$C$6:$C$720,'ESAP NEIVA FASE II UNIFICADO'!$C$6:$F$720,"NO ESTA")</f>
        <v>DUCTOS, ACOMETIDAS, TABLEROS, PUESTA A TIERRA, PARARRAYOS Y PLANTA ELÉCTRICA</v>
      </c>
      <c r="K294">
        <v>0</v>
      </c>
      <c r="L294">
        <v>0</v>
      </c>
      <c r="M294">
        <v>0</v>
      </c>
      <c r="N294" s="115">
        <f t="shared" si="22"/>
        <v>0</v>
      </c>
      <c r="O294" s="146">
        <f t="shared" si="23"/>
        <v>0</v>
      </c>
      <c r="P294" s="119"/>
    </row>
    <row r="295" spans="2:16" ht="15" customHeight="1" x14ac:dyDescent="0.25">
      <c r="B295" s="80" t="s">
        <v>553</v>
      </c>
      <c r="C295" s="81" t="s">
        <v>554</v>
      </c>
      <c r="D295" s="82"/>
      <c r="E295" s="83"/>
      <c r="F295" s="90"/>
      <c r="G295" s="89">
        <f t="shared" si="20"/>
        <v>0</v>
      </c>
      <c r="H295" s="209">
        <f t="shared" si="21"/>
        <v>0</v>
      </c>
      <c r="I295" s="209">
        <f t="shared" si="24"/>
        <v>0</v>
      </c>
      <c r="J295" s="213" t="str">
        <f t="array" ref="J295:M295">_xlfn.XLOOKUP(C295,'ESAP NEIVA FASE II UNIFICADO'!$C$6:$C$720,'ESAP NEIVA FASE II UNIFICADO'!$C$6:$F$720,"NO ESTA")</f>
        <v>SUMINISTRO E INSTALACIÓN DE DUCTOS PORTACABLES</v>
      </c>
      <c r="K295">
        <v>0</v>
      </c>
      <c r="L295">
        <v>0</v>
      </c>
      <c r="M295">
        <v>0</v>
      </c>
      <c r="N295" s="115">
        <f t="shared" si="22"/>
        <v>0</v>
      </c>
      <c r="O295" s="146">
        <f t="shared" si="23"/>
        <v>0</v>
      </c>
      <c r="P295" s="119"/>
    </row>
    <row r="296" spans="2:16" ht="24" customHeight="1" x14ac:dyDescent="0.25">
      <c r="B296" s="86" t="s">
        <v>555</v>
      </c>
      <c r="C296" s="87" t="s">
        <v>556</v>
      </c>
      <c r="D296" s="82" t="s">
        <v>269</v>
      </c>
      <c r="E296" s="83">
        <v>72</v>
      </c>
      <c r="F296" s="88">
        <v>97449</v>
      </c>
      <c r="G296" s="89">
        <f t="shared" si="20"/>
        <v>7016328</v>
      </c>
      <c r="H296" s="209">
        <f t="shared" si="21"/>
        <v>102614</v>
      </c>
      <c r="I296" s="209">
        <f t="shared" si="24"/>
        <v>7388208</v>
      </c>
      <c r="J296" s="213" t="str">
        <f t="array" ref="J296">_xlfn.XLOOKUP(C296,'ESAP NEIVA FASE II UNIFICADO'!$C$6:$C$720,'ESAP NEIVA FASE II UNIFICADO'!$C$6:$F$720,"NO ESTA")</f>
        <v>NO ESTA</v>
      </c>
      <c r="N296" s="115">
        <f t="shared" si="22"/>
        <v>97449</v>
      </c>
      <c r="O296" s="146">
        <f t="shared" si="23"/>
        <v>7016328</v>
      </c>
      <c r="P296" s="119"/>
    </row>
    <row r="297" spans="2:16" ht="24" customHeight="1" x14ac:dyDescent="0.25">
      <c r="B297" s="86" t="s">
        <v>557</v>
      </c>
      <c r="C297" s="87" t="s">
        <v>558</v>
      </c>
      <c r="D297" s="82" t="s">
        <v>284</v>
      </c>
      <c r="E297" s="83">
        <v>3</v>
      </c>
      <c r="F297" s="88">
        <v>125132</v>
      </c>
      <c r="G297" s="89">
        <f t="shared" si="20"/>
        <v>375396</v>
      </c>
      <c r="H297" s="209">
        <f t="shared" si="21"/>
        <v>131764</v>
      </c>
      <c r="I297" s="209">
        <f t="shared" si="24"/>
        <v>395292</v>
      </c>
      <c r="J297" s="213" t="str">
        <f t="array" ref="J297:M297">_xlfn.XLOOKUP(C297,'ESAP NEIVA FASE II UNIFICADO'!$C$6:$C$720,'ESAP NEIVA FASE II UNIFICADO'!$C$6:$F$720,"NO ESTA")</f>
        <v>SUMINISTRO E INSTALACIÓN TÉE PARA DUCTO PORTACABLES TROQUELADO DE 30x10 cm</v>
      </c>
      <c r="K297" t="str">
        <v xml:space="preserve">UN   </v>
      </c>
      <c r="L297">
        <v>8</v>
      </c>
      <c r="M297">
        <v>135206</v>
      </c>
      <c r="N297" s="115">
        <f t="shared" si="22"/>
        <v>135206</v>
      </c>
      <c r="O297" s="146">
        <f t="shared" si="23"/>
        <v>405618</v>
      </c>
      <c r="P297" s="119"/>
    </row>
    <row r="298" spans="2:16" ht="24" customHeight="1" x14ac:dyDescent="0.25">
      <c r="B298" s="86" t="s">
        <v>559</v>
      </c>
      <c r="C298" s="87" t="s">
        <v>560</v>
      </c>
      <c r="D298" s="82" t="s">
        <v>284</v>
      </c>
      <c r="E298" s="83">
        <v>34</v>
      </c>
      <c r="F298" s="88">
        <v>27753</v>
      </c>
      <c r="G298" s="89">
        <f t="shared" si="20"/>
        <v>943602</v>
      </c>
      <c r="H298" s="209">
        <f t="shared" si="21"/>
        <v>29224</v>
      </c>
      <c r="I298" s="209">
        <f t="shared" si="24"/>
        <v>993616</v>
      </c>
      <c r="J298" s="213" t="str">
        <f t="array" ref="J298:M298">_xlfn.XLOOKUP(C298,'ESAP NEIVA FASE II UNIFICADO'!$C$6:$C$720,'ESAP NEIVA FASE II UNIFICADO'!$C$6:$F$720,"NO ESTA")</f>
        <v>SUMINISTRO E INSTALACIÓN SOPORTES DE FIJACIÓN TIPO PELDAÑO DESCOLGADO PARA DUCTOS PORTACABLES TROQUELADO</v>
      </c>
      <c r="K298" t="str">
        <v xml:space="preserve">UN   </v>
      </c>
      <c r="L298">
        <v>91</v>
      </c>
      <c r="M298">
        <v>29987</v>
      </c>
      <c r="N298" s="115">
        <f t="shared" si="22"/>
        <v>29987</v>
      </c>
      <c r="O298" s="146">
        <f t="shared" si="23"/>
        <v>1019558</v>
      </c>
      <c r="P298" s="119"/>
    </row>
    <row r="299" spans="2:16" ht="24" customHeight="1" x14ac:dyDescent="0.25">
      <c r="B299" s="86" t="s">
        <v>561</v>
      </c>
      <c r="C299" s="87" t="s">
        <v>562</v>
      </c>
      <c r="D299" s="82" t="s">
        <v>269</v>
      </c>
      <c r="E299" s="83">
        <v>25</v>
      </c>
      <c r="F299" s="88">
        <v>181403</v>
      </c>
      <c r="G299" s="89">
        <f t="shared" si="20"/>
        <v>4535075</v>
      </c>
      <c r="H299" s="209">
        <f t="shared" si="21"/>
        <v>191017</v>
      </c>
      <c r="I299" s="209">
        <f t="shared" si="24"/>
        <v>4775425</v>
      </c>
      <c r="J299" s="213" t="str">
        <f t="array" ref="J299">_xlfn.XLOOKUP(C299,'ESAP NEIVA FASE II UNIFICADO'!$C$6:$C$720,'ESAP NEIVA FASE II UNIFICADO'!$C$6:$F$720,"NO ESTA")</f>
        <v>NO ESTA</v>
      </c>
      <c r="N299" s="115">
        <f t="shared" si="22"/>
        <v>181403</v>
      </c>
      <c r="O299" s="146">
        <f t="shared" si="23"/>
        <v>4535075</v>
      </c>
      <c r="P299" s="119"/>
    </row>
    <row r="300" spans="2:16" ht="24" customHeight="1" x14ac:dyDescent="0.25">
      <c r="B300" s="86" t="s">
        <v>563</v>
      </c>
      <c r="C300" s="87" t="s">
        <v>564</v>
      </c>
      <c r="D300" s="82" t="s">
        <v>284</v>
      </c>
      <c r="E300" s="83">
        <v>1</v>
      </c>
      <c r="F300" s="88">
        <v>150157</v>
      </c>
      <c r="G300" s="89">
        <f t="shared" si="20"/>
        <v>150157</v>
      </c>
      <c r="H300" s="209">
        <f t="shared" si="21"/>
        <v>158115</v>
      </c>
      <c r="I300" s="209">
        <f t="shared" si="24"/>
        <v>158115</v>
      </c>
      <c r="J300" s="213" t="str">
        <f t="array" ref="J300:M300">_xlfn.XLOOKUP(C300,'ESAP NEIVA FASE II UNIFICADO'!$C$6:$C$720,'ESAP NEIVA FASE II UNIFICADO'!$C$6:$F$720,"NO ESTA")</f>
        <v>SUMINISTRO E INSTALACIÓN TÉE PARA DUCTO PORTACABLES TROQUELADO DE 100x30 cm</v>
      </c>
      <c r="K300" t="str">
        <v xml:space="preserve">UN   </v>
      </c>
      <c r="L300">
        <v>2</v>
      </c>
      <c r="M300">
        <v>162245</v>
      </c>
      <c r="N300" s="115">
        <f t="shared" si="22"/>
        <v>162245</v>
      </c>
      <c r="O300" s="146">
        <f t="shared" si="23"/>
        <v>162245</v>
      </c>
      <c r="P300" s="119"/>
    </row>
    <row r="301" spans="2:16" ht="24" customHeight="1" x14ac:dyDescent="0.25">
      <c r="B301" s="86" t="s">
        <v>565</v>
      </c>
      <c r="C301" s="87" t="s">
        <v>566</v>
      </c>
      <c r="D301" s="82" t="s">
        <v>284</v>
      </c>
      <c r="E301" s="83">
        <v>12</v>
      </c>
      <c r="F301" s="88">
        <v>27753</v>
      </c>
      <c r="G301" s="89">
        <f t="shared" si="20"/>
        <v>333036</v>
      </c>
      <c r="H301" s="209">
        <f t="shared" si="21"/>
        <v>29224</v>
      </c>
      <c r="I301" s="209">
        <f t="shared" si="24"/>
        <v>350688</v>
      </c>
      <c r="J301" s="213" t="str">
        <f t="array" ref="J301:M301">_xlfn.XLOOKUP(C301,'ESAP NEIVA FASE II UNIFICADO'!$C$6:$C$720,'ESAP NEIVA FASE II UNIFICADO'!$C$6:$F$720,"NO ESTA")</f>
        <v>SUMINISTRO E INSTALACIÓN SOPORTES DE FIJACIÓN TIPO PELDAÑO DESCOLGADO PARA DUCTO PORTACABLES TROQUELADO</v>
      </c>
      <c r="K301" t="str">
        <v xml:space="preserve">UN   </v>
      </c>
      <c r="L301">
        <v>34</v>
      </c>
      <c r="M301">
        <v>29987</v>
      </c>
      <c r="N301" s="115">
        <f t="shared" si="22"/>
        <v>29987</v>
      </c>
      <c r="O301" s="146">
        <f t="shared" si="23"/>
        <v>359844</v>
      </c>
      <c r="P301" s="119"/>
    </row>
    <row r="302" spans="2:16" ht="15" customHeight="1" x14ac:dyDescent="0.25">
      <c r="B302" s="80" t="s">
        <v>567</v>
      </c>
      <c r="C302" s="81" t="s">
        <v>568</v>
      </c>
      <c r="D302" s="82"/>
      <c r="E302" s="83"/>
      <c r="F302" s="104"/>
      <c r="G302" s="89">
        <f t="shared" si="20"/>
        <v>0</v>
      </c>
      <c r="H302" s="209">
        <f t="shared" si="21"/>
        <v>0</v>
      </c>
      <c r="I302" s="209">
        <f t="shared" si="24"/>
        <v>0</v>
      </c>
      <c r="J302" s="213" t="str">
        <f t="array" ref="J302:M302">_xlfn.XLOOKUP(C302,'ESAP NEIVA FASE II UNIFICADO'!$C$6:$C$720,'ESAP NEIVA FASE II UNIFICADO'!$C$6:$F$720,"NO ESTA")</f>
        <v>CANALETA PERIMETRAL MULTITOMA</v>
      </c>
      <c r="K302">
        <v>0</v>
      </c>
      <c r="L302">
        <v>0</v>
      </c>
      <c r="M302">
        <v>0</v>
      </c>
      <c r="N302" s="115">
        <f t="shared" si="22"/>
        <v>0</v>
      </c>
      <c r="O302" s="146">
        <f t="shared" si="23"/>
        <v>0</v>
      </c>
      <c r="P302" s="119"/>
    </row>
    <row r="303" spans="2:16" ht="22.5" customHeight="1" x14ac:dyDescent="0.25">
      <c r="B303" s="86" t="s">
        <v>569</v>
      </c>
      <c r="C303" s="87" t="s">
        <v>570</v>
      </c>
      <c r="D303" s="82" t="s">
        <v>269</v>
      </c>
      <c r="E303" s="83">
        <v>68</v>
      </c>
      <c r="F303" s="88">
        <v>27618</v>
      </c>
      <c r="G303" s="89">
        <f t="shared" si="20"/>
        <v>1878024</v>
      </c>
      <c r="H303" s="209">
        <f t="shared" si="21"/>
        <v>29082</v>
      </c>
      <c r="I303" s="209">
        <f t="shared" si="24"/>
        <v>1977576</v>
      </c>
      <c r="J303" s="213" t="str">
        <f t="array" ref="J303:M303">_xlfn.XLOOKUP(C303,'ESAP NEIVA FASE II UNIFICADO'!$C$6:$C$720,'ESAP NEIVA FASE II UNIFICADO'!$C$6:$F$720,"NO ESTA")</f>
        <v>SUMINISTRO E INSTALACIÓN CANALETA MULTITOMA DE DOS COMPARTIMIENTOS EN LÁMINA COLD ROLLED CAL. 18 DE SECCIÓN 10x4 cm CON TAPA CLIP Y ACABADO ELECTROESTÁTICO GRIS NOPAL TEXTURIZADO</v>
      </c>
      <c r="K303" t="str">
        <v xml:space="preserve">ML   </v>
      </c>
      <c r="L303">
        <v>182</v>
      </c>
      <c r="M303">
        <v>29842</v>
      </c>
      <c r="N303" s="115">
        <f t="shared" si="22"/>
        <v>29842</v>
      </c>
      <c r="O303" s="146">
        <f t="shared" si="23"/>
        <v>2029256</v>
      </c>
      <c r="P303" s="119"/>
    </row>
    <row r="304" spans="2:16" ht="42" customHeight="1" x14ac:dyDescent="0.25">
      <c r="B304" s="86" t="s">
        <v>571</v>
      </c>
      <c r="C304" s="87" t="s">
        <v>572</v>
      </c>
      <c r="D304" s="82" t="s">
        <v>374</v>
      </c>
      <c r="E304" s="83">
        <v>29</v>
      </c>
      <c r="F304" s="88">
        <v>21548</v>
      </c>
      <c r="G304" s="89">
        <f t="shared" si="20"/>
        <v>624892</v>
      </c>
      <c r="H304" s="209">
        <f t="shared" si="21"/>
        <v>22690</v>
      </c>
      <c r="I304" s="209">
        <f t="shared" si="24"/>
        <v>658010</v>
      </c>
      <c r="J304" s="213" t="str">
        <f t="array" ref="J304:M304">_xlfn.XLOOKUP(C304,'ESAP NEIVA FASE II UNIFICADO'!$C$6:$C$720,'ESAP NEIVA FASE II UNIFICADO'!$C$6:$F$720,"NO ESTA")</f>
        <v>SUMINISTRO E INSTALACIÓN PLACA TOMA TROQUELADA PARA CANALETA 10x4 cm, CON PERFORACIONES PARA UNA (1) TOMA DOBLE COLOR BLANCO, UNA (1) TOMA DOBLE COLOR NARANJA Y UNA (1) TOMA RJ-45</v>
      </c>
      <c r="K304" t="str">
        <v>UN</v>
      </c>
      <c r="L304">
        <v>80</v>
      </c>
      <c r="M304">
        <v>23284</v>
      </c>
      <c r="N304" s="115">
        <f t="shared" si="22"/>
        <v>23284</v>
      </c>
      <c r="O304" s="146">
        <f t="shared" si="23"/>
        <v>675236</v>
      </c>
      <c r="P304" s="119"/>
    </row>
    <row r="305" spans="2:16" ht="22.5" customHeight="1" x14ac:dyDescent="0.25">
      <c r="B305" s="80" t="s">
        <v>573</v>
      </c>
      <c r="C305" s="81" t="s">
        <v>574</v>
      </c>
      <c r="D305" s="82"/>
      <c r="E305" s="83"/>
      <c r="F305" s="104"/>
      <c r="G305" s="89">
        <f t="shared" si="20"/>
        <v>0</v>
      </c>
      <c r="H305" s="209">
        <f t="shared" si="21"/>
        <v>0</v>
      </c>
      <c r="I305" s="209">
        <f t="shared" si="24"/>
        <v>0</v>
      </c>
      <c r="J305" s="213" t="str">
        <f t="array" ref="J305:M305">_xlfn.XLOOKUP(C305,'ESAP NEIVA FASE II UNIFICADO'!$C$6:$C$720,'ESAP NEIVA FASE II UNIFICADO'!$C$6:$F$720,"NO ESTA")</f>
        <v>SUMINISTRO E INSTALACIÓN COMETIDA RED MEDIA TENSIÓN (SEGÚN NORMAS CODENSA SA ESP)</v>
      </c>
      <c r="K305">
        <v>0</v>
      </c>
      <c r="L305">
        <v>0</v>
      </c>
      <c r="M305">
        <v>0</v>
      </c>
      <c r="N305" s="115">
        <f t="shared" si="22"/>
        <v>0</v>
      </c>
      <c r="O305" s="146">
        <f t="shared" si="23"/>
        <v>0</v>
      </c>
      <c r="P305" s="119"/>
    </row>
    <row r="306" spans="2:16" ht="48" customHeight="1" x14ac:dyDescent="0.25">
      <c r="B306" s="86" t="s">
        <v>575</v>
      </c>
      <c r="C306" s="87" t="s">
        <v>576</v>
      </c>
      <c r="D306" s="82" t="s">
        <v>374</v>
      </c>
      <c r="E306" s="83">
        <v>1</v>
      </c>
      <c r="F306" s="88">
        <v>66355986</v>
      </c>
      <c r="G306" s="89">
        <f t="shared" si="20"/>
        <v>66355986</v>
      </c>
      <c r="H306" s="209">
        <f t="shared" si="21"/>
        <v>69872853</v>
      </c>
      <c r="I306" s="209">
        <f t="shared" si="24"/>
        <v>69872853</v>
      </c>
      <c r="J306" s="213" t="str">
        <f t="array" ref="J306:M306">_xlfn.XLOOKUP(C306,'ESAP NEIVA FASE II UNIFICADO'!$C$6:$C$720,'ESAP NEIVA FASE II UNIFICADO'!$C$6:$F$720,"NO ESTA")</f>
        <v>SUMINISTRO E INSTALACIÓN TRANSFORMADOR DE DISTRIBUCIÓN DE 500 Kva, NIVEL DE TENSIÓN PRIMARIO 13.200 VOLTIOS, NIVEL DE TENSIÓN SECUNDARIO 208/120 VOLTIOS. INCLUYE: RIEL DE SOPORTE PARA TRANSFORMADOR (PATIN), RUEDAS PARA RIEL CON FRENO MECANICO</v>
      </c>
      <c r="K306" t="str">
        <v>UN</v>
      </c>
      <c r="L306">
        <v>0</v>
      </c>
      <c r="M306">
        <v>71697829</v>
      </c>
      <c r="N306" s="115">
        <f t="shared" si="22"/>
        <v>71697829</v>
      </c>
      <c r="O306" s="146">
        <f t="shared" si="23"/>
        <v>71697829</v>
      </c>
      <c r="P306" s="119"/>
    </row>
    <row r="307" spans="2:16" ht="22.5" customHeight="1" x14ac:dyDescent="0.25">
      <c r="B307" s="86" t="s">
        <v>577</v>
      </c>
      <c r="C307" s="87" t="s">
        <v>578</v>
      </c>
      <c r="D307" s="82" t="s">
        <v>374</v>
      </c>
      <c r="E307" s="83">
        <v>1</v>
      </c>
      <c r="F307" s="88">
        <v>4913006</v>
      </c>
      <c r="G307" s="89">
        <f t="shared" si="20"/>
        <v>4913006</v>
      </c>
      <c r="H307" s="209">
        <f t="shared" si="21"/>
        <v>5173395</v>
      </c>
      <c r="I307" s="209">
        <f t="shared" si="24"/>
        <v>5173395</v>
      </c>
      <c r="J307" s="213" t="str">
        <f t="array" ref="J307:M307">_xlfn.XLOOKUP(C307,'ESAP NEIVA FASE II UNIFICADO'!$C$6:$C$720,'ESAP NEIVA FASE II UNIFICADO'!$C$6:$F$720,"NO ESTA")</f>
        <v>SUMINISTRO E INSTALACIÓN PUERTA CORTAFUEGO PINTURA ELECTROESTÁTICA Y SEÑALES DE RIESGO ELÉCTRICO. INCLUYE ACCESORIOS PARA ENCLAVAMIENTO</v>
      </c>
      <c r="K307" t="str">
        <v>UN</v>
      </c>
      <c r="L307">
        <v>0</v>
      </c>
      <c r="M307">
        <v>5308517</v>
      </c>
      <c r="N307" s="115">
        <f t="shared" si="22"/>
        <v>5308517</v>
      </c>
      <c r="O307" s="146">
        <f t="shared" si="23"/>
        <v>5308517</v>
      </c>
      <c r="P307" s="119"/>
    </row>
    <row r="308" spans="2:16" ht="37.5" customHeight="1" x14ac:dyDescent="0.25">
      <c r="B308" s="86" t="s">
        <v>579</v>
      </c>
      <c r="C308" s="87" t="s">
        <v>580</v>
      </c>
      <c r="D308" s="82" t="s">
        <v>374</v>
      </c>
      <c r="E308" s="83">
        <v>1</v>
      </c>
      <c r="F308" s="88">
        <v>182846</v>
      </c>
      <c r="G308" s="89">
        <f t="shared" si="20"/>
        <v>182846</v>
      </c>
      <c r="H308" s="209">
        <f t="shared" si="21"/>
        <v>192537</v>
      </c>
      <c r="I308" s="209">
        <f t="shared" si="24"/>
        <v>192537</v>
      </c>
      <c r="J308" s="213" t="str">
        <f t="array" ref="J308:M308">_xlfn.XLOOKUP(C308,'ESAP NEIVA FASE II UNIFICADO'!$C$6:$C$720,'ESAP NEIVA FASE II UNIFICADO'!$C$6:$F$720,"NO ESTA")</f>
        <v>SUMINISTRO E INSTALACIÓN BARRERA DE PROTECCIÓN PARA EVITAR CONTACTO DIRECTO CON TRANSFORMADOR. INCLUYE INDUMENTARIA PARA ASEGURAR LA BARRERA A LA DISTANCIA ADECUADA DEL TRANSFORMADOR</v>
      </c>
      <c r="K308" t="str">
        <v>UN</v>
      </c>
      <c r="L308">
        <v>0</v>
      </c>
      <c r="M308">
        <v>197566</v>
      </c>
      <c r="N308" s="115">
        <f t="shared" si="22"/>
        <v>197566</v>
      </c>
      <c r="O308" s="146">
        <f t="shared" si="23"/>
        <v>197566</v>
      </c>
      <c r="P308" s="119"/>
    </row>
    <row r="309" spans="2:16" ht="22.5" customHeight="1" x14ac:dyDescent="0.25">
      <c r="B309" s="86" t="s">
        <v>581</v>
      </c>
      <c r="C309" s="87" t="s">
        <v>582</v>
      </c>
      <c r="D309" s="82" t="s">
        <v>374</v>
      </c>
      <c r="E309" s="83">
        <v>1</v>
      </c>
      <c r="F309" s="88">
        <v>149015</v>
      </c>
      <c r="G309" s="89">
        <f t="shared" si="20"/>
        <v>149015</v>
      </c>
      <c r="H309" s="209">
        <f t="shared" si="21"/>
        <v>156913</v>
      </c>
      <c r="I309" s="209">
        <f t="shared" si="24"/>
        <v>156913</v>
      </c>
      <c r="J309" s="213" t="str">
        <f t="array" ref="J309">_xlfn.XLOOKUP(C309,'ESAP NEIVA FASE II UNIFICADO'!$C$6:$C$720,'ESAP NEIVA FASE II UNIFICADO'!$C$6:$F$720,"NO ESTA")</f>
        <v>NO ESTA</v>
      </c>
      <c r="N309" s="115">
        <f t="shared" si="22"/>
        <v>149015</v>
      </c>
      <c r="O309" s="146">
        <f t="shared" si="23"/>
        <v>149015</v>
      </c>
      <c r="P309" s="119"/>
    </row>
    <row r="310" spans="2:16" ht="22.5" customHeight="1" x14ac:dyDescent="0.25">
      <c r="B310" s="86" t="s">
        <v>583</v>
      </c>
      <c r="C310" s="87" t="s">
        <v>584</v>
      </c>
      <c r="D310" s="82" t="s">
        <v>374</v>
      </c>
      <c r="E310" s="83">
        <v>1</v>
      </c>
      <c r="F310" s="88">
        <v>300362</v>
      </c>
      <c r="G310" s="89">
        <f t="shared" si="20"/>
        <v>300362</v>
      </c>
      <c r="H310" s="209">
        <f t="shared" si="21"/>
        <v>316281</v>
      </c>
      <c r="I310" s="209">
        <f t="shared" si="24"/>
        <v>316281</v>
      </c>
      <c r="J310" s="213" t="str">
        <f t="array" ref="J310:M310">_xlfn.XLOOKUP(C310,'ESAP NEIVA FASE II UNIFICADO'!$C$6:$C$720,'ESAP NEIVA FASE II UNIFICADO'!$C$6:$F$720,"NO ESTA")</f>
        <v>SUMINISTRO E INSTALACIÓN PASAMUROS DE MEDIA TENSIÓN, PASA MUROS EN PVC INCLUYE OBRAS NECESARIAS PARA LA INSTALACIÓN DE LAS MISMAS (JUEGO)</v>
      </c>
      <c r="K310" t="str">
        <v>UN</v>
      </c>
      <c r="L310">
        <v>0</v>
      </c>
      <c r="M310">
        <v>324542</v>
      </c>
      <c r="N310" s="115">
        <f t="shared" si="22"/>
        <v>324542</v>
      </c>
      <c r="O310" s="146">
        <f t="shared" si="23"/>
        <v>324542</v>
      </c>
      <c r="P310" s="119"/>
    </row>
    <row r="311" spans="2:16" ht="22.5" customHeight="1" x14ac:dyDescent="0.25">
      <c r="B311" s="86" t="s">
        <v>585</v>
      </c>
      <c r="C311" s="87" t="s">
        <v>586</v>
      </c>
      <c r="D311" s="82" t="s">
        <v>374</v>
      </c>
      <c r="E311" s="83">
        <v>1</v>
      </c>
      <c r="F311" s="88">
        <v>366182</v>
      </c>
      <c r="G311" s="89">
        <f t="shared" si="20"/>
        <v>366182</v>
      </c>
      <c r="H311" s="209">
        <f t="shared" si="21"/>
        <v>385590</v>
      </c>
      <c r="I311" s="209">
        <f t="shared" si="24"/>
        <v>385590</v>
      </c>
      <c r="J311" s="213" t="str">
        <f t="array" ref="J311:M311">_xlfn.XLOOKUP(C311,'ESAP NEIVA FASE II UNIFICADO'!$C$6:$C$720,'ESAP NEIVA FASE II UNIFICADO'!$C$6:$F$720,"NO ESTA")</f>
        <v>SUMINISTRO E INSTALACIÓN DUCTO DE VENTILACIÓN CON DÁMPER FIRE, INCLUYE REJILLA DAMPER PARA EMERGENCIA</v>
      </c>
      <c r="K311" t="str">
        <v>UN</v>
      </c>
      <c r="L311">
        <v>0</v>
      </c>
      <c r="M311">
        <v>395661</v>
      </c>
      <c r="N311" s="115">
        <f t="shared" si="22"/>
        <v>395661</v>
      </c>
      <c r="O311" s="146">
        <f t="shared" si="23"/>
        <v>395661</v>
      </c>
      <c r="P311" s="119"/>
    </row>
    <row r="312" spans="2:16" ht="35.25" customHeight="1" x14ac:dyDescent="0.25">
      <c r="B312" s="86" t="s">
        <v>587</v>
      </c>
      <c r="C312" s="87" t="s">
        <v>588</v>
      </c>
      <c r="D312" s="82" t="s">
        <v>374</v>
      </c>
      <c r="E312" s="83">
        <v>1</v>
      </c>
      <c r="F312" s="88">
        <v>268074</v>
      </c>
      <c r="G312" s="89">
        <f t="shared" si="20"/>
        <v>268074</v>
      </c>
      <c r="H312" s="209">
        <f t="shared" si="21"/>
        <v>282282</v>
      </c>
      <c r="I312" s="209">
        <f t="shared" si="24"/>
        <v>282282</v>
      </c>
      <c r="J312" s="213" t="str">
        <f t="array" ref="J312">_xlfn.XLOOKUP(C312,'ESAP NEIVA FASE II UNIFICADO'!$C$6:$C$720,'ESAP NEIVA FASE II UNIFICADO'!$C$6:$F$720,"NO ESTA")</f>
        <v>NO ESTA</v>
      </c>
      <c r="N312" s="115">
        <f t="shared" si="22"/>
        <v>268074</v>
      </c>
      <c r="O312" s="146">
        <f t="shared" si="23"/>
        <v>268074</v>
      </c>
      <c r="P312" s="119"/>
    </row>
    <row r="313" spans="2:16" ht="22.5" customHeight="1" x14ac:dyDescent="0.25">
      <c r="B313" s="86" t="s">
        <v>589</v>
      </c>
      <c r="C313" s="87" t="s">
        <v>590</v>
      </c>
      <c r="D313" s="82" t="s">
        <v>374</v>
      </c>
      <c r="E313" s="83">
        <v>1</v>
      </c>
      <c r="F313" s="88">
        <v>540606</v>
      </c>
      <c r="G313" s="89">
        <f t="shared" si="20"/>
        <v>540606</v>
      </c>
      <c r="H313" s="209">
        <f t="shared" si="21"/>
        <v>569258</v>
      </c>
      <c r="I313" s="209">
        <f t="shared" si="24"/>
        <v>569258</v>
      </c>
      <c r="J313" s="213" t="str">
        <f t="array" ref="J313:M313">_xlfn.XLOOKUP(C313,'ESAP NEIVA FASE II UNIFICADO'!$C$6:$C$720,'ESAP NEIVA FASE II UNIFICADO'!$C$6:$F$720,"NO ESTA")</f>
        <v>SUMINISTRO E INSTALACIÓN DE DPS (DISPOSITIVO DE PROTECCIÓN CONTRA SOBRETENSIONES)</v>
      </c>
      <c r="K313" t="str">
        <v>UN</v>
      </c>
      <c r="L313">
        <v>1</v>
      </c>
      <c r="M313">
        <v>584126</v>
      </c>
      <c r="N313" s="115">
        <f t="shared" si="22"/>
        <v>584126</v>
      </c>
      <c r="O313" s="146">
        <f t="shared" si="23"/>
        <v>584126</v>
      </c>
      <c r="P313" s="119"/>
    </row>
    <row r="314" spans="2:16" ht="37.5" customHeight="1" x14ac:dyDescent="0.25">
      <c r="B314" s="86" t="s">
        <v>591</v>
      </c>
      <c r="C314" s="87" t="s">
        <v>592</v>
      </c>
      <c r="D314" s="82" t="s">
        <v>374</v>
      </c>
      <c r="E314" s="83">
        <v>1</v>
      </c>
      <c r="F314" s="88">
        <v>17350616</v>
      </c>
      <c r="G314" s="89">
        <f t="shared" si="20"/>
        <v>17350616</v>
      </c>
      <c r="H314" s="209">
        <f t="shared" si="21"/>
        <v>18270199</v>
      </c>
      <c r="I314" s="209">
        <f t="shared" si="24"/>
        <v>18270199</v>
      </c>
      <c r="J314" s="213" t="str">
        <f t="array" ref="J314">_xlfn.XLOOKUP(C314,'ESAP NEIVA FASE II UNIFICADO'!$C$6:$C$720,'ESAP NEIVA FASE II UNIFICADO'!$C$6:$F$720,"NO ESTA")</f>
        <v>NO ESTA</v>
      </c>
      <c r="N314" s="115">
        <f t="shared" si="22"/>
        <v>17350616</v>
      </c>
      <c r="O314" s="146">
        <f t="shared" si="23"/>
        <v>17350616</v>
      </c>
      <c r="P314" s="119"/>
    </row>
    <row r="315" spans="2:16" ht="40.5" customHeight="1" x14ac:dyDescent="0.25">
      <c r="B315" s="86" t="s">
        <v>593</v>
      </c>
      <c r="C315" s="87" t="s">
        <v>594</v>
      </c>
      <c r="D315" s="82" t="s">
        <v>374</v>
      </c>
      <c r="E315" s="83">
        <v>1</v>
      </c>
      <c r="F315" s="88">
        <v>1379019</v>
      </c>
      <c r="G315" s="89">
        <f t="shared" si="20"/>
        <v>1379019</v>
      </c>
      <c r="H315" s="209">
        <f t="shared" si="21"/>
        <v>1452107</v>
      </c>
      <c r="I315" s="209">
        <f t="shared" si="24"/>
        <v>1452107</v>
      </c>
      <c r="J315" s="213" t="str">
        <f t="array" ref="J315:M315">_xlfn.XLOOKUP(C315,'ESAP NEIVA FASE II UNIFICADO'!$C$6:$C$720,'ESAP NEIVA FASE II UNIFICADO'!$C$6:$F$720,"NO ESTA")</f>
        <v xml:space="preserve">SUMINISTRO E INSTALACIÓN CAJA DE INSPECCIÓN SENCILLA CON TAPA EN CONCRETO SEGÚN NORMA CS-276 CODENSA S.A. ESP PARA RED DE MEDIA Y BAJA TENSIÓN. </v>
      </c>
      <c r="K315" t="str">
        <v>UN</v>
      </c>
      <c r="L315">
        <v>2</v>
      </c>
      <c r="M315">
        <v>1490034</v>
      </c>
      <c r="N315" s="115">
        <f t="shared" si="22"/>
        <v>1490034</v>
      </c>
      <c r="O315" s="146">
        <f t="shared" si="23"/>
        <v>1490034</v>
      </c>
      <c r="P315" s="119"/>
    </row>
    <row r="316" spans="2:16" ht="15" customHeight="1" x14ac:dyDescent="0.25">
      <c r="B316" s="80" t="s">
        <v>595</v>
      </c>
      <c r="C316" s="81" t="s">
        <v>596</v>
      </c>
      <c r="D316" s="82"/>
      <c r="E316" s="83"/>
      <c r="F316" s="104"/>
      <c r="G316" s="89">
        <f t="shared" si="20"/>
        <v>0</v>
      </c>
      <c r="H316" s="209">
        <f t="shared" si="21"/>
        <v>0</v>
      </c>
      <c r="I316" s="209">
        <f t="shared" si="24"/>
        <v>0</v>
      </c>
      <c r="J316" s="213" t="str">
        <f t="array" ref="J316:M316">_xlfn.XLOOKUP(C316,'ESAP NEIVA FASE II UNIFICADO'!$C$6:$C$720,'ESAP NEIVA FASE II UNIFICADO'!$C$6:$F$720,"NO ESTA")</f>
        <v>SUMINISTRO E INSTALACIÓN ALIMENTADORES ELÉCTRICOS PRINCIPALES</v>
      </c>
      <c r="K316">
        <v>0</v>
      </c>
      <c r="L316">
        <v>0</v>
      </c>
      <c r="M316">
        <v>0</v>
      </c>
      <c r="N316" s="115">
        <f t="shared" si="22"/>
        <v>0</v>
      </c>
      <c r="O316" s="146">
        <f t="shared" si="23"/>
        <v>0</v>
      </c>
      <c r="P316" s="119"/>
    </row>
    <row r="317" spans="2:16" ht="25.5" customHeight="1" x14ac:dyDescent="0.25">
      <c r="B317" s="86" t="s">
        <v>597</v>
      </c>
      <c r="C317" s="87" t="s">
        <v>598</v>
      </c>
      <c r="D317" s="82" t="s">
        <v>269</v>
      </c>
      <c r="E317" s="83">
        <v>20</v>
      </c>
      <c r="F317" s="88">
        <v>291397</v>
      </c>
      <c r="G317" s="89">
        <f t="shared" si="20"/>
        <v>5827940</v>
      </c>
      <c r="H317" s="209">
        <f t="shared" si="21"/>
        <v>306841</v>
      </c>
      <c r="I317" s="209">
        <f t="shared" si="24"/>
        <v>6136820</v>
      </c>
      <c r="J317" s="213" t="str">
        <f t="array" ref="J317:M317">_xlfn.XLOOKUP(C317,'ESAP NEIVA FASE II UNIFICADO'!$C$6:$C$720,'ESAP NEIVA FASE II UNIFICADO'!$C$6:$F$720,"NO ESTA")</f>
        <v>SUMINISTRO E INSTALACIÓN INTERCONEXIÓN ENTRE CAJA CS-276 Y CELDA DE MEDIDA CABLE XLPE 15KV T AWG EN TUBERÍA PVC 6".</v>
      </c>
      <c r="K317" t="str">
        <v xml:space="preserve">ML   </v>
      </c>
      <c r="L317">
        <v>0</v>
      </c>
      <c r="M317">
        <v>314854</v>
      </c>
      <c r="N317" s="115">
        <f t="shared" si="22"/>
        <v>314854</v>
      </c>
      <c r="O317" s="146">
        <f t="shared" si="23"/>
        <v>6297080</v>
      </c>
      <c r="P317" s="119"/>
    </row>
    <row r="318" spans="2:16" ht="39.75" customHeight="1" x14ac:dyDescent="0.25">
      <c r="B318" s="86" t="s">
        <v>599</v>
      </c>
      <c r="C318" s="87" t="s">
        <v>600</v>
      </c>
      <c r="D318" s="82" t="s">
        <v>269</v>
      </c>
      <c r="E318" s="83">
        <v>6</v>
      </c>
      <c r="F318" s="88">
        <v>1075492</v>
      </c>
      <c r="G318" s="89">
        <f t="shared" si="20"/>
        <v>6452952</v>
      </c>
      <c r="H318" s="209">
        <f t="shared" si="21"/>
        <v>1132493</v>
      </c>
      <c r="I318" s="209">
        <f t="shared" si="24"/>
        <v>6794958</v>
      </c>
      <c r="J318" s="213" t="str">
        <f t="array" ref="J318">_xlfn.XLOOKUP(C318,'ESAP NEIVA FASE II UNIFICADO'!$C$6:$C$720,'ESAP NEIVA FASE II UNIFICADO'!$C$6:$F$720,"NO ESTA")</f>
        <v>NO ESTA</v>
      </c>
      <c r="N318" s="115">
        <f t="shared" si="22"/>
        <v>1075492</v>
      </c>
      <c r="O318" s="146">
        <f t="shared" si="23"/>
        <v>6452952</v>
      </c>
      <c r="P318" s="119"/>
    </row>
    <row r="319" spans="2:16" ht="40.5" customHeight="1" x14ac:dyDescent="0.25">
      <c r="B319" s="86" t="s">
        <v>601</v>
      </c>
      <c r="C319" s="87" t="s">
        <v>602</v>
      </c>
      <c r="D319" s="82" t="s">
        <v>269</v>
      </c>
      <c r="E319" s="83">
        <v>5</v>
      </c>
      <c r="F319" s="88">
        <v>1131472</v>
      </c>
      <c r="G319" s="89">
        <f t="shared" si="20"/>
        <v>5657360</v>
      </c>
      <c r="H319" s="209">
        <f t="shared" si="21"/>
        <v>1191440</v>
      </c>
      <c r="I319" s="209">
        <f t="shared" si="24"/>
        <v>5957200</v>
      </c>
      <c r="J319" s="213" t="str">
        <f t="array" ref="J319">_xlfn.XLOOKUP(C319,'ESAP NEIVA FASE II UNIFICADO'!$C$6:$C$720,'ESAP NEIVA FASE II UNIFICADO'!$C$6:$F$720,"NO ESTA")</f>
        <v>NO ESTA</v>
      </c>
      <c r="N319" s="115">
        <f t="shared" si="22"/>
        <v>1131472</v>
      </c>
      <c r="O319" s="146">
        <f t="shared" si="23"/>
        <v>5657360</v>
      </c>
      <c r="P319" s="119"/>
    </row>
    <row r="320" spans="2:16" ht="15" customHeight="1" x14ac:dyDescent="0.25">
      <c r="B320" s="80" t="s">
        <v>603</v>
      </c>
      <c r="C320" s="81" t="s">
        <v>596</v>
      </c>
      <c r="D320" s="82"/>
      <c r="E320" s="83"/>
      <c r="F320" s="104"/>
      <c r="G320" s="89">
        <f t="shared" si="20"/>
        <v>0</v>
      </c>
      <c r="H320" s="209">
        <f t="shared" si="21"/>
        <v>0</v>
      </c>
      <c r="I320" s="209">
        <f t="shared" si="24"/>
        <v>0</v>
      </c>
      <c r="J320" s="213" t="str">
        <f t="array" ref="J320:M320">_xlfn.XLOOKUP(C320,'ESAP NEIVA FASE II UNIFICADO'!$C$6:$C$720,'ESAP NEIVA FASE II UNIFICADO'!$C$6:$F$720,"NO ESTA")</f>
        <v>SUMINISTRO E INSTALACIÓN ALIMENTADORES ELÉCTRICOS PRINCIPALES</v>
      </c>
      <c r="K320">
        <v>0</v>
      </c>
      <c r="L320">
        <v>0</v>
      </c>
      <c r="M320">
        <v>0</v>
      </c>
      <c r="N320" s="115">
        <f t="shared" si="22"/>
        <v>0</v>
      </c>
      <c r="O320" s="146">
        <f t="shared" si="23"/>
        <v>0</v>
      </c>
      <c r="P320" s="119"/>
    </row>
    <row r="321" spans="2:16" ht="24.75" customHeight="1" x14ac:dyDescent="0.25">
      <c r="B321" s="86" t="s">
        <v>604</v>
      </c>
      <c r="C321" s="87" t="s">
        <v>605</v>
      </c>
      <c r="D321" s="82" t="s">
        <v>269</v>
      </c>
      <c r="E321" s="83">
        <v>8</v>
      </c>
      <c r="F321" s="88">
        <v>176671</v>
      </c>
      <c r="G321" s="89">
        <f t="shared" si="20"/>
        <v>1413368</v>
      </c>
      <c r="H321" s="209">
        <f t="shared" si="21"/>
        <v>186035</v>
      </c>
      <c r="I321" s="209">
        <f t="shared" si="24"/>
        <v>1488280</v>
      </c>
      <c r="J321" s="213" t="str">
        <f t="array" ref="J321:M321">_xlfn.XLOOKUP(C321,'ESAP NEIVA FASE II UNIFICADO'!$C$6:$C$720,'ESAP NEIVA FASE II UNIFICADO'!$C$6:$F$720,"NO ESTA")</f>
        <v>SUMINISTRO E INSTALACIÓN ALIMENTADOR DESDE TRANSFERENCIA HASTA TABLERO GENERAL DE MAQUINAS EN 3#4/0+1#4/0N+1#2T AWG EN BANDEJA PORTA CABLES</v>
      </c>
      <c r="K321" t="str">
        <v xml:space="preserve">ML   </v>
      </c>
      <c r="L321">
        <v>0</v>
      </c>
      <c r="M321">
        <v>190892</v>
      </c>
      <c r="N321" s="115">
        <f t="shared" si="22"/>
        <v>190892</v>
      </c>
      <c r="O321" s="146">
        <f t="shared" si="23"/>
        <v>1527136</v>
      </c>
      <c r="P321" s="119"/>
    </row>
    <row r="322" spans="2:16" ht="42" customHeight="1" x14ac:dyDescent="0.25">
      <c r="B322" s="86" t="s">
        <v>606</v>
      </c>
      <c r="C322" s="87" t="s">
        <v>607</v>
      </c>
      <c r="D322" s="82" t="s">
        <v>269</v>
      </c>
      <c r="E322" s="83">
        <v>52</v>
      </c>
      <c r="F322" s="88">
        <v>56745</v>
      </c>
      <c r="G322" s="89">
        <f t="shared" si="20"/>
        <v>2950740</v>
      </c>
      <c r="H322" s="209">
        <f t="shared" si="21"/>
        <v>59752</v>
      </c>
      <c r="I322" s="209">
        <f t="shared" si="24"/>
        <v>3107104</v>
      </c>
      <c r="J322" s="213" t="str">
        <f t="array" ref="J322:M322">_xlfn.XLOOKUP(C322,'ESAP NEIVA FASE II UNIFICADO'!$C$6:$C$720,'ESAP NEIVA FASE II UNIFICADO'!$C$6:$F$720,"NO ESTA")</f>
        <v>SUMINISTRO E INSTALACIÓN ALIMENTADOR DESDE EL TABLERO GENERAL MAQUINAS HASTA EL TABLERO DE ASCENSOR EN 3#6+1#6N+1#8T AWG EN TUBERIA PVC ø 1 1/2" INCLUYENDO DE TERMINALES DE CONEXIÓN</v>
      </c>
      <c r="K322" t="str">
        <v xml:space="preserve">ML   </v>
      </c>
      <c r="L322">
        <v>0</v>
      </c>
      <c r="M322">
        <v>61314</v>
      </c>
      <c r="N322" s="115">
        <f t="shared" si="22"/>
        <v>61314</v>
      </c>
      <c r="O322" s="146">
        <f t="shared" si="23"/>
        <v>3188328</v>
      </c>
      <c r="P322" s="119"/>
    </row>
    <row r="323" spans="2:16" ht="42" customHeight="1" x14ac:dyDescent="0.25">
      <c r="B323" s="86" t="s">
        <v>608</v>
      </c>
      <c r="C323" s="87" t="s">
        <v>609</v>
      </c>
      <c r="D323" s="82" t="s">
        <v>269</v>
      </c>
      <c r="E323" s="83">
        <v>106</v>
      </c>
      <c r="F323" s="88">
        <v>56745</v>
      </c>
      <c r="G323" s="89">
        <f t="shared" si="20"/>
        <v>6014970</v>
      </c>
      <c r="H323" s="209">
        <f t="shared" si="21"/>
        <v>59752</v>
      </c>
      <c r="I323" s="209">
        <f t="shared" si="24"/>
        <v>6333712</v>
      </c>
      <c r="J323" s="213" t="str">
        <f t="array" ref="J323:M323">_xlfn.XLOOKUP(C323,'ESAP NEIVA FASE II UNIFICADO'!$C$6:$C$720,'ESAP NEIVA FASE II UNIFICADO'!$C$6:$F$720,"NO ESTA")</f>
        <v>SUMINISTRO E INSTALACIÓN ALIMENTADOR DESDE EL TABLERO GENERAL MAQUINAS HASTA EL TABLERO NORMAL BOMBAS EN 3#6+1#6N+1#8T AWG EN TUBERIA PVC 1 ø 1 1/2" INCLUYENDO DE TERMINALES DE CONEXIÓN</v>
      </c>
      <c r="K323" t="str">
        <v xml:space="preserve">ML   </v>
      </c>
      <c r="L323">
        <v>0</v>
      </c>
      <c r="M323">
        <v>61314</v>
      </c>
      <c r="N323" s="115">
        <f t="shared" si="22"/>
        <v>61314</v>
      </c>
      <c r="O323" s="146">
        <f t="shared" si="23"/>
        <v>6499284</v>
      </c>
      <c r="P323" s="119"/>
    </row>
    <row r="324" spans="2:16" ht="42" customHeight="1" x14ac:dyDescent="0.25">
      <c r="B324" s="86" t="s">
        <v>610</v>
      </c>
      <c r="C324" s="87" t="s">
        <v>611</v>
      </c>
      <c r="D324" s="82" t="s">
        <v>269</v>
      </c>
      <c r="E324" s="83">
        <v>5</v>
      </c>
      <c r="F324" s="88">
        <v>331752</v>
      </c>
      <c r="G324" s="89">
        <f t="shared" si="20"/>
        <v>1658760</v>
      </c>
      <c r="H324" s="209">
        <f t="shared" si="21"/>
        <v>349335</v>
      </c>
      <c r="I324" s="209">
        <f t="shared" si="24"/>
        <v>1746675</v>
      </c>
      <c r="J324" s="213" t="str">
        <f t="array" ref="J324:M324">_xlfn.XLOOKUP(C324,'ESAP NEIVA FASE II UNIFICADO'!$C$6:$C$720,'ESAP NEIVA FASE II UNIFICADO'!$C$6:$F$720,"NO ESTA")</f>
        <v>SUMINISTRO E INSTALACIÓN ALIMENTADOR DESDE TRANSFERENCIA HASTA EL TABLERO GENERAL DE DISTRIBUCIÓN EN 6#4/0+2#4/0N+1#4T EN BANDEJA PORTACABLES</v>
      </c>
      <c r="K324" t="str">
        <v xml:space="preserve">ML   </v>
      </c>
      <c r="L324">
        <v>0</v>
      </c>
      <c r="M324">
        <v>358460</v>
      </c>
      <c r="N324" s="115">
        <f t="shared" si="22"/>
        <v>358460</v>
      </c>
      <c r="O324" s="146">
        <f t="shared" si="23"/>
        <v>1792300</v>
      </c>
      <c r="P324" s="119"/>
    </row>
    <row r="325" spans="2:16" ht="42" customHeight="1" x14ac:dyDescent="0.25">
      <c r="B325" s="86" t="s">
        <v>612</v>
      </c>
      <c r="C325" s="87" t="s">
        <v>613</v>
      </c>
      <c r="D325" s="82" t="s">
        <v>269</v>
      </c>
      <c r="E325" s="83">
        <v>6</v>
      </c>
      <c r="F325" s="88">
        <v>56745</v>
      </c>
      <c r="G325" s="89">
        <f t="shared" si="20"/>
        <v>340470</v>
      </c>
      <c r="H325" s="209">
        <f t="shared" si="21"/>
        <v>59752</v>
      </c>
      <c r="I325" s="209">
        <f t="shared" si="24"/>
        <v>358512</v>
      </c>
      <c r="J325" s="213" t="str">
        <f t="array" ref="J325:M325">_xlfn.XLOOKUP(C325,'ESAP NEIVA FASE II UNIFICADO'!$C$6:$C$720,'ESAP NEIVA FASE II UNIFICADO'!$C$6:$F$720,"NO ESTA")</f>
        <v>SUMINISTRO E INSTALACIÓN ALIMENTADOR DESDE EL TABLERO GENERAL DE DISTRIBUCIÓN HASTA EL TNS SOTANO POR CARCAMO CON 3#6+1#6N+1#8T AWG INCLUYE TERMINALES DE CONEXIÓN</v>
      </c>
      <c r="K325" t="str">
        <v xml:space="preserve">ML   </v>
      </c>
      <c r="L325">
        <v>0</v>
      </c>
      <c r="M325">
        <v>61314</v>
      </c>
      <c r="N325" s="115">
        <f t="shared" si="22"/>
        <v>61314</v>
      </c>
      <c r="O325" s="146">
        <f t="shared" si="23"/>
        <v>367884</v>
      </c>
      <c r="P325" s="119"/>
    </row>
    <row r="326" spans="2:16" ht="42" customHeight="1" x14ac:dyDescent="0.25">
      <c r="B326" s="86" t="s">
        <v>614</v>
      </c>
      <c r="C326" s="87" t="s">
        <v>615</v>
      </c>
      <c r="D326" s="82" t="s">
        <v>269</v>
      </c>
      <c r="E326" s="83">
        <v>60</v>
      </c>
      <c r="F326" s="88">
        <v>119175</v>
      </c>
      <c r="G326" s="89">
        <f t="shared" ref="G326:G389" si="25">ROUND(+F326*E326,2)</f>
        <v>7150500</v>
      </c>
      <c r="H326" s="209">
        <f t="shared" ref="H326:H389" si="26">+ROUND(F326*(1+$H$4),0)</f>
        <v>125491</v>
      </c>
      <c r="I326" s="209">
        <f t="shared" si="24"/>
        <v>7529460</v>
      </c>
      <c r="J326" s="213" t="str">
        <f t="array" ref="J326:M326">_xlfn.XLOOKUP(C326,'ESAP NEIVA FASE II UNIFICADO'!$C$6:$C$720,'ESAP NEIVA FASE II UNIFICADO'!$C$6:$F$720,"NO ESTA")</f>
        <v>SUMINISTRO E INSTALACIÓN ALIMENTADOR DESDE EL TABLERO GENERAL DE DISTRIBUCIÓN HASTA EL TNP1 PISO 1 EN 1 ø 2" CON 3#2/0+1#2/0N+1#4T AWG INCLUYE TERMINALES DE CONEXIÓN</v>
      </c>
      <c r="K326" t="str">
        <v xml:space="preserve">ML   </v>
      </c>
      <c r="L326">
        <v>0</v>
      </c>
      <c r="M326">
        <v>128769</v>
      </c>
      <c r="N326" s="115">
        <f t="shared" ref="N326:N389" si="27">MAX(M326,F326)</f>
        <v>128769</v>
      </c>
      <c r="O326" s="146">
        <f t="shared" ref="O326:O389" si="28">N326*E326</f>
        <v>7726140</v>
      </c>
      <c r="P326" s="119"/>
    </row>
    <row r="327" spans="2:16" ht="42" customHeight="1" x14ac:dyDescent="0.25">
      <c r="B327" s="86" t="s">
        <v>616</v>
      </c>
      <c r="C327" s="87" t="s">
        <v>617</v>
      </c>
      <c r="D327" s="82" t="s">
        <v>269</v>
      </c>
      <c r="E327" s="83">
        <v>64</v>
      </c>
      <c r="F327" s="88">
        <v>176378</v>
      </c>
      <c r="G327" s="89">
        <f t="shared" si="25"/>
        <v>11288192</v>
      </c>
      <c r="H327" s="209">
        <f t="shared" si="26"/>
        <v>185726</v>
      </c>
      <c r="I327" s="209">
        <f t="shared" ref="I327:I390" si="29">ROUND(H327*E327,2)</f>
        <v>11886464</v>
      </c>
      <c r="J327" s="213" t="str">
        <f t="array" ref="J327:M327">_xlfn.XLOOKUP(C327,'ESAP NEIVA FASE II UNIFICADO'!$C$6:$C$720,'ESAP NEIVA FASE II UNIFICADO'!$C$6:$F$720,"NO ESTA")</f>
        <v>SUMINISTRO E INSTALACIÓN ALIMENTADOR DESDE EL TABLERO GENERAL DE DISTRIBUCIÓN HASTA EL TNP2 PISO 2 EN 1 ø 3" CON 3#4/0+1#2/0N+1#4T AWG INCLUYE TERMINALES DE CONEXIÓN</v>
      </c>
      <c r="K327" t="str">
        <v xml:space="preserve">ML   </v>
      </c>
      <c r="L327">
        <v>0</v>
      </c>
      <c r="M327">
        <v>190576</v>
      </c>
      <c r="N327" s="115">
        <f t="shared" si="27"/>
        <v>190576</v>
      </c>
      <c r="O327" s="146">
        <f t="shared" si="28"/>
        <v>12196864</v>
      </c>
      <c r="P327" s="119"/>
    </row>
    <row r="328" spans="2:16" ht="42" customHeight="1" x14ac:dyDescent="0.25">
      <c r="B328" s="86" t="s">
        <v>618</v>
      </c>
      <c r="C328" s="87" t="s">
        <v>619</v>
      </c>
      <c r="D328" s="82" t="s">
        <v>269</v>
      </c>
      <c r="E328" s="83">
        <v>68</v>
      </c>
      <c r="F328" s="88">
        <v>176378</v>
      </c>
      <c r="G328" s="89">
        <f t="shared" si="25"/>
        <v>11993704</v>
      </c>
      <c r="H328" s="209">
        <f t="shared" si="26"/>
        <v>185726</v>
      </c>
      <c r="I328" s="209">
        <f t="shared" si="29"/>
        <v>12629368</v>
      </c>
      <c r="J328" s="213" t="str">
        <f t="array" ref="J328:M328">_xlfn.XLOOKUP(C328,'ESAP NEIVA FASE II UNIFICADO'!$C$6:$C$720,'ESAP NEIVA FASE II UNIFICADO'!$C$6:$F$720,"NO ESTA")</f>
        <v>SUMINISTRO E INSTALACIÓN ALIMENTADOR DESDE EL TABLERO GENERAL DE DISTRIBUCIÓN HASTA EL TNP3 PISO 3 EN 1 ø 3" CON 3#4/0+1#2/0N+1#4T AWG INCLUYE TERMINALES DE CONEXIÓN</v>
      </c>
      <c r="K328" t="str">
        <v xml:space="preserve">ML   </v>
      </c>
      <c r="L328">
        <v>0</v>
      </c>
      <c r="M328">
        <v>190576</v>
      </c>
      <c r="N328" s="115">
        <f t="shared" si="27"/>
        <v>190576</v>
      </c>
      <c r="O328" s="146">
        <f t="shared" si="28"/>
        <v>12959168</v>
      </c>
      <c r="P328" s="119"/>
    </row>
    <row r="329" spans="2:16" ht="42" customHeight="1" x14ac:dyDescent="0.25">
      <c r="B329" s="86" t="s">
        <v>620</v>
      </c>
      <c r="C329" s="87" t="s">
        <v>621</v>
      </c>
      <c r="D329" s="82" t="s">
        <v>269</v>
      </c>
      <c r="E329" s="83">
        <v>72</v>
      </c>
      <c r="F329" s="88">
        <v>176378</v>
      </c>
      <c r="G329" s="89">
        <f t="shared" si="25"/>
        <v>12699216</v>
      </c>
      <c r="H329" s="209">
        <f t="shared" si="26"/>
        <v>185726</v>
      </c>
      <c r="I329" s="209">
        <f t="shared" si="29"/>
        <v>13372272</v>
      </c>
      <c r="J329" s="213" t="str">
        <f t="array" ref="J329:M329">_xlfn.XLOOKUP(C329,'ESAP NEIVA FASE II UNIFICADO'!$C$6:$C$720,'ESAP NEIVA FASE II UNIFICADO'!$C$6:$F$720,"NO ESTA")</f>
        <v>SUMINISTRO E INSTALACIÓN ALIMENTADOR DESDE EL TABLERO GENERAL DE DISTRIBUCIÓN HASTA EL TNP3 PISO 4 EN 1 Ø 3" CON 3#4/0+1#2/0N+1#4T AWG INCLUYE TERMINALES DE CONEXIÓN</v>
      </c>
      <c r="K329" t="str">
        <v xml:space="preserve">ML   </v>
      </c>
      <c r="L329">
        <v>0</v>
      </c>
      <c r="M329">
        <v>190576</v>
      </c>
      <c r="N329" s="115">
        <f t="shared" si="27"/>
        <v>190576</v>
      </c>
      <c r="O329" s="146">
        <f t="shared" si="28"/>
        <v>13721472</v>
      </c>
      <c r="P329" s="119"/>
    </row>
    <row r="330" spans="2:16" ht="42" customHeight="1" x14ac:dyDescent="0.25">
      <c r="B330" s="86" t="s">
        <v>622</v>
      </c>
      <c r="C330" s="87" t="s">
        <v>623</v>
      </c>
      <c r="D330" s="82" t="s">
        <v>269</v>
      </c>
      <c r="E330" s="83">
        <v>60</v>
      </c>
      <c r="F330" s="88">
        <v>158175</v>
      </c>
      <c r="G330" s="89">
        <f t="shared" si="25"/>
        <v>9490500</v>
      </c>
      <c r="H330" s="209">
        <f t="shared" si="26"/>
        <v>166558</v>
      </c>
      <c r="I330" s="209">
        <f t="shared" si="29"/>
        <v>9993480</v>
      </c>
      <c r="J330" s="213" t="str">
        <f t="array" ref="J330:M330">_xlfn.XLOOKUP(C330,'ESAP NEIVA FASE II UNIFICADO'!$C$6:$C$720,'ESAP NEIVA FASE II UNIFICADO'!$C$6:$F$720,"NO ESTA")</f>
        <v xml:space="preserve">SUMINISTRO E INSTALACIÓNALIMENTADOR DESDE EL TABLERO GENERAL DE DISTRIBUCIÓN HASTA LA UPS1 PISO 1 EN 1 Ø 2" con 3#3/0+1#2/0N+1#2/OT AWG INCLUYENDO TERMINALES DE CONEXIÓN </v>
      </c>
      <c r="K330" t="str">
        <v xml:space="preserve">ML   </v>
      </c>
      <c r="L330">
        <v>0</v>
      </c>
      <c r="M330">
        <v>170907</v>
      </c>
      <c r="N330" s="115">
        <f t="shared" si="27"/>
        <v>170907</v>
      </c>
      <c r="O330" s="146">
        <f t="shared" si="28"/>
        <v>10254420</v>
      </c>
      <c r="P330" s="119"/>
    </row>
    <row r="331" spans="2:16" ht="42" customHeight="1" x14ac:dyDescent="0.25">
      <c r="B331" s="86" t="s">
        <v>624</v>
      </c>
      <c r="C331" s="87" t="s">
        <v>625</v>
      </c>
      <c r="D331" s="82" t="s">
        <v>269</v>
      </c>
      <c r="E331" s="83">
        <v>7</v>
      </c>
      <c r="F331" s="88">
        <v>92292</v>
      </c>
      <c r="G331" s="89">
        <f t="shared" si="25"/>
        <v>646044</v>
      </c>
      <c r="H331" s="209">
        <f t="shared" si="26"/>
        <v>97183</v>
      </c>
      <c r="I331" s="209">
        <f t="shared" si="29"/>
        <v>680281</v>
      </c>
      <c r="J331" s="213" t="str">
        <f t="array" ref="J331:M331">_xlfn.XLOOKUP(C331,'ESAP NEIVA FASE II UNIFICADO'!$C$6:$C$720,'ESAP NEIVA FASE II UNIFICADO'!$C$6:$F$720,"NO ESTA")</f>
        <v xml:space="preserve">SUMINISTRO E INSTALACIÓN ALIMENTADOR DESDE UPS1 HASTA EL TABLERO REGULADO 1 PISO 1 EN 1 Ø 2" con 3#2+1#2N+1#8T AWG INCLUYENDO TERMINALES DE CONEXIÓN </v>
      </c>
      <c r="K331" t="str">
        <v xml:space="preserve">ML   </v>
      </c>
      <c r="L331">
        <v>0</v>
      </c>
      <c r="M331">
        <v>99722</v>
      </c>
      <c r="N331" s="115">
        <f t="shared" si="27"/>
        <v>99722</v>
      </c>
      <c r="O331" s="146">
        <f t="shared" si="28"/>
        <v>698054</v>
      </c>
      <c r="P331" s="119"/>
    </row>
    <row r="332" spans="2:16" ht="42" customHeight="1" x14ac:dyDescent="0.25">
      <c r="B332" s="86" t="s">
        <v>626</v>
      </c>
      <c r="C332" s="87" t="s">
        <v>627</v>
      </c>
      <c r="D332" s="82" t="s">
        <v>269</v>
      </c>
      <c r="E332" s="83">
        <v>102</v>
      </c>
      <c r="F332" s="88">
        <v>150332</v>
      </c>
      <c r="G332" s="89">
        <f t="shared" si="25"/>
        <v>15333864</v>
      </c>
      <c r="H332" s="209">
        <f t="shared" si="26"/>
        <v>158300</v>
      </c>
      <c r="I332" s="209">
        <f t="shared" si="29"/>
        <v>16146600</v>
      </c>
      <c r="J332" s="213" t="str">
        <f t="array" ref="J332">_xlfn.XLOOKUP(C332,'ESAP NEIVA FASE II UNIFICADO'!$C$6:$C$720,'ESAP NEIVA FASE II UNIFICADO'!$C$6:$F$720,"NO ESTA")</f>
        <v>NO ESTA</v>
      </c>
      <c r="N332" s="115">
        <f t="shared" si="27"/>
        <v>150332</v>
      </c>
      <c r="O332" s="146">
        <f t="shared" si="28"/>
        <v>15333864</v>
      </c>
      <c r="P332" s="119"/>
    </row>
    <row r="333" spans="2:16" ht="15" customHeight="1" x14ac:dyDescent="0.25">
      <c r="B333" s="80" t="s">
        <v>628</v>
      </c>
      <c r="C333" s="81" t="s">
        <v>629</v>
      </c>
      <c r="D333" s="82"/>
      <c r="E333" s="83"/>
      <c r="F333" s="104"/>
      <c r="G333" s="89">
        <f t="shared" si="25"/>
        <v>0</v>
      </c>
      <c r="H333" s="209">
        <f t="shared" si="26"/>
        <v>0</v>
      </c>
      <c r="I333" s="209">
        <f t="shared" si="29"/>
        <v>0</v>
      </c>
      <c r="J333" s="213" t="str">
        <f t="array" ref="J333:M333">_xlfn.XLOOKUP(C333,'ESAP NEIVA FASE II UNIFICADO'!$C$6:$C$720,'ESAP NEIVA FASE II UNIFICADO'!$C$6:$F$720,"NO ESTA")</f>
        <v xml:space="preserve">SUMINISTRO E INSTALACIÓN DE CANALIZACIONES </v>
      </c>
      <c r="K333">
        <v>0</v>
      </c>
      <c r="L333">
        <v>0</v>
      </c>
      <c r="M333">
        <v>0</v>
      </c>
      <c r="N333" s="115">
        <f t="shared" si="27"/>
        <v>0</v>
      </c>
      <c r="O333" s="146">
        <f t="shared" si="28"/>
        <v>0</v>
      </c>
      <c r="P333" s="119"/>
    </row>
    <row r="334" spans="2:16" ht="15" customHeight="1" x14ac:dyDescent="0.25">
      <c r="B334" s="86" t="s">
        <v>630</v>
      </c>
      <c r="C334" s="87" t="s">
        <v>631</v>
      </c>
      <c r="D334" s="82" t="s">
        <v>269</v>
      </c>
      <c r="E334" s="83">
        <v>50</v>
      </c>
      <c r="F334" s="88">
        <v>33644</v>
      </c>
      <c r="G334" s="89">
        <f t="shared" si="25"/>
        <v>1682200</v>
      </c>
      <c r="H334" s="209">
        <f t="shared" si="26"/>
        <v>35427</v>
      </c>
      <c r="I334" s="209">
        <f t="shared" si="29"/>
        <v>1771350</v>
      </c>
      <c r="J334" s="213" t="str">
        <f t="array" ref="J334:M334">_xlfn.XLOOKUP(C334,'ESAP NEIVA FASE II UNIFICADO'!$C$6:$C$720,'ESAP NEIVA FASE II UNIFICADO'!$C$6:$F$720,"NO ESTA")</f>
        <v>SUMINISTRO E INSTALACIÓN TUBERÍA PVC Ø 4" (Incluye todos los materiales para su instalación)</v>
      </c>
      <c r="K334" t="str">
        <v xml:space="preserve">ML   </v>
      </c>
      <c r="L334">
        <v>0</v>
      </c>
      <c r="M334">
        <v>36352</v>
      </c>
      <c r="N334" s="115">
        <f t="shared" si="27"/>
        <v>36352</v>
      </c>
      <c r="O334" s="146">
        <f t="shared" si="28"/>
        <v>1817600</v>
      </c>
      <c r="P334" s="119"/>
    </row>
    <row r="335" spans="2:16" ht="15" customHeight="1" x14ac:dyDescent="0.25">
      <c r="B335" s="86" t="s">
        <v>632</v>
      </c>
      <c r="C335" s="87" t="s">
        <v>633</v>
      </c>
      <c r="D335" s="82" t="s">
        <v>269</v>
      </c>
      <c r="E335" s="83">
        <v>100</v>
      </c>
      <c r="F335" s="88">
        <v>60930</v>
      </c>
      <c r="G335" s="89">
        <f t="shared" si="25"/>
        <v>6093000</v>
      </c>
      <c r="H335" s="209">
        <f t="shared" si="26"/>
        <v>64159</v>
      </c>
      <c r="I335" s="209">
        <f t="shared" si="29"/>
        <v>6415900</v>
      </c>
      <c r="J335" s="213" t="str">
        <f t="array" ref="J335">_xlfn.XLOOKUP(C335,'ESAP NEIVA FASE II UNIFICADO'!$C$6:$C$720,'ESAP NEIVA FASE II UNIFICADO'!$C$6:$F$720,"NO ESTA")</f>
        <v>NO ESTA</v>
      </c>
      <c r="N335" s="115">
        <f t="shared" si="27"/>
        <v>60930</v>
      </c>
      <c r="O335" s="146">
        <f t="shared" si="28"/>
        <v>6093000</v>
      </c>
      <c r="P335" s="119"/>
    </row>
    <row r="336" spans="2:16" ht="15" customHeight="1" x14ac:dyDescent="0.25">
      <c r="B336" s="80" t="s">
        <v>634</v>
      </c>
      <c r="C336" s="81" t="s">
        <v>635</v>
      </c>
      <c r="D336" s="82"/>
      <c r="E336" s="83"/>
      <c r="F336" s="88">
        <v>0</v>
      </c>
      <c r="G336" s="89">
        <f t="shared" si="25"/>
        <v>0</v>
      </c>
      <c r="H336" s="209">
        <f t="shared" si="26"/>
        <v>0</v>
      </c>
      <c r="I336" s="209">
        <f t="shared" si="29"/>
        <v>0</v>
      </c>
      <c r="J336" s="213" t="str">
        <f t="array" ref="J336:M336">_xlfn.XLOOKUP(C336,'ESAP NEIVA FASE II UNIFICADO'!$C$6:$C$720,'ESAP NEIVA FASE II UNIFICADO'!$C$6:$F$720,"NO ESTA")</f>
        <v>SUMINISTRO E INSTALACIÓN DE TABLEROS E INTERRUPTORES</v>
      </c>
      <c r="K336">
        <v>0</v>
      </c>
      <c r="L336">
        <v>0</v>
      </c>
      <c r="M336">
        <v>0</v>
      </c>
      <c r="N336" s="115">
        <f t="shared" si="27"/>
        <v>0</v>
      </c>
      <c r="O336" s="146">
        <f t="shared" si="28"/>
        <v>0</v>
      </c>
      <c r="P336" s="119"/>
    </row>
    <row r="337" spans="2:16" ht="42" customHeight="1" x14ac:dyDescent="0.25">
      <c r="B337" s="86" t="s">
        <v>636</v>
      </c>
      <c r="C337" s="87" t="s">
        <v>637</v>
      </c>
      <c r="D337" s="82" t="s">
        <v>374</v>
      </c>
      <c r="E337" s="83">
        <v>1</v>
      </c>
      <c r="F337" s="88">
        <v>786853</v>
      </c>
      <c r="G337" s="89">
        <f t="shared" si="25"/>
        <v>786853</v>
      </c>
      <c r="H337" s="209">
        <f t="shared" si="26"/>
        <v>828556</v>
      </c>
      <c r="I337" s="209">
        <f t="shared" si="29"/>
        <v>828556</v>
      </c>
      <c r="J337" s="213" t="str">
        <f t="array" ref="J337:M337">_xlfn.XLOOKUP(C337,'ESAP NEIVA FASE II UNIFICADO'!$C$6:$C$720,'ESAP NEIVA FASE II UNIFICADO'!$C$6:$F$720,"NO ESTA")</f>
        <v>SUMINISTRO E INSTALACIÓN TABLERO AUTOMATICO DE 38 CIRCUITOS TIPO PESADO CON PUERTA Y CERRRADURA DE CIERRE, CERRADURA Y ESPACIO TOTALIZADOR INDUSTRIAL (TNP4)</v>
      </c>
      <c r="K337" t="str">
        <v>UN</v>
      </c>
      <c r="L337">
        <v>0</v>
      </c>
      <c r="M337">
        <v>850198</v>
      </c>
      <c r="N337" s="115">
        <f t="shared" si="27"/>
        <v>850198</v>
      </c>
      <c r="O337" s="146">
        <f t="shared" si="28"/>
        <v>850198</v>
      </c>
      <c r="P337" s="119"/>
    </row>
    <row r="338" spans="2:16" ht="42" customHeight="1" x14ac:dyDescent="0.25">
      <c r="B338" s="86" t="s">
        <v>638</v>
      </c>
      <c r="C338" s="87" t="s">
        <v>639</v>
      </c>
      <c r="D338" s="82" t="s">
        <v>374</v>
      </c>
      <c r="E338" s="83">
        <v>1</v>
      </c>
      <c r="F338" s="88">
        <v>632039</v>
      </c>
      <c r="G338" s="89">
        <f t="shared" si="25"/>
        <v>632039</v>
      </c>
      <c r="H338" s="209">
        <f t="shared" si="26"/>
        <v>665537</v>
      </c>
      <c r="I338" s="209">
        <f t="shared" si="29"/>
        <v>665537</v>
      </c>
      <c r="J338" s="213" t="str">
        <f t="array" ref="J338:M338">_xlfn.XLOOKUP(C338,'ESAP NEIVA FASE II UNIFICADO'!$C$6:$C$720,'ESAP NEIVA FASE II UNIFICADO'!$C$6:$F$720,"NO ESTA")</f>
        <v xml:space="preserve">SUMINISTRO E INSTALACIÓN TABLERO AUTOMATICO DE 18 CIRCUITOS TIPO PESADO CON PUERTA Y CERRRADURA DE CIERRE, CERRADURA Y ESPACIO TOTALIZADOR INDUSTRIAL CON BARRAJE DE TIERRA AISLADA. </v>
      </c>
      <c r="K338" t="str">
        <v>UN</v>
      </c>
      <c r="L338">
        <v>0</v>
      </c>
      <c r="M338">
        <v>682920</v>
      </c>
      <c r="N338" s="115">
        <f t="shared" si="27"/>
        <v>682920</v>
      </c>
      <c r="O338" s="146">
        <f t="shared" si="28"/>
        <v>682920</v>
      </c>
      <c r="P338" s="119"/>
    </row>
    <row r="339" spans="2:16" ht="42" customHeight="1" x14ac:dyDescent="0.25">
      <c r="B339" s="86" t="s">
        <v>640</v>
      </c>
      <c r="C339" s="87" t="s">
        <v>641</v>
      </c>
      <c r="D339" s="82" t="s">
        <v>374</v>
      </c>
      <c r="E339" s="83">
        <v>3</v>
      </c>
      <c r="F339" s="88">
        <v>635109</v>
      </c>
      <c r="G339" s="89">
        <f t="shared" si="25"/>
        <v>1905327</v>
      </c>
      <c r="H339" s="209">
        <f t="shared" si="26"/>
        <v>668770</v>
      </c>
      <c r="I339" s="209">
        <f t="shared" si="29"/>
        <v>2006310</v>
      </c>
      <c r="J339" s="213" t="str">
        <f t="array" ref="J339:M339">_xlfn.XLOOKUP(C339,'ESAP NEIVA FASE II UNIFICADO'!$C$6:$C$720,'ESAP NEIVA FASE II UNIFICADO'!$C$6:$F$720,"NO ESTA")</f>
        <v>SUMINISTRO E INSTALACIÓN TABLERO AUTOMATICO DE 24 CIRCUITOS TIPO PESADO CON PUERTA Y CERRRADURA DE CIERRE, CERRADURA Y ESPACIO TOTALIZADOR INDUSTRIAL CON BARRAJE DE TIERRA AISLADA (TNS, TR1, TR2)</v>
      </c>
      <c r="K339" t="str">
        <v>UN</v>
      </c>
      <c r="L339">
        <v>0</v>
      </c>
      <c r="M339">
        <v>686237</v>
      </c>
      <c r="N339" s="115">
        <f t="shared" si="27"/>
        <v>686237</v>
      </c>
      <c r="O339" s="146">
        <f t="shared" si="28"/>
        <v>2058711</v>
      </c>
      <c r="P339" s="119"/>
    </row>
    <row r="340" spans="2:16" ht="42" customHeight="1" x14ac:dyDescent="0.25">
      <c r="B340" s="86" t="s">
        <v>642</v>
      </c>
      <c r="C340" s="87" t="s">
        <v>643</v>
      </c>
      <c r="D340" s="82" t="s">
        <v>374</v>
      </c>
      <c r="E340" s="83">
        <v>3</v>
      </c>
      <c r="F340" s="88">
        <v>891523</v>
      </c>
      <c r="G340" s="89">
        <f t="shared" si="25"/>
        <v>2674569</v>
      </c>
      <c r="H340" s="209">
        <f t="shared" si="26"/>
        <v>938774</v>
      </c>
      <c r="I340" s="209">
        <f t="shared" si="29"/>
        <v>2816322</v>
      </c>
      <c r="J340" s="213" t="str">
        <f t="array" ref="J340:M340">_xlfn.XLOOKUP(C340,'ESAP NEIVA FASE II UNIFICADO'!$C$6:$C$720,'ESAP NEIVA FASE II UNIFICADO'!$C$6:$F$720,"NO ESTA")</f>
        <v>SUMINISTRO E INSTALACIÓN TABLERO AUTOMATICO DE 42 CIRCUITOS TIPO PESADO CON PUERTA Y CERRRADURA DE CIERRE, CERRADURA Y ESPACIO TOTALIZADOR INDUSTRIAL (TNP1, TNP2, TNP3)</v>
      </c>
      <c r="K340" t="str">
        <v>UN</v>
      </c>
      <c r="L340">
        <v>0</v>
      </c>
      <c r="M340">
        <v>963294</v>
      </c>
      <c r="N340" s="115">
        <f t="shared" si="27"/>
        <v>963294</v>
      </c>
      <c r="O340" s="146">
        <f t="shared" si="28"/>
        <v>2889882</v>
      </c>
      <c r="P340" s="119"/>
    </row>
    <row r="341" spans="2:16" ht="27" customHeight="1" x14ac:dyDescent="0.25">
      <c r="B341" s="86" t="s">
        <v>644</v>
      </c>
      <c r="C341" s="87" t="s">
        <v>645</v>
      </c>
      <c r="D341" s="82" t="s">
        <v>374</v>
      </c>
      <c r="E341" s="83">
        <v>19</v>
      </c>
      <c r="F341" s="88">
        <v>19024</v>
      </c>
      <c r="G341" s="89">
        <f t="shared" si="25"/>
        <v>361456</v>
      </c>
      <c r="H341" s="209">
        <f t="shared" si="26"/>
        <v>20032</v>
      </c>
      <c r="I341" s="209">
        <f t="shared" si="29"/>
        <v>380608</v>
      </c>
      <c r="J341" s="213" t="str">
        <f t="array" ref="J341:M341">_xlfn.XLOOKUP(C341,'ESAP NEIVA FASE II UNIFICADO'!$C$6:$C$720,'ESAP NEIVA FASE II UNIFICADO'!$C$6:$F$720,"NO ESTA")</f>
        <v>SUMINISTRO E INSTALACIÓN INTERRUPTORES AUTOMÁTICOS ENCHUFABLES 240 V. 10kA 1x20 AMPS. TIPO ENCHUFABLE 10 Ka 240V.</v>
      </c>
      <c r="K341" t="str">
        <v>UN</v>
      </c>
      <c r="L341">
        <v>51</v>
      </c>
      <c r="M341">
        <v>20555</v>
      </c>
      <c r="N341" s="115">
        <f t="shared" si="27"/>
        <v>20555</v>
      </c>
      <c r="O341" s="146">
        <f t="shared" si="28"/>
        <v>390545</v>
      </c>
      <c r="P341" s="119"/>
    </row>
    <row r="342" spans="2:16" ht="27.75" customHeight="1" x14ac:dyDescent="0.25">
      <c r="B342" s="86" t="s">
        <v>646</v>
      </c>
      <c r="C342" s="87" t="s">
        <v>647</v>
      </c>
      <c r="D342" s="82" t="s">
        <v>374</v>
      </c>
      <c r="E342" s="83">
        <v>14</v>
      </c>
      <c r="F342" s="88">
        <v>19024</v>
      </c>
      <c r="G342" s="89">
        <f t="shared" si="25"/>
        <v>266336</v>
      </c>
      <c r="H342" s="209">
        <f t="shared" si="26"/>
        <v>20032</v>
      </c>
      <c r="I342" s="209">
        <f t="shared" si="29"/>
        <v>280448</v>
      </c>
      <c r="J342" s="213" t="str">
        <f t="array" ref="J342:M342">_xlfn.XLOOKUP(C342,'ESAP NEIVA FASE II UNIFICADO'!$C$6:$C$720,'ESAP NEIVA FASE II UNIFICADO'!$C$6:$F$720,"NO ESTA")</f>
        <v>SUMINISTRO E INSTALACIÓN INTERRUPTORES AUTOMÁTICOS ENCHUFABLES 240 V. 10kA 1x30 AMPS. TIPO ENCHUFABLE 10 Ka 240V.</v>
      </c>
      <c r="K342" t="str">
        <v>UN</v>
      </c>
      <c r="L342">
        <v>36</v>
      </c>
      <c r="M342">
        <v>20555</v>
      </c>
      <c r="N342" s="115">
        <f t="shared" si="27"/>
        <v>20555</v>
      </c>
      <c r="O342" s="146">
        <f t="shared" si="28"/>
        <v>287770</v>
      </c>
      <c r="P342" s="119"/>
    </row>
    <row r="343" spans="2:16" ht="30.75" customHeight="1" x14ac:dyDescent="0.25">
      <c r="B343" s="86" t="s">
        <v>648</v>
      </c>
      <c r="C343" s="87" t="s">
        <v>649</v>
      </c>
      <c r="D343" s="82" t="s">
        <v>374</v>
      </c>
      <c r="E343" s="83">
        <v>2</v>
      </c>
      <c r="F343" s="88">
        <v>53716</v>
      </c>
      <c r="G343" s="89">
        <f t="shared" si="25"/>
        <v>107432</v>
      </c>
      <c r="H343" s="209">
        <f t="shared" si="26"/>
        <v>56563</v>
      </c>
      <c r="I343" s="209">
        <f t="shared" si="29"/>
        <v>113126</v>
      </c>
      <c r="J343" s="213" t="str">
        <f t="array" ref="J343:M343">_xlfn.XLOOKUP(C343,'ESAP NEIVA FASE II UNIFICADO'!$C$6:$C$720,'ESAP NEIVA FASE II UNIFICADO'!$C$6:$F$720,"NO ESTA")</f>
        <v>SUMINISTRO E INSTALACIÓN INTERRUPTORES AUTOMÁTICOS ENCHUFABLES 240 V. 10kA 3x30 AMPS. TIPO ENCHUFABLE 10 Ka 240V.</v>
      </c>
      <c r="K343" t="str">
        <v>UN</v>
      </c>
      <c r="L343">
        <v>4</v>
      </c>
      <c r="M343">
        <v>58041</v>
      </c>
      <c r="N343" s="115">
        <f t="shared" si="27"/>
        <v>58041</v>
      </c>
      <c r="O343" s="146">
        <f t="shared" si="28"/>
        <v>116082</v>
      </c>
      <c r="P343" s="119"/>
    </row>
    <row r="344" spans="2:16" ht="27.75" customHeight="1" x14ac:dyDescent="0.25">
      <c r="B344" s="80" t="s">
        <v>650</v>
      </c>
      <c r="C344" s="81" t="s">
        <v>651</v>
      </c>
      <c r="D344" s="82"/>
      <c r="E344" s="83"/>
      <c r="F344" s="104"/>
      <c r="G344" s="89">
        <f t="shared" si="25"/>
        <v>0</v>
      </c>
      <c r="H344" s="209">
        <f t="shared" si="26"/>
        <v>0</v>
      </c>
      <c r="I344" s="209">
        <f t="shared" si="29"/>
        <v>0</v>
      </c>
      <c r="J344" s="213" t="str">
        <f t="array" ref="J344">_xlfn.XLOOKUP(C344,'ESAP NEIVA FASE II UNIFICADO'!$C$6:$C$720,'ESAP NEIVA FASE II UNIFICADO'!$C$6:$F$720,"NO ESTA")</f>
        <v>NO ESTA</v>
      </c>
      <c r="N344" s="115">
        <f t="shared" si="27"/>
        <v>0</v>
      </c>
      <c r="O344" s="146">
        <f t="shared" si="28"/>
        <v>0</v>
      </c>
      <c r="P344" s="119"/>
    </row>
    <row r="345" spans="2:16" ht="66" customHeight="1" x14ac:dyDescent="0.25">
      <c r="B345" s="86" t="s">
        <v>652</v>
      </c>
      <c r="C345" s="87" t="s">
        <v>653</v>
      </c>
      <c r="D345" s="82" t="s">
        <v>374</v>
      </c>
      <c r="E345" s="83">
        <v>1</v>
      </c>
      <c r="F345" s="88">
        <v>538829</v>
      </c>
      <c r="G345" s="89">
        <f t="shared" si="25"/>
        <v>538829</v>
      </c>
      <c r="H345" s="209">
        <f t="shared" si="26"/>
        <v>567387</v>
      </c>
      <c r="I345" s="209">
        <f t="shared" si="29"/>
        <v>567387</v>
      </c>
      <c r="J345" s="213" t="str">
        <f t="array" ref="J345">_xlfn.XLOOKUP(C345,'ESAP NEIVA FASE II UNIFICADO'!$C$6:$C$720,'ESAP NEIVA FASE II UNIFICADO'!$C$6:$F$720,"NO ESTA")</f>
        <v>NO ESTA</v>
      </c>
      <c r="N345" s="115">
        <f t="shared" si="27"/>
        <v>538829</v>
      </c>
      <c r="O345" s="146">
        <f t="shared" si="28"/>
        <v>538829</v>
      </c>
      <c r="P345" s="119"/>
    </row>
    <row r="346" spans="2:16" ht="15" customHeight="1" x14ac:dyDescent="0.25">
      <c r="B346" s="80" t="s">
        <v>654</v>
      </c>
      <c r="C346" s="81" t="s">
        <v>655</v>
      </c>
      <c r="D346" s="82"/>
      <c r="E346" s="83"/>
      <c r="F346" s="104"/>
      <c r="G346" s="89">
        <f t="shared" si="25"/>
        <v>0</v>
      </c>
      <c r="H346" s="209">
        <f t="shared" si="26"/>
        <v>0</v>
      </c>
      <c r="I346" s="209">
        <f t="shared" si="29"/>
        <v>0</v>
      </c>
      <c r="J346" s="213" t="str">
        <f t="array" ref="J346:M346">_xlfn.XLOOKUP(C346,'ESAP NEIVA FASE II UNIFICADO'!$C$6:$C$720,'ESAP NEIVA FASE II UNIFICADO'!$C$6:$F$720,"NO ESTA")</f>
        <v>SUMINISTRO E INSTALACIÓN TABLEROS DE DISTRIBUCIÓN GENERAL</v>
      </c>
      <c r="K346">
        <v>0</v>
      </c>
      <c r="L346">
        <v>0</v>
      </c>
      <c r="M346">
        <v>0</v>
      </c>
      <c r="N346" s="115">
        <f t="shared" si="27"/>
        <v>0</v>
      </c>
      <c r="O346" s="146">
        <f t="shared" si="28"/>
        <v>0</v>
      </c>
      <c r="P346" s="119"/>
    </row>
    <row r="347" spans="2:16" ht="81" customHeight="1" x14ac:dyDescent="0.25">
      <c r="B347" s="86" t="s">
        <v>656</v>
      </c>
      <c r="C347" s="87" t="s">
        <v>657</v>
      </c>
      <c r="D347" s="82" t="s">
        <v>374</v>
      </c>
      <c r="E347" s="83">
        <v>1</v>
      </c>
      <c r="F347" s="88">
        <v>14602321</v>
      </c>
      <c r="G347" s="89">
        <f t="shared" si="25"/>
        <v>14602321</v>
      </c>
      <c r="H347" s="209">
        <f t="shared" si="26"/>
        <v>15376244</v>
      </c>
      <c r="I347" s="209">
        <f t="shared" si="29"/>
        <v>15376244</v>
      </c>
      <c r="J347" s="213" t="str">
        <f t="array" ref="J347">_xlfn.XLOOKUP(C347,'ESAP NEIVA FASE II UNIFICADO'!$C$6:$C$720,'ESAP NEIVA FASE II UNIFICADO'!$C$6:$F$720,"NO ESTA")</f>
        <v>NO ESTA</v>
      </c>
      <c r="N347" s="115">
        <f t="shared" si="27"/>
        <v>14602321</v>
      </c>
      <c r="O347" s="146">
        <f t="shared" si="28"/>
        <v>14602321</v>
      </c>
      <c r="P347" s="119"/>
    </row>
    <row r="348" spans="2:16" ht="72" customHeight="1" x14ac:dyDescent="0.25">
      <c r="B348" s="86" t="s">
        <v>658</v>
      </c>
      <c r="C348" s="87" t="s">
        <v>659</v>
      </c>
      <c r="D348" s="82" t="s">
        <v>374</v>
      </c>
      <c r="E348" s="83">
        <v>1</v>
      </c>
      <c r="F348" s="88">
        <v>11035372</v>
      </c>
      <c r="G348" s="89">
        <f t="shared" si="25"/>
        <v>11035372</v>
      </c>
      <c r="H348" s="209">
        <f t="shared" si="26"/>
        <v>11620247</v>
      </c>
      <c r="I348" s="209">
        <f t="shared" si="29"/>
        <v>11620247</v>
      </c>
      <c r="J348" s="213" t="str">
        <f t="array" ref="J348">_xlfn.XLOOKUP(C348,'ESAP NEIVA FASE II UNIFICADO'!$C$6:$C$720,'ESAP NEIVA FASE II UNIFICADO'!$C$6:$F$720,"NO ESTA")</f>
        <v>NO ESTA</v>
      </c>
      <c r="N348" s="115">
        <f t="shared" si="27"/>
        <v>11035372</v>
      </c>
      <c r="O348" s="146">
        <f t="shared" si="28"/>
        <v>11035372</v>
      </c>
      <c r="P348" s="119"/>
    </row>
    <row r="349" spans="2:16" ht="69" customHeight="1" x14ac:dyDescent="0.25">
      <c r="B349" s="86" t="s">
        <v>660</v>
      </c>
      <c r="C349" s="87" t="s">
        <v>661</v>
      </c>
      <c r="D349" s="82" t="s">
        <v>374</v>
      </c>
      <c r="E349" s="83">
        <v>1</v>
      </c>
      <c r="F349" s="88">
        <v>12818847</v>
      </c>
      <c r="G349" s="89">
        <f t="shared" si="25"/>
        <v>12818847</v>
      </c>
      <c r="H349" s="209">
        <f t="shared" si="26"/>
        <v>13498246</v>
      </c>
      <c r="I349" s="209">
        <f t="shared" si="29"/>
        <v>13498246</v>
      </c>
      <c r="J349" s="213" t="str">
        <f t="array" ref="J349">_xlfn.XLOOKUP(C349,'ESAP NEIVA FASE II UNIFICADO'!$C$6:$C$720,'ESAP NEIVA FASE II UNIFICADO'!$C$6:$F$720,"NO ESTA")</f>
        <v>NO ESTA</v>
      </c>
      <c r="N349" s="115">
        <f t="shared" si="27"/>
        <v>12818847</v>
      </c>
      <c r="O349" s="146">
        <f t="shared" si="28"/>
        <v>12818847</v>
      </c>
      <c r="P349" s="119"/>
    </row>
    <row r="350" spans="2:16" ht="39" customHeight="1" x14ac:dyDescent="0.25">
      <c r="B350" s="80" t="s">
        <v>662</v>
      </c>
      <c r="C350" s="81" t="s">
        <v>663</v>
      </c>
      <c r="D350" s="82"/>
      <c r="E350" s="83"/>
      <c r="F350" s="104"/>
      <c r="G350" s="89">
        <f t="shared" si="25"/>
        <v>0</v>
      </c>
      <c r="H350" s="209">
        <f t="shared" si="26"/>
        <v>0</v>
      </c>
      <c r="I350" s="209">
        <f t="shared" si="29"/>
        <v>0</v>
      </c>
      <c r="J350" s="213" t="str">
        <f t="array" ref="J350:M350">_xlfn.XLOOKUP(C350,'ESAP NEIVA FASE II UNIFICADO'!$C$6:$C$720,'ESAP NEIVA FASE II UNIFICADO'!$C$6:$F$720,"NO ESTA")</f>
        <v xml:space="preserve">SUMINISTRO E INSTALACIÓN PUESTA A TIERRA TRANSFORMADOR Y SUBESTACIÓN (Incluye preparación de tierra con la solución Sanick Gel para obtener una elevada conductividad eléctrica (ver especificaciones técnicas de diseño anexas) </v>
      </c>
      <c r="K350">
        <v>0</v>
      </c>
      <c r="L350">
        <v>0</v>
      </c>
      <c r="M350">
        <v>0</v>
      </c>
      <c r="N350" s="115">
        <f t="shared" si="27"/>
        <v>0</v>
      </c>
      <c r="O350" s="146">
        <f t="shared" si="28"/>
        <v>0</v>
      </c>
      <c r="P350" s="119"/>
    </row>
    <row r="351" spans="2:16" ht="15" customHeight="1" x14ac:dyDescent="0.25">
      <c r="B351" s="86" t="s">
        <v>664</v>
      </c>
      <c r="C351" s="87" t="s">
        <v>665</v>
      </c>
      <c r="D351" s="82" t="s">
        <v>269</v>
      </c>
      <c r="E351" s="83">
        <v>35</v>
      </c>
      <c r="F351" s="88">
        <v>22591</v>
      </c>
      <c r="G351" s="89">
        <f t="shared" si="25"/>
        <v>790685</v>
      </c>
      <c r="H351" s="209">
        <f t="shared" si="26"/>
        <v>23788</v>
      </c>
      <c r="I351" s="209">
        <f t="shared" si="29"/>
        <v>832580</v>
      </c>
      <c r="J351" s="213" t="str">
        <f t="array" ref="J351:M351">_xlfn.XLOOKUP(C351,'ESAP NEIVA FASE II UNIFICADO'!$C$6:$C$720,'ESAP NEIVA FASE II UNIFICADO'!$C$6:$F$720,"NO ESTA")</f>
        <v>SUMINISTRO E INSTALACIÓN CONDUCTOR 2/0 Cu. TEMPLE DURO</v>
      </c>
      <c r="K351" t="str">
        <v xml:space="preserve">ML   </v>
      </c>
      <c r="L351">
        <v>0</v>
      </c>
      <c r="M351">
        <v>24409</v>
      </c>
      <c r="N351" s="115">
        <f t="shared" si="27"/>
        <v>24409</v>
      </c>
      <c r="O351" s="146">
        <f t="shared" si="28"/>
        <v>854315</v>
      </c>
      <c r="P351" s="119"/>
    </row>
    <row r="352" spans="2:16" ht="28.5" customHeight="1" x14ac:dyDescent="0.25">
      <c r="B352" s="86" t="s">
        <v>666</v>
      </c>
      <c r="C352" s="87" t="s">
        <v>667</v>
      </c>
      <c r="D352" s="82" t="s">
        <v>374</v>
      </c>
      <c r="E352" s="83">
        <v>6</v>
      </c>
      <c r="F352" s="88">
        <v>118125</v>
      </c>
      <c r="G352" s="89">
        <f t="shared" si="25"/>
        <v>708750</v>
      </c>
      <c r="H352" s="209">
        <f t="shared" si="26"/>
        <v>124386</v>
      </c>
      <c r="I352" s="209">
        <f t="shared" si="29"/>
        <v>746316</v>
      </c>
      <c r="J352" s="213" t="str">
        <f t="array" ref="J352">_xlfn.XLOOKUP(C352,'ESAP NEIVA FASE II UNIFICADO'!$C$6:$C$720,'ESAP NEIVA FASE II UNIFICADO'!$C$6:$F$720,"NO ESTA")</f>
        <v>NO ESTA</v>
      </c>
      <c r="N352" s="115">
        <f t="shared" si="27"/>
        <v>118125</v>
      </c>
      <c r="O352" s="146">
        <f t="shared" si="28"/>
        <v>708750</v>
      </c>
      <c r="P352" s="119"/>
    </row>
    <row r="353" spans="2:16" ht="38.25" customHeight="1" x14ac:dyDescent="0.25">
      <c r="B353" s="86" t="s">
        <v>668</v>
      </c>
      <c r="C353" s="87" t="s">
        <v>669</v>
      </c>
      <c r="D353" s="82" t="s">
        <v>374</v>
      </c>
      <c r="E353" s="83">
        <v>6</v>
      </c>
      <c r="F353" s="88">
        <v>122282</v>
      </c>
      <c r="G353" s="89">
        <f t="shared" si="25"/>
        <v>733692</v>
      </c>
      <c r="H353" s="209">
        <f t="shared" si="26"/>
        <v>128763</v>
      </c>
      <c r="I353" s="209">
        <f t="shared" si="29"/>
        <v>772578</v>
      </c>
      <c r="J353" s="213" t="str">
        <f t="array" ref="J353">_xlfn.XLOOKUP(C353,'ESAP NEIVA FASE II UNIFICADO'!$C$6:$C$720,'ESAP NEIVA FASE II UNIFICADO'!$C$6:$F$720,"NO ESTA")</f>
        <v>NO ESTA</v>
      </c>
      <c r="N353" s="115">
        <f t="shared" si="27"/>
        <v>122282</v>
      </c>
      <c r="O353" s="146">
        <f t="shared" si="28"/>
        <v>733692</v>
      </c>
      <c r="P353" s="119"/>
    </row>
    <row r="354" spans="2:16" ht="42.75" customHeight="1" x14ac:dyDescent="0.25">
      <c r="B354" s="86" t="s">
        <v>670</v>
      </c>
      <c r="C354" s="87" t="s">
        <v>671</v>
      </c>
      <c r="D354" s="82" t="s">
        <v>374</v>
      </c>
      <c r="E354" s="83">
        <v>2</v>
      </c>
      <c r="F354" s="88">
        <v>122282</v>
      </c>
      <c r="G354" s="89">
        <f t="shared" si="25"/>
        <v>244564</v>
      </c>
      <c r="H354" s="209">
        <f t="shared" si="26"/>
        <v>128763</v>
      </c>
      <c r="I354" s="209">
        <f t="shared" si="29"/>
        <v>257526</v>
      </c>
      <c r="J354" s="213" t="str">
        <f t="array" ref="J354">_xlfn.XLOOKUP(C354,'ESAP NEIVA FASE II UNIFICADO'!$C$6:$C$720,'ESAP NEIVA FASE II UNIFICADO'!$C$6:$F$720,"NO ESTA")</f>
        <v>NO ESTA</v>
      </c>
      <c r="N354" s="115">
        <f t="shared" si="27"/>
        <v>122282</v>
      </c>
      <c r="O354" s="146">
        <f t="shared" si="28"/>
        <v>244564</v>
      </c>
      <c r="P354" s="119"/>
    </row>
    <row r="355" spans="2:16" ht="79.5" customHeight="1" x14ac:dyDescent="0.25">
      <c r="B355" s="86" t="s">
        <v>672</v>
      </c>
      <c r="C355" s="87" t="s">
        <v>673</v>
      </c>
      <c r="D355" s="82" t="s">
        <v>16</v>
      </c>
      <c r="E355" s="83">
        <v>6</v>
      </c>
      <c r="F355" s="88">
        <v>154444</v>
      </c>
      <c r="G355" s="89">
        <f t="shared" si="25"/>
        <v>926664</v>
      </c>
      <c r="H355" s="209">
        <f t="shared" si="26"/>
        <v>162630</v>
      </c>
      <c r="I355" s="209">
        <f t="shared" si="29"/>
        <v>975780</v>
      </c>
      <c r="J355" s="213" t="str">
        <f t="array" ref="J355">_xlfn.XLOOKUP(C355,'ESAP NEIVA FASE II UNIFICADO'!$C$6:$C$720,'ESAP NEIVA FASE II UNIFICADO'!$C$6:$F$720,"NO ESTA")</f>
        <v>NO ESTA</v>
      </c>
      <c r="N355" s="115">
        <f t="shared" si="27"/>
        <v>154444</v>
      </c>
      <c r="O355" s="146">
        <f t="shared" si="28"/>
        <v>926664</v>
      </c>
      <c r="P355" s="119"/>
    </row>
    <row r="356" spans="2:16" ht="41.25" customHeight="1" x14ac:dyDescent="0.25">
      <c r="B356" s="80" t="s">
        <v>674</v>
      </c>
      <c r="C356" s="81" t="s">
        <v>675</v>
      </c>
      <c r="D356" s="82"/>
      <c r="E356" s="83"/>
      <c r="F356" s="104"/>
      <c r="G356" s="89">
        <f t="shared" si="25"/>
        <v>0</v>
      </c>
      <c r="H356" s="209">
        <f t="shared" si="26"/>
        <v>0</v>
      </c>
      <c r="I356" s="209">
        <f t="shared" si="29"/>
        <v>0</v>
      </c>
      <c r="J356" s="213" t="str">
        <f t="array" ref="J356:M356">_xlfn.XLOOKUP(C356,'ESAP NEIVA FASE II UNIFICADO'!$C$6:$C$720,'ESAP NEIVA FASE II UNIFICADO'!$C$6:$F$720,"NO ESTA")</f>
        <v xml:space="preserve">SUMINISTRO E INSTALACIÓN PUESTA A TIERRA TABLERO DE DISTRIBUCIÓN Y GENERAL (Incluye preparación de tierra con la solución Sanick Gel para obtener una elevada conductividad eléctrica (ver especificaciones técnicas de diseño anexas) </v>
      </c>
      <c r="K356">
        <v>0</v>
      </c>
      <c r="L356">
        <v>0</v>
      </c>
      <c r="M356">
        <v>0</v>
      </c>
      <c r="N356" s="115">
        <f t="shared" si="27"/>
        <v>0</v>
      </c>
      <c r="O356" s="146">
        <f t="shared" si="28"/>
        <v>0</v>
      </c>
      <c r="P356" s="119"/>
    </row>
    <row r="357" spans="2:16" ht="15" customHeight="1" x14ac:dyDescent="0.25">
      <c r="B357" s="86" t="s">
        <v>676</v>
      </c>
      <c r="C357" s="87" t="s">
        <v>677</v>
      </c>
      <c r="D357" s="82" t="s">
        <v>269</v>
      </c>
      <c r="E357" s="83">
        <v>10</v>
      </c>
      <c r="F357" s="88">
        <v>6659</v>
      </c>
      <c r="G357" s="89">
        <f t="shared" si="25"/>
        <v>66590</v>
      </c>
      <c r="H357" s="209">
        <f t="shared" si="26"/>
        <v>7012</v>
      </c>
      <c r="I357" s="209">
        <f t="shared" si="29"/>
        <v>70120</v>
      </c>
      <c r="J357" s="213" t="str">
        <f t="array" ref="J357:M357">_xlfn.XLOOKUP(C357,'ESAP NEIVA FASE II UNIFICADO'!$C$6:$C$720,'ESAP NEIVA FASE II UNIFICADO'!$C$6:$F$720,"NO ESTA")</f>
        <v>SUMINISTRO E INSTALACIÓN CONDUCTOR 6 Cu TEMPLE DURO</v>
      </c>
      <c r="K357" t="str">
        <v xml:space="preserve">ML   </v>
      </c>
      <c r="L357">
        <v>0</v>
      </c>
      <c r="M357">
        <v>7194</v>
      </c>
      <c r="N357" s="115">
        <f t="shared" si="27"/>
        <v>7194</v>
      </c>
      <c r="O357" s="146">
        <f t="shared" si="28"/>
        <v>71940</v>
      </c>
      <c r="P357" s="119"/>
    </row>
    <row r="358" spans="2:16" ht="25.5" customHeight="1" x14ac:dyDescent="0.25">
      <c r="B358" s="86" t="s">
        <v>678</v>
      </c>
      <c r="C358" s="87" t="s">
        <v>679</v>
      </c>
      <c r="D358" s="82" t="s">
        <v>374</v>
      </c>
      <c r="E358" s="83">
        <v>1</v>
      </c>
      <c r="F358" s="88">
        <v>118125</v>
      </c>
      <c r="G358" s="89">
        <f t="shared" si="25"/>
        <v>118125</v>
      </c>
      <c r="H358" s="209">
        <f t="shared" si="26"/>
        <v>124386</v>
      </c>
      <c r="I358" s="209">
        <f t="shared" si="29"/>
        <v>124386</v>
      </c>
      <c r="J358" s="213" t="str">
        <f t="array" ref="J358:M358">_xlfn.XLOOKUP(C358,'ESAP NEIVA FASE II UNIFICADO'!$C$6:$C$720,'ESAP NEIVA FASE II UNIFICADO'!$C$6:$F$720,"NO ESTA")</f>
        <v>SUMINISTRO E INSTALACIÓN ELECTRODO DE PUESTA A TIERRA EN VARILLA DE COBRE DE 5/8" X 2.40 M</v>
      </c>
      <c r="K358" t="str">
        <v>UN</v>
      </c>
      <c r="L358">
        <v>0</v>
      </c>
      <c r="M358">
        <v>127634</v>
      </c>
      <c r="N358" s="115">
        <f t="shared" si="27"/>
        <v>127634</v>
      </c>
      <c r="O358" s="146">
        <f t="shared" si="28"/>
        <v>127634</v>
      </c>
      <c r="P358" s="119"/>
    </row>
    <row r="359" spans="2:16" ht="40.5" customHeight="1" x14ac:dyDescent="0.25">
      <c r="B359" s="86" t="s">
        <v>680</v>
      </c>
      <c r="C359" s="87" t="s">
        <v>681</v>
      </c>
      <c r="D359" s="82" t="s">
        <v>374</v>
      </c>
      <c r="E359" s="83">
        <v>1</v>
      </c>
      <c r="F359" s="88">
        <v>122282</v>
      </c>
      <c r="G359" s="89">
        <f t="shared" si="25"/>
        <v>122282</v>
      </c>
      <c r="H359" s="209">
        <f t="shared" si="26"/>
        <v>128763</v>
      </c>
      <c r="I359" s="209">
        <f t="shared" si="29"/>
        <v>128763</v>
      </c>
      <c r="J359" s="213" t="str">
        <f t="array" ref="J359:M359">_xlfn.XLOOKUP(C359,'ESAP NEIVA FASE II UNIFICADO'!$C$6:$C$720,'ESAP NEIVA FASE II UNIFICADO'!$C$6:$F$720,"NO ESTA")</f>
        <v>SUMINISTRO E INSTALACIÓN CONEXIÓN TERMOSOLDADA DE VARILLA A CABLE DE COBRE DESNUDO # 6 AWG, INCLUYE SUMINISTRO DE MOLDE, FÚNDENTE Y DEMÁS ACCESORIOS.</v>
      </c>
      <c r="K359" t="str">
        <v>UN</v>
      </c>
      <c r="L359">
        <v>0</v>
      </c>
      <c r="M359">
        <v>132126</v>
      </c>
      <c r="N359" s="115">
        <f t="shared" si="27"/>
        <v>132126</v>
      </c>
      <c r="O359" s="146">
        <f t="shared" si="28"/>
        <v>132126</v>
      </c>
      <c r="P359" s="119"/>
    </row>
    <row r="360" spans="2:16" ht="43.5" customHeight="1" x14ac:dyDescent="0.25">
      <c r="B360" s="86" t="s">
        <v>682</v>
      </c>
      <c r="C360" s="87" t="s">
        <v>683</v>
      </c>
      <c r="D360" s="82" t="s">
        <v>374</v>
      </c>
      <c r="E360" s="83">
        <v>2</v>
      </c>
      <c r="F360" s="88">
        <v>122282</v>
      </c>
      <c r="G360" s="89">
        <f t="shared" si="25"/>
        <v>244564</v>
      </c>
      <c r="H360" s="209">
        <f t="shared" si="26"/>
        <v>128763</v>
      </c>
      <c r="I360" s="209">
        <f t="shared" si="29"/>
        <v>257526</v>
      </c>
      <c r="J360" s="213" t="str">
        <f t="array" ref="J360">_xlfn.XLOOKUP(C360,'ESAP NEIVA FASE II UNIFICADO'!$C$6:$C$720,'ESAP NEIVA FASE II UNIFICADO'!$C$6:$F$720,"NO ESTA")</f>
        <v>NO ESTA</v>
      </c>
      <c r="N360" s="115">
        <f t="shared" si="27"/>
        <v>122282</v>
      </c>
      <c r="O360" s="146">
        <f t="shared" si="28"/>
        <v>244564</v>
      </c>
      <c r="P360" s="119"/>
    </row>
    <row r="361" spans="2:16" ht="79.5" customHeight="1" x14ac:dyDescent="0.25">
      <c r="B361" s="86" t="s">
        <v>684</v>
      </c>
      <c r="C361" s="87" t="s">
        <v>673</v>
      </c>
      <c r="D361" s="82" t="s">
        <v>374</v>
      </c>
      <c r="E361" s="83">
        <v>1</v>
      </c>
      <c r="F361" s="88">
        <v>154444</v>
      </c>
      <c r="G361" s="89">
        <f t="shared" si="25"/>
        <v>154444</v>
      </c>
      <c r="H361" s="209">
        <f t="shared" si="26"/>
        <v>162630</v>
      </c>
      <c r="I361" s="209">
        <f t="shared" si="29"/>
        <v>162630</v>
      </c>
      <c r="J361" s="213" t="str">
        <f t="array" ref="J361">_xlfn.XLOOKUP(C361,'ESAP NEIVA FASE II UNIFICADO'!$C$6:$C$720,'ESAP NEIVA FASE II UNIFICADO'!$C$6:$F$720,"NO ESTA")</f>
        <v>NO ESTA</v>
      </c>
      <c r="N361" s="115">
        <f t="shared" si="27"/>
        <v>154444</v>
      </c>
      <c r="O361" s="146">
        <f t="shared" si="28"/>
        <v>154444</v>
      </c>
      <c r="P361" s="119"/>
    </row>
    <row r="362" spans="2:16" ht="40.5" customHeight="1" x14ac:dyDescent="0.25">
      <c r="B362" s="80" t="s">
        <v>685</v>
      </c>
      <c r="C362" s="81" t="s">
        <v>686</v>
      </c>
      <c r="D362" s="82"/>
      <c r="E362" s="83"/>
      <c r="F362" s="104"/>
      <c r="G362" s="89">
        <f t="shared" si="25"/>
        <v>0</v>
      </c>
      <c r="H362" s="209">
        <f t="shared" si="26"/>
        <v>0</v>
      </c>
      <c r="I362" s="209">
        <f t="shared" si="29"/>
        <v>0</v>
      </c>
      <c r="J362" s="213" t="str">
        <f t="array" ref="J362:M362">_xlfn.XLOOKUP(C362,'ESAP NEIVA FASE II UNIFICADO'!$C$6:$C$720,'ESAP NEIVA FASE II UNIFICADO'!$C$6:$F$720,"NO ESTA")</f>
        <v xml:space="preserve">SUMINISTRO E INSTALACIÓN PUESTA A TIERRA PLANTA GENERADORA (Incluye preparación de tierra con la solución Sanick Gel para obtener una elevada conductividad eléctrica (ver especificaciones técnicas de diseño anexas) </v>
      </c>
      <c r="K362">
        <v>0</v>
      </c>
      <c r="L362">
        <v>0</v>
      </c>
      <c r="M362">
        <v>0</v>
      </c>
      <c r="N362" s="115">
        <f t="shared" si="27"/>
        <v>0</v>
      </c>
      <c r="O362" s="146">
        <f t="shared" si="28"/>
        <v>0</v>
      </c>
      <c r="P362" s="119"/>
    </row>
    <row r="363" spans="2:16" ht="15" customHeight="1" x14ac:dyDescent="0.25">
      <c r="B363" s="86" t="s">
        <v>687</v>
      </c>
      <c r="C363" s="87" t="s">
        <v>665</v>
      </c>
      <c r="D363" s="82" t="s">
        <v>269</v>
      </c>
      <c r="E363" s="83">
        <v>8</v>
      </c>
      <c r="F363" s="88">
        <v>22591</v>
      </c>
      <c r="G363" s="89">
        <f t="shared" si="25"/>
        <v>180728</v>
      </c>
      <c r="H363" s="209">
        <f t="shared" si="26"/>
        <v>23788</v>
      </c>
      <c r="I363" s="209">
        <f t="shared" si="29"/>
        <v>190304</v>
      </c>
      <c r="J363" s="213" t="str">
        <f t="array" ref="J363:M363">_xlfn.XLOOKUP(C363,'ESAP NEIVA FASE II UNIFICADO'!$C$6:$C$720,'ESAP NEIVA FASE II UNIFICADO'!$C$6:$F$720,"NO ESTA")</f>
        <v>SUMINISTRO E INSTALACIÓN CONDUCTOR 2/0 Cu. TEMPLE DURO</v>
      </c>
      <c r="K363" t="str">
        <v xml:space="preserve">ML   </v>
      </c>
      <c r="L363">
        <v>0</v>
      </c>
      <c r="M363">
        <v>24409</v>
      </c>
      <c r="N363" s="115">
        <f t="shared" si="27"/>
        <v>24409</v>
      </c>
      <c r="O363" s="146">
        <f t="shared" si="28"/>
        <v>195272</v>
      </c>
      <c r="P363" s="119"/>
    </row>
    <row r="364" spans="2:16" ht="68.25" customHeight="1" x14ac:dyDescent="0.25">
      <c r="B364" s="86" t="s">
        <v>688</v>
      </c>
      <c r="C364" s="87" t="s">
        <v>689</v>
      </c>
      <c r="D364" s="82" t="s">
        <v>374</v>
      </c>
      <c r="E364" s="83">
        <v>1</v>
      </c>
      <c r="F364" s="88">
        <v>655073</v>
      </c>
      <c r="G364" s="89">
        <f t="shared" si="25"/>
        <v>655073</v>
      </c>
      <c r="H364" s="209">
        <f t="shared" si="26"/>
        <v>689792</v>
      </c>
      <c r="I364" s="209">
        <f t="shared" si="29"/>
        <v>689792</v>
      </c>
      <c r="J364" s="213" t="str">
        <f t="array" ref="J364">_xlfn.XLOOKUP(C364,'ESAP NEIVA FASE II UNIFICADO'!$C$6:$C$720,'ESAP NEIVA FASE II UNIFICADO'!$C$6:$F$720,"NO ESTA")</f>
        <v>NO ESTA</v>
      </c>
      <c r="N364" s="115">
        <f t="shared" si="27"/>
        <v>655073</v>
      </c>
      <c r="O364" s="146">
        <f t="shared" si="28"/>
        <v>655073</v>
      </c>
      <c r="P364" s="119"/>
    </row>
    <row r="365" spans="2:16" ht="34.5" customHeight="1" x14ac:dyDescent="0.25">
      <c r="B365" s="80" t="s">
        <v>690</v>
      </c>
      <c r="C365" s="81" t="s">
        <v>691</v>
      </c>
      <c r="D365" s="82"/>
      <c r="E365" s="83"/>
      <c r="F365" s="104"/>
      <c r="G365" s="89">
        <f t="shared" si="25"/>
        <v>0</v>
      </c>
      <c r="H365" s="209">
        <f t="shared" si="26"/>
        <v>0</v>
      </c>
      <c r="I365" s="209">
        <f t="shared" si="29"/>
        <v>0</v>
      </c>
      <c r="J365" s="213" t="str">
        <f t="array" ref="J365:M365">_xlfn.XLOOKUP(C365,'ESAP NEIVA FASE II UNIFICADO'!$C$6:$C$720,'ESAP NEIVA FASE II UNIFICADO'!$C$6:$F$720,"NO ESTA")</f>
        <v>SISTEMA DE PROTECCIÓN EXTERNA CONTRA DESCARGAS ATMOSFÉRICAS BAJANTES DE PARARRAYOS DESDE CUBIERTA A TERRENO</v>
      </c>
      <c r="K365">
        <v>0</v>
      </c>
      <c r="L365">
        <v>0</v>
      </c>
      <c r="M365">
        <v>0</v>
      </c>
      <c r="N365" s="115">
        <f t="shared" si="27"/>
        <v>0</v>
      </c>
      <c r="O365" s="146">
        <f t="shared" si="28"/>
        <v>0</v>
      </c>
      <c r="P365" s="119"/>
    </row>
    <row r="366" spans="2:16" ht="30" customHeight="1" x14ac:dyDescent="0.25">
      <c r="B366" s="86" t="s">
        <v>692</v>
      </c>
      <c r="C366" s="87" t="s">
        <v>693</v>
      </c>
      <c r="D366" s="82" t="s">
        <v>269</v>
      </c>
      <c r="E366" s="83">
        <v>65</v>
      </c>
      <c r="F366" s="88">
        <v>4400</v>
      </c>
      <c r="G366" s="89">
        <f t="shared" si="25"/>
        <v>286000</v>
      </c>
      <c r="H366" s="209">
        <f t="shared" si="26"/>
        <v>4633</v>
      </c>
      <c r="I366" s="209">
        <f t="shared" si="29"/>
        <v>301145</v>
      </c>
      <c r="J366" s="213" t="str">
        <f t="array" ref="J366:M366">_xlfn.XLOOKUP(C366,'ESAP NEIVA FASE II UNIFICADO'!$C$6:$C$720,'ESAP NEIVA FASE II UNIFICADO'!$C$6:$F$720,"NO ESTA")</f>
        <v>SUMINISTRO E INSTALACIÓN TENDIDO DE TUBERÍA Ø 3/4” PVC EMBEBIDO EN LAS COLUMNAS DE CONCRETO, DESDE LA CUBIERTA HASTA EL TERRENO.</v>
      </c>
      <c r="K366" t="str">
        <v xml:space="preserve">ML   </v>
      </c>
      <c r="L366">
        <v>0</v>
      </c>
      <c r="M366">
        <v>4755</v>
      </c>
      <c r="N366" s="115">
        <f t="shared" si="27"/>
        <v>4755</v>
      </c>
      <c r="O366" s="146">
        <f t="shared" si="28"/>
        <v>309075</v>
      </c>
      <c r="P366" s="119"/>
    </row>
    <row r="367" spans="2:16" ht="30" customHeight="1" x14ac:dyDescent="0.25">
      <c r="B367" s="86" t="s">
        <v>694</v>
      </c>
      <c r="C367" s="87" t="s">
        <v>695</v>
      </c>
      <c r="D367" s="82" t="s">
        <v>269</v>
      </c>
      <c r="E367" s="83">
        <v>69</v>
      </c>
      <c r="F367" s="88">
        <v>13673</v>
      </c>
      <c r="G367" s="89">
        <f t="shared" si="25"/>
        <v>943437</v>
      </c>
      <c r="H367" s="209">
        <f t="shared" si="26"/>
        <v>14398</v>
      </c>
      <c r="I367" s="209">
        <f t="shared" si="29"/>
        <v>993462</v>
      </c>
      <c r="J367" s="213" t="str">
        <f t="array" ref="J367:M367">_xlfn.XLOOKUP(C367,'ESAP NEIVA FASE II UNIFICADO'!$C$6:$C$720,'ESAP NEIVA FASE II UNIFICADO'!$C$6:$F$720,"NO ESTA")</f>
        <v>SUMINISTRO E INSTALACIÓN TENDIDO DE CONDUCTOR DE COBRE DESNUDO # 2 AWG, DESDE LA CUBIERTA HASTA EL TERRENO POR LAS BAJANTES.</v>
      </c>
      <c r="K367" t="str">
        <v xml:space="preserve">ML   </v>
      </c>
      <c r="L367">
        <v>0</v>
      </c>
      <c r="M367">
        <v>14774</v>
      </c>
      <c r="N367" s="115">
        <f t="shared" si="27"/>
        <v>14774</v>
      </c>
      <c r="O367" s="146">
        <f t="shared" si="28"/>
        <v>1019406</v>
      </c>
      <c r="P367" s="119"/>
    </row>
    <row r="368" spans="2:16" ht="45" customHeight="1" x14ac:dyDescent="0.25">
      <c r="B368" s="86" t="s">
        <v>696</v>
      </c>
      <c r="C368" s="87" t="s">
        <v>697</v>
      </c>
      <c r="D368" s="82" t="s">
        <v>269</v>
      </c>
      <c r="E368" s="83">
        <v>244</v>
      </c>
      <c r="F368" s="88">
        <v>4994</v>
      </c>
      <c r="G368" s="89">
        <f t="shared" si="25"/>
        <v>1218536</v>
      </c>
      <c r="H368" s="209">
        <f t="shared" si="26"/>
        <v>5259</v>
      </c>
      <c r="I368" s="209">
        <f t="shared" si="29"/>
        <v>1283196</v>
      </c>
      <c r="J368" s="213" t="str">
        <f t="array" ref="J368:M368">_xlfn.XLOOKUP(C368,'ESAP NEIVA FASE II UNIFICADO'!$C$6:$C$720,'ESAP NEIVA FASE II UNIFICADO'!$C$6:$F$720,"NO ESTA")</f>
        <v>SUMINISTRO E INSTALACIÓN TENDIDO DE ALAMBRON 8MM SOBREPUESTO EN LOS BORDES DE LA CUBIERTA PARA INTERCONEXIÓN DE PUNTAS CAPTADORAS Y BAJANTES A MALLA A TIERRA.</v>
      </c>
      <c r="K368" t="str">
        <v xml:space="preserve">ML   </v>
      </c>
      <c r="L368">
        <v>0</v>
      </c>
      <c r="M368">
        <v>5396</v>
      </c>
      <c r="N368" s="115">
        <f t="shared" si="27"/>
        <v>5396</v>
      </c>
      <c r="O368" s="146">
        <f t="shared" si="28"/>
        <v>1316624</v>
      </c>
      <c r="P368" s="119"/>
    </row>
    <row r="369" spans="2:16" ht="45" customHeight="1" x14ac:dyDescent="0.25">
      <c r="B369" s="86" t="s">
        <v>698</v>
      </c>
      <c r="C369" s="87" t="s">
        <v>699</v>
      </c>
      <c r="D369" s="82" t="s">
        <v>269</v>
      </c>
      <c r="E369" s="83">
        <v>190</v>
      </c>
      <c r="F369" s="88">
        <v>13673</v>
      </c>
      <c r="G369" s="89">
        <f t="shared" si="25"/>
        <v>2597870</v>
      </c>
      <c r="H369" s="209">
        <f t="shared" si="26"/>
        <v>14398</v>
      </c>
      <c r="I369" s="209">
        <f t="shared" si="29"/>
        <v>2735620</v>
      </c>
      <c r="J369" s="213" t="str">
        <f t="array" ref="J369">_xlfn.XLOOKUP(C369,'ESAP NEIVA FASE II UNIFICADO'!$C$6:$C$720,'ESAP NEIVA FASE II UNIFICADO'!$C$6:$F$720,"NO ESTA")</f>
        <v>NO ESTA</v>
      </c>
      <c r="N369" s="115">
        <f t="shared" si="27"/>
        <v>13673</v>
      </c>
      <c r="O369" s="146">
        <f t="shared" si="28"/>
        <v>2597870</v>
      </c>
      <c r="P369" s="119"/>
    </row>
    <row r="370" spans="2:16" ht="68.25" customHeight="1" x14ac:dyDescent="0.25">
      <c r="B370" s="86" t="s">
        <v>700</v>
      </c>
      <c r="C370" s="87" t="s">
        <v>701</v>
      </c>
      <c r="D370" s="82" t="s">
        <v>374</v>
      </c>
      <c r="E370" s="83">
        <v>14</v>
      </c>
      <c r="F370" s="88">
        <v>197963</v>
      </c>
      <c r="G370" s="89">
        <f t="shared" si="25"/>
        <v>2771482</v>
      </c>
      <c r="H370" s="209">
        <f t="shared" si="26"/>
        <v>208455</v>
      </c>
      <c r="I370" s="209">
        <f t="shared" si="29"/>
        <v>2918370</v>
      </c>
      <c r="J370" s="213" t="str">
        <f t="array" ref="J370">_xlfn.XLOOKUP(C370,'ESAP NEIVA FASE II UNIFICADO'!$C$6:$C$720,'ESAP NEIVA FASE II UNIFICADO'!$C$6:$F$720,"NO ESTA")</f>
        <v>NO ESTA</v>
      </c>
      <c r="N370" s="115">
        <f t="shared" si="27"/>
        <v>197963</v>
      </c>
      <c r="O370" s="146">
        <f t="shared" si="28"/>
        <v>2771482</v>
      </c>
      <c r="P370" s="119"/>
    </row>
    <row r="371" spans="2:16" ht="35.25" customHeight="1" x14ac:dyDescent="0.25">
      <c r="B371" s="86" t="s">
        <v>702</v>
      </c>
      <c r="C371" s="87" t="s">
        <v>703</v>
      </c>
      <c r="D371" s="82" t="s">
        <v>374</v>
      </c>
      <c r="E371" s="83">
        <v>86</v>
      </c>
      <c r="F371" s="88">
        <v>19538</v>
      </c>
      <c r="G371" s="89">
        <f t="shared" si="25"/>
        <v>1680268</v>
      </c>
      <c r="H371" s="209">
        <f t="shared" si="26"/>
        <v>20574</v>
      </c>
      <c r="I371" s="209">
        <f t="shared" si="29"/>
        <v>1769364</v>
      </c>
      <c r="J371" s="213" t="str">
        <f t="array" ref="J371:M371">_xlfn.XLOOKUP(C371,'ESAP NEIVA FASE II UNIFICADO'!$C$6:$C$720,'ESAP NEIVA FASE II UNIFICADO'!$C$6:$F$720,"NO ESTA")</f>
        <v>SUMINISTRO E INSTALACIÓN ABRAZADERAS DE BRONCE PARA SOPORTAR EL CABLE AL MURO DE CONCRETO APROBADAS PARA INTEMPERIE.</v>
      </c>
      <c r="K371" t="str">
        <v>UN</v>
      </c>
      <c r="L371">
        <v>0</v>
      </c>
      <c r="M371">
        <v>21111</v>
      </c>
      <c r="N371" s="115">
        <f t="shared" si="27"/>
        <v>21111</v>
      </c>
      <c r="O371" s="146">
        <f t="shared" si="28"/>
        <v>1815546</v>
      </c>
      <c r="P371" s="119"/>
    </row>
    <row r="372" spans="2:16" ht="35.25" customHeight="1" x14ac:dyDescent="0.25">
      <c r="B372" s="86" t="s">
        <v>704</v>
      </c>
      <c r="C372" s="87" t="s">
        <v>705</v>
      </c>
      <c r="D372" s="82" t="s">
        <v>374</v>
      </c>
      <c r="E372" s="83">
        <v>4</v>
      </c>
      <c r="F372" s="88">
        <v>24245</v>
      </c>
      <c r="G372" s="89">
        <f t="shared" si="25"/>
        <v>96980</v>
      </c>
      <c r="H372" s="209">
        <f t="shared" si="26"/>
        <v>25530</v>
      </c>
      <c r="I372" s="209">
        <f t="shared" si="29"/>
        <v>102120</v>
      </c>
      <c r="J372" s="213" t="str">
        <f t="array" ref="J372:M372">_xlfn.XLOOKUP(C372,'ESAP NEIVA FASE II UNIFICADO'!$C$6:$C$720,'ESAP NEIVA FASE II UNIFICADO'!$C$6:$F$720,"NO ESTA")</f>
        <v>SUMINISTRO E INSTALACIÓN GRAPA DERIVACIÓN EN T DE BRONCE PARA SOPORTAR EL CABLE AL MURO DE CONCRETO APROBADAS PARA INTEMPERIE.</v>
      </c>
      <c r="K372" t="str">
        <v>UN</v>
      </c>
      <c r="L372">
        <v>0</v>
      </c>
      <c r="M372">
        <v>26196</v>
      </c>
      <c r="N372" s="115">
        <f t="shared" si="27"/>
        <v>26196</v>
      </c>
      <c r="O372" s="146">
        <f t="shared" si="28"/>
        <v>104784</v>
      </c>
      <c r="P372" s="119"/>
    </row>
    <row r="373" spans="2:16" ht="35.25" customHeight="1" x14ac:dyDescent="0.25">
      <c r="B373" s="86" t="s">
        <v>706</v>
      </c>
      <c r="C373" s="87" t="s">
        <v>707</v>
      </c>
      <c r="D373" s="82" t="s">
        <v>374</v>
      </c>
      <c r="E373" s="83">
        <v>4</v>
      </c>
      <c r="F373" s="88">
        <v>198960</v>
      </c>
      <c r="G373" s="89">
        <f t="shared" si="25"/>
        <v>795840</v>
      </c>
      <c r="H373" s="209">
        <f t="shared" si="26"/>
        <v>209505</v>
      </c>
      <c r="I373" s="209">
        <f t="shared" si="29"/>
        <v>838020</v>
      </c>
      <c r="J373" s="213" t="str">
        <f t="array" ref="J373:M373">_xlfn.XLOOKUP(C373,'ESAP NEIVA FASE II UNIFICADO'!$C$6:$C$720,'ESAP NEIVA FASE II UNIFICADO'!$C$6:$F$720,"NO ESTA")</f>
        <v>SUMINISTRO E INSTALACIÓN ELECTRODO DE PUESTA A TIERRA EN CU DE 5/8"X 8' + CONECTOR</v>
      </c>
      <c r="K373" t="str">
        <v>UN</v>
      </c>
      <c r="L373">
        <v>0</v>
      </c>
      <c r="M373">
        <v>214977</v>
      </c>
      <c r="N373" s="115">
        <f t="shared" si="27"/>
        <v>214977</v>
      </c>
      <c r="O373" s="146">
        <f t="shared" si="28"/>
        <v>859908</v>
      </c>
      <c r="P373" s="119"/>
    </row>
    <row r="374" spans="2:16" ht="35.25" customHeight="1" x14ac:dyDescent="0.25">
      <c r="B374" s="86" t="s">
        <v>708</v>
      </c>
      <c r="C374" s="87" t="s">
        <v>709</v>
      </c>
      <c r="D374" s="82" t="s">
        <v>374</v>
      </c>
      <c r="E374" s="83">
        <v>4</v>
      </c>
      <c r="F374" s="88">
        <v>122282</v>
      </c>
      <c r="G374" s="89">
        <f t="shared" si="25"/>
        <v>489128</v>
      </c>
      <c r="H374" s="209">
        <f t="shared" si="26"/>
        <v>128763</v>
      </c>
      <c r="I374" s="209">
        <f t="shared" si="29"/>
        <v>515052</v>
      </c>
      <c r="J374" s="213" t="str">
        <f t="array" ref="J374:M374">_xlfn.XLOOKUP(C374,'ESAP NEIVA FASE II UNIFICADO'!$C$6:$C$720,'ESAP NEIVA FASE II UNIFICADO'!$C$6:$F$720,"NO ESTA")</f>
        <v>SUMINISTRO E INSTALACIÓN CONEXIÓN EXOTÉRMICA VARILLA-CABLE CALIBRE #2 AWG. INCLUYE SUMINISTRO DE MOLDE FÚNDENTE Y DEMÁS ACCESORIOS.</v>
      </c>
      <c r="K374" t="str">
        <v>UN</v>
      </c>
      <c r="L374">
        <v>0</v>
      </c>
      <c r="M374">
        <v>132126</v>
      </c>
      <c r="N374" s="115">
        <f t="shared" si="27"/>
        <v>132126</v>
      </c>
      <c r="O374" s="146">
        <f t="shared" si="28"/>
        <v>528504</v>
      </c>
      <c r="P374" s="119"/>
    </row>
    <row r="375" spans="2:16" ht="44.25" customHeight="1" x14ac:dyDescent="0.25">
      <c r="B375" s="86" t="s">
        <v>710</v>
      </c>
      <c r="C375" s="87" t="s">
        <v>711</v>
      </c>
      <c r="D375" s="82" t="s">
        <v>374</v>
      </c>
      <c r="E375" s="83">
        <v>4</v>
      </c>
      <c r="F375" s="88">
        <v>243160</v>
      </c>
      <c r="G375" s="89">
        <f t="shared" si="25"/>
        <v>972640</v>
      </c>
      <c r="H375" s="209">
        <f t="shared" si="26"/>
        <v>256047</v>
      </c>
      <c r="I375" s="209">
        <f t="shared" si="29"/>
        <v>1024188</v>
      </c>
      <c r="J375" s="213" t="str">
        <f t="array" ref="J375">_xlfn.XLOOKUP(C375,'ESAP NEIVA FASE II UNIFICADO'!$C$6:$C$720,'ESAP NEIVA FASE II UNIFICADO'!$C$6:$F$720,"NO ESTA")</f>
        <v>NO ESTA</v>
      </c>
      <c r="N375" s="115">
        <f t="shared" si="27"/>
        <v>243160</v>
      </c>
      <c r="O375" s="146">
        <f t="shared" si="28"/>
        <v>972640</v>
      </c>
      <c r="P375" s="119"/>
    </row>
    <row r="376" spans="2:16" ht="15" customHeight="1" x14ac:dyDescent="0.25">
      <c r="B376" s="74">
        <v>16</v>
      </c>
      <c r="C376" s="75" t="s">
        <v>712</v>
      </c>
      <c r="D376" s="76"/>
      <c r="E376" s="77"/>
      <c r="F376" s="78"/>
      <c r="G376" s="89">
        <f t="shared" si="25"/>
        <v>0</v>
      </c>
      <c r="H376" s="209">
        <f t="shared" si="26"/>
        <v>0</v>
      </c>
      <c r="I376" s="209">
        <f t="shared" si="29"/>
        <v>0</v>
      </c>
      <c r="J376" s="213" t="str">
        <f t="array" ref="J376:M376">_xlfn.XLOOKUP(C376,'ESAP NEIVA FASE II UNIFICADO'!$C$6:$C$720,'ESAP NEIVA FASE II UNIFICADO'!$C$6:$F$720,"NO ESTA")</f>
        <v>LUMINARIAS Y LAMPARAS</v>
      </c>
      <c r="K376">
        <v>0</v>
      </c>
      <c r="L376">
        <v>0</v>
      </c>
      <c r="M376">
        <v>0</v>
      </c>
      <c r="N376" s="115">
        <f t="shared" si="27"/>
        <v>0</v>
      </c>
      <c r="O376" s="146">
        <f t="shared" si="28"/>
        <v>0</v>
      </c>
      <c r="P376" s="119"/>
    </row>
    <row r="377" spans="2:16" ht="15" customHeight="1" x14ac:dyDescent="0.25">
      <c r="B377" s="80" t="s">
        <v>713</v>
      </c>
      <c r="C377" s="81" t="s">
        <v>714</v>
      </c>
      <c r="D377" s="82"/>
      <c r="E377" s="83"/>
      <c r="F377" s="90"/>
      <c r="G377" s="89">
        <f t="shared" si="25"/>
        <v>0</v>
      </c>
      <c r="H377" s="209">
        <f t="shared" si="26"/>
        <v>0</v>
      </c>
      <c r="I377" s="209">
        <f t="shared" si="29"/>
        <v>0</v>
      </c>
      <c r="J377" s="213" t="str">
        <f t="array" ref="J377:M377">_xlfn.XLOOKUP(C377,'ESAP NEIVA FASE II UNIFICADO'!$C$6:$C$720,'ESAP NEIVA FASE II UNIFICADO'!$C$6:$F$720,"NO ESTA")</f>
        <v xml:space="preserve">SUMINISTRO E INSTALACIÓN DE LÁMPARAS FLUORESCENTES </v>
      </c>
      <c r="K377">
        <v>0</v>
      </c>
      <c r="L377">
        <v>0</v>
      </c>
      <c r="M377">
        <v>0</v>
      </c>
      <c r="N377" s="115">
        <f t="shared" si="27"/>
        <v>0</v>
      </c>
      <c r="O377" s="146">
        <f t="shared" si="28"/>
        <v>0</v>
      </c>
      <c r="P377" s="119"/>
    </row>
    <row r="378" spans="2:16" ht="15" customHeight="1" x14ac:dyDescent="0.25">
      <c r="B378" s="86" t="s">
        <v>715</v>
      </c>
      <c r="C378" s="87" t="s">
        <v>716</v>
      </c>
      <c r="D378" s="82" t="s">
        <v>374</v>
      </c>
      <c r="E378" s="83">
        <v>57</v>
      </c>
      <c r="F378" s="88">
        <v>125754</v>
      </c>
      <c r="G378" s="89">
        <f t="shared" si="25"/>
        <v>7167978</v>
      </c>
      <c r="H378" s="209">
        <f t="shared" si="26"/>
        <v>132419</v>
      </c>
      <c r="I378" s="209">
        <f t="shared" si="29"/>
        <v>7547883</v>
      </c>
      <c r="J378" s="213" t="str">
        <f t="array" ref="J378:M378">_xlfn.XLOOKUP(C378,'ESAP NEIVA FASE II UNIFICADO'!$C$6:$C$720,'ESAP NEIVA FASE II UNIFICADO'!$C$6:$F$720,"NO ESTA")</f>
        <v>SUMINISTRO E INSTALACIÓN LÁMPARA LED 1x28 W</v>
      </c>
      <c r="K378" t="str">
        <v>UN</v>
      </c>
      <c r="L378">
        <v>153</v>
      </c>
      <c r="M378">
        <v>97894</v>
      </c>
      <c r="N378" s="115">
        <f t="shared" si="27"/>
        <v>125754</v>
      </c>
      <c r="O378" s="146">
        <f t="shared" si="28"/>
        <v>7167978</v>
      </c>
      <c r="P378" s="119"/>
    </row>
    <row r="379" spans="2:16" ht="15" customHeight="1" x14ac:dyDescent="0.25">
      <c r="B379" s="86" t="s">
        <v>717</v>
      </c>
      <c r="C379" s="87" t="s">
        <v>718</v>
      </c>
      <c r="D379" s="82" t="s">
        <v>374</v>
      </c>
      <c r="E379" s="83">
        <v>30</v>
      </c>
      <c r="F379" s="88">
        <v>203359</v>
      </c>
      <c r="G379" s="89">
        <f t="shared" si="25"/>
        <v>6100770</v>
      </c>
      <c r="H379" s="209">
        <f t="shared" si="26"/>
        <v>214137</v>
      </c>
      <c r="I379" s="209">
        <f t="shared" si="29"/>
        <v>6424110</v>
      </c>
      <c r="J379" s="213" t="str">
        <f t="array" ref="J379:M379">_xlfn.XLOOKUP(C379,'ESAP NEIVA FASE II UNIFICADO'!$C$6:$C$720,'ESAP NEIVA FASE II UNIFICADO'!$C$6:$F$720,"NO ESTA")</f>
        <v>SUMINISTRO E INSTALACIÓN LÁMPARA LED 2x54 W</v>
      </c>
      <c r="K379" t="str">
        <v>UN</v>
      </c>
      <c r="L379">
        <v>82</v>
      </c>
      <c r="M379">
        <v>178068</v>
      </c>
      <c r="N379" s="115">
        <f t="shared" si="27"/>
        <v>203359</v>
      </c>
      <c r="O379" s="146">
        <f t="shared" si="28"/>
        <v>6100770</v>
      </c>
      <c r="P379" s="119"/>
    </row>
    <row r="380" spans="2:16" ht="15" customHeight="1" x14ac:dyDescent="0.25">
      <c r="B380" s="86" t="s">
        <v>719</v>
      </c>
      <c r="C380" s="87" t="s">
        <v>720</v>
      </c>
      <c r="D380" s="82" t="s">
        <v>374</v>
      </c>
      <c r="E380" s="83">
        <v>45</v>
      </c>
      <c r="F380" s="88">
        <v>176718</v>
      </c>
      <c r="G380" s="89">
        <f t="shared" si="25"/>
        <v>7952310</v>
      </c>
      <c r="H380" s="209">
        <f t="shared" si="26"/>
        <v>186084</v>
      </c>
      <c r="I380" s="209">
        <f t="shared" si="29"/>
        <v>8373780</v>
      </c>
      <c r="J380" s="213" t="str">
        <f t="array" ref="J380:M380">_xlfn.XLOOKUP(C380,'ESAP NEIVA FASE II UNIFICADO'!$C$6:$C$720,'ESAP NEIVA FASE II UNIFICADO'!$C$6:$F$720,"NO ESTA")</f>
        <v>SUMINISTRO E INSTALACIÓN BALA LED 35W 120 V</v>
      </c>
      <c r="K380" t="str">
        <v>UN</v>
      </c>
      <c r="L380">
        <v>121</v>
      </c>
      <c r="M380">
        <v>190945</v>
      </c>
      <c r="N380" s="115">
        <f t="shared" si="27"/>
        <v>190945</v>
      </c>
      <c r="O380" s="146">
        <f t="shared" si="28"/>
        <v>8592525</v>
      </c>
      <c r="P380" s="119"/>
    </row>
    <row r="381" spans="2:16" ht="15" customHeight="1" x14ac:dyDescent="0.25">
      <c r="B381" s="86" t="s">
        <v>721</v>
      </c>
      <c r="C381" s="87" t="s">
        <v>722</v>
      </c>
      <c r="D381" s="82" t="s">
        <v>374</v>
      </c>
      <c r="E381" s="83">
        <v>19</v>
      </c>
      <c r="F381" s="88">
        <v>130349</v>
      </c>
      <c r="G381" s="89">
        <f t="shared" si="25"/>
        <v>2476631</v>
      </c>
      <c r="H381" s="209">
        <f t="shared" si="26"/>
        <v>137257</v>
      </c>
      <c r="I381" s="209">
        <f t="shared" si="29"/>
        <v>2607883</v>
      </c>
      <c r="J381" s="213" t="str">
        <f t="array" ref="J381:M381">_xlfn.XLOOKUP(C381,'ESAP NEIVA FASE II UNIFICADO'!$C$6:$C$720,'ESAP NEIVA FASE II UNIFICADO'!$C$6:$F$720,"NO ESTA")</f>
        <v>SUMINISTRO E INSTALACIÓN BALA RECESADA LED 10W 120 V</v>
      </c>
      <c r="K381" t="str">
        <v>UN</v>
      </c>
      <c r="L381">
        <v>50</v>
      </c>
      <c r="M381">
        <v>140842</v>
      </c>
      <c r="N381" s="115">
        <f t="shared" si="27"/>
        <v>140842</v>
      </c>
      <c r="O381" s="146">
        <f t="shared" si="28"/>
        <v>2675998</v>
      </c>
      <c r="P381" s="119"/>
    </row>
    <row r="382" spans="2:16" ht="15" customHeight="1" x14ac:dyDescent="0.25">
      <c r="B382" s="86" t="s">
        <v>723</v>
      </c>
      <c r="C382" s="87" t="s">
        <v>724</v>
      </c>
      <c r="D382" s="82" t="s">
        <v>374</v>
      </c>
      <c r="E382" s="83">
        <v>68</v>
      </c>
      <c r="F382" s="88">
        <v>210010</v>
      </c>
      <c r="G382" s="89">
        <f t="shared" si="25"/>
        <v>14280680</v>
      </c>
      <c r="H382" s="209">
        <f t="shared" si="26"/>
        <v>221141</v>
      </c>
      <c r="I382" s="209">
        <f t="shared" si="29"/>
        <v>15037588</v>
      </c>
      <c r="J382" s="213" t="str">
        <f t="array" ref="J382:M382">_xlfn.XLOOKUP(C382,'ESAP NEIVA FASE II UNIFICADO'!$C$6:$C$720,'ESAP NEIVA FASE II UNIFICADO'!$C$6:$F$720,"NO ESTA")</f>
        <v>SUMINISTRO E INSTALACIÓN LUMINARIA LED 2x26W 120V</v>
      </c>
      <c r="K382" t="str">
        <v>UN</v>
      </c>
      <c r="L382">
        <v>184</v>
      </c>
      <c r="M382">
        <v>226917</v>
      </c>
      <c r="N382" s="115">
        <f t="shared" si="27"/>
        <v>226917</v>
      </c>
      <c r="O382" s="146">
        <f t="shared" si="28"/>
        <v>15430356</v>
      </c>
      <c r="P382" s="119"/>
    </row>
    <row r="383" spans="2:16" ht="15" customHeight="1" x14ac:dyDescent="0.25">
      <c r="B383" s="86" t="s">
        <v>725</v>
      </c>
      <c r="C383" s="87" t="s">
        <v>726</v>
      </c>
      <c r="D383" s="82" t="s">
        <v>374</v>
      </c>
      <c r="E383" s="83">
        <v>2</v>
      </c>
      <c r="F383" s="88">
        <v>250408</v>
      </c>
      <c r="G383" s="89">
        <f t="shared" si="25"/>
        <v>500816</v>
      </c>
      <c r="H383" s="209">
        <f t="shared" si="26"/>
        <v>263680</v>
      </c>
      <c r="I383" s="209">
        <f t="shared" si="29"/>
        <v>527360</v>
      </c>
      <c r="J383" s="213" t="str">
        <f t="array" ref="J383:M383">_xlfn.XLOOKUP(C383,'ESAP NEIVA FASE II UNIFICADO'!$C$6:$C$720,'ESAP NEIVA FASE II UNIFICADO'!$C$6:$F$720,"NO ESTA")</f>
        <v>SUMINISTRO E INSTALACIÓN REFLECTOR DE LUZ INDIRECTA</v>
      </c>
      <c r="K383" t="str">
        <v>UN</v>
      </c>
      <c r="L383">
        <v>6</v>
      </c>
      <c r="M383">
        <v>270567</v>
      </c>
      <c r="N383" s="115">
        <f t="shared" si="27"/>
        <v>270567</v>
      </c>
      <c r="O383" s="146">
        <f t="shared" si="28"/>
        <v>541134</v>
      </c>
      <c r="P383" s="119"/>
    </row>
    <row r="384" spans="2:16" ht="15" customHeight="1" x14ac:dyDescent="0.25">
      <c r="B384" s="86" t="s">
        <v>727</v>
      </c>
      <c r="C384" s="87" t="s">
        <v>728</v>
      </c>
      <c r="D384" s="82" t="s">
        <v>374</v>
      </c>
      <c r="E384" s="83">
        <v>2</v>
      </c>
      <c r="F384" s="88">
        <v>185014</v>
      </c>
      <c r="G384" s="89">
        <f t="shared" si="25"/>
        <v>370028</v>
      </c>
      <c r="H384" s="209">
        <f t="shared" si="26"/>
        <v>194820</v>
      </c>
      <c r="I384" s="209">
        <f t="shared" si="29"/>
        <v>389640</v>
      </c>
      <c r="J384" s="213" t="str">
        <f t="array" ref="J384:M384">_xlfn.XLOOKUP(C384,'ESAP NEIVA FASE II UNIFICADO'!$C$6:$C$720,'ESAP NEIVA FASE II UNIFICADO'!$C$6:$F$720,"NO ESTA")</f>
        <v>SUMINISTRO E INSTALACIÓN APLIQUE DE ESCALERA 1000W 120V</v>
      </c>
      <c r="K384" t="str">
        <v>UN</v>
      </c>
      <c r="L384">
        <v>6</v>
      </c>
      <c r="M384">
        <v>199908</v>
      </c>
      <c r="N384" s="115">
        <f t="shared" si="27"/>
        <v>199908</v>
      </c>
      <c r="O384" s="146">
        <f t="shared" si="28"/>
        <v>399816</v>
      </c>
      <c r="P384" s="119"/>
    </row>
    <row r="385" spans="2:16" ht="15" customHeight="1" x14ac:dyDescent="0.25">
      <c r="B385" s="86" t="s">
        <v>729</v>
      </c>
      <c r="C385" s="87" t="s">
        <v>730</v>
      </c>
      <c r="D385" s="82" t="s">
        <v>374</v>
      </c>
      <c r="E385" s="83">
        <v>25</v>
      </c>
      <c r="F385" s="88">
        <v>89895</v>
      </c>
      <c r="G385" s="89">
        <f t="shared" si="25"/>
        <v>2247375</v>
      </c>
      <c r="H385" s="209">
        <f t="shared" si="26"/>
        <v>94659</v>
      </c>
      <c r="I385" s="209">
        <f t="shared" si="29"/>
        <v>2366475</v>
      </c>
      <c r="J385" s="213" t="str">
        <f t="array" ref="J385:M385">_xlfn.XLOOKUP(C385,'ESAP NEIVA FASE II UNIFICADO'!$C$6:$C$720,'ESAP NEIVA FASE II UNIFICADO'!$C$6:$F$720,"NO ESTA")</f>
        <v>SUMINISTRO E INSTALACIÓN BALAS LED DE PISO 3W 120V</v>
      </c>
      <c r="K385" t="str">
        <v>UN</v>
      </c>
      <c r="L385">
        <v>67</v>
      </c>
      <c r="M385">
        <v>97132</v>
      </c>
      <c r="N385" s="115">
        <f t="shared" si="27"/>
        <v>97132</v>
      </c>
      <c r="O385" s="146">
        <f t="shared" si="28"/>
        <v>2428300</v>
      </c>
      <c r="P385" s="119"/>
    </row>
    <row r="386" spans="2:16" ht="15" customHeight="1" x14ac:dyDescent="0.25">
      <c r="B386" s="86" t="s">
        <v>731</v>
      </c>
      <c r="C386" s="87" t="s">
        <v>732</v>
      </c>
      <c r="D386" s="82" t="s">
        <v>374</v>
      </c>
      <c r="E386" s="83">
        <v>4</v>
      </c>
      <c r="F386" s="88">
        <v>72061</v>
      </c>
      <c r="G386" s="89">
        <f t="shared" si="25"/>
        <v>288244</v>
      </c>
      <c r="H386" s="209">
        <f t="shared" si="26"/>
        <v>75880</v>
      </c>
      <c r="I386" s="209">
        <f t="shared" si="29"/>
        <v>303520</v>
      </c>
      <c r="J386" s="213" t="str">
        <f t="array" ref="J386:M386">_xlfn.XLOOKUP(C386,'ESAP NEIVA FASE II UNIFICADO'!$C$6:$C$720,'ESAP NEIVA FASE II UNIFICADO'!$C$6:$F$720,"NO ESTA")</f>
        <v>SUMINISTRO E INSTALACIÓN BALAS DE PISO 50W 120 V</v>
      </c>
      <c r="K386" t="str">
        <v>UN</v>
      </c>
      <c r="L386">
        <v>10</v>
      </c>
      <c r="M386">
        <v>77862</v>
      </c>
      <c r="N386" s="115">
        <f t="shared" si="27"/>
        <v>77862</v>
      </c>
      <c r="O386" s="146">
        <f t="shared" si="28"/>
        <v>311448</v>
      </c>
      <c r="P386" s="119"/>
    </row>
    <row r="387" spans="2:16" ht="15" customHeight="1" x14ac:dyDescent="0.25">
      <c r="B387" s="74">
        <v>17</v>
      </c>
      <c r="C387" s="75" t="s">
        <v>733</v>
      </c>
      <c r="D387" s="76"/>
      <c r="E387" s="77"/>
      <c r="F387" s="78"/>
      <c r="G387" s="89">
        <f t="shared" si="25"/>
        <v>0</v>
      </c>
      <c r="H387" s="209">
        <f t="shared" si="26"/>
        <v>0</v>
      </c>
      <c r="I387" s="209">
        <f t="shared" si="29"/>
        <v>0</v>
      </c>
      <c r="J387" s="213" t="str">
        <f t="array" ref="J387:M387">_xlfn.XLOOKUP(C387,'ESAP NEIVA FASE II UNIFICADO'!$C$6:$C$720,'ESAP NEIVA FASE II UNIFICADO'!$C$6:$F$720,"NO ESTA")</f>
        <v>AIRE ACONDICIONADO</v>
      </c>
      <c r="K387">
        <v>0</v>
      </c>
      <c r="L387">
        <v>0</v>
      </c>
      <c r="M387">
        <v>0</v>
      </c>
      <c r="N387" s="115">
        <f t="shared" si="27"/>
        <v>0</v>
      </c>
      <c r="O387" s="146">
        <f t="shared" si="28"/>
        <v>0</v>
      </c>
      <c r="P387" s="119"/>
    </row>
    <row r="388" spans="2:16" ht="15" customHeight="1" x14ac:dyDescent="0.25">
      <c r="B388" s="80" t="s">
        <v>734</v>
      </c>
      <c r="C388" s="81" t="s">
        <v>735</v>
      </c>
      <c r="D388" s="82"/>
      <c r="E388" s="83"/>
      <c r="F388" s="90"/>
      <c r="G388" s="89">
        <f t="shared" si="25"/>
        <v>0</v>
      </c>
      <c r="H388" s="209">
        <f t="shared" si="26"/>
        <v>0</v>
      </c>
      <c r="I388" s="209">
        <f t="shared" si="29"/>
        <v>0</v>
      </c>
      <c r="J388" s="213" t="str">
        <f t="array" ref="J388:M388">_xlfn.XLOOKUP(C388,'ESAP NEIVA FASE II UNIFICADO'!$C$6:$C$720,'ESAP NEIVA FASE II UNIFICADO'!$C$6:$F$720,"NO ESTA")</f>
        <v>SUMINISTRO E INSTALACION DE TUBERIA AGUA FRIA PVC</v>
      </c>
      <c r="K388">
        <v>0</v>
      </c>
      <c r="L388">
        <v>0</v>
      </c>
      <c r="M388">
        <v>0</v>
      </c>
      <c r="N388" s="115">
        <f t="shared" si="27"/>
        <v>0</v>
      </c>
      <c r="O388" s="146">
        <f t="shared" si="28"/>
        <v>0</v>
      </c>
      <c r="P388" s="119"/>
    </row>
    <row r="389" spans="2:16" ht="15" customHeight="1" x14ac:dyDescent="0.25">
      <c r="B389" s="86" t="s">
        <v>736</v>
      </c>
      <c r="C389" s="87" t="s">
        <v>737</v>
      </c>
      <c r="D389" s="82" t="s">
        <v>94</v>
      </c>
      <c r="E389" s="83">
        <v>17</v>
      </c>
      <c r="F389" s="88">
        <v>66339</v>
      </c>
      <c r="G389" s="89">
        <f t="shared" si="25"/>
        <v>1127763</v>
      </c>
      <c r="H389" s="209">
        <f t="shared" si="26"/>
        <v>69855</v>
      </c>
      <c r="I389" s="209">
        <f t="shared" si="29"/>
        <v>1187535</v>
      </c>
      <c r="J389" s="213" t="str">
        <f t="array" ref="J389:M389">_xlfn.XLOOKUP(C389,'ESAP NEIVA FASE II UNIFICADO'!$C$6:$C$720,'ESAP NEIVA FASE II UNIFICADO'!$C$6:$F$720,"NO ESTA")</f>
        <v>SUMINISTRO E INSTALACION TUBERIA Y ACCESORIOS RDE 21 Ø DIAMETRO  4"</v>
      </c>
      <c r="K389" t="str">
        <v>ML</v>
      </c>
      <c r="L389">
        <v>45</v>
      </c>
      <c r="M389">
        <v>71680</v>
      </c>
      <c r="N389" s="115">
        <f t="shared" si="27"/>
        <v>71680</v>
      </c>
      <c r="O389" s="146">
        <f t="shared" si="28"/>
        <v>1218560</v>
      </c>
      <c r="P389" s="119"/>
    </row>
    <row r="390" spans="2:16" ht="15" customHeight="1" x14ac:dyDescent="0.25">
      <c r="B390" s="86" t="s">
        <v>738</v>
      </c>
      <c r="C390" s="87" t="s">
        <v>739</v>
      </c>
      <c r="D390" s="82" t="s">
        <v>94</v>
      </c>
      <c r="E390" s="83">
        <v>9</v>
      </c>
      <c r="F390" s="88">
        <v>43135</v>
      </c>
      <c r="G390" s="89">
        <f t="shared" ref="G390:G453" si="30">ROUND(+F390*E390,2)</f>
        <v>388215</v>
      </c>
      <c r="H390" s="209">
        <f t="shared" ref="H390:H453" si="31">+ROUND(F390*(1+$H$4),0)</f>
        <v>45421</v>
      </c>
      <c r="I390" s="209">
        <f t="shared" si="29"/>
        <v>408789</v>
      </c>
      <c r="J390" s="213" t="str">
        <f t="array" ref="J390:M390">_xlfn.XLOOKUP(C390,'ESAP NEIVA FASE II UNIFICADO'!$C$6:$C$720,'ESAP NEIVA FASE II UNIFICADO'!$C$6:$F$720,"NO ESTA")</f>
        <v>SUMINISTRO E INSTALACION TUBERIA Y ACCESORIOS RDE 21 Ø DIAMETRO  3"</v>
      </c>
      <c r="K390" t="str">
        <v>ML</v>
      </c>
      <c r="L390">
        <v>24</v>
      </c>
      <c r="M390">
        <v>46609</v>
      </c>
      <c r="N390" s="115">
        <f t="shared" ref="N390:N453" si="32">MAX(M390,F390)</f>
        <v>46609</v>
      </c>
      <c r="O390" s="146">
        <f t="shared" ref="O390:O453" si="33">N390*E390</f>
        <v>419481</v>
      </c>
      <c r="P390" s="119"/>
    </row>
    <row r="391" spans="2:16" ht="15" customHeight="1" x14ac:dyDescent="0.25">
      <c r="B391" s="86" t="s">
        <v>740</v>
      </c>
      <c r="C391" s="87" t="s">
        <v>741</v>
      </c>
      <c r="D391" s="82" t="s">
        <v>94</v>
      </c>
      <c r="E391" s="83">
        <v>24</v>
      </c>
      <c r="F391" s="88">
        <v>32147</v>
      </c>
      <c r="G391" s="89">
        <f t="shared" si="30"/>
        <v>771528</v>
      </c>
      <c r="H391" s="209">
        <f t="shared" si="31"/>
        <v>33851</v>
      </c>
      <c r="I391" s="209">
        <f t="shared" ref="I391:I454" si="34">ROUND(H391*E391,2)</f>
        <v>812424</v>
      </c>
      <c r="J391" s="213" t="str">
        <f t="array" ref="J391:M391">_xlfn.XLOOKUP(C391,'ESAP NEIVA FASE II UNIFICADO'!$C$6:$C$720,'ESAP NEIVA FASE II UNIFICADO'!$C$6:$F$720,"NO ESTA")</f>
        <v>SUMINISTRO E INSTALACION TUBERIA Y ACCESORIOS RDE 21 Ø DIAMETRO  2 1/2"</v>
      </c>
      <c r="K391" t="str">
        <v>ML</v>
      </c>
      <c r="L391">
        <v>64</v>
      </c>
      <c r="M391">
        <v>34736</v>
      </c>
      <c r="N391" s="115">
        <f t="shared" si="32"/>
        <v>34736</v>
      </c>
      <c r="O391" s="146">
        <f t="shared" si="33"/>
        <v>833664</v>
      </c>
      <c r="P391" s="119"/>
    </row>
    <row r="392" spans="2:16" ht="15" customHeight="1" x14ac:dyDescent="0.25">
      <c r="B392" s="86" t="s">
        <v>742</v>
      </c>
      <c r="C392" s="87" t="s">
        <v>743</v>
      </c>
      <c r="D392" s="82" t="s">
        <v>94</v>
      </c>
      <c r="E392" s="83">
        <v>68</v>
      </c>
      <c r="F392" s="88">
        <v>21886</v>
      </c>
      <c r="G392" s="89">
        <f t="shared" si="30"/>
        <v>1488248</v>
      </c>
      <c r="H392" s="209">
        <f t="shared" si="31"/>
        <v>23046</v>
      </c>
      <c r="I392" s="209">
        <f t="shared" si="34"/>
        <v>1567128</v>
      </c>
      <c r="J392" s="213" t="str">
        <f t="array" ref="J392:M392">_xlfn.XLOOKUP(C392,'ESAP NEIVA FASE II UNIFICADO'!$C$6:$C$720,'ESAP NEIVA FASE II UNIFICADO'!$C$6:$F$720,"NO ESTA")</f>
        <v>SUMINISTRO E INSTALACION TUBERIA Y ACCESORIOS RDE 21 Ø DIAMETRO  2"</v>
      </c>
      <c r="K392" t="str">
        <v>ML</v>
      </c>
      <c r="L392">
        <v>185.4</v>
      </c>
      <c r="M392">
        <v>23647</v>
      </c>
      <c r="N392" s="115">
        <f t="shared" si="32"/>
        <v>23647</v>
      </c>
      <c r="O392" s="146">
        <f t="shared" si="33"/>
        <v>1607996</v>
      </c>
      <c r="P392" s="119"/>
    </row>
    <row r="393" spans="2:16" ht="15" customHeight="1" x14ac:dyDescent="0.25">
      <c r="B393" s="86" t="s">
        <v>744</v>
      </c>
      <c r="C393" s="87" t="s">
        <v>745</v>
      </c>
      <c r="D393" s="82" t="s">
        <v>94</v>
      </c>
      <c r="E393" s="83">
        <v>40</v>
      </c>
      <c r="F393" s="88">
        <v>15947</v>
      </c>
      <c r="G393" s="89">
        <f t="shared" si="30"/>
        <v>637880</v>
      </c>
      <c r="H393" s="209">
        <f t="shared" si="31"/>
        <v>16792</v>
      </c>
      <c r="I393" s="209">
        <f t="shared" si="34"/>
        <v>671680</v>
      </c>
      <c r="J393" s="213" t="str">
        <f t="array" ref="J393:M393">_xlfn.XLOOKUP(C393,'ESAP NEIVA FASE II UNIFICADO'!$C$6:$C$720,'ESAP NEIVA FASE II UNIFICADO'!$C$6:$F$720,"NO ESTA")</f>
        <v>SUMINISTRO E INSTALACION TUBERIA Y ACCESORIOS RDE 21 Ø DIAMETRO  1 1/2"</v>
      </c>
      <c r="K393" t="str">
        <v>ML</v>
      </c>
      <c r="L393">
        <v>106.80000000000001</v>
      </c>
      <c r="M393">
        <v>17230</v>
      </c>
      <c r="N393" s="115">
        <f t="shared" si="32"/>
        <v>17230</v>
      </c>
      <c r="O393" s="146">
        <f t="shared" si="33"/>
        <v>689200</v>
      </c>
      <c r="P393" s="119"/>
    </row>
    <row r="394" spans="2:16" ht="15" customHeight="1" x14ac:dyDescent="0.25">
      <c r="B394" s="86" t="s">
        <v>746</v>
      </c>
      <c r="C394" s="87" t="s">
        <v>747</v>
      </c>
      <c r="D394" s="82" t="s">
        <v>94</v>
      </c>
      <c r="E394" s="83">
        <v>61</v>
      </c>
      <c r="F394" s="88">
        <v>13566</v>
      </c>
      <c r="G394" s="89">
        <f t="shared" si="30"/>
        <v>827526</v>
      </c>
      <c r="H394" s="209">
        <f t="shared" si="31"/>
        <v>14285</v>
      </c>
      <c r="I394" s="209">
        <f t="shared" si="34"/>
        <v>871385</v>
      </c>
      <c r="J394" s="213" t="str">
        <f t="array" ref="J394:M394">_xlfn.XLOOKUP(C394,'ESAP NEIVA FASE II UNIFICADO'!$C$6:$C$720,'ESAP NEIVA FASE II UNIFICADO'!$C$6:$F$720,"NO ESTA")</f>
        <v>SUMINISTRO E INSTALACION TUBERIA Y ACCESORIOS RDE 21 Ø DIAMETRO  1 1/4"</v>
      </c>
      <c r="K394" t="str">
        <v>ML</v>
      </c>
      <c r="L394">
        <v>165.6</v>
      </c>
      <c r="M394">
        <v>14658</v>
      </c>
      <c r="N394" s="115">
        <f t="shared" si="32"/>
        <v>14658</v>
      </c>
      <c r="O394" s="146">
        <f t="shared" si="33"/>
        <v>894138</v>
      </c>
      <c r="P394" s="119"/>
    </row>
    <row r="395" spans="2:16" ht="15" customHeight="1" x14ac:dyDescent="0.25">
      <c r="B395" s="86" t="s">
        <v>748</v>
      </c>
      <c r="C395" s="87" t="s">
        <v>749</v>
      </c>
      <c r="D395" s="82" t="s">
        <v>94</v>
      </c>
      <c r="E395" s="83">
        <v>10</v>
      </c>
      <c r="F395" s="88">
        <v>9925</v>
      </c>
      <c r="G395" s="89">
        <f t="shared" si="30"/>
        <v>99250</v>
      </c>
      <c r="H395" s="209">
        <f t="shared" si="31"/>
        <v>10451</v>
      </c>
      <c r="I395" s="209">
        <f t="shared" si="34"/>
        <v>104510</v>
      </c>
      <c r="J395" s="213" t="str">
        <f t="array" ref="J395:M395">_xlfn.XLOOKUP(C395,'ESAP NEIVA FASE II UNIFICADO'!$C$6:$C$720,'ESAP NEIVA FASE II UNIFICADO'!$C$6:$F$720,"NO ESTA")</f>
        <v>SUMINISTRO E INSTALACION TUBERIA Y ACCESORIOS RDE 21 Ø DIAMETRO  1"</v>
      </c>
      <c r="K395" t="str">
        <v>ML</v>
      </c>
      <c r="L395">
        <v>28.799999999999997</v>
      </c>
      <c r="M395">
        <v>10725</v>
      </c>
      <c r="N395" s="115">
        <f t="shared" si="32"/>
        <v>10725</v>
      </c>
      <c r="O395" s="146">
        <f t="shared" si="33"/>
        <v>107250</v>
      </c>
      <c r="P395" s="119"/>
    </row>
    <row r="396" spans="2:16" ht="15" customHeight="1" x14ac:dyDescent="0.25">
      <c r="B396" s="86" t="s">
        <v>750</v>
      </c>
      <c r="C396" s="87" t="s">
        <v>751</v>
      </c>
      <c r="D396" s="82" t="s">
        <v>94</v>
      </c>
      <c r="E396" s="83">
        <v>12</v>
      </c>
      <c r="F396" s="88">
        <v>8719</v>
      </c>
      <c r="G396" s="89">
        <f t="shared" si="30"/>
        <v>104628</v>
      </c>
      <c r="H396" s="209">
        <f t="shared" si="31"/>
        <v>9181</v>
      </c>
      <c r="I396" s="209">
        <f t="shared" si="34"/>
        <v>110172</v>
      </c>
      <c r="J396" s="213" t="str">
        <f t="array" ref="J396:M396">_xlfn.XLOOKUP(C396,'ESAP NEIVA FASE II UNIFICADO'!$C$6:$C$720,'ESAP NEIVA FASE II UNIFICADO'!$C$6:$F$720,"NO ESTA")</f>
        <v>SUMINISTRO E INSTALACION TUBERIA Y ACCESORIOS RDE 21 Ø DIAMETRO  3/4"</v>
      </c>
      <c r="K396" t="str">
        <v>ML</v>
      </c>
      <c r="L396">
        <v>32</v>
      </c>
      <c r="M396">
        <v>9421</v>
      </c>
      <c r="N396" s="115">
        <f t="shared" si="32"/>
        <v>9421</v>
      </c>
      <c r="O396" s="146">
        <f t="shared" si="33"/>
        <v>113052</v>
      </c>
      <c r="P396" s="119"/>
    </row>
    <row r="397" spans="2:16" ht="26.25" customHeight="1" x14ac:dyDescent="0.25">
      <c r="B397" s="80" t="s">
        <v>752</v>
      </c>
      <c r="C397" s="81" t="s">
        <v>753</v>
      </c>
      <c r="D397" s="82"/>
      <c r="E397" s="83"/>
      <c r="F397" s="90"/>
      <c r="G397" s="89">
        <f t="shared" si="30"/>
        <v>0</v>
      </c>
      <c r="H397" s="209">
        <f t="shared" si="31"/>
        <v>0</v>
      </c>
      <c r="I397" s="209">
        <f t="shared" si="34"/>
        <v>0</v>
      </c>
      <c r="J397" s="213" t="str">
        <f t="array" ref="J397">_xlfn.XLOOKUP(C397,'ESAP NEIVA FASE II UNIFICADO'!$C$6:$C$720,'ESAP NEIVA FASE II UNIFICADO'!$C$6:$F$720,"NO ESTA")</f>
        <v>NO ESTA</v>
      </c>
      <c r="N397" s="115">
        <f t="shared" si="32"/>
        <v>0</v>
      </c>
      <c r="O397" s="146">
        <f t="shared" si="33"/>
        <v>0</v>
      </c>
      <c r="P397" s="119"/>
    </row>
    <row r="398" spans="2:16" ht="26.25" customHeight="1" x14ac:dyDescent="0.25">
      <c r="B398" s="86" t="s">
        <v>754</v>
      </c>
      <c r="C398" s="87" t="s">
        <v>755</v>
      </c>
      <c r="D398" s="82" t="s">
        <v>94</v>
      </c>
      <c r="E398" s="83">
        <v>17</v>
      </c>
      <c r="F398" s="88">
        <v>38301</v>
      </c>
      <c r="G398" s="89">
        <f t="shared" si="30"/>
        <v>651117</v>
      </c>
      <c r="H398" s="209">
        <f t="shared" si="31"/>
        <v>40331</v>
      </c>
      <c r="I398" s="209">
        <f t="shared" si="34"/>
        <v>685627</v>
      </c>
      <c r="J398" s="213" t="str">
        <f t="array" ref="J398:M398">_xlfn.XLOOKUP(C398,'ESAP NEIVA FASE II UNIFICADO'!$C$6:$C$720,'ESAP NEIVA FASE II UNIFICADO'!$C$6:$F$720,"NO ESTA")</f>
        <v>SUMINISTRO E INSTALACION DE AISLAMIENTO TERMICO TUBERIA Y ACCESORIOS RDE 21 Ø DIAMETRO  4"</v>
      </c>
      <c r="K398" t="str">
        <v>ML</v>
      </c>
      <c r="L398">
        <v>45</v>
      </c>
      <c r="M398">
        <v>41384</v>
      </c>
      <c r="N398" s="115">
        <f t="shared" si="32"/>
        <v>41384</v>
      </c>
      <c r="O398" s="146">
        <f t="shared" si="33"/>
        <v>703528</v>
      </c>
      <c r="P398" s="119"/>
    </row>
    <row r="399" spans="2:16" ht="26.25" customHeight="1" x14ac:dyDescent="0.25">
      <c r="B399" s="86" t="s">
        <v>756</v>
      </c>
      <c r="C399" s="87" t="s">
        <v>757</v>
      </c>
      <c r="D399" s="82" t="s">
        <v>94</v>
      </c>
      <c r="E399" s="83">
        <v>9</v>
      </c>
      <c r="F399" s="88">
        <v>34406</v>
      </c>
      <c r="G399" s="89">
        <f t="shared" si="30"/>
        <v>309654</v>
      </c>
      <c r="H399" s="209">
        <f t="shared" si="31"/>
        <v>36230</v>
      </c>
      <c r="I399" s="209">
        <f t="shared" si="34"/>
        <v>326070</v>
      </c>
      <c r="J399" s="213" t="str">
        <f t="array" ref="J399:M399">_xlfn.XLOOKUP(C399,'ESAP NEIVA FASE II UNIFICADO'!$C$6:$C$720,'ESAP NEIVA FASE II UNIFICADO'!$C$6:$F$720,"NO ESTA")</f>
        <v>SUMINISTRO E INSTALACION DE AISLAMIENTO TERMICO TUBERIA Y ACCESORIOS RDE 21 Ø DIAMETRO  3"</v>
      </c>
      <c r="K399" t="str">
        <v>ML</v>
      </c>
      <c r="L399">
        <v>24</v>
      </c>
      <c r="M399">
        <v>37175</v>
      </c>
      <c r="N399" s="115">
        <f t="shared" si="32"/>
        <v>37175</v>
      </c>
      <c r="O399" s="146">
        <f t="shared" si="33"/>
        <v>334575</v>
      </c>
      <c r="P399" s="119"/>
    </row>
    <row r="400" spans="2:16" ht="26.25" customHeight="1" x14ac:dyDescent="0.25">
      <c r="B400" s="86" t="s">
        <v>758</v>
      </c>
      <c r="C400" s="87" t="s">
        <v>759</v>
      </c>
      <c r="D400" s="82" t="s">
        <v>94</v>
      </c>
      <c r="E400" s="83">
        <v>24</v>
      </c>
      <c r="F400" s="88">
        <v>26381</v>
      </c>
      <c r="G400" s="89">
        <f t="shared" si="30"/>
        <v>633144</v>
      </c>
      <c r="H400" s="209">
        <f t="shared" si="31"/>
        <v>27779</v>
      </c>
      <c r="I400" s="209">
        <f t="shared" si="34"/>
        <v>666696</v>
      </c>
      <c r="J400" s="213" t="str">
        <f t="array" ref="J400:M400">_xlfn.XLOOKUP(C400,'ESAP NEIVA FASE II UNIFICADO'!$C$6:$C$720,'ESAP NEIVA FASE II UNIFICADO'!$C$6:$F$720,"NO ESTA")</f>
        <v>SUMINISTRO E INSTALACION DE AISLAMIENTO TERMICO TUBERIA Y ACCESORIOS RDE 21 Ø DIAMETRO  2 1/2"</v>
      </c>
      <c r="K400" t="str">
        <v>ML</v>
      </c>
      <c r="L400">
        <v>64</v>
      </c>
      <c r="M400">
        <v>28505</v>
      </c>
      <c r="N400" s="115">
        <f t="shared" si="32"/>
        <v>28505</v>
      </c>
      <c r="O400" s="146">
        <f t="shared" si="33"/>
        <v>684120</v>
      </c>
      <c r="P400" s="119"/>
    </row>
    <row r="401" spans="2:16" ht="26.25" customHeight="1" x14ac:dyDescent="0.25">
      <c r="B401" s="86" t="s">
        <v>760</v>
      </c>
      <c r="C401" s="87" t="s">
        <v>761</v>
      </c>
      <c r="D401" s="82" t="s">
        <v>94</v>
      </c>
      <c r="E401" s="83">
        <v>68</v>
      </c>
      <c r="F401" s="88">
        <v>20809</v>
      </c>
      <c r="G401" s="89">
        <f t="shared" si="30"/>
        <v>1415012</v>
      </c>
      <c r="H401" s="209">
        <f t="shared" si="31"/>
        <v>21912</v>
      </c>
      <c r="I401" s="209">
        <f t="shared" si="34"/>
        <v>1490016</v>
      </c>
      <c r="J401" s="213" t="str">
        <f t="array" ref="J401:M401">_xlfn.XLOOKUP(C401,'ESAP NEIVA FASE II UNIFICADO'!$C$6:$C$720,'ESAP NEIVA FASE II UNIFICADO'!$C$6:$F$720,"NO ESTA")</f>
        <v>SUMINISTRO E INSTALACION DE AISLAMIENTO TERMICO TUBERIA Y ACCESORIOS RDE 21 Ø DIAMETRO  2"</v>
      </c>
      <c r="K401" t="str">
        <v>ML</v>
      </c>
      <c r="L401">
        <v>185.4</v>
      </c>
      <c r="M401">
        <v>22485</v>
      </c>
      <c r="N401" s="115">
        <f t="shared" si="32"/>
        <v>22485</v>
      </c>
      <c r="O401" s="146">
        <f t="shared" si="33"/>
        <v>1528980</v>
      </c>
      <c r="P401" s="119"/>
    </row>
    <row r="402" spans="2:16" ht="26.25" customHeight="1" x14ac:dyDescent="0.25">
      <c r="B402" s="86" t="s">
        <v>762</v>
      </c>
      <c r="C402" s="87" t="s">
        <v>763</v>
      </c>
      <c r="D402" s="82" t="s">
        <v>94</v>
      </c>
      <c r="E402" s="83">
        <v>40</v>
      </c>
      <c r="F402" s="88">
        <v>15695</v>
      </c>
      <c r="G402" s="89">
        <f t="shared" si="30"/>
        <v>627800</v>
      </c>
      <c r="H402" s="209">
        <f t="shared" si="31"/>
        <v>16527</v>
      </c>
      <c r="I402" s="209">
        <f t="shared" si="34"/>
        <v>661080</v>
      </c>
      <c r="J402" s="213" t="str">
        <f t="array" ref="J402:M402">_xlfn.XLOOKUP(C402,'ESAP NEIVA FASE II UNIFICADO'!$C$6:$C$720,'ESAP NEIVA FASE II UNIFICADO'!$C$6:$F$720,"NO ESTA")</f>
        <v>SUMINISTRO E INSTALACION DE AISLAMIENTO TERMICO TUBERIA Y ACCESORIOS RDE 21 Ø DIAMETRO  1 1/2"</v>
      </c>
      <c r="K402" t="str">
        <v>ML</v>
      </c>
      <c r="L402">
        <v>106.80000000000001</v>
      </c>
      <c r="M402">
        <v>16958</v>
      </c>
      <c r="N402" s="115">
        <f t="shared" si="32"/>
        <v>16958</v>
      </c>
      <c r="O402" s="146">
        <f t="shared" si="33"/>
        <v>678320</v>
      </c>
      <c r="P402" s="119"/>
    </row>
    <row r="403" spans="2:16" ht="26.25" customHeight="1" x14ac:dyDescent="0.25">
      <c r="B403" s="86" t="s">
        <v>764</v>
      </c>
      <c r="C403" s="87" t="s">
        <v>765</v>
      </c>
      <c r="D403" s="82" t="s">
        <v>94</v>
      </c>
      <c r="E403" s="83">
        <v>61</v>
      </c>
      <c r="F403" s="88">
        <v>13460</v>
      </c>
      <c r="G403" s="89">
        <f t="shared" si="30"/>
        <v>821060</v>
      </c>
      <c r="H403" s="209">
        <f t="shared" si="31"/>
        <v>14173</v>
      </c>
      <c r="I403" s="209">
        <f t="shared" si="34"/>
        <v>864553</v>
      </c>
      <c r="J403" s="213" t="str">
        <f t="array" ref="J403:M403">_xlfn.XLOOKUP(C403,'ESAP NEIVA FASE II UNIFICADO'!$C$6:$C$720,'ESAP NEIVA FASE II UNIFICADO'!$C$6:$F$720,"NO ESTA")</f>
        <v>SUMINISTRO E INSTALACION DE AISLAMIENTO TERMICO TUBERIA Y ACCESORIOS RDE 21 Ø DIAMETRO  1 1/4"</v>
      </c>
      <c r="K403" t="str">
        <v>ML</v>
      </c>
      <c r="L403">
        <v>165.6</v>
      </c>
      <c r="M403">
        <v>14543</v>
      </c>
      <c r="N403" s="115">
        <f t="shared" si="32"/>
        <v>14543</v>
      </c>
      <c r="O403" s="146">
        <f t="shared" si="33"/>
        <v>887123</v>
      </c>
      <c r="P403" s="119"/>
    </row>
    <row r="404" spans="2:16" ht="26.25" customHeight="1" x14ac:dyDescent="0.25">
      <c r="B404" s="86" t="s">
        <v>766</v>
      </c>
      <c r="C404" s="87" t="s">
        <v>767</v>
      </c>
      <c r="D404" s="82" t="s">
        <v>94</v>
      </c>
      <c r="E404" s="83">
        <v>10</v>
      </c>
      <c r="F404" s="88">
        <v>9809</v>
      </c>
      <c r="G404" s="89">
        <f t="shared" si="30"/>
        <v>98090</v>
      </c>
      <c r="H404" s="209">
        <f t="shared" si="31"/>
        <v>10329</v>
      </c>
      <c r="I404" s="209">
        <f t="shared" si="34"/>
        <v>103290</v>
      </c>
      <c r="J404" s="213" t="str">
        <f t="array" ref="J404:M404">_xlfn.XLOOKUP(C404,'ESAP NEIVA FASE II UNIFICADO'!$C$6:$C$720,'ESAP NEIVA FASE II UNIFICADO'!$C$6:$F$720,"NO ESTA")</f>
        <v>SUMINISTRO E INSTALACION DE AISLAMIENTO TERMICO TUBERIA Y ACCESORIOS RDE 21 Ø DIAMETRO  1"</v>
      </c>
      <c r="K404" t="str">
        <v>ML</v>
      </c>
      <c r="L404">
        <v>28.799999999999997</v>
      </c>
      <c r="M404">
        <v>10599</v>
      </c>
      <c r="N404" s="115">
        <f t="shared" si="32"/>
        <v>10599</v>
      </c>
      <c r="O404" s="146">
        <f t="shared" si="33"/>
        <v>105990</v>
      </c>
      <c r="P404" s="119"/>
    </row>
    <row r="405" spans="2:16" ht="26.25" customHeight="1" x14ac:dyDescent="0.25">
      <c r="B405" s="86" t="s">
        <v>768</v>
      </c>
      <c r="C405" s="87" t="s">
        <v>769</v>
      </c>
      <c r="D405" s="82" t="s">
        <v>94</v>
      </c>
      <c r="E405" s="83">
        <v>12</v>
      </c>
      <c r="F405" s="88">
        <v>8561</v>
      </c>
      <c r="G405" s="89">
        <f t="shared" si="30"/>
        <v>102732</v>
      </c>
      <c r="H405" s="209">
        <f t="shared" si="31"/>
        <v>9015</v>
      </c>
      <c r="I405" s="209">
        <f t="shared" si="34"/>
        <v>108180</v>
      </c>
      <c r="J405" s="213" t="str">
        <f t="array" ref="J405:M405">_xlfn.XLOOKUP(C405,'ESAP NEIVA FASE II UNIFICADO'!$C$6:$C$720,'ESAP NEIVA FASE II UNIFICADO'!$C$6:$F$720,"NO ESTA")</f>
        <v>SUMINISTRO E INSTALACION DE AISLAMIENTO TERMICO TUBERIA Y ACCESORIOS RDE 21 Ø DIAMETRO  3/4"</v>
      </c>
      <c r="K405" t="str">
        <v>ML</v>
      </c>
      <c r="L405">
        <v>32</v>
      </c>
      <c r="M405">
        <v>9250</v>
      </c>
      <c r="N405" s="115">
        <f t="shared" si="32"/>
        <v>9250</v>
      </c>
      <c r="O405" s="146">
        <f t="shared" si="33"/>
        <v>111000</v>
      </c>
      <c r="P405" s="119"/>
    </row>
    <row r="406" spans="2:16" ht="15" customHeight="1" x14ac:dyDescent="0.25">
      <c r="B406" s="80" t="s">
        <v>770</v>
      </c>
      <c r="C406" s="81" t="s">
        <v>771</v>
      </c>
      <c r="D406" s="82"/>
      <c r="E406" s="83"/>
      <c r="F406" s="90"/>
      <c r="G406" s="89">
        <f t="shared" si="30"/>
        <v>0</v>
      </c>
      <c r="H406" s="209">
        <f t="shared" si="31"/>
        <v>0</v>
      </c>
      <c r="I406" s="209">
        <f t="shared" si="34"/>
        <v>0</v>
      </c>
      <c r="J406" s="213" t="str">
        <f t="array" ref="J406">_xlfn.XLOOKUP(C406,'ESAP NEIVA FASE II UNIFICADO'!$C$6:$C$720,'ESAP NEIVA FASE II UNIFICADO'!$C$6:$F$720,"NO ESTA")</f>
        <v>NO ESTA</v>
      </c>
      <c r="N406" s="115">
        <f t="shared" si="32"/>
        <v>0</v>
      </c>
      <c r="O406" s="146">
        <f t="shared" si="33"/>
        <v>0</v>
      </c>
      <c r="P406" s="119"/>
    </row>
    <row r="407" spans="2:16" ht="27" customHeight="1" x14ac:dyDescent="0.25">
      <c r="B407" s="86" t="s">
        <v>772</v>
      </c>
      <c r="C407" s="87" t="s">
        <v>773</v>
      </c>
      <c r="D407" s="82" t="s">
        <v>16</v>
      </c>
      <c r="E407" s="83">
        <v>1</v>
      </c>
      <c r="F407" s="88">
        <v>267035</v>
      </c>
      <c r="G407" s="89">
        <f t="shared" si="30"/>
        <v>267035</v>
      </c>
      <c r="H407" s="209">
        <f t="shared" si="31"/>
        <v>281188</v>
      </c>
      <c r="I407" s="209">
        <f t="shared" si="34"/>
        <v>281188</v>
      </c>
      <c r="J407" s="213" t="str">
        <f t="array" ref="J407:M407">_xlfn.XLOOKUP(C407,'ESAP NEIVA FASE II UNIFICADO'!$C$6:$C$720,'ESAP NEIVA FASE II UNIFICADO'!$C$6:$F$720,"NO ESTA")</f>
        <v>SUMINISTRO E INSTALACION MANOMETROS 4", INCLUYE GRIFOS DE PRUEBA Y ACCESORIOS</v>
      </c>
      <c r="K407" t="str">
        <v>UND</v>
      </c>
      <c r="L407">
        <v>3</v>
      </c>
      <c r="M407">
        <v>288532</v>
      </c>
      <c r="N407" s="115">
        <f t="shared" si="32"/>
        <v>288532</v>
      </c>
      <c r="O407" s="146">
        <f t="shared" si="33"/>
        <v>288532</v>
      </c>
      <c r="P407" s="119"/>
    </row>
    <row r="408" spans="2:16" ht="15" customHeight="1" x14ac:dyDescent="0.25">
      <c r="B408" s="86" t="s">
        <v>774</v>
      </c>
      <c r="C408" s="87" t="s">
        <v>775</v>
      </c>
      <c r="D408" s="82" t="s">
        <v>16</v>
      </c>
      <c r="E408" s="83">
        <v>1</v>
      </c>
      <c r="F408" s="88">
        <v>513828</v>
      </c>
      <c r="G408" s="89">
        <f t="shared" si="30"/>
        <v>513828</v>
      </c>
      <c r="H408" s="209">
        <f t="shared" si="31"/>
        <v>541061</v>
      </c>
      <c r="I408" s="209">
        <f t="shared" si="34"/>
        <v>541061</v>
      </c>
      <c r="J408" s="213" t="str">
        <f t="array" ref="J408:M408">_xlfn.XLOOKUP(C408,'ESAP NEIVA FASE II UNIFICADO'!$C$6:$C$720,'ESAP NEIVA FASE II UNIFICADO'!$C$6:$F$720,"NO ESTA")</f>
        <v>SUMINISTRO E INSTALACION TERMOMETROS 0-100F DE COLUMNA 7"</v>
      </c>
      <c r="K408" t="str">
        <v>UND</v>
      </c>
      <c r="L408">
        <v>3</v>
      </c>
      <c r="M408">
        <v>555192</v>
      </c>
      <c r="N408" s="115">
        <f t="shared" si="32"/>
        <v>555192</v>
      </c>
      <c r="O408" s="146">
        <f t="shared" si="33"/>
        <v>555192</v>
      </c>
      <c r="P408" s="119"/>
    </row>
    <row r="409" spans="2:16" ht="15" customHeight="1" x14ac:dyDescent="0.25">
      <c r="B409" s="86" t="s">
        <v>776</v>
      </c>
      <c r="C409" s="87" t="s">
        <v>777</v>
      </c>
      <c r="D409" s="82" t="s">
        <v>16</v>
      </c>
      <c r="E409" s="83">
        <v>1</v>
      </c>
      <c r="F409" s="88">
        <v>180913</v>
      </c>
      <c r="G409" s="89">
        <f t="shared" si="30"/>
        <v>180913</v>
      </c>
      <c r="H409" s="209">
        <f t="shared" si="31"/>
        <v>190501</v>
      </c>
      <c r="I409" s="209">
        <f t="shared" si="34"/>
        <v>190501</v>
      </c>
      <c r="J409" s="213" t="str">
        <f t="array" ref="J409:M409">_xlfn.XLOOKUP(C409,'ESAP NEIVA FASE II UNIFICADO'!$C$6:$C$720,'ESAP NEIVA FASE II UNIFICADO'!$C$6:$F$720,"NO ESTA")</f>
        <v>SUMINISTRO E INSTALACION ELIMINADORES DE AIRE</v>
      </c>
      <c r="K409" t="str">
        <v>UND</v>
      </c>
      <c r="L409">
        <v>3</v>
      </c>
      <c r="M409">
        <v>195476</v>
      </c>
      <c r="N409" s="115">
        <f t="shared" si="32"/>
        <v>195476</v>
      </c>
      <c r="O409" s="146">
        <f t="shared" si="33"/>
        <v>195476</v>
      </c>
      <c r="P409" s="119"/>
    </row>
    <row r="410" spans="2:16" ht="15" customHeight="1" x14ac:dyDescent="0.25">
      <c r="B410" s="86" t="s">
        <v>778</v>
      </c>
      <c r="C410" s="87" t="s">
        <v>779</v>
      </c>
      <c r="D410" s="82" t="s">
        <v>16</v>
      </c>
      <c r="E410" s="83">
        <v>1</v>
      </c>
      <c r="F410" s="88">
        <v>418710</v>
      </c>
      <c r="G410" s="89">
        <f t="shared" si="30"/>
        <v>418710</v>
      </c>
      <c r="H410" s="209">
        <f t="shared" si="31"/>
        <v>440902</v>
      </c>
      <c r="I410" s="209">
        <f t="shared" si="34"/>
        <v>440902</v>
      </c>
      <c r="J410" s="213" t="str">
        <f t="array" ref="J410:M410">_xlfn.XLOOKUP(C410,'ESAP NEIVA FASE II UNIFICADO'!$C$6:$C$720,'ESAP NEIVA FASE II UNIFICADO'!$C$6:$F$720,"NO ESTA")</f>
        <v xml:space="preserve">SUMINISTRO E INSTALACION TANQUE DE EXPANSIÓN PVC CON VALVULA DE NIVEL </v>
      </c>
      <c r="K410" t="str">
        <v>UND</v>
      </c>
      <c r="L410">
        <v>1</v>
      </c>
      <c r="M410">
        <v>452416</v>
      </c>
      <c r="N410" s="115">
        <f t="shared" si="32"/>
        <v>452416</v>
      </c>
      <c r="O410" s="146">
        <f t="shared" si="33"/>
        <v>452416</v>
      </c>
      <c r="P410" s="119"/>
    </row>
    <row r="411" spans="2:16" ht="15" customHeight="1" x14ac:dyDescent="0.25">
      <c r="B411" s="86" t="s">
        <v>780</v>
      </c>
      <c r="C411" s="87" t="s">
        <v>781</v>
      </c>
      <c r="D411" s="82" t="s">
        <v>16</v>
      </c>
      <c r="E411" s="83">
        <v>1</v>
      </c>
      <c r="F411" s="88">
        <v>2160446</v>
      </c>
      <c r="G411" s="89">
        <f t="shared" si="30"/>
        <v>2160446</v>
      </c>
      <c r="H411" s="209">
        <f t="shared" si="31"/>
        <v>2274950</v>
      </c>
      <c r="I411" s="209">
        <f t="shared" si="34"/>
        <v>2274950</v>
      </c>
      <c r="J411" s="213" t="str">
        <f t="array" ref="J411:M411">_xlfn.XLOOKUP(C411,'ESAP NEIVA FASE II UNIFICADO'!$C$6:$C$720,'ESAP NEIVA FASE II UNIFICADO'!$C$6:$F$720,"NO ESTA")</f>
        <v>SUMINISTRO E INSTALACION VALVULAS MARIPOSA DE 4" SUCCIÓN DE BOMBA</v>
      </c>
      <c r="K411" t="str">
        <v>UND</v>
      </c>
      <c r="L411">
        <v>3</v>
      </c>
      <c r="M411">
        <v>2334368</v>
      </c>
      <c r="N411" s="115">
        <f t="shared" si="32"/>
        <v>2334368</v>
      </c>
      <c r="O411" s="146">
        <f t="shared" si="33"/>
        <v>2334368</v>
      </c>
      <c r="P411" s="119"/>
    </row>
    <row r="412" spans="2:16" ht="15" customHeight="1" x14ac:dyDescent="0.25">
      <c r="B412" s="86" t="s">
        <v>782</v>
      </c>
      <c r="C412" s="87" t="s">
        <v>783</v>
      </c>
      <c r="D412" s="82" t="s">
        <v>16</v>
      </c>
      <c r="E412" s="83">
        <v>1</v>
      </c>
      <c r="F412" s="88">
        <v>2160446</v>
      </c>
      <c r="G412" s="89">
        <f t="shared" si="30"/>
        <v>2160446</v>
      </c>
      <c r="H412" s="209">
        <f t="shared" si="31"/>
        <v>2274950</v>
      </c>
      <c r="I412" s="209">
        <f t="shared" si="34"/>
        <v>2274950</v>
      </c>
      <c r="J412" s="213" t="str">
        <f t="array" ref="J412:M412">_xlfn.XLOOKUP(C412,'ESAP NEIVA FASE II UNIFICADO'!$C$6:$C$720,'ESAP NEIVA FASE II UNIFICADO'!$C$6:$F$720,"NO ESTA")</f>
        <v>SUMINISTRO E INSTALACION VALVULAS MARIPOSA DE 4" DESCARGA DE BOMBA</v>
      </c>
      <c r="K412" t="str">
        <v>UND</v>
      </c>
      <c r="L412">
        <v>3</v>
      </c>
      <c r="M412">
        <v>2334368</v>
      </c>
      <c r="N412" s="115">
        <f t="shared" si="32"/>
        <v>2334368</v>
      </c>
      <c r="O412" s="146">
        <f t="shared" si="33"/>
        <v>2334368</v>
      </c>
      <c r="P412" s="119"/>
    </row>
    <row r="413" spans="2:16" ht="15" customHeight="1" x14ac:dyDescent="0.25">
      <c r="B413" s="86" t="s">
        <v>784</v>
      </c>
      <c r="C413" s="87" t="s">
        <v>785</v>
      </c>
      <c r="D413" s="82" t="s">
        <v>16</v>
      </c>
      <c r="E413" s="83">
        <v>1</v>
      </c>
      <c r="F413" s="88">
        <v>1141492</v>
      </c>
      <c r="G413" s="89">
        <f t="shared" si="30"/>
        <v>1141492</v>
      </c>
      <c r="H413" s="209">
        <f t="shared" si="31"/>
        <v>1201991</v>
      </c>
      <c r="I413" s="209">
        <f t="shared" si="34"/>
        <v>1201991</v>
      </c>
      <c r="J413" s="213" t="str">
        <f t="array" ref="J413:M413">_xlfn.XLOOKUP(C413,'ESAP NEIVA FASE II UNIFICADO'!$C$6:$C$720,'ESAP NEIVA FASE II UNIFICADO'!$C$6:$F$720,"NO ESTA")</f>
        <v>SUMINISTRO E INSTALACION VALVULA TRIPLE - FLOTREX</v>
      </c>
      <c r="K413" t="str">
        <v>UND</v>
      </c>
      <c r="L413">
        <v>1</v>
      </c>
      <c r="M413">
        <v>1233385</v>
      </c>
      <c r="N413" s="115">
        <f t="shared" si="32"/>
        <v>1233385</v>
      </c>
      <c r="O413" s="146">
        <f t="shared" si="33"/>
        <v>1233385</v>
      </c>
      <c r="P413" s="119"/>
    </row>
    <row r="414" spans="2:16" ht="15" customHeight="1" x14ac:dyDescent="0.25">
      <c r="B414" s="86" t="s">
        <v>786</v>
      </c>
      <c r="C414" s="87" t="s">
        <v>787</v>
      </c>
      <c r="D414" s="82" t="s">
        <v>16</v>
      </c>
      <c r="E414" s="83">
        <v>1</v>
      </c>
      <c r="F414" s="88">
        <v>336113</v>
      </c>
      <c r="G414" s="89">
        <f t="shared" si="30"/>
        <v>336113</v>
      </c>
      <c r="H414" s="209">
        <f t="shared" si="31"/>
        <v>353927</v>
      </c>
      <c r="I414" s="209">
        <f t="shared" si="34"/>
        <v>353927</v>
      </c>
      <c r="J414" s="213" t="str">
        <f t="array" ref="J414:M414">_xlfn.XLOOKUP(C414,'ESAP NEIVA FASE II UNIFICADO'!$C$6:$C$720,'ESAP NEIVA FASE II UNIFICADO'!$C$6:$F$720,"NO ESTA")</f>
        <v>SUMINISTRO E INSTALACION VALVULA CORTINA 3" 125PSI - PISO 3</v>
      </c>
      <c r="K414" t="str">
        <v>UND</v>
      </c>
      <c r="L414">
        <v>0</v>
      </c>
      <c r="M414">
        <v>363171</v>
      </c>
      <c r="N414" s="115">
        <f t="shared" si="32"/>
        <v>363171</v>
      </c>
      <c r="O414" s="146">
        <f t="shared" si="33"/>
        <v>363171</v>
      </c>
      <c r="P414" s="119"/>
    </row>
    <row r="415" spans="2:16" ht="15" customHeight="1" x14ac:dyDescent="0.25">
      <c r="B415" s="86" t="s">
        <v>788</v>
      </c>
      <c r="C415" s="87" t="s">
        <v>789</v>
      </c>
      <c r="D415" s="82" t="s">
        <v>16</v>
      </c>
      <c r="E415" s="83">
        <v>1</v>
      </c>
      <c r="F415" s="88">
        <v>469873</v>
      </c>
      <c r="G415" s="89">
        <f t="shared" si="30"/>
        <v>469873</v>
      </c>
      <c r="H415" s="209">
        <f t="shared" si="31"/>
        <v>494776</v>
      </c>
      <c r="I415" s="209">
        <f t="shared" si="34"/>
        <v>494776</v>
      </c>
      <c r="J415" s="213" t="str">
        <f t="array" ref="J415:M415">_xlfn.XLOOKUP(C415,'ESAP NEIVA FASE II UNIFICADO'!$C$6:$C$720,'ESAP NEIVA FASE II UNIFICADO'!$C$6:$F$720,"NO ESTA")</f>
        <v>SUMINISTRO E INSTALACION VALVULA GLOBO 3" 125PSI - PISO 3</v>
      </c>
      <c r="K415" t="str">
        <v>UND</v>
      </c>
      <c r="L415">
        <v>0</v>
      </c>
      <c r="M415">
        <v>507699</v>
      </c>
      <c r="N415" s="115">
        <f t="shared" si="32"/>
        <v>507699</v>
      </c>
      <c r="O415" s="146">
        <f t="shared" si="33"/>
        <v>507699</v>
      </c>
      <c r="P415" s="119"/>
    </row>
    <row r="416" spans="2:16" ht="15" customHeight="1" x14ac:dyDescent="0.25">
      <c r="B416" s="86" t="s">
        <v>790</v>
      </c>
      <c r="C416" s="87" t="s">
        <v>791</v>
      </c>
      <c r="D416" s="82" t="s">
        <v>16</v>
      </c>
      <c r="E416" s="83">
        <v>2</v>
      </c>
      <c r="F416" s="88">
        <v>298659</v>
      </c>
      <c r="G416" s="89">
        <f t="shared" si="30"/>
        <v>597318</v>
      </c>
      <c r="H416" s="209">
        <f t="shared" si="31"/>
        <v>314488</v>
      </c>
      <c r="I416" s="209">
        <f t="shared" si="34"/>
        <v>628976</v>
      </c>
      <c r="J416" s="213" t="str">
        <f t="array" ref="J416:M416">_xlfn.XLOOKUP(C416,'ESAP NEIVA FASE II UNIFICADO'!$C$6:$C$720,'ESAP NEIVA FASE II UNIFICADO'!$C$6:$F$720,"NO ESTA")</f>
        <v>SUMINISTRO E INSTALACION VALVULAS CORTINA 2 1/2" 125PSI - PISOS 2,3,4</v>
      </c>
      <c r="K416" t="str">
        <v>UND</v>
      </c>
      <c r="L416">
        <v>5</v>
      </c>
      <c r="M416">
        <v>322703</v>
      </c>
      <c r="N416" s="115">
        <f t="shared" si="32"/>
        <v>322703</v>
      </c>
      <c r="O416" s="146">
        <f t="shared" si="33"/>
        <v>645406</v>
      </c>
      <c r="P416" s="119"/>
    </row>
    <row r="417" spans="2:16" ht="15" customHeight="1" x14ac:dyDescent="0.25">
      <c r="B417" s="86" t="s">
        <v>792</v>
      </c>
      <c r="C417" s="87" t="s">
        <v>793</v>
      </c>
      <c r="D417" s="82" t="s">
        <v>16</v>
      </c>
      <c r="E417" s="83">
        <v>2</v>
      </c>
      <c r="F417" s="88">
        <v>421363</v>
      </c>
      <c r="G417" s="89">
        <f t="shared" si="30"/>
        <v>842726</v>
      </c>
      <c r="H417" s="209">
        <f t="shared" si="31"/>
        <v>443695</v>
      </c>
      <c r="I417" s="209">
        <f t="shared" si="34"/>
        <v>887390</v>
      </c>
      <c r="J417" s="213" t="str">
        <f t="array" ref="J417:M417">_xlfn.XLOOKUP(C417,'ESAP NEIVA FASE II UNIFICADO'!$C$6:$C$720,'ESAP NEIVA FASE II UNIFICADO'!$C$6:$F$720,"NO ESTA")</f>
        <v>SUMINISTRO E INSTALACION VALVULAS GLOBO 2 1/2" 125PSI - PISOS 2,3,4</v>
      </c>
      <c r="K417" t="str">
        <v>UND</v>
      </c>
      <c r="L417">
        <v>5</v>
      </c>
      <c r="M417">
        <v>455284</v>
      </c>
      <c r="N417" s="115">
        <f t="shared" si="32"/>
        <v>455284</v>
      </c>
      <c r="O417" s="146">
        <f t="shared" si="33"/>
        <v>910568</v>
      </c>
      <c r="P417" s="119"/>
    </row>
    <row r="418" spans="2:16" ht="15" customHeight="1" x14ac:dyDescent="0.25">
      <c r="B418" s="86" t="s">
        <v>794</v>
      </c>
      <c r="C418" s="87" t="s">
        <v>795</v>
      </c>
      <c r="D418" s="82" t="s">
        <v>16</v>
      </c>
      <c r="E418" s="83">
        <v>1</v>
      </c>
      <c r="F418" s="88">
        <v>220900</v>
      </c>
      <c r="G418" s="89">
        <f t="shared" si="30"/>
        <v>220900</v>
      </c>
      <c r="H418" s="209">
        <f t="shared" si="31"/>
        <v>232608</v>
      </c>
      <c r="I418" s="209">
        <f t="shared" si="34"/>
        <v>232608</v>
      </c>
      <c r="J418" s="213" t="str">
        <f t="array" ref="J418:M418">_xlfn.XLOOKUP(C418,'ESAP NEIVA FASE II UNIFICADO'!$C$6:$C$720,'ESAP NEIVA FASE II UNIFICADO'!$C$6:$F$720,"NO ESTA")</f>
        <v>SUMINISTRO E INSTALACION VALVULAS CORTINA 2" 125PSI - PISO 1,4</v>
      </c>
      <c r="K418" t="str">
        <v>UND</v>
      </c>
      <c r="L418">
        <v>1</v>
      </c>
      <c r="M418">
        <v>238683</v>
      </c>
      <c r="N418" s="115">
        <f t="shared" si="32"/>
        <v>238683</v>
      </c>
      <c r="O418" s="146">
        <f t="shared" si="33"/>
        <v>238683</v>
      </c>
      <c r="P418" s="119"/>
    </row>
    <row r="419" spans="2:16" ht="15" customHeight="1" x14ac:dyDescent="0.25">
      <c r="B419" s="86" t="s">
        <v>796</v>
      </c>
      <c r="C419" s="87" t="s">
        <v>797</v>
      </c>
      <c r="D419" s="82" t="s">
        <v>16</v>
      </c>
      <c r="E419" s="83">
        <v>1</v>
      </c>
      <c r="F419" s="88">
        <v>240769</v>
      </c>
      <c r="G419" s="89">
        <f t="shared" si="30"/>
        <v>240769</v>
      </c>
      <c r="H419" s="209">
        <f t="shared" si="31"/>
        <v>253530</v>
      </c>
      <c r="I419" s="209">
        <f t="shared" si="34"/>
        <v>253530</v>
      </c>
      <c r="J419" s="213" t="str">
        <f t="array" ref="J419:M419">_xlfn.XLOOKUP(C419,'ESAP NEIVA FASE II UNIFICADO'!$C$6:$C$720,'ESAP NEIVA FASE II UNIFICADO'!$C$6:$F$720,"NO ESTA")</f>
        <v>SUMINISTRO E INSTALACION VALVULAS GLOBO 2" 125PSI - PISO 1,4</v>
      </c>
      <c r="K419" t="str">
        <v>UND</v>
      </c>
      <c r="L419">
        <v>1</v>
      </c>
      <c r="M419">
        <v>260152</v>
      </c>
      <c r="N419" s="115">
        <f t="shared" si="32"/>
        <v>260152</v>
      </c>
      <c r="O419" s="146">
        <f t="shared" si="33"/>
        <v>260152</v>
      </c>
      <c r="P419" s="119"/>
    </row>
    <row r="420" spans="2:16" ht="15" customHeight="1" x14ac:dyDescent="0.25">
      <c r="B420" s="86" t="s">
        <v>798</v>
      </c>
      <c r="C420" s="87" t="s">
        <v>799</v>
      </c>
      <c r="D420" s="82" t="s">
        <v>16</v>
      </c>
      <c r="E420" s="83">
        <v>1</v>
      </c>
      <c r="F420" s="88">
        <v>541212</v>
      </c>
      <c r="G420" s="89">
        <f t="shared" si="30"/>
        <v>541212</v>
      </c>
      <c r="H420" s="209">
        <f t="shared" si="31"/>
        <v>569896</v>
      </c>
      <c r="I420" s="209">
        <f t="shared" si="34"/>
        <v>569896</v>
      </c>
      <c r="J420" s="213" t="str">
        <f t="array" ref="J420:M420">_xlfn.XLOOKUP(C420,'ESAP NEIVA FASE II UNIFICADO'!$C$6:$C$720,'ESAP NEIVA FASE II UNIFICADO'!$C$6:$F$720,"NO ESTA")</f>
        <v>SUMINISTRO E INSTALACION FILTRO / STRAINER incluye SOPORTERIA</v>
      </c>
      <c r="K420" t="str">
        <v>UND</v>
      </c>
      <c r="L420">
        <v>1</v>
      </c>
      <c r="M420">
        <v>584781</v>
      </c>
      <c r="N420" s="115">
        <f t="shared" si="32"/>
        <v>584781</v>
      </c>
      <c r="O420" s="146">
        <f t="shared" si="33"/>
        <v>584781</v>
      </c>
      <c r="P420" s="119"/>
    </row>
    <row r="421" spans="2:16" ht="24" customHeight="1" x14ac:dyDescent="0.25">
      <c r="B421" s="86" t="s">
        <v>800</v>
      </c>
      <c r="C421" s="87" t="s">
        <v>801</v>
      </c>
      <c r="D421" s="82" t="s">
        <v>16</v>
      </c>
      <c r="E421" s="83">
        <v>1</v>
      </c>
      <c r="F421" s="88">
        <v>2973816</v>
      </c>
      <c r="G421" s="89">
        <f t="shared" si="30"/>
        <v>2973816</v>
      </c>
      <c r="H421" s="209">
        <f t="shared" si="31"/>
        <v>3131428</v>
      </c>
      <c r="I421" s="209">
        <f t="shared" si="34"/>
        <v>3131428</v>
      </c>
      <c r="J421" s="213" t="str">
        <f t="array" ref="J421:M421">_xlfn.XLOOKUP(C421,'ESAP NEIVA FASE II UNIFICADO'!$C$6:$C$720,'ESAP NEIVA FASE II UNIFICADO'!$C$6:$F$720,"NO ESTA")</f>
        <v>SUMINISTRO E INSTALACION FLANCHES, CABEZALES Y ACCESORIOS VARIOS ASOCIADOS</v>
      </c>
      <c r="K421" t="str">
        <v>UND</v>
      </c>
      <c r="L421">
        <v>1</v>
      </c>
      <c r="M421">
        <v>3213217</v>
      </c>
      <c r="N421" s="115">
        <f t="shared" si="32"/>
        <v>3213217</v>
      </c>
      <c r="O421" s="146">
        <f t="shared" si="33"/>
        <v>3213217</v>
      </c>
      <c r="P421" s="119"/>
    </row>
    <row r="422" spans="2:16" ht="15" customHeight="1" x14ac:dyDescent="0.25">
      <c r="B422" s="86" t="s">
        <v>802</v>
      </c>
      <c r="C422" s="87" t="s">
        <v>803</v>
      </c>
      <c r="D422" s="82" t="s">
        <v>16</v>
      </c>
      <c r="E422" s="83">
        <v>2</v>
      </c>
      <c r="F422" s="88">
        <v>931109</v>
      </c>
      <c r="G422" s="89">
        <f t="shared" si="30"/>
        <v>1862218</v>
      </c>
      <c r="H422" s="209">
        <f t="shared" si="31"/>
        <v>980458</v>
      </c>
      <c r="I422" s="209">
        <f t="shared" si="34"/>
        <v>1960916</v>
      </c>
      <c r="J422" s="213" t="str">
        <f t="array" ref="J422:M422">_xlfn.XLOOKUP(C422,'ESAP NEIVA FASE II UNIFICADO'!$C$6:$C$720,'ESAP NEIVA FASE II UNIFICADO'!$C$6:$F$720,"NO ESTA")</f>
        <v>SUMINISTRO E INSTALACION JUNTAS FLEXIBLES CHILLER 4"</v>
      </c>
      <c r="K422" t="str">
        <v>UND</v>
      </c>
      <c r="L422">
        <v>2</v>
      </c>
      <c r="M422">
        <v>1006067</v>
      </c>
      <c r="N422" s="115">
        <f t="shared" si="32"/>
        <v>1006067</v>
      </c>
      <c r="O422" s="146">
        <f t="shared" si="33"/>
        <v>2012134</v>
      </c>
      <c r="P422" s="119"/>
    </row>
    <row r="423" spans="2:16" ht="15" customHeight="1" x14ac:dyDescent="0.25">
      <c r="B423" s="86" t="s">
        <v>804</v>
      </c>
      <c r="C423" s="87" t="s">
        <v>805</v>
      </c>
      <c r="D423" s="82" t="s">
        <v>16</v>
      </c>
      <c r="E423" s="83">
        <v>2</v>
      </c>
      <c r="F423" s="88">
        <v>889340</v>
      </c>
      <c r="G423" s="89">
        <f t="shared" si="30"/>
        <v>1778680</v>
      </c>
      <c r="H423" s="209">
        <f t="shared" si="31"/>
        <v>936475</v>
      </c>
      <c r="I423" s="209">
        <f t="shared" si="34"/>
        <v>1872950</v>
      </c>
      <c r="J423" s="213" t="str">
        <f t="array" ref="J423:M423">_xlfn.XLOOKUP(C423,'ESAP NEIVA FASE II UNIFICADO'!$C$6:$C$720,'ESAP NEIVA FASE II UNIFICADO'!$C$6:$F$720,"NO ESTA")</f>
        <v>SUMINISTRO E INSTALACION JUNTAS FLEXIBLES BOMBA VERTICAL 3"</v>
      </c>
      <c r="K423" t="str">
        <v>UND</v>
      </c>
      <c r="L423">
        <v>2</v>
      </c>
      <c r="M423">
        <v>960934</v>
      </c>
      <c r="N423" s="115">
        <f t="shared" si="32"/>
        <v>960934</v>
      </c>
      <c r="O423" s="146">
        <f t="shared" si="33"/>
        <v>1921868</v>
      </c>
      <c r="P423" s="119"/>
    </row>
    <row r="424" spans="2:16" ht="15" customHeight="1" x14ac:dyDescent="0.25">
      <c r="B424" s="86" t="s">
        <v>806</v>
      </c>
      <c r="C424" s="87" t="s">
        <v>807</v>
      </c>
      <c r="D424" s="82" t="s">
        <v>16</v>
      </c>
      <c r="E424" s="83">
        <v>1</v>
      </c>
      <c r="F424" s="88">
        <v>235182</v>
      </c>
      <c r="G424" s="89">
        <f t="shared" si="30"/>
        <v>235182</v>
      </c>
      <c r="H424" s="209">
        <f t="shared" si="31"/>
        <v>247647</v>
      </c>
      <c r="I424" s="209">
        <f t="shared" si="34"/>
        <v>247647</v>
      </c>
      <c r="J424" s="213" t="str">
        <f t="array" ref="J424:M424">_xlfn.XLOOKUP(C424,'ESAP NEIVA FASE II UNIFICADO'!$C$6:$C$720,'ESAP NEIVA FASE II UNIFICADO'!$C$6:$F$720,"NO ESTA")</f>
        <v>SUMINISTRO E INSTALACION VALVULA DE CORTINA 2" FC 150 PSI</v>
      </c>
      <c r="K424" t="str">
        <v>UND</v>
      </c>
      <c r="L424">
        <v>0</v>
      </c>
      <c r="M424">
        <v>254114</v>
      </c>
      <c r="N424" s="115">
        <f t="shared" si="32"/>
        <v>254114</v>
      </c>
      <c r="O424" s="146">
        <f t="shared" si="33"/>
        <v>254114</v>
      </c>
      <c r="P424" s="119"/>
    </row>
    <row r="425" spans="2:16" ht="15" customHeight="1" x14ac:dyDescent="0.25">
      <c r="B425" s="86" t="s">
        <v>808</v>
      </c>
      <c r="C425" s="87" t="s">
        <v>809</v>
      </c>
      <c r="D425" s="82" t="s">
        <v>16</v>
      </c>
      <c r="E425" s="83">
        <v>1</v>
      </c>
      <c r="F425" s="88">
        <v>261755</v>
      </c>
      <c r="G425" s="89">
        <f t="shared" si="30"/>
        <v>261755</v>
      </c>
      <c r="H425" s="209">
        <f t="shared" si="31"/>
        <v>275628</v>
      </c>
      <c r="I425" s="209">
        <f t="shared" si="34"/>
        <v>275628</v>
      </c>
      <c r="J425" s="213" t="str">
        <f t="array" ref="J425:M425">_xlfn.XLOOKUP(C425,'ESAP NEIVA FASE II UNIFICADO'!$C$6:$C$720,'ESAP NEIVA FASE II UNIFICADO'!$C$6:$F$720,"NO ESTA")</f>
        <v>SUMINISTRO E INSTALACION VALVULA DE GLOBO 2" FC 150 PSI</v>
      </c>
      <c r="K425" t="str">
        <v>UND</v>
      </c>
      <c r="L425">
        <v>0</v>
      </c>
      <c r="M425">
        <v>282827</v>
      </c>
      <c r="N425" s="115">
        <f t="shared" si="32"/>
        <v>282827</v>
      </c>
      <c r="O425" s="146">
        <f t="shared" si="33"/>
        <v>282827</v>
      </c>
      <c r="P425" s="119"/>
    </row>
    <row r="426" spans="2:16" ht="15" customHeight="1" x14ac:dyDescent="0.25">
      <c r="B426" s="86" t="s">
        <v>810</v>
      </c>
      <c r="C426" s="87" t="s">
        <v>811</v>
      </c>
      <c r="D426" s="82" t="s">
        <v>16</v>
      </c>
      <c r="E426" s="83">
        <v>6</v>
      </c>
      <c r="F426" s="88">
        <v>198747</v>
      </c>
      <c r="G426" s="89">
        <f t="shared" si="30"/>
        <v>1192482</v>
      </c>
      <c r="H426" s="209">
        <f t="shared" si="31"/>
        <v>209281</v>
      </c>
      <c r="I426" s="209">
        <f t="shared" si="34"/>
        <v>1255686</v>
      </c>
      <c r="J426" s="213" t="str">
        <f t="array" ref="J426:M426">_xlfn.XLOOKUP(C426,'ESAP NEIVA FASE II UNIFICADO'!$C$6:$C$720,'ESAP NEIVA FASE II UNIFICADO'!$C$6:$F$720,"NO ESTA")</f>
        <v>SUMINISTRO E INSTALACION VALVULAS DE CORTINA 1 1/4" FC 125 PSI</v>
      </c>
      <c r="K426" t="str">
        <v>UND</v>
      </c>
      <c r="L426">
        <v>17</v>
      </c>
      <c r="M426">
        <v>214747</v>
      </c>
      <c r="N426" s="115">
        <f t="shared" si="32"/>
        <v>214747</v>
      </c>
      <c r="O426" s="146">
        <f t="shared" si="33"/>
        <v>1288482</v>
      </c>
      <c r="P426" s="119"/>
    </row>
    <row r="427" spans="2:16" ht="15" customHeight="1" x14ac:dyDescent="0.25">
      <c r="B427" s="86" t="s">
        <v>812</v>
      </c>
      <c r="C427" s="87" t="s">
        <v>813</v>
      </c>
      <c r="D427" s="82" t="s">
        <v>16</v>
      </c>
      <c r="E427" s="83">
        <v>6</v>
      </c>
      <c r="F427" s="88">
        <v>300049</v>
      </c>
      <c r="G427" s="89">
        <f t="shared" si="30"/>
        <v>1800294</v>
      </c>
      <c r="H427" s="209">
        <f t="shared" si="31"/>
        <v>315952</v>
      </c>
      <c r="I427" s="209">
        <f t="shared" si="34"/>
        <v>1895712</v>
      </c>
      <c r="J427" s="213" t="str">
        <f t="array" ref="J427:M427">_xlfn.XLOOKUP(C427,'ESAP NEIVA FASE II UNIFICADO'!$C$6:$C$720,'ESAP NEIVA FASE II UNIFICADO'!$C$6:$F$720,"NO ESTA")</f>
        <v>SUMINISTRO E INSTALACION VALVULAS DE GLOBO 1 1/4" FC 125 PSI</v>
      </c>
      <c r="K427" t="str">
        <v>UND</v>
      </c>
      <c r="L427">
        <v>17</v>
      </c>
      <c r="M427">
        <v>324203</v>
      </c>
      <c r="N427" s="115">
        <f t="shared" si="32"/>
        <v>324203</v>
      </c>
      <c r="O427" s="146">
        <f t="shared" si="33"/>
        <v>1945218</v>
      </c>
      <c r="P427" s="119"/>
    </row>
    <row r="428" spans="2:16" ht="15" customHeight="1" x14ac:dyDescent="0.25">
      <c r="B428" s="86" t="s">
        <v>814</v>
      </c>
      <c r="C428" s="87" t="s">
        <v>815</v>
      </c>
      <c r="D428" s="82" t="s">
        <v>16</v>
      </c>
      <c r="E428" s="83">
        <v>1</v>
      </c>
      <c r="F428" s="88">
        <v>216582</v>
      </c>
      <c r="G428" s="89">
        <f t="shared" si="30"/>
        <v>216582</v>
      </c>
      <c r="H428" s="209">
        <f t="shared" si="31"/>
        <v>228061</v>
      </c>
      <c r="I428" s="209">
        <f t="shared" si="34"/>
        <v>228061</v>
      </c>
      <c r="J428" s="213" t="str">
        <f t="array" ref="J428:M428">_xlfn.XLOOKUP(C428,'ESAP NEIVA FASE II UNIFICADO'!$C$6:$C$720,'ESAP NEIVA FASE II UNIFICADO'!$C$6:$F$720,"NO ESTA")</f>
        <v>SUMINISTRO E INSTALACION VALVULAS DE CORTINA 1 1/2" FC 125-150 PSI</v>
      </c>
      <c r="K428" t="str">
        <v>UND</v>
      </c>
      <c r="L428">
        <v>1</v>
      </c>
      <c r="M428">
        <v>234017</v>
      </c>
      <c r="N428" s="115">
        <f t="shared" si="32"/>
        <v>234017</v>
      </c>
      <c r="O428" s="146">
        <f t="shared" si="33"/>
        <v>234017</v>
      </c>
      <c r="P428" s="119"/>
    </row>
    <row r="429" spans="2:16" ht="15" customHeight="1" x14ac:dyDescent="0.25">
      <c r="B429" s="86" t="s">
        <v>816</v>
      </c>
      <c r="C429" s="87" t="s">
        <v>817</v>
      </c>
      <c r="D429" s="82" t="s">
        <v>16</v>
      </c>
      <c r="E429" s="83">
        <v>1</v>
      </c>
      <c r="F429" s="88">
        <v>311701</v>
      </c>
      <c r="G429" s="89">
        <f t="shared" si="30"/>
        <v>311701</v>
      </c>
      <c r="H429" s="209">
        <f t="shared" si="31"/>
        <v>328221</v>
      </c>
      <c r="I429" s="209">
        <f t="shared" si="34"/>
        <v>328221</v>
      </c>
      <c r="J429" s="213" t="str">
        <f t="array" ref="J429:M429">_xlfn.XLOOKUP(C429,'ESAP NEIVA FASE II UNIFICADO'!$C$6:$C$720,'ESAP NEIVA FASE II UNIFICADO'!$C$6:$F$720,"NO ESTA")</f>
        <v>SUMINISTRO E INSTALACIONVALVULAS DE GLOBO 1   1/2" FC 125-150 PSI</v>
      </c>
      <c r="K429" t="str">
        <v>UND</v>
      </c>
      <c r="L429">
        <v>1</v>
      </c>
      <c r="M429">
        <v>336793</v>
      </c>
      <c r="N429" s="115">
        <f t="shared" si="32"/>
        <v>336793</v>
      </c>
      <c r="O429" s="146">
        <f t="shared" si="33"/>
        <v>336793</v>
      </c>
      <c r="P429" s="119"/>
    </row>
    <row r="430" spans="2:16" ht="15" customHeight="1" x14ac:dyDescent="0.25">
      <c r="B430" s="86" t="s">
        <v>818</v>
      </c>
      <c r="C430" s="87" t="s">
        <v>819</v>
      </c>
      <c r="D430" s="82" t="s">
        <v>16</v>
      </c>
      <c r="E430" s="83">
        <v>2</v>
      </c>
      <c r="F430" s="88">
        <v>145243</v>
      </c>
      <c r="G430" s="89">
        <f t="shared" si="30"/>
        <v>290486</v>
      </c>
      <c r="H430" s="209">
        <f t="shared" si="31"/>
        <v>152941</v>
      </c>
      <c r="I430" s="209">
        <f t="shared" si="34"/>
        <v>305882</v>
      </c>
      <c r="J430" s="213" t="str">
        <f t="array" ref="J430:M430">_xlfn.XLOOKUP(C430,'ESAP NEIVA FASE II UNIFICADO'!$C$6:$C$720,'ESAP NEIVA FASE II UNIFICADO'!$C$6:$F$720,"NO ESTA")</f>
        <v>SUMINISTRO E INSTALACION VALVULAS DE CORTINA 1" FC 125 PSI</v>
      </c>
      <c r="K430" t="str">
        <v>UND</v>
      </c>
      <c r="L430">
        <v>2</v>
      </c>
      <c r="M430">
        <v>156935</v>
      </c>
      <c r="N430" s="115">
        <f t="shared" si="32"/>
        <v>156935</v>
      </c>
      <c r="O430" s="146">
        <f t="shared" si="33"/>
        <v>313870</v>
      </c>
      <c r="P430" s="119"/>
    </row>
    <row r="431" spans="2:16" ht="15" customHeight="1" x14ac:dyDescent="0.25">
      <c r="B431" s="86" t="s">
        <v>820</v>
      </c>
      <c r="C431" s="87" t="s">
        <v>821</v>
      </c>
      <c r="D431" s="82" t="s">
        <v>16</v>
      </c>
      <c r="E431" s="83">
        <v>2</v>
      </c>
      <c r="F431" s="88">
        <v>180913</v>
      </c>
      <c r="G431" s="89">
        <f t="shared" si="30"/>
        <v>361826</v>
      </c>
      <c r="H431" s="209">
        <f t="shared" si="31"/>
        <v>190501</v>
      </c>
      <c r="I431" s="209">
        <f t="shared" si="34"/>
        <v>381002</v>
      </c>
      <c r="J431" s="213" t="str">
        <f t="array" ref="J431:M431">_xlfn.XLOOKUP(C431,'ESAP NEIVA FASE II UNIFICADO'!$C$6:$C$720,'ESAP NEIVA FASE II UNIFICADO'!$C$6:$F$720,"NO ESTA")</f>
        <v>SUMINISTRO E INSTALACION VALVULAS DE GLOBO 1" FC 125 PSI</v>
      </c>
      <c r="K431" t="str">
        <v>UND</v>
      </c>
      <c r="L431">
        <v>2</v>
      </c>
      <c r="M431">
        <v>195476</v>
      </c>
      <c r="N431" s="115">
        <f t="shared" si="32"/>
        <v>195476</v>
      </c>
      <c r="O431" s="146">
        <f t="shared" si="33"/>
        <v>390952</v>
      </c>
      <c r="P431" s="119"/>
    </row>
    <row r="432" spans="2:16" ht="15" customHeight="1" x14ac:dyDescent="0.25">
      <c r="B432" s="86" t="s">
        <v>822</v>
      </c>
      <c r="C432" s="87" t="s">
        <v>823</v>
      </c>
      <c r="D432" s="82" t="s">
        <v>16</v>
      </c>
      <c r="E432" s="83">
        <v>4</v>
      </c>
      <c r="F432" s="88">
        <v>116150</v>
      </c>
      <c r="G432" s="89">
        <f t="shared" si="30"/>
        <v>464600</v>
      </c>
      <c r="H432" s="209">
        <f t="shared" si="31"/>
        <v>122306</v>
      </c>
      <c r="I432" s="209">
        <f t="shared" si="34"/>
        <v>489224</v>
      </c>
      <c r="J432" s="213" t="str">
        <f t="array" ref="J432:M432">_xlfn.XLOOKUP(C432,'ESAP NEIVA FASE II UNIFICADO'!$C$6:$C$720,'ESAP NEIVA FASE II UNIFICADO'!$C$6:$F$720,"NO ESTA")</f>
        <v>SUMINISTRO E INSTALACION VALVULAS DE CORTINA 3/4" FC 125 PSI</v>
      </c>
      <c r="K432" t="str">
        <v>UND</v>
      </c>
      <c r="L432">
        <v>4</v>
      </c>
      <c r="M432">
        <v>125501</v>
      </c>
      <c r="N432" s="115">
        <f t="shared" si="32"/>
        <v>125501</v>
      </c>
      <c r="O432" s="146">
        <f t="shared" si="33"/>
        <v>502004</v>
      </c>
      <c r="P432" s="119"/>
    </row>
    <row r="433" spans="2:16" ht="15" customHeight="1" x14ac:dyDescent="0.25">
      <c r="B433" s="86" t="s">
        <v>824</v>
      </c>
      <c r="C433" s="87" t="s">
        <v>825</v>
      </c>
      <c r="D433" s="82" t="s">
        <v>16</v>
      </c>
      <c r="E433" s="83">
        <v>4</v>
      </c>
      <c r="F433" s="88">
        <v>148848</v>
      </c>
      <c r="G433" s="89">
        <f t="shared" si="30"/>
        <v>595392</v>
      </c>
      <c r="H433" s="209">
        <f t="shared" si="31"/>
        <v>156737</v>
      </c>
      <c r="I433" s="209">
        <f t="shared" si="34"/>
        <v>626948</v>
      </c>
      <c r="J433" s="213" t="str">
        <f t="array" ref="J433:M433">_xlfn.XLOOKUP(C433,'ESAP NEIVA FASE II UNIFICADO'!$C$6:$C$720,'ESAP NEIVA FASE II UNIFICADO'!$C$6:$F$720,"NO ESTA")</f>
        <v>SUMINISTRO E INSTALACION VALVULAS DE GLOBO 3/4" FC 125 PSI</v>
      </c>
      <c r="K433" t="str">
        <v>UND</v>
      </c>
      <c r="L433">
        <v>4</v>
      </c>
      <c r="M433">
        <v>160830</v>
      </c>
      <c r="N433" s="115">
        <f t="shared" si="32"/>
        <v>160830</v>
      </c>
      <c r="O433" s="146">
        <f t="shared" si="33"/>
        <v>643320</v>
      </c>
      <c r="P433" s="119"/>
    </row>
    <row r="434" spans="2:16" ht="15" customHeight="1" x14ac:dyDescent="0.25">
      <c r="B434" s="86" t="s">
        <v>826</v>
      </c>
      <c r="C434" s="87" t="s">
        <v>827</v>
      </c>
      <c r="D434" s="82" t="s">
        <v>16</v>
      </c>
      <c r="E434" s="83">
        <v>2</v>
      </c>
      <c r="F434" s="88">
        <v>180913</v>
      </c>
      <c r="G434" s="89">
        <f t="shared" si="30"/>
        <v>361826</v>
      </c>
      <c r="H434" s="209">
        <f t="shared" si="31"/>
        <v>190501</v>
      </c>
      <c r="I434" s="209">
        <f t="shared" si="34"/>
        <v>381002</v>
      </c>
      <c r="J434" s="213" t="str">
        <f t="array" ref="J434:M434">_xlfn.XLOOKUP(C434,'ESAP NEIVA FASE II UNIFICADO'!$C$6:$C$720,'ESAP NEIVA FASE II UNIFICADO'!$C$6:$F$720,"NO ESTA")</f>
        <v>SUMINISTRO E INSTALACION TERMOTATOS DIGITALES NO PROGRAMABLES FC</v>
      </c>
      <c r="K434" t="str">
        <v>UND</v>
      </c>
      <c r="L434">
        <v>6</v>
      </c>
      <c r="M434">
        <v>195476</v>
      </c>
      <c r="N434" s="115">
        <f t="shared" si="32"/>
        <v>195476</v>
      </c>
      <c r="O434" s="146">
        <f t="shared" si="33"/>
        <v>390952</v>
      </c>
      <c r="P434" s="119"/>
    </row>
    <row r="435" spans="2:16" ht="15" customHeight="1" x14ac:dyDescent="0.25">
      <c r="B435" s="86" t="s">
        <v>828</v>
      </c>
      <c r="C435" s="87" t="s">
        <v>829</v>
      </c>
      <c r="D435" s="82" t="s">
        <v>16</v>
      </c>
      <c r="E435" s="83">
        <v>8</v>
      </c>
      <c r="F435" s="88">
        <v>299811</v>
      </c>
      <c r="G435" s="89">
        <f t="shared" si="30"/>
        <v>2398488</v>
      </c>
      <c r="H435" s="209">
        <f t="shared" si="31"/>
        <v>315701</v>
      </c>
      <c r="I435" s="209">
        <f t="shared" si="34"/>
        <v>2525608</v>
      </c>
      <c r="J435" s="213" t="str">
        <f t="array" ref="J435:M435">_xlfn.XLOOKUP(C435,'ESAP NEIVA FASE II UNIFICADO'!$C$6:$C$720,'ESAP NEIVA FASE II UNIFICADO'!$C$6:$F$720,"NO ESTA")</f>
        <v xml:space="preserve">SUMINISTRO E INSTALACION TERMOSTATOS PROPORCIONALES DIGITALES </v>
      </c>
      <c r="K435" t="str">
        <v>UND</v>
      </c>
      <c r="L435">
        <v>22</v>
      </c>
      <c r="M435">
        <v>323946</v>
      </c>
      <c r="N435" s="115">
        <f t="shared" si="32"/>
        <v>323946</v>
      </c>
      <c r="O435" s="146">
        <f t="shared" si="33"/>
        <v>2591568</v>
      </c>
      <c r="P435" s="119"/>
    </row>
    <row r="436" spans="2:16" ht="15" customHeight="1" x14ac:dyDescent="0.25">
      <c r="B436" s="86" t="s">
        <v>830</v>
      </c>
      <c r="C436" s="87" t="s">
        <v>831</v>
      </c>
      <c r="D436" s="82" t="s">
        <v>16</v>
      </c>
      <c r="E436" s="83">
        <v>2</v>
      </c>
      <c r="F436" s="88">
        <v>228472</v>
      </c>
      <c r="G436" s="89">
        <f t="shared" si="30"/>
        <v>456944</v>
      </c>
      <c r="H436" s="209">
        <f t="shared" si="31"/>
        <v>240581</v>
      </c>
      <c r="I436" s="209">
        <f t="shared" si="34"/>
        <v>481162</v>
      </c>
      <c r="J436" s="213" t="str">
        <f t="array" ref="J436:M436">_xlfn.XLOOKUP(C436,'ESAP NEIVA FASE II UNIFICADO'!$C$6:$C$720,'ESAP NEIVA FASE II UNIFICADO'!$C$6:$F$720,"NO ESTA")</f>
        <v>SUMINISTRO E INSTALACION ELECTROVALVULAS ON-OFF  110V</v>
      </c>
      <c r="K436" t="str">
        <v>UND</v>
      </c>
      <c r="L436">
        <v>6</v>
      </c>
      <c r="M436">
        <v>246864</v>
      </c>
      <c r="N436" s="115">
        <f t="shared" si="32"/>
        <v>246864</v>
      </c>
      <c r="O436" s="146">
        <f t="shared" si="33"/>
        <v>493728</v>
      </c>
      <c r="P436" s="119"/>
    </row>
    <row r="437" spans="2:16" ht="15" customHeight="1" x14ac:dyDescent="0.25">
      <c r="B437" s="86" t="s">
        <v>832</v>
      </c>
      <c r="C437" s="87" t="s">
        <v>833</v>
      </c>
      <c r="D437" s="82" t="s">
        <v>16</v>
      </c>
      <c r="E437" s="83">
        <v>1</v>
      </c>
      <c r="F437" s="88">
        <v>757569</v>
      </c>
      <c r="G437" s="89">
        <f t="shared" si="30"/>
        <v>757569</v>
      </c>
      <c r="H437" s="209">
        <f t="shared" si="31"/>
        <v>797720</v>
      </c>
      <c r="I437" s="209">
        <f t="shared" si="34"/>
        <v>797720</v>
      </c>
      <c r="J437" s="213" t="str">
        <f t="array" ref="J437:M437">_xlfn.XLOOKUP(C437,'ESAP NEIVA FASE II UNIFICADO'!$C$6:$C$720,'ESAP NEIVA FASE II UNIFICADO'!$C$6:$F$720,"NO ESTA")</f>
        <v>SUMINISTRO E INSTALACION ELECTROVALVULAS PROPORCIONALES 2 " - 2 VIAS - 24V</v>
      </c>
      <c r="K437" t="str">
        <v>UND</v>
      </c>
      <c r="L437">
        <v>0</v>
      </c>
      <c r="M437">
        <v>818556</v>
      </c>
      <c r="N437" s="115">
        <f t="shared" si="32"/>
        <v>818556</v>
      </c>
      <c r="O437" s="146">
        <f t="shared" si="33"/>
        <v>818556</v>
      </c>
      <c r="P437" s="119"/>
    </row>
    <row r="438" spans="2:16" ht="27.75" customHeight="1" x14ac:dyDescent="0.25">
      <c r="B438" s="86" t="s">
        <v>834</v>
      </c>
      <c r="C438" s="87" t="s">
        <v>835</v>
      </c>
      <c r="D438" s="82" t="s">
        <v>16</v>
      </c>
      <c r="E438" s="83">
        <v>1</v>
      </c>
      <c r="F438" s="88">
        <v>757569</v>
      </c>
      <c r="G438" s="89">
        <f t="shared" si="30"/>
        <v>757569</v>
      </c>
      <c r="H438" s="209">
        <f t="shared" si="31"/>
        <v>797720</v>
      </c>
      <c r="I438" s="209">
        <f t="shared" si="34"/>
        <v>797720</v>
      </c>
      <c r="J438" s="213" t="str">
        <f t="array" ref="J438:M438">_xlfn.XLOOKUP(C438,'ESAP NEIVA FASE II UNIFICADO'!$C$6:$C$720,'ESAP NEIVA FASE II UNIFICADO'!$C$6:$F$720,"NO ESTA")</f>
        <v>SUMINISTRO E INSTALACION ELECTROVALVULAS PROPORCIONALES  1 1/2 " - 2 VIAS - 24V</v>
      </c>
      <c r="K438" t="str">
        <v>UND</v>
      </c>
      <c r="L438">
        <v>2</v>
      </c>
      <c r="M438">
        <v>818556</v>
      </c>
      <c r="N438" s="115">
        <f t="shared" si="32"/>
        <v>818556</v>
      </c>
      <c r="O438" s="146">
        <f t="shared" si="33"/>
        <v>818556</v>
      </c>
      <c r="P438" s="119"/>
    </row>
    <row r="439" spans="2:16" ht="27.75" customHeight="1" x14ac:dyDescent="0.25">
      <c r="B439" s="86" t="s">
        <v>836</v>
      </c>
      <c r="C439" s="87" t="s">
        <v>837</v>
      </c>
      <c r="D439" s="82" t="s">
        <v>16</v>
      </c>
      <c r="E439" s="83">
        <v>1</v>
      </c>
      <c r="F439" s="88">
        <v>757569</v>
      </c>
      <c r="G439" s="89">
        <f t="shared" si="30"/>
        <v>757569</v>
      </c>
      <c r="H439" s="209">
        <f t="shared" si="31"/>
        <v>797720</v>
      </c>
      <c r="I439" s="209">
        <f t="shared" si="34"/>
        <v>797720</v>
      </c>
      <c r="J439" s="213" t="str">
        <f t="array" ref="J439:M439">_xlfn.XLOOKUP(C439,'ESAP NEIVA FASE II UNIFICADO'!$C$6:$C$720,'ESAP NEIVA FASE II UNIFICADO'!$C$6:$F$720,"NO ESTA")</f>
        <v>SUMINISTRO E INSTALACION ELECTROVALVULAS PROPORCIONALES  1 1/2 " - 3 VIAS - 24V</v>
      </c>
      <c r="K439" t="str">
        <v>UND</v>
      </c>
      <c r="L439">
        <v>0</v>
      </c>
      <c r="M439">
        <v>818556</v>
      </c>
      <c r="N439" s="115">
        <f t="shared" si="32"/>
        <v>818556</v>
      </c>
      <c r="O439" s="146">
        <f t="shared" si="33"/>
        <v>818556</v>
      </c>
      <c r="P439" s="119"/>
    </row>
    <row r="440" spans="2:16" ht="15" customHeight="1" x14ac:dyDescent="0.25">
      <c r="B440" s="86" t="s">
        <v>838</v>
      </c>
      <c r="C440" s="87" t="s">
        <v>839</v>
      </c>
      <c r="D440" s="82" t="s">
        <v>16</v>
      </c>
      <c r="E440" s="83">
        <v>5</v>
      </c>
      <c r="F440" s="88">
        <v>668396</v>
      </c>
      <c r="G440" s="89">
        <f t="shared" si="30"/>
        <v>3341980</v>
      </c>
      <c r="H440" s="209">
        <f t="shared" si="31"/>
        <v>703821</v>
      </c>
      <c r="I440" s="209">
        <f t="shared" si="34"/>
        <v>3519105</v>
      </c>
      <c r="J440" s="213" t="str">
        <f t="array" ref="J440:M440">_xlfn.XLOOKUP(C440,'ESAP NEIVA FASE II UNIFICADO'!$C$6:$C$720,'ESAP NEIVA FASE II UNIFICADO'!$C$6:$F$720,"NO ESTA")</f>
        <v>SUMINISTRO E INSTALACION ELECTROVALVULAS PROPORCIONALES 1 1/4 " - 24V</v>
      </c>
      <c r="K440" t="str">
        <v>UND</v>
      </c>
      <c r="L440">
        <v>15</v>
      </c>
      <c r="M440">
        <v>722203</v>
      </c>
      <c r="N440" s="115">
        <f t="shared" si="32"/>
        <v>722203</v>
      </c>
      <c r="O440" s="146">
        <f t="shared" si="33"/>
        <v>3611015</v>
      </c>
      <c r="P440" s="119"/>
    </row>
    <row r="441" spans="2:16" ht="15" customHeight="1" x14ac:dyDescent="0.25">
      <c r="B441" s="86" t="s">
        <v>840</v>
      </c>
      <c r="C441" s="87" t="s">
        <v>841</v>
      </c>
      <c r="D441" s="82" t="s">
        <v>16</v>
      </c>
      <c r="E441" s="83">
        <v>1</v>
      </c>
      <c r="F441" s="88">
        <v>539034</v>
      </c>
      <c r="G441" s="89">
        <f t="shared" si="30"/>
        <v>539034</v>
      </c>
      <c r="H441" s="209">
        <f t="shared" si="31"/>
        <v>567603</v>
      </c>
      <c r="I441" s="209">
        <f t="shared" si="34"/>
        <v>567603</v>
      </c>
      <c r="J441" s="213" t="str">
        <f t="array" ref="J441:M441">_xlfn.XLOOKUP(C441,'ESAP NEIVA FASE II UNIFICADO'!$C$6:$C$720,'ESAP NEIVA FASE II UNIFICADO'!$C$6:$F$720,"NO ESTA")</f>
        <v>SUMINISTRO E INSTALACION ELECTROVALVULAS PROPORCIONALES 1 " - 24V</v>
      </c>
      <c r="K441" t="str">
        <v>UND</v>
      </c>
      <c r="L441">
        <v>0</v>
      </c>
      <c r="M441">
        <v>582428</v>
      </c>
      <c r="N441" s="115">
        <f t="shared" si="32"/>
        <v>582428</v>
      </c>
      <c r="O441" s="146">
        <f t="shared" si="33"/>
        <v>582428</v>
      </c>
      <c r="P441" s="119"/>
    </row>
    <row r="442" spans="2:16" ht="15" customHeight="1" x14ac:dyDescent="0.25">
      <c r="B442" s="80" t="s">
        <v>842</v>
      </c>
      <c r="C442" s="81" t="s">
        <v>843</v>
      </c>
      <c r="D442" s="82"/>
      <c r="E442" s="83"/>
      <c r="F442" s="90"/>
      <c r="G442" s="89">
        <f t="shared" si="30"/>
        <v>0</v>
      </c>
      <c r="H442" s="209">
        <f t="shared" si="31"/>
        <v>0</v>
      </c>
      <c r="I442" s="209">
        <f t="shared" si="34"/>
        <v>0</v>
      </c>
      <c r="J442" s="213" t="str">
        <f t="array" ref="J442:M442">_xlfn.XLOOKUP(C442,'ESAP NEIVA FASE II UNIFICADO'!$C$6:$C$720,'ESAP NEIVA FASE II UNIFICADO'!$C$6:$F$720,"NO ESTA")</f>
        <v>SUMINISTRO, MONTAJE E INSTALACIÓN DE DUCTOS DE AIRE ACONDICIONADO</v>
      </c>
      <c r="K442">
        <v>0</v>
      </c>
      <c r="L442">
        <v>0</v>
      </c>
      <c r="M442">
        <v>0</v>
      </c>
      <c r="N442" s="115">
        <f t="shared" si="32"/>
        <v>0</v>
      </c>
      <c r="O442" s="146">
        <f t="shared" si="33"/>
        <v>0</v>
      </c>
      <c r="P442" s="119"/>
    </row>
    <row r="443" spans="2:16" ht="15" customHeight="1" x14ac:dyDescent="0.25">
      <c r="B443" s="86" t="s">
        <v>844</v>
      </c>
      <c r="C443" s="87" t="s">
        <v>845</v>
      </c>
      <c r="D443" s="82" t="s">
        <v>13</v>
      </c>
      <c r="E443" s="83">
        <v>28</v>
      </c>
      <c r="F443" s="88">
        <v>59051</v>
      </c>
      <c r="G443" s="89">
        <f t="shared" si="30"/>
        <v>1653428</v>
      </c>
      <c r="H443" s="209">
        <f t="shared" si="31"/>
        <v>62181</v>
      </c>
      <c r="I443" s="209">
        <f t="shared" si="34"/>
        <v>1741068</v>
      </c>
      <c r="J443" s="213" t="str">
        <f t="array" ref="J443:M443">_xlfn.XLOOKUP(C443,'ESAP NEIVA FASE II UNIFICADO'!$C$6:$C$720,'ESAP NEIVA FASE II UNIFICADO'!$C$6:$F$720,"NO ESTA")</f>
        <v>SUMINISTRO E INSTALACION DUCTOS EN LAMINA GALVANIZADA CAL. 24 Wrap FC</v>
      </c>
      <c r="K443" t="str">
        <v>M2</v>
      </c>
      <c r="L443">
        <v>77</v>
      </c>
      <c r="M443">
        <v>63805</v>
      </c>
      <c r="N443" s="115">
        <f t="shared" si="32"/>
        <v>63805</v>
      </c>
      <c r="O443" s="146">
        <f t="shared" si="33"/>
        <v>1786540</v>
      </c>
      <c r="P443" s="119"/>
    </row>
    <row r="444" spans="2:16" ht="15" customHeight="1" x14ac:dyDescent="0.25">
      <c r="B444" s="86" t="s">
        <v>846</v>
      </c>
      <c r="C444" s="87" t="s">
        <v>847</v>
      </c>
      <c r="D444" s="82" t="s">
        <v>13</v>
      </c>
      <c r="E444" s="83">
        <v>200</v>
      </c>
      <c r="F444" s="88">
        <v>64950</v>
      </c>
      <c r="G444" s="89">
        <f t="shared" si="30"/>
        <v>12990000</v>
      </c>
      <c r="H444" s="209">
        <f t="shared" si="31"/>
        <v>68392</v>
      </c>
      <c r="I444" s="209">
        <f t="shared" si="34"/>
        <v>13678400</v>
      </c>
      <c r="J444" s="213" t="str">
        <f t="array" ref="J444:M444">_xlfn.XLOOKUP(C444,'ESAP NEIVA FASE II UNIFICADO'!$C$6:$C$720,'ESAP NEIVA FASE II UNIFICADO'!$C$6:$F$720,"NO ESTA")</f>
        <v>SUMINISTRO E INSTALACION DUCTOS EN LAMINA GALVANIZADA CAL. 22 Wrap FC</v>
      </c>
      <c r="K444" t="str">
        <v>M2</v>
      </c>
      <c r="L444">
        <v>540</v>
      </c>
      <c r="M444">
        <v>70179</v>
      </c>
      <c r="N444" s="115">
        <f t="shared" si="32"/>
        <v>70179</v>
      </c>
      <c r="O444" s="146">
        <f t="shared" si="33"/>
        <v>14035800</v>
      </c>
      <c r="P444" s="119"/>
    </row>
    <row r="445" spans="2:16" ht="15" customHeight="1" x14ac:dyDescent="0.25">
      <c r="B445" s="86" t="s">
        <v>848</v>
      </c>
      <c r="C445" s="87" t="s">
        <v>849</v>
      </c>
      <c r="D445" s="82" t="s">
        <v>13</v>
      </c>
      <c r="E445" s="83">
        <v>228</v>
      </c>
      <c r="F445" s="88">
        <v>18007</v>
      </c>
      <c r="G445" s="89">
        <f t="shared" si="30"/>
        <v>4105596</v>
      </c>
      <c r="H445" s="209">
        <f t="shared" si="31"/>
        <v>18961</v>
      </c>
      <c r="I445" s="209">
        <f t="shared" si="34"/>
        <v>4323108</v>
      </c>
      <c r="J445" s="213" t="str">
        <f t="array" ref="J445:M445">_xlfn.XLOOKUP(C445,'ESAP NEIVA FASE II UNIFICADO'!$C$6:$C$720,'ESAP NEIVA FASE II UNIFICADO'!$C$6:$F$720,"NO ESTA")</f>
        <v>SUMINISTRO E INSTALACION AISLAMIENTO DUCTOS EN JUMBOLON FC</v>
      </c>
      <c r="K445" t="str">
        <v>M2</v>
      </c>
      <c r="L445">
        <v>617</v>
      </c>
      <c r="M445">
        <v>19457</v>
      </c>
      <c r="N445" s="115">
        <f t="shared" si="32"/>
        <v>19457</v>
      </c>
      <c r="O445" s="146">
        <f t="shared" si="33"/>
        <v>4436196</v>
      </c>
      <c r="P445" s="119"/>
    </row>
    <row r="446" spans="2:16" ht="15" customHeight="1" x14ac:dyDescent="0.25">
      <c r="B446" s="86" t="s">
        <v>850</v>
      </c>
      <c r="C446" s="87" t="s">
        <v>851</v>
      </c>
      <c r="D446" s="82" t="s">
        <v>13</v>
      </c>
      <c r="E446" s="83">
        <v>55</v>
      </c>
      <c r="F446" s="88">
        <v>70895</v>
      </c>
      <c r="G446" s="89">
        <f t="shared" si="30"/>
        <v>3899225</v>
      </c>
      <c r="H446" s="209">
        <f t="shared" si="31"/>
        <v>74652</v>
      </c>
      <c r="I446" s="209">
        <f t="shared" si="34"/>
        <v>4105860</v>
      </c>
      <c r="J446" s="213" t="str">
        <f t="array" ref="J446:M446">_xlfn.XLOOKUP(C446,'ESAP NEIVA FASE II UNIFICADO'!$C$6:$C$720,'ESAP NEIVA FASE II UNIFICADO'!$C$6:$F$720,"NO ESTA")</f>
        <v>SUMINISTRO E INSTALACION DUCTOS EN LAMINA GALVANIZADA CAL. 20 Wrap UMAS</v>
      </c>
      <c r="K446" t="str">
        <v>M2</v>
      </c>
      <c r="L446">
        <v>150</v>
      </c>
      <c r="M446">
        <v>76603</v>
      </c>
      <c r="N446" s="115">
        <f t="shared" si="32"/>
        <v>76603</v>
      </c>
      <c r="O446" s="146">
        <f t="shared" si="33"/>
        <v>4213165</v>
      </c>
      <c r="P446" s="119"/>
    </row>
    <row r="447" spans="2:16" ht="15" customHeight="1" x14ac:dyDescent="0.25">
      <c r="B447" s="86" t="s">
        <v>852</v>
      </c>
      <c r="C447" s="87" t="s">
        <v>853</v>
      </c>
      <c r="D447" s="82" t="s">
        <v>13</v>
      </c>
      <c r="E447" s="83">
        <v>55</v>
      </c>
      <c r="F447" s="88">
        <v>18007</v>
      </c>
      <c r="G447" s="89">
        <f t="shared" si="30"/>
        <v>990385</v>
      </c>
      <c r="H447" s="209">
        <f t="shared" si="31"/>
        <v>18961</v>
      </c>
      <c r="I447" s="209">
        <f t="shared" si="34"/>
        <v>1042855</v>
      </c>
      <c r="J447" s="213" t="str">
        <f t="array" ref="J447:M447">_xlfn.XLOOKUP(C447,'ESAP NEIVA FASE II UNIFICADO'!$C$6:$C$720,'ESAP NEIVA FASE II UNIFICADO'!$C$6:$F$720,"NO ESTA")</f>
        <v>SUMINISTRO E INSTALACION AISLAMIENTO DUCTOS EN DUCT WRAP UMAS</v>
      </c>
      <c r="K447" t="str">
        <v>M2</v>
      </c>
      <c r="L447">
        <v>150</v>
      </c>
      <c r="M447">
        <v>19457</v>
      </c>
      <c r="N447" s="115">
        <f t="shared" si="32"/>
        <v>19457</v>
      </c>
      <c r="O447" s="146">
        <f t="shared" si="33"/>
        <v>1070135</v>
      </c>
      <c r="P447" s="119"/>
    </row>
    <row r="448" spans="2:16" ht="15" customHeight="1" x14ac:dyDescent="0.25">
      <c r="B448" s="86" t="s">
        <v>854</v>
      </c>
      <c r="C448" s="87" t="s">
        <v>855</v>
      </c>
      <c r="D448" s="82" t="s">
        <v>16</v>
      </c>
      <c r="E448" s="83">
        <v>9</v>
      </c>
      <c r="F448" s="88">
        <v>30906</v>
      </c>
      <c r="G448" s="89">
        <f t="shared" si="30"/>
        <v>278154</v>
      </c>
      <c r="H448" s="209">
        <f t="shared" si="31"/>
        <v>32544</v>
      </c>
      <c r="I448" s="209">
        <f t="shared" si="34"/>
        <v>292896</v>
      </c>
      <c r="J448" s="213" t="str">
        <f t="array" ref="J448:M448">_xlfn.XLOOKUP(C448,'ESAP NEIVA FASE II UNIFICADO'!$C$6:$C$720,'ESAP NEIVA FASE II UNIFICADO'!$C$6:$F$720,"NO ESTA")</f>
        <v>SUMINISTRO E INSTALACION ACOPLE FLEXIBLE DUCTOS - EQUIPOS</v>
      </c>
      <c r="K448" t="str">
        <v>UND</v>
      </c>
      <c r="L448">
        <v>24</v>
      </c>
      <c r="M448">
        <v>33394</v>
      </c>
      <c r="N448" s="115">
        <f t="shared" si="32"/>
        <v>33394</v>
      </c>
      <c r="O448" s="146">
        <f t="shared" si="33"/>
        <v>300546</v>
      </c>
      <c r="P448" s="119"/>
    </row>
    <row r="449" spans="2:16" ht="15" customHeight="1" x14ac:dyDescent="0.25">
      <c r="B449" s="80" t="s">
        <v>856</v>
      </c>
      <c r="C449" s="81" t="s">
        <v>857</v>
      </c>
      <c r="D449" s="82"/>
      <c r="E449" s="83"/>
      <c r="F449" s="90"/>
      <c r="G449" s="89">
        <f t="shared" si="30"/>
        <v>0</v>
      </c>
      <c r="H449" s="209">
        <f t="shared" si="31"/>
        <v>0</v>
      </c>
      <c r="I449" s="209">
        <f t="shared" si="34"/>
        <v>0</v>
      </c>
      <c r="J449" s="213" t="str">
        <f t="array" ref="J449:M449">_xlfn.XLOOKUP(C449,'ESAP NEIVA FASE II UNIFICADO'!$C$6:$C$720,'ESAP NEIVA FASE II UNIFICADO'!$C$6:$F$720,"NO ESTA")</f>
        <v>SUMINISTRO E INSTALACIÓN DIFUSORES Y REJILLAS</v>
      </c>
      <c r="K449">
        <v>0</v>
      </c>
      <c r="L449">
        <v>0</v>
      </c>
      <c r="M449">
        <v>0</v>
      </c>
      <c r="N449" s="115">
        <f t="shared" si="32"/>
        <v>0</v>
      </c>
      <c r="O449" s="146">
        <f t="shared" si="33"/>
        <v>0</v>
      </c>
      <c r="P449" s="119"/>
    </row>
    <row r="450" spans="2:16" ht="26.25" customHeight="1" x14ac:dyDescent="0.25">
      <c r="B450" s="86" t="s">
        <v>858</v>
      </c>
      <c r="C450" s="87" t="s">
        <v>859</v>
      </c>
      <c r="D450" s="82" t="s">
        <v>16</v>
      </c>
      <c r="E450" s="83">
        <v>30</v>
      </c>
      <c r="F450" s="88">
        <v>145568</v>
      </c>
      <c r="G450" s="89">
        <f t="shared" si="30"/>
        <v>4367040</v>
      </c>
      <c r="H450" s="209">
        <f t="shared" si="31"/>
        <v>153283</v>
      </c>
      <c r="I450" s="209">
        <f t="shared" si="34"/>
        <v>4598490</v>
      </c>
      <c r="J450" s="213" t="str">
        <f t="array" ref="J450:M450">_xlfn.XLOOKUP(C450,'ESAP NEIVA FASE II UNIFICADO'!$C$6:$C$720,'ESAP NEIVA FASE II UNIFICADO'!$C$6:$F$720,"NO ESTA")</f>
        <v>SUMINISTRO E INSTALACION DIFUSORES SUMINISTRO DE 12" x 12" 4V (Tipo Descolgado) con Damper OB</v>
      </c>
      <c r="K450" t="str">
        <v>UND</v>
      </c>
      <c r="L450">
        <v>82</v>
      </c>
      <c r="M450">
        <v>157287</v>
      </c>
      <c r="N450" s="115">
        <f t="shared" si="32"/>
        <v>157287</v>
      </c>
      <c r="O450" s="146">
        <f t="shared" si="33"/>
        <v>4718610</v>
      </c>
      <c r="P450" s="119"/>
    </row>
    <row r="451" spans="2:16" ht="26.25" customHeight="1" x14ac:dyDescent="0.25">
      <c r="B451" s="86" t="s">
        <v>860</v>
      </c>
      <c r="C451" s="87" t="s">
        <v>861</v>
      </c>
      <c r="D451" s="82" t="s">
        <v>16</v>
      </c>
      <c r="E451" s="83">
        <v>2</v>
      </c>
      <c r="F451" s="88">
        <v>101576</v>
      </c>
      <c r="G451" s="89">
        <f t="shared" si="30"/>
        <v>203152</v>
      </c>
      <c r="H451" s="209">
        <f t="shared" si="31"/>
        <v>106960</v>
      </c>
      <c r="I451" s="209">
        <f t="shared" si="34"/>
        <v>213920</v>
      </c>
      <c r="J451" s="213" t="str">
        <f t="array" ref="J451:M451">_xlfn.XLOOKUP(C451,'ESAP NEIVA FASE II UNIFICADO'!$C$6:$C$720,'ESAP NEIVA FASE II UNIFICADO'!$C$6:$F$720,"NO ESTA")</f>
        <v>SUMINISTRO E INSTALACION DIFUSORES SUMINISTRO DE 9" x 9" 4V (Tipo Descolgado) con Damper OB</v>
      </c>
      <c r="K451" t="str">
        <v>UND</v>
      </c>
      <c r="L451">
        <v>4</v>
      </c>
      <c r="M451">
        <v>109753</v>
      </c>
      <c r="N451" s="115">
        <f t="shared" si="32"/>
        <v>109753</v>
      </c>
      <c r="O451" s="146">
        <f t="shared" si="33"/>
        <v>219506</v>
      </c>
      <c r="P451" s="119"/>
    </row>
    <row r="452" spans="2:16" ht="26.25" customHeight="1" x14ac:dyDescent="0.25">
      <c r="B452" s="86" t="s">
        <v>862</v>
      </c>
      <c r="C452" s="87" t="s">
        <v>863</v>
      </c>
      <c r="D452" s="82" t="s">
        <v>16</v>
      </c>
      <c r="E452" s="83">
        <v>1</v>
      </c>
      <c r="F452" s="88">
        <v>214529</v>
      </c>
      <c r="G452" s="89">
        <f t="shared" si="30"/>
        <v>214529</v>
      </c>
      <c r="H452" s="209">
        <f t="shared" si="31"/>
        <v>225899</v>
      </c>
      <c r="I452" s="209">
        <f t="shared" si="34"/>
        <v>225899</v>
      </c>
      <c r="J452" s="213" t="str">
        <f t="array" ref="J452:M452">_xlfn.XLOOKUP(C452,'ESAP NEIVA FASE II UNIFICADO'!$C$6:$C$720,'ESAP NEIVA FASE II UNIFICADO'!$C$6:$F$720,"NO ESTA")</f>
        <v>SUMINISTRO E INSTALACION REJILLAS SUMINISTRO DE 48" X 12" (TIPO DOBLE ALETA) con Damper incluye EXTRACTORES DE AIRE</v>
      </c>
      <c r="K452" t="str">
        <v>UND</v>
      </c>
      <c r="L452">
        <v>4</v>
      </c>
      <c r="M452">
        <v>231800</v>
      </c>
      <c r="N452" s="115">
        <f t="shared" si="32"/>
        <v>231800</v>
      </c>
      <c r="O452" s="146">
        <f t="shared" si="33"/>
        <v>231800</v>
      </c>
      <c r="P452" s="119"/>
    </row>
    <row r="453" spans="2:16" ht="26.25" customHeight="1" x14ac:dyDescent="0.25">
      <c r="B453" s="86" t="s">
        <v>864</v>
      </c>
      <c r="C453" s="87" t="s">
        <v>865</v>
      </c>
      <c r="D453" s="82" t="s">
        <v>16</v>
      </c>
      <c r="E453" s="83">
        <v>1</v>
      </c>
      <c r="F453" s="88">
        <v>54017</v>
      </c>
      <c r="G453" s="89">
        <f t="shared" si="30"/>
        <v>54017</v>
      </c>
      <c r="H453" s="209">
        <f t="shared" si="31"/>
        <v>56880</v>
      </c>
      <c r="I453" s="209">
        <f t="shared" si="34"/>
        <v>56880</v>
      </c>
      <c r="J453" s="213" t="str">
        <f t="array" ref="J453:M453">_xlfn.XLOOKUP(C453,'ESAP NEIVA FASE II UNIFICADO'!$C$6:$C$720,'ESAP NEIVA FASE II UNIFICADO'!$C$6:$F$720,"NO ESTA")</f>
        <v>SUMINISTRO E INSTALACION REJILLAS DE ACCESO/ RETORNO A FC DE 18" x 8" 160 CFM</v>
      </c>
      <c r="K453" t="str">
        <v>UND</v>
      </c>
      <c r="L453">
        <v>2</v>
      </c>
      <c r="M453">
        <v>58365</v>
      </c>
      <c r="N453" s="115">
        <f t="shared" si="32"/>
        <v>58365</v>
      </c>
      <c r="O453" s="146">
        <f t="shared" si="33"/>
        <v>58365</v>
      </c>
      <c r="P453" s="119"/>
    </row>
    <row r="454" spans="2:16" ht="26.25" customHeight="1" x14ac:dyDescent="0.25">
      <c r="B454" s="86" t="s">
        <v>866</v>
      </c>
      <c r="C454" s="87" t="s">
        <v>867</v>
      </c>
      <c r="D454" s="82" t="s">
        <v>16</v>
      </c>
      <c r="E454" s="83">
        <v>4</v>
      </c>
      <c r="F454" s="88">
        <v>202640</v>
      </c>
      <c r="G454" s="89">
        <f t="shared" ref="G454:G517" si="35">ROUND(+F454*E454,2)</f>
        <v>810560</v>
      </c>
      <c r="H454" s="209">
        <f t="shared" ref="H454:H517" si="36">+ROUND(F454*(1+$H$4),0)</f>
        <v>213380</v>
      </c>
      <c r="I454" s="209">
        <f t="shared" si="34"/>
        <v>853520</v>
      </c>
      <c r="J454" s="213" t="str">
        <f t="array" ref="J454:M454">_xlfn.XLOOKUP(C454,'ESAP NEIVA FASE II UNIFICADO'!$C$6:$C$720,'ESAP NEIVA FASE II UNIFICADO'!$C$6:$F$720,"NO ESTA")</f>
        <v>SUMINISTRO E INSTALACION REJILLAS DE ACCESO/ RETORNO A FC DE 40" x 8"   320 CFM</v>
      </c>
      <c r="K454" t="str">
        <v>UND</v>
      </c>
      <c r="L454">
        <v>12</v>
      </c>
      <c r="M454">
        <v>218953</v>
      </c>
      <c r="N454" s="115">
        <f t="shared" ref="N454:N517" si="37">MAX(M454,F454)</f>
        <v>218953</v>
      </c>
      <c r="O454" s="146">
        <f t="shared" ref="O454:O517" si="38">N454*E454</f>
        <v>875812</v>
      </c>
      <c r="P454" s="119"/>
    </row>
    <row r="455" spans="2:16" ht="26.25" customHeight="1" x14ac:dyDescent="0.25">
      <c r="B455" s="86" t="s">
        <v>868</v>
      </c>
      <c r="C455" s="87" t="s">
        <v>869</v>
      </c>
      <c r="D455" s="82" t="s">
        <v>16</v>
      </c>
      <c r="E455" s="83">
        <v>3</v>
      </c>
      <c r="F455" s="88">
        <v>214529</v>
      </c>
      <c r="G455" s="89">
        <f t="shared" si="35"/>
        <v>643587</v>
      </c>
      <c r="H455" s="209">
        <f t="shared" si="36"/>
        <v>225899</v>
      </c>
      <c r="I455" s="209">
        <f t="shared" ref="I455:I518" si="39">ROUND(H455*E455,2)</f>
        <v>677697</v>
      </c>
      <c r="J455" s="213" t="str">
        <f t="array" ref="J455:M455">_xlfn.XLOOKUP(C455,'ESAP NEIVA FASE II UNIFICADO'!$C$6:$C$720,'ESAP NEIVA FASE II UNIFICADO'!$C$6:$F$720,"NO ESTA")</f>
        <v>SUMINISTRO E INSTALACION REJILLAS DE ACCESO/ RETORNO A FC DE 48" x 12" 400 CFM</v>
      </c>
      <c r="K455" t="str">
        <v>UND</v>
      </c>
      <c r="L455">
        <v>8</v>
      </c>
      <c r="M455">
        <v>231800</v>
      </c>
      <c r="N455" s="115">
        <f t="shared" si="37"/>
        <v>231800</v>
      </c>
      <c r="O455" s="146">
        <f t="shared" si="38"/>
        <v>695400</v>
      </c>
      <c r="P455" s="119"/>
    </row>
    <row r="456" spans="2:16" ht="26.25" customHeight="1" x14ac:dyDescent="0.25">
      <c r="B456" s="86" t="s">
        <v>870</v>
      </c>
      <c r="C456" s="87" t="s">
        <v>871</v>
      </c>
      <c r="D456" s="82" t="s">
        <v>16</v>
      </c>
      <c r="E456" s="83">
        <v>1</v>
      </c>
      <c r="F456" s="88">
        <v>461838</v>
      </c>
      <c r="G456" s="89">
        <f t="shared" si="35"/>
        <v>461838</v>
      </c>
      <c r="H456" s="209">
        <f t="shared" si="36"/>
        <v>486315</v>
      </c>
      <c r="I456" s="209">
        <f t="shared" si="39"/>
        <v>486315</v>
      </c>
      <c r="J456" s="213" t="str">
        <f t="array" ref="J456:M456">_xlfn.XLOOKUP(C456,'ESAP NEIVA FASE II UNIFICADO'!$C$6:$C$720,'ESAP NEIVA FASE II UNIFICADO'!$C$6:$F$720,"NO ESTA")</f>
        <v>SUMINISTRO E INSTALACION REJILLAS DE ACCESO/ RETORNO A FC DE 48" x 20" 2400 CFM</v>
      </c>
      <c r="K456" t="str">
        <v>UND</v>
      </c>
      <c r="L456">
        <v>1</v>
      </c>
      <c r="M456">
        <v>499017</v>
      </c>
      <c r="N456" s="115">
        <f t="shared" si="37"/>
        <v>499017</v>
      </c>
      <c r="O456" s="146">
        <f t="shared" si="38"/>
        <v>499017</v>
      </c>
      <c r="P456" s="119"/>
    </row>
    <row r="457" spans="2:16" ht="26.25" customHeight="1" x14ac:dyDescent="0.25">
      <c r="B457" s="86" t="s">
        <v>872</v>
      </c>
      <c r="C457" s="87" t="s">
        <v>873</v>
      </c>
      <c r="D457" s="82" t="s">
        <v>16</v>
      </c>
      <c r="E457" s="83">
        <v>1</v>
      </c>
      <c r="F457" s="88">
        <v>410712</v>
      </c>
      <c r="G457" s="89">
        <f t="shared" si="35"/>
        <v>410712</v>
      </c>
      <c r="H457" s="209">
        <f t="shared" si="36"/>
        <v>432480</v>
      </c>
      <c r="I457" s="209">
        <f t="shared" si="39"/>
        <v>432480</v>
      </c>
      <c r="J457" s="213" t="str">
        <f t="array" ref="J457:M457">_xlfn.XLOOKUP(C457,'ESAP NEIVA FASE II UNIFICADO'!$C$6:$C$720,'ESAP NEIVA FASE II UNIFICADO'!$C$6:$F$720,"NO ESTA")</f>
        <v>SUMINISTRO E INSTALACION REJILLAS DE ACCESO/ RETORNO A FC DE 48" x 24" 3600 CFM</v>
      </c>
      <c r="K457" t="str">
        <v>UND</v>
      </c>
      <c r="L457">
        <v>3</v>
      </c>
      <c r="M457">
        <v>443775</v>
      </c>
      <c r="N457" s="115">
        <f t="shared" si="37"/>
        <v>443775</v>
      </c>
      <c r="O457" s="146">
        <f t="shared" si="38"/>
        <v>443775</v>
      </c>
      <c r="P457" s="119"/>
    </row>
    <row r="458" spans="2:16" ht="15" customHeight="1" x14ac:dyDescent="0.25">
      <c r="B458" s="86" t="s">
        <v>874</v>
      </c>
      <c r="C458" s="87" t="s">
        <v>875</v>
      </c>
      <c r="D458" s="82" t="s">
        <v>16</v>
      </c>
      <c r="E458" s="83">
        <v>1</v>
      </c>
      <c r="F458" s="88">
        <v>21914</v>
      </c>
      <c r="G458" s="89">
        <f t="shared" si="35"/>
        <v>21914</v>
      </c>
      <c r="H458" s="209">
        <f t="shared" si="36"/>
        <v>23075</v>
      </c>
      <c r="I458" s="209">
        <f t="shared" si="39"/>
        <v>23075</v>
      </c>
      <c r="J458" s="213" t="str">
        <f t="array" ref="J458:M458">_xlfn.XLOOKUP(C458,'ESAP NEIVA FASE II UNIFICADO'!$C$6:$C$720,'ESAP NEIVA FASE II UNIFICADO'!$C$6:$F$720,"NO ESTA")</f>
        <v>SUMINISTRO E INSTALACION REJILLAS DE TOMA AIRE EXTERNO TAE 6" x 6"</v>
      </c>
      <c r="K458" t="str">
        <v>UND</v>
      </c>
      <c r="L458">
        <v>0</v>
      </c>
      <c r="M458">
        <v>23678</v>
      </c>
      <c r="N458" s="115">
        <f t="shared" si="37"/>
        <v>23678</v>
      </c>
      <c r="O458" s="146">
        <f t="shared" si="38"/>
        <v>23678</v>
      </c>
      <c r="P458" s="119"/>
    </row>
    <row r="459" spans="2:16" ht="15" customHeight="1" x14ac:dyDescent="0.25">
      <c r="B459" s="86" t="s">
        <v>876</v>
      </c>
      <c r="C459" s="87" t="s">
        <v>877</v>
      </c>
      <c r="D459" s="82" t="s">
        <v>16</v>
      </c>
      <c r="E459" s="83">
        <v>1</v>
      </c>
      <c r="F459" s="88">
        <v>30236</v>
      </c>
      <c r="G459" s="89">
        <f t="shared" si="35"/>
        <v>30236</v>
      </c>
      <c r="H459" s="209">
        <f t="shared" si="36"/>
        <v>31839</v>
      </c>
      <c r="I459" s="209">
        <f t="shared" si="39"/>
        <v>31839</v>
      </c>
      <c r="J459" s="213" t="str">
        <f t="array" ref="J459:M459">_xlfn.XLOOKUP(C459,'ESAP NEIVA FASE II UNIFICADO'!$C$6:$C$720,'ESAP NEIVA FASE II UNIFICADO'!$C$6:$F$720,"NO ESTA")</f>
        <v>SUMINISTRO E INSTALACION REJILLAS DE TOMA AIRE EXTERNO TAE 10" x 8"</v>
      </c>
      <c r="K459" t="str">
        <v>UND</v>
      </c>
      <c r="L459">
        <v>0</v>
      </c>
      <c r="M459">
        <v>32671</v>
      </c>
      <c r="N459" s="115">
        <f t="shared" si="37"/>
        <v>32671</v>
      </c>
      <c r="O459" s="146">
        <f t="shared" si="38"/>
        <v>32671</v>
      </c>
      <c r="P459" s="119"/>
    </row>
    <row r="460" spans="2:16" ht="15" customHeight="1" x14ac:dyDescent="0.25">
      <c r="B460" s="86" t="s">
        <v>878</v>
      </c>
      <c r="C460" s="87" t="s">
        <v>879</v>
      </c>
      <c r="D460" s="82" t="s">
        <v>16</v>
      </c>
      <c r="E460" s="83">
        <v>6</v>
      </c>
      <c r="F460" s="88">
        <v>42127</v>
      </c>
      <c r="G460" s="89">
        <f t="shared" si="35"/>
        <v>252762</v>
      </c>
      <c r="H460" s="209">
        <f t="shared" si="36"/>
        <v>44360</v>
      </c>
      <c r="I460" s="209">
        <f t="shared" si="39"/>
        <v>266160</v>
      </c>
      <c r="J460" s="213" t="str">
        <f t="array" ref="J460:M460">_xlfn.XLOOKUP(C460,'ESAP NEIVA FASE II UNIFICADO'!$C$6:$C$720,'ESAP NEIVA FASE II UNIFICADO'!$C$6:$F$720,"NO ESTA")</f>
        <v>SUMINISTRO E INSTALACION REJILLAS DE TOMA AIRE EXTERNO TAE 12" x 8"</v>
      </c>
      <c r="K460" t="str">
        <v>UND</v>
      </c>
      <c r="L460">
        <v>16</v>
      </c>
      <c r="M460">
        <v>45518</v>
      </c>
      <c r="N460" s="115">
        <f t="shared" si="37"/>
        <v>45518</v>
      </c>
      <c r="O460" s="146">
        <f t="shared" si="38"/>
        <v>273108</v>
      </c>
      <c r="P460" s="119"/>
    </row>
    <row r="461" spans="2:16" ht="15" customHeight="1" x14ac:dyDescent="0.25">
      <c r="B461" s="86" t="s">
        <v>880</v>
      </c>
      <c r="C461" s="87" t="s">
        <v>881</v>
      </c>
      <c r="D461" s="82" t="s">
        <v>16</v>
      </c>
      <c r="E461" s="83">
        <v>1</v>
      </c>
      <c r="F461" s="88">
        <v>54017</v>
      </c>
      <c r="G461" s="89">
        <f t="shared" si="35"/>
        <v>54017</v>
      </c>
      <c r="H461" s="209">
        <f t="shared" si="36"/>
        <v>56880</v>
      </c>
      <c r="I461" s="209">
        <f t="shared" si="39"/>
        <v>56880</v>
      </c>
      <c r="J461" s="213" t="str">
        <f t="array" ref="J461:M461">_xlfn.XLOOKUP(C461,'ESAP NEIVA FASE II UNIFICADO'!$C$6:$C$720,'ESAP NEIVA FASE II UNIFICADO'!$C$6:$F$720,"NO ESTA")</f>
        <v>SUMINISTRO E INSTALACION REJILLAS DE TOMA AIRE EXTERNO TAE 18" x 8"</v>
      </c>
      <c r="K461" t="str">
        <v>UND</v>
      </c>
      <c r="L461">
        <v>2</v>
      </c>
      <c r="M461">
        <v>58365</v>
      </c>
      <c r="N461" s="115">
        <f t="shared" si="37"/>
        <v>58365</v>
      </c>
      <c r="O461" s="146">
        <f t="shared" si="38"/>
        <v>58365</v>
      </c>
      <c r="P461" s="119"/>
    </row>
    <row r="462" spans="2:16" ht="25.5" customHeight="1" x14ac:dyDescent="0.25">
      <c r="B462" s="86" t="s">
        <v>882</v>
      </c>
      <c r="C462" s="87" t="s">
        <v>883</v>
      </c>
      <c r="D462" s="82" t="s">
        <v>16</v>
      </c>
      <c r="E462" s="83">
        <v>1</v>
      </c>
      <c r="F462" s="88">
        <v>535555</v>
      </c>
      <c r="G462" s="89">
        <f t="shared" si="35"/>
        <v>535555</v>
      </c>
      <c r="H462" s="209">
        <f t="shared" si="36"/>
        <v>563939</v>
      </c>
      <c r="I462" s="209">
        <f t="shared" si="39"/>
        <v>563939</v>
      </c>
      <c r="J462" s="213" t="str">
        <f t="array" ref="J462">_xlfn.XLOOKUP(C462,'ESAP NEIVA FASE II UNIFICADO'!$C$6:$C$720,'ESAP NEIVA FASE II UNIFICADO'!$C$6:$F$720,"NO ESTA")</f>
        <v>NO ESTA</v>
      </c>
      <c r="N462" s="115">
        <f t="shared" si="37"/>
        <v>535555</v>
      </c>
      <c r="O462" s="146">
        <f t="shared" si="38"/>
        <v>535555</v>
      </c>
      <c r="P462" s="119"/>
    </row>
    <row r="463" spans="2:16" ht="25.5" customHeight="1" x14ac:dyDescent="0.25">
      <c r="B463" s="86" t="s">
        <v>884</v>
      </c>
      <c r="C463" s="87" t="s">
        <v>885</v>
      </c>
      <c r="D463" s="82" t="s">
        <v>16</v>
      </c>
      <c r="E463" s="83">
        <v>1</v>
      </c>
      <c r="F463" s="88">
        <v>618271</v>
      </c>
      <c r="G463" s="89">
        <f t="shared" si="35"/>
        <v>618271</v>
      </c>
      <c r="H463" s="209">
        <f t="shared" si="36"/>
        <v>651039</v>
      </c>
      <c r="I463" s="209">
        <f t="shared" si="39"/>
        <v>651039</v>
      </c>
      <c r="J463" s="213" t="str">
        <f t="array" ref="J463">_xlfn.XLOOKUP(C463,'ESAP NEIVA FASE II UNIFICADO'!$C$6:$C$720,'ESAP NEIVA FASE II UNIFICADO'!$C$6:$F$720,"NO ESTA")</f>
        <v>NO ESTA</v>
      </c>
      <c r="N463" s="115">
        <f t="shared" si="37"/>
        <v>618271</v>
      </c>
      <c r="O463" s="146">
        <f t="shared" si="38"/>
        <v>618271</v>
      </c>
      <c r="P463" s="119"/>
    </row>
    <row r="464" spans="2:16" ht="15" customHeight="1" x14ac:dyDescent="0.25">
      <c r="B464" s="80" t="s">
        <v>886</v>
      </c>
      <c r="C464" s="81" t="s">
        <v>887</v>
      </c>
      <c r="D464" s="82"/>
      <c r="E464" s="83"/>
      <c r="F464" s="90"/>
      <c r="G464" s="89">
        <f t="shared" si="35"/>
        <v>0</v>
      </c>
      <c r="H464" s="209">
        <f t="shared" si="36"/>
        <v>0</v>
      </c>
      <c r="I464" s="209">
        <f t="shared" si="39"/>
        <v>0</v>
      </c>
      <c r="J464" s="213" t="str">
        <f t="array" ref="J464:M464">_xlfn.XLOOKUP(C464,'ESAP NEIVA FASE II UNIFICADO'!$C$6:$C$720,'ESAP NEIVA FASE II UNIFICADO'!$C$6:$F$720,"NO ESTA")</f>
        <v>SUMINSITRO, MONTAJE E INSTALACIÓN DE VENTILACIÓN MECANICA</v>
      </c>
      <c r="K464">
        <v>0</v>
      </c>
      <c r="L464">
        <v>0</v>
      </c>
      <c r="M464">
        <v>0</v>
      </c>
      <c r="N464" s="115">
        <f t="shared" si="37"/>
        <v>0</v>
      </c>
      <c r="O464" s="146">
        <f t="shared" si="38"/>
        <v>0</v>
      </c>
      <c r="P464" s="119"/>
    </row>
    <row r="465" spans="2:16" ht="15" customHeight="1" x14ac:dyDescent="0.25">
      <c r="B465" s="86" t="s">
        <v>888</v>
      </c>
      <c r="C465" s="87" t="s">
        <v>851</v>
      </c>
      <c r="D465" s="82" t="s">
        <v>13</v>
      </c>
      <c r="E465" s="83">
        <v>32</v>
      </c>
      <c r="F465" s="88">
        <v>83309</v>
      </c>
      <c r="G465" s="89">
        <f t="shared" si="35"/>
        <v>2665888</v>
      </c>
      <c r="H465" s="209">
        <f t="shared" si="36"/>
        <v>87724</v>
      </c>
      <c r="I465" s="209">
        <f t="shared" si="39"/>
        <v>2807168</v>
      </c>
      <c r="J465" s="213" t="str">
        <f t="array" ref="J465:M465">_xlfn.XLOOKUP(C465,'ESAP NEIVA FASE II UNIFICADO'!$C$6:$C$720,'ESAP NEIVA FASE II UNIFICADO'!$C$6:$F$720,"NO ESTA")</f>
        <v>SUMINISTRO E INSTALACION DUCTOS EN LAMINA GALVANIZADA CAL. 20 Wrap UMAS</v>
      </c>
      <c r="K465" t="str">
        <v>M2</v>
      </c>
      <c r="L465">
        <v>150</v>
      </c>
      <c r="M465">
        <v>76603</v>
      </c>
      <c r="N465" s="115">
        <f t="shared" si="37"/>
        <v>83309</v>
      </c>
      <c r="O465" s="146">
        <f t="shared" si="38"/>
        <v>2665888</v>
      </c>
      <c r="P465" s="119"/>
    </row>
    <row r="466" spans="2:16" ht="15" customHeight="1" x14ac:dyDescent="0.25">
      <c r="B466" s="86" t="s">
        <v>889</v>
      </c>
      <c r="C466" s="87" t="s">
        <v>890</v>
      </c>
      <c r="D466" s="82" t="s">
        <v>13</v>
      </c>
      <c r="E466" s="83">
        <v>71</v>
      </c>
      <c r="F466" s="88">
        <v>77364</v>
      </c>
      <c r="G466" s="89">
        <f t="shared" si="35"/>
        <v>5492844</v>
      </c>
      <c r="H466" s="209">
        <f t="shared" si="36"/>
        <v>81464</v>
      </c>
      <c r="I466" s="209">
        <f t="shared" si="39"/>
        <v>5783944</v>
      </c>
      <c r="J466" s="213" t="str">
        <f t="array" ref="J466:M466">_xlfn.XLOOKUP(C466,'ESAP NEIVA FASE II UNIFICADO'!$C$6:$C$720,'ESAP NEIVA FASE II UNIFICADO'!$C$6:$F$720,"NO ESTA")</f>
        <v>SUMINISTRO E INSTALACION DUCTOS EN LAMINA GALVANIZADA CAL. 22 Wrap UMAS</v>
      </c>
      <c r="K466" t="str">
        <v>M2</v>
      </c>
      <c r="L466">
        <v>191</v>
      </c>
      <c r="M466">
        <v>83592</v>
      </c>
      <c r="N466" s="115">
        <f t="shared" si="37"/>
        <v>83592</v>
      </c>
      <c r="O466" s="146">
        <f t="shared" si="38"/>
        <v>5935032</v>
      </c>
      <c r="P466" s="119"/>
    </row>
    <row r="467" spans="2:16" ht="15" customHeight="1" x14ac:dyDescent="0.25">
      <c r="B467" s="86" t="s">
        <v>891</v>
      </c>
      <c r="C467" s="87" t="s">
        <v>892</v>
      </c>
      <c r="D467" s="82" t="s">
        <v>16</v>
      </c>
      <c r="E467" s="83">
        <v>1</v>
      </c>
      <c r="F467" s="88">
        <v>461307</v>
      </c>
      <c r="G467" s="89">
        <f t="shared" si="35"/>
        <v>461307</v>
      </c>
      <c r="H467" s="209">
        <f t="shared" si="36"/>
        <v>485756</v>
      </c>
      <c r="I467" s="209">
        <f t="shared" si="39"/>
        <v>485756</v>
      </c>
      <c r="J467" s="213" t="str">
        <f t="array" ref="J467:M467">_xlfn.XLOOKUP(C467,'ESAP NEIVA FASE II UNIFICADO'!$C$6:$C$720,'ESAP NEIVA FASE II UNIFICADO'!$C$6:$F$720,"NO ESTA")</f>
        <v>SUMINISTRO E INSTALACION BANCO DE FILTROS</v>
      </c>
      <c r="K467" t="str">
        <v>UND</v>
      </c>
      <c r="L467">
        <v>2</v>
      </c>
      <c r="M467">
        <v>498443</v>
      </c>
      <c r="N467" s="115">
        <f t="shared" si="37"/>
        <v>498443</v>
      </c>
      <c r="O467" s="146">
        <f t="shared" si="38"/>
        <v>498443</v>
      </c>
      <c r="P467" s="119"/>
    </row>
    <row r="468" spans="2:16" ht="15" customHeight="1" x14ac:dyDescent="0.25">
      <c r="B468" s="80" t="s">
        <v>893</v>
      </c>
      <c r="C468" s="81" t="s">
        <v>894</v>
      </c>
      <c r="D468" s="82"/>
      <c r="E468" s="83"/>
      <c r="F468" s="90"/>
      <c r="G468" s="89">
        <f t="shared" si="35"/>
        <v>0</v>
      </c>
      <c r="H468" s="209">
        <f t="shared" si="36"/>
        <v>0</v>
      </c>
      <c r="I468" s="209">
        <f t="shared" si="39"/>
        <v>0</v>
      </c>
      <c r="J468" s="213" t="str">
        <f t="array" ref="J468:M468">_xlfn.XLOOKUP(C468,'ESAP NEIVA FASE II UNIFICADO'!$C$6:$C$720,'ESAP NEIVA FASE II UNIFICADO'!$C$6:$F$720,"NO ESTA")</f>
        <v>SUMNISTRO, INSTALACION Y MONTAJE CONTROL</v>
      </c>
      <c r="K468">
        <v>0</v>
      </c>
      <c r="L468">
        <v>0</v>
      </c>
      <c r="M468">
        <v>0</v>
      </c>
      <c r="N468" s="115">
        <f t="shared" si="37"/>
        <v>0</v>
      </c>
      <c r="O468" s="146">
        <f t="shared" si="38"/>
        <v>0</v>
      </c>
      <c r="P468" s="119"/>
    </row>
    <row r="469" spans="2:16" ht="15" customHeight="1" x14ac:dyDescent="0.25">
      <c r="B469" s="86" t="s">
        <v>895</v>
      </c>
      <c r="C469" s="87" t="s">
        <v>896</v>
      </c>
      <c r="D469" s="82" t="s">
        <v>16</v>
      </c>
      <c r="E469" s="83">
        <v>1</v>
      </c>
      <c r="F469" s="88">
        <v>1830940</v>
      </c>
      <c r="G469" s="89">
        <f t="shared" si="35"/>
        <v>1830940</v>
      </c>
      <c r="H469" s="209">
        <f t="shared" si="36"/>
        <v>1927980</v>
      </c>
      <c r="I469" s="209">
        <f t="shared" si="39"/>
        <v>1927980</v>
      </c>
      <c r="J469" s="213" t="str">
        <f t="array" ref="J469:M469">_xlfn.XLOOKUP(C469,'ESAP NEIVA FASE II UNIFICADO'!$C$6:$C$720,'ESAP NEIVA FASE II UNIFICADO'!$C$6:$F$720,"NO ESTA")</f>
        <v>SUMINISTRO E INSTALACION VALVULA BYPASS 2"</v>
      </c>
      <c r="K469" t="str">
        <v>UND</v>
      </c>
      <c r="L469">
        <v>1</v>
      </c>
      <c r="M469">
        <v>1978337</v>
      </c>
      <c r="N469" s="115">
        <f t="shared" si="37"/>
        <v>1978337</v>
      </c>
      <c r="O469" s="146">
        <f t="shared" si="38"/>
        <v>1978337</v>
      </c>
      <c r="P469" s="119"/>
    </row>
    <row r="470" spans="2:16" ht="15" customHeight="1" x14ac:dyDescent="0.25">
      <c r="B470" s="86" t="s">
        <v>897</v>
      </c>
      <c r="C470" s="87" t="s">
        <v>898</v>
      </c>
      <c r="D470" s="82" t="s">
        <v>16</v>
      </c>
      <c r="E470" s="83">
        <v>2</v>
      </c>
      <c r="F470" s="88">
        <v>1117597</v>
      </c>
      <c r="G470" s="89">
        <f t="shared" si="35"/>
        <v>2235194</v>
      </c>
      <c r="H470" s="209">
        <f t="shared" si="36"/>
        <v>1176830</v>
      </c>
      <c r="I470" s="209">
        <f t="shared" si="39"/>
        <v>2353660</v>
      </c>
      <c r="J470" s="213" t="str">
        <f t="array" ref="J470:M470">_xlfn.XLOOKUP(C470,'ESAP NEIVA FASE II UNIFICADO'!$C$6:$C$720,'ESAP NEIVA FASE II UNIFICADO'!$C$6:$F$720,"NO ESTA")</f>
        <v>SUMINISTRO E INSTALACION SENSOR DIFERENCIAL DE PRESIÓN SISTEMA AGUA FRIA</v>
      </c>
      <c r="K470" t="str">
        <v>UND</v>
      </c>
      <c r="L470">
        <v>2</v>
      </c>
      <c r="M470">
        <v>1207567</v>
      </c>
      <c r="N470" s="115">
        <f t="shared" si="37"/>
        <v>1207567</v>
      </c>
      <c r="O470" s="146">
        <f t="shared" si="38"/>
        <v>2415134</v>
      </c>
      <c r="P470" s="119"/>
    </row>
    <row r="471" spans="2:16" ht="15" customHeight="1" x14ac:dyDescent="0.25">
      <c r="B471" s="86" t="s">
        <v>899</v>
      </c>
      <c r="C471" s="87" t="s">
        <v>900</v>
      </c>
      <c r="D471" s="82" t="s">
        <v>16</v>
      </c>
      <c r="E471" s="83">
        <v>1</v>
      </c>
      <c r="F471" s="88">
        <v>803110</v>
      </c>
      <c r="G471" s="89">
        <f t="shared" si="35"/>
        <v>803110</v>
      </c>
      <c r="H471" s="209">
        <f t="shared" si="36"/>
        <v>845675</v>
      </c>
      <c r="I471" s="209">
        <f t="shared" si="39"/>
        <v>845675</v>
      </c>
      <c r="J471" s="213" t="str">
        <f t="array" ref="J471:M471">_xlfn.XLOOKUP(C471,'ESAP NEIVA FASE II UNIFICADO'!$C$6:$C$720,'ESAP NEIVA FASE II UNIFICADO'!$C$6:$F$720,"NO ESTA")</f>
        <v>SUMINISTRO E INSTALACION SENSOR DIFERENCIAL DE PRESIÓN SISTEMA AIRE UMAS</v>
      </c>
      <c r="K471" t="str">
        <v>UND</v>
      </c>
      <c r="L471">
        <v>1</v>
      </c>
      <c r="M471">
        <v>867763</v>
      </c>
      <c r="N471" s="115">
        <f t="shared" si="37"/>
        <v>867763</v>
      </c>
      <c r="O471" s="146">
        <f t="shared" si="38"/>
        <v>867763</v>
      </c>
      <c r="P471" s="119"/>
    </row>
    <row r="472" spans="2:16" ht="15" customHeight="1" x14ac:dyDescent="0.25">
      <c r="B472" s="86" t="s">
        <v>901</v>
      </c>
      <c r="C472" s="87" t="s">
        <v>902</v>
      </c>
      <c r="D472" s="82" t="s">
        <v>16</v>
      </c>
      <c r="E472" s="83">
        <v>1</v>
      </c>
      <c r="F472" s="88">
        <v>803110</v>
      </c>
      <c r="G472" s="89">
        <f t="shared" si="35"/>
        <v>803110</v>
      </c>
      <c r="H472" s="209">
        <f t="shared" si="36"/>
        <v>845675</v>
      </c>
      <c r="I472" s="209">
        <f t="shared" si="39"/>
        <v>845675</v>
      </c>
      <c r="J472" s="213" t="str">
        <f t="array" ref="J472:M472">_xlfn.XLOOKUP(C472,'ESAP NEIVA FASE II UNIFICADO'!$C$6:$C$720,'ESAP NEIVA FASE II UNIFICADO'!$C$6:$F$720,"NO ESTA")</f>
        <v>SUMINISTRO E INSTALACION SENSOR DE FLUJO AIRE UMAS</v>
      </c>
      <c r="K472" t="str">
        <v>UND</v>
      </c>
      <c r="L472">
        <v>2</v>
      </c>
      <c r="M472">
        <v>867763</v>
      </c>
      <c r="N472" s="115">
        <f t="shared" si="37"/>
        <v>867763</v>
      </c>
      <c r="O472" s="146">
        <f t="shared" si="38"/>
        <v>867763</v>
      </c>
      <c r="P472" s="119"/>
    </row>
    <row r="473" spans="2:16" ht="15" customHeight="1" x14ac:dyDescent="0.25">
      <c r="B473" s="86" t="s">
        <v>903</v>
      </c>
      <c r="C473" s="87" t="s">
        <v>904</v>
      </c>
      <c r="D473" s="82" t="s">
        <v>16</v>
      </c>
      <c r="E473" s="83">
        <v>2</v>
      </c>
      <c r="F473" s="88">
        <v>1022463</v>
      </c>
      <c r="G473" s="89">
        <f t="shared" si="35"/>
        <v>2044926</v>
      </c>
      <c r="H473" s="209">
        <f t="shared" si="36"/>
        <v>1076654</v>
      </c>
      <c r="I473" s="209">
        <f t="shared" si="39"/>
        <v>2153308</v>
      </c>
      <c r="J473" s="213" t="str">
        <f t="array" ref="J473:M473">_xlfn.XLOOKUP(C473,'ESAP NEIVA FASE II UNIFICADO'!$C$6:$C$720,'ESAP NEIVA FASE II UNIFICADO'!$C$6:$F$720,"NO ESTA")</f>
        <v>SUMINISTRO E INSTALACION SENSOR CO</v>
      </c>
      <c r="K473" t="str">
        <v>UND</v>
      </c>
      <c r="L473">
        <v>3</v>
      </c>
      <c r="M473">
        <v>1104774</v>
      </c>
      <c r="N473" s="115">
        <f t="shared" si="37"/>
        <v>1104774</v>
      </c>
      <c r="O473" s="146">
        <f t="shared" si="38"/>
        <v>2209548</v>
      </c>
      <c r="P473" s="119"/>
    </row>
    <row r="474" spans="2:16" ht="15" customHeight="1" x14ac:dyDescent="0.25">
      <c r="B474" s="86" t="s">
        <v>905</v>
      </c>
      <c r="C474" s="87" t="s">
        <v>906</v>
      </c>
      <c r="D474" s="82" t="s">
        <v>16</v>
      </c>
      <c r="E474" s="83">
        <v>2</v>
      </c>
      <c r="F474" s="88">
        <v>306739</v>
      </c>
      <c r="G474" s="89">
        <f t="shared" si="35"/>
        <v>613478</v>
      </c>
      <c r="H474" s="209">
        <f t="shared" si="36"/>
        <v>322996</v>
      </c>
      <c r="I474" s="209">
        <f t="shared" si="39"/>
        <v>645992</v>
      </c>
      <c r="J474" s="213" t="str">
        <f t="array" ref="J474:M474">_xlfn.XLOOKUP(C474,'ESAP NEIVA FASE II UNIFICADO'!$C$6:$C$720,'ESAP NEIVA FASE II UNIFICADO'!$C$6:$F$720,"NO ESTA")</f>
        <v>SUMINISTRO E INSTALACION SENSOR CONTROL CO2 UMAS</v>
      </c>
      <c r="K474" t="str">
        <v>UND</v>
      </c>
      <c r="L474">
        <v>2</v>
      </c>
      <c r="M474">
        <v>331432</v>
      </c>
      <c r="N474" s="115">
        <f t="shared" si="37"/>
        <v>331432</v>
      </c>
      <c r="O474" s="146">
        <f t="shared" si="38"/>
        <v>662864</v>
      </c>
      <c r="P474" s="119"/>
    </row>
    <row r="475" spans="2:16" ht="15" customHeight="1" x14ac:dyDescent="0.25">
      <c r="B475" s="74">
        <v>18</v>
      </c>
      <c r="C475" s="75" t="s">
        <v>907</v>
      </c>
      <c r="D475" s="76"/>
      <c r="E475" s="77"/>
      <c r="F475" s="78"/>
      <c r="G475" s="89">
        <f t="shared" si="35"/>
        <v>0</v>
      </c>
      <c r="H475" s="209">
        <f t="shared" si="36"/>
        <v>0</v>
      </c>
      <c r="I475" s="209">
        <f t="shared" si="39"/>
        <v>0</v>
      </c>
      <c r="J475" s="213" t="str">
        <f t="array" ref="J475:M475">_xlfn.XLOOKUP(C475,'ESAP NEIVA FASE II UNIFICADO'!$C$6:$C$720,'ESAP NEIVA FASE II UNIFICADO'!$C$6:$F$720,"NO ESTA")</f>
        <v>RED DE VOZ Y DATOS Cat. 6A BLINDADO LSZH (Low Smoke Zero Halogen)</v>
      </c>
      <c r="K475">
        <v>0</v>
      </c>
      <c r="L475">
        <v>0</v>
      </c>
      <c r="M475">
        <v>0</v>
      </c>
      <c r="N475" s="115">
        <f t="shared" si="37"/>
        <v>0</v>
      </c>
      <c r="O475" s="146">
        <f t="shared" si="38"/>
        <v>0</v>
      </c>
      <c r="P475" s="119"/>
    </row>
    <row r="476" spans="2:16" ht="15" customHeight="1" x14ac:dyDescent="0.25">
      <c r="B476" s="80" t="s">
        <v>908</v>
      </c>
      <c r="C476" s="81" t="s">
        <v>909</v>
      </c>
      <c r="D476" s="82"/>
      <c r="E476" s="83"/>
      <c r="F476" s="90"/>
      <c r="G476" s="89">
        <f t="shared" si="35"/>
        <v>0</v>
      </c>
      <c r="H476" s="209">
        <f t="shared" si="36"/>
        <v>0</v>
      </c>
      <c r="I476" s="209">
        <f t="shared" si="39"/>
        <v>0</v>
      </c>
      <c r="J476" s="213" t="str">
        <f t="array" ref="J476:M476">_xlfn.XLOOKUP(C476,'ESAP NEIVA FASE II UNIFICADO'!$C$6:$C$720,'ESAP NEIVA FASE II UNIFICADO'!$C$6:$F$720,"NO ESTA")</f>
        <v>SUMINISTRO E INSTALACION DE TOMAS PUESTOS DE TRABAJO</v>
      </c>
      <c r="K476">
        <v>0</v>
      </c>
      <c r="L476">
        <v>0</v>
      </c>
      <c r="M476">
        <v>0</v>
      </c>
      <c r="N476" s="115">
        <f t="shared" si="37"/>
        <v>0</v>
      </c>
      <c r="O476" s="146">
        <f t="shared" si="38"/>
        <v>0</v>
      </c>
      <c r="P476" s="119"/>
    </row>
    <row r="477" spans="2:16" ht="26.25" customHeight="1" x14ac:dyDescent="0.25">
      <c r="B477" s="86" t="s">
        <v>910</v>
      </c>
      <c r="C477" s="87" t="s">
        <v>911</v>
      </c>
      <c r="D477" s="82" t="s">
        <v>16</v>
      </c>
      <c r="E477" s="83">
        <v>64</v>
      </c>
      <c r="F477" s="88">
        <v>34792</v>
      </c>
      <c r="G477" s="89">
        <f t="shared" si="35"/>
        <v>2226688</v>
      </c>
      <c r="H477" s="209">
        <f t="shared" si="36"/>
        <v>36636</v>
      </c>
      <c r="I477" s="209">
        <f t="shared" si="39"/>
        <v>2344704</v>
      </c>
      <c r="J477" s="213" t="str">
        <f t="array" ref="J477:M477">_xlfn.XLOOKUP(C477,'ESAP NEIVA FASE II UNIFICADO'!$C$6:$C$720,'ESAP NEIVA FASE II UNIFICADO'!$C$6:$F$720,"NO ESTA")</f>
        <v xml:space="preserve">SUMINISTRO E INSTALACION TOMAS SENCILLA RJ45 Cat. 6A DATOS BLINDADO INCLUYE MARQUILLAS </v>
      </c>
      <c r="K477" t="str">
        <v>UND</v>
      </c>
      <c r="L477">
        <v>172</v>
      </c>
      <c r="M477">
        <v>37593</v>
      </c>
      <c r="N477" s="115">
        <f t="shared" si="37"/>
        <v>37593</v>
      </c>
      <c r="O477" s="146">
        <f t="shared" si="38"/>
        <v>2405952</v>
      </c>
      <c r="P477" s="119"/>
    </row>
    <row r="478" spans="2:16" ht="26.25" customHeight="1" x14ac:dyDescent="0.25">
      <c r="B478" s="86" t="s">
        <v>912</v>
      </c>
      <c r="C478" s="87" t="s">
        <v>913</v>
      </c>
      <c r="D478" s="82" t="s">
        <v>16</v>
      </c>
      <c r="E478" s="83">
        <v>14</v>
      </c>
      <c r="F478" s="88">
        <v>34792</v>
      </c>
      <c r="G478" s="89">
        <f t="shared" si="35"/>
        <v>487088</v>
      </c>
      <c r="H478" s="209">
        <f t="shared" si="36"/>
        <v>36636</v>
      </c>
      <c r="I478" s="209">
        <f t="shared" si="39"/>
        <v>512904</v>
      </c>
      <c r="J478" s="213" t="str">
        <f t="array" ref="J478:M478">_xlfn.XLOOKUP(C478,'ESAP NEIVA FASE II UNIFICADO'!$C$6:$C$720,'ESAP NEIVA FASE II UNIFICADO'!$C$6:$F$720,"NO ESTA")</f>
        <v>SUMINISTRO E INSTALACION TOMAS SENCILLA RJ45 Cat. 6A VOZ BLINDADO INCLUYE MARQUILLAS</v>
      </c>
      <c r="K478" t="str">
        <v>UND</v>
      </c>
      <c r="L478">
        <v>38</v>
      </c>
      <c r="M478">
        <v>37593</v>
      </c>
      <c r="N478" s="115">
        <f t="shared" si="37"/>
        <v>37593</v>
      </c>
      <c r="O478" s="146">
        <f t="shared" si="38"/>
        <v>526302</v>
      </c>
      <c r="P478" s="119"/>
    </row>
    <row r="479" spans="2:16" ht="15" customHeight="1" x14ac:dyDescent="0.25">
      <c r="B479" s="86" t="s">
        <v>914</v>
      </c>
      <c r="C479" s="87" t="s">
        <v>915</v>
      </c>
      <c r="D479" s="82" t="s">
        <v>16</v>
      </c>
      <c r="E479" s="83">
        <v>64</v>
      </c>
      <c r="F479" s="88">
        <v>9184</v>
      </c>
      <c r="G479" s="89">
        <f t="shared" si="35"/>
        <v>587776</v>
      </c>
      <c r="H479" s="209">
        <f t="shared" si="36"/>
        <v>9671</v>
      </c>
      <c r="I479" s="209">
        <f t="shared" si="39"/>
        <v>618944</v>
      </c>
      <c r="J479" s="213" t="str">
        <f t="array" ref="J479:M479">_xlfn.XLOOKUP(C479,'ESAP NEIVA FASE II UNIFICADO'!$C$6:$C$720,'ESAP NEIVA FASE II UNIFICADO'!$C$6:$F$720,"NO ESTA")</f>
        <v>SUMINISTRO E INSTALACION FACE PLATE DOBLE PARA TOMA RJ45</v>
      </c>
      <c r="K479" t="str">
        <v>UND</v>
      </c>
      <c r="L479">
        <v>172</v>
      </c>
      <c r="M479">
        <v>9923</v>
      </c>
      <c r="N479" s="115">
        <f t="shared" si="37"/>
        <v>9923</v>
      </c>
      <c r="O479" s="146">
        <f t="shared" si="38"/>
        <v>635072</v>
      </c>
      <c r="P479" s="119"/>
    </row>
    <row r="480" spans="2:16" ht="15" customHeight="1" x14ac:dyDescent="0.25">
      <c r="B480" s="86" t="s">
        <v>916</v>
      </c>
      <c r="C480" s="87" t="s">
        <v>917</v>
      </c>
      <c r="D480" s="82" t="s">
        <v>16</v>
      </c>
      <c r="E480" s="83">
        <v>64</v>
      </c>
      <c r="F480" s="88">
        <v>41852</v>
      </c>
      <c r="G480" s="89">
        <f t="shared" si="35"/>
        <v>2678528</v>
      </c>
      <c r="H480" s="209">
        <f t="shared" si="36"/>
        <v>44070</v>
      </c>
      <c r="I480" s="209">
        <f t="shared" si="39"/>
        <v>2820480</v>
      </c>
      <c r="J480" s="213" t="str">
        <f t="array" ref="J480:M480">_xlfn.XLOOKUP(C480,'ESAP NEIVA FASE II UNIFICADO'!$C$6:$C$720,'ESAP NEIVA FASE II UNIFICADO'!$C$6:$F$720,"NO ESTA")</f>
        <v>SUMINISTRO E INSTALACION PATCH CORD. RJ45-RJ45 1,5 m Cat. 6A BLINDADO</v>
      </c>
      <c r="K480" t="str">
        <v>UND</v>
      </c>
      <c r="L480">
        <v>172</v>
      </c>
      <c r="M480">
        <v>45221</v>
      </c>
      <c r="N480" s="115">
        <f t="shared" si="37"/>
        <v>45221</v>
      </c>
      <c r="O480" s="146">
        <f t="shared" si="38"/>
        <v>2894144</v>
      </c>
      <c r="P480" s="119"/>
    </row>
    <row r="481" spans="2:16" ht="15" customHeight="1" x14ac:dyDescent="0.25">
      <c r="B481" s="80" t="s">
        <v>918</v>
      </c>
      <c r="C481" s="81" t="s">
        <v>919</v>
      </c>
      <c r="D481" s="82"/>
      <c r="E481" s="83"/>
      <c r="F481" s="104"/>
      <c r="G481" s="89">
        <f t="shared" si="35"/>
        <v>0</v>
      </c>
      <c r="H481" s="209">
        <f t="shared" si="36"/>
        <v>0</v>
      </c>
      <c r="I481" s="209">
        <f t="shared" si="39"/>
        <v>0</v>
      </c>
      <c r="J481" s="213" t="str">
        <f t="array" ref="J481:M481">_xlfn.XLOOKUP(C481,'ESAP NEIVA FASE II UNIFICADO'!$C$6:$C$720,'ESAP NEIVA FASE II UNIFICADO'!$C$6:$F$720,"NO ESTA")</f>
        <v>SUMINISTRO E INSTALACION DE CABLES</v>
      </c>
      <c r="K481">
        <v>0</v>
      </c>
      <c r="L481">
        <v>0</v>
      </c>
      <c r="M481">
        <v>0</v>
      </c>
      <c r="N481" s="115">
        <f t="shared" si="37"/>
        <v>0</v>
      </c>
      <c r="O481" s="146">
        <f t="shared" si="38"/>
        <v>0</v>
      </c>
      <c r="P481" s="119"/>
    </row>
    <row r="482" spans="2:16" ht="24.75" customHeight="1" x14ac:dyDescent="0.25">
      <c r="B482" s="86" t="s">
        <v>920</v>
      </c>
      <c r="C482" s="87" t="s">
        <v>921</v>
      </c>
      <c r="D482" s="82" t="s">
        <v>94</v>
      </c>
      <c r="E482" s="83">
        <v>1765</v>
      </c>
      <c r="F482" s="88">
        <v>4168</v>
      </c>
      <c r="G482" s="89">
        <f t="shared" si="35"/>
        <v>7356520</v>
      </c>
      <c r="H482" s="209">
        <f t="shared" si="36"/>
        <v>4389</v>
      </c>
      <c r="I482" s="209">
        <f t="shared" si="39"/>
        <v>7746585</v>
      </c>
      <c r="J482" s="213" t="str">
        <f t="array" ref="J482:M482">_xlfn.XLOOKUP(C482,'ESAP NEIVA FASE II UNIFICADO'!$C$6:$C$720,'ESAP NEIVA FASE II UNIFICADO'!$C$6:$F$720,"NO ESTA")</f>
        <v>SUMINISTRO E INSTALACION CABLE 10 G F/UTP Cat. 6A CON CHAQUETA LSZH (LOW SMOKE ZERO HALOGEN)</v>
      </c>
      <c r="K482" t="str">
        <v>ML</v>
      </c>
      <c r="L482">
        <v>11247</v>
      </c>
      <c r="M482">
        <v>4503</v>
      </c>
      <c r="N482" s="115">
        <f t="shared" si="37"/>
        <v>4503</v>
      </c>
      <c r="O482" s="146">
        <f t="shared" si="38"/>
        <v>7947795</v>
      </c>
      <c r="P482" s="119"/>
    </row>
    <row r="483" spans="2:16" ht="15" customHeight="1" x14ac:dyDescent="0.25">
      <c r="B483" s="80" t="s">
        <v>922</v>
      </c>
      <c r="C483" s="81" t="s">
        <v>923</v>
      </c>
      <c r="D483" s="82"/>
      <c r="E483" s="83"/>
      <c r="F483" s="104"/>
      <c r="G483" s="89">
        <f t="shared" si="35"/>
        <v>0</v>
      </c>
      <c r="H483" s="209">
        <f t="shared" si="36"/>
        <v>0</v>
      </c>
      <c r="I483" s="209">
        <f t="shared" si="39"/>
        <v>0</v>
      </c>
      <c r="J483" s="213" t="str">
        <f t="array" ref="J483:M483">_xlfn.XLOOKUP(C483,'ESAP NEIVA FASE II UNIFICADO'!$C$6:$C$720,'ESAP NEIVA FASE II UNIFICADO'!$C$6:$F$720,"NO ESTA")</f>
        <v xml:space="preserve">SUMINISTRO E INSTALACION DE ELEMENTOS DE ADMINISTRACIÓN </v>
      </c>
      <c r="K483">
        <v>0</v>
      </c>
      <c r="L483">
        <v>0</v>
      </c>
      <c r="M483">
        <v>0</v>
      </c>
      <c r="N483" s="115">
        <f t="shared" si="37"/>
        <v>0</v>
      </c>
      <c r="O483" s="146">
        <f t="shared" si="38"/>
        <v>0</v>
      </c>
      <c r="P483" s="119"/>
    </row>
    <row r="484" spans="2:16" ht="15" customHeight="1" x14ac:dyDescent="0.25">
      <c r="B484" s="86" t="s">
        <v>924</v>
      </c>
      <c r="C484" s="87" t="s">
        <v>925</v>
      </c>
      <c r="D484" s="82" t="s">
        <v>16</v>
      </c>
      <c r="E484" s="83">
        <v>4</v>
      </c>
      <c r="F484" s="88">
        <v>248614</v>
      </c>
      <c r="G484" s="89">
        <f t="shared" si="35"/>
        <v>994456</v>
      </c>
      <c r="H484" s="209">
        <f t="shared" si="36"/>
        <v>261791</v>
      </c>
      <c r="I484" s="209">
        <f t="shared" si="39"/>
        <v>1047164</v>
      </c>
      <c r="J484" s="213" t="str">
        <f t="array" ref="J484:M484">_xlfn.XLOOKUP(C484,'ESAP NEIVA FASE II UNIFICADO'!$C$6:$C$720,'ESAP NEIVA FASE II UNIFICADO'!$C$6:$F$720,"NO ESTA")</f>
        <v>SUMINISTRO E INSTALACION HERRAJE PATVH PANEL 24 Pts Cat. 6A BLINDADO</v>
      </c>
      <c r="K484" t="str">
        <v>UND</v>
      </c>
      <c r="L484">
        <v>9</v>
      </c>
      <c r="M484">
        <v>268628</v>
      </c>
      <c r="N484" s="115">
        <f t="shared" si="37"/>
        <v>268628</v>
      </c>
      <c r="O484" s="146">
        <f t="shared" si="38"/>
        <v>1074512</v>
      </c>
      <c r="P484" s="119"/>
    </row>
    <row r="485" spans="2:16" ht="26.25" customHeight="1" x14ac:dyDescent="0.25">
      <c r="B485" s="86" t="s">
        <v>926</v>
      </c>
      <c r="C485" s="87" t="s">
        <v>927</v>
      </c>
      <c r="D485" s="82" t="s">
        <v>16</v>
      </c>
      <c r="E485" s="83">
        <v>64</v>
      </c>
      <c r="F485" s="88">
        <v>34794</v>
      </c>
      <c r="G485" s="89">
        <f t="shared" si="35"/>
        <v>2226816</v>
      </c>
      <c r="H485" s="209">
        <f t="shared" si="36"/>
        <v>36638</v>
      </c>
      <c r="I485" s="209">
        <f t="shared" si="39"/>
        <v>2344832</v>
      </c>
      <c r="J485" s="213" t="str">
        <f t="array" ref="J485:M485">_xlfn.XLOOKUP(C485,'ESAP NEIVA FASE II UNIFICADO'!$C$6:$C$720,'ESAP NEIVA FASE II UNIFICADO'!$C$6:$F$720,"NO ESTA")</f>
        <v>SUMINISTRO E INSTALACION TOMA SENCILLA RJ45 Cat. 6A AZUL DATOS BLINDADO INCLUYE MARQUILLAS</v>
      </c>
      <c r="K485" t="str">
        <v>UND</v>
      </c>
      <c r="L485">
        <v>172</v>
      </c>
      <c r="M485">
        <v>37595</v>
      </c>
      <c r="N485" s="115">
        <f t="shared" si="37"/>
        <v>37595</v>
      </c>
      <c r="O485" s="146">
        <f t="shared" si="38"/>
        <v>2406080</v>
      </c>
      <c r="P485" s="119"/>
    </row>
    <row r="486" spans="2:16" ht="26.25" customHeight="1" x14ac:dyDescent="0.25">
      <c r="B486" s="86" t="s">
        <v>928</v>
      </c>
      <c r="C486" s="87" t="s">
        <v>929</v>
      </c>
      <c r="D486" s="82" t="s">
        <v>16</v>
      </c>
      <c r="E486" s="83">
        <v>14</v>
      </c>
      <c r="F486" s="88">
        <v>34794</v>
      </c>
      <c r="G486" s="89">
        <f t="shared" si="35"/>
        <v>487116</v>
      </c>
      <c r="H486" s="209">
        <f t="shared" si="36"/>
        <v>36638</v>
      </c>
      <c r="I486" s="209">
        <f t="shared" si="39"/>
        <v>512932</v>
      </c>
      <c r="J486" s="213" t="str">
        <f t="array" ref="J486:M486">_xlfn.XLOOKUP(C486,'ESAP NEIVA FASE II UNIFICADO'!$C$6:$C$720,'ESAP NEIVA FASE II UNIFICADO'!$C$6:$F$720,"NO ESTA")</f>
        <v>SUMINISTRO E INSTALACION TOMA SENCILLA RJ45 Cat. 6A ROJO VOZ BLINDADO INCLUYE MARQUILLAS</v>
      </c>
      <c r="K486" t="str">
        <v>UND</v>
      </c>
      <c r="L486">
        <v>38</v>
      </c>
      <c r="M486">
        <v>37595</v>
      </c>
      <c r="N486" s="115">
        <f t="shared" si="37"/>
        <v>37595</v>
      </c>
      <c r="O486" s="146">
        <f t="shared" si="38"/>
        <v>526330</v>
      </c>
      <c r="P486" s="119"/>
    </row>
    <row r="487" spans="2:16" ht="15" customHeight="1" x14ac:dyDescent="0.25">
      <c r="B487" s="86" t="s">
        <v>930</v>
      </c>
      <c r="C487" s="87" t="s">
        <v>931</v>
      </c>
      <c r="D487" s="82" t="s">
        <v>16</v>
      </c>
      <c r="E487" s="83">
        <v>64</v>
      </c>
      <c r="F487" s="88">
        <v>44628</v>
      </c>
      <c r="G487" s="89">
        <f t="shared" si="35"/>
        <v>2856192</v>
      </c>
      <c r="H487" s="209">
        <f t="shared" si="36"/>
        <v>46993</v>
      </c>
      <c r="I487" s="209">
        <f t="shared" si="39"/>
        <v>3007552</v>
      </c>
      <c r="J487" s="213" t="str">
        <f t="array" ref="J487:M487">_xlfn.XLOOKUP(C487,'ESAP NEIVA FASE II UNIFICADO'!$C$6:$C$720,'ESAP NEIVA FASE II UNIFICADO'!$C$6:$F$720,"NO ESTA")</f>
        <v>SUMINISTRO E INSTALACION PATCH CORD. RJ45-RJ45 3 m Cat. 6A DATOS BLINDADO</v>
      </c>
      <c r="K487" t="str">
        <v>UND</v>
      </c>
      <c r="L487">
        <v>172</v>
      </c>
      <c r="M487">
        <v>48221</v>
      </c>
      <c r="N487" s="115">
        <f t="shared" si="37"/>
        <v>48221</v>
      </c>
      <c r="O487" s="146">
        <f t="shared" si="38"/>
        <v>3086144</v>
      </c>
      <c r="P487" s="119"/>
    </row>
    <row r="488" spans="2:16" ht="15" customHeight="1" x14ac:dyDescent="0.25">
      <c r="B488" s="86" t="s">
        <v>932</v>
      </c>
      <c r="C488" s="87" t="s">
        <v>933</v>
      </c>
      <c r="D488" s="82" t="s">
        <v>16</v>
      </c>
      <c r="E488" s="83">
        <v>14</v>
      </c>
      <c r="F488" s="88">
        <v>44628</v>
      </c>
      <c r="G488" s="89">
        <f t="shared" si="35"/>
        <v>624792</v>
      </c>
      <c r="H488" s="209">
        <f t="shared" si="36"/>
        <v>46993</v>
      </c>
      <c r="I488" s="209">
        <f t="shared" si="39"/>
        <v>657902</v>
      </c>
      <c r="J488" s="213" t="str">
        <f t="array" ref="J488:M488">_xlfn.XLOOKUP(C488,'ESAP NEIVA FASE II UNIFICADO'!$C$6:$C$720,'ESAP NEIVA FASE II UNIFICADO'!$C$6:$F$720,"NO ESTA")</f>
        <v>SUMINISTRO E INSTALACION PATCH CORD. RJ45-RJ45 3 m Cat. 6A VOZ BLINDADO</v>
      </c>
      <c r="K488" t="str">
        <v>UND</v>
      </c>
      <c r="L488">
        <v>38</v>
      </c>
      <c r="M488">
        <v>48221</v>
      </c>
      <c r="N488" s="115">
        <f t="shared" si="37"/>
        <v>48221</v>
      </c>
      <c r="O488" s="146">
        <f t="shared" si="38"/>
        <v>675094</v>
      </c>
      <c r="P488" s="119"/>
    </row>
    <row r="489" spans="2:16" ht="15" customHeight="1" x14ac:dyDescent="0.25">
      <c r="B489" s="86" t="s">
        <v>934</v>
      </c>
      <c r="C489" s="87" t="s">
        <v>935</v>
      </c>
      <c r="D489" s="82" t="s">
        <v>16</v>
      </c>
      <c r="E489" s="83">
        <v>4</v>
      </c>
      <c r="F489" s="88">
        <v>232040</v>
      </c>
      <c r="G489" s="89">
        <f t="shared" si="35"/>
        <v>928160</v>
      </c>
      <c r="H489" s="209">
        <f t="shared" si="36"/>
        <v>244338</v>
      </c>
      <c r="I489" s="209">
        <f t="shared" si="39"/>
        <v>977352</v>
      </c>
      <c r="J489" s="213" t="str">
        <f t="array" ref="J489:M489">_xlfn.XLOOKUP(C489,'ESAP NEIVA FASE II UNIFICADO'!$C$6:$C$720,'ESAP NEIVA FASE II UNIFICADO'!$C$6:$F$720,"NO ESTA")</f>
        <v>SUMINISTRO E INSTALACION ORGANIZADOR HORIZONTAL 2U</v>
      </c>
      <c r="K489" t="str">
        <v>UND</v>
      </c>
      <c r="L489">
        <v>9</v>
      </c>
      <c r="M489">
        <v>250719</v>
      </c>
      <c r="N489" s="115">
        <f t="shared" si="37"/>
        <v>250719</v>
      </c>
      <c r="O489" s="146">
        <f t="shared" si="38"/>
        <v>1002876</v>
      </c>
      <c r="P489" s="119"/>
    </row>
    <row r="490" spans="2:16" ht="15" customHeight="1" x14ac:dyDescent="0.25">
      <c r="B490" s="80" t="s">
        <v>936</v>
      </c>
      <c r="C490" s="81" t="s">
        <v>937</v>
      </c>
      <c r="D490" s="82"/>
      <c r="E490" s="83"/>
      <c r="F490" s="104"/>
      <c r="G490" s="89">
        <f t="shared" si="35"/>
        <v>0</v>
      </c>
      <c r="H490" s="209">
        <f t="shared" si="36"/>
        <v>0</v>
      </c>
      <c r="I490" s="209">
        <f t="shared" si="39"/>
        <v>0</v>
      </c>
      <c r="J490" s="213" t="str">
        <f t="array" ref="J490:M490">_xlfn.XLOOKUP(C490,'ESAP NEIVA FASE II UNIFICADO'!$C$6:$C$720,'ESAP NEIVA FASE II UNIFICADO'!$C$6:$F$720,"NO ESTA")</f>
        <v>SUMINISTRO E INSTALACIÓN INTEGRACIÓN TELEFÓNICA</v>
      </c>
      <c r="K490">
        <v>0</v>
      </c>
      <c r="L490">
        <v>0</v>
      </c>
      <c r="M490">
        <v>0</v>
      </c>
      <c r="N490" s="115">
        <f t="shared" si="37"/>
        <v>0</v>
      </c>
      <c r="O490" s="146">
        <f t="shared" si="38"/>
        <v>0</v>
      </c>
      <c r="P490" s="119"/>
    </row>
    <row r="491" spans="2:16" ht="24.75" customHeight="1" x14ac:dyDescent="0.25">
      <c r="B491" s="86" t="s">
        <v>938</v>
      </c>
      <c r="C491" s="87" t="s">
        <v>939</v>
      </c>
      <c r="D491" s="82" t="s">
        <v>16</v>
      </c>
      <c r="E491" s="83">
        <v>1</v>
      </c>
      <c r="F491" s="88">
        <v>538416</v>
      </c>
      <c r="G491" s="89">
        <f t="shared" si="35"/>
        <v>538416</v>
      </c>
      <c r="H491" s="209">
        <f t="shared" si="36"/>
        <v>566952</v>
      </c>
      <c r="I491" s="209">
        <f t="shared" si="39"/>
        <v>566952</v>
      </c>
      <c r="J491" s="213" t="str">
        <f t="array" ref="J491:M491">_xlfn.XLOOKUP(C491,'ESAP NEIVA FASE II UNIFICADO'!$C$6:$C$720,'ESAP NEIVA FASE II UNIFICADO'!$C$6:$F$720,"NO ESTA")</f>
        <v>SUMINISTRO E INSTALACION PATCH PANEL 24 Pts Cat. 5E BLINDADO PARA INTEGRACIÓN TELEFONICA</v>
      </c>
      <c r="K491" t="str">
        <v>UND</v>
      </c>
      <c r="L491">
        <v>1</v>
      </c>
      <c r="M491">
        <v>581760</v>
      </c>
      <c r="N491" s="115">
        <f t="shared" si="37"/>
        <v>581760</v>
      </c>
      <c r="O491" s="146">
        <f t="shared" si="38"/>
        <v>581760</v>
      </c>
      <c r="P491" s="119"/>
    </row>
    <row r="492" spans="2:16" ht="24.75" customHeight="1" x14ac:dyDescent="0.25">
      <c r="B492" s="86" t="s">
        <v>940</v>
      </c>
      <c r="C492" s="87" t="s">
        <v>941</v>
      </c>
      <c r="D492" s="82" t="s">
        <v>16</v>
      </c>
      <c r="E492" s="83">
        <v>14</v>
      </c>
      <c r="F492" s="88">
        <v>32703</v>
      </c>
      <c r="G492" s="89">
        <f t="shared" si="35"/>
        <v>457842</v>
      </c>
      <c r="H492" s="209">
        <f t="shared" si="36"/>
        <v>34436</v>
      </c>
      <c r="I492" s="209">
        <f t="shared" si="39"/>
        <v>482104</v>
      </c>
      <c r="J492" s="213" t="str">
        <f t="array" ref="J492:M492">_xlfn.XLOOKUP(C492,'ESAP NEIVA FASE II UNIFICADO'!$C$6:$C$720,'ESAP NEIVA FASE II UNIFICADO'!$C$6:$F$720,"NO ESTA")</f>
        <v>SUMINISTRO E INSTALACION PATCH CORD RJ45-RJ45 1m Cat 5E INTEGRACIÓN TELEFÓNICA INCLUYE MARQUILLAS</v>
      </c>
      <c r="K492" t="str">
        <v>UND</v>
      </c>
      <c r="L492">
        <v>38</v>
      </c>
      <c r="M492">
        <v>35336</v>
      </c>
      <c r="N492" s="115">
        <f t="shared" si="37"/>
        <v>35336</v>
      </c>
      <c r="O492" s="146">
        <f t="shared" si="38"/>
        <v>494704</v>
      </c>
      <c r="P492" s="119"/>
    </row>
    <row r="493" spans="2:16" ht="15" customHeight="1" x14ac:dyDescent="0.25">
      <c r="B493" s="86" t="s">
        <v>942</v>
      </c>
      <c r="C493" s="87" t="s">
        <v>935</v>
      </c>
      <c r="D493" s="82" t="s">
        <v>16</v>
      </c>
      <c r="E493" s="83">
        <v>1</v>
      </c>
      <c r="F493" s="88">
        <v>232040</v>
      </c>
      <c r="G493" s="89">
        <f t="shared" si="35"/>
        <v>232040</v>
      </c>
      <c r="H493" s="209">
        <f t="shared" si="36"/>
        <v>244338</v>
      </c>
      <c r="I493" s="209">
        <f t="shared" si="39"/>
        <v>244338</v>
      </c>
      <c r="J493" s="213" t="str">
        <f t="array" ref="J493:M493">_xlfn.XLOOKUP(C493,'ESAP NEIVA FASE II UNIFICADO'!$C$6:$C$720,'ESAP NEIVA FASE II UNIFICADO'!$C$6:$F$720,"NO ESTA")</f>
        <v>SUMINISTRO E INSTALACION ORGANIZADOR HORIZONTAL 2U</v>
      </c>
      <c r="K493" t="str">
        <v>UND</v>
      </c>
      <c r="L493">
        <v>9</v>
      </c>
      <c r="M493">
        <v>250719</v>
      </c>
      <c r="N493" s="115">
        <f t="shared" si="37"/>
        <v>250719</v>
      </c>
      <c r="O493" s="146">
        <f t="shared" si="38"/>
        <v>250719</v>
      </c>
      <c r="P493" s="119"/>
    </row>
    <row r="494" spans="2:16" ht="15" customHeight="1" x14ac:dyDescent="0.25">
      <c r="B494" s="80" t="s">
        <v>943</v>
      </c>
      <c r="C494" s="81" t="s">
        <v>944</v>
      </c>
      <c r="D494" s="82"/>
      <c r="E494" s="83"/>
      <c r="F494" s="104"/>
      <c r="G494" s="89">
        <f t="shared" si="35"/>
        <v>0</v>
      </c>
      <c r="H494" s="209">
        <f t="shared" si="36"/>
        <v>0</v>
      </c>
      <c r="I494" s="209">
        <f t="shared" si="39"/>
        <v>0</v>
      </c>
      <c r="J494" s="213" t="str">
        <f t="array" ref="J494:M494">_xlfn.XLOOKUP(C494,'ESAP NEIVA FASE II UNIFICADO'!$C$6:$C$720,'ESAP NEIVA FASE II UNIFICADO'!$C$6:$F$720,"NO ESTA")</f>
        <v>SUMINISTRO E INSTALACIÓN DE BACKBONE</v>
      </c>
      <c r="K494">
        <v>0</v>
      </c>
      <c r="L494">
        <v>0</v>
      </c>
      <c r="M494">
        <v>0</v>
      </c>
      <c r="N494" s="115">
        <f t="shared" si="37"/>
        <v>0</v>
      </c>
      <c r="O494" s="146">
        <f t="shared" si="38"/>
        <v>0</v>
      </c>
      <c r="P494" s="119"/>
    </row>
    <row r="495" spans="2:16" ht="15" customHeight="1" x14ac:dyDescent="0.25">
      <c r="B495" s="86" t="s">
        <v>945</v>
      </c>
      <c r="C495" s="87" t="s">
        <v>946</v>
      </c>
      <c r="D495" s="82" t="s">
        <v>94</v>
      </c>
      <c r="E495" s="83">
        <v>12</v>
      </c>
      <c r="F495" s="88">
        <v>18142</v>
      </c>
      <c r="G495" s="89">
        <f t="shared" si="35"/>
        <v>217704</v>
      </c>
      <c r="H495" s="209">
        <f t="shared" si="36"/>
        <v>19104</v>
      </c>
      <c r="I495" s="209">
        <f t="shared" si="39"/>
        <v>229248</v>
      </c>
      <c r="J495" s="213" t="str">
        <f t="array" ref="J495:M495">_xlfn.XLOOKUP(C495,'ESAP NEIVA FASE II UNIFICADO'!$C$6:$C$720,'ESAP NEIVA FASE II UNIFICADO'!$C$6:$F$720,"NO ESTA")</f>
        <v>SUMINISTRO E INSTALACION FIBRA OPTICA 6 HILOS MULTIMODO 50/125 u.</v>
      </c>
      <c r="K495" t="str">
        <v>ML</v>
      </c>
      <c r="L495">
        <v>32</v>
      </c>
      <c r="M495">
        <v>19602</v>
      </c>
      <c r="N495" s="115">
        <f t="shared" si="37"/>
        <v>19602</v>
      </c>
      <c r="O495" s="146">
        <f t="shared" si="38"/>
        <v>235224</v>
      </c>
      <c r="P495" s="119"/>
    </row>
    <row r="496" spans="2:16" ht="15" customHeight="1" x14ac:dyDescent="0.25">
      <c r="B496" s="86" t="s">
        <v>947</v>
      </c>
      <c r="C496" s="87" t="s">
        <v>948</v>
      </c>
      <c r="D496" s="82" t="s">
        <v>16</v>
      </c>
      <c r="E496" s="83">
        <v>2</v>
      </c>
      <c r="F496" s="88">
        <v>654027</v>
      </c>
      <c r="G496" s="89">
        <f t="shared" si="35"/>
        <v>1308054</v>
      </c>
      <c r="H496" s="209">
        <f t="shared" si="36"/>
        <v>688690</v>
      </c>
      <c r="I496" s="209">
        <f t="shared" si="39"/>
        <v>1377380</v>
      </c>
      <c r="J496" s="213" t="str">
        <f t="array" ref="J496:M496">_xlfn.XLOOKUP(C496,'ESAP NEIVA FASE II UNIFICADO'!$C$6:$C$720,'ESAP NEIVA FASE II UNIFICADO'!$C$6:$F$720,"NO ESTA")</f>
        <v>SUMINISTRO E INSTALACION BANDEJA DE FIBRA OPTICA DE 24 PUERTOS</v>
      </c>
      <c r="K496" t="str">
        <v>UND</v>
      </c>
      <c r="L496">
        <v>2</v>
      </c>
      <c r="M496">
        <v>706677</v>
      </c>
      <c r="N496" s="115">
        <f t="shared" si="37"/>
        <v>706677</v>
      </c>
      <c r="O496" s="146">
        <f t="shared" si="38"/>
        <v>1413354</v>
      </c>
      <c r="P496" s="119"/>
    </row>
    <row r="497" spans="2:16" ht="15" customHeight="1" x14ac:dyDescent="0.25">
      <c r="B497" s="86" t="s">
        <v>949</v>
      </c>
      <c r="C497" s="87" t="s">
        <v>950</v>
      </c>
      <c r="D497" s="82" t="s">
        <v>16</v>
      </c>
      <c r="E497" s="83">
        <v>2</v>
      </c>
      <c r="F497" s="88">
        <v>232040</v>
      </c>
      <c r="G497" s="89">
        <f t="shared" si="35"/>
        <v>464080</v>
      </c>
      <c r="H497" s="209">
        <f t="shared" si="36"/>
        <v>244338</v>
      </c>
      <c r="I497" s="209">
        <f t="shared" si="39"/>
        <v>488676</v>
      </c>
      <c r="J497" s="213" t="str">
        <f t="array" ref="J497:M497">_xlfn.XLOOKUP(C497,'ESAP NEIVA FASE II UNIFICADO'!$C$6:$C$720,'ESAP NEIVA FASE II UNIFICADO'!$C$6:$F$720,"NO ESTA")</f>
        <v>SUMINISTRO E INSTALACION ORGANIZADOR HORIZONTAL 1U</v>
      </c>
      <c r="K497" t="str">
        <v>UND</v>
      </c>
      <c r="L497">
        <v>2</v>
      </c>
      <c r="M497">
        <v>250719</v>
      </c>
      <c r="N497" s="115">
        <f t="shared" si="37"/>
        <v>250719</v>
      </c>
      <c r="O497" s="146">
        <f t="shared" si="38"/>
        <v>501438</v>
      </c>
      <c r="P497" s="119"/>
    </row>
    <row r="498" spans="2:16" ht="15" customHeight="1" x14ac:dyDescent="0.25">
      <c r="B498" s="80" t="s">
        <v>951</v>
      </c>
      <c r="C498" s="81" t="s">
        <v>952</v>
      </c>
      <c r="D498" s="82"/>
      <c r="E498" s="83"/>
      <c r="F498" s="104"/>
      <c r="G498" s="89">
        <f t="shared" si="35"/>
        <v>0</v>
      </c>
      <c r="H498" s="209">
        <f t="shared" si="36"/>
        <v>0</v>
      </c>
      <c r="I498" s="209">
        <f t="shared" si="39"/>
        <v>0</v>
      </c>
      <c r="J498" s="213" t="str">
        <f t="array" ref="J498:M498">_xlfn.XLOOKUP(C498,'ESAP NEIVA FASE II UNIFICADO'!$C$6:$C$720,'ESAP NEIVA FASE II UNIFICADO'!$C$6:$F$720,"NO ESTA")</f>
        <v xml:space="preserve">SUMINISTRO E INSTALACIÓN DE OTROS </v>
      </c>
      <c r="K498">
        <v>0</v>
      </c>
      <c r="L498">
        <v>0</v>
      </c>
      <c r="M498">
        <v>0</v>
      </c>
      <c r="N498" s="115">
        <f t="shared" si="37"/>
        <v>0</v>
      </c>
      <c r="O498" s="146">
        <f t="shared" si="38"/>
        <v>0</v>
      </c>
      <c r="P498" s="119"/>
    </row>
    <row r="499" spans="2:16" ht="25.5" customHeight="1" x14ac:dyDescent="0.25">
      <c r="B499" s="86" t="s">
        <v>953</v>
      </c>
      <c r="C499" s="87" t="s">
        <v>954</v>
      </c>
      <c r="D499" s="82" t="s">
        <v>16</v>
      </c>
      <c r="E499" s="83">
        <v>1</v>
      </c>
      <c r="F499" s="88">
        <v>4169101</v>
      </c>
      <c r="G499" s="89">
        <f t="shared" si="35"/>
        <v>4169101</v>
      </c>
      <c r="H499" s="209">
        <f t="shared" si="36"/>
        <v>4390063</v>
      </c>
      <c r="I499" s="209">
        <f t="shared" si="39"/>
        <v>4390063</v>
      </c>
      <c r="J499" s="213" t="str">
        <f t="array" ref="J499:M499">_xlfn.XLOOKUP(C499,'ESAP NEIVA FASE II UNIFICADO'!$C$6:$C$720,'ESAP NEIVA FASE II UNIFICADO'!$C$6:$F$720,"NO ESTA")</f>
        <v>SUMINISTRO E INSTALACION GABINETE 2,10 m ALTO X 0,71 m PROFUNDO Y 0,81 m DE ANCHO</v>
      </c>
      <c r="K499" t="str">
        <v>UND</v>
      </c>
      <c r="L499">
        <v>3</v>
      </c>
      <c r="M499">
        <v>4504726</v>
      </c>
      <c r="N499" s="115">
        <f t="shared" si="37"/>
        <v>4504726</v>
      </c>
      <c r="O499" s="146">
        <f t="shared" si="38"/>
        <v>4504726</v>
      </c>
      <c r="P499" s="119"/>
    </row>
    <row r="500" spans="2:16" ht="15" customHeight="1" x14ac:dyDescent="0.25">
      <c r="B500" s="86" t="s">
        <v>955</v>
      </c>
      <c r="C500" s="87" t="s">
        <v>956</v>
      </c>
      <c r="D500" s="82" t="s">
        <v>16</v>
      </c>
      <c r="E500" s="83">
        <v>2</v>
      </c>
      <c r="F500" s="88">
        <v>535775</v>
      </c>
      <c r="G500" s="89">
        <f t="shared" si="35"/>
        <v>1071550</v>
      </c>
      <c r="H500" s="209">
        <f t="shared" si="36"/>
        <v>564171</v>
      </c>
      <c r="I500" s="209">
        <f t="shared" si="39"/>
        <v>1128342</v>
      </c>
      <c r="J500" s="213" t="str">
        <f t="array" ref="J500:M500">_xlfn.XLOOKUP(C500,'ESAP NEIVA FASE II UNIFICADO'!$C$6:$C$720,'ESAP NEIVA FASE II UNIFICADO'!$C$6:$F$720,"NO ESTA")</f>
        <v>SUMINISTRO E INSTALACION ORGANIZADOR VERTICAL</v>
      </c>
      <c r="K500" t="str">
        <v>UND</v>
      </c>
      <c r="L500">
        <v>6</v>
      </c>
      <c r="M500">
        <v>578906</v>
      </c>
      <c r="N500" s="115">
        <f t="shared" si="37"/>
        <v>578906</v>
      </c>
      <c r="O500" s="146">
        <f t="shared" si="38"/>
        <v>1157812</v>
      </c>
      <c r="P500" s="119"/>
    </row>
    <row r="501" spans="2:16" ht="26.25" customHeight="1" x14ac:dyDescent="0.25">
      <c r="B501" s="86" t="s">
        <v>957</v>
      </c>
      <c r="C501" s="87" t="s">
        <v>958</v>
      </c>
      <c r="D501" s="82" t="s">
        <v>16</v>
      </c>
      <c r="E501" s="83">
        <v>1</v>
      </c>
      <c r="F501" s="88">
        <v>463979</v>
      </c>
      <c r="G501" s="89">
        <f t="shared" si="35"/>
        <v>463979</v>
      </c>
      <c r="H501" s="209">
        <f t="shared" si="36"/>
        <v>488570</v>
      </c>
      <c r="I501" s="209">
        <f t="shared" si="39"/>
        <v>488570</v>
      </c>
      <c r="J501" s="213" t="str">
        <f t="array" ref="J501:M501">_xlfn.XLOOKUP(C501,'ESAP NEIVA FASE II UNIFICADO'!$C$6:$C$720,'ESAP NEIVA FASE II UNIFICADO'!$C$6:$F$720,"NO ESTA")</f>
        <v>SUMINISTRO E INSTALACION MULTITOMA CON 5 SALIDAS ELECTRICAS GRADO HOSPITALARIO</v>
      </c>
      <c r="K501" t="str">
        <v>UND</v>
      </c>
      <c r="L501">
        <v>3</v>
      </c>
      <c r="M501">
        <v>501331</v>
      </c>
      <c r="N501" s="115">
        <f t="shared" si="37"/>
        <v>501331</v>
      </c>
      <c r="O501" s="146">
        <f t="shared" si="38"/>
        <v>501331</v>
      </c>
      <c r="P501" s="119"/>
    </row>
    <row r="502" spans="2:16" ht="26.25" customHeight="1" x14ac:dyDescent="0.25">
      <c r="B502" s="86" t="s">
        <v>959</v>
      </c>
      <c r="C502" s="87" t="s">
        <v>960</v>
      </c>
      <c r="D502" s="82" t="s">
        <v>94</v>
      </c>
      <c r="E502" s="83">
        <v>11</v>
      </c>
      <c r="F502" s="88">
        <v>4287</v>
      </c>
      <c r="G502" s="89">
        <f t="shared" si="35"/>
        <v>47157</v>
      </c>
      <c r="H502" s="209">
        <f t="shared" si="36"/>
        <v>4514</v>
      </c>
      <c r="I502" s="209">
        <f t="shared" si="39"/>
        <v>49654</v>
      </c>
      <c r="J502" s="213" t="str">
        <f t="array" ref="J502:M502">_xlfn.XLOOKUP(C502,'ESAP NEIVA FASE II UNIFICADO'!$C$6:$C$720,'ESAP NEIVA FASE II UNIFICADO'!$C$6:$F$720,"NO ESTA")</f>
        <v>SUMINISTRO E INSTALACION CABLE THHN No. 6 AWG VERDE. PARA ATERRIZAJE DE ELEMENTOS Y GABINATE</v>
      </c>
      <c r="K502" t="str">
        <v>ML</v>
      </c>
      <c r="L502">
        <v>29</v>
      </c>
      <c r="M502">
        <v>4631</v>
      </c>
      <c r="N502" s="115">
        <f t="shared" si="37"/>
        <v>4631</v>
      </c>
      <c r="O502" s="146">
        <f t="shared" si="38"/>
        <v>50941</v>
      </c>
      <c r="P502" s="119"/>
    </row>
    <row r="503" spans="2:16" ht="15" customHeight="1" x14ac:dyDescent="0.25">
      <c r="B503" s="86" t="s">
        <v>961</v>
      </c>
      <c r="C503" s="87" t="s">
        <v>962</v>
      </c>
      <c r="D503" s="82" t="s">
        <v>94</v>
      </c>
      <c r="E503" s="83">
        <v>230</v>
      </c>
      <c r="F503" s="88">
        <v>142744</v>
      </c>
      <c r="G503" s="89">
        <f t="shared" si="35"/>
        <v>32831120</v>
      </c>
      <c r="H503" s="209">
        <f t="shared" si="36"/>
        <v>150309</v>
      </c>
      <c r="I503" s="209">
        <f t="shared" si="39"/>
        <v>34571070</v>
      </c>
      <c r="J503" s="213" t="str">
        <f t="array" ref="J503:M503">_xlfn.XLOOKUP(C503,'ESAP NEIVA FASE II UNIFICADO'!$C$6:$C$720,'ESAP NEIVA FASE II UNIFICADO'!$C$6:$F$720,"NO ESTA")</f>
        <v>SUMINISTRO E INSTALACION BANDEJA TIPO MALLA DE 40 x 8 cm CON ACCESORIOS</v>
      </c>
      <c r="K503" t="str">
        <v>ML</v>
      </c>
      <c r="L503">
        <v>316</v>
      </c>
      <c r="M503">
        <v>154235</v>
      </c>
      <c r="N503" s="115">
        <f t="shared" si="37"/>
        <v>154235</v>
      </c>
      <c r="O503" s="146">
        <f t="shared" si="38"/>
        <v>35474050</v>
      </c>
      <c r="P503" s="119"/>
    </row>
    <row r="504" spans="2:16" ht="15" customHeight="1" x14ac:dyDescent="0.25">
      <c r="B504" s="86" t="s">
        <v>963</v>
      </c>
      <c r="C504" s="87" t="s">
        <v>964</v>
      </c>
      <c r="D504" s="82" t="s">
        <v>94</v>
      </c>
      <c r="E504" s="83">
        <v>91</v>
      </c>
      <c r="F504" s="88">
        <v>33821</v>
      </c>
      <c r="G504" s="89">
        <f t="shared" si="35"/>
        <v>3077711</v>
      </c>
      <c r="H504" s="209">
        <f t="shared" si="36"/>
        <v>35614</v>
      </c>
      <c r="I504" s="209">
        <f t="shared" si="39"/>
        <v>3240874</v>
      </c>
      <c r="J504" s="213" t="str">
        <f t="array" ref="J504:M504">_xlfn.XLOOKUP(C504,'ESAP NEIVA FASE II UNIFICADO'!$C$6:$C$720,'ESAP NEIVA FASE II UNIFICADO'!$C$6:$F$720,"NO ESTA")</f>
        <v>SUMINISTRO E INSTALACION CANALETA METÁLICA DE 12 x 5 cm.</v>
      </c>
      <c r="K504" t="str">
        <v>ML</v>
      </c>
      <c r="L504">
        <v>245</v>
      </c>
      <c r="M504">
        <v>36543</v>
      </c>
      <c r="N504" s="115">
        <f t="shared" si="37"/>
        <v>36543</v>
      </c>
      <c r="O504" s="146">
        <f t="shared" si="38"/>
        <v>3325413</v>
      </c>
      <c r="P504" s="119"/>
    </row>
    <row r="505" spans="2:16" ht="15" customHeight="1" x14ac:dyDescent="0.25">
      <c r="B505" s="86" t="s">
        <v>965</v>
      </c>
      <c r="C505" s="87" t="s">
        <v>966</v>
      </c>
      <c r="D505" s="82" t="s">
        <v>94</v>
      </c>
      <c r="E505" s="83">
        <v>23</v>
      </c>
      <c r="F505" s="88">
        <v>18678</v>
      </c>
      <c r="G505" s="89">
        <f t="shared" si="35"/>
        <v>429594</v>
      </c>
      <c r="H505" s="209">
        <f t="shared" si="36"/>
        <v>19668</v>
      </c>
      <c r="I505" s="209">
        <f t="shared" si="39"/>
        <v>452364</v>
      </c>
      <c r="J505" s="213" t="str">
        <f t="array" ref="J505:M505">_xlfn.XLOOKUP(C505,'ESAP NEIVA FASE II UNIFICADO'!$C$6:$C$720,'ESAP NEIVA FASE II UNIFICADO'!$C$6:$F$720,"NO ESTA")</f>
        <v>SUMINISTRO E INSTALACION TUBERÍA EMT DE 1" INCLUYE ACCESORIOS</v>
      </c>
      <c r="K505" t="str">
        <v>ML</v>
      </c>
      <c r="L505">
        <v>64</v>
      </c>
      <c r="M505">
        <v>20181</v>
      </c>
      <c r="N505" s="115">
        <f t="shared" si="37"/>
        <v>20181</v>
      </c>
      <c r="O505" s="146">
        <f t="shared" si="38"/>
        <v>464163</v>
      </c>
      <c r="P505" s="119"/>
    </row>
    <row r="506" spans="2:16" ht="15" customHeight="1" x14ac:dyDescent="0.25">
      <c r="B506" s="86" t="s">
        <v>967</v>
      </c>
      <c r="C506" s="87" t="s">
        <v>968</v>
      </c>
      <c r="D506" s="82" t="s">
        <v>94</v>
      </c>
      <c r="E506" s="83">
        <v>61</v>
      </c>
      <c r="F506" s="88">
        <v>14844</v>
      </c>
      <c r="G506" s="89">
        <f t="shared" si="35"/>
        <v>905484</v>
      </c>
      <c r="H506" s="209">
        <f t="shared" si="36"/>
        <v>15631</v>
      </c>
      <c r="I506" s="209">
        <f t="shared" si="39"/>
        <v>953491</v>
      </c>
      <c r="J506" s="213" t="str">
        <f t="array" ref="J506:M506">_xlfn.XLOOKUP(C506,'ESAP NEIVA FASE II UNIFICADO'!$C$6:$C$720,'ESAP NEIVA FASE II UNIFICADO'!$C$6:$F$720,"NO ESTA")</f>
        <v>SUMINISTRO E INSTALACION TUBERÍA EMT DE 3/4" INCLUYE ACCESORIOS</v>
      </c>
      <c r="K506" t="str">
        <v>ML</v>
      </c>
      <c r="L506">
        <v>166</v>
      </c>
      <c r="M506">
        <v>16039</v>
      </c>
      <c r="N506" s="115">
        <f t="shared" si="37"/>
        <v>16039</v>
      </c>
      <c r="O506" s="146">
        <f t="shared" si="38"/>
        <v>978379</v>
      </c>
      <c r="P506" s="119"/>
    </row>
    <row r="507" spans="2:16" ht="15" customHeight="1" x14ac:dyDescent="0.25">
      <c r="B507" s="86" t="s">
        <v>969</v>
      </c>
      <c r="C507" s="87" t="s">
        <v>970</v>
      </c>
      <c r="D507" s="82" t="s">
        <v>94</v>
      </c>
      <c r="E507" s="83">
        <v>8</v>
      </c>
      <c r="F507" s="88">
        <v>5469</v>
      </c>
      <c r="G507" s="89">
        <f t="shared" si="35"/>
        <v>43752</v>
      </c>
      <c r="H507" s="209">
        <f t="shared" si="36"/>
        <v>5759</v>
      </c>
      <c r="I507" s="209">
        <f t="shared" si="39"/>
        <v>46072</v>
      </c>
      <c r="J507" s="213" t="str">
        <f t="array" ref="J507:M507">_xlfn.XLOOKUP(C507,'ESAP NEIVA FASE II UNIFICADO'!$C$6:$C$720,'ESAP NEIVA FASE II UNIFICADO'!$C$6:$F$720,"NO ESTA")</f>
        <v>SUMINISTRO E INSTALACION TUBERÍA PVC DE 1" INCLUYE ACCESORIOS</v>
      </c>
      <c r="K507" t="str">
        <v>ML</v>
      </c>
      <c r="L507">
        <v>22</v>
      </c>
      <c r="M507">
        <v>5910</v>
      </c>
      <c r="N507" s="115">
        <f t="shared" si="37"/>
        <v>5910</v>
      </c>
      <c r="O507" s="146">
        <f t="shared" si="38"/>
        <v>47280</v>
      </c>
      <c r="P507" s="119"/>
    </row>
    <row r="508" spans="2:16" ht="15" customHeight="1" x14ac:dyDescent="0.25">
      <c r="B508" s="86" t="s">
        <v>971</v>
      </c>
      <c r="C508" s="87" t="s">
        <v>972</v>
      </c>
      <c r="D508" s="82" t="s">
        <v>94</v>
      </c>
      <c r="E508" s="83">
        <v>31</v>
      </c>
      <c r="F508" s="88">
        <v>4400</v>
      </c>
      <c r="G508" s="89">
        <f t="shared" si="35"/>
        <v>136400</v>
      </c>
      <c r="H508" s="209">
        <f t="shared" si="36"/>
        <v>4633</v>
      </c>
      <c r="I508" s="209">
        <f t="shared" si="39"/>
        <v>143623</v>
      </c>
      <c r="J508" s="213" t="str">
        <f t="array" ref="J508:M508">_xlfn.XLOOKUP(C508,'ESAP NEIVA FASE II UNIFICADO'!$C$6:$C$720,'ESAP NEIVA FASE II UNIFICADO'!$C$6:$F$720,"NO ESTA")</f>
        <v>SUMINISTRO E INSTALACION TUBERÍA PVC DE 3/4" INCLUYE ACCESORIOS</v>
      </c>
      <c r="K508" t="str">
        <v>ML</v>
      </c>
      <c r="L508">
        <v>84</v>
      </c>
      <c r="M508">
        <v>4755</v>
      </c>
      <c r="N508" s="115">
        <f t="shared" si="37"/>
        <v>4755</v>
      </c>
      <c r="O508" s="146">
        <f t="shared" si="38"/>
        <v>147405</v>
      </c>
      <c r="P508" s="119"/>
    </row>
    <row r="509" spans="2:16" ht="15" customHeight="1" x14ac:dyDescent="0.25">
      <c r="B509" s="86" t="s">
        <v>973</v>
      </c>
      <c r="C509" s="87" t="s">
        <v>974</v>
      </c>
      <c r="D509" s="82" t="s">
        <v>16</v>
      </c>
      <c r="E509" s="83">
        <v>4</v>
      </c>
      <c r="F509" s="88">
        <v>713688</v>
      </c>
      <c r="G509" s="89">
        <f t="shared" si="35"/>
        <v>2854752</v>
      </c>
      <c r="H509" s="209">
        <f t="shared" si="36"/>
        <v>751513</v>
      </c>
      <c r="I509" s="209">
        <f t="shared" si="39"/>
        <v>3006052</v>
      </c>
      <c r="J509" s="213" t="str">
        <f t="array" ref="J509:M509">_xlfn.XLOOKUP(C509,'ESAP NEIVA FASE II UNIFICADO'!$C$6:$C$720,'ESAP NEIVA FASE II UNIFICADO'!$C$6:$F$720,"NO ESTA")</f>
        <v>SUMINISTRO E INSTALACION PARRILLA ORGANIZADORA DE CABLES DE 1,20 x 0,6 m</v>
      </c>
      <c r="K509" t="str">
        <v>UND</v>
      </c>
      <c r="L509">
        <v>2</v>
      </c>
      <c r="M509">
        <v>771142</v>
      </c>
      <c r="N509" s="115">
        <f t="shared" si="37"/>
        <v>771142</v>
      </c>
      <c r="O509" s="146">
        <f t="shared" si="38"/>
        <v>3084568</v>
      </c>
      <c r="P509" s="119"/>
    </row>
    <row r="510" spans="2:16" ht="15" customHeight="1" x14ac:dyDescent="0.25">
      <c r="B510" s="86" t="s">
        <v>975</v>
      </c>
      <c r="C510" s="87" t="s">
        <v>976</v>
      </c>
      <c r="D510" s="82" t="s">
        <v>16</v>
      </c>
      <c r="E510" s="83">
        <v>4</v>
      </c>
      <c r="F510" s="88">
        <v>11964</v>
      </c>
      <c r="G510" s="89">
        <f t="shared" si="35"/>
        <v>47856</v>
      </c>
      <c r="H510" s="209">
        <f t="shared" si="36"/>
        <v>12598</v>
      </c>
      <c r="I510" s="209">
        <f t="shared" si="39"/>
        <v>50392</v>
      </c>
      <c r="J510" s="213" t="str">
        <f t="array" ref="J510:M510">_xlfn.XLOOKUP(C510,'ESAP NEIVA FASE II UNIFICADO'!$C$6:$C$720,'ESAP NEIVA FASE II UNIFICADO'!$C$6:$F$720,"NO ESTA")</f>
        <v>SUMINISTRO E INSTALACION CAJA DE PASO 10 x 10 m DOBLE FONDO</v>
      </c>
      <c r="K510" t="str">
        <v>UND</v>
      </c>
      <c r="L510">
        <v>4</v>
      </c>
      <c r="M510">
        <v>12928</v>
      </c>
      <c r="N510" s="115">
        <f t="shared" si="37"/>
        <v>12928</v>
      </c>
      <c r="O510" s="146">
        <f t="shared" si="38"/>
        <v>51712</v>
      </c>
      <c r="P510" s="119"/>
    </row>
    <row r="511" spans="2:16" ht="15" customHeight="1" x14ac:dyDescent="0.25">
      <c r="B511" s="80" t="s">
        <v>977</v>
      </c>
      <c r="C511" s="81" t="s">
        <v>978</v>
      </c>
      <c r="D511" s="82"/>
      <c r="E511" s="83"/>
      <c r="F511" s="106"/>
      <c r="G511" s="89">
        <f t="shared" si="35"/>
        <v>0</v>
      </c>
      <c r="H511" s="209">
        <f t="shared" si="36"/>
        <v>0</v>
      </c>
      <c r="I511" s="209">
        <f t="shared" si="39"/>
        <v>0</v>
      </c>
      <c r="J511" s="213" t="str">
        <f t="array" ref="J511:M511">_xlfn.XLOOKUP(C511,'ESAP NEIVA FASE II UNIFICADO'!$C$6:$C$720,'ESAP NEIVA FASE II UNIFICADO'!$C$6:$F$720,"NO ESTA")</f>
        <v xml:space="preserve">SUMINISTRO E INSTALACIÓN DE REDES ELECTRICAS ESPECIALES </v>
      </c>
      <c r="K511">
        <v>0</v>
      </c>
      <c r="L511">
        <v>0</v>
      </c>
      <c r="M511">
        <v>0</v>
      </c>
      <c r="N511" s="115">
        <f t="shared" si="37"/>
        <v>0</v>
      </c>
      <c r="O511" s="146">
        <f t="shared" si="38"/>
        <v>0</v>
      </c>
      <c r="P511" s="119"/>
    </row>
    <row r="512" spans="2:16" ht="15" customHeight="1" x14ac:dyDescent="0.25">
      <c r="B512" s="86" t="s">
        <v>979</v>
      </c>
      <c r="C512" s="87" t="s">
        <v>980</v>
      </c>
      <c r="D512" s="82" t="s">
        <v>16</v>
      </c>
      <c r="E512" s="83">
        <v>2</v>
      </c>
      <c r="F512" s="88">
        <v>59449</v>
      </c>
      <c r="G512" s="89">
        <f t="shared" si="35"/>
        <v>118898</v>
      </c>
      <c r="H512" s="209">
        <f t="shared" si="36"/>
        <v>62600</v>
      </c>
      <c r="I512" s="209">
        <f t="shared" si="39"/>
        <v>125200</v>
      </c>
      <c r="J512" s="213" t="str">
        <f t="array" ref="J512:M512">_xlfn.XLOOKUP(C512,'ESAP NEIVA FASE II UNIFICADO'!$C$6:$C$720,'ESAP NEIVA FASE II UNIFICADO'!$C$6:$F$720,"NO ESTA")</f>
        <v>SUMINISTRO E INSTALACION SALIDA TOMA NEMA L5-30 RAWELT</v>
      </c>
      <c r="K512" t="str">
        <v>UND</v>
      </c>
      <c r="L512">
        <v>2</v>
      </c>
      <c r="M512">
        <v>64235</v>
      </c>
      <c r="N512" s="115">
        <f t="shared" si="37"/>
        <v>64235</v>
      </c>
      <c r="O512" s="146">
        <f t="shared" si="38"/>
        <v>128470</v>
      </c>
      <c r="P512" s="119"/>
    </row>
    <row r="513" spans="2:16" ht="29.25" customHeight="1" x14ac:dyDescent="0.25">
      <c r="B513" s="86" t="s">
        <v>981</v>
      </c>
      <c r="C513" s="87" t="s">
        <v>982</v>
      </c>
      <c r="D513" s="82" t="s">
        <v>94</v>
      </c>
      <c r="E513" s="83">
        <v>2</v>
      </c>
      <c r="F513" s="88">
        <v>5989</v>
      </c>
      <c r="G513" s="89">
        <f t="shared" si="35"/>
        <v>11978</v>
      </c>
      <c r="H513" s="209">
        <f t="shared" si="36"/>
        <v>6306</v>
      </c>
      <c r="I513" s="209">
        <f t="shared" si="39"/>
        <v>12612</v>
      </c>
      <c r="J513" s="213" t="str">
        <f t="array" ref="J513:M513">_xlfn.XLOOKUP(C513,'ESAP NEIVA FASE II UNIFICADO'!$C$6:$C$720,'ESAP NEIVA FASE II UNIFICADO'!$C$6:$F$720,"NO ESTA")</f>
        <v>SUMINISTRO E INSTALACION CIRCUITO PREENSAMBLADO AZUL MONOFÁSICO NORMAL PARA RACK</v>
      </c>
      <c r="K513" t="str">
        <v>ML</v>
      </c>
      <c r="L513">
        <v>2</v>
      </c>
      <c r="M513">
        <v>6470</v>
      </c>
      <c r="N513" s="115">
        <f t="shared" si="37"/>
        <v>6470</v>
      </c>
      <c r="O513" s="146">
        <f t="shared" si="38"/>
        <v>12940</v>
      </c>
      <c r="P513" s="119"/>
    </row>
    <row r="514" spans="2:16" ht="29.25" customHeight="1" x14ac:dyDescent="0.25">
      <c r="B514" s="86" t="s">
        <v>983</v>
      </c>
      <c r="C514" s="87" t="s">
        <v>984</v>
      </c>
      <c r="D514" s="82" t="s">
        <v>94</v>
      </c>
      <c r="E514" s="83">
        <v>2</v>
      </c>
      <c r="F514" s="88">
        <v>5989</v>
      </c>
      <c r="G514" s="89">
        <f t="shared" si="35"/>
        <v>11978</v>
      </c>
      <c r="H514" s="209">
        <f t="shared" si="36"/>
        <v>6306</v>
      </c>
      <c r="I514" s="209">
        <f t="shared" si="39"/>
        <v>12612</v>
      </c>
      <c r="J514" s="213" t="str">
        <f t="array" ref="J514:M514">_xlfn.XLOOKUP(C514,'ESAP NEIVA FASE II UNIFICADO'!$C$6:$C$720,'ESAP NEIVA FASE II UNIFICADO'!$C$6:$F$720,"NO ESTA")</f>
        <v>SUMINISTRO E INSTALACION CIRCUITO PREENSAMBLADO ROJO MONOFÁSICO REGULADO PARA RACK</v>
      </c>
      <c r="K514" t="str">
        <v>ML</v>
      </c>
      <c r="L514">
        <v>2</v>
      </c>
      <c r="M514">
        <v>6470</v>
      </c>
      <c r="N514" s="115">
        <f t="shared" si="37"/>
        <v>6470</v>
      </c>
      <c r="O514" s="146">
        <f t="shared" si="38"/>
        <v>12940</v>
      </c>
      <c r="P514" s="119"/>
    </row>
    <row r="515" spans="2:16" ht="15" customHeight="1" x14ac:dyDescent="0.25">
      <c r="B515" s="86" t="s">
        <v>985</v>
      </c>
      <c r="C515" s="87" t="s">
        <v>986</v>
      </c>
      <c r="D515" s="82" t="s">
        <v>16</v>
      </c>
      <c r="E515" s="83">
        <v>2</v>
      </c>
      <c r="F515" s="88">
        <v>585757</v>
      </c>
      <c r="G515" s="89">
        <f t="shared" si="35"/>
        <v>1171514</v>
      </c>
      <c r="H515" s="209">
        <f t="shared" si="36"/>
        <v>616802</v>
      </c>
      <c r="I515" s="209">
        <f t="shared" si="39"/>
        <v>1233604</v>
      </c>
      <c r="J515" s="213" t="str">
        <f t="array" ref="J515:M515">_xlfn.XLOOKUP(C515,'ESAP NEIVA FASE II UNIFICADO'!$C$6:$C$720,'ESAP NEIVA FASE II UNIFICADO'!$C$6:$F$720,"NO ESTA")</f>
        <v>SUMINISTRO E INSTALACION BARRAJE DE PUESTA A TIERRA PARA RACK TGB</v>
      </c>
      <c r="K515" t="str">
        <v>UND</v>
      </c>
      <c r="L515">
        <v>2</v>
      </c>
      <c r="M515">
        <v>632913</v>
      </c>
      <c r="N515" s="115">
        <f t="shared" si="37"/>
        <v>632913</v>
      </c>
      <c r="O515" s="146">
        <f t="shared" si="38"/>
        <v>1265826</v>
      </c>
      <c r="P515" s="119"/>
    </row>
    <row r="516" spans="2:16" ht="15" customHeight="1" x14ac:dyDescent="0.25">
      <c r="B516" s="80" t="s">
        <v>987</v>
      </c>
      <c r="C516" s="81" t="s">
        <v>988</v>
      </c>
      <c r="D516" s="82"/>
      <c r="E516" s="83"/>
      <c r="F516" s="104"/>
      <c r="G516" s="89">
        <f t="shared" si="35"/>
        <v>0</v>
      </c>
      <c r="H516" s="209">
        <f t="shared" si="36"/>
        <v>0</v>
      </c>
      <c r="I516" s="209">
        <f t="shared" si="39"/>
        <v>0</v>
      </c>
      <c r="J516" s="213" t="str">
        <f t="array" ref="J516:M516">_xlfn.XLOOKUP(C516,'ESAP NEIVA FASE II UNIFICADO'!$C$6:$C$720,'ESAP NEIVA FASE II UNIFICADO'!$C$6:$F$720,"NO ESTA")</f>
        <v>SUMINISTRO E INSTALACION DE EQUIPOS ACTIVOS</v>
      </c>
      <c r="K516">
        <v>0</v>
      </c>
      <c r="L516">
        <v>0</v>
      </c>
      <c r="M516">
        <v>0</v>
      </c>
      <c r="N516" s="115">
        <f t="shared" si="37"/>
        <v>0</v>
      </c>
      <c r="O516" s="146">
        <f t="shared" si="38"/>
        <v>0</v>
      </c>
      <c r="P516" s="119"/>
    </row>
    <row r="517" spans="2:16" ht="25.5" customHeight="1" x14ac:dyDescent="0.25">
      <c r="B517" s="86" t="s">
        <v>989</v>
      </c>
      <c r="C517" s="87" t="s">
        <v>990</v>
      </c>
      <c r="D517" s="82" t="s">
        <v>16</v>
      </c>
      <c r="E517" s="83">
        <v>1</v>
      </c>
      <c r="F517" s="88">
        <f>6797211-1.33</f>
        <v>6797209.6699999999</v>
      </c>
      <c r="G517" s="89">
        <f t="shared" si="35"/>
        <v>6797209.6699999999</v>
      </c>
      <c r="H517" s="209">
        <f t="shared" si="36"/>
        <v>7157462</v>
      </c>
      <c r="I517" s="209">
        <f t="shared" si="39"/>
        <v>7157462</v>
      </c>
      <c r="J517" s="213" t="str">
        <f t="array" ref="J517:M517">_xlfn.XLOOKUP(C517,'ESAP NEIVA FASE II UNIFICADO'!$C$6:$C$720,'ESAP NEIVA FASE II UNIFICADO'!$C$6:$F$720,"NO ESTA")</f>
        <v xml:space="preserve">SUMINISTRO E INSTALACION SWITCHE DE BORDE DE 24 PoE PUERTOS GIGABIT ETHERNET 10/100/1000 Gbps CON PUERTO DE ADMINSITRACION POR CONSOLA </v>
      </c>
      <c r="K517" t="str">
        <v>UND</v>
      </c>
      <c r="L517">
        <v>13</v>
      </c>
      <c r="M517">
        <v>7344406</v>
      </c>
      <c r="N517" s="115">
        <f t="shared" si="37"/>
        <v>7344406</v>
      </c>
      <c r="O517" s="146">
        <f t="shared" si="38"/>
        <v>7344406</v>
      </c>
      <c r="P517" s="119"/>
    </row>
    <row r="518" spans="2:16" ht="15" customHeight="1" x14ac:dyDescent="0.25">
      <c r="B518" s="86" t="s">
        <v>991</v>
      </c>
      <c r="C518" s="87" t="s">
        <v>992</v>
      </c>
      <c r="D518" s="82" t="s">
        <v>16</v>
      </c>
      <c r="E518" s="83">
        <v>1</v>
      </c>
      <c r="F518" s="88">
        <v>778929</v>
      </c>
      <c r="G518" s="89">
        <f t="shared" ref="G518:G540" si="40">ROUND(+F518*E518,2)</f>
        <v>778929</v>
      </c>
      <c r="H518" s="209">
        <f t="shared" ref="H518:H540" si="41">+ROUND(F518*(1+$H$4),0)</f>
        <v>820212</v>
      </c>
      <c r="I518" s="209">
        <f t="shared" si="39"/>
        <v>820212</v>
      </c>
      <c r="J518" s="213" t="str">
        <f t="array" ref="J518:M518">_xlfn.XLOOKUP(C518,'ESAP NEIVA FASE II UNIFICADO'!$C$6:$C$720,'ESAP NEIVA FASE II UNIFICADO'!$C$6:$F$720,"NO ESTA")</f>
        <v>SUMINISTRO E INSTALACION MODULO SFP 10G</v>
      </c>
      <c r="K518" t="str">
        <v>UND</v>
      </c>
      <c r="L518">
        <v>0</v>
      </c>
      <c r="M518">
        <v>841635</v>
      </c>
      <c r="N518" s="115">
        <f t="shared" ref="N518:N540" si="42">MAX(M518,F518)</f>
        <v>841635</v>
      </c>
      <c r="O518" s="146">
        <f t="shared" ref="O518:O540" si="43">N518*E518</f>
        <v>841635</v>
      </c>
      <c r="P518" s="119"/>
    </row>
    <row r="519" spans="2:16" ht="24.75" customHeight="1" x14ac:dyDescent="0.25">
      <c r="B519" s="74">
        <v>19</v>
      </c>
      <c r="C519" s="75" t="s">
        <v>993</v>
      </c>
      <c r="D519" s="76"/>
      <c r="E519" s="77"/>
      <c r="F519" s="78"/>
      <c r="G519" s="89">
        <f t="shared" si="40"/>
        <v>0</v>
      </c>
      <c r="H519" s="209">
        <f t="shared" si="41"/>
        <v>0</v>
      </c>
      <c r="I519" s="209">
        <f t="shared" ref="I519:I540" si="44">ROUND(H519*E519,2)</f>
        <v>0</v>
      </c>
      <c r="J519" s="213" t="str">
        <f t="array" ref="J519:M519">_xlfn.XLOOKUP(C519,'ESAP NEIVA FASE II UNIFICADO'!$C$6:$C$720,'ESAP NEIVA FASE II UNIFICADO'!$C$6:$F$720,"NO ESTA")</f>
        <v>SEGURIDAD ELÉCTRONICA (CCTV, CONTROL ACCESOS, DETECCION INCENDIOS Y SONIDO)</v>
      </c>
      <c r="K519">
        <v>0</v>
      </c>
      <c r="L519">
        <v>0</v>
      </c>
      <c r="M519">
        <v>0</v>
      </c>
      <c r="N519" s="115">
        <f t="shared" si="42"/>
        <v>0</v>
      </c>
      <c r="O519" s="146">
        <f t="shared" si="43"/>
        <v>0</v>
      </c>
      <c r="P519" s="119"/>
    </row>
    <row r="520" spans="2:16" ht="15" customHeight="1" x14ac:dyDescent="0.25">
      <c r="B520" s="80" t="s">
        <v>994</v>
      </c>
      <c r="C520" s="81" t="s">
        <v>995</v>
      </c>
      <c r="D520" s="82"/>
      <c r="E520" s="83"/>
      <c r="F520" s="90"/>
      <c r="G520" s="89">
        <f t="shared" si="40"/>
        <v>0</v>
      </c>
      <c r="H520" s="209">
        <f t="shared" si="41"/>
        <v>0</v>
      </c>
      <c r="I520" s="209">
        <f t="shared" si="44"/>
        <v>0</v>
      </c>
      <c r="J520" s="213" t="str">
        <f t="array" ref="J520:M520">_xlfn.XLOOKUP(C520,'ESAP NEIVA FASE II UNIFICADO'!$C$6:$C$720,'ESAP NEIVA FASE II UNIFICADO'!$C$6:$F$720,"NO ESTA")</f>
        <v>SUMINISTRO E INSTALACION DE DETECCIÓN DE INDENDIO</v>
      </c>
      <c r="K520">
        <v>0</v>
      </c>
      <c r="L520">
        <v>0</v>
      </c>
      <c r="M520">
        <v>0</v>
      </c>
      <c r="N520" s="115">
        <f t="shared" si="42"/>
        <v>0</v>
      </c>
      <c r="O520" s="146">
        <f t="shared" si="43"/>
        <v>0</v>
      </c>
      <c r="P520" s="119"/>
    </row>
    <row r="521" spans="2:16" ht="22.5" customHeight="1" x14ac:dyDescent="0.25">
      <c r="B521" s="86" t="s">
        <v>996</v>
      </c>
      <c r="C521" s="87" t="s">
        <v>997</v>
      </c>
      <c r="D521" s="82" t="s">
        <v>16</v>
      </c>
      <c r="E521" s="83">
        <v>3</v>
      </c>
      <c r="F521" s="88">
        <v>472015</v>
      </c>
      <c r="G521" s="89">
        <f t="shared" si="40"/>
        <v>1416045</v>
      </c>
      <c r="H521" s="209">
        <f t="shared" si="41"/>
        <v>497032</v>
      </c>
      <c r="I521" s="209">
        <f t="shared" si="44"/>
        <v>1491096</v>
      </c>
      <c r="J521" s="213" t="str">
        <f t="array" ref="J521:M521">_xlfn.XLOOKUP(C521,'ESAP NEIVA FASE II UNIFICADO'!$C$6:$C$720,'ESAP NEIVA FASE II UNIFICADO'!$C$6:$F$720,"NO ESTA")</f>
        <v>SUMINISTRO E INSTALACION ESTACION MANUAL DIRECCIONABLE DE AVISO, CON CUBIERTA ACRILICA</v>
      </c>
      <c r="K521" t="str">
        <v>UND</v>
      </c>
      <c r="L521">
        <v>8</v>
      </c>
      <c r="M521">
        <v>503198</v>
      </c>
      <c r="N521" s="115">
        <f t="shared" si="42"/>
        <v>503198</v>
      </c>
      <c r="O521" s="146">
        <f t="shared" si="43"/>
        <v>1509594</v>
      </c>
      <c r="P521" s="119"/>
    </row>
    <row r="522" spans="2:16" ht="15" customHeight="1" x14ac:dyDescent="0.25">
      <c r="B522" s="86" t="s">
        <v>998</v>
      </c>
      <c r="C522" s="87" t="s">
        <v>999</v>
      </c>
      <c r="D522" s="82" t="s">
        <v>16</v>
      </c>
      <c r="E522" s="83">
        <v>3</v>
      </c>
      <c r="F522" s="88">
        <v>337783</v>
      </c>
      <c r="G522" s="89">
        <f t="shared" si="40"/>
        <v>1013349</v>
      </c>
      <c r="H522" s="209">
        <f t="shared" si="41"/>
        <v>355685</v>
      </c>
      <c r="I522" s="209">
        <f t="shared" si="44"/>
        <v>1067055</v>
      </c>
      <c r="J522" s="213" t="str">
        <f t="array" ref="J522:M522">_xlfn.XLOOKUP(C522,'ESAP NEIVA FASE II UNIFICADO'!$C$6:$C$720,'ESAP NEIVA FASE II UNIFICADO'!$C$6:$F$720,"NO ESTA")</f>
        <v>SUMINISTRO E INSTALACION SIRENA / ESTROBO CON SUS MODULOS DE CONTROL</v>
      </c>
      <c r="K522" t="str">
        <v>UND</v>
      </c>
      <c r="L522">
        <v>8</v>
      </c>
      <c r="M522">
        <v>360098</v>
      </c>
      <c r="N522" s="115">
        <f t="shared" si="42"/>
        <v>360098</v>
      </c>
      <c r="O522" s="146">
        <f t="shared" si="43"/>
        <v>1080294</v>
      </c>
      <c r="P522" s="119"/>
    </row>
    <row r="523" spans="2:16" ht="15" customHeight="1" x14ac:dyDescent="0.25">
      <c r="B523" s="86" t="s">
        <v>1000</v>
      </c>
      <c r="C523" s="87" t="s">
        <v>1001</v>
      </c>
      <c r="D523" s="82" t="s">
        <v>16</v>
      </c>
      <c r="E523" s="83">
        <v>46</v>
      </c>
      <c r="F523" s="88">
        <v>379961</v>
      </c>
      <c r="G523" s="89">
        <f t="shared" si="40"/>
        <v>17478206</v>
      </c>
      <c r="H523" s="209">
        <f t="shared" si="41"/>
        <v>400099</v>
      </c>
      <c r="I523" s="209">
        <f t="shared" si="44"/>
        <v>18404554</v>
      </c>
      <c r="J523" s="213" t="str">
        <f t="array" ref="J523:M523">_xlfn.XLOOKUP(C523,'ESAP NEIVA FASE II UNIFICADO'!$C$6:$C$720,'ESAP NEIVA FASE II UNIFICADO'!$C$6:$F$720,"NO ESTA")</f>
        <v>SUMINISTRO E INSTALACION DETECTOR DE HUMO DIRECCIONABLE CON BASE</v>
      </c>
      <c r="K523" t="str">
        <v>UND</v>
      </c>
      <c r="L523">
        <v>96</v>
      </c>
      <c r="M523">
        <v>405062</v>
      </c>
      <c r="N523" s="115">
        <f t="shared" si="42"/>
        <v>405062</v>
      </c>
      <c r="O523" s="146">
        <f t="shared" si="43"/>
        <v>18632852</v>
      </c>
      <c r="P523" s="119"/>
    </row>
    <row r="524" spans="2:16" ht="15" customHeight="1" x14ac:dyDescent="0.25">
      <c r="B524" s="86" t="s">
        <v>1002</v>
      </c>
      <c r="C524" s="87" t="s">
        <v>1003</v>
      </c>
      <c r="D524" s="82" t="s">
        <v>16</v>
      </c>
      <c r="E524" s="83">
        <v>2</v>
      </c>
      <c r="F524" s="88">
        <v>355859</v>
      </c>
      <c r="G524" s="89">
        <f t="shared" si="40"/>
        <v>711718</v>
      </c>
      <c r="H524" s="209">
        <f t="shared" si="41"/>
        <v>374720</v>
      </c>
      <c r="I524" s="209">
        <f t="shared" si="44"/>
        <v>749440</v>
      </c>
      <c r="J524" s="213" t="str">
        <f t="array" ref="J524:M524">_xlfn.XLOOKUP(C524,'ESAP NEIVA FASE II UNIFICADO'!$C$6:$C$720,'ESAP NEIVA FASE II UNIFICADO'!$C$6:$F$720,"NO ESTA")</f>
        <v>SUMINISTRO E INSTALACION DETECTOR DE MONOXIDO DIRECCIONABLE CON BASE</v>
      </c>
      <c r="K524" t="str">
        <v>UND</v>
      </c>
      <c r="L524">
        <v>6</v>
      </c>
      <c r="M524">
        <v>379368</v>
      </c>
      <c r="N524" s="115">
        <f t="shared" si="42"/>
        <v>379368</v>
      </c>
      <c r="O524" s="146">
        <f t="shared" si="43"/>
        <v>758736</v>
      </c>
      <c r="P524" s="119"/>
    </row>
    <row r="525" spans="2:16" ht="15" customHeight="1" x14ac:dyDescent="0.25">
      <c r="B525" s="86" t="s">
        <v>1004</v>
      </c>
      <c r="C525" s="87" t="s">
        <v>1005</v>
      </c>
      <c r="D525" s="82" t="s">
        <v>16</v>
      </c>
      <c r="E525" s="83">
        <v>2</v>
      </c>
      <c r="F525" s="88">
        <v>375660</v>
      </c>
      <c r="G525" s="89">
        <f t="shared" si="40"/>
        <v>751320</v>
      </c>
      <c r="H525" s="209">
        <f t="shared" si="41"/>
        <v>395570</v>
      </c>
      <c r="I525" s="209">
        <f t="shared" si="44"/>
        <v>791140</v>
      </c>
      <c r="J525" s="213" t="str">
        <f t="array" ref="J525:M525">_xlfn.XLOOKUP(C525,'ESAP NEIVA FASE II UNIFICADO'!$C$6:$C$720,'ESAP NEIVA FASE II UNIFICADO'!$C$6:$F$720,"NO ESTA")</f>
        <v>SUMINISTRO E INSTALACION CITOFONO DE EMERGENCIA</v>
      </c>
      <c r="K525" t="str">
        <v>UND</v>
      </c>
      <c r="L525">
        <v>5</v>
      </c>
      <c r="M525">
        <v>400477</v>
      </c>
      <c r="N525" s="115">
        <f t="shared" si="42"/>
        <v>400477</v>
      </c>
      <c r="O525" s="146">
        <f t="shared" si="43"/>
        <v>800954</v>
      </c>
      <c r="P525" s="119"/>
    </row>
    <row r="526" spans="2:16" ht="23.25" customHeight="1" x14ac:dyDescent="0.25">
      <c r="B526" s="86" t="s">
        <v>1006</v>
      </c>
      <c r="C526" s="87" t="s">
        <v>1007</v>
      </c>
      <c r="D526" s="82" t="s">
        <v>16</v>
      </c>
      <c r="E526" s="83">
        <v>1</v>
      </c>
      <c r="F526" s="88">
        <v>7889971</v>
      </c>
      <c r="G526" s="89">
        <f t="shared" si="40"/>
        <v>7889971</v>
      </c>
      <c r="H526" s="209">
        <f t="shared" si="41"/>
        <v>8308139</v>
      </c>
      <c r="I526" s="209">
        <f t="shared" si="44"/>
        <v>8308139</v>
      </c>
      <c r="J526" s="213" t="str">
        <f t="array" ref="J526:M526">_xlfn.XLOOKUP(C526,'ESAP NEIVA FASE II UNIFICADO'!$C$6:$C$720,'ESAP NEIVA FASE II UNIFICADO'!$C$6:$F$720,"NO ESTA")</f>
        <v xml:space="preserve">SUMINISTRO E INSTALACION CENTRAL DE DETECCION DE INCENDIO E INTRUSIÓN, CONSU GABINETE, FUENTE, CPU, DISPLAY Y TECLEDO, CON UN 30% DE RESERVA PARA AMPLIACIÓN. </v>
      </c>
      <c r="K526" t="str">
        <v>UND</v>
      </c>
      <c r="L526">
        <v>1</v>
      </c>
      <c r="M526">
        <v>8411205</v>
      </c>
      <c r="N526" s="115">
        <f t="shared" si="42"/>
        <v>8411205</v>
      </c>
      <c r="O526" s="146">
        <f t="shared" si="43"/>
        <v>8411205</v>
      </c>
      <c r="P526" s="119"/>
    </row>
    <row r="527" spans="2:16" ht="15" customHeight="1" x14ac:dyDescent="0.25">
      <c r="B527" s="86" t="s">
        <v>1008</v>
      </c>
      <c r="C527" s="87" t="s">
        <v>1009</v>
      </c>
      <c r="D527" s="82" t="s">
        <v>94</v>
      </c>
      <c r="E527" s="83">
        <v>496</v>
      </c>
      <c r="F527" s="88">
        <v>4940</v>
      </c>
      <c r="G527" s="89">
        <f t="shared" si="40"/>
        <v>2450240</v>
      </c>
      <c r="H527" s="209">
        <f t="shared" si="41"/>
        <v>5202</v>
      </c>
      <c r="I527" s="209">
        <f t="shared" si="44"/>
        <v>2580192</v>
      </c>
      <c r="J527" s="213" t="str">
        <f t="array" ref="J527:M527">_xlfn.XLOOKUP(C527,'ESAP NEIVA FASE II UNIFICADO'!$C$6:$C$720,'ESAP NEIVA FASE II UNIFICADO'!$C$6:$F$720,"NO ESTA")</f>
        <v>SUMINISTRO E INSTALACION CABLE BLINDADO 2 x 16 AWG FPL</v>
      </c>
      <c r="K527" t="str">
        <v>ML</v>
      </c>
      <c r="L527">
        <v>1277</v>
      </c>
      <c r="M527">
        <v>5267</v>
      </c>
      <c r="N527" s="115">
        <f t="shared" si="42"/>
        <v>5267</v>
      </c>
      <c r="O527" s="146">
        <f t="shared" si="43"/>
        <v>2612432</v>
      </c>
      <c r="P527" s="119"/>
    </row>
    <row r="528" spans="2:16" ht="15" customHeight="1" x14ac:dyDescent="0.25">
      <c r="B528" s="86" t="s">
        <v>1010</v>
      </c>
      <c r="C528" s="87" t="s">
        <v>968</v>
      </c>
      <c r="D528" s="82" t="s">
        <v>94</v>
      </c>
      <c r="E528" s="83">
        <v>456</v>
      </c>
      <c r="F528" s="88">
        <v>15045</v>
      </c>
      <c r="G528" s="89">
        <f t="shared" si="40"/>
        <v>6860520</v>
      </c>
      <c r="H528" s="209">
        <f t="shared" si="41"/>
        <v>15842</v>
      </c>
      <c r="I528" s="209">
        <f t="shared" si="44"/>
        <v>7223952</v>
      </c>
      <c r="J528" s="213" t="str">
        <f t="array" ref="J528:M528">_xlfn.XLOOKUP(C528,'ESAP NEIVA FASE II UNIFICADO'!$C$6:$C$720,'ESAP NEIVA FASE II UNIFICADO'!$C$6:$F$720,"NO ESTA")</f>
        <v>SUMINISTRO E INSTALACION TUBERÍA EMT DE 3/4" INCLUYE ACCESORIOS</v>
      </c>
      <c r="K528" t="str">
        <v>ML</v>
      </c>
      <c r="L528">
        <v>166</v>
      </c>
      <c r="M528">
        <v>16039</v>
      </c>
      <c r="N528" s="115">
        <f t="shared" si="42"/>
        <v>16039</v>
      </c>
      <c r="O528" s="146">
        <f t="shared" si="43"/>
        <v>7313784</v>
      </c>
      <c r="P528" s="119"/>
    </row>
    <row r="529" spans="2:17" ht="15" customHeight="1" x14ac:dyDescent="0.25">
      <c r="B529" s="86" t="s">
        <v>1011</v>
      </c>
      <c r="C529" s="87" t="s">
        <v>972</v>
      </c>
      <c r="D529" s="82" t="s">
        <v>94</v>
      </c>
      <c r="E529" s="83">
        <v>7</v>
      </c>
      <c r="F529" s="88">
        <v>4460</v>
      </c>
      <c r="G529" s="89">
        <f t="shared" si="40"/>
        <v>31220</v>
      </c>
      <c r="H529" s="209">
        <f t="shared" si="41"/>
        <v>4696</v>
      </c>
      <c r="I529" s="209">
        <f t="shared" si="44"/>
        <v>32872</v>
      </c>
      <c r="J529" s="213" t="str">
        <f t="array" ref="J529:M529">_xlfn.XLOOKUP(C529,'ESAP NEIVA FASE II UNIFICADO'!$C$6:$C$720,'ESAP NEIVA FASE II UNIFICADO'!$C$6:$F$720,"NO ESTA")</f>
        <v>SUMINISTRO E INSTALACION TUBERÍA PVC DE 3/4" INCLUYE ACCESORIOS</v>
      </c>
      <c r="K529" t="str">
        <v>ML</v>
      </c>
      <c r="L529">
        <v>84</v>
      </c>
      <c r="M529">
        <v>4755</v>
      </c>
      <c r="N529" s="115">
        <f t="shared" si="42"/>
        <v>4755</v>
      </c>
      <c r="O529" s="146">
        <f t="shared" si="43"/>
        <v>33285</v>
      </c>
      <c r="P529" s="119"/>
    </row>
    <row r="530" spans="2:17" ht="15" customHeight="1" x14ac:dyDescent="0.25">
      <c r="B530" s="86" t="s">
        <v>1012</v>
      </c>
      <c r="C530" s="87" t="s">
        <v>976</v>
      </c>
      <c r="D530" s="82" t="s">
        <v>16</v>
      </c>
      <c r="E530" s="83">
        <v>9</v>
      </c>
      <c r="F530" s="88">
        <v>12126</v>
      </c>
      <c r="G530" s="89">
        <f t="shared" si="40"/>
        <v>109134</v>
      </c>
      <c r="H530" s="209">
        <f t="shared" si="41"/>
        <v>12769</v>
      </c>
      <c r="I530" s="209">
        <f t="shared" si="44"/>
        <v>114921</v>
      </c>
      <c r="J530" s="213" t="str">
        <f t="array" ref="J530:M530">_xlfn.XLOOKUP(C530,'ESAP NEIVA FASE II UNIFICADO'!$C$6:$C$720,'ESAP NEIVA FASE II UNIFICADO'!$C$6:$F$720,"NO ESTA")</f>
        <v>SUMINISTRO E INSTALACION CAJA DE PASO 10 x 10 m DOBLE FONDO</v>
      </c>
      <c r="K530" t="str">
        <v>UND</v>
      </c>
      <c r="L530">
        <v>4</v>
      </c>
      <c r="M530">
        <v>12928</v>
      </c>
      <c r="N530" s="115">
        <f t="shared" si="42"/>
        <v>12928</v>
      </c>
      <c r="O530" s="146">
        <f t="shared" si="43"/>
        <v>116352</v>
      </c>
      <c r="P530" s="119"/>
    </row>
    <row r="531" spans="2:17" ht="15" customHeight="1" x14ac:dyDescent="0.25">
      <c r="B531" s="74">
        <v>20</v>
      </c>
      <c r="C531" s="75" t="s">
        <v>1013</v>
      </c>
      <c r="D531" s="76"/>
      <c r="E531" s="77"/>
      <c r="F531" s="78"/>
      <c r="G531" s="89">
        <f t="shared" si="40"/>
        <v>0</v>
      </c>
      <c r="H531" s="209">
        <f t="shared" si="41"/>
        <v>0</v>
      </c>
      <c r="I531" s="209">
        <f t="shared" si="44"/>
        <v>0</v>
      </c>
      <c r="J531" s="213" t="str">
        <f t="array" ref="J531">_xlfn.XLOOKUP(C531,'ESAP NEIVA FASE II UNIFICADO'!$C$6:$C$720,'ESAP NEIVA FASE II UNIFICADO'!$C$6:$F$720,"NO ESTA")</f>
        <v>NO ESTA</v>
      </c>
      <c r="N531" s="115">
        <f t="shared" si="42"/>
        <v>0</v>
      </c>
      <c r="O531" s="146">
        <f t="shared" si="43"/>
        <v>0</v>
      </c>
      <c r="P531" s="119"/>
    </row>
    <row r="532" spans="2:17" ht="23.25" customHeight="1" x14ac:dyDescent="0.25">
      <c r="B532" s="86" t="s">
        <v>1014</v>
      </c>
      <c r="C532" s="87" t="s">
        <v>1015</v>
      </c>
      <c r="D532" s="82" t="s">
        <v>13</v>
      </c>
      <c r="E532" s="83">
        <v>600</v>
      </c>
      <c r="F532" s="88">
        <v>22414</v>
      </c>
      <c r="G532" s="89">
        <f t="shared" si="40"/>
        <v>13448400</v>
      </c>
      <c r="H532" s="209">
        <f t="shared" si="41"/>
        <v>23602</v>
      </c>
      <c r="I532" s="209">
        <f t="shared" si="44"/>
        <v>14161200</v>
      </c>
      <c r="J532" s="213" t="str">
        <f t="array" ref="J532">_xlfn.XLOOKUP(C532,'ESAP NEIVA FASE II UNIFICADO'!$C$6:$C$720,'ESAP NEIVA FASE II UNIFICADO'!$C$6:$F$720,"NO ESTA")</f>
        <v>NO ESTA</v>
      </c>
      <c r="N532" s="115">
        <f t="shared" si="42"/>
        <v>22414</v>
      </c>
      <c r="O532" s="146">
        <f t="shared" si="43"/>
        <v>13448400</v>
      </c>
      <c r="P532" s="119"/>
    </row>
    <row r="533" spans="2:17" ht="23.25" customHeight="1" x14ac:dyDescent="0.25">
      <c r="B533" s="86" t="s">
        <v>1016</v>
      </c>
      <c r="C533" s="87" t="s">
        <v>1017</v>
      </c>
      <c r="D533" s="82" t="s">
        <v>13</v>
      </c>
      <c r="E533" s="83">
        <v>600</v>
      </c>
      <c r="F533" s="88">
        <v>19110</v>
      </c>
      <c r="G533" s="89">
        <f t="shared" si="40"/>
        <v>11466000</v>
      </c>
      <c r="H533" s="209">
        <f t="shared" si="41"/>
        <v>20123</v>
      </c>
      <c r="I533" s="209">
        <f t="shared" si="44"/>
        <v>12073800</v>
      </c>
      <c r="J533" s="213" t="str">
        <f t="array" ref="J533">_xlfn.XLOOKUP(C533,'ESAP NEIVA FASE II UNIFICADO'!$C$6:$C$720,'ESAP NEIVA FASE II UNIFICADO'!$C$6:$F$720,"NO ESTA")</f>
        <v>NO ESTA</v>
      </c>
      <c r="N533" s="115">
        <f t="shared" si="42"/>
        <v>19110</v>
      </c>
      <c r="O533" s="146">
        <f t="shared" si="43"/>
        <v>11466000</v>
      </c>
      <c r="P533" s="119"/>
    </row>
    <row r="534" spans="2:17" ht="15" customHeight="1" x14ac:dyDescent="0.25">
      <c r="B534" s="86" t="s">
        <v>1018</v>
      </c>
      <c r="C534" s="87" t="s">
        <v>1019</v>
      </c>
      <c r="D534" s="82" t="s">
        <v>94</v>
      </c>
      <c r="E534" s="83">
        <v>1500</v>
      </c>
      <c r="F534" s="88">
        <v>6903</v>
      </c>
      <c r="G534" s="89">
        <f t="shared" si="40"/>
        <v>10354500</v>
      </c>
      <c r="H534" s="209">
        <f t="shared" si="41"/>
        <v>7269</v>
      </c>
      <c r="I534" s="209">
        <f t="shared" si="44"/>
        <v>10903500</v>
      </c>
      <c r="J534" s="213" t="str">
        <f t="array" ref="J534">_xlfn.XLOOKUP(C534,'ESAP NEIVA FASE II UNIFICADO'!$C$6:$C$720,'ESAP NEIVA FASE II UNIFICADO'!$C$6:$F$720,"NO ESTA")</f>
        <v>NO ESTA</v>
      </c>
      <c r="N534" s="115">
        <f t="shared" si="42"/>
        <v>6903</v>
      </c>
      <c r="O534" s="146">
        <f t="shared" si="43"/>
        <v>10354500</v>
      </c>
      <c r="P534" s="119"/>
    </row>
    <row r="535" spans="2:17" ht="27" customHeight="1" x14ac:dyDescent="0.25">
      <c r="B535" s="86" t="s">
        <v>1020</v>
      </c>
      <c r="C535" s="87" t="s">
        <v>1021</v>
      </c>
      <c r="D535" s="82" t="s">
        <v>13</v>
      </c>
      <c r="E535" s="83">
        <v>100</v>
      </c>
      <c r="F535" s="88">
        <v>145695</v>
      </c>
      <c r="G535" s="89">
        <f t="shared" si="40"/>
        <v>14569500</v>
      </c>
      <c r="H535" s="209">
        <f t="shared" si="41"/>
        <v>153417</v>
      </c>
      <c r="I535" s="209">
        <f t="shared" si="44"/>
        <v>15341700</v>
      </c>
      <c r="J535" s="213" t="str">
        <f t="array" ref="J535">_xlfn.XLOOKUP(C535,'ESAP NEIVA FASE II UNIFICADO'!$C$6:$C$720,'ESAP NEIVA FASE II UNIFICADO'!$C$6:$F$720,"NO ESTA")</f>
        <v>NO ESTA</v>
      </c>
      <c r="N535" s="115">
        <f t="shared" si="42"/>
        <v>145695</v>
      </c>
      <c r="O535" s="146">
        <f t="shared" si="43"/>
        <v>14569500</v>
      </c>
      <c r="P535" s="119"/>
    </row>
    <row r="536" spans="2:17" ht="15" customHeight="1" x14ac:dyDescent="0.25">
      <c r="B536" s="86" t="s">
        <v>1022</v>
      </c>
      <c r="C536" s="87" t="s">
        <v>1023</v>
      </c>
      <c r="D536" s="82" t="s">
        <v>55</v>
      </c>
      <c r="E536" s="83">
        <v>1072.0999999999999</v>
      </c>
      <c r="F536" s="88">
        <v>12123</v>
      </c>
      <c r="G536" s="89">
        <f t="shared" si="40"/>
        <v>12997068.300000001</v>
      </c>
      <c r="H536" s="209">
        <f t="shared" si="41"/>
        <v>12766</v>
      </c>
      <c r="I536" s="209">
        <f t="shared" si="44"/>
        <v>13686428.6</v>
      </c>
      <c r="J536" s="213" t="str">
        <f t="array" ref="J536">_xlfn.XLOOKUP(C536,'ESAP NEIVA FASE II UNIFICADO'!$C$6:$C$720,'ESAP NEIVA FASE II UNIFICADO'!$C$6:$F$720,"NO ESTA")</f>
        <v>NO ESTA</v>
      </c>
      <c r="N536" s="115">
        <f t="shared" si="42"/>
        <v>12123</v>
      </c>
      <c r="O536" s="146">
        <f t="shared" si="43"/>
        <v>12997068.299999999</v>
      </c>
      <c r="P536" s="119"/>
    </row>
    <row r="537" spans="2:17" ht="38.25" customHeight="1" x14ac:dyDescent="0.25">
      <c r="B537" s="86" t="s">
        <v>1024</v>
      </c>
      <c r="C537" s="87" t="s">
        <v>1025</v>
      </c>
      <c r="D537" s="82" t="s">
        <v>16</v>
      </c>
      <c r="E537" s="83">
        <v>793</v>
      </c>
      <c r="F537" s="88">
        <v>15884</v>
      </c>
      <c r="G537" s="89">
        <f t="shared" si="40"/>
        <v>12596012</v>
      </c>
      <c r="H537" s="209">
        <f t="shared" si="41"/>
        <v>16726</v>
      </c>
      <c r="I537" s="209">
        <f t="shared" si="44"/>
        <v>13263718</v>
      </c>
      <c r="J537" s="213" t="str">
        <f t="array" ref="J537">_xlfn.XLOOKUP(C537,'ESAP NEIVA FASE II UNIFICADO'!$C$6:$C$720,'ESAP NEIVA FASE II UNIFICADO'!$C$6:$F$720,"NO ESTA")</f>
        <v>NO ESTA</v>
      </c>
      <c r="N537" s="115">
        <f t="shared" si="42"/>
        <v>15884</v>
      </c>
      <c r="O537" s="146">
        <f t="shared" si="43"/>
        <v>12596012</v>
      </c>
      <c r="P537" s="119"/>
    </row>
    <row r="538" spans="2:17" ht="38.25" customHeight="1" x14ac:dyDescent="0.25">
      <c r="B538" s="86" t="s">
        <v>1026</v>
      </c>
      <c r="C538" s="87" t="s">
        <v>1027</v>
      </c>
      <c r="D538" s="82" t="s">
        <v>13</v>
      </c>
      <c r="E538" s="83">
        <v>40</v>
      </c>
      <c r="F538" s="88">
        <v>101239</v>
      </c>
      <c r="G538" s="89">
        <f t="shared" si="40"/>
        <v>4049560</v>
      </c>
      <c r="H538" s="209">
        <f t="shared" si="41"/>
        <v>106605</v>
      </c>
      <c r="I538" s="209">
        <f t="shared" si="44"/>
        <v>4264200</v>
      </c>
      <c r="J538" s="213" t="str">
        <f t="array" ref="J538">_xlfn.XLOOKUP(C538,'ESAP NEIVA FASE II UNIFICADO'!$C$6:$C$720,'ESAP NEIVA FASE II UNIFICADO'!$C$6:$F$720,"NO ESTA")</f>
        <v>NO ESTA</v>
      </c>
      <c r="N538" s="115">
        <f t="shared" si="42"/>
        <v>101239</v>
      </c>
      <c r="O538" s="146">
        <f t="shared" si="43"/>
        <v>4049560</v>
      </c>
      <c r="P538" s="119"/>
    </row>
    <row r="539" spans="2:17" ht="37.15" customHeight="1" x14ac:dyDescent="0.25">
      <c r="B539" s="86" t="s">
        <v>1028</v>
      </c>
      <c r="C539" s="87" t="s">
        <v>1029</v>
      </c>
      <c r="D539" s="82" t="s">
        <v>13</v>
      </c>
      <c r="E539" s="83">
        <v>1316</v>
      </c>
      <c r="F539" s="88">
        <v>154532</v>
      </c>
      <c r="G539" s="89">
        <f t="shared" si="40"/>
        <v>203364112</v>
      </c>
      <c r="H539" s="209">
        <f t="shared" si="41"/>
        <v>162722</v>
      </c>
      <c r="I539" s="209">
        <f t="shared" si="44"/>
        <v>214142152</v>
      </c>
      <c r="J539" s="213" t="str">
        <f t="array" ref="J539">_xlfn.XLOOKUP(C539,'ESAP NEIVA FASE II UNIFICADO'!$C$6:$C$720,'ESAP NEIVA FASE II UNIFICADO'!$C$6:$F$720,"NO ESTA")</f>
        <v>NO ESTA</v>
      </c>
      <c r="N539" s="115">
        <f t="shared" si="42"/>
        <v>154532</v>
      </c>
      <c r="O539" s="146">
        <f t="shared" si="43"/>
        <v>203364112</v>
      </c>
      <c r="P539" s="119"/>
    </row>
    <row r="540" spans="2:17" ht="16.5" x14ac:dyDescent="0.25">
      <c r="B540" s="86" t="s">
        <v>1030</v>
      </c>
      <c r="C540" s="87" t="s">
        <v>1031</v>
      </c>
      <c r="D540" s="82" t="s">
        <v>13</v>
      </c>
      <c r="E540" s="83">
        <v>700</v>
      </c>
      <c r="F540" s="88">
        <v>35041</v>
      </c>
      <c r="G540" s="89">
        <f t="shared" si="40"/>
        <v>24528700</v>
      </c>
      <c r="H540" s="209">
        <f t="shared" si="41"/>
        <v>36898</v>
      </c>
      <c r="I540" s="209">
        <f t="shared" si="44"/>
        <v>25828600</v>
      </c>
      <c r="J540" s="213" t="str">
        <f t="array" ref="J540">_xlfn.XLOOKUP(C540,'ESAP NEIVA FASE II UNIFICADO'!$C$6:$C$720,'ESAP NEIVA FASE II UNIFICADO'!$C$6:$F$720,"NO ESTA")</f>
        <v>NO ESTA</v>
      </c>
      <c r="N540" s="115">
        <f t="shared" si="42"/>
        <v>35041</v>
      </c>
      <c r="O540" s="146">
        <f t="shared" si="43"/>
        <v>24528700</v>
      </c>
      <c r="P540" s="119"/>
    </row>
    <row r="541" spans="2:17" ht="16.5" x14ac:dyDescent="0.25">
      <c r="B541" s="419" t="s">
        <v>1032</v>
      </c>
      <c r="C541" s="419"/>
      <c r="D541" s="419"/>
      <c r="E541" s="419"/>
      <c r="F541" s="107"/>
      <c r="G541" s="108">
        <f>+SUM(G6:G540)</f>
        <v>5637570802.1599979</v>
      </c>
      <c r="H541" s="108"/>
      <c r="I541" s="108">
        <f>+SUM(I6:I540)</f>
        <v>5936368268.3199978</v>
      </c>
      <c r="K541" s="108">
        <v>5830808778</v>
      </c>
      <c r="O541" s="159">
        <f>SUM(O6:O540)</f>
        <v>5849039902.54</v>
      </c>
      <c r="Q541" s="108"/>
    </row>
    <row r="542" spans="2:17" ht="16.5" x14ac:dyDescent="0.25">
      <c r="B542" s="419" t="s">
        <v>1033</v>
      </c>
      <c r="C542" s="419"/>
      <c r="D542" s="419"/>
      <c r="E542" s="419"/>
      <c r="F542" s="109"/>
      <c r="G542" s="110">
        <f>+G543+G544+G545</f>
        <v>1467459679.8000002</v>
      </c>
      <c r="H542" s="209"/>
      <c r="I542" s="211"/>
      <c r="K542" s="95">
        <f>+K541-G541</f>
        <v>193237975.84000206</v>
      </c>
      <c r="M542" s="95" t="e">
        <f>+K30-K542</f>
        <v>#VALUE!</v>
      </c>
    </row>
    <row r="543" spans="2:17" ht="16.5" x14ac:dyDescent="0.25">
      <c r="B543" s="420" t="s">
        <v>1034</v>
      </c>
      <c r="C543" s="420"/>
      <c r="D543" s="420"/>
      <c r="E543" s="420"/>
      <c r="F543" s="111">
        <v>0.20030000000000001</v>
      </c>
      <c r="G543" s="112">
        <f>ROUND(+$G$541*F543,2)</f>
        <v>1129205431.6700001</v>
      </c>
      <c r="H543" s="209"/>
      <c r="I543" s="212"/>
    </row>
    <row r="544" spans="2:17" ht="16.5" x14ac:dyDescent="0.25">
      <c r="B544" s="420" t="s">
        <v>1035</v>
      </c>
      <c r="C544" s="420"/>
      <c r="D544" s="420"/>
      <c r="E544" s="420"/>
      <c r="F544" s="113">
        <v>0.01</v>
      </c>
      <c r="G544" s="112">
        <f>ROUND(+$G$541*F544,2)</f>
        <v>56375708.020000003</v>
      </c>
      <c r="H544" s="209"/>
      <c r="I544" s="212"/>
    </row>
    <row r="545" spans="2:11" ht="16.5" x14ac:dyDescent="0.25">
      <c r="B545" s="420" t="s">
        <v>1036</v>
      </c>
      <c r="C545" s="420"/>
      <c r="D545" s="420"/>
      <c r="E545" s="420"/>
      <c r="F545" s="111">
        <v>0.05</v>
      </c>
      <c r="G545" s="112">
        <f>ROUND(+$G$541*F545,2)</f>
        <v>281878540.11000001</v>
      </c>
      <c r="H545" s="209"/>
      <c r="I545" s="212"/>
    </row>
    <row r="546" spans="2:11" ht="16.5" x14ac:dyDescent="0.3">
      <c r="B546" s="419" t="s">
        <v>1037</v>
      </c>
      <c r="C546" s="419"/>
      <c r="D546" s="419"/>
      <c r="E546" s="419"/>
      <c r="F546" s="114"/>
      <c r="G546" s="110">
        <f>+G541+G542</f>
        <v>7105030481.9599981</v>
      </c>
      <c r="H546" s="209"/>
      <c r="I546" s="211"/>
      <c r="K546" s="115">
        <f>'[3]Nieva 2021 trabajando 4'!K554-'Neiva 2022 FASE I ACTUAL (3)'!G548+50000000</f>
        <v>312855316.42000198</v>
      </c>
    </row>
    <row r="547" spans="2:11" ht="16.5" x14ac:dyDescent="0.25">
      <c r="B547" s="420" t="s">
        <v>1038</v>
      </c>
      <c r="C547" s="420"/>
      <c r="D547" s="420"/>
      <c r="E547" s="420"/>
      <c r="F547" s="111">
        <v>0.19</v>
      </c>
      <c r="G547" s="112">
        <f>ROUND(+G545*F547,2)</f>
        <v>53556922.619999997</v>
      </c>
      <c r="H547" s="209"/>
      <c r="I547" s="212"/>
      <c r="K547" s="95"/>
    </row>
    <row r="548" spans="2:11" ht="16.5" x14ac:dyDescent="0.25">
      <c r="B548" s="419" t="s">
        <v>1039</v>
      </c>
      <c r="C548" s="419"/>
      <c r="D548" s="419"/>
      <c r="E548" s="419"/>
      <c r="F548" s="116"/>
      <c r="G548" s="108">
        <f>+G546+G547</f>
        <v>7158587404.579998</v>
      </c>
      <c r="H548" s="209"/>
      <c r="I548" s="210"/>
      <c r="K548" s="108">
        <f>7403747930</f>
        <v>7403747930</v>
      </c>
    </row>
    <row r="549" spans="2:11" x14ac:dyDescent="0.25">
      <c r="G549" s="115"/>
      <c r="H549" s="115"/>
      <c r="I549" s="115"/>
    </row>
    <row r="550" spans="2:11" x14ac:dyDescent="0.25">
      <c r="G550" s="120"/>
      <c r="H550" s="120"/>
      <c r="I550" s="120"/>
    </row>
    <row r="551" spans="2:11" x14ac:dyDescent="0.25">
      <c r="G551" s="121"/>
      <c r="H551" s="121"/>
      <c r="I551" s="121"/>
      <c r="K551" s="121">
        <f>492000000/G548</f>
        <v>6.8728643263505168E-2</v>
      </c>
    </row>
    <row r="552" spans="2:11" x14ac:dyDescent="0.25">
      <c r="G552" s="121"/>
      <c r="H552" s="121"/>
      <c r="I552" s="121"/>
    </row>
    <row r="553" spans="2:11" x14ac:dyDescent="0.25">
      <c r="G553" s="115"/>
      <c r="H553" s="115"/>
      <c r="I553" s="115"/>
    </row>
    <row r="554" spans="2:11" x14ac:dyDescent="0.25">
      <c r="G554" s="122"/>
      <c r="H554" s="122"/>
      <c r="I554" s="122"/>
    </row>
    <row r="555" spans="2:11" x14ac:dyDescent="0.25">
      <c r="G555" s="115"/>
      <c r="H555" s="115"/>
      <c r="I555" s="115"/>
    </row>
  </sheetData>
  <mergeCells count="9">
    <mergeCell ref="B546:E546"/>
    <mergeCell ref="B547:E547"/>
    <mergeCell ref="B548:E548"/>
    <mergeCell ref="B1:G2"/>
    <mergeCell ref="B541:E541"/>
    <mergeCell ref="B542:E542"/>
    <mergeCell ref="B543:E543"/>
    <mergeCell ref="B544:E544"/>
    <mergeCell ref="B545:E545"/>
  </mergeCells>
  <pageMargins left="0.70866141732283472" right="0.70866141732283472" top="0.74803149606299213" bottom="0.74803149606299213" header="0.31496062992125984" footer="0.31496062992125984"/>
  <pageSetup scale="6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Q555"/>
  <sheetViews>
    <sheetView showZeros="0" view="pageBreakPreview" topLeftCell="A527" zoomScale="87" zoomScaleNormal="90" zoomScaleSheetLayoutView="87" workbookViewId="0">
      <selection activeCell="M553" sqref="M553"/>
    </sheetView>
  </sheetViews>
  <sheetFormatPr baseColWidth="10" defaultColWidth="11.5703125" defaultRowHeight="15" x14ac:dyDescent="0.25"/>
  <cols>
    <col min="1" max="1" width="3.5703125" customWidth="1"/>
    <col min="2" max="2" width="9.140625" bestFit="1" customWidth="1"/>
    <col min="3" max="3" width="58.140625" style="117" customWidth="1"/>
    <col min="4" max="4" width="11.5703125" style="118" customWidth="1"/>
    <col min="5" max="5" width="11.5703125" style="119" customWidth="1"/>
    <col min="6" max="6" width="17.7109375" customWidth="1"/>
    <col min="7" max="9" width="19.5703125" customWidth="1"/>
    <col min="10" max="10" width="48.85546875" style="213" customWidth="1"/>
    <col min="11" max="11" width="20.28515625" customWidth="1"/>
    <col min="12" max="12" width="11.5703125" customWidth="1"/>
    <col min="13" max="13" width="17.85546875" customWidth="1"/>
    <col min="14" max="14" width="15.42578125" bestFit="1" customWidth="1"/>
    <col min="15" max="15" width="16.28515625" bestFit="1" customWidth="1"/>
    <col min="16" max="16" width="9.140625" bestFit="1" customWidth="1"/>
    <col min="17" max="17" width="24.5703125" customWidth="1"/>
  </cols>
  <sheetData>
    <row r="1" spans="2:16" ht="14.45" customHeight="1" x14ac:dyDescent="0.25">
      <c r="B1" s="421" t="s">
        <v>0</v>
      </c>
      <c r="C1" s="422"/>
      <c r="D1" s="422"/>
      <c r="E1" s="422"/>
      <c r="F1" s="422"/>
      <c r="G1" s="422"/>
      <c r="H1" s="151"/>
      <c r="I1" s="151"/>
    </row>
    <row r="2" spans="2:16" x14ac:dyDescent="0.25">
      <c r="B2" s="423"/>
      <c r="C2" s="424"/>
      <c r="D2" s="424"/>
      <c r="E2" s="424"/>
      <c r="F2" s="424"/>
      <c r="G2" s="424"/>
      <c r="H2" s="151"/>
      <c r="I2" s="151"/>
    </row>
    <row r="3" spans="2:16" ht="16.5" x14ac:dyDescent="0.25">
      <c r="B3" s="70" t="s">
        <v>1</v>
      </c>
      <c r="C3" s="71" t="s">
        <v>2</v>
      </c>
      <c r="D3" s="70" t="s">
        <v>3</v>
      </c>
      <c r="E3" s="72" t="s">
        <v>4</v>
      </c>
      <c r="F3" s="73" t="s">
        <v>5</v>
      </c>
      <c r="G3" s="70" t="s">
        <v>6</v>
      </c>
      <c r="H3" s="206"/>
      <c r="I3" s="206"/>
      <c r="J3" s="213" t="s">
        <v>7</v>
      </c>
    </row>
    <row r="4" spans="2:16" ht="16.5" x14ac:dyDescent="0.25">
      <c r="B4" s="74">
        <v>1</v>
      </c>
      <c r="C4" s="75" t="s">
        <v>8</v>
      </c>
      <c r="D4" s="76"/>
      <c r="E4" s="77"/>
      <c r="F4" s="78"/>
      <c r="G4" s="79"/>
      <c r="H4" s="207"/>
      <c r="I4" s="207"/>
    </row>
    <row r="5" spans="2:16" ht="18" customHeight="1" x14ac:dyDescent="0.25">
      <c r="B5" s="80" t="s">
        <v>9</v>
      </c>
      <c r="C5" s="81" t="s">
        <v>10</v>
      </c>
      <c r="D5" s="82"/>
      <c r="E5" s="83"/>
      <c r="F5" s="84"/>
      <c r="G5" s="85"/>
      <c r="H5" s="208"/>
      <c r="I5" s="208"/>
      <c r="N5" t="s">
        <v>1040</v>
      </c>
      <c r="O5" t="s">
        <v>1041</v>
      </c>
    </row>
    <row r="6" spans="2:16" ht="15" customHeight="1" x14ac:dyDescent="0.25">
      <c r="B6" s="86" t="s">
        <v>11</v>
      </c>
      <c r="C6" s="87" t="s">
        <v>12</v>
      </c>
      <c r="D6" s="82" t="s">
        <v>13</v>
      </c>
      <c r="E6" s="83">
        <v>250</v>
      </c>
      <c r="F6" s="88">
        <v>27023</v>
      </c>
      <c r="G6" s="89">
        <f t="shared" ref="G6:G69" si="0">ROUND(+F6*E6,2)</f>
        <v>6755750</v>
      </c>
      <c r="H6" s="209"/>
      <c r="I6" s="209"/>
      <c r="J6" s="213" t="str">
        <f t="array" ref="J6:M6">_xlfn.XLOOKUP(C6,'ESAP NEIVA FASE II UNIFICADO'!$C$6:$C$720,'ESAP NEIVA FASE II UNIFICADO'!$C$6:$F$720,"NO ESTA")</f>
        <v>DESCAPOTE A MAQUINA (INCLUYE RETIRO)</v>
      </c>
      <c r="K6" t="str">
        <v>M2</v>
      </c>
      <c r="L6">
        <v>295</v>
      </c>
      <c r="M6">
        <v>23484</v>
      </c>
      <c r="N6" s="115">
        <f t="shared" ref="N6:N69" si="1">MAX(M6,F6)</f>
        <v>27023</v>
      </c>
      <c r="O6" s="146">
        <f t="shared" ref="O6:O69" si="2">N6*E6</f>
        <v>6755750</v>
      </c>
    </row>
    <row r="7" spans="2:16" ht="15" customHeight="1" x14ac:dyDescent="0.25">
      <c r="B7" s="86" t="s">
        <v>14</v>
      </c>
      <c r="C7" s="87" t="s">
        <v>15</v>
      </c>
      <c r="D7" s="82" t="s">
        <v>16</v>
      </c>
      <c r="E7" s="83">
        <v>8</v>
      </c>
      <c r="F7" s="88">
        <v>34076</v>
      </c>
      <c r="G7" s="89">
        <f t="shared" si="0"/>
        <v>272608</v>
      </c>
      <c r="H7" s="209"/>
      <c r="I7" s="209"/>
      <c r="J7" s="213" t="str">
        <f t="array" ref="J7:M7">_xlfn.XLOOKUP(C7,'ESAP NEIVA FASE II UNIFICADO'!$C$6:$C$720,'ESAP NEIVA FASE II UNIFICADO'!$C$6:$F$720,"NO ESTA")</f>
        <v>BARRERA DE PROTECCIÓN PARA ARBOLES EXISTENTES</v>
      </c>
      <c r="K7" t="str">
        <v>UND</v>
      </c>
      <c r="L7">
        <v>0</v>
      </c>
      <c r="M7">
        <v>35057</v>
      </c>
      <c r="N7" s="115">
        <f t="shared" si="1"/>
        <v>35057</v>
      </c>
      <c r="O7" s="146">
        <f t="shared" si="2"/>
        <v>280456</v>
      </c>
    </row>
    <row r="8" spans="2:16" ht="18" customHeight="1" x14ac:dyDescent="0.25">
      <c r="B8" s="80" t="s">
        <v>17</v>
      </c>
      <c r="C8" s="81" t="s">
        <v>18</v>
      </c>
      <c r="D8" s="82"/>
      <c r="E8" s="83"/>
      <c r="F8" s="90">
        <v>0</v>
      </c>
      <c r="G8" s="89">
        <f t="shared" si="0"/>
        <v>0</v>
      </c>
      <c r="H8" s="209"/>
      <c r="I8" s="209"/>
      <c r="N8" s="115">
        <f t="shared" si="1"/>
        <v>0</v>
      </c>
      <c r="O8" s="146">
        <f t="shared" si="2"/>
        <v>0</v>
      </c>
    </row>
    <row r="9" spans="2:16" ht="12" customHeight="1" x14ac:dyDescent="0.25">
      <c r="B9" s="80" t="s">
        <v>19</v>
      </c>
      <c r="C9" s="81" t="s">
        <v>20</v>
      </c>
      <c r="D9" s="82"/>
      <c r="E9" s="83"/>
      <c r="F9" s="90">
        <v>0</v>
      </c>
      <c r="G9" s="89">
        <f t="shared" si="0"/>
        <v>0</v>
      </c>
      <c r="H9" s="209"/>
      <c r="I9" s="209"/>
      <c r="N9" s="115">
        <f t="shared" si="1"/>
        <v>0</v>
      </c>
      <c r="O9" s="146">
        <f t="shared" si="2"/>
        <v>0</v>
      </c>
    </row>
    <row r="10" spans="2:16" ht="30" customHeight="1" x14ac:dyDescent="0.25">
      <c r="B10" s="86" t="s">
        <v>21</v>
      </c>
      <c r="C10" s="87" t="s">
        <v>22</v>
      </c>
      <c r="D10" s="82" t="s">
        <v>13</v>
      </c>
      <c r="E10" s="83">
        <v>0</v>
      </c>
      <c r="F10" s="88">
        <v>22994</v>
      </c>
      <c r="G10" s="89">
        <f t="shared" si="0"/>
        <v>0</v>
      </c>
      <c r="H10" s="209"/>
      <c r="I10" s="209"/>
      <c r="J10" s="213" t="str">
        <f t="array" ref="J10">_xlfn.XLOOKUP(C10,'ESAP NEIVA FASE II UNIFICADO'!$C$6:$C$720,'ESAP NEIVA FASE II UNIFICADO'!$C$6:$F$720,"NO ESTA")</f>
        <v>NO ESTA</v>
      </c>
      <c r="N10" s="115">
        <f t="shared" si="1"/>
        <v>22994</v>
      </c>
      <c r="O10" s="146">
        <f t="shared" si="2"/>
        <v>0</v>
      </c>
      <c r="P10" s="119"/>
    </row>
    <row r="11" spans="2:16" ht="30" customHeight="1" x14ac:dyDescent="0.25">
      <c r="B11" s="86" t="s">
        <v>23</v>
      </c>
      <c r="C11" s="87" t="s">
        <v>24</v>
      </c>
      <c r="D11" s="82" t="s">
        <v>13</v>
      </c>
      <c r="E11" s="83">
        <v>151</v>
      </c>
      <c r="F11" s="88">
        <v>29971</v>
      </c>
      <c r="G11" s="89">
        <f t="shared" si="0"/>
        <v>4525621</v>
      </c>
      <c r="H11" s="209"/>
      <c r="I11" s="209"/>
      <c r="J11" s="213" t="str">
        <f t="array" ref="J11">_xlfn.XLOOKUP(C11,'ESAP NEIVA FASE II UNIFICADO'!$C$6:$C$720,'ESAP NEIVA FASE II UNIFICADO'!$C$6:$F$720,"NO ESTA")</f>
        <v>NO ESTA</v>
      </c>
      <c r="N11" s="115">
        <f t="shared" si="1"/>
        <v>29971</v>
      </c>
      <c r="O11" s="146">
        <f t="shared" si="2"/>
        <v>4525621</v>
      </c>
      <c r="P11" s="119"/>
    </row>
    <row r="12" spans="2:16" ht="13.5" customHeight="1" x14ac:dyDescent="0.25">
      <c r="B12" s="74">
        <v>2</v>
      </c>
      <c r="C12" s="75" t="s">
        <v>25</v>
      </c>
      <c r="D12" s="76"/>
      <c r="E12" s="77"/>
      <c r="F12" s="78">
        <v>0</v>
      </c>
      <c r="G12" s="89">
        <f t="shared" si="0"/>
        <v>0</v>
      </c>
      <c r="H12" s="209"/>
      <c r="I12" s="209"/>
      <c r="N12" s="115">
        <f t="shared" si="1"/>
        <v>0</v>
      </c>
      <c r="O12" s="146">
        <f t="shared" si="2"/>
        <v>0</v>
      </c>
      <c r="P12" s="119"/>
    </row>
    <row r="13" spans="2:16" ht="38.25" customHeight="1" x14ac:dyDescent="0.25">
      <c r="B13" s="80" t="s">
        <v>26</v>
      </c>
      <c r="C13" s="81" t="s">
        <v>27</v>
      </c>
      <c r="D13" s="82"/>
      <c r="E13" s="83"/>
      <c r="F13" s="84">
        <v>0</v>
      </c>
      <c r="G13" s="89">
        <f t="shared" si="0"/>
        <v>0</v>
      </c>
      <c r="H13" s="209"/>
      <c r="I13" s="209"/>
      <c r="N13" s="115">
        <f t="shared" si="1"/>
        <v>0</v>
      </c>
      <c r="O13" s="146">
        <f t="shared" si="2"/>
        <v>0</v>
      </c>
      <c r="P13" s="119"/>
    </row>
    <row r="14" spans="2:16" s="215" customFormat="1" ht="40.5" customHeight="1" x14ac:dyDescent="0.25">
      <c r="B14" s="86" t="s">
        <v>28</v>
      </c>
      <c r="C14" s="87" t="s">
        <v>29</v>
      </c>
      <c r="D14" s="82" t="s">
        <v>30</v>
      </c>
      <c r="E14" s="83">
        <v>0</v>
      </c>
      <c r="F14" s="88">
        <v>30758</v>
      </c>
      <c r="G14" s="89">
        <f t="shared" si="0"/>
        <v>0</v>
      </c>
      <c r="H14" s="209"/>
      <c r="I14" s="209"/>
      <c r="J14" s="214" t="str">
        <f t="array" ref="J14:M14">_xlfn.XLOOKUP(C14,'ESAP NEIVA FASE II UNIFICADO'!$C$6:$C$720,'ESAP NEIVA FASE II UNIFICADO'!$C$6:$F$720,"NO ESTA")</f>
        <v>EXCAVACIÓN MECÁNICA EN MATERIAL COMÚN (incluye cargue y retiro)</v>
      </c>
      <c r="K14" s="215" t="str">
        <v>M3</v>
      </c>
      <c r="L14" s="215">
        <v>400</v>
      </c>
      <c r="M14" s="215">
        <v>31642</v>
      </c>
      <c r="N14" s="216">
        <f t="shared" si="1"/>
        <v>31642</v>
      </c>
      <c r="O14" s="217">
        <f t="shared" si="2"/>
        <v>0</v>
      </c>
      <c r="P14" s="218"/>
    </row>
    <row r="15" spans="2:16" s="215" customFormat="1" ht="38.25" customHeight="1" x14ac:dyDescent="0.25">
      <c r="B15" s="86" t="s">
        <v>31</v>
      </c>
      <c r="C15" s="87" t="s">
        <v>32</v>
      </c>
      <c r="D15" s="82" t="s">
        <v>30</v>
      </c>
      <c r="E15" s="83">
        <v>299.45</v>
      </c>
      <c r="F15" s="88">
        <v>38854</v>
      </c>
      <c r="G15" s="89">
        <f t="shared" si="0"/>
        <v>11634830.300000001</v>
      </c>
      <c r="H15" s="209"/>
      <c r="I15" s="209"/>
      <c r="J15" s="214" t="str">
        <f t="array" ref="J15:M15">_xlfn.XLOOKUP(C15,'ESAP NEIVA FASE II UNIFICADO'!$C$6:$C$720,'ESAP NEIVA FASE II UNIFICADO'!$C$6:$F$720,"NO ESTA")</f>
        <v>EXCAVACIÓN MANUAL EN MATERIAL COMÚN (incluye cargue y retiro)</v>
      </c>
      <c r="K15" s="215" t="str">
        <v>M3</v>
      </c>
      <c r="L15" s="215">
        <v>57.945499999999981</v>
      </c>
      <c r="M15" s="215">
        <v>39971</v>
      </c>
      <c r="N15" s="216">
        <f t="shared" si="1"/>
        <v>39971</v>
      </c>
      <c r="O15" s="217">
        <f t="shared" si="2"/>
        <v>11969315.949999999</v>
      </c>
      <c r="P15" s="218"/>
    </row>
    <row r="16" spans="2:16" ht="30" customHeight="1" x14ac:dyDescent="0.25">
      <c r="B16" s="86" t="s">
        <v>33</v>
      </c>
      <c r="C16" s="147" t="s">
        <v>34</v>
      </c>
      <c r="D16" s="82" t="s">
        <v>30</v>
      </c>
      <c r="E16" s="83">
        <v>524.07000000000005</v>
      </c>
      <c r="F16" s="88">
        <v>12151</v>
      </c>
      <c r="G16" s="89">
        <f t="shared" si="0"/>
        <v>6367974.5700000003</v>
      </c>
      <c r="H16" s="209"/>
      <c r="I16" s="209"/>
      <c r="J16" s="213" t="str">
        <f t="array" ref="J16:M16">_xlfn.XLOOKUP(C16,'ESAP NEIVA FASE II UNIFICADO'!$C$6:$C$720,'ESAP NEIVA FASE II UNIFICADO'!$C$6:$F$720,"NO ESTA")</f>
        <v>RELLENOS EN MATERIAL COMÚN, SELECCIONADO DE OBRA (Incluye Compactación)</v>
      </c>
      <c r="K16" t="str">
        <v>M3</v>
      </c>
      <c r="L16">
        <v>56.107679999999959</v>
      </c>
      <c r="M16">
        <v>12500</v>
      </c>
      <c r="N16" s="115">
        <f t="shared" si="1"/>
        <v>12500</v>
      </c>
      <c r="O16" s="146">
        <f t="shared" si="2"/>
        <v>6550875.0000000009</v>
      </c>
      <c r="P16" s="119"/>
    </row>
    <row r="17" spans="2:16" ht="17.25" customHeight="1" x14ac:dyDescent="0.25">
      <c r="B17" s="86" t="s">
        <v>35</v>
      </c>
      <c r="C17" s="87" t="s">
        <v>36</v>
      </c>
      <c r="D17" s="82" t="s">
        <v>30</v>
      </c>
      <c r="E17" s="83">
        <v>122.54</v>
      </c>
      <c r="F17" s="88">
        <v>61173</v>
      </c>
      <c r="G17" s="89">
        <f t="shared" si="0"/>
        <v>7496139.4199999999</v>
      </c>
      <c r="H17" s="209"/>
      <c r="I17" s="209"/>
      <c r="J17" s="213" t="str">
        <f t="array" ref="J17:M17">_xlfn.XLOOKUP(C17,'ESAP NEIVA FASE II UNIFICADO'!$C$6:$C$720,'ESAP NEIVA FASE II UNIFICADO'!$C$6:$F$720,"NO ESTA")</f>
        <v>RELLENO EN RECEBO COMÚN (Incluye Compactación)</v>
      </c>
      <c r="K17" t="str">
        <v>M3</v>
      </c>
      <c r="L17">
        <v>70.485000000000014</v>
      </c>
      <c r="M17">
        <v>62932</v>
      </c>
      <c r="N17" s="115">
        <f t="shared" si="1"/>
        <v>62932</v>
      </c>
      <c r="O17" s="146">
        <f t="shared" si="2"/>
        <v>7711687.2800000003</v>
      </c>
      <c r="P17" s="119"/>
    </row>
    <row r="18" spans="2:16" ht="18.75" customHeight="1" x14ac:dyDescent="0.25">
      <c r="B18" s="80" t="s">
        <v>37</v>
      </c>
      <c r="C18" s="81" t="s">
        <v>38</v>
      </c>
      <c r="D18" s="82"/>
      <c r="E18" s="83"/>
      <c r="F18" s="90">
        <v>0</v>
      </c>
      <c r="G18" s="89">
        <f t="shared" si="0"/>
        <v>0</v>
      </c>
      <c r="H18" s="209"/>
      <c r="I18" s="209"/>
      <c r="J18" s="213" t="str">
        <f t="array" ref="J18:M18">_xlfn.XLOOKUP(C18,'ESAP NEIVA FASE II UNIFICADO'!$C$6:$C$720,'ESAP NEIVA FASE II UNIFICADO'!$C$6:$F$720,"NO ESTA")</f>
        <v xml:space="preserve">CONCRETOS DE CIMENTACIÓN </v>
      </c>
      <c r="K18">
        <v>0</v>
      </c>
      <c r="L18">
        <v>0</v>
      </c>
      <c r="M18">
        <v>0</v>
      </c>
      <c r="N18" s="115">
        <f t="shared" si="1"/>
        <v>0</v>
      </c>
      <c r="O18" s="146">
        <f t="shared" si="2"/>
        <v>0</v>
      </c>
      <c r="P18" s="119"/>
    </row>
    <row r="19" spans="2:16" ht="14.25" customHeight="1" x14ac:dyDescent="0.25">
      <c r="B19" s="86" t="s">
        <v>39</v>
      </c>
      <c r="C19" s="147" t="s">
        <v>40</v>
      </c>
      <c r="D19" s="82" t="s">
        <v>13</v>
      </c>
      <c r="E19" s="83">
        <v>1111.51</v>
      </c>
      <c r="F19" s="88">
        <v>23803</v>
      </c>
      <c r="G19" s="89">
        <f t="shared" si="0"/>
        <v>26457272.530000001</v>
      </c>
      <c r="H19" s="209"/>
      <c r="I19" s="209"/>
      <c r="J19" s="213" t="str">
        <f t="array" ref="J19:M19">_xlfn.XLOOKUP(C19,'ESAP NEIVA FASE II UNIFICADO'!$C$6:$C$720,'ESAP NEIVA FASE II UNIFICADO'!$C$6:$F$720,"NO ESTA")</f>
        <v>CONCRETO POBRE DE LIMPIEZA  e=0.05 m</v>
      </c>
      <c r="K19" t="str">
        <v>M2</v>
      </c>
      <c r="L19">
        <v>72.123000000000047</v>
      </c>
      <c r="M19">
        <v>25442</v>
      </c>
      <c r="N19" s="115">
        <f t="shared" si="1"/>
        <v>25442</v>
      </c>
      <c r="O19" s="146">
        <f t="shared" si="2"/>
        <v>28279037.419999998</v>
      </c>
      <c r="P19" s="119"/>
    </row>
    <row r="20" spans="2:16" ht="18.75" customHeight="1" x14ac:dyDescent="0.25">
      <c r="B20" s="86" t="s">
        <v>41</v>
      </c>
      <c r="C20" s="87" t="s">
        <v>42</v>
      </c>
      <c r="D20" s="82" t="s">
        <v>30</v>
      </c>
      <c r="E20" s="83">
        <v>46.48</v>
      </c>
      <c r="F20" s="88">
        <v>704020</v>
      </c>
      <c r="G20" s="89">
        <f t="shared" si="0"/>
        <v>32722849.600000001</v>
      </c>
      <c r="H20" s="209"/>
      <c r="I20" s="209"/>
      <c r="J20" s="213" t="str">
        <f t="array" ref="J20:M20">_xlfn.XLOOKUP(C20,'ESAP NEIVA FASE II UNIFICADO'!$C$6:$C$720,'ESAP NEIVA FASE II UNIFICADO'!$C$6:$F$720,"NO ESTA")</f>
        <v>CONCRETO PARA ZAPATAS DE 4000 psi</v>
      </c>
      <c r="K20" t="str">
        <v>M3</v>
      </c>
      <c r="L20">
        <v>36</v>
      </c>
      <c r="M20">
        <v>652838</v>
      </c>
      <c r="N20" s="115">
        <f t="shared" si="1"/>
        <v>704020</v>
      </c>
      <c r="O20" s="146">
        <f t="shared" si="2"/>
        <v>32722849.599999998</v>
      </c>
      <c r="P20" s="119"/>
    </row>
    <row r="21" spans="2:16" ht="15" customHeight="1" x14ac:dyDescent="0.25">
      <c r="B21" s="86" t="s">
        <v>43</v>
      </c>
      <c r="C21" s="87" t="s">
        <v>44</v>
      </c>
      <c r="D21" s="82" t="s">
        <v>30</v>
      </c>
      <c r="E21" s="91">
        <v>45.04</v>
      </c>
      <c r="F21" s="88">
        <v>704020</v>
      </c>
      <c r="G21" s="89">
        <f t="shared" si="0"/>
        <v>31709060.800000001</v>
      </c>
      <c r="H21" s="209"/>
      <c r="I21" s="209"/>
      <c r="J21" s="213" t="str">
        <f t="array" ref="J21:M21">_xlfn.XLOOKUP(C21,'ESAP NEIVA FASE II UNIFICADO'!$C$6:$C$720,'ESAP NEIVA FASE II UNIFICADO'!$C$6:$F$720,"NO ESTA")</f>
        <v>VIGAS DE CIMENTACIÓN DE 4000 psi</v>
      </c>
      <c r="K21" t="str">
        <v>M3</v>
      </c>
      <c r="L21">
        <v>36.5</v>
      </c>
      <c r="M21">
        <v>652838</v>
      </c>
      <c r="N21" s="115">
        <f t="shared" si="1"/>
        <v>704020</v>
      </c>
      <c r="O21" s="146">
        <f t="shared" si="2"/>
        <v>31709060.800000001</v>
      </c>
      <c r="P21" s="119"/>
    </row>
    <row r="22" spans="2:16" ht="18.75" customHeight="1" x14ac:dyDescent="0.25">
      <c r="B22" s="86" t="s">
        <v>45</v>
      </c>
      <c r="C22" s="87" t="s">
        <v>46</v>
      </c>
      <c r="D22" s="82" t="s">
        <v>30</v>
      </c>
      <c r="E22" s="83">
        <v>34.93</v>
      </c>
      <c r="F22" s="88">
        <v>780301</v>
      </c>
      <c r="G22" s="89">
        <f t="shared" si="0"/>
        <v>27255913.93</v>
      </c>
      <c r="H22" s="209"/>
      <c r="I22" s="209"/>
      <c r="J22" s="213" t="str">
        <f t="array" ref="J22:M22">_xlfn.XLOOKUP(C22,'ESAP NEIVA FASE II UNIFICADO'!$C$6:$C$720,'ESAP NEIVA FASE II UNIFICADO'!$C$6:$F$720,"NO ESTA")</f>
        <v>MURO DE CONTENCIÓN SOTANO EN CONCRETO DE 4000 PSI</v>
      </c>
      <c r="K22" t="str">
        <v>M3</v>
      </c>
      <c r="L22">
        <v>13</v>
      </c>
      <c r="M22">
        <v>795025</v>
      </c>
      <c r="N22" s="115">
        <f t="shared" si="1"/>
        <v>795025</v>
      </c>
      <c r="O22" s="146">
        <f t="shared" si="2"/>
        <v>27770223.25</v>
      </c>
      <c r="P22" s="119"/>
    </row>
    <row r="23" spans="2:16" ht="15.75" customHeight="1" x14ac:dyDescent="0.25">
      <c r="B23" s="80" t="s">
        <v>47</v>
      </c>
      <c r="C23" s="81" t="s">
        <v>48</v>
      </c>
      <c r="D23" s="82"/>
      <c r="E23" s="83"/>
      <c r="F23" s="90">
        <v>0</v>
      </c>
      <c r="G23" s="89">
        <f t="shared" si="0"/>
        <v>0</v>
      </c>
      <c r="H23" s="209"/>
      <c r="I23" s="209"/>
      <c r="J23" s="213" t="str">
        <f t="array" ref="J23:M23">_xlfn.XLOOKUP(C23,'ESAP NEIVA FASE II UNIFICADO'!$C$6:$C$720,'ESAP NEIVA FASE II UNIFICADO'!$C$6:$F$720,"NO ESTA")</f>
        <v xml:space="preserve">CONSTRUCCIÓN VARIOS EN CONCRETO </v>
      </c>
      <c r="K23">
        <v>0</v>
      </c>
      <c r="L23">
        <v>0</v>
      </c>
      <c r="M23">
        <v>0</v>
      </c>
      <c r="N23" s="115">
        <f t="shared" si="1"/>
        <v>0</v>
      </c>
      <c r="O23" s="146">
        <f t="shared" si="2"/>
        <v>0</v>
      </c>
      <c r="P23" s="119"/>
    </row>
    <row r="24" spans="2:16" ht="19.5" customHeight="1" x14ac:dyDescent="0.25">
      <c r="B24" s="86" t="s">
        <v>49</v>
      </c>
      <c r="C24" s="87" t="s">
        <v>50</v>
      </c>
      <c r="D24" s="82" t="s">
        <v>30</v>
      </c>
      <c r="E24" s="83">
        <v>50.62</v>
      </c>
      <c r="F24" s="88">
        <v>780301</v>
      </c>
      <c r="G24" s="89">
        <f t="shared" si="0"/>
        <v>39498836.619999997</v>
      </c>
      <c r="H24" s="209"/>
      <c r="I24" s="209"/>
      <c r="J24" s="213" t="str">
        <f t="array" ref="J24:M24">_xlfn.XLOOKUP(C24,'ESAP NEIVA FASE II UNIFICADO'!$C$6:$C$720,'ESAP NEIVA FASE II UNIFICADO'!$C$6:$F$720,"NO ESTA")</f>
        <v>TANQUE DE ALMACENAMIENTO Y RESERVA EN CONCRETO DE 4000 PSI</v>
      </c>
      <c r="K24" t="str">
        <v>M3</v>
      </c>
      <c r="L24">
        <v>13.700000000000003</v>
      </c>
      <c r="M24">
        <v>821235</v>
      </c>
      <c r="N24" s="115">
        <f t="shared" si="1"/>
        <v>821235</v>
      </c>
      <c r="O24" s="146">
        <f t="shared" si="2"/>
        <v>41570915.699999996</v>
      </c>
      <c r="P24" s="119"/>
    </row>
    <row r="25" spans="2:16" ht="18" customHeight="1" x14ac:dyDescent="0.25">
      <c r="B25" s="80" t="s">
        <v>51</v>
      </c>
      <c r="C25" s="81" t="s">
        <v>52</v>
      </c>
      <c r="D25" s="82"/>
      <c r="E25" s="83"/>
      <c r="F25" s="90">
        <v>0</v>
      </c>
      <c r="G25" s="89">
        <f t="shared" si="0"/>
        <v>0</v>
      </c>
      <c r="H25" s="209"/>
      <c r="I25" s="209"/>
      <c r="J25" s="213" t="str">
        <f t="array" ref="J25:M25">_xlfn.XLOOKUP(C25,'ESAP NEIVA FASE II UNIFICADO'!$C$6:$C$720,'ESAP NEIVA FASE II UNIFICADO'!$C$6:$F$720,"NO ESTA")</f>
        <v>SUMINISTRO E INSTALACIÓN ACERO DE REFUERZO CIMENTACIÓN</v>
      </c>
      <c r="K25">
        <v>0</v>
      </c>
      <c r="L25">
        <v>0</v>
      </c>
      <c r="M25">
        <v>0</v>
      </c>
      <c r="N25" s="115">
        <f t="shared" si="1"/>
        <v>0</v>
      </c>
      <c r="O25" s="146">
        <f t="shared" si="2"/>
        <v>0</v>
      </c>
      <c r="P25" s="119"/>
    </row>
    <row r="26" spans="2:16" ht="16.5" customHeight="1" x14ac:dyDescent="0.25">
      <c r="B26" s="92" t="s">
        <v>53</v>
      </c>
      <c r="C26" s="93" t="s">
        <v>54</v>
      </c>
      <c r="D26" s="92" t="s">
        <v>55</v>
      </c>
      <c r="E26" s="83">
        <v>16621.25</v>
      </c>
      <c r="F26" s="94">
        <v>5221</v>
      </c>
      <c r="G26" s="89">
        <f t="shared" si="0"/>
        <v>86779546.25</v>
      </c>
      <c r="H26" s="209"/>
      <c r="I26" s="209"/>
      <c r="J26" s="213" t="str">
        <f t="array" ref="J26:M26">_xlfn.XLOOKUP(C26,'ESAP NEIVA FASE II UNIFICADO'!$C$6:$C$720,'ESAP NEIVA FASE II UNIFICADO'!$C$6:$F$720,"NO ESTA",0,)</f>
        <v>ACERO DE REFUERZO 60000 psi Incluye ALAMBRE DE AMARRE</v>
      </c>
      <c r="K26" s="95" t="str">
        <v>KG</v>
      </c>
      <c r="L26">
        <v>8230.6999999999971</v>
      </c>
      <c r="M26">
        <v>5000</v>
      </c>
      <c r="N26" s="115">
        <f t="shared" si="1"/>
        <v>5221</v>
      </c>
      <c r="O26" s="146">
        <f t="shared" si="2"/>
        <v>86779546.25</v>
      </c>
      <c r="P26" s="119"/>
    </row>
    <row r="27" spans="2:16" ht="25.9" customHeight="1" x14ac:dyDescent="0.25">
      <c r="B27" s="86" t="s">
        <v>56</v>
      </c>
      <c r="C27" s="93" t="s">
        <v>57</v>
      </c>
      <c r="D27" s="82" t="s">
        <v>13</v>
      </c>
      <c r="E27" s="83">
        <v>1871.1</v>
      </c>
      <c r="F27" s="94">
        <v>7831.5</v>
      </c>
      <c r="G27" s="89">
        <f t="shared" si="0"/>
        <v>14653519.65</v>
      </c>
      <c r="H27" s="209"/>
      <c r="I27" s="209"/>
      <c r="J27" s="213" t="str">
        <f t="array" ref="J27:M27">_xlfn.XLOOKUP(C27,'ESAP NEIVA FASE II UNIFICADO'!$C$6:$C$720,'ESAP NEIVA FASE II UNIFICADO'!$C$6:$F$720,"NO ESTA")</f>
        <v>MALLA ELECTROSOLDADA PLACA CONTRAPISO Q84 Ø4 mm separación 15x15 cm o similar</v>
      </c>
      <c r="K27" t="str">
        <v>M2</v>
      </c>
      <c r="L27">
        <v>242.5</v>
      </c>
      <c r="M27">
        <v>7500</v>
      </c>
      <c r="N27" s="115">
        <f t="shared" si="1"/>
        <v>7831.5</v>
      </c>
      <c r="O27" s="146">
        <f t="shared" si="2"/>
        <v>14653519.649999999</v>
      </c>
      <c r="P27" s="119"/>
    </row>
    <row r="28" spans="2:16" ht="16.5" customHeight="1" x14ac:dyDescent="0.25">
      <c r="B28" s="74">
        <v>3</v>
      </c>
      <c r="C28" s="75" t="s">
        <v>58</v>
      </c>
      <c r="D28" s="76"/>
      <c r="E28" s="77"/>
      <c r="F28" s="78">
        <v>0</v>
      </c>
      <c r="G28" s="89">
        <f t="shared" si="0"/>
        <v>0</v>
      </c>
      <c r="H28" s="209"/>
      <c r="I28" s="209"/>
      <c r="J28" s="213" t="str">
        <f t="array" ref="J28:M28">_xlfn.XLOOKUP(C28,'ESAP NEIVA FASE II UNIFICADO'!$C$6:$C$720,'ESAP NEIVA FASE II UNIFICADO'!$C$6:$F$720,"NO ESTA")</f>
        <v>ESTRUCTURAS EN CONCRETO Y METALICAS</v>
      </c>
      <c r="K28" s="96">
        <v>0</v>
      </c>
      <c r="L28">
        <v>0</v>
      </c>
      <c r="M28">
        <v>0</v>
      </c>
      <c r="N28" s="115">
        <f t="shared" si="1"/>
        <v>0</v>
      </c>
      <c r="O28" s="146">
        <f t="shared" si="2"/>
        <v>0</v>
      </c>
      <c r="P28" s="119"/>
    </row>
    <row r="29" spans="2:16" ht="16.5" customHeight="1" x14ac:dyDescent="0.25">
      <c r="B29" s="80" t="s">
        <v>59</v>
      </c>
      <c r="C29" s="81" t="s">
        <v>60</v>
      </c>
      <c r="D29" s="82"/>
      <c r="E29" s="83"/>
      <c r="F29" s="84">
        <v>0</v>
      </c>
      <c r="G29" s="89">
        <f t="shared" si="0"/>
        <v>0</v>
      </c>
      <c r="H29" s="209"/>
      <c r="I29" s="209"/>
      <c r="J29" s="213" t="str">
        <f t="array" ref="J29:M29">_xlfn.XLOOKUP(C29,'ESAP NEIVA FASE II UNIFICADO'!$C$6:$C$720,'ESAP NEIVA FASE II UNIFICADO'!$C$6:$F$720,"NO ESTA")</f>
        <v>ELEMENTOS ESTRUCTURALES</v>
      </c>
      <c r="K29" s="96">
        <v>0</v>
      </c>
      <c r="L29">
        <v>0</v>
      </c>
      <c r="M29">
        <v>0</v>
      </c>
      <c r="N29" s="115">
        <f t="shared" si="1"/>
        <v>0</v>
      </c>
      <c r="O29" s="146">
        <f t="shared" si="2"/>
        <v>0</v>
      </c>
      <c r="P29" s="119"/>
    </row>
    <row r="30" spans="2:16" ht="20.25" customHeight="1" x14ac:dyDescent="0.25">
      <c r="B30" s="86" t="s">
        <v>61</v>
      </c>
      <c r="C30" s="87" t="s">
        <v>62</v>
      </c>
      <c r="D30" s="82" t="s">
        <v>30</v>
      </c>
      <c r="E30" s="83">
        <v>247.78</v>
      </c>
      <c r="F30" s="88">
        <v>829157</v>
      </c>
      <c r="G30" s="89">
        <f t="shared" si="0"/>
        <v>205448521.46000001</v>
      </c>
      <c r="H30" s="209"/>
      <c r="I30" s="209"/>
      <c r="J30" s="213" t="str">
        <f t="array" ref="J30:M30">_xlfn.XLOOKUP(C30,'ESAP NEIVA FASE II UNIFICADO'!$C$6:$C$720,'ESAP NEIVA FASE II UNIFICADO'!$C$6:$F$720,"NO ESTA")</f>
        <v>COLUMNAS EN CONCRETO DE 4000 psi</v>
      </c>
      <c r="K30" s="96" t="str">
        <v>M3</v>
      </c>
      <c r="L30">
        <v>24.939999999999998</v>
      </c>
      <c r="M30">
        <v>789448</v>
      </c>
      <c r="N30" s="115">
        <f t="shared" si="1"/>
        <v>829157</v>
      </c>
      <c r="O30" s="146">
        <f t="shared" si="2"/>
        <v>205448521.46000001</v>
      </c>
      <c r="P30" s="119"/>
    </row>
    <row r="31" spans="2:16" ht="30" customHeight="1" x14ac:dyDescent="0.25">
      <c r="B31" s="86" t="s">
        <v>63</v>
      </c>
      <c r="C31" s="87" t="s">
        <v>64</v>
      </c>
      <c r="D31" s="82" t="s">
        <v>30</v>
      </c>
      <c r="E31" s="83">
        <v>152.63999999999999</v>
      </c>
      <c r="F31" s="88">
        <v>829157</v>
      </c>
      <c r="G31" s="89">
        <f t="shared" si="0"/>
        <v>126562524.48</v>
      </c>
      <c r="H31" s="209"/>
      <c r="I31" s="209"/>
      <c r="J31" s="213" t="str">
        <f t="array" ref="J31:M31">_xlfn.XLOOKUP(C31,'ESAP NEIVA FASE II UNIFICADO'!$C$6:$C$720,'ESAP NEIVA FASE II UNIFICADO'!$C$6:$F$720,"NO ESTA")</f>
        <v>PANTALLAS ASCENSORES Y ESCALERA EJES F2 Y K2 EN CONCRETO DE 4000 PSI</v>
      </c>
      <c r="K31" t="str">
        <v>M3</v>
      </c>
      <c r="L31">
        <v>15.569999999999993</v>
      </c>
      <c r="M31">
        <v>789448</v>
      </c>
      <c r="N31" s="115">
        <f t="shared" si="1"/>
        <v>829157</v>
      </c>
      <c r="O31" s="146">
        <f t="shared" si="2"/>
        <v>126562524.47999999</v>
      </c>
      <c r="P31" s="119"/>
    </row>
    <row r="32" spans="2:16" ht="13.5" customHeight="1" x14ac:dyDescent="0.25">
      <c r="B32" s="80" t="s">
        <v>65</v>
      </c>
      <c r="C32" s="81" t="s">
        <v>66</v>
      </c>
      <c r="D32" s="82"/>
      <c r="E32" s="83"/>
      <c r="F32" s="90">
        <v>0</v>
      </c>
      <c r="G32" s="89">
        <f t="shared" si="0"/>
        <v>0</v>
      </c>
      <c r="H32" s="209"/>
      <c r="I32" s="209"/>
      <c r="J32" s="213" t="str">
        <f t="array" ref="J32:M32">_xlfn.XLOOKUP(C32,'ESAP NEIVA FASE II UNIFICADO'!$C$6:$C$720,'ESAP NEIVA FASE II UNIFICADO'!$C$6:$F$720,"NO ESTA")</f>
        <v>PLACAS Y LOSAS DE ENTREPISO</v>
      </c>
      <c r="K32" s="95">
        <v>0</v>
      </c>
      <c r="L32">
        <v>0</v>
      </c>
      <c r="M32">
        <v>0</v>
      </c>
      <c r="N32" s="115">
        <f t="shared" si="1"/>
        <v>0</v>
      </c>
      <c r="O32" s="146">
        <f t="shared" si="2"/>
        <v>0</v>
      </c>
      <c r="P32" s="119"/>
    </row>
    <row r="33" spans="2:16" ht="30" customHeight="1" x14ac:dyDescent="0.25">
      <c r="B33" s="86" t="s">
        <v>67</v>
      </c>
      <c r="C33" s="87" t="s">
        <v>68</v>
      </c>
      <c r="D33" s="82" t="s">
        <v>30</v>
      </c>
      <c r="E33" s="83">
        <v>2128.8200000000002</v>
      </c>
      <c r="F33" s="88">
        <v>738133</v>
      </c>
      <c r="G33" s="89">
        <f t="shared" si="0"/>
        <v>1571352293.0599999</v>
      </c>
      <c r="H33" s="209"/>
      <c r="I33" s="209"/>
      <c r="J33" s="213" t="str">
        <f t="array" ref="J33">_xlfn.XLOOKUP(C33,'ESAP NEIVA FASE II UNIFICADO'!$C$6:$C$720,'ESAP NEIVA FASE II UNIFICADO'!$C$6:$F$720,"NO ESTA")</f>
        <v>NO ESTA</v>
      </c>
      <c r="N33" s="115">
        <f t="shared" si="1"/>
        <v>738133</v>
      </c>
      <c r="O33" s="146">
        <f t="shared" si="2"/>
        <v>1571352293.0600002</v>
      </c>
      <c r="P33" s="119"/>
    </row>
    <row r="34" spans="2:16" ht="16.5" customHeight="1" x14ac:dyDescent="0.25">
      <c r="B34" s="86" t="s">
        <v>69</v>
      </c>
      <c r="C34" s="148" t="s">
        <v>70</v>
      </c>
      <c r="D34" s="82" t="s">
        <v>13</v>
      </c>
      <c r="E34" s="83">
        <v>1581</v>
      </c>
      <c r="F34" s="88">
        <v>100107</v>
      </c>
      <c r="G34" s="89">
        <f t="shared" si="0"/>
        <v>158269167</v>
      </c>
      <c r="H34" s="209"/>
      <c r="I34" s="209"/>
      <c r="J34" s="213" t="str">
        <f t="array" ref="J34:M34">_xlfn.XLOOKUP(C34,'ESAP NEIVA FASE II UNIFICADO'!$C$6:$C$720,'ESAP NEIVA FASE II UNIFICADO'!$C$6:$F$720,"NO ESTA")</f>
        <v>PLACA MACIZA CONTRAPISO CIMENTACION E: 15 cms</v>
      </c>
      <c r="K34" t="str">
        <v>M2</v>
      </c>
      <c r="L34">
        <v>235.59999999999991</v>
      </c>
      <c r="M34">
        <v>95123</v>
      </c>
      <c r="N34" s="115">
        <f t="shared" si="1"/>
        <v>100107</v>
      </c>
      <c r="O34" s="146">
        <f t="shared" si="2"/>
        <v>158269167</v>
      </c>
      <c r="P34" s="119"/>
    </row>
    <row r="35" spans="2:16" ht="19.5" customHeight="1" x14ac:dyDescent="0.25">
      <c r="B35" s="86" t="s">
        <v>71</v>
      </c>
      <c r="C35" s="87" t="s">
        <v>72</v>
      </c>
      <c r="D35" s="82" t="s">
        <v>30</v>
      </c>
      <c r="E35" s="83">
        <v>8.9</v>
      </c>
      <c r="F35" s="88">
        <v>741182</v>
      </c>
      <c r="G35" s="89">
        <f t="shared" si="0"/>
        <v>6596519.7999999998</v>
      </c>
      <c r="H35" s="209"/>
      <c r="I35" s="209"/>
      <c r="J35" s="213" t="str">
        <f t="array" ref="J35:M35">_xlfn.XLOOKUP(C35,'ESAP NEIVA FASE II UNIFICADO'!$C$6:$C$720,'ESAP NEIVA FASE II UNIFICADO'!$C$6:$F$720,"NO ESTA")</f>
        <v xml:space="preserve">PLACA MACIZA ZONA ASCENSOR 2DA PLANTA </v>
      </c>
      <c r="K35" t="str">
        <v>M3</v>
      </c>
      <c r="L35">
        <v>0</v>
      </c>
      <c r="M35">
        <v>789448</v>
      </c>
      <c r="N35" s="115">
        <f t="shared" si="1"/>
        <v>789448</v>
      </c>
      <c r="O35" s="146">
        <f t="shared" si="2"/>
        <v>7026087.2000000002</v>
      </c>
      <c r="P35" s="119"/>
    </row>
    <row r="36" spans="2:16" ht="15" customHeight="1" x14ac:dyDescent="0.25">
      <c r="B36" s="80" t="s">
        <v>73</v>
      </c>
      <c r="C36" s="81" t="s">
        <v>74</v>
      </c>
      <c r="D36" s="82"/>
      <c r="E36" s="83"/>
      <c r="F36" s="90">
        <v>0</v>
      </c>
      <c r="G36" s="89">
        <f t="shared" si="0"/>
        <v>0</v>
      </c>
      <c r="H36" s="209"/>
      <c r="I36" s="209"/>
      <c r="J36" s="213" t="str">
        <f t="array" ref="J36:M36">_xlfn.XLOOKUP(C36,'ESAP NEIVA FASE II UNIFICADO'!$C$6:$C$720,'ESAP NEIVA FASE II UNIFICADO'!$C$6:$F$720,"NO ESTA")</f>
        <v>CONSTRUCCIONES VARIAS EN CONCRETO</v>
      </c>
      <c r="K36">
        <v>0</v>
      </c>
      <c r="L36">
        <v>0</v>
      </c>
      <c r="M36">
        <v>0</v>
      </c>
      <c r="N36" s="115">
        <f t="shared" si="1"/>
        <v>0</v>
      </c>
      <c r="O36" s="146">
        <f t="shared" si="2"/>
        <v>0</v>
      </c>
      <c r="P36" s="119"/>
    </row>
    <row r="37" spans="2:16" ht="17.25" customHeight="1" x14ac:dyDescent="0.25">
      <c r="B37" s="86" t="s">
        <v>75</v>
      </c>
      <c r="C37" s="87" t="s">
        <v>76</v>
      </c>
      <c r="D37" s="82" t="s">
        <v>30</v>
      </c>
      <c r="E37" s="83">
        <v>73</v>
      </c>
      <c r="F37" s="88">
        <v>722262</v>
      </c>
      <c r="G37" s="89">
        <f t="shared" si="0"/>
        <v>52725126</v>
      </c>
      <c r="H37" s="209"/>
      <c r="I37" s="209"/>
      <c r="J37" s="213" t="str">
        <f t="array" ref="J37:M37">_xlfn.XLOOKUP(C37,'ESAP NEIVA FASE II UNIFICADO'!$C$6:$C$720,'ESAP NEIVA FASE II UNIFICADO'!$C$6:$F$720,"NO ESTA")</f>
        <v>MURO EN CONCRETO DE 4000 PSI DESCOLGADO VIGA 00C 30x120</v>
      </c>
      <c r="K37" t="str">
        <v>M3</v>
      </c>
      <c r="L37">
        <v>11.299999999999997</v>
      </c>
      <c r="M37">
        <v>795025</v>
      </c>
      <c r="N37" s="115">
        <f t="shared" si="1"/>
        <v>795025</v>
      </c>
      <c r="O37" s="146">
        <f t="shared" si="2"/>
        <v>58036825</v>
      </c>
      <c r="P37" s="119"/>
    </row>
    <row r="38" spans="2:16" ht="19.5" customHeight="1" x14ac:dyDescent="0.25">
      <c r="B38" s="86" t="s">
        <v>77</v>
      </c>
      <c r="C38" s="87" t="s">
        <v>78</v>
      </c>
      <c r="D38" s="82" t="s">
        <v>30</v>
      </c>
      <c r="E38" s="83">
        <v>109</v>
      </c>
      <c r="F38" s="88">
        <v>722262</v>
      </c>
      <c r="G38" s="89">
        <f t="shared" si="0"/>
        <v>78726558</v>
      </c>
      <c r="H38" s="209"/>
      <c r="I38" s="209"/>
      <c r="J38" s="213" t="str">
        <f t="array" ref="J38:M38">_xlfn.XLOOKUP(C38,'ESAP NEIVA FASE II UNIFICADO'!$C$6:$C$720,'ESAP NEIVA FASE II UNIFICADO'!$C$6:$F$720,"NO ESTA")</f>
        <v>MURO ESTRUCTURAL EN CONCRETO DE 4000 PSI FACHADA EXTERIOR</v>
      </c>
      <c r="K38" t="str">
        <v>M3</v>
      </c>
      <c r="L38">
        <v>15.900000000000006</v>
      </c>
      <c r="M38">
        <v>766762</v>
      </c>
      <c r="N38" s="115">
        <f t="shared" si="1"/>
        <v>766762</v>
      </c>
      <c r="O38" s="146">
        <f t="shared" si="2"/>
        <v>83577058</v>
      </c>
      <c r="P38" s="119"/>
    </row>
    <row r="39" spans="2:16" ht="17.25" customHeight="1" x14ac:dyDescent="0.25">
      <c r="B39" s="86" t="s">
        <v>79</v>
      </c>
      <c r="C39" s="87" t="s">
        <v>80</v>
      </c>
      <c r="D39" s="82" t="s">
        <v>30</v>
      </c>
      <c r="E39" s="83">
        <v>30</v>
      </c>
      <c r="F39" s="88">
        <v>741182</v>
      </c>
      <c r="G39" s="89">
        <f t="shared" si="0"/>
        <v>22235460</v>
      </c>
      <c r="H39" s="209"/>
      <c r="I39" s="209"/>
      <c r="J39" s="213" t="str">
        <f t="array" ref="J39:M39">_xlfn.XLOOKUP(C39,'ESAP NEIVA FASE II UNIFICADO'!$C$6:$C$720,'ESAP NEIVA FASE II UNIFICADO'!$C$6:$F$720,"NO ESTA")</f>
        <v>ESCALERAS INTERNAS</v>
      </c>
      <c r="K39" t="str">
        <v>M3</v>
      </c>
      <c r="L39">
        <v>4.7000000000000028</v>
      </c>
      <c r="M39">
        <v>910627</v>
      </c>
      <c r="N39" s="115">
        <f t="shared" si="1"/>
        <v>910627</v>
      </c>
      <c r="O39" s="146">
        <f t="shared" si="2"/>
        <v>27318810</v>
      </c>
      <c r="P39" s="119"/>
    </row>
    <row r="40" spans="2:16" ht="18" customHeight="1" x14ac:dyDescent="0.25">
      <c r="B40" s="86" t="s">
        <v>81</v>
      </c>
      <c r="C40" s="87" t="s">
        <v>82</v>
      </c>
      <c r="D40" s="82" t="s">
        <v>30</v>
      </c>
      <c r="E40" s="83">
        <v>17</v>
      </c>
      <c r="F40" s="88">
        <v>741182</v>
      </c>
      <c r="G40" s="89">
        <f t="shared" si="0"/>
        <v>12600094</v>
      </c>
      <c r="H40" s="209"/>
      <c r="I40" s="209"/>
      <c r="J40" s="213" t="str">
        <f t="array" ref="J40:M40">_xlfn.XLOOKUP(C40,'ESAP NEIVA FASE II UNIFICADO'!$C$6:$C$720,'ESAP NEIVA FASE II UNIFICADO'!$C$6:$F$720,"NO ESTA")</f>
        <v>ESCALERA ACCESO SEGUNDO (2DO) Y TERCER (3ER) PISO EJES 1 Y 4'</v>
      </c>
      <c r="K40" t="str">
        <v>M3</v>
      </c>
      <c r="L40">
        <v>2</v>
      </c>
      <c r="M40">
        <v>910627</v>
      </c>
      <c r="N40" s="115">
        <f t="shared" si="1"/>
        <v>910627</v>
      </c>
      <c r="O40" s="146">
        <f t="shared" si="2"/>
        <v>15480659</v>
      </c>
      <c r="P40" s="119"/>
    </row>
    <row r="41" spans="2:16" ht="15.75" customHeight="1" x14ac:dyDescent="0.25">
      <c r="B41" s="86" t="s">
        <v>83</v>
      </c>
      <c r="C41" s="87" t="s">
        <v>84</v>
      </c>
      <c r="D41" s="82" t="s">
        <v>30</v>
      </c>
      <c r="E41" s="83">
        <v>63</v>
      </c>
      <c r="F41" s="88">
        <v>759608</v>
      </c>
      <c r="G41" s="89">
        <f t="shared" si="0"/>
        <v>47855304</v>
      </c>
      <c r="H41" s="209"/>
      <c r="I41" s="209"/>
      <c r="J41" s="213" t="str">
        <f t="array" ref="J41:M41">_xlfn.XLOOKUP(C41,'ESAP NEIVA FASE II UNIFICADO'!$C$6:$C$720,'ESAP NEIVA FASE II UNIFICADO'!$C$6:$F$720,"NO ESTA")</f>
        <v>RAMPAS DE ACCESO Incluye ACERO DE REFUERZO</v>
      </c>
      <c r="K41" t="str">
        <v>M3</v>
      </c>
      <c r="L41">
        <v>9</v>
      </c>
      <c r="M41">
        <v>852120</v>
      </c>
      <c r="N41" s="115">
        <f t="shared" si="1"/>
        <v>852120</v>
      </c>
      <c r="O41" s="146">
        <f t="shared" si="2"/>
        <v>53683560</v>
      </c>
      <c r="P41" s="119"/>
    </row>
    <row r="42" spans="2:16" ht="39.75" customHeight="1" x14ac:dyDescent="0.25">
      <c r="B42" s="80" t="s">
        <v>85</v>
      </c>
      <c r="C42" s="81" t="s">
        <v>86</v>
      </c>
      <c r="D42" s="82"/>
      <c r="E42" s="83"/>
      <c r="F42" s="90">
        <v>0</v>
      </c>
      <c r="G42" s="89">
        <f t="shared" si="0"/>
        <v>0</v>
      </c>
      <c r="H42" s="209"/>
      <c r="I42" s="209"/>
      <c r="J42" s="213" t="str">
        <f t="array" ref="J42:M42">_xlfn.XLOOKUP(C42,'ESAP NEIVA FASE II UNIFICADO'!$C$6:$C$720,'ESAP NEIVA FASE II UNIFICADO'!$C$6:$F$720,"NO ESTA")</f>
        <v>SUMINISTRO E INSTALACIÓN ACERO DE REFUERZO ELEMENTOS ESTRUCTURALES, PLACAS MACIZAS, CONSTRUCCIONES VARIAS EN CONCRETOS</v>
      </c>
      <c r="K42">
        <v>0</v>
      </c>
      <c r="L42">
        <v>0</v>
      </c>
      <c r="M42">
        <v>0</v>
      </c>
      <c r="N42" s="115">
        <f t="shared" si="1"/>
        <v>0</v>
      </c>
      <c r="O42" s="146">
        <f t="shared" si="2"/>
        <v>0</v>
      </c>
      <c r="P42" s="119"/>
    </row>
    <row r="43" spans="2:16" ht="18" customHeight="1" x14ac:dyDescent="0.25">
      <c r="B43" s="86" t="s">
        <v>87</v>
      </c>
      <c r="C43" s="93" t="s">
        <v>54</v>
      </c>
      <c r="D43" s="82" t="s">
        <v>55</v>
      </c>
      <c r="E43" s="83">
        <v>134615.48000000001</v>
      </c>
      <c r="F43" s="88">
        <v>5221</v>
      </c>
      <c r="G43" s="89">
        <f t="shared" si="0"/>
        <v>702827421.08000004</v>
      </c>
      <c r="H43" s="209"/>
      <c r="I43" s="209"/>
      <c r="J43" s="213" t="str">
        <f t="array" ref="J43:M43">_xlfn.XLOOKUP(C43,'ESAP NEIVA FASE II UNIFICADO'!$C$6:$C$720,'ESAP NEIVA FASE II UNIFICADO'!$C$6:$F$720,"NO ESTA")</f>
        <v>ACERO DE REFUERZO 60000 psi Incluye ALAMBRE DE AMARRE</v>
      </c>
      <c r="K43" t="str">
        <v>KG</v>
      </c>
      <c r="L43">
        <v>8230.6999999999971</v>
      </c>
      <c r="M43">
        <v>5000</v>
      </c>
      <c r="N43" s="115">
        <f t="shared" si="1"/>
        <v>5221</v>
      </c>
      <c r="O43" s="146">
        <f t="shared" si="2"/>
        <v>702827421.08000004</v>
      </c>
      <c r="P43" s="119"/>
    </row>
    <row r="44" spans="2:16" ht="30" customHeight="1" x14ac:dyDescent="0.25">
      <c r="B44" s="86" t="s">
        <v>88</v>
      </c>
      <c r="C44" s="93" t="s">
        <v>89</v>
      </c>
      <c r="D44" s="82" t="s">
        <v>13</v>
      </c>
      <c r="E44" s="83">
        <v>6220.01</v>
      </c>
      <c r="F44" s="88">
        <v>7831.5</v>
      </c>
      <c r="G44" s="89">
        <f t="shared" si="0"/>
        <v>48712008.32</v>
      </c>
      <c r="H44" s="209"/>
      <c r="I44" s="209"/>
      <c r="J44" s="213" t="str">
        <f t="array" ref="J44:M44">_xlfn.XLOOKUP(C44,'ESAP NEIVA FASE II UNIFICADO'!$C$6:$C$720,'ESAP NEIVA FASE II UNIFICADO'!$C$6:$F$720,"NO ESTA")</f>
        <v>MALLA ELECTROSOLDADA PLACA ENTREPISO Q85 Ø4 mm separación 15x15 cm o similar</v>
      </c>
      <c r="K44" t="str">
        <v>M2</v>
      </c>
      <c r="L44">
        <v>938.19999999999982</v>
      </c>
      <c r="M44">
        <v>7500</v>
      </c>
      <c r="N44" s="115">
        <f t="shared" si="1"/>
        <v>7831.5</v>
      </c>
      <c r="O44" s="146">
        <f t="shared" si="2"/>
        <v>48712008.315000005</v>
      </c>
      <c r="P44" s="119"/>
    </row>
    <row r="45" spans="2:16" ht="30" customHeight="1" x14ac:dyDescent="0.25">
      <c r="B45" s="80" t="s">
        <v>90</v>
      </c>
      <c r="C45" s="81" t="s">
        <v>91</v>
      </c>
      <c r="D45" s="82"/>
      <c r="E45" s="83"/>
      <c r="F45" s="90">
        <v>0</v>
      </c>
      <c r="G45" s="89">
        <f t="shared" si="0"/>
        <v>0</v>
      </c>
      <c r="H45" s="209"/>
      <c r="I45" s="209"/>
      <c r="J45" s="213" t="str">
        <f t="array" ref="J45:M45">_xlfn.XLOOKUP(C45,'ESAP NEIVA FASE II UNIFICADO'!$C$6:$C$720,'ESAP NEIVA FASE II UNIFICADO'!$C$6:$F$720,"NO ESTA")</f>
        <v>SUMINISTRO E INSTALACION DE ESTRUCTURA METALICA CUBIERTA</v>
      </c>
      <c r="K45">
        <v>0</v>
      </c>
      <c r="L45">
        <v>0</v>
      </c>
      <c r="M45">
        <v>0</v>
      </c>
      <c r="N45" s="115">
        <f t="shared" si="1"/>
        <v>0</v>
      </c>
      <c r="O45" s="146">
        <f t="shared" si="2"/>
        <v>0</v>
      </c>
      <c r="P45" s="119"/>
    </row>
    <row r="46" spans="2:16" ht="15" customHeight="1" x14ac:dyDescent="0.25">
      <c r="B46" s="86" t="s">
        <v>92</v>
      </c>
      <c r="C46" s="87" t="s">
        <v>93</v>
      </c>
      <c r="D46" s="82" t="s">
        <v>94</v>
      </c>
      <c r="E46" s="83">
        <v>194</v>
      </c>
      <c r="F46" s="88">
        <v>107357</v>
      </c>
      <c r="G46" s="89">
        <f t="shared" si="0"/>
        <v>20827258</v>
      </c>
      <c r="H46" s="209"/>
      <c r="I46" s="209"/>
      <c r="J46" s="213" t="str">
        <f t="array" ref="J46:M46">_xlfn.XLOOKUP(C46,'ESAP NEIVA FASE II UNIFICADO'!$C$6:$C$720,'ESAP NEIVA FASE II UNIFICADO'!$C$6:$F$720,"NO ESTA")</f>
        <v>CERCHA METALICA CUBIERTA</v>
      </c>
      <c r="K46" s="95" t="str">
        <v>ML</v>
      </c>
      <c r="L46">
        <v>14.099999999999994</v>
      </c>
      <c r="M46">
        <v>109392</v>
      </c>
      <c r="N46" s="115">
        <f t="shared" si="1"/>
        <v>109392</v>
      </c>
      <c r="O46" s="146">
        <f t="shared" si="2"/>
        <v>21222048</v>
      </c>
      <c r="P46" s="119"/>
    </row>
    <row r="47" spans="2:16" ht="15" customHeight="1" x14ac:dyDescent="0.25">
      <c r="B47" s="86" t="s">
        <v>95</v>
      </c>
      <c r="C47" s="87" t="s">
        <v>96</v>
      </c>
      <c r="D47" s="82" t="s">
        <v>94</v>
      </c>
      <c r="E47" s="83">
        <v>1240</v>
      </c>
      <c r="F47" s="88">
        <v>76076</v>
      </c>
      <c r="G47" s="89">
        <f t="shared" si="0"/>
        <v>94334240</v>
      </c>
      <c r="H47" s="209"/>
      <c r="I47" s="209"/>
      <c r="J47" s="213" t="str">
        <f t="array" ref="J47:M47">_xlfn.XLOOKUP(C47,'ESAP NEIVA FASE II UNIFICADO'!$C$6:$C$720,'ESAP NEIVA FASE II UNIFICADO'!$C$6:$F$720,"NO ESTA")</f>
        <v>CORREAS METALICAS CUBIERTA</v>
      </c>
      <c r="K47" t="str">
        <v>ML</v>
      </c>
      <c r="L47">
        <v>28.599999999999994</v>
      </c>
      <c r="M47">
        <v>78264</v>
      </c>
      <c r="N47" s="115">
        <f t="shared" si="1"/>
        <v>78264</v>
      </c>
      <c r="O47" s="146">
        <f t="shared" si="2"/>
        <v>97047360</v>
      </c>
      <c r="P47" s="119"/>
    </row>
    <row r="48" spans="2:16" ht="15" customHeight="1" x14ac:dyDescent="0.25">
      <c r="B48" s="86" t="s">
        <v>97</v>
      </c>
      <c r="C48" s="87" t="s">
        <v>98</v>
      </c>
      <c r="D48" s="82" t="s">
        <v>13</v>
      </c>
      <c r="E48" s="83">
        <v>508</v>
      </c>
      <c r="F48" s="88">
        <v>100589</v>
      </c>
      <c r="G48" s="89">
        <f t="shared" si="0"/>
        <v>51099212</v>
      </c>
      <c r="H48" s="209"/>
      <c r="I48" s="209"/>
      <c r="J48" s="213" t="str">
        <f t="array" ref="J48:M48">_xlfn.XLOOKUP(C48,'ESAP NEIVA FASE II UNIFICADO'!$C$6:$C$720,'ESAP NEIVA FASE II UNIFICADO'!$C$6:$F$720,"NO ESTA")</f>
        <v>CUBIERTA TIPO SANDWICH</v>
      </c>
      <c r="K48" t="str">
        <v>M2</v>
      </c>
      <c r="L48">
        <v>488.5</v>
      </c>
      <c r="M48">
        <v>103483</v>
      </c>
      <c r="N48" s="115">
        <f t="shared" si="1"/>
        <v>103483</v>
      </c>
      <c r="O48" s="146">
        <f t="shared" si="2"/>
        <v>52569364</v>
      </c>
      <c r="P48" s="119"/>
    </row>
    <row r="49" spans="2:16" ht="14.25" customHeight="1" x14ac:dyDescent="0.25">
      <c r="B49" s="74">
        <v>4</v>
      </c>
      <c r="C49" s="75" t="s">
        <v>99</v>
      </c>
      <c r="D49" s="76"/>
      <c r="E49" s="77"/>
      <c r="F49" s="78">
        <v>0</v>
      </c>
      <c r="G49" s="89">
        <f t="shared" si="0"/>
        <v>0</v>
      </c>
      <c r="H49" s="209"/>
      <c r="I49" s="209"/>
      <c r="J49" s="213" t="str">
        <f t="array" ref="J49:M49">_xlfn.XLOOKUP(C49,'ESAP NEIVA FASE II UNIFICADO'!$C$6:$C$720,'ESAP NEIVA FASE II UNIFICADO'!$C$6:$F$720,"NO ESTA")</f>
        <v>CIELO RASOS</v>
      </c>
      <c r="K49">
        <v>0</v>
      </c>
      <c r="L49">
        <v>0</v>
      </c>
      <c r="M49">
        <v>0</v>
      </c>
      <c r="N49" s="115">
        <f t="shared" si="1"/>
        <v>0</v>
      </c>
      <c r="O49" s="146">
        <f t="shared" si="2"/>
        <v>0</v>
      </c>
      <c r="P49" s="119"/>
    </row>
    <row r="50" spans="2:16" ht="17.25" customHeight="1" x14ac:dyDescent="0.25">
      <c r="B50" s="80" t="s">
        <v>100</v>
      </c>
      <c r="C50" s="81" t="s">
        <v>101</v>
      </c>
      <c r="D50" s="82"/>
      <c r="E50" s="83"/>
      <c r="F50" s="84">
        <v>0</v>
      </c>
      <c r="G50" s="89">
        <f t="shared" si="0"/>
        <v>0</v>
      </c>
      <c r="H50" s="209"/>
      <c r="I50" s="209"/>
      <c r="J50" s="213" t="str">
        <f t="array" ref="J50:M50">_xlfn.XLOOKUP(C50,'ESAP NEIVA FASE II UNIFICADO'!$C$6:$C$720,'ESAP NEIVA FASE II UNIFICADO'!$C$6:$F$720,"NO ESTA")</f>
        <v>SUMINISTRO E INSTALACION DE CIELOS RASOS PISO 1</v>
      </c>
      <c r="K50">
        <v>0</v>
      </c>
      <c r="L50">
        <v>0</v>
      </c>
      <c r="M50">
        <v>0</v>
      </c>
      <c r="N50" s="115">
        <f t="shared" si="1"/>
        <v>0</v>
      </c>
      <c r="O50" s="146">
        <f t="shared" si="2"/>
        <v>0</v>
      </c>
      <c r="P50" s="119"/>
    </row>
    <row r="51" spans="2:16" ht="31.5" customHeight="1" x14ac:dyDescent="0.25">
      <c r="B51" s="86" t="s">
        <v>102</v>
      </c>
      <c r="C51" s="147" t="s">
        <v>103</v>
      </c>
      <c r="D51" s="82" t="s">
        <v>13</v>
      </c>
      <c r="E51" s="83">
        <v>59.86</v>
      </c>
      <c r="F51" s="88">
        <v>43707</v>
      </c>
      <c r="G51" s="89">
        <f t="shared" si="0"/>
        <v>2616301.02</v>
      </c>
      <c r="H51" s="209"/>
      <c r="I51" s="209"/>
      <c r="J51" s="213" t="str">
        <f t="array" ref="J51:M51">_xlfn.XLOOKUP(C51,'ESAP NEIVA FASE II UNIFICADO'!$C$6:$C$720,'ESAP NEIVA FASE II UNIFICADO'!$C$6:$F$720,"NO ESTA")</f>
        <v>SUMINISTRO E INSTALACION CIELO RASO EN DRYWALL LAMINA VERDE RH  PINTADO A 3 MANOS PINTURA VINILO TIPO 1 o similar  BLANCA Ref. Planos 09512</v>
      </c>
      <c r="K51" t="str">
        <v>M2</v>
      </c>
      <c r="L51">
        <v>68.989999999999995</v>
      </c>
      <c r="M51">
        <v>52673</v>
      </c>
      <c r="N51" s="115">
        <f t="shared" si="1"/>
        <v>52673</v>
      </c>
      <c r="O51" s="146">
        <f t="shared" si="2"/>
        <v>3153005.78</v>
      </c>
      <c r="P51" s="119"/>
    </row>
    <row r="52" spans="2:16" ht="26.25" customHeight="1" x14ac:dyDescent="0.25">
      <c r="B52" s="86" t="s">
        <v>104</v>
      </c>
      <c r="C52" s="149" t="s">
        <v>105</v>
      </c>
      <c r="D52" s="82" t="s">
        <v>13</v>
      </c>
      <c r="E52" s="83">
        <v>388.43</v>
      </c>
      <c r="F52" s="88">
        <v>43707</v>
      </c>
      <c r="G52" s="89">
        <f t="shared" si="0"/>
        <v>16977110.010000002</v>
      </c>
      <c r="H52" s="209"/>
      <c r="I52" s="209"/>
      <c r="J52" s="213" t="str">
        <f t="array" ref="J52:M52">_xlfn.XLOOKUP(C52,'ESAP NEIVA FASE II UNIFICADO'!$C$6:$C$720,'ESAP NEIVA FASE II UNIFICADO'!$C$6:$F$720,"NO ESTA")</f>
        <v>SUMINISTRO E INSTALACION CIELO RASO EN DRYWALL LAMINA BLANCA PINTADO A 3 MANOS PINTURA VINILO TIPO 1  BLANCA Ref. Planos 09511</v>
      </c>
      <c r="K52" t="str">
        <v>M2</v>
      </c>
      <c r="L52">
        <v>0</v>
      </c>
      <c r="M52">
        <v>52673</v>
      </c>
      <c r="N52" s="115">
        <f t="shared" si="1"/>
        <v>52673</v>
      </c>
      <c r="O52" s="146">
        <f t="shared" si="2"/>
        <v>20459773.390000001</v>
      </c>
      <c r="P52" s="119"/>
    </row>
    <row r="53" spans="2:16" ht="15.75" customHeight="1" x14ac:dyDescent="0.25">
      <c r="B53" s="74">
        <v>5</v>
      </c>
      <c r="C53" s="75" t="s">
        <v>106</v>
      </c>
      <c r="D53" s="76"/>
      <c r="E53" s="77"/>
      <c r="F53" s="78">
        <v>0</v>
      </c>
      <c r="G53" s="89">
        <f t="shared" si="0"/>
        <v>0</v>
      </c>
      <c r="H53" s="209"/>
      <c r="I53" s="209"/>
      <c r="J53" s="213" t="str">
        <f t="array" ref="J53:M53">_xlfn.XLOOKUP(C53,'ESAP NEIVA FASE II UNIFICADO'!$C$6:$C$720,'ESAP NEIVA FASE II UNIFICADO'!$C$6:$F$720,"NO ESTA")</f>
        <v>CONSTRUCCIÓN DE MUROS ARQUITECTONICOS</v>
      </c>
      <c r="K53">
        <v>0</v>
      </c>
      <c r="L53">
        <v>0</v>
      </c>
      <c r="M53">
        <v>0</v>
      </c>
      <c r="N53" s="115">
        <f t="shared" si="1"/>
        <v>0</v>
      </c>
      <c r="O53" s="146">
        <f t="shared" si="2"/>
        <v>0</v>
      </c>
      <c r="P53" s="119"/>
    </row>
    <row r="54" spans="2:16" ht="15" customHeight="1" x14ac:dyDescent="0.25">
      <c r="B54" s="80" t="s">
        <v>107</v>
      </c>
      <c r="C54" s="81" t="s">
        <v>108</v>
      </c>
      <c r="D54" s="82"/>
      <c r="E54" s="83"/>
      <c r="F54" s="90">
        <v>0</v>
      </c>
      <c r="G54" s="89">
        <f t="shared" si="0"/>
        <v>0</v>
      </c>
      <c r="H54" s="209"/>
      <c r="I54" s="209"/>
      <c r="J54" s="213" t="str">
        <f t="array" ref="J54:M54">_xlfn.XLOOKUP(C54,'ESAP NEIVA FASE II UNIFICADO'!$C$6:$C$720,'ESAP NEIVA FASE II UNIFICADO'!$C$6:$F$720,"NO ESTA")</f>
        <v>CONSTRUCCIÓN MUROS ARQUITECTONICOS SEMISOTANO</v>
      </c>
      <c r="K54">
        <v>0</v>
      </c>
      <c r="L54">
        <v>0</v>
      </c>
      <c r="M54">
        <v>0</v>
      </c>
      <c r="N54" s="115">
        <f t="shared" si="1"/>
        <v>0</v>
      </c>
      <c r="O54" s="146">
        <f t="shared" si="2"/>
        <v>0</v>
      </c>
      <c r="P54" s="119"/>
    </row>
    <row r="55" spans="2:16" ht="15" customHeight="1" x14ac:dyDescent="0.25">
      <c r="B55" s="86" t="s">
        <v>109</v>
      </c>
      <c r="C55" s="87" t="s">
        <v>110</v>
      </c>
      <c r="D55" s="82" t="s">
        <v>30</v>
      </c>
      <c r="E55" s="83">
        <v>0.73</v>
      </c>
      <c r="F55" s="88">
        <v>722262</v>
      </c>
      <c r="G55" s="89">
        <f t="shared" si="0"/>
        <v>527251.26</v>
      </c>
      <c r="H55" s="209"/>
      <c r="I55" s="209"/>
      <c r="J55" s="213" t="str">
        <f t="array" ref="J55:M55">_xlfn.XLOOKUP(C55,'ESAP NEIVA FASE II UNIFICADO'!$C$6:$C$720,'ESAP NEIVA FASE II UNIFICADO'!$C$6:$F$720,"NO ESTA")</f>
        <v>MURO EN CONCRETO DE 4000 PSI e=0.12 m Ver. Planos Tipo Muro M-1</v>
      </c>
      <c r="K55" t="str">
        <v>M3</v>
      </c>
      <c r="L55">
        <v>0</v>
      </c>
      <c r="M55">
        <v>821235</v>
      </c>
      <c r="N55" s="115">
        <f t="shared" si="1"/>
        <v>821235</v>
      </c>
      <c r="O55" s="146">
        <f t="shared" si="2"/>
        <v>599501.54999999993</v>
      </c>
      <c r="P55" s="119"/>
    </row>
    <row r="56" spans="2:16" ht="15" customHeight="1" x14ac:dyDescent="0.25">
      <c r="B56" s="86" t="s">
        <v>111</v>
      </c>
      <c r="C56" s="87" t="s">
        <v>112</v>
      </c>
      <c r="D56" s="82" t="s">
        <v>30</v>
      </c>
      <c r="E56" s="83">
        <v>11.33</v>
      </c>
      <c r="F56" s="88">
        <v>722262</v>
      </c>
      <c r="G56" s="89">
        <f t="shared" si="0"/>
        <v>8183228.46</v>
      </c>
      <c r="H56" s="209"/>
      <c r="I56" s="209"/>
      <c r="J56" s="213" t="str">
        <f t="array" ref="J56:M56">_xlfn.XLOOKUP(C56,'ESAP NEIVA FASE II UNIFICADO'!$C$6:$C$720,'ESAP NEIVA FASE II UNIFICADO'!$C$6:$F$720,"NO ESTA")</f>
        <v>MURO EN CONCRETO DE 4000 PSI e=0.15 m Ver. Planos Tipo Muro M-2</v>
      </c>
      <c r="K56" t="str">
        <v>M3</v>
      </c>
      <c r="L56">
        <v>11.33</v>
      </c>
      <c r="M56">
        <v>821235</v>
      </c>
      <c r="N56" s="115">
        <f t="shared" si="1"/>
        <v>821235</v>
      </c>
      <c r="O56" s="146">
        <f t="shared" si="2"/>
        <v>9304592.5500000007</v>
      </c>
      <c r="P56" s="119"/>
    </row>
    <row r="57" spans="2:16" ht="15" customHeight="1" x14ac:dyDescent="0.25">
      <c r="B57" s="86" t="s">
        <v>113</v>
      </c>
      <c r="C57" s="87" t="s">
        <v>114</v>
      </c>
      <c r="D57" s="82" t="s">
        <v>30</v>
      </c>
      <c r="E57" s="83">
        <v>95.6</v>
      </c>
      <c r="F57" s="88">
        <v>722262</v>
      </c>
      <c r="G57" s="89">
        <f t="shared" si="0"/>
        <v>69048247.200000003</v>
      </c>
      <c r="H57" s="209"/>
      <c r="I57" s="209"/>
      <c r="J57" s="213" t="str">
        <f t="array" ref="J57:M57">_xlfn.XLOOKUP(C57,'ESAP NEIVA FASE II UNIFICADO'!$C$6:$C$720,'ESAP NEIVA FASE II UNIFICADO'!$C$6:$F$720,"NO ESTA")</f>
        <v>MURO EN CONCRETO DE 4000 PSI e=0.25 m Ver. Planos Tipo Muro M-3</v>
      </c>
      <c r="K57" t="str">
        <v>M3</v>
      </c>
      <c r="L57">
        <v>95.594999999999999</v>
      </c>
      <c r="M57">
        <v>821235</v>
      </c>
      <c r="N57" s="115">
        <f t="shared" si="1"/>
        <v>821235</v>
      </c>
      <c r="O57" s="146">
        <f t="shared" si="2"/>
        <v>78510066</v>
      </c>
      <c r="P57" s="119"/>
    </row>
    <row r="58" spans="2:16" ht="15" customHeight="1" x14ac:dyDescent="0.25">
      <c r="B58" s="86" t="s">
        <v>115</v>
      </c>
      <c r="C58" s="87" t="s">
        <v>116</v>
      </c>
      <c r="D58" s="82" t="s">
        <v>30</v>
      </c>
      <c r="E58" s="83">
        <v>20.12</v>
      </c>
      <c r="F58" s="88">
        <v>722262</v>
      </c>
      <c r="G58" s="89">
        <f t="shared" si="0"/>
        <v>14531911.439999999</v>
      </c>
      <c r="H58" s="209"/>
      <c r="I58" s="209"/>
      <c r="J58" s="213" t="str">
        <f t="array" ref="J58:M58">_xlfn.XLOOKUP(C58,'ESAP NEIVA FASE II UNIFICADO'!$C$6:$C$720,'ESAP NEIVA FASE II UNIFICADO'!$C$6:$F$720,"NO ESTA")</f>
        <v>MURO EN CONCRETO DE 4000 PSI e=0.30 m Ver. Planos Tipo Muro M-4</v>
      </c>
      <c r="K58" t="str">
        <v>M3</v>
      </c>
      <c r="L58">
        <v>20.12</v>
      </c>
      <c r="M58">
        <v>821235</v>
      </c>
      <c r="N58" s="115">
        <f t="shared" si="1"/>
        <v>821235</v>
      </c>
      <c r="O58" s="146">
        <f t="shared" si="2"/>
        <v>16523248.200000001</v>
      </c>
      <c r="P58" s="119"/>
    </row>
    <row r="59" spans="2:16" ht="15" customHeight="1" x14ac:dyDescent="0.25">
      <c r="B59" s="86" t="s">
        <v>117</v>
      </c>
      <c r="C59" s="87" t="s">
        <v>118</v>
      </c>
      <c r="D59" s="82" t="s">
        <v>30</v>
      </c>
      <c r="E59" s="83">
        <v>80.489999999999995</v>
      </c>
      <c r="F59" s="88">
        <v>722262</v>
      </c>
      <c r="G59" s="89">
        <f t="shared" si="0"/>
        <v>58134868.380000003</v>
      </c>
      <c r="H59" s="209"/>
      <c r="I59" s="209"/>
      <c r="J59" s="213" t="str">
        <f t="array" ref="J59:M59">_xlfn.XLOOKUP(C59,'ESAP NEIVA FASE II UNIFICADO'!$C$6:$C$720,'ESAP NEIVA FASE II UNIFICADO'!$C$6:$F$720,"NO ESTA")</f>
        <v>MURO EN CONCRETO DE 4000 PSI e=0.40 m Ver. Planos Tipo Muro M-5</v>
      </c>
      <c r="K59" t="str">
        <v>M3</v>
      </c>
      <c r="L59">
        <v>80.484999999999999</v>
      </c>
      <c r="M59">
        <v>821235</v>
      </c>
      <c r="N59" s="115">
        <f t="shared" si="1"/>
        <v>821235</v>
      </c>
      <c r="O59" s="146">
        <f t="shared" si="2"/>
        <v>66101205.149999999</v>
      </c>
      <c r="P59" s="119"/>
    </row>
    <row r="60" spans="2:16" ht="15" customHeight="1" x14ac:dyDescent="0.25">
      <c r="B60" s="86" t="s">
        <v>119</v>
      </c>
      <c r="C60" s="87" t="s">
        <v>120</v>
      </c>
      <c r="D60" s="82" t="s">
        <v>13</v>
      </c>
      <c r="E60" s="83">
        <v>79.69</v>
      </c>
      <c r="F60" s="88">
        <v>153356</v>
      </c>
      <c r="G60" s="89">
        <f t="shared" si="0"/>
        <v>12220939.640000001</v>
      </c>
      <c r="H60" s="209"/>
      <c r="I60" s="209"/>
      <c r="J60" s="213" t="str">
        <f t="array" ref="J60:M60">_xlfn.XLOOKUP(C60,'ESAP NEIVA FASE II UNIFICADO'!$C$6:$C$720,'ESAP NEIVA FASE II UNIFICADO'!$C$6:$F$720,"NO ESTA")</f>
        <v>MURO EN LADRILLO GRAN FORMATO e= 0.12 m Ref. Tierra Ver. Planos Tipo Muro M-6</v>
      </c>
      <c r="K60" t="str">
        <v>M2</v>
      </c>
      <c r="L60">
        <v>79.69</v>
      </c>
      <c r="M60">
        <v>141317</v>
      </c>
      <c r="N60" s="115">
        <f t="shared" si="1"/>
        <v>153356</v>
      </c>
      <c r="O60" s="146">
        <f t="shared" si="2"/>
        <v>12220939.639999999</v>
      </c>
      <c r="P60" s="119"/>
    </row>
    <row r="61" spans="2:16" ht="15" customHeight="1" x14ac:dyDescent="0.25">
      <c r="B61" s="86" t="s">
        <v>121</v>
      </c>
      <c r="C61" s="87" t="s">
        <v>122</v>
      </c>
      <c r="D61" s="82" t="s">
        <v>13</v>
      </c>
      <c r="E61" s="83">
        <v>21.32</v>
      </c>
      <c r="F61" s="88">
        <v>306715</v>
      </c>
      <c r="G61" s="89">
        <f t="shared" si="0"/>
        <v>6539163.7999999998</v>
      </c>
      <c r="H61" s="209"/>
      <c r="I61" s="209"/>
      <c r="J61" s="213" t="str">
        <f t="array" ref="J61:M61">_xlfn.XLOOKUP(C61,'ESAP NEIVA FASE II UNIFICADO'!$C$6:$C$720,'ESAP NEIVA FASE II UNIFICADO'!$C$6:$F$720,"NO ESTA")</f>
        <v xml:space="preserve">MURO EN LADRILLO GRAN FORMATO e= 0.25 m Ref. Tierra Ver. Planos Tipo Muro M-7 </v>
      </c>
      <c r="K61" t="str">
        <v>M2</v>
      </c>
      <c r="L61">
        <v>21.32</v>
      </c>
      <c r="M61">
        <v>186538</v>
      </c>
      <c r="N61" s="115">
        <f t="shared" si="1"/>
        <v>306715</v>
      </c>
      <c r="O61" s="146">
        <f t="shared" si="2"/>
        <v>6539163.7999999998</v>
      </c>
      <c r="P61" s="119"/>
    </row>
    <row r="62" spans="2:16" ht="15" customHeight="1" x14ac:dyDescent="0.25">
      <c r="B62" s="97" t="s">
        <v>123</v>
      </c>
      <c r="C62" s="98" t="s">
        <v>124</v>
      </c>
      <c r="D62" s="82"/>
      <c r="E62" s="83"/>
      <c r="F62" s="90">
        <v>0</v>
      </c>
      <c r="G62" s="89">
        <f t="shared" si="0"/>
        <v>0</v>
      </c>
      <c r="H62" s="209"/>
      <c r="I62" s="209"/>
      <c r="J62" s="213" t="str">
        <f t="array" ref="J62:M62">_xlfn.XLOOKUP(C62,'ESAP NEIVA FASE II UNIFICADO'!$C$6:$C$720,'ESAP NEIVA FASE II UNIFICADO'!$C$6:$F$720,"NO ESTA")</f>
        <v>CONSTRUCCIÓN MUROS ARQUITECTONICOS EXTERIORES</v>
      </c>
      <c r="K62">
        <v>0</v>
      </c>
      <c r="L62">
        <v>0</v>
      </c>
      <c r="M62">
        <v>0</v>
      </c>
      <c r="N62" s="115">
        <f t="shared" si="1"/>
        <v>0</v>
      </c>
      <c r="O62" s="146">
        <f t="shared" si="2"/>
        <v>0</v>
      </c>
      <c r="P62" s="119"/>
    </row>
    <row r="63" spans="2:16" ht="15" customHeight="1" x14ac:dyDescent="0.25">
      <c r="B63" s="86" t="s">
        <v>125</v>
      </c>
      <c r="C63" s="87" t="s">
        <v>112</v>
      </c>
      <c r="D63" s="82" t="s">
        <v>30</v>
      </c>
      <c r="E63" s="83">
        <v>0.17</v>
      </c>
      <c r="F63" s="88">
        <v>722262</v>
      </c>
      <c r="G63" s="89">
        <f t="shared" si="0"/>
        <v>122784.54</v>
      </c>
      <c r="H63" s="209"/>
      <c r="I63" s="209"/>
      <c r="J63" s="213" t="str">
        <f t="array" ref="J63:M63">_xlfn.XLOOKUP(C63,'ESAP NEIVA FASE II UNIFICADO'!$C$6:$C$720,'ESAP NEIVA FASE II UNIFICADO'!$C$6:$F$720,"NO ESTA")</f>
        <v>MURO EN CONCRETO DE 4000 PSI e=0.15 m Ver. Planos Tipo Muro M-2</v>
      </c>
      <c r="K63" t="str">
        <v>M3</v>
      </c>
      <c r="L63">
        <v>11.33</v>
      </c>
      <c r="M63">
        <v>821235</v>
      </c>
      <c r="N63" s="115">
        <f t="shared" si="1"/>
        <v>821235</v>
      </c>
      <c r="O63" s="146">
        <f t="shared" si="2"/>
        <v>139609.95000000001</v>
      </c>
      <c r="P63" s="119"/>
    </row>
    <row r="64" spans="2:16" ht="15" customHeight="1" x14ac:dyDescent="0.25">
      <c r="B64" s="86" t="s">
        <v>126</v>
      </c>
      <c r="C64" s="87" t="s">
        <v>114</v>
      </c>
      <c r="D64" s="82" t="s">
        <v>30</v>
      </c>
      <c r="E64" s="83">
        <v>56.08</v>
      </c>
      <c r="F64" s="88">
        <v>722262</v>
      </c>
      <c r="G64" s="89">
        <f t="shared" si="0"/>
        <v>40504452.960000001</v>
      </c>
      <c r="H64" s="209"/>
      <c r="I64" s="209"/>
      <c r="J64" s="213" t="str">
        <f t="array" ref="J64:M64">_xlfn.XLOOKUP(C64,'ESAP NEIVA FASE II UNIFICADO'!$C$6:$C$720,'ESAP NEIVA FASE II UNIFICADO'!$C$6:$F$720,"NO ESTA")</f>
        <v>MURO EN CONCRETO DE 4000 PSI e=0.25 m Ver. Planos Tipo Muro M-3</v>
      </c>
      <c r="K64" t="str">
        <v>M3</v>
      </c>
      <c r="L64">
        <v>95.594999999999999</v>
      </c>
      <c r="M64">
        <v>821235</v>
      </c>
      <c r="N64" s="115">
        <f t="shared" si="1"/>
        <v>821235</v>
      </c>
      <c r="O64" s="146">
        <f t="shared" si="2"/>
        <v>46054858.799999997</v>
      </c>
      <c r="P64" s="119"/>
    </row>
    <row r="65" spans="2:16" ht="15" customHeight="1" x14ac:dyDescent="0.25">
      <c r="B65" s="80" t="s">
        <v>127</v>
      </c>
      <c r="C65" s="81" t="s">
        <v>128</v>
      </c>
      <c r="D65" s="82"/>
      <c r="E65" s="83"/>
      <c r="F65" s="90">
        <v>0</v>
      </c>
      <c r="G65" s="89">
        <f t="shared" si="0"/>
        <v>0</v>
      </c>
      <c r="H65" s="209"/>
      <c r="I65" s="209"/>
      <c r="J65" s="213" t="str">
        <f t="array" ref="J65:M65">_xlfn.XLOOKUP(C65,'ESAP NEIVA FASE II UNIFICADO'!$C$6:$C$720,'ESAP NEIVA FASE II UNIFICADO'!$C$6:$F$720,"NO ESTA")</f>
        <v>CONSTRUCCIÓN MUROS ARQUITECTONICOS PISO 1</v>
      </c>
      <c r="K65">
        <v>0</v>
      </c>
      <c r="L65">
        <v>0</v>
      </c>
      <c r="M65">
        <v>0</v>
      </c>
      <c r="N65" s="115">
        <f t="shared" si="1"/>
        <v>0</v>
      </c>
      <c r="O65" s="146">
        <f t="shared" si="2"/>
        <v>0</v>
      </c>
      <c r="P65" s="119"/>
    </row>
    <row r="66" spans="2:16" ht="15" customHeight="1" x14ac:dyDescent="0.25">
      <c r="B66" s="86" t="s">
        <v>129</v>
      </c>
      <c r="C66" s="87" t="s">
        <v>130</v>
      </c>
      <c r="D66" s="82" t="s">
        <v>13</v>
      </c>
      <c r="E66" s="83">
        <v>91.92</v>
      </c>
      <c r="F66" s="88">
        <v>110643</v>
      </c>
      <c r="G66" s="89">
        <f t="shared" si="0"/>
        <v>10170304.560000001</v>
      </c>
      <c r="H66" s="209"/>
      <c r="I66" s="209"/>
      <c r="J66" s="213" t="str">
        <f t="array" ref="J66:M66">_xlfn.XLOOKUP(C66,'ESAP NEIVA FASE II UNIFICADO'!$C$6:$C$720,'ESAP NEIVA FASE II UNIFICADO'!$C$6:$F$720,"NO ESTA")</f>
        <v>ENCHAPE DE MURO BAÑOS PORCELANATO GRIS 30*40CM</v>
      </c>
      <c r="K66" t="str">
        <v>M2</v>
      </c>
      <c r="L66">
        <v>91.915000000000006</v>
      </c>
      <c r="M66">
        <v>102358</v>
      </c>
      <c r="N66" s="115">
        <f t="shared" si="1"/>
        <v>110643</v>
      </c>
      <c r="O66" s="146">
        <f t="shared" si="2"/>
        <v>10170304.560000001</v>
      </c>
      <c r="P66" s="119"/>
    </row>
    <row r="67" spans="2:16" ht="15" customHeight="1" x14ac:dyDescent="0.25">
      <c r="B67" s="86" t="s">
        <v>131</v>
      </c>
      <c r="C67" s="87" t="s">
        <v>112</v>
      </c>
      <c r="D67" s="82" t="s">
        <v>30</v>
      </c>
      <c r="E67" s="83">
        <v>29.67</v>
      </c>
      <c r="F67" s="88">
        <v>722262</v>
      </c>
      <c r="G67" s="89">
        <f t="shared" si="0"/>
        <v>21429513.539999999</v>
      </c>
      <c r="H67" s="209"/>
      <c r="I67" s="209"/>
      <c r="J67" s="213" t="str">
        <f t="array" ref="J67:M67">_xlfn.XLOOKUP(C67,'ESAP NEIVA FASE II UNIFICADO'!$C$6:$C$720,'ESAP NEIVA FASE II UNIFICADO'!$C$6:$F$720,"NO ESTA")</f>
        <v>MURO EN CONCRETO DE 4000 PSI e=0.15 m Ver. Planos Tipo Muro M-2</v>
      </c>
      <c r="K67" t="str">
        <v>M3</v>
      </c>
      <c r="L67">
        <v>11.33</v>
      </c>
      <c r="M67">
        <v>821235</v>
      </c>
      <c r="N67" s="115">
        <f t="shared" si="1"/>
        <v>821235</v>
      </c>
      <c r="O67" s="146">
        <f t="shared" si="2"/>
        <v>24366042.450000003</v>
      </c>
      <c r="P67" s="119"/>
    </row>
    <row r="68" spans="2:16" ht="15" customHeight="1" x14ac:dyDescent="0.25">
      <c r="B68" s="86" t="s">
        <v>132</v>
      </c>
      <c r="C68" s="87" t="s">
        <v>114</v>
      </c>
      <c r="D68" s="82" t="s">
        <v>30</v>
      </c>
      <c r="E68" s="83">
        <v>8.76</v>
      </c>
      <c r="F68" s="88">
        <v>722262</v>
      </c>
      <c r="G68" s="89">
        <f t="shared" si="0"/>
        <v>6327015.1200000001</v>
      </c>
      <c r="H68" s="209"/>
      <c r="I68" s="209"/>
      <c r="J68" s="213" t="str">
        <f t="array" ref="J68:M68">_xlfn.XLOOKUP(C68,'ESAP NEIVA FASE II UNIFICADO'!$C$6:$C$720,'ESAP NEIVA FASE II UNIFICADO'!$C$6:$F$720,"NO ESTA")</f>
        <v>MURO EN CONCRETO DE 4000 PSI e=0.25 m Ver. Planos Tipo Muro M-3</v>
      </c>
      <c r="K68" t="str">
        <v>M3</v>
      </c>
      <c r="L68">
        <v>95.594999999999999</v>
      </c>
      <c r="M68">
        <v>821235</v>
      </c>
      <c r="N68" s="115">
        <f t="shared" si="1"/>
        <v>821235</v>
      </c>
      <c r="O68" s="146">
        <f t="shared" si="2"/>
        <v>7194018.5999999996</v>
      </c>
      <c r="P68" s="119"/>
    </row>
    <row r="69" spans="2:16" ht="15" customHeight="1" x14ac:dyDescent="0.25">
      <c r="B69" s="86" t="s">
        <v>133</v>
      </c>
      <c r="C69" s="87" t="s">
        <v>118</v>
      </c>
      <c r="D69" s="82" t="s">
        <v>134</v>
      </c>
      <c r="E69" s="83">
        <v>54.4</v>
      </c>
      <c r="F69" s="88">
        <v>722262</v>
      </c>
      <c r="G69" s="89">
        <f t="shared" si="0"/>
        <v>39291052.799999997</v>
      </c>
      <c r="H69" s="209"/>
      <c r="I69" s="209"/>
      <c r="J69" s="213" t="str">
        <f t="array" ref="J69:M69">_xlfn.XLOOKUP(C69,'ESAP NEIVA FASE II UNIFICADO'!$C$6:$C$720,'ESAP NEIVA FASE II UNIFICADO'!$C$6:$F$720,"NO ESTA")</f>
        <v>MURO EN CONCRETO DE 4000 PSI e=0.40 m Ver. Planos Tipo Muro M-5</v>
      </c>
      <c r="K69" t="str">
        <v>M3</v>
      </c>
      <c r="L69">
        <v>80.484999999999999</v>
      </c>
      <c r="M69">
        <v>821235</v>
      </c>
      <c r="N69" s="115">
        <f t="shared" si="1"/>
        <v>821235</v>
      </c>
      <c r="O69" s="146">
        <f t="shared" si="2"/>
        <v>44675184</v>
      </c>
      <c r="P69" s="119"/>
    </row>
    <row r="70" spans="2:16" ht="23.45" customHeight="1" x14ac:dyDescent="0.25">
      <c r="B70" s="86" t="s">
        <v>135</v>
      </c>
      <c r="C70" s="87" t="s">
        <v>120</v>
      </c>
      <c r="D70" s="82" t="s">
        <v>13</v>
      </c>
      <c r="E70" s="83">
        <v>204.57</v>
      </c>
      <c r="F70" s="88">
        <v>153356</v>
      </c>
      <c r="G70" s="89">
        <f t="shared" ref="G70:G133" si="3">ROUND(+F70*E70,2)</f>
        <v>31372036.920000002</v>
      </c>
      <c r="H70" s="209"/>
      <c r="I70" s="209"/>
      <c r="J70" s="213" t="str">
        <f t="array" ref="J70:M70">_xlfn.XLOOKUP(C70,'ESAP NEIVA FASE II UNIFICADO'!$C$6:$C$720,'ESAP NEIVA FASE II UNIFICADO'!$C$6:$F$720,"NO ESTA")</f>
        <v>MURO EN LADRILLO GRAN FORMATO e= 0.12 m Ref. Tierra Ver. Planos Tipo Muro M-6</v>
      </c>
      <c r="K70" t="str">
        <v>M2</v>
      </c>
      <c r="L70">
        <v>79.69</v>
      </c>
      <c r="M70">
        <v>141317</v>
      </c>
      <c r="N70" s="115">
        <f t="shared" ref="N70:N133" si="4">MAX(M70,F70)</f>
        <v>153356</v>
      </c>
      <c r="O70" s="146">
        <f t="shared" ref="O70:O133" si="5">N70*E70</f>
        <v>31372036.919999998</v>
      </c>
      <c r="P70" s="119"/>
    </row>
    <row r="71" spans="2:16" ht="31.15" customHeight="1" x14ac:dyDescent="0.25">
      <c r="B71" s="86" t="s">
        <v>136</v>
      </c>
      <c r="C71" s="87" t="s">
        <v>122</v>
      </c>
      <c r="D71" s="82" t="s">
        <v>13</v>
      </c>
      <c r="E71" s="83">
        <v>76.38</v>
      </c>
      <c r="F71" s="88">
        <v>306715</v>
      </c>
      <c r="G71" s="89">
        <f t="shared" si="3"/>
        <v>23426891.699999999</v>
      </c>
      <c r="H71" s="209"/>
      <c r="I71" s="209"/>
      <c r="J71" s="213" t="str">
        <f t="array" ref="J71:M71">_xlfn.XLOOKUP(C71,'ESAP NEIVA FASE II UNIFICADO'!$C$6:$C$720,'ESAP NEIVA FASE II UNIFICADO'!$C$6:$F$720,"NO ESTA")</f>
        <v xml:space="preserve">MURO EN LADRILLO GRAN FORMATO e= 0.25 m Ref. Tierra Ver. Planos Tipo Muro M-7 </v>
      </c>
      <c r="K71" t="str">
        <v>M2</v>
      </c>
      <c r="L71">
        <v>21.32</v>
      </c>
      <c r="M71">
        <v>186538</v>
      </c>
      <c r="N71" s="115">
        <f t="shared" si="4"/>
        <v>306715</v>
      </c>
      <c r="O71" s="146">
        <f t="shared" si="5"/>
        <v>23426891.699999999</v>
      </c>
      <c r="P71" s="119"/>
    </row>
    <row r="72" spans="2:16" ht="15" customHeight="1" x14ac:dyDescent="0.25">
      <c r="B72" s="80" t="s">
        <v>137</v>
      </c>
      <c r="C72" s="81" t="s">
        <v>138</v>
      </c>
      <c r="D72" s="82"/>
      <c r="E72" s="83"/>
      <c r="F72" s="90">
        <v>0</v>
      </c>
      <c r="G72" s="89">
        <f t="shared" si="3"/>
        <v>0</v>
      </c>
      <c r="H72" s="209"/>
      <c r="I72" s="209"/>
      <c r="J72" s="213" t="str">
        <f t="array" ref="J72:M72">_xlfn.XLOOKUP(C72,'ESAP NEIVA FASE II UNIFICADO'!$C$6:$C$720,'ESAP NEIVA FASE II UNIFICADO'!$C$6:$F$720,"NO ESTA")</f>
        <v>CONSTRUCCIÓN MUROS ARQUITECTONICOS PISO 2</v>
      </c>
      <c r="K72">
        <v>0</v>
      </c>
      <c r="L72">
        <v>0</v>
      </c>
      <c r="M72">
        <v>0</v>
      </c>
      <c r="N72" s="115">
        <f t="shared" si="4"/>
        <v>0</v>
      </c>
      <c r="O72" s="146">
        <f t="shared" si="5"/>
        <v>0</v>
      </c>
      <c r="P72" s="119"/>
    </row>
    <row r="73" spans="2:16" ht="15" customHeight="1" x14ac:dyDescent="0.25">
      <c r="B73" s="86" t="s">
        <v>139</v>
      </c>
      <c r="C73" s="87" t="s">
        <v>130</v>
      </c>
      <c r="D73" s="82" t="s">
        <v>13</v>
      </c>
      <c r="E73" s="83">
        <v>89.61</v>
      </c>
      <c r="F73" s="88">
        <v>110643</v>
      </c>
      <c r="G73" s="89">
        <f t="shared" si="3"/>
        <v>9914719.2300000004</v>
      </c>
      <c r="H73" s="209"/>
      <c r="I73" s="209"/>
      <c r="J73" s="213" t="str">
        <f t="array" ref="J73:M73">_xlfn.XLOOKUP(C73,'ESAP NEIVA FASE II UNIFICADO'!$C$6:$C$720,'ESAP NEIVA FASE II UNIFICADO'!$C$6:$F$720,"NO ESTA")</f>
        <v>ENCHAPE DE MURO BAÑOS PORCELANATO GRIS 30*40CM</v>
      </c>
      <c r="K73" t="str">
        <v>M2</v>
      </c>
      <c r="L73">
        <v>91.915000000000006</v>
      </c>
      <c r="M73">
        <v>102358</v>
      </c>
      <c r="N73" s="115">
        <f t="shared" si="4"/>
        <v>110643</v>
      </c>
      <c r="O73" s="146">
        <f t="shared" si="5"/>
        <v>9914719.2300000004</v>
      </c>
      <c r="P73" s="119"/>
    </row>
    <row r="74" spans="2:16" ht="15" customHeight="1" x14ac:dyDescent="0.25">
      <c r="B74" s="86" t="s">
        <v>140</v>
      </c>
      <c r="C74" s="87" t="s">
        <v>110</v>
      </c>
      <c r="D74" s="82" t="s">
        <v>30</v>
      </c>
      <c r="E74" s="83">
        <v>1.1299999999999999</v>
      </c>
      <c r="F74" s="88">
        <v>722262</v>
      </c>
      <c r="G74" s="89">
        <f t="shared" si="3"/>
        <v>816156.06</v>
      </c>
      <c r="H74" s="209"/>
      <c r="I74" s="209"/>
      <c r="J74" s="213" t="str">
        <f t="array" ref="J74:M74">_xlfn.XLOOKUP(C74,'ESAP NEIVA FASE II UNIFICADO'!$C$6:$C$720,'ESAP NEIVA FASE II UNIFICADO'!$C$6:$F$720,"NO ESTA")</f>
        <v>MURO EN CONCRETO DE 4000 PSI e=0.12 m Ver. Planos Tipo Muro M-1</v>
      </c>
      <c r="K74" t="str">
        <v>M3</v>
      </c>
      <c r="L74">
        <v>0</v>
      </c>
      <c r="M74">
        <v>821235</v>
      </c>
      <c r="N74" s="115">
        <f t="shared" si="4"/>
        <v>821235</v>
      </c>
      <c r="O74" s="146">
        <f t="shared" si="5"/>
        <v>927995.54999999993</v>
      </c>
      <c r="P74" s="119"/>
    </row>
    <row r="75" spans="2:16" ht="15" customHeight="1" x14ac:dyDescent="0.25">
      <c r="B75" s="86" t="s">
        <v>141</v>
      </c>
      <c r="C75" s="87" t="s">
        <v>112</v>
      </c>
      <c r="D75" s="82" t="s">
        <v>30</v>
      </c>
      <c r="E75" s="83">
        <v>31.71</v>
      </c>
      <c r="F75" s="88">
        <v>722262</v>
      </c>
      <c r="G75" s="89">
        <f t="shared" si="3"/>
        <v>22902928.02</v>
      </c>
      <c r="H75" s="209"/>
      <c r="I75" s="209"/>
      <c r="J75" s="213" t="str">
        <f t="array" ref="J75:M75">_xlfn.XLOOKUP(C75,'ESAP NEIVA FASE II UNIFICADO'!$C$6:$C$720,'ESAP NEIVA FASE II UNIFICADO'!$C$6:$F$720,"NO ESTA")</f>
        <v>MURO EN CONCRETO DE 4000 PSI e=0.15 m Ver. Planos Tipo Muro M-2</v>
      </c>
      <c r="K75" t="str">
        <v>M3</v>
      </c>
      <c r="L75">
        <v>11.33</v>
      </c>
      <c r="M75">
        <v>821235</v>
      </c>
      <c r="N75" s="115">
        <f t="shared" si="4"/>
        <v>821235</v>
      </c>
      <c r="O75" s="146">
        <f t="shared" si="5"/>
        <v>26041361.850000001</v>
      </c>
      <c r="P75" s="119"/>
    </row>
    <row r="76" spans="2:16" ht="15" customHeight="1" x14ac:dyDescent="0.25">
      <c r="B76" s="86" t="s">
        <v>142</v>
      </c>
      <c r="C76" s="87" t="s">
        <v>114</v>
      </c>
      <c r="D76" s="82" t="s">
        <v>30</v>
      </c>
      <c r="E76" s="83">
        <v>77.67</v>
      </c>
      <c r="F76" s="88">
        <v>722262</v>
      </c>
      <c r="G76" s="89">
        <f t="shared" si="3"/>
        <v>56098089.539999999</v>
      </c>
      <c r="H76" s="209"/>
      <c r="I76" s="209"/>
      <c r="J76" s="213" t="str">
        <f t="array" ref="J76:M76">_xlfn.XLOOKUP(C76,'ESAP NEIVA FASE II UNIFICADO'!$C$6:$C$720,'ESAP NEIVA FASE II UNIFICADO'!$C$6:$F$720,"NO ESTA")</f>
        <v>MURO EN CONCRETO DE 4000 PSI e=0.25 m Ver. Planos Tipo Muro M-3</v>
      </c>
      <c r="K76" t="str">
        <v>M3</v>
      </c>
      <c r="L76">
        <v>95.594999999999999</v>
      </c>
      <c r="M76">
        <v>821235</v>
      </c>
      <c r="N76" s="115">
        <f t="shared" si="4"/>
        <v>821235</v>
      </c>
      <c r="O76" s="146">
        <f t="shared" si="5"/>
        <v>63785322.450000003</v>
      </c>
      <c r="P76" s="119"/>
    </row>
    <row r="77" spans="2:16" ht="15" customHeight="1" x14ac:dyDescent="0.25">
      <c r="B77" s="86" t="s">
        <v>143</v>
      </c>
      <c r="C77" s="87" t="s">
        <v>120</v>
      </c>
      <c r="D77" s="82" t="s">
        <v>13</v>
      </c>
      <c r="E77" s="83">
        <v>139.68</v>
      </c>
      <c r="F77" s="88">
        <v>153356</v>
      </c>
      <c r="G77" s="89">
        <f t="shared" si="3"/>
        <v>21420766.079999998</v>
      </c>
      <c r="H77" s="209"/>
      <c r="I77" s="209"/>
      <c r="J77" s="213" t="str">
        <f t="array" ref="J77:M77">_xlfn.XLOOKUP(C77,'ESAP NEIVA FASE II UNIFICADO'!$C$6:$C$720,'ESAP NEIVA FASE II UNIFICADO'!$C$6:$F$720,"NO ESTA")</f>
        <v>MURO EN LADRILLO GRAN FORMATO e= 0.12 m Ref. Tierra Ver. Planos Tipo Muro M-6</v>
      </c>
      <c r="K77" t="str">
        <v>M2</v>
      </c>
      <c r="L77">
        <v>79.69</v>
      </c>
      <c r="M77">
        <v>141317</v>
      </c>
      <c r="N77" s="115">
        <f t="shared" si="4"/>
        <v>153356</v>
      </c>
      <c r="O77" s="146">
        <f t="shared" si="5"/>
        <v>21420766.080000002</v>
      </c>
      <c r="P77" s="119"/>
    </row>
    <row r="78" spans="2:16" ht="15" customHeight="1" x14ac:dyDescent="0.25">
      <c r="B78" s="86" t="s">
        <v>144</v>
      </c>
      <c r="C78" s="87" t="s">
        <v>122</v>
      </c>
      <c r="D78" s="82" t="s">
        <v>13</v>
      </c>
      <c r="E78" s="83">
        <v>124.47</v>
      </c>
      <c r="F78" s="88">
        <v>306715</v>
      </c>
      <c r="G78" s="89">
        <f t="shared" si="3"/>
        <v>38176816.049999997</v>
      </c>
      <c r="H78" s="209"/>
      <c r="I78" s="209"/>
      <c r="J78" s="213" t="str">
        <f t="array" ref="J78:M78">_xlfn.XLOOKUP(C78,'ESAP NEIVA FASE II UNIFICADO'!$C$6:$C$720,'ESAP NEIVA FASE II UNIFICADO'!$C$6:$F$720,"NO ESTA")</f>
        <v xml:space="preserve">MURO EN LADRILLO GRAN FORMATO e= 0.25 m Ref. Tierra Ver. Planos Tipo Muro M-7 </v>
      </c>
      <c r="K78" t="str">
        <v>M2</v>
      </c>
      <c r="L78">
        <v>21.32</v>
      </c>
      <c r="M78">
        <v>186538</v>
      </c>
      <c r="N78" s="115">
        <f t="shared" si="4"/>
        <v>306715</v>
      </c>
      <c r="O78" s="146">
        <f t="shared" si="5"/>
        <v>38176816.049999997</v>
      </c>
      <c r="P78" s="119"/>
    </row>
    <row r="79" spans="2:16" ht="12.75" customHeight="1" x14ac:dyDescent="0.25">
      <c r="B79" s="74">
        <v>6</v>
      </c>
      <c r="C79" s="75" t="s">
        <v>145</v>
      </c>
      <c r="D79" s="76"/>
      <c r="E79" s="77"/>
      <c r="F79" s="78">
        <v>0</v>
      </c>
      <c r="G79" s="89">
        <f t="shared" si="3"/>
        <v>0</v>
      </c>
      <c r="H79" s="209"/>
      <c r="I79" s="209"/>
      <c r="J79" s="213" t="str">
        <f t="array" ref="J79:M79">_xlfn.XLOOKUP(C79,'ESAP NEIVA FASE II UNIFICADO'!$C$6:$C$720,'ESAP NEIVA FASE II UNIFICADO'!$C$6:$F$720,"NO ESTA")</f>
        <v>ACABADOS DE PISOS</v>
      </c>
      <c r="K79">
        <v>0</v>
      </c>
      <c r="L79">
        <v>0</v>
      </c>
      <c r="M79">
        <v>0</v>
      </c>
      <c r="N79" s="115">
        <f t="shared" si="4"/>
        <v>0</v>
      </c>
      <c r="O79" s="146">
        <f t="shared" si="5"/>
        <v>0</v>
      </c>
      <c r="P79" s="119"/>
    </row>
    <row r="80" spans="2:16" ht="15" customHeight="1" x14ac:dyDescent="0.25">
      <c r="B80" s="80" t="s">
        <v>146</v>
      </c>
      <c r="C80" s="81" t="s">
        <v>147</v>
      </c>
      <c r="D80" s="82"/>
      <c r="E80" s="83"/>
      <c r="F80" s="90">
        <v>0</v>
      </c>
      <c r="G80" s="89">
        <f t="shared" si="3"/>
        <v>0</v>
      </c>
      <c r="H80" s="209"/>
      <c r="I80" s="209"/>
      <c r="J80" s="213" t="str">
        <f t="array" ref="J80:M80">_xlfn.XLOOKUP(C80,'ESAP NEIVA FASE II UNIFICADO'!$C$6:$C$720,'ESAP NEIVA FASE II UNIFICADO'!$C$6:$F$720,"NO ESTA")</f>
        <v>SUMINISTRO E INSTALACIÓN PISOS SEMISOTANO</v>
      </c>
      <c r="K80">
        <v>0</v>
      </c>
      <c r="L80">
        <v>0</v>
      </c>
      <c r="M80">
        <v>0</v>
      </c>
      <c r="N80" s="115">
        <f t="shared" si="4"/>
        <v>0</v>
      </c>
      <c r="O80" s="146">
        <f t="shared" si="5"/>
        <v>0</v>
      </c>
      <c r="P80" s="119"/>
    </row>
    <row r="81" spans="2:16" ht="23.25" customHeight="1" x14ac:dyDescent="0.25">
      <c r="B81" s="86" t="s">
        <v>148</v>
      </c>
      <c r="C81" s="87" t="s">
        <v>149</v>
      </c>
      <c r="D81" s="82" t="s">
        <v>13</v>
      </c>
      <c r="E81" s="83">
        <v>457.19</v>
      </c>
      <c r="F81" s="88">
        <v>94085</v>
      </c>
      <c r="G81" s="89">
        <f t="shared" si="3"/>
        <v>43014721.149999999</v>
      </c>
      <c r="H81" s="209"/>
      <c r="I81" s="209"/>
      <c r="J81" s="213" t="str">
        <f t="array" ref="J81:M81">_xlfn.XLOOKUP(C81,'ESAP NEIVA FASE II UNIFICADO'!$C$6:$C$720,'ESAP NEIVA FASE II UNIFICADO'!$C$6:$F$720,"NO ESTA")</f>
        <v xml:space="preserve">ANDEN INTERNO EN CONCRETO DE 2500 PSI CON ACABADO CEMENTO PULIDO Ref. Planos 03318 </v>
      </c>
      <c r="K81" t="str">
        <v>M2</v>
      </c>
      <c r="L81">
        <v>0</v>
      </c>
      <c r="M81">
        <v>89287</v>
      </c>
      <c r="N81" s="115">
        <f t="shared" si="4"/>
        <v>94085</v>
      </c>
      <c r="O81" s="146">
        <f t="shared" si="5"/>
        <v>43014721.149999999</v>
      </c>
      <c r="P81" s="119"/>
    </row>
    <row r="82" spans="2:16" ht="15" customHeight="1" x14ac:dyDescent="0.25">
      <c r="B82" s="86" t="s">
        <v>150</v>
      </c>
      <c r="C82" s="87" t="s">
        <v>151</v>
      </c>
      <c r="D82" s="82" t="s">
        <v>13</v>
      </c>
      <c r="E82" s="83">
        <v>1963.08</v>
      </c>
      <c r="F82" s="88">
        <v>7682</v>
      </c>
      <c r="G82" s="89">
        <f t="shared" si="3"/>
        <v>15080380.560000001</v>
      </c>
      <c r="H82" s="209"/>
      <c r="I82" s="209"/>
      <c r="J82" s="213" t="str">
        <f t="array" ref="J82:M82">_xlfn.XLOOKUP(C82,'ESAP NEIVA FASE II UNIFICADO'!$C$6:$C$720,'ESAP NEIVA FASE II UNIFICADO'!$C$6:$F$720,"NO ESTA")</f>
        <v>ACABADO DE PISO DE CONCRETO GRIS PULIDO   Ref. Planos 09650-1</v>
      </c>
      <c r="K82" t="str">
        <v>M2</v>
      </c>
      <c r="L82">
        <v>0</v>
      </c>
      <c r="M82">
        <v>8211</v>
      </c>
      <c r="N82" s="115">
        <f t="shared" si="4"/>
        <v>8211</v>
      </c>
      <c r="O82" s="146">
        <f t="shared" si="5"/>
        <v>16118849.879999999</v>
      </c>
      <c r="P82" s="119"/>
    </row>
    <row r="83" spans="2:16" ht="22.5" customHeight="1" x14ac:dyDescent="0.25">
      <c r="B83" s="86" t="s">
        <v>152</v>
      </c>
      <c r="C83" s="147" t="s">
        <v>153</v>
      </c>
      <c r="D83" s="82" t="s">
        <v>13</v>
      </c>
      <c r="E83" s="83">
        <v>1.4</v>
      </c>
      <c r="F83" s="88">
        <v>107643</v>
      </c>
      <c r="G83" s="89">
        <f t="shared" si="3"/>
        <v>150700.20000000001</v>
      </c>
      <c r="H83" s="209"/>
      <c r="I83" s="209"/>
      <c r="J83" s="213" t="str">
        <f t="array" ref="J83:M83">_xlfn.XLOOKUP(C83,'ESAP NEIVA FASE II UNIFICADO'!$C$6:$C$720,'ESAP NEIVA FASE II UNIFICADO'!$C$6:$F$720,"NO ESTA")</f>
        <v>SUMINISTRO E INSTALACION PISO TABLETA ZONAS COMUNES Incluye ALISTADO Referencia  ALFA 30 X 30 HUILA Ref. Planos 09610.1</v>
      </c>
      <c r="K83" t="str">
        <v>M2</v>
      </c>
      <c r="L83">
        <v>0</v>
      </c>
      <c r="M83">
        <v>108210</v>
      </c>
      <c r="N83" s="115">
        <f t="shared" si="4"/>
        <v>108210</v>
      </c>
      <c r="O83" s="146">
        <f t="shared" si="5"/>
        <v>151494</v>
      </c>
      <c r="P83" s="119"/>
    </row>
    <row r="84" spans="2:16" ht="15" customHeight="1" x14ac:dyDescent="0.25">
      <c r="B84" s="80" t="s">
        <v>154</v>
      </c>
      <c r="C84" s="81" t="s">
        <v>155</v>
      </c>
      <c r="D84" s="82"/>
      <c r="E84" s="83"/>
      <c r="F84" s="90">
        <v>0</v>
      </c>
      <c r="G84" s="89">
        <f t="shared" si="3"/>
        <v>0</v>
      </c>
      <c r="H84" s="209"/>
      <c r="I84" s="209"/>
      <c r="J84" s="213" t="str">
        <f t="array" ref="J84:M84">_xlfn.XLOOKUP(C84,'ESAP NEIVA FASE II UNIFICADO'!$C$6:$C$720,'ESAP NEIVA FASE II UNIFICADO'!$C$6:$F$720,"NO ESTA")</f>
        <v>SUMINISTRO E INSTALACIÓN DE PISOS ESPACIO PUBLICO</v>
      </c>
      <c r="K84">
        <v>0</v>
      </c>
      <c r="L84">
        <v>0</v>
      </c>
      <c r="M84">
        <v>0</v>
      </c>
      <c r="N84" s="115">
        <f t="shared" si="4"/>
        <v>0</v>
      </c>
      <c r="O84" s="146">
        <f t="shared" si="5"/>
        <v>0</v>
      </c>
      <c r="P84" s="119"/>
    </row>
    <row r="85" spans="2:16" ht="36.75" customHeight="1" x14ac:dyDescent="0.25">
      <c r="B85" s="86" t="s">
        <v>156</v>
      </c>
      <c r="C85" s="147" t="s">
        <v>157</v>
      </c>
      <c r="D85" s="82" t="s">
        <v>13</v>
      </c>
      <c r="E85" s="83">
        <v>45.8</v>
      </c>
      <c r="F85" s="88">
        <v>89134</v>
      </c>
      <c r="G85" s="89">
        <f t="shared" si="3"/>
        <v>4082337.2</v>
      </c>
      <c r="H85" s="209"/>
      <c r="I85" s="209"/>
      <c r="J85" s="213" t="str">
        <f t="array" ref="J85:M85">_xlfn.XLOOKUP(C85,'ESAP NEIVA FASE II UNIFICADO'!$C$6:$C$720,'ESAP NEIVA FASE II UNIFICADO'!$C$6:$F$720,"NO ESTA")</f>
        <v>SUMINISTRO E INSTALACION ANDEN EN LOSETA PREFABRICADA Referencia A50  GRIS 40 X 40 incluye alistadio - (Especificación Cartilla Andenes IDU-2011)</v>
      </c>
      <c r="K85" t="str">
        <v>M2</v>
      </c>
      <c r="L85">
        <v>1832.0720000000001</v>
      </c>
      <c r="M85">
        <v>91697</v>
      </c>
      <c r="N85" s="115">
        <f t="shared" si="4"/>
        <v>91697</v>
      </c>
      <c r="O85" s="146">
        <f t="shared" si="5"/>
        <v>4199722.5999999996</v>
      </c>
      <c r="P85" s="119"/>
    </row>
    <row r="86" spans="2:16" ht="21.75" customHeight="1" x14ac:dyDescent="0.25">
      <c r="B86" s="86" t="s">
        <v>158</v>
      </c>
      <c r="C86" s="87" t="s">
        <v>159</v>
      </c>
      <c r="D86" s="82" t="s">
        <v>13</v>
      </c>
      <c r="E86" s="83">
        <v>4.59</v>
      </c>
      <c r="F86" s="88">
        <v>93613</v>
      </c>
      <c r="G86" s="89">
        <f t="shared" si="3"/>
        <v>429683.67</v>
      </c>
      <c r="H86" s="209"/>
      <c r="I86" s="209"/>
      <c r="J86" s="213" t="str">
        <f t="array" ref="J86:M86">_xlfn.XLOOKUP(C86,'ESAP NEIVA FASE II UNIFICADO'!$C$6:$C$720,'ESAP NEIVA FASE II UNIFICADO'!$C$6:$F$720,"NO ESTA")</f>
        <v>SUMINISTRO E INSTALACION JARDIN Ref. Planos A2900 (Incluye material aislante, impermeabilizante, tierra, abonos y plantas ornamentales)</v>
      </c>
      <c r="K86" t="str">
        <v>M2</v>
      </c>
      <c r="L86">
        <v>183.66400000000002</v>
      </c>
      <c r="M86">
        <v>96306</v>
      </c>
      <c r="N86" s="115">
        <f t="shared" si="4"/>
        <v>96306</v>
      </c>
      <c r="O86" s="146">
        <f t="shared" si="5"/>
        <v>442044.54</v>
      </c>
      <c r="P86" s="119"/>
    </row>
    <row r="87" spans="2:16" ht="15" customHeight="1" x14ac:dyDescent="0.25">
      <c r="B87" s="80" t="s">
        <v>160</v>
      </c>
      <c r="C87" s="81" t="s">
        <v>161</v>
      </c>
      <c r="D87" s="82"/>
      <c r="E87" s="83"/>
      <c r="F87" s="90">
        <v>0</v>
      </c>
      <c r="G87" s="89">
        <f t="shared" si="3"/>
        <v>0</v>
      </c>
      <c r="H87" s="209"/>
      <c r="I87" s="209"/>
      <c r="J87" s="213" t="str">
        <f t="array" ref="J87:M87">_xlfn.XLOOKUP(C87,'ESAP NEIVA FASE II UNIFICADO'!$C$6:$C$720,'ESAP NEIVA FASE II UNIFICADO'!$C$6:$F$720,"NO ESTA")</f>
        <v>SUMINISTRO E INSTALACIÓN DE PISOS PISO 1</v>
      </c>
      <c r="K87">
        <v>0</v>
      </c>
      <c r="L87">
        <v>0</v>
      </c>
      <c r="M87">
        <v>0</v>
      </c>
      <c r="N87" s="115">
        <f t="shared" si="4"/>
        <v>0</v>
      </c>
      <c r="O87" s="146">
        <f t="shared" si="5"/>
        <v>0</v>
      </c>
      <c r="P87" s="119"/>
    </row>
    <row r="88" spans="2:16" ht="27" customHeight="1" x14ac:dyDescent="0.25">
      <c r="B88" s="86" t="s">
        <v>162</v>
      </c>
      <c r="C88" s="147" t="s">
        <v>153</v>
      </c>
      <c r="D88" s="82" t="s">
        <v>13</v>
      </c>
      <c r="E88" s="83">
        <v>718.89</v>
      </c>
      <c r="F88" s="88">
        <v>107643</v>
      </c>
      <c r="G88" s="89">
        <f t="shared" si="3"/>
        <v>77383476.269999996</v>
      </c>
      <c r="H88" s="209"/>
      <c r="I88" s="209"/>
      <c r="J88" s="213" t="str">
        <f t="array" ref="J88:M88">_xlfn.XLOOKUP(C88,'ESAP NEIVA FASE II UNIFICADO'!$C$6:$C$720,'ESAP NEIVA FASE II UNIFICADO'!$C$6:$F$720,"NO ESTA")</f>
        <v>SUMINISTRO E INSTALACION PISO TABLETA ZONAS COMUNES Incluye ALISTADO Referencia  ALFA 30 X 30 HUILA Ref. Planos 09610.1</v>
      </c>
      <c r="K88" t="str">
        <v>M2</v>
      </c>
      <c r="L88">
        <v>0</v>
      </c>
      <c r="M88">
        <v>108210</v>
      </c>
      <c r="N88" s="115">
        <f t="shared" si="4"/>
        <v>108210</v>
      </c>
      <c r="O88" s="146">
        <f t="shared" si="5"/>
        <v>77791086.900000006</v>
      </c>
      <c r="P88" s="119"/>
    </row>
    <row r="89" spans="2:16" ht="25.5" customHeight="1" x14ac:dyDescent="0.25">
      <c r="B89" s="86" t="s">
        <v>163</v>
      </c>
      <c r="C89" s="149" t="s">
        <v>164</v>
      </c>
      <c r="D89" s="82" t="s">
        <v>13</v>
      </c>
      <c r="E89" s="83">
        <v>576.27</v>
      </c>
      <c r="F89" s="88">
        <v>70606</v>
      </c>
      <c r="G89" s="89">
        <f t="shared" si="3"/>
        <v>40688119.619999997</v>
      </c>
      <c r="H89" s="209"/>
      <c r="I89" s="209"/>
      <c r="J89" s="213" t="str">
        <f t="array" ref="J89:M89">_xlfn.XLOOKUP(C89,'ESAP NEIVA FASE II UNIFICADO'!$C$6:$C$720,'ESAP NEIVA FASE II UNIFICADO'!$C$6:$F$720,"NO ESTA")</f>
        <v>SUMINISTRO E INSTALACION PISO LOSETA PREFABRICADA GRIS Referencia A30 DE 40X60 - (Especificación Cartilla Andenes IDU-2011)  Ref. Planos 09620.8</v>
      </c>
      <c r="K89" t="str">
        <v>M2</v>
      </c>
      <c r="L89">
        <v>230.83</v>
      </c>
      <c r="M89">
        <v>70614</v>
      </c>
      <c r="N89" s="115">
        <f t="shared" si="4"/>
        <v>70614</v>
      </c>
      <c r="O89" s="146">
        <f t="shared" si="5"/>
        <v>40692729.780000001</v>
      </c>
      <c r="P89" s="119"/>
    </row>
    <row r="90" spans="2:16" ht="15" customHeight="1" x14ac:dyDescent="0.25">
      <c r="B90" s="86" t="s">
        <v>165</v>
      </c>
      <c r="C90" s="87" t="s">
        <v>166</v>
      </c>
      <c r="D90" s="82" t="s">
        <v>13</v>
      </c>
      <c r="E90" s="83">
        <v>33.11</v>
      </c>
      <c r="F90" s="88">
        <v>47372</v>
      </c>
      <c r="G90" s="89">
        <f t="shared" si="3"/>
        <v>1568486.92</v>
      </c>
      <c r="H90" s="209"/>
      <c r="I90" s="209"/>
      <c r="J90" s="213" t="str">
        <f t="array" ref="J90:M90">_xlfn.XLOOKUP(C90,'ESAP NEIVA FASE II UNIFICADO'!$C$6:$C$720,'ESAP NEIVA FASE II UNIFICADO'!$C$6:$F$720,"NO ESTA")</f>
        <v>SUMINISTRO E INSTALACION PISO EN VINILO GRIS TARIMA Ref. Planos 09650.1</v>
      </c>
      <c r="K90" t="str">
        <v>M2</v>
      </c>
      <c r="L90">
        <v>11.069999999999999</v>
      </c>
      <c r="M90">
        <v>47066</v>
      </c>
      <c r="N90" s="115">
        <f t="shared" si="4"/>
        <v>47372</v>
      </c>
      <c r="O90" s="146">
        <f t="shared" si="5"/>
        <v>1568486.92</v>
      </c>
      <c r="P90" s="119"/>
    </row>
    <row r="91" spans="2:16" ht="22.5" customHeight="1" x14ac:dyDescent="0.25">
      <c r="B91" s="86" t="s">
        <v>167</v>
      </c>
      <c r="C91" s="87" t="s">
        <v>168</v>
      </c>
      <c r="D91" s="82" t="s">
        <v>13</v>
      </c>
      <c r="E91" s="83">
        <v>297.04000000000002</v>
      </c>
      <c r="F91" s="88">
        <v>101879</v>
      </c>
      <c r="G91" s="89">
        <f t="shared" si="3"/>
        <v>30262138.16</v>
      </c>
      <c r="H91" s="209"/>
      <c r="I91" s="209"/>
      <c r="J91" s="213" t="str">
        <f t="array" ref="J91:M91">_xlfn.XLOOKUP(C91,'ESAP NEIVA FASE II UNIFICADO'!$C$6:$C$720,'ESAP NEIVA FASE II UNIFICADO'!$C$6:$F$720,"NO ESTA")</f>
        <v>SUMINISTRO E INSTALACION PISO EN ALFOMBRA Referencia TRAFICO PESADO Ref. Planos 09680.A1</v>
      </c>
      <c r="K91" t="str">
        <v>M2</v>
      </c>
      <c r="L91">
        <v>12.31</v>
      </c>
      <c r="M91">
        <v>102069</v>
      </c>
      <c r="N91" s="115">
        <f t="shared" si="4"/>
        <v>102069</v>
      </c>
      <c r="O91" s="146">
        <f t="shared" si="5"/>
        <v>30318575.760000002</v>
      </c>
      <c r="P91" s="119"/>
    </row>
    <row r="92" spans="2:16" ht="23.25" customHeight="1" x14ac:dyDescent="0.25">
      <c r="B92" s="86" t="s">
        <v>169</v>
      </c>
      <c r="C92" s="87" t="s">
        <v>159</v>
      </c>
      <c r="D92" s="82" t="s">
        <v>13</v>
      </c>
      <c r="E92" s="83">
        <v>145.79</v>
      </c>
      <c r="F92" s="88">
        <v>93613</v>
      </c>
      <c r="G92" s="89">
        <f t="shared" si="3"/>
        <v>13647839.27</v>
      </c>
      <c r="H92" s="209"/>
      <c r="I92" s="209"/>
      <c r="J92" s="213" t="str">
        <f t="array" ref="J92:M92">_xlfn.XLOOKUP(C92,'ESAP NEIVA FASE II UNIFICADO'!$C$6:$C$720,'ESAP NEIVA FASE II UNIFICADO'!$C$6:$F$720,"NO ESTA")</f>
        <v>SUMINISTRO E INSTALACION JARDIN Ref. Planos A2900 (Incluye material aislante, impermeabilizante, tierra, abonos y plantas ornamentales)</v>
      </c>
      <c r="K92" t="str">
        <v>M2</v>
      </c>
      <c r="L92">
        <v>183.66400000000002</v>
      </c>
      <c r="M92">
        <v>96306</v>
      </c>
      <c r="N92" s="115">
        <f t="shared" si="4"/>
        <v>96306</v>
      </c>
      <c r="O92" s="146">
        <f t="shared" si="5"/>
        <v>14040451.739999998</v>
      </c>
      <c r="P92" s="119"/>
    </row>
    <row r="93" spans="2:16" ht="15" customHeight="1" x14ac:dyDescent="0.25">
      <c r="B93" s="80" t="s">
        <v>170</v>
      </c>
      <c r="C93" s="81" t="s">
        <v>171</v>
      </c>
      <c r="D93" s="82"/>
      <c r="E93" s="83"/>
      <c r="F93" s="90">
        <v>0</v>
      </c>
      <c r="G93" s="89">
        <f t="shared" si="3"/>
        <v>0</v>
      </c>
      <c r="H93" s="209"/>
      <c r="I93" s="209"/>
      <c r="J93" s="213" t="str">
        <f t="array" ref="J93:M93">_xlfn.XLOOKUP(C93,'ESAP NEIVA FASE II UNIFICADO'!$C$6:$C$720,'ESAP NEIVA FASE II UNIFICADO'!$C$6:$F$720,"NO ESTA")</f>
        <v>SUMINISTRO E INSTALACIÓN DE PISOS PISO 2</v>
      </c>
      <c r="K93">
        <v>0</v>
      </c>
      <c r="L93">
        <v>0</v>
      </c>
      <c r="M93">
        <v>0</v>
      </c>
      <c r="N93" s="115">
        <f t="shared" si="4"/>
        <v>0</v>
      </c>
      <c r="O93" s="146">
        <f t="shared" si="5"/>
        <v>0</v>
      </c>
      <c r="P93" s="119"/>
    </row>
    <row r="94" spans="2:16" ht="22.5" customHeight="1" x14ac:dyDescent="0.25">
      <c r="B94" s="86" t="s">
        <v>172</v>
      </c>
      <c r="C94" s="147" t="s">
        <v>153</v>
      </c>
      <c r="D94" s="82" t="s">
        <v>13</v>
      </c>
      <c r="E94" s="83">
        <v>1039</v>
      </c>
      <c r="F94" s="88">
        <v>107643</v>
      </c>
      <c r="G94" s="89">
        <f t="shared" si="3"/>
        <v>111841077</v>
      </c>
      <c r="H94" s="209"/>
      <c r="I94" s="209"/>
      <c r="J94" s="213" t="str">
        <f t="array" ref="J94:M94">_xlfn.XLOOKUP(C94,'ESAP NEIVA FASE II UNIFICADO'!$C$6:$C$720,'ESAP NEIVA FASE II UNIFICADO'!$C$6:$F$720,"NO ESTA")</f>
        <v>SUMINISTRO E INSTALACION PISO TABLETA ZONAS COMUNES Incluye ALISTADO Referencia  ALFA 30 X 30 HUILA Ref. Planos 09610.1</v>
      </c>
      <c r="K94" t="str">
        <v>M2</v>
      </c>
      <c r="L94">
        <v>0</v>
      </c>
      <c r="M94">
        <v>108210</v>
      </c>
      <c r="N94" s="115">
        <f t="shared" si="4"/>
        <v>108210</v>
      </c>
      <c r="O94" s="146">
        <f t="shared" si="5"/>
        <v>112430190</v>
      </c>
      <c r="P94" s="119"/>
    </row>
    <row r="95" spans="2:16" ht="26.25" customHeight="1" x14ac:dyDescent="0.25">
      <c r="B95" s="86" t="s">
        <v>173</v>
      </c>
      <c r="C95" s="149" t="s">
        <v>164</v>
      </c>
      <c r="D95" s="82" t="s">
        <v>13</v>
      </c>
      <c r="E95" s="83">
        <v>190.12</v>
      </c>
      <c r="F95" s="88">
        <v>70606</v>
      </c>
      <c r="G95" s="89">
        <f t="shared" si="3"/>
        <v>13423612.720000001</v>
      </c>
      <c r="H95" s="209"/>
      <c r="I95" s="209"/>
      <c r="J95" s="213" t="str">
        <f t="array" ref="J95:M95">_xlfn.XLOOKUP(C95,'ESAP NEIVA FASE II UNIFICADO'!$C$6:$C$720,'ESAP NEIVA FASE II UNIFICADO'!$C$6:$F$720,"NO ESTA")</f>
        <v>SUMINISTRO E INSTALACION PISO LOSETA PREFABRICADA GRIS Referencia A30 DE 40X60 - (Especificación Cartilla Andenes IDU-2011)  Ref. Planos 09620.8</v>
      </c>
      <c r="K95" t="str">
        <v>M2</v>
      </c>
      <c r="L95">
        <v>230.83</v>
      </c>
      <c r="M95">
        <v>70614</v>
      </c>
      <c r="N95" s="115">
        <f t="shared" si="4"/>
        <v>70614</v>
      </c>
      <c r="O95" s="146">
        <f t="shared" si="5"/>
        <v>13425133.68</v>
      </c>
      <c r="P95" s="119"/>
    </row>
    <row r="96" spans="2:16" ht="26.25" customHeight="1" x14ac:dyDescent="0.25">
      <c r="B96" s="86" t="s">
        <v>174</v>
      </c>
      <c r="C96" s="87" t="s">
        <v>159</v>
      </c>
      <c r="D96" s="82" t="s">
        <v>13</v>
      </c>
      <c r="E96" s="83">
        <v>110.24</v>
      </c>
      <c r="F96" s="88">
        <v>93613</v>
      </c>
      <c r="G96" s="89">
        <f t="shared" si="3"/>
        <v>10319897.119999999</v>
      </c>
      <c r="H96" s="209"/>
      <c r="I96" s="209"/>
      <c r="J96" s="213" t="str">
        <f t="array" ref="J96:M96">_xlfn.XLOOKUP(C96,'ESAP NEIVA FASE II UNIFICADO'!$C$6:$C$720,'ESAP NEIVA FASE II UNIFICADO'!$C$6:$F$720,"NO ESTA")</f>
        <v>SUMINISTRO E INSTALACION JARDIN Ref. Planos A2900 (Incluye material aislante, impermeabilizante, tierra, abonos y plantas ornamentales)</v>
      </c>
      <c r="K96" t="str">
        <v>M2</v>
      </c>
      <c r="L96">
        <v>183.66400000000002</v>
      </c>
      <c r="M96">
        <v>96306</v>
      </c>
      <c r="N96" s="115">
        <f t="shared" si="4"/>
        <v>96306</v>
      </c>
      <c r="O96" s="146">
        <f t="shared" si="5"/>
        <v>10616773.439999999</v>
      </c>
      <c r="P96" s="119"/>
    </row>
    <row r="97" spans="2:16" ht="16.5" customHeight="1" x14ac:dyDescent="0.25">
      <c r="B97" s="74">
        <v>7</v>
      </c>
      <c r="C97" s="75" t="s">
        <v>175</v>
      </c>
      <c r="D97" s="76"/>
      <c r="E97" s="77"/>
      <c r="F97" s="78">
        <v>0</v>
      </c>
      <c r="G97" s="89">
        <f t="shared" si="3"/>
        <v>0</v>
      </c>
      <c r="H97" s="209"/>
      <c r="I97" s="209"/>
      <c r="J97" s="213" t="str">
        <f t="array" ref="J97:M97">_xlfn.XLOOKUP(C97,'ESAP NEIVA FASE II UNIFICADO'!$C$6:$C$720,'ESAP NEIVA FASE II UNIFICADO'!$C$6:$F$720,"NO ESTA")</f>
        <v>VENTANERIA</v>
      </c>
      <c r="K97">
        <v>0</v>
      </c>
      <c r="L97">
        <v>0</v>
      </c>
      <c r="M97">
        <v>0</v>
      </c>
      <c r="N97" s="115">
        <f t="shared" si="4"/>
        <v>0</v>
      </c>
      <c r="O97" s="146">
        <f t="shared" si="5"/>
        <v>0</v>
      </c>
      <c r="P97" s="119"/>
    </row>
    <row r="98" spans="2:16" ht="15" customHeight="1" x14ac:dyDescent="0.25">
      <c r="B98" s="80" t="s">
        <v>176</v>
      </c>
      <c r="C98" s="81" t="s">
        <v>177</v>
      </c>
      <c r="D98" s="82"/>
      <c r="E98" s="83"/>
      <c r="F98" s="90">
        <v>0</v>
      </c>
      <c r="G98" s="89">
        <f t="shared" si="3"/>
        <v>0</v>
      </c>
      <c r="H98" s="209"/>
      <c r="I98" s="209"/>
      <c r="J98" s="213" t="str">
        <f t="array" ref="J98:M98">_xlfn.XLOOKUP(C98,'ESAP NEIVA FASE II UNIFICADO'!$C$6:$C$720,'ESAP NEIVA FASE II UNIFICADO'!$C$6:$F$720,"NO ESTA")</f>
        <v>SUMINISTRO E INSTALACION VENTANAS ESPACIO PUBLICO</v>
      </c>
      <c r="K98">
        <v>0</v>
      </c>
      <c r="L98">
        <v>0</v>
      </c>
      <c r="M98">
        <v>0</v>
      </c>
      <c r="N98" s="115">
        <f t="shared" si="4"/>
        <v>0</v>
      </c>
      <c r="O98" s="146">
        <f t="shared" si="5"/>
        <v>0</v>
      </c>
      <c r="P98" s="119"/>
    </row>
    <row r="99" spans="2:16" ht="27.75" customHeight="1" x14ac:dyDescent="0.25">
      <c r="B99" s="86" t="s">
        <v>178</v>
      </c>
      <c r="C99" s="87" t="s">
        <v>179</v>
      </c>
      <c r="D99" s="82" t="s">
        <v>13</v>
      </c>
      <c r="E99" s="83">
        <v>4.8600000000000003</v>
      </c>
      <c r="F99" s="88">
        <v>259999</v>
      </c>
      <c r="G99" s="89">
        <f t="shared" si="3"/>
        <v>1263595.1399999999</v>
      </c>
      <c r="H99" s="209"/>
      <c r="I99" s="209"/>
      <c r="J99" s="213" t="str">
        <f t="array" ref="J99">_xlfn.XLOOKUP(C99,'ESAP NEIVA FASE II UNIFICADO'!$C$6:$C$720,'ESAP NEIVA FASE II UNIFICADO'!$C$6:$F$720,"NO ESTA")</f>
        <v>NO ESTA</v>
      </c>
      <c r="N99" s="115">
        <f t="shared" si="4"/>
        <v>259999</v>
      </c>
      <c r="O99" s="146">
        <f t="shared" si="5"/>
        <v>1263595.1400000001</v>
      </c>
      <c r="P99" s="119"/>
    </row>
    <row r="100" spans="2:16" ht="15" customHeight="1" x14ac:dyDescent="0.25">
      <c r="B100" s="80" t="s">
        <v>180</v>
      </c>
      <c r="C100" s="81" t="s">
        <v>181</v>
      </c>
      <c r="D100" s="82"/>
      <c r="E100" s="83"/>
      <c r="F100" s="90">
        <v>0</v>
      </c>
      <c r="G100" s="89">
        <f t="shared" si="3"/>
        <v>0</v>
      </c>
      <c r="H100" s="209"/>
      <c r="I100" s="209"/>
      <c r="J100" s="213" t="str">
        <f t="array" ref="J100:M100">_xlfn.XLOOKUP(C100,'ESAP NEIVA FASE II UNIFICADO'!$C$6:$C$720,'ESAP NEIVA FASE II UNIFICADO'!$C$6:$F$720,"NO ESTA")</f>
        <v>SUMINISTRO E INSTALACION VENTANAS PISO 1</v>
      </c>
      <c r="K100">
        <v>0</v>
      </c>
      <c r="L100">
        <v>0</v>
      </c>
      <c r="M100">
        <v>0</v>
      </c>
      <c r="N100" s="115">
        <f t="shared" si="4"/>
        <v>0</v>
      </c>
      <c r="O100" s="146">
        <f t="shared" si="5"/>
        <v>0</v>
      </c>
      <c r="P100" s="119"/>
    </row>
    <row r="101" spans="2:16" ht="25.5" customHeight="1" x14ac:dyDescent="0.25">
      <c r="B101" s="86" t="s">
        <v>182</v>
      </c>
      <c r="C101" s="147" t="s">
        <v>183</v>
      </c>
      <c r="D101" s="82" t="s">
        <v>13</v>
      </c>
      <c r="E101" s="83">
        <v>0.55000000000000004</v>
      </c>
      <c r="F101" s="88">
        <v>259999</v>
      </c>
      <c r="G101" s="89">
        <f t="shared" si="3"/>
        <v>142999.45000000001</v>
      </c>
      <c r="H101" s="209"/>
      <c r="I101" s="209"/>
      <c r="J101" s="213" t="str">
        <f t="array" ref="J101:M101">_xlfn.XLOOKUP(C101,'ESAP NEIVA FASE II UNIFICADO'!$C$6:$C$720,'ESAP NEIVA FASE II UNIFICADO'!$C$6:$F$720,"NO ESTA")</f>
        <v>SUMINISTRO E INSTALACION VENTANA EN ALUMINIO o similar TIPO V3 Incluye VIDRIO Referencia SOLARBAN Ver NOTAS GENERALES DE PLANCHA</v>
      </c>
      <c r="K101" t="str">
        <v>M2</v>
      </c>
      <c r="L101">
        <v>0</v>
      </c>
      <c r="M101">
        <v>267475</v>
      </c>
      <c r="N101" s="115">
        <f t="shared" si="4"/>
        <v>267475</v>
      </c>
      <c r="O101" s="146">
        <f t="shared" si="5"/>
        <v>147111.25</v>
      </c>
      <c r="P101" s="119"/>
    </row>
    <row r="102" spans="2:16" ht="25.5" customHeight="1" x14ac:dyDescent="0.25">
      <c r="B102" s="86" t="s">
        <v>184</v>
      </c>
      <c r="C102" s="87" t="s">
        <v>185</v>
      </c>
      <c r="D102" s="82" t="s">
        <v>13</v>
      </c>
      <c r="E102" s="83">
        <v>0.36</v>
      </c>
      <c r="F102" s="88">
        <v>259999</v>
      </c>
      <c r="G102" s="89">
        <f t="shared" si="3"/>
        <v>93599.64</v>
      </c>
      <c r="H102" s="209"/>
      <c r="I102" s="209"/>
      <c r="J102" s="213" t="str">
        <f t="array" ref="J102">_xlfn.XLOOKUP(C102,'ESAP NEIVA FASE II UNIFICADO'!$C$6:$C$720,'ESAP NEIVA FASE II UNIFICADO'!$C$6:$F$720,"NO ESTA")</f>
        <v>NO ESTA</v>
      </c>
      <c r="N102" s="115">
        <f t="shared" si="4"/>
        <v>259999</v>
      </c>
      <c r="O102" s="146">
        <f t="shared" si="5"/>
        <v>93599.64</v>
      </c>
      <c r="P102" s="119"/>
    </row>
    <row r="103" spans="2:16" ht="15" customHeight="1" x14ac:dyDescent="0.25">
      <c r="B103" s="80" t="s">
        <v>186</v>
      </c>
      <c r="C103" s="81" t="s">
        <v>187</v>
      </c>
      <c r="D103" s="82"/>
      <c r="E103" s="83"/>
      <c r="F103" s="90">
        <v>0</v>
      </c>
      <c r="G103" s="89">
        <f t="shared" si="3"/>
        <v>0</v>
      </c>
      <c r="H103" s="209"/>
      <c r="I103" s="209"/>
      <c r="J103" s="213" t="str">
        <f t="array" ref="J103:M103">_xlfn.XLOOKUP(C103,'ESAP NEIVA FASE II UNIFICADO'!$C$6:$C$720,'ESAP NEIVA FASE II UNIFICADO'!$C$6:$F$720,"NO ESTA")</f>
        <v>SUMINISTRO E INSTALACION VENTANAS PISO 2</v>
      </c>
      <c r="K103">
        <v>0</v>
      </c>
      <c r="L103">
        <v>0</v>
      </c>
      <c r="M103">
        <v>0</v>
      </c>
      <c r="N103" s="115">
        <f t="shared" si="4"/>
        <v>0</v>
      </c>
      <c r="O103" s="146">
        <f t="shared" si="5"/>
        <v>0</v>
      </c>
      <c r="P103" s="119"/>
    </row>
    <row r="104" spans="2:16" ht="25.5" customHeight="1" x14ac:dyDescent="0.25">
      <c r="B104" s="86" t="s">
        <v>188</v>
      </c>
      <c r="C104" s="147" t="s">
        <v>189</v>
      </c>
      <c r="D104" s="82" t="s">
        <v>13</v>
      </c>
      <c r="E104" s="83">
        <v>0.05</v>
      </c>
      <c r="F104" s="88">
        <v>259999</v>
      </c>
      <c r="G104" s="89">
        <f t="shared" si="3"/>
        <v>12999.95</v>
      </c>
      <c r="H104" s="209"/>
      <c r="I104" s="209"/>
      <c r="J104" s="213" t="str">
        <f t="array" ref="J104:M104">_xlfn.XLOOKUP(C104,'ESAP NEIVA FASE II UNIFICADO'!$C$6:$C$720,'ESAP NEIVA FASE II UNIFICADO'!$C$6:$F$720,"NO ESTA")</f>
        <v>SUMINISTRO E INSTALACION VENTANA EN ALUMINIO o similar TIPO V1 Incluye VIDRIO Referencia SOLARBAN Ver NOTAS GENERALES DE PLANCHA</v>
      </c>
      <c r="K104" t="str">
        <v>M2</v>
      </c>
      <c r="L104">
        <v>0</v>
      </c>
      <c r="M104">
        <v>267475</v>
      </c>
      <c r="N104" s="115">
        <f t="shared" si="4"/>
        <v>267475</v>
      </c>
      <c r="O104" s="146">
        <f t="shared" si="5"/>
        <v>13373.75</v>
      </c>
      <c r="P104" s="119"/>
    </row>
    <row r="105" spans="2:16" ht="25.5" customHeight="1" x14ac:dyDescent="0.25">
      <c r="B105" s="86" t="s">
        <v>190</v>
      </c>
      <c r="C105" s="149" t="s">
        <v>191</v>
      </c>
      <c r="D105" s="82" t="s">
        <v>13</v>
      </c>
      <c r="E105" s="83">
        <v>0.32</v>
      </c>
      <c r="F105" s="88">
        <v>259999</v>
      </c>
      <c r="G105" s="89">
        <f t="shared" si="3"/>
        <v>83199.679999999993</v>
      </c>
      <c r="H105" s="209"/>
      <c r="I105" s="209"/>
      <c r="J105" s="213" t="str">
        <f t="array" ref="J105:M105">_xlfn.XLOOKUP(C105,'ESAP NEIVA FASE II UNIFICADO'!$C$6:$C$720,'ESAP NEIVA FASE II UNIFICADO'!$C$6:$F$720,"NO ESTA")</f>
        <v>SUMINISTRO E INSTALACION VENTANA EN ALUMINIO o similar TIPO V2 Incluye VIDRIO Referencia SOLARBAN Ver NOTAS GENERALES DE PLANCHA</v>
      </c>
      <c r="K105" t="str">
        <v>M2</v>
      </c>
      <c r="L105">
        <v>0</v>
      </c>
      <c r="M105">
        <v>267475</v>
      </c>
      <c r="N105" s="115">
        <f t="shared" si="4"/>
        <v>267475</v>
      </c>
      <c r="O105" s="146">
        <f t="shared" si="5"/>
        <v>85592</v>
      </c>
      <c r="P105" s="119"/>
    </row>
    <row r="106" spans="2:16" ht="25.5" customHeight="1" x14ac:dyDescent="0.25">
      <c r="B106" s="86" t="s">
        <v>192</v>
      </c>
      <c r="C106" s="147" t="s">
        <v>183</v>
      </c>
      <c r="D106" s="82" t="s">
        <v>13</v>
      </c>
      <c r="E106" s="83">
        <v>0.48</v>
      </c>
      <c r="F106" s="88">
        <v>259999</v>
      </c>
      <c r="G106" s="89">
        <f t="shared" si="3"/>
        <v>124799.52</v>
      </c>
      <c r="H106" s="209"/>
      <c r="I106" s="209"/>
      <c r="J106" s="213" t="str">
        <f t="array" ref="J106:M106">_xlfn.XLOOKUP(C106,'ESAP NEIVA FASE II UNIFICADO'!$C$6:$C$720,'ESAP NEIVA FASE II UNIFICADO'!$C$6:$F$720,"NO ESTA")</f>
        <v>SUMINISTRO E INSTALACION VENTANA EN ALUMINIO o similar TIPO V3 Incluye VIDRIO Referencia SOLARBAN Ver NOTAS GENERALES DE PLANCHA</v>
      </c>
      <c r="K106" t="str">
        <v>M2</v>
      </c>
      <c r="L106">
        <v>0</v>
      </c>
      <c r="M106">
        <v>267475</v>
      </c>
      <c r="N106" s="115">
        <f t="shared" si="4"/>
        <v>267475</v>
      </c>
      <c r="O106" s="146">
        <f t="shared" si="5"/>
        <v>128388</v>
      </c>
      <c r="P106" s="119"/>
    </row>
    <row r="107" spans="2:16" ht="25.5" customHeight="1" x14ac:dyDescent="0.25">
      <c r="B107" s="86" t="s">
        <v>193</v>
      </c>
      <c r="C107" s="87" t="s">
        <v>185</v>
      </c>
      <c r="D107" s="82" t="s">
        <v>13</v>
      </c>
      <c r="E107" s="83">
        <v>0.12</v>
      </c>
      <c r="F107" s="88">
        <v>259999</v>
      </c>
      <c r="G107" s="89">
        <f t="shared" si="3"/>
        <v>31199.88</v>
      </c>
      <c r="H107" s="209"/>
      <c r="I107" s="209"/>
      <c r="J107" s="213" t="str">
        <f t="array" ref="J107">_xlfn.XLOOKUP(C107,'ESAP NEIVA FASE II UNIFICADO'!$C$6:$C$720,'ESAP NEIVA FASE II UNIFICADO'!$C$6:$F$720,"NO ESTA")</f>
        <v>NO ESTA</v>
      </c>
      <c r="N107" s="115">
        <f t="shared" si="4"/>
        <v>259999</v>
      </c>
      <c r="O107" s="146">
        <f t="shared" si="5"/>
        <v>31199.879999999997</v>
      </c>
      <c r="P107" s="119"/>
    </row>
    <row r="108" spans="2:16" ht="25.5" customHeight="1" x14ac:dyDescent="0.25">
      <c r="B108" s="86" t="s">
        <v>194</v>
      </c>
      <c r="C108" s="147" t="s">
        <v>195</v>
      </c>
      <c r="D108" s="82" t="s">
        <v>13</v>
      </c>
      <c r="E108" s="83">
        <v>0.36</v>
      </c>
      <c r="F108" s="88">
        <v>259999</v>
      </c>
      <c r="G108" s="89">
        <f t="shared" si="3"/>
        <v>93599.64</v>
      </c>
      <c r="H108" s="209"/>
      <c r="I108" s="209"/>
      <c r="J108" s="213" t="str">
        <f t="array" ref="J108:M108">_xlfn.XLOOKUP(C108,'ESAP NEIVA FASE II UNIFICADO'!$C$6:$C$720,'ESAP NEIVA FASE II UNIFICADO'!$C$6:$F$720,"NO ESTA")</f>
        <v>SUMINISTRO E INSTALACION VENTANA EN ALUMINIO o similar TIPO V5 Incluye VIDRIO Referencia SOLARBAN Ver NOTAS GENERALES DE PLANCHA</v>
      </c>
      <c r="K108" t="str">
        <v>M2</v>
      </c>
      <c r="L108">
        <v>0</v>
      </c>
      <c r="M108">
        <v>267475</v>
      </c>
      <c r="N108" s="115">
        <f t="shared" si="4"/>
        <v>267475</v>
      </c>
      <c r="O108" s="146">
        <f t="shared" si="5"/>
        <v>96291</v>
      </c>
      <c r="P108" s="119"/>
    </row>
    <row r="109" spans="2:16" ht="15" customHeight="1" x14ac:dyDescent="0.25">
      <c r="B109" s="99">
        <v>8</v>
      </c>
      <c r="C109" s="100" t="s">
        <v>196</v>
      </c>
      <c r="D109" s="101"/>
      <c r="E109" s="102"/>
      <c r="F109" s="103">
        <v>0</v>
      </c>
      <c r="G109" s="89">
        <f t="shared" si="3"/>
        <v>0</v>
      </c>
      <c r="H109" s="209"/>
      <c r="I109" s="209"/>
      <c r="J109" s="213" t="str">
        <f t="array" ref="J109:M109">_xlfn.XLOOKUP(C109,'ESAP NEIVA FASE II UNIFICADO'!$C$6:$C$720,'ESAP NEIVA FASE II UNIFICADO'!$C$6:$F$720,"NO ESTA")</f>
        <v>VENTANALES</v>
      </c>
      <c r="K109">
        <v>0</v>
      </c>
      <c r="L109">
        <v>0</v>
      </c>
      <c r="M109">
        <v>0</v>
      </c>
      <c r="N109" s="115">
        <f t="shared" si="4"/>
        <v>0</v>
      </c>
      <c r="O109" s="146">
        <f t="shared" si="5"/>
        <v>0</v>
      </c>
      <c r="P109" s="119"/>
    </row>
    <row r="110" spans="2:16" ht="15" customHeight="1" x14ac:dyDescent="0.25">
      <c r="B110" s="80" t="s">
        <v>197</v>
      </c>
      <c r="C110" s="81" t="s">
        <v>198</v>
      </c>
      <c r="D110" s="82"/>
      <c r="E110" s="83"/>
      <c r="F110" s="90">
        <v>0</v>
      </c>
      <c r="G110" s="89">
        <f t="shared" si="3"/>
        <v>0</v>
      </c>
      <c r="H110" s="209"/>
      <c r="I110" s="209"/>
      <c r="J110" s="213" t="str">
        <f t="array" ref="J110:M110">_xlfn.XLOOKUP(C110,'ESAP NEIVA FASE II UNIFICADO'!$C$6:$C$720,'ESAP NEIVA FASE II UNIFICADO'!$C$6:$F$720,"NO ESTA")</f>
        <v>SUMINISTRO E INSTALACION VENTANALES PISO 1</v>
      </c>
      <c r="K110">
        <v>0</v>
      </c>
      <c r="L110">
        <v>0</v>
      </c>
      <c r="M110">
        <v>0</v>
      </c>
      <c r="N110" s="115">
        <f t="shared" si="4"/>
        <v>0</v>
      </c>
      <c r="O110" s="146">
        <f t="shared" si="5"/>
        <v>0</v>
      </c>
      <c r="P110" s="119"/>
    </row>
    <row r="111" spans="2:16" ht="25.5" customHeight="1" x14ac:dyDescent="0.25">
      <c r="B111" s="86" t="s">
        <v>199</v>
      </c>
      <c r="C111" s="87" t="s">
        <v>200</v>
      </c>
      <c r="D111" s="82" t="s">
        <v>13</v>
      </c>
      <c r="E111" s="83">
        <v>16.32</v>
      </c>
      <c r="F111" s="88">
        <v>303169</v>
      </c>
      <c r="G111" s="89">
        <f t="shared" si="3"/>
        <v>4947718.08</v>
      </c>
      <c r="H111" s="209"/>
      <c r="I111" s="209"/>
      <c r="J111" s="213" t="str">
        <f t="array" ref="J111:M111">_xlfn.XLOOKUP(C111,'ESAP NEIVA FASE II UNIFICADO'!$C$6:$C$720,'ESAP NEIVA FASE II UNIFICADO'!$C$6:$F$720,"NO ESTA")</f>
        <v>SUMINISTRO E INSTALACION VENTANAL INTERIOR EN ALUMINIO o similar TIPO V-0 Incluye VIDRIO Referencia TRASLUCIDO TEMPLADO 10MM Ver NOTAS GENERALES DE PLANCHA</v>
      </c>
      <c r="K111" t="str">
        <v>M2</v>
      </c>
      <c r="L111">
        <v>44.879999999999995</v>
      </c>
      <c r="M111">
        <v>311887</v>
      </c>
      <c r="N111" s="115">
        <f t="shared" si="4"/>
        <v>311887</v>
      </c>
      <c r="O111" s="146">
        <f t="shared" si="5"/>
        <v>5089995.84</v>
      </c>
      <c r="P111" s="119"/>
    </row>
    <row r="112" spans="2:16" ht="25.5" customHeight="1" x14ac:dyDescent="0.25">
      <c r="B112" s="86" t="s">
        <v>201</v>
      </c>
      <c r="C112" s="147" t="s">
        <v>202</v>
      </c>
      <c r="D112" s="82" t="s">
        <v>13</v>
      </c>
      <c r="E112" s="83">
        <v>111.43</v>
      </c>
      <c r="F112" s="88">
        <v>343559</v>
      </c>
      <c r="G112" s="89">
        <f t="shared" si="3"/>
        <v>38282779.369999997</v>
      </c>
      <c r="H112" s="209"/>
      <c r="I112" s="209"/>
      <c r="J112" s="213" t="str">
        <f t="array" ref="J112:M112">_xlfn.XLOOKUP(C112,'ESAP NEIVA FASE II UNIFICADO'!$C$6:$C$720,'ESAP NEIVA FASE II UNIFICADO'!$C$6:$F$720,"NO ESTA")</f>
        <v>SUMINISTRO E INSTALACION VENTANAL PERFIL 12cm EN ALUMINIO o similar TIPO V-1 Incluye VIDRIO Referencia SOLARBAN Ver NOTAS GENERALES DE PLANCHA</v>
      </c>
      <c r="K112" t="str">
        <v>M2</v>
      </c>
      <c r="L112">
        <v>111.41999999999999</v>
      </c>
      <c r="M112">
        <v>353438</v>
      </c>
      <c r="N112" s="115">
        <f t="shared" si="4"/>
        <v>353438</v>
      </c>
      <c r="O112" s="146">
        <f t="shared" si="5"/>
        <v>39383596.340000004</v>
      </c>
      <c r="P112" s="119"/>
    </row>
    <row r="113" spans="2:16" ht="25.5" customHeight="1" x14ac:dyDescent="0.25">
      <c r="B113" s="86" t="s">
        <v>203</v>
      </c>
      <c r="C113" s="149" t="s">
        <v>204</v>
      </c>
      <c r="D113" s="82" t="s">
        <v>13</v>
      </c>
      <c r="E113" s="83">
        <v>17.010000000000002</v>
      </c>
      <c r="F113" s="88">
        <v>359441</v>
      </c>
      <c r="G113" s="89">
        <f t="shared" si="3"/>
        <v>6114091.4100000001</v>
      </c>
      <c r="H113" s="209"/>
      <c r="I113" s="209"/>
      <c r="J113" s="213" t="str">
        <f t="array" ref="J113:M113">_xlfn.XLOOKUP(C113,'ESAP NEIVA FASE II UNIFICADO'!$C$6:$C$720,'ESAP NEIVA FASE II UNIFICADO'!$C$6:$F$720,"NO ESTA")</f>
        <v>SUMINISTRO E INSTALACION VENTANAL DOBLE ALTURA EN ALUMINIO o similar TIPO V-4 Incluye VIDRIO Referencia SOLARBAN Ver NOTAS GENERALES DE PLANCHA</v>
      </c>
      <c r="K113" t="str">
        <v>M2</v>
      </c>
      <c r="L113">
        <v>17.010000000000002</v>
      </c>
      <c r="M113">
        <v>369778</v>
      </c>
      <c r="N113" s="115">
        <f t="shared" si="4"/>
        <v>369778</v>
      </c>
      <c r="O113" s="146">
        <f t="shared" si="5"/>
        <v>6289923.7800000003</v>
      </c>
      <c r="P113" s="119"/>
    </row>
    <row r="114" spans="2:16" ht="25.5" customHeight="1" x14ac:dyDescent="0.25">
      <c r="B114" s="86" t="s">
        <v>205</v>
      </c>
      <c r="C114" s="149" t="s">
        <v>206</v>
      </c>
      <c r="D114" s="82" t="s">
        <v>13</v>
      </c>
      <c r="E114" s="83">
        <v>13.07</v>
      </c>
      <c r="F114" s="88">
        <v>359441</v>
      </c>
      <c r="G114" s="89">
        <f t="shared" si="3"/>
        <v>4697893.87</v>
      </c>
      <c r="H114" s="209"/>
      <c r="I114" s="209"/>
      <c r="J114" s="213" t="str">
        <f t="array" ref="J114:M114">_xlfn.XLOOKUP(C114,'ESAP NEIVA FASE II UNIFICADO'!$C$6:$C$720,'ESAP NEIVA FASE II UNIFICADO'!$C$6:$F$720,"NO ESTA")</f>
        <v>SUMINISTRO E INSTALACIONVENTANAL DOBLE ALTURA LIBRE EN ALUMINIO o similar TIPO V-5 Incluye VIDRIO Referencia SOLARBAN Ver NOTAS GENERALES DE PLANCHA</v>
      </c>
      <c r="K114" t="str">
        <v>M2</v>
      </c>
      <c r="L114">
        <v>13.059999999999999</v>
      </c>
      <c r="M114">
        <v>369778</v>
      </c>
      <c r="N114" s="115">
        <f t="shared" si="4"/>
        <v>369778</v>
      </c>
      <c r="O114" s="146">
        <f t="shared" si="5"/>
        <v>4832998.46</v>
      </c>
      <c r="P114" s="119"/>
    </row>
    <row r="115" spans="2:16" ht="15" customHeight="1" x14ac:dyDescent="0.25">
      <c r="B115" s="80" t="s">
        <v>207</v>
      </c>
      <c r="C115" s="81" t="s">
        <v>208</v>
      </c>
      <c r="D115" s="82"/>
      <c r="E115" s="83"/>
      <c r="F115" s="90">
        <v>0</v>
      </c>
      <c r="G115" s="89">
        <f t="shared" si="3"/>
        <v>0</v>
      </c>
      <c r="H115" s="209"/>
      <c r="I115" s="209"/>
      <c r="J115" s="213" t="str">
        <f t="array" ref="J115:M115">_xlfn.XLOOKUP(C115,'ESAP NEIVA FASE II UNIFICADO'!$C$6:$C$720,'ESAP NEIVA FASE II UNIFICADO'!$C$6:$F$720,"NO ESTA")</f>
        <v>SUMINISTRO E INSTALACION VENTANALES PISO 2</v>
      </c>
      <c r="K115">
        <v>0</v>
      </c>
      <c r="L115">
        <v>0</v>
      </c>
      <c r="M115">
        <v>0</v>
      </c>
      <c r="N115" s="115">
        <f t="shared" si="4"/>
        <v>0</v>
      </c>
      <c r="O115" s="146">
        <f t="shared" si="5"/>
        <v>0</v>
      </c>
      <c r="P115" s="119"/>
    </row>
    <row r="116" spans="2:16" ht="25.5" customHeight="1" x14ac:dyDescent="0.25">
      <c r="B116" s="86" t="s">
        <v>209</v>
      </c>
      <c r="C116" s="87" t="s">
        <v>210</v>
      </c>
      <c r="D116" s="82" t="s">
        <v>13</v>
      </c>
      <c r="E116" s="83">
        <v>21.89</v>
      </c>
      <c r="F116" s="88">
        <v>240392</v>
      </c>
      <c r="G116" s="89">
        <f t="shared" si="3"/>
        <v>5262180.88</v>
      </c>
      <c r="H116" s="209"/>
      <c r="I116" s="209"/>
      <c r="J116" s="213" t="str">
        <f t="array" ref="J116:M116">_xlfn.XLOOKUP(C116,'ESAP NEIVA FASE II UNIFICADO'!$C$6:$C$720,'ESAP NEIVA FASE II UNIFICADO'!$C$6:$F$720,"NO ESTA")</f>
        <v>SUMINISTRO E INSTALACION CORTASOL Referencia 84R TIPO CS-1 Ver NOTAS GENERALES DE PLANCHA</v>
      </c>
      <c r="K116" t="str">
        <v>M2</v>
      </c>
      <c r="L116">
        <v>221.89</v>
      </c>
      <c r="M116">
        <v>247305</v>
      </c>
      <c r="N116" s="115">
        <f t="shared" si="4"/>
        <v>247305</v>
      </c>
      <c r="O116" s="146">
        <f t="shared" si="5"/>
        <v>5413506.4500000002</v>
      </c>
      <c r="P116" s="119"/>
    </row>
    <row r="117" spans="2:16" ht="25.5" customHeight="1" x14ac:dyDescent="0.25">
      <c r="B117" s="86" t="s">
        <v>211</v>
      </c>
      <c r="C117" s="87" t="s">
        <v>200</v>
      </c>
      <c r="D117" s="82" t="s">
        <v>13</v>
      </c>
      <c r="E117" s="83">
        <v>13.48</v>
      </c>
      <c r="F117" s="88">
        <v>303169</v>
      </c>
      <c r="G117" s="89">
        <f t="shared" si="3"/>
        <v>4086718.12</v>
      </c>
      <c r="H117" s="209"/>
      <c r="I117" s="209"/>
      <c r="J117" s="213" t="str">
        <f t="array" ref="J117:M117">_xlfn.XLOOKUP(C117,'ESAP NEIVA FASE II UNIFICADO'!$C$6:$C$720,'ESAP NEIVA FASE II UNIFICADO'!$C$6:$F$720,"NO ESTA")</f>
        <v>SUMINISTRO E INSTALACION VENTANAL INTERIOR EN ALUMINIO o similar TIPO V-0 Incluye VIDRIO Referencia TRASLUCIDO TEMPLADO 10MM Ver NOTAS GENERALES DE PLANCHA</v>
      </c>
      <c r="K117" t="str">
        <v>M2</v>
      </c>
      <c r="L117">
        <v>44.879999999999995</v>
      </c>
      <c r="M117">
        <v>311887</v>
      </c>
      <c r="N117" s="115">
        <f t="shared" si="4"/>
        <v>311887</v>
      </c>
      <c r="O117" s="146">
        <f t="shared" si="5"/>
        <v>4204236.76</v>
      </c>
      <c r="P117" s="119"/>
    </row>
    <row r="118" spans="2:16" ht="25.5" customHeight="1" x14ac:dyDescent="0.25">
      <c r="B118" s="86" t="s">
        <v>212</v>
      </c>
      <c r="C118" s="147" t="s">
        <v>202</v>
      </c>
      <c r="D118" s="82" t="s">
        <v>13</v>
      </c>
      <c r="E118" s="83">
        <v>30.01</v>
      </c>
      <c r="F118" s="88">
        <v>343559</v>
      </c>
      <c r="G118" s="89">
        <f t="shared" si="3"/>
        <v>10310205.59</v>
      </c>
      <c r="H118" s="209"/>
      <c r="I118" s="209"/>
      <c r="J118" s="213" t="str">
        <f t="array" ref="J118:M118">_xlfn.XLOOKUP(C118,'ESAP NEIVA FASE II UNIFICADO'!$C$6:$C$720,'ESAP NEIVA FASE II UNIFICADO'!$C$6:$F$720,"NO ESTA")</f>
        <v>SUMINISTRO E INSTALACION VENTANAL PERFIL 12cm EN ALUMINIO o similar TIPO V-1 Incluye VIDRIO Referencia SOLARBAN Ver NOTAS GENERALES DE PLANCHA</v>
      </c>
      <c r="K118" t="str">
        <v>M2</v>
      </c>
      <c r="L118">
        <v>111.41999999999999</v>
      </c>
      <c r="M118">
        <v>353438</v>
      </c>
      <c r="N118" s="115">
        <f t="shared" si="4"/>
        <v>353438</v>
      </c>
      <c r="O118" s="146">
        <f t="shared" si="5"/>
        <v>10606674.380000001</v>
      </c>
      <c r="P118" s="119"/>
    </row>
    <row r="119" spans="2:16" ht="25.5" customHeight="1" x14ac:dyDescent="0.25">
      <c r="B119" s="86" t="s">
        <v>213</v>
      </c>
      <c r="C119" s="149" t="s">
        <v>214</v>
      </c>
      <c r="D119" s="82" t="s">
        <v>13</v>
      </c>
      <c r="E119" s="83">
        <v>63.83</v>
      </c>
      <c r="F119" s="88">
        <v>343559</v>
      </c>
      <c r="G119" s="89">
        <f t="shared" si="3"/>
        <v>21929370.969999999</v>
      </c>
      <c r="H119" s="209"/>
      <c r="I119" s="209"/>
      <c r="J119" s="213" t="str">
        <f t="array" ref="J119:M119">_xlfn.XLOOKUP(C119,'ESAP NEIVA FASE II UNIFICADO'!$C$6:$C$720,'ESAP NEIVA FASE II UNIFICADO'!$C$6:$F$720,"NO ESTA")</f>
        <v>SUMINISTRO E INSTALACION VENTANAL PERFIL 12cm  AULAS COMPLETO EN ALUMINIO o similar TIPO V-2 Incluye VIDRIO Referencia SOLARBAN Ver NOTAS GENERALES DE PLANCHA</v>
      </c>
      <c r="K119" t="str">
        <v>M2</v>
      </c>
      <c r="L119">
        <v>78.760000000000005</v>
      </c>
      <c r="M119">
        <v>353438</v>
      </c>
      <c r="N119" s="115">
        <f t="shared" si="4"/>
        <v>353438</v>
      </c>
      <c r="O119" s="146">
        <f t="shared" si="5"/>
        <v>22559947.539999999</v>
      </c>
      <c r="P119" s="119"/>
    </row>
    <row r="120" spans="2:16" ht="25.5" customHeight="1" x14ac:dyDescent="0.25">
      <c r="B120" s="86" t="s">
        <v>215</v>
      </c>
      <c r="C120" s="149" t="s">
        <v>216</v>
      </c>
      <c r="D120" s="82" t="s">
        <v>13</v>
      </c>
      <c r="E120" s="83">
        <v>7.99</v>
      </c>
      <c r="F120" s="88">
        <v>356670</v>
      </c>
      <c r="G120" s="89">
        <f t="shared" si="3"/>
        <v>2849793.3</v>
      </c>
      <c r="H120" s="209"/>
      <c r="I120" s="209"/>
      <c r="J120" s="213" t="str">
        <f t="array" ref="J120:M120">_xlfn.XLOOKUP(C120,'ESAP NEIVA FASE II UNIFICADO'!$C$6:$C$720,'ESAP NEIVA FASE II UNIFICADO'!$C$6:$F$720,"NO ESTA")</f>
        <v>SUMINISTRO E INSTALACION VENTANAL PERFIL 15cm EN ALUMINIO o similar TIPO V-3 Incluye VIDRIO Referencia SOLARBAN Ver NOTAS GENERALES DE PLANCHA</v>
      </c>
      <c r="K120" t="str">
        <v>M2</v>
      </c>
      <c r="L120">
        <v>78.989999999999995</v>
      </c>
      <c r="M120">
        <v>366927</v>
      </c>
      <c r="N120" s="115">
        <f t="shared" si="4"/>
        <v>366927</v>
      </c>
      <c r="O120" s="146">
        <f t="shared" si="5"/>
        <v>2931746.73</v>
      </c>
      <c r="P120" s="119"/>
    </row>
    <row r="121" spans="2:16" ht="25.5" customHeight="1" x14ac:dyDescent="0.25">
      <c r="B121" s="86" t="s">
        <v>217</v>
      </c>
      <c r="C121" s="149" t="s">
        <v>218</v>
      </c>
      <c r="D121" s="82" t="s">
        <v>13</v>
      </c>
      <c r="E121" s="83">
        <v>11.76</v>
      </c>
      <c r="F121" s="88">
        <v>359441</v>
      </c>
      <c r="G121" s="89">
        <f t="shared" si="3"/>
        <v>4227026.16</v>
      </c>
      <c r="H121" s="209"/>
      <c r="I121" s="209"/>
      <c r="J121" s="213" t="str">
        <f t="array" ref="J121:M121">_xlfn.XLOOKUP(C121,'ESAP NEIVA FASE II UNIFICADO'!$C$6:$C$720,'ESAP NEIVA FASE II UNIFICADO'!$C$6:$F$720,"NO ESTA")</f>
        <v>SUMINISTRO E INSTALACION VENTANAL DOBLE ALTURA LIBRE EN ALUMINIO o similar TIPO V-5 Incluye VIDRIO Referencia SOLARBAN Ver NOTAS GENERALES DE PLANCHA</v>
      </c>
      <c r="K121" t="str">
        <v>M2</v>
      </c>
      <c r="L121">
        <v>11.76</v>
      </c>
      <c r="M121">
        <v>369778</v>
      </c>
      <c r="N121" s="115">
        <f t="shared" si="4"/>
        <v>369778</v>
      </c>
      <c r="O121" s="146">
        <f t="shared" si="5"/>
        <v>4348589.28</v>
      </c>
      <c r="P121" s="119"/>
    </row>
    <row r="122" spans="2:16" ht="25.5" customHeight="1" x14ac:dyDescent="0.25">
      <c r="B122" s="86" t="s">
        <v>219</v>
      </c>
      <c r="C122" s="150" t="s">
        <v>220</v>
      </c>
      <c r="D122" s="82" t="s">
        <v>13</v>
      </c>
      <c r="E122" s="83">
        <v>10.72</v>
      </c>
      <c r="F122" s="88">
        <v>400466</v>
      </c>
      <c r="G122" s="89">
        <f t="shared" si="3"/>
        <v>4292995.5199999996</v>
      </c>
      <c r="H122" s="209"/>
      <c r="I122" s="209"/>
      <c r="J122" s="213" t="str">
        <f t="array" ref="J122:M122">_xlfn.XLOOKUP(C122,'ESAP NEIVA FASE II UNIFICADO'!$C$6:$C$720,'ESAP NEIVA FASE II UNIFICADO'!$C$6:$F$720,"NO ESTA")</f>
        <v>SUMINISTRO E INSTALACION VENTANAL INTERIOR PERFIL 15cm SALONES EN ALUMINIO o similar TIPO V-6Incluye VIDRIO Referencia TRASLUCIDO TEMPLADO 10MM Ver NOTAS GENERALES DE PLANCHA</v>
      </c>
      <c r="K122" t="str">
        <v>M2</v>
      </c>
      <c r="L122">
        <v>15.659999999999998</v>
      </c>
      <c r="M122">
        <v>411981</v>
      </c>
      <c r="N122" s="115">
        <f t="shared" si="4"/>
        <v>411981</v>
      </c>
      <c r="O122" s="146">
        <f t="shared" si="5"/>
        <v>4416436.32</v>
      </c>
      <c r="P122" s="119"/>
    </row>
    <row r="123" spans="2:16" ht="17.25" customHeight="1" x14ac:dyDescent="0.25">
      <c r="B123" s="74">
        <v>9</v>
      </c>
      <c r="C123" s="75" t="s">
        <v>221</v>
      </c>
      <c r="D123" s="76"/>
      <c r="E123" s="77"/>
      <c r="F123" s="78">
        <v>0</v>
      </c>
      <c r="G123" s="89">
        <f t="shared" si="3"/>
        <v>0</v>
      </c>
      <c r="H123" s="209"/>
      <c r="I123" s="209"/>
      <c r="J123" s="213" t="str">
        <f t="array" ref="J123:M123">_xlfn.XLOOKUP(C123,'ESAP NEIVA FASE II UNIFICADO'!$C$6:$C$720,'ESAP NEIVA FASE II UNIFICADO'!$C$6:$F$720,"NO ESTA")</f>
        <v>PUERTAS</v>
      </c>
      <c r="K123">
        <v>0</v>
      </c>
      <c r="L123">
        <v>0</v>
      </c>
      <c r="M123">
        <v>0</v>
      </c>
      <c r="N123" s="115">
        <f t="shared" si="4"/>
        <v>0</v>
      </c>
      <c r="O123" s="146">
        <f t="shared" si="5"/>
        <v>0</v>
      </c>
      <c r="P123" s="119"/>
    </row>
    <row r="124" spans="2:16" ht="15" customHeight="1" x14ac:dyDescent="0.25">
      <c r="B124" s="80" t="s">
        <v>222</v>
      </c>
      <c r="C124" s="81" t="s">
        <v>223</v>
      </c>
      <c r="D124" s="82"/>
      <c r="E124" s="83"/>
      <c r="F124" s="90">
        <v>0</v>
      </c>
      <c r="G124" s="89">
        <f t="shared" si="3"/>
        <v>0</v>
      </c>
      <c r="H124" s="209"/>
      <c r="I124" s="209"/>
      <c r="J124" s="213" t="str">
        <f t="array" ref="J124:M124">_xlfn.XLOOKUP(C124,'ESAP NEIVA FASE II UNIFICADO'!$C$6:$C$720,'ESAP NEIVA FASE II UNIFICADO'!$C$6:$F$720,"NO ESTA")</f>
        <v>SUMINISTRO E INSTALACIÓN PUERTAS SEMISOTANO</v>
      </c>
      <c r="K124">
        <v>0</v>
      </c>
      <c r="L124">
        <v>0</v>
      </c>
      <c r="M124">
        <v>0</v>
      </c>
      <c r="N124" s="115">
        <f t="shared" si="4"/>
        <v>0</v>
      </c>
      <c r="O124" s="146">
        <f t="shared" si="5"/>
        <v>0</v>
      </c>
      <c r="P124" s="119"/>
    </row>
    <row r="125" spans="2:16" ht="25.5" customHeight="1" x14ac:dyDescent="0.25">
      <c r="B125" s="86" t="s">
        <v>224</v>
      </c>
      <c r="C125" s="87" t="s">
        <v>225</v>
      </c>
      <c r="D125" s="82" t="s">
        <v>13</v>
      </c>
      <c r="E125" s="83">
        <v>4.4000000000000004</v>
      </c>
      <c r="F125" s="88">
        <v>1343360</v>
      </c>
      <c r="G125" s="89">
        <f t="shared" si="3"/>
        <v>5910784</v>
      </c>
      <c r="H125" s="209"/>
      <c r="I125" s="209"/>
      <c r="J125" s="213" t="str">
        <f t="array" ref="J125:M125">_xlfn.XLOOKUP(C125,'ESAP NEIVA FASE II UNIFICADO'!$C$6:$C$720,'ESAP NEIVA FASE II UNIFICADO'!$C$6:$F$720,"NO ESTA")</f>
        <v>SUMINISTRO E INSTALACION PUERTA DE EVACUACIÓN TIPO P-1 Ver NOTAS GENERALES DE PLANCHA</v>
      </c>
      <c r="K125" t="str">
        <v>M2</v>
      </c>
      <c r="L125">
        <v>0</v>
      </c>
      <c r="M125">
        <v>1381990</v>
      </c>
      <c r="N125" s="115">
        <f t="shared" si="4"/>
        <v>1381990</v>
      </c>
      <c r="O125" s="146">
        <f t="shared" si="5"/>
        <v>6080756.0000000009</v>
      </c>
      <c r="P125" s="119"/>
    </row>
    <row r="126" spans="2:16" ht="25.5" customHeight="1" x14ac:dyDescent="0.25">
      <c r="B126" s="86" t="s">
        <v>226</v>
      </c>
      <c r="C126" s="87" t="s">
        <v>227</v>
      </c>
      <c r="D126" s="82" t="s">
        <v>13</v>
      </c>
      <c r="E126" s="83">
        <v>15.12</v>
      </c>
      <c r="F126" s="88">
        <v>127871</v>
      </c>
      <c r="G126" s="89">
        <f t="shared" si="3"/>
        <v>1933409.52</v>
      </c>
      <c r="H126" s="209"/>
      <c r="I126" s="209"/>
      <c r="J126" s="213" t="str">
        <f t="array" ref="J126:M126">_xlfn.XLOOKUP(C126,'ESAP NEIVA FASE II UNIFICADO'!$C$6:$C$720,'ESAP NEIVA FASE II UNIFICADO'!$C$6:$F$720,"NO ESTA")</f>
        <v>SUMINISTRO E INSTALACION PUERTA METALICA DEPOSITOS TIPO P-2 Ver NOTAS GENERALES DE PLANCHA</v>
      </c>
      <c r="K126" t="str">
        <v>M2</v>
      </c>
      <c r="L126">
        <v>0</v>
      </c>
      <c r="M126">
        <v>131548</v>
      </c>
      <c r="N126" s="115">
        <f t="shared" si="4"/>
        <v>131548</v>
      </c>
      <c r="O126" s="146">
        <f t="shared" si="5"/>
        <v>1989005.76</v>
      </c>
      <c r="P126" s="119"/>
    </row>
    <row r="127" spans="2:16" ht="25.5" customHeight="1" x14ac:dyDescent="0.25">
      <c r="B127" s="86" t="s">
        <v>228</v>
      </c>
      <c r="C127" s="87" t="s">
        <v>229</v>
      </c>
      <c r="D127" s="82" t="s">
        <v>13</v>
      </c>
      <c r="E127" s="83">
        <v>33.6</v>
      </c>
      <c r="F127" s="88">
        <v>150373</v>
      </c>
      <c r="G127" s="89">
        <f t="shared" si="3"/>
        <v>5052532.8</v>
      </c>
      <c r="H127" s="209"/>
      <c r="I127" s="209"/>
      <c r="J127" s="213" t="str">
        <f t="array" ref="J127:M127">_xlfn.XLOOKUP(C127,'ESAP NEIVA FASE II UNIFICADO'!$C$6:$C$720,'ESAP NEIVA FASE II UNIFICADO'!$C$6:$F$720,"NO ESTA")</f>
        <v>SUMINISTRO E INSTALACION PUERTA METALICA DOBLE HOJA TIPO P-7 Ver NOTAS GENERALES DE PLANCHA</v>
      </c>
      <c r="K127" t="str">
        <v>M2</v>
      </c>
      <c r="L127">
        <v>0</v>
      </c>
      <c r="M127">
        <v>154697</v>
      </c>
      <c r="N127" s="115">
        <f t="shared" si="4"/>
        <v>154697</v>
      </c>
      <c r="O127" s="146">
        <f t="shared" si="5"/>
        <v>5197819.2</v>
      </c>
      <c r="P127" s="119"/>
    </row>
    <row r="128" spans="2:16" ht="25.5" customHeight="1" x14ac:dyDescent="0.25">
      <c r="B128" s="86" t="s">
        <v>230</v>
      </c>
      <c r="C128" s="87" t="s">
        <v>231</v>
      </c>
      <c r="D128" s="82" t="s">
        <v>13</v>
      </c>
      <c r="E128" s="83">
        <v>15.84</v>
      </c>
      <c r="F128" s="88">
        <v>245163</v>
      </c>
      <c r="G128" s="89">
        <f t="shared" si="3"/>
        <v>3883381.92</v>
      </c>
      <c r="H128" s="209"/>
      <c r="I128" s="209"/>
      <c r="J128" s="213" t="str">
        <f t="array" ref="J128">_xlfn.XLOOKUP(C128,'ESAP NEIVA FASE II UNIFICADO'!$C$6:$C$720,'ESAP NEIVA FASE II UNIFICADO'!$C$6:$F$720,"NO ESTA")</f>
        <v>NO ESTA</v>
      </c>
      <c r="N128" s="115">
        <f t="shared" si="4"/>
        <v>245163</v>
      </c>
      <c r="O128" s="146">
        <f t="shared" si="5"/>
        <v>3883381.92</v>
      </c>
      <c r="P128" s="119"/>
    </row>
    <row r="129" spans="2:16" ht="15" customHeight="1" x14ac:dyDescent="0.25">
      <c r="B129" s="80" t="s">
        <v>232</v>
      </c>
      <c r="C129" s="81" t="s">
        <v>233</v>
      </c>
      <c r="D129" s="82"/>
      <c r="E129" s="83"/>
      <c r="F129" s="90">
        <v>0</v>
      </c>
      <c r="G129" s="89">
        <f t="shared" si="3"/>
        <v>0</v>
      </c>
      <c r="H129" s="209"/>
      <c r="I129" s="209"/>
      <c r="J129" s="213" t="str">
        <f t="array" ref="J129:M129">_xlfn.XLOOKUP(C129,'ESAP NEIVA FASE II UNIFICADO'!$C$6:$C$720,'ESAP NEIVA FASE II UNIFICADO'!$C$6:$F$720,"NO ESTA")</f>
        <v>SUMINISTRO E INSTALACIÓN PUERTAS PISO 1</v>
      </c>
      <c r="K129">
        <v>0</v>
      </c>
      <c r="L129">
        <v>0</v>
      </c>
      <c r="M129">
        <v>0</v>
      </c>
      <c r="N129" s="115">
        <f t="shared" si="4"/>
        <v>0</v>
      </c>
      <c r="O129" s="146">
        <f t="shared" si="5"/>
        <v>0</v>
      </c>
      <c r="P129" s="119"/>
    </row>
    <row r="130" spans="2:16" ht="25.5" customHeight="1" x14ac:dyDescent="0.25">
      <c r="B130" s="86" t="s">
        <v>234</v>
      </c>
      <c r="C130" s="87" t="s">
        <v>225</v>
      </c>
      <c r="D130" s="82" t="s">
        <v>13</v>
      </c>
      <c r="E130" s="83">
        <v>4.4000000000000004</v>
      </c>
      <c r="F130" s="88">
        <v>1343360</v>
      </c>
      <c r="G130" s="89">
        <f t="shared" si="3"/>
        <v>5910784</v>
      </c>
      <c r="H130" s="209"/>
      <c r="I130" s="209"/>
      <c r="J130" s="213" t="str">
        <f t="array" ref="J130:M130">_xlfn.XLOOKUP(C130,'ESAP NEIVA FASE II UNIFICADO'!$C$6:$C$720,'ESAP NEIVA FASE II UNIFICADO'!$C$6:$F$720,"NO ESTA")</f>
        <v>SUMINISTRO E INSTALACION PUERTA DE EVACUACIÓN TIPO P-1 Ver NOTAS GENERALES DE PLANCHA</v>
      </c>
      <c r="K130" t="str">
        <v>M2</v>
      </c>
      <c r="L130">
        <v>0</v>
      </c>
      <c r="M130">
        <v>1381990</v>
      </c>
      <c r="N130" s="115">
        <f t="shared" si="4"/>
        <v>1381990</v>
      </c>
      <c r="O130" s="146">
        <f t="shared" si="5"/>
        <v>6080756.0000000009</v>
      </c>
      <c r="P130" s="119"/>
    </row>
    <row r="131" spans="2:16" ht="25.5" customHeight="1" x14ac:dyDescent="0.25">
      <c r="B131" s="86" t="s">
        <v>235</v>
      </c>
      <c r="C131" s="87" t="s">
        <v>227</v>
      </c>
      <c r="D131" s="82" t="s">
        <v>13</v>
      </c>
      <c r="E131" s="83">
        <v>12.96</v>
      </c>
      <c r="F131" s="88">
        <v>127871</v>
      </c>
      <c r="G131" s="89">
        <f t="shared" si="3"/>
        <v>1657208.16</v>
      </c>
      <c r="H131" s="209"/>
      <c r="I131" s="209"/>
      <c r="J131" s="213" t="str">
        <f t="array" ref="J131:M131">_xlfn.XLOOKUP(C131,'ESAP NEIVA FASE II UNIFICADO'!$C$6:$C$720,'ESAP NEIVA FASE II UNIFICADO'!$C$6:$F$720,"NO ESTA")</f>
        <v>SUMINISTRO E INSTALACION PUERTA METALICA DEPOSITOS TIPO P-2 Ver NOTAS GENERALES DE PLANCHA</v>
      </c>
      <c r="K131" t="str">
        <v>M2</v>
      </c>
      <c r="L131">
        <v>0</v>
      </c>
      <c r="M131">
        <v>131548</v>
      </c>
      <c r="N131" s="115">
        <f t="shared" si="4"/>
        <v>131548</v>
      </c>
      <c r="O131" s="146">
        <f t="shared" si="5"/>
        <v>1704862.08</v>
      </c>
      <c r="P131" s="119"/>
    </row>
    <row r="132" spans="2:16" ht="25.5" customHeight="1" x14ac:dyDescent="0.25">
      <c r="B132" s="86" t="s">
        <v>236</v>
      </c>
      <c r="C132" s="87" t="s">
        <v>237</v>
      </c>
      <c r="D132" s="82" t="s">
        <v>13</v>
      </c>
      <c r="E132" s="83">
        <v>2.4</v>
      </c>
      <c r="F132" s="88">
        <v>711104</v>
      </c>
      <c r="G132" s="89">
        <f t="shared" si="3"/>
        <v>1706649.6000000001</v>
      </c>
      <c r="H132" s="209"/>
      <c r="I132" s="209"/>
      <c r="J132" s="213" t="str">
        <f t="array" ref="J132:M132">_xlfn.XLOOKUP(C132,'ESAP NEIVA FASE II UNIFICADO'!$C$6:$C$720,'ESAP NEIVA FASE II UNIFICADO'!$C$6:$F$720,"NO ESTA")</f>
        <v>SUMINISTRO E INSTALACION PUERTA DIVISORIA DE MADERA TIPO P-3 Ver NOTAS GENERALES DE PLANCHA</v>
      </c>
      <c r="K132" t="str">
        <v>M2</v>
      </c>
      <c r="L132">
        <v>0</v>
      </c>
      <c r="M132">
        <v>731553</v>
      </c>
      <c r="N132" s="115">
        <f t="shared" si="4"/>
        <v>731553</v>
      </c>
      <c r="O132" s="146">
        <f t="shared" si="5"/>
        <v>1755727.2</v>
      </c>
      <c r="P132" s="119"/>
    </row>
    <row r="133" spans="2:16" ht="25.5" customHeight="1" x14ac:dyDescent="0.25">
      <c r="B133" s="86" t="s">
        <v>238</v>
      </c>
      <c r="C133" s="87" t="s">
        <v>239</v>
      </c>
      <c r="D133" s="82" t="s">
        <v>13</v>
      </c>
      <c r="E133" s="83">
        <v>12.96</v>
      </c>
      <c r="F133" s="88">
        <v>711104</v>
      </c>
      <c r="G133" s="89">
        <f t="shared" si="3"/>
        <v>9215907.8399999999</v>
      </c>
      <c r="H133" s="209"/>
      <c r="I133" s="209"/>
      <c r="J133" s="213" t="str">
        <f t="array" ref="J133:M133">_xlfn.XLOOKUP(C133,'ESAP NEIVA FASE II UNIFICADO'!$C$6:$C$720,'ESAP NEIVA FASE II UNIFICADO'!$C$6:$F$720,"NO ESTA")</f>
        <v>SUMINISTRO E INSTALACION PUERTA DIVISORIA DE MADERA TIPO P-4 Ver NOTAS GENERALES DE PLANCHA</v>
      </c>
      <c r="K133" t="str">
        <v>M2</v>
      </c>
      <c r="L133">
        <v>0</v>
      </c>
      <c r="M133">
        <v>731553</v>
      </c>
      <c r="N133" s="115">
        <f t="shared" si="4"/>
        <v>731553</v>
      </c>
      <c r="O133" s="146">
        <f t="shared" si="5"/>
        <v>9480926.8800000008</v>
      </c>
      <c r="P133" s="119"/>
    </row>
    <row r="134" spans="2:16" ht="25.5" customHeight="1" x14ac:dyDescent="0.25">
      <c r="B134" s="86" t="s">
        <v>240</v>
      </c>
      <c r="C134" s="87" t="s">
        <v>241</v>
      </c>
      <c r="D134" s="82" t="s">
        <v>13</v>
      </c>
      <c r="E134" s="83">
        <v>5.76</v>
      </c>
      <c r="F134" s="88">
        <v>711104</v>
      </c>
      <c r="G134" s="89">
        <f t="shared" ref="G134:G197" si="6">ROUND(+F134*E134,2)</f>
        <v>4095959.04</v>
      </c>
      <c r="H134" s="209"/>
      <c r="I134" s="209"/>
      <c r="J134" s="213" t="str">
        <f t="array" ref="J134:M134">_xlfn.XLOOKUP(C134,'ESAP NEIVA FASE II UNIFICADO'!$C$6:$C$720,'ESAP NEIVA FASE II UNIFICADO'!$C$6:$F$720,"NO ESTA")</f>
        <v>SUMINISTRO E INSTALACION PUERTA DIVISORIA DE MADERA TIPO P-5 Ver NOTAS GENERALES DE PLANCHA</v>
      </c>
      <c r="K134" t="str">
        <v>M2</v>
      </c>
      <c r="L134">
        <v>0</v>
      </c>
      <c r="M134">
        <v>731553</v>
      </c>
      <c r="N134" s="115">
        <f t="shared" ref="N134:N197" si="7">MAX(M134,F134)</f>
        <v>731553</v>
      </c>
      <c r="O134" s="146">
        <f t="shared" ref="O134:O197" si="8">N134*E134</f>
        <v>4213745.28</v>
      </c>
      <c r="P134" s="119"/>
    </row>
    <row r="135" spans="2:16" ht="25.5" customHeight="1" x14ac:dyDescent="0.25">
      <c r="B135" s="86" t="s">
        <v>242</v>
      </c>
      <c r="C135" s="87" t="s">
        <v>229</v>
      </c>
      <c r="D135" s="82" t="s">
        <v>13</v>
      </c>
      <c r="E135" s="83">
        <v>4.8</v>
      </c>
      <c r="F135" s="88">
        <v>150373</v>
      </c>
      <c r="G135" s="89">
        <f t="shared" si="6"/>
        <v>721790.4</v>
      </c>
      <c r="H135" s="209"/>
      <c r="I135" s="209"/>
      <c r="J135" s="213" t="str">
        <f t="array" ref="J135:M135">_xlfn.XLOOKUP(C135,'ESAP NEIVA FASE II UNIFICADO'!$C$6:$C$720,'ESAP NEIVA FASE II UNIFICADO'!$C$6:$F$720,"NO ESTA")</f>
        <v>SUMINISTRO E INSTALACION PUERTA METALICA DOBLE HOJA TIPO P-7 Ver NOTAS GENERALES DE PLANCHA</v>
      </c>
      <c r="K135" t="str">
        <v>M2</v>
      </c>
      <c r="L135">
        <v>0</v>
      </c>
      <c r="M135">
        <v>154697</v>
      </c>
      <c r="N135" s="115">
        <f t="shared" si="7"/>
        <v>154697</v>
      </c>
      <c r="O135" s="146">
        <f t="shared" si="8"/>
        <v>742545.6</v>
      </c>
      <c r="P135" s="119"/>
    </row>
    <row r="136" spans="2:16" ht="25.5" customHeight="1" x14ac:dyDescent="0.25">
      <c r="B136" s="86" t="s">
        <v>243</v>
      </c>
      <c r="C136" s="87" t="s">
        <v>244</v>
      </c>
      <c r="D136" s="82" t="s">
        <v>13</v>
      </c>
      <c r="E136" s="83">
        <v>24.8</v>
      </c>
      <c r="F136" s="88">
        <v>563615</v>
      </c>
      <c r="G136" s="89">
        <f t="shared" si="6"/>
        <v>13977652</v>
      </c>
      <c r="H136" s="209"/>
      <c r="I136" s="209"/>
      <c r="J136" s="213" t="str">
        <f t="array" ref="J136:M136">_xlfn.XLOOKUP(C136,'ESAP NEIVA FASE II UNIFICADO'!$C$6:$C$720,'ESAP NEIVA FASE II UNIFICADO'!$C$6:$F$720,"NO ESTA")</f>
        <v>SUMINISTRO E INSTALACION PUERTA DIVISORIA EN VIDRIO TIPO PV1 Ver NOTAS GENERALES DE PLANCHA</v>
      </c>
      <c r="K136" t="str">
        <v>M2</v>
      </c>
      <c r="L136">
        <v>0</v>
      </c>
      <c r="M136">
        <v>579822</v>
      </c>
      <c r="N136" s="115">
        <f t="shared" si="7"/>
        <v>579822</v>
      </c>
      <c r="O136" s="146">
        <f t="shared" si="8"/>
        <v>14379585.6</v>
      </c>
      <c r="P136" s="119"/>
    </row>
    <row r="137" spans="2:16" ht="15" customHeight="1" x14ac:dyDescent="0.25">
      <c r="B137" s="80" t="s">
        <v>245</v>
      </c>
      <c r="C137" s="81" t="s">
        <v>246</v>
      </c>
      <c r="D137" s="82"/>
      <c r="E137" s="83"/>
      <c r="F137" s="90">
        <v>0</v>
      </c>
      <c r="G137" s="89">
        <f t="shared" si="6"/>
        <v>0</v>
      </c>
      <c r="H137" s="209"/>
      <c r="I137" s="209"/>
      <c r="J137" s="213" t="str">
        <f t="array" ref="J137:M137">_xlfn.XLOOKUP(C137,'ESAP NEIVA FASE II UNIFICADO'!$C$6:$C$720,'ESAP NEIVA FASE II UNIFICADO'!$C$6:$F$720,"NO ESTA")</f>
        <v>SUMINISTRO E INSTALACIÓN PUERTAS PISO 2</v>
      </c>
      <c r="K137">
        <v>0</v>
      </c>
      <c r="L137">
        <v>0</v>
      </c>
      <c r="M137">
        <v>0</v>
      </c>
      <c r="N137" s="115">
        <f t="shared" si="7"/>
        <v>0</v>
      </c>
      <c r="O137" s="146">
        <f t="shared" si="8"/>
        <v>0</v>
      </c>
      <c r="P137" s="119"/>
    </row>
    <row r="138" spans="2:16" ht="25.5" customHeight="1" x14ac:dyDescent="0.25">
      <c r="B138" s="86" t="s">
        <v>247</v>
      </c>
      <c r="C138" s="87" t="s">
        <v>225</v>
      </c>
      <c r="D138" s="82" t="s">
        <v>13</v>
      </c>
      <c r="E138" s="83">
        <v>2.2000000000000002</v>
      </c>
      <c r="F138" s="88">
        <v>1343360</v>
      </c>
      <c r="G138" s="89">
        <f t="shared" si="6"/>
        <v>2955392</v>
      </c>
      <c r="H138" s="209"/>
      <c r="I138" s="209"/>
      <c r="J138" s="213" t="str">
        <f t="array" ref="J138:M138">_xlfn.XLOOKUP(C138,'ESAP NEIVA FASE II UNIFICADO'!$C$6:$C$720,'ESAP NEIVA FASE II UNIFICADO'!$C$6:$F$720,"NO ESTA")</f>
        <v>SUMINISTRO E INSTALACION PUERTA DE EVACUACIÓN TIPO P-1 Ver NOTAS GENERALES DE PLANCHA</v>
      </c>
      <c r="K138" t="str">
        <v>M2</v>
      </c>
      <c r="L138">
        <v>0</v>
      </c>
      <c r="M138">
        <v>1381990</v>
      </c>
      <c r="N138" s="115">
        <f t="shared" si="7"/>
        <v>1381990</v>
      </c>
      <c r="O138" s="146">
        <f t="shared" si="8"/>
        <v>3040378.0000000005</v>
      </c>
      <c r="P138" s="119"/>
    </row>
    <row r="139" spans="2:16" ht="25.5" customHeight="1" x14ac:dyDescent="0.25">
      <c r="B139" s="86" t="s">
        <v>248</v>
      </c>
      <c r="C139" s="87" t="s">
        <v>227</v>
      </c>
      <c r="D139" s="82" t="s">
        <v>13</v>
      </c>
      <c r="E139" s="83">
        <v>2.16</v>
      </c>
      <c r="F139" s="88">
        <v>127871</v>
      </c>
      <c r="G139" s="89">
        <f t="shared" si="6"/>
        <v>276201.36</v>
      </c>
      <c r="H139" s="209"/>
      <c r="I139" s="209"/>
      <c r="J139" s="213" t="str">
        <f t="array" ref="J139:M139">_xlfn.XLOOKUP(C139,'ESAP NEIVA FASE II UNIFICADO'!$C$6:$C$720,'ESAP NEIVA FASE II UNIFICADO'!$C$6:$F$720,"NO ESTA")</f>
        <v>SUMINISTRO E INSTALACION PUERTA METALICA DEPOSITOS TIPO P-2 Ver NOTAS GENERALES DE PLANCHA</v>
      </c>
      <c r="K139" t="str">
        <v>M2</v>
      </c>
      <c r="L139">
        <v>0</v>
      </c>
      <c r="M139">
        <v>131548</v>
      </c>
      <c r="N139" s="115">
        <f t="shared" si="7"/>
        <v>131548</v>
      </c>
      <c r="O139" s="146">
        <f t="shared" si="8"/>
        <v>284143.68</v>
      </c>
      <c r="P139" s="119"/>
    </row>
    <row r="140" spans="2:16" ht="25.5" customHeight="1" x14ac:dyDescent="0.25">
      <c r="B140" s="86" t="s">
        <v>249</v>
      </c>
      <c r="C140" s="87" t="s">
        <v>237</v>
      </c>
      <c r="D140" s="82" t="s">
        <v>13</v>
      </c>
      <c r="E140" s="83">
        <v>4.8</v>
      </c>
      <c r="F140" s="88">
        <v>711104</v>
      </c>
      <c r="G140" s="89">
        <f t="shared" si="6"/>
        <v>3413299.2000000002</v>
      </c>
      <c r="H140" s="209"/>
      <c r="I140" s="209"/>
      <c r="J140" s="213" t="str">
        <f t="array" ref="J140:M140">_xlfn.XLOOKUP(C140,'ESAP NEIVA FASE II UNIFICADO'!$C$6:$C$720,'ESAP NEIVA FASE II UNIFICADO'!$C$6:$F$720,"NO ESTA")</f>
        <v>SUMINISTRO E INSTALACION PUERTA DIVISORIA DE MADERA TIPO P-3 Ver NOTAS GENERALES DE PLANCHA</v>
      </c>
      <c r="K140" t="str">
        <v>M2</v>
      </c>
      <c r="L140">
        <v>0</v>
      </c>
      <c r="M140">
        <v>731553</v>
      </c>
      <c r="N140" s="115">
        <f t="shared" si="7"/>
        <v>731553</v>
      </c>
      <c r="O140" s="146">
        <f t="shared" si="8"/>
        <v>3511454.4</v>
      </c>
      <c r="P140" s="119"/>
    </row>
    <row r="141" spans="2:16" ht="25.5" customHeight="1" x14ac:dyDescent="0.25">
      <c r="B141" s="86" t="s">
        <v>250</v>
      </c>
      <c r="C141" s="87" t="s">
        <v>239</v>
      </c>
      <c r="D141" s="82" t="s">
        <v>13</v>
      </c>
      <c r="E141" s="83">
        <v>2.16</v>
      </c>
      <c r="F141" s="88">
        <v>711104</v>
      </c>
      <c r="G141" s="89">
        <f t="shared" si="6"/>
        <v>1535984.6399999999</v>
      </c>
      <c r="H141" s="209"/>
      <c r="I141" s="209"/>
      <c r="J141" s="213" t="str">
        <f t="array" ref="J141:M141">_xlfn.XLOOKUP(C141,'ESAP NEIVA FASE II UNIFICADO'!$C$6:$C$720,'ESAP NEIVA FASE II UNIFICADO'!$C$6:$F$720,"NO ESTA")</f>
        <v>SUMINISTRO E INSTALACION PUERTA DIVISORIA DE MADERA TIPO P-4 Ver NOTAS GENERALES DE PLANCHA</v>
      </c>
      <c r="K141" t="str">
        <v>M2</v>
      </c>
      <c r="L141">
        <v>0</v>
      </c>
      <c r="M141">
        <v>731553</v>
      </c>
      <c r="N141" s="115">
        <f t="shared" si="7"/>
        <v>731553</v>
      </c>
      <c r="O141" s="146">
        <f t="shared" si="8"/>
        <v>1580154.4800000002</v>
      </c>
      <c r="P141" s="119"/>
    </row>
    <row r="142" spans="2:16" ht="25.5" customHeight="1" x14ac:dyDescent="0.25">
      <c r="B142" s="86" t="s">
        <v>251</v>
      </c>
      <c r="C142" s="87" t="s">
        <v>241</v>
      </c>
      <c r="D142" s="82" t="s">
        <v>13</v>
      </c>
      <c r="E142" s="83">
        <v>2.88</v>
      </c>
      <c r="F142" s="88">
        <v>711104</v>
      </c>
      <c r="G142" s="89">
        <f t="shared" si="6"/>
        <v>2047979.52</v>
      </c>
      <c r="H142" s="209"/>
      <c r="I142" s="209"/>
      <c r="J142" s="213" t="str">
        <f t="array" ref="J142:M142">_xlfn.XLOOKUP(C142,'ESAP NEIVA FASE II UNIFICADO'!$C$6:$C$720,'ESAP NEIVA FASE II UNIFICADO'!$C$6:$F$720,"NO ESTA")</f>
        <v>SUMINISTRO E INSTALACION PUERTA DIVISORIA DE MADERA TIPO P-5 Ver NOTAS GENERALES DE PLANCHA</v>
      </c>
      <c r="K142" t="str">
        <v>M2</v>
      </c>
      <c r="L142">
        <v>0</v>
      </c>
      <c r="M142">
        <v>731553</v>
      </c>
      <c r="N142" s="115">
        <f t="shared" si="7"/>
        <v>731553</v>
      </c>
      <c r="O142" s="146">
        <f t="shared" si="8"/>
        <v>2106872.64</v>
      </c>
      <c r="P142" s="119"/>
    </row>
    <row r="143" spans="2:16" ht="25.5" customHeight="1" x14ac:dyDescent="0.25">
      <c r="B143" s="86" t="s">
        <v>252</v>
      </c>
      <c r="C143" s="87" t="s">
        <v>244</v>
      </c>
      <c r="D143" s="82" t="s">
        <v>13</v>
      </c>
      <c r="E143" s="83">
        <v>14.21</v>
      </c>
      <c r="F143" s="88">
        <v>563615</v>
      </c>
      <c r="G143" s="89">
        <f t="shared" si="6"/>
        <v>8008969.1500000004</v>
      </c>
      <c r="H143" s="209"/>
      <c r="I143" s="209"/>
      <c r="J143" s="213" t="str">
        <f t="array" ref="J143:M143">_xlfn.XLOOKUP(C143,'ESAP NEIVA FASE II UNIFICADO'!$C$6:$C$720,'ESAP NEIVA FASE II UNIFICADO'!$C$6:$F$720,"NO ESTA")</f>
        <v>SUMINISTRO E INSTALACION PUERTA DIVISORIA EN VIDRIO TIPO PV1 Ver NOTAS GENERALES DE PLANCHA</v>
      </c>
      <c r="K143" t="str">
        <v>M2</v>
      </c>
      <c r="L143">
        <v>0</v>
      </c>
      <c r="M143">
        <v>579822</v>
      </c>
      <c r="N143" s="115">
        <f t="shared" si="7"/>
        <v>579822</v>
      </c>
      <c r="O143" s="146">
        <f t="shared" si="8"/>
        <v>8239270.6200000001</v>
      </c>
      <c r="P143" s="119"/>
    </row>
    <row r="144" spans="2:16" ht="16.5" customHeight="1" x14ac:dyDescent="0.25">
      <c r="B144" s="74">
        <v>10</v>
      </c>
      <c r="C144" s="75" t="s">
        <v>253</v>
      </c>
      <c r="D144" s="76"/>
      <c r="E144" s="77"/>
      <c r="F144" s="78">
        <v>0</v>
      </c>
      <c r="G144" s="89">
        <f t="shared" si="6"/>
        <v>0</v>
      </c>
      <c r="H144" s="209"/>
      <c r="I144" s="209"/>
      <c r="J144" s="213" t="str">
        <f t="array" ref="J144:M144">_xlfn.XLOOKUP(C144,'ESAP NEIVA FASE II UNIFICADO'!$C$6:$C$720,'ESAP NEIVA FASE II UNIFICADO'!$C$6:$F$720,"NO ESTA")</f>
        <v>OTROS ARQUITECTONICOS</v>
      </c>
      <c r="K144">
        <v>0</v>
      </c>
      <c r="L144">
        <v>0</v>
      </c>
      <c r="M144">
        <v>0</v>
      </c>
      <c r="N144" s="115">
        <f t="shared" si="7"/>
        <v>0</v>
      </c>
      <c r="O144" s="146">
        <f t="shared" si="8"/>
        <v>0</v>
      </c>
      <c r="P144" s="119"/>
    </row>
    <row r="145" spans="2:16" ht="15" customHeight="1" x14ac:dyDescent="0.25">
      <c r="B145" s="80" t="s">
        <v>254</v>
      </c>
      <c r="C145" s="81" t="s">
        <v>255</v>
      </c>
      <c r="D145" s="82"/>
      <c r="E145" s="83"/>
      <c r="F145" s="90">
        <v>0</v>
      </c>
      <c r="G145" s="89">
        <f t="shared" si="6"/>
        <v>0</v>
      </c>
      <c r="H145" s="209"/>
      <c r="I145" s="209"/>
      <c r="J145" s="213" t="str">
        <f t="array" ref="J145:M145">_xlfn.XLOOKUP(C145,'ESAP NEIVA FASE II UNIFICADO'!$C$6:$C$720,'ESAP NEIVA FASE II UNIFICADO'!$C$6:$F$720,"NO ESTA")</f>
        <v>SUMINISTRO E INSTALACIÓN DE BARANDAS</v>
      </c>
      <c r="K145">
        <v>0</v>
      </c>
      <c r="L145">
        <v>0</v>
      </c>
      <c r="M145">
        <v>0</v>
      </c>
      <c r="N145" s="115">
        <f t="shared" si="7"/>
        <v>0</v>
      </c>
      <c r="O145" s="146">
        <f t="shared" si="8"/>
        <v>0</v>
      </c>
      <c r="P145" s="119"/>
    </row>
    <row r="146" spans="2:16" ht="25.5" customHeight="1" x14ac:dyDescent="0.25">
      <c r="B146" s="86" t="s">
        <v>256</v>
      </c>
      <c r="C146" s="87" t="s">
        <v>257</v>
      </c>
      <c r="D146" s="82" t="s">
        <v>94</v>
      </c>
      <c r="E146" s="83">
        <v>106</v>
      </c>
      <c r="F146" s="88">
        <v>647200</v>
      </c>
      <c r="G146" s="89">
        <f t="shared" si="6"/>
        <v>68603200</v>
      </c>
      <c r="H146" s="209"/>
      <c r="I146" s="209"/>
      <c r="J146" s="213" t="str">
        <f t="array" ref="J146:M146">_xlfn.XLOOKUP(C146,'ESAP NEIVA FASE II UNIFICADO'!$C$6:$C$720,'ESAP NEIVA FASE II UNIFICADO'!$C$6:$F$720,"NO ESTA")</f>
        <v>SUMINISTRO E INSTALACION BARANDA TIPO B1 EN ACERO INOXIDABLE (Incluye todos los accesorios para su instalación)</v>
      </c>
      <c r="K146" t="str">
        <v>ML</v>
      </c>
      <c r="L146">
        <v>288.39999999999998</v>
      </c>
      <c r="M146">
        <v>592889</v>
      </c>
      <c r="N146" s="115">
        <f t="shared" si="7"/>
        <v>647200</v>
      </c>
      <c r="O146" s="146">
        <f t="shared" si="8"/>
        <v>68603200</v>
      </c>
      <c r="P146" s="119"/>
    </row>
    <row r="147" spans="2:16" ht="25.5" customHeight="1" x14ac:dyDescent="0.25">
      <c r="B147" s="86" t="s">
        <v>258</v>
      </c>
      <c r="C147" s="87" t="s">
        <v>259</v>
      </c>
      <c r="D147" s="82" t="s">
        <v>94</v>
      </c>
      <c r="E147" s="83">
        <v>16</v>
      </c>
      <c r="F147" s="88">
        <v>246763</v>
      </c>
      <c r="G147" s="89">
        <f t="shared" si="6"/>
        <v>3948208</v>
      </c>
      <c r="H147" s="209"/>
      <c r="I147" s="209"/>
      <c r="J147" s="213" t="str">
        <f t="array" ref="J147:M147">_xlfn.XLOOKUP(C147,'ESAP NEIVA FASE II UNIFICADO'!$C$6:$C$720,'ESAP NEIVA FASE II UNIFICADO'!$C$6:$F$720,"NO ESTA")</f>
        <v>SUMINISTRO E INSTALACION PASAMANOS PUNTO FIJO No. 1 (Incluye todos los accesorios para su instalación)</v>
      </c>
      <c r="K147" t="str">
        <v>ML</v>
      </c>
      <c r="L147">
        <v>44.13</v>
      </c>
      <c r="M147">
        <v>253859</v>
      </c>
      <c r="N147" s="115">
        <f t="shared" si="7"/>
        <v>253859</v>
      </c>
      <c r="O147" s="146">
        <f t="shared" si="8"/>
        <v>4061744</v>
      </c>
      <c r="P147" s="119"/>
    </row>
    <row r="148" spans="2:16" ht="15" customHeight="1" x14ac:dyDescent="0.25">
      <c r="B148" s="80" t="s">
        <v>260</v>
      </c>
      <c r="C148" s="81" t="s">
        <v>261</v>
      </c>
      <c r="D148" s="82"/>
      <c r="E148" s="83"/>
      <c r="F148" s="90">
        <v>0</v>
      </c>
      <c r="G148" s="89">
        <f t="shared" si="6"/>
        <v>0</v>
      </c>
      <c r="H148" s="209"/>
      <c r="I148" s="209"/>
      <c r="J148" s="213" t="str">
        <f t="array" ref="J148:M148">_xlfn.XLOOKUP(C148,'ESAP NEIVA FASE II UNIFICADO'!$C$6:$C$720,'ESAP NEIVA FASE II UNIFICADO'!$C$6:$F$720,"NO ESTA")</f>
        <v>SUMINISTRO E INSTALACIÓN DE DIVISIONES DE BAÑOS</v>
      </c>
      <c r="K148">
        <v>0</v>
      </c>
      <c r="L148">
        <v>0</v>
      </c>
      <c r="M148">
        <v>0</v>
      </c>
      <c r="N148" s="115">
        <f t="shared" si="7"/>
        <v>0</v>
      </c>
      <c r="O148" s="146">
        <f t="shared" si="8"/>
        <v>0</v>
      </c>
      <c r="P148" s="119"/>
    </row>
    <row r="149" spans="2:16" ht="25.5" customHeight="1" x14ac:dyDescent="0.25">
      <c r="B149" s="86" t="s">
        <v>262</v>
      </c>
      <c r="C149" s="87" t="s">
        <v>263</v>
      </c>
      <c r="D149" s="82" t="s">
        <v>13</v>
      </c>
      <c r="E149" s="83">
        <v>83.5</v>
      </c>
      <c r="F149" s="88">
        <v>591892</v>
      </c>
      <c r="G149" s="89">
        <f t="shared" si="6"/>
        <v>49422982</v>
      </c>
      <c r="H149" s="209"/>
      <c r="I149" s="209"/>
      <c r="J149" s="213" t="str">
        <f t="array" ref="J149:M149">_xlfn.XLOOKUP(C149,'ESAP NEIVA FASE II UNIFICADO'!$C$6:$C$720,'ESAP NEIVA FASE II UNIFICADO'!$C$6:$F$720,"NO ESTA")</f>
        <v>SUMINISTRO E INSTALACION DIVISION EN ACERO INOXIDABLE BAÑOS (Incluye todos los accesorios para su instalación)</v>
      </c>
      <c r="K149" t="str">
        <v>M2</v>
      </c>
      <c r="L149">
        <v>83.5</v>
      </c>
      <c r="M149">
        <v>608913</v>
      </c>
      <c r="N149" s="115">
        <f t="shared" si="7"/>
        <v>608913</v>
      </c>
      <c r="O149" s="146">
        <f t="shared" si="8"/>
        <v>50844235.5</v>
      </c>
      <c r="P149" s="119"/>
    </row>
    <row r="150" spans="2:16" ht="14.25" customHeight="1" x14ac:dyDescent="0.25">
      <c r="B150" s="74">
        <v>12</v>
      </c>
      <c r="C150" s="75" t="s">
        <v>264</v>
      </c>
      <c r="D150" s="76"/>
      <c r="E150" s="77"/>
      <c r="F150" s="78">
        <v>0</v>
      </c>
      <c r="G150" s="89">
        <f t="shared" si="6"/>
        <v>0</v>
      </c>
      <c r="H150" s="209"/>
      <c r="I150" s="209"/>
      <c r="J150" s="213" t="str">
        <f t="array" ref="J150:M150">_xlfn.XLOOKUP(C150,'ESAP NEIVA FASE II UNIFICADO'!$C$6:$C$720,'ESAP NEIVA FASE II UNIFICADO'!$C$6:$F$720,"NO ESTA")</f>
        <v xml:space="preserve">RED HIDRÁULICO Y SANITARIO </v>
      </c>
      <c r="K150">
        <v>0</v>
      </c>
      <c r="L150">
        <v>0</v>
      </c>
      <c r="M150">
        <v>0</v>
      </c>
      <c r="N150" s="115">
        <f t="shared" si="7"/>
        <v>0</v>
      </c>
      <c r="O150" s="146">
        <f t="shared" si="8"/>
        <v>0</v>
      </c>
      <c r="P150" s="119"/>
    </row>
    <row r="151" spans="2:16" ht="15" customHeight="1" x14ac:dyDescent="0.25">
      <c r="B151" s="80" t="s">
        <v>265</v>
      </c>
      <c r="C151" s="81" t="s">
        <v>266</v>
      </c>
      <c r="D151" s="82"/>
      <c r="E151" s="83"/>
      <c r="F151" s="90">
        <v>0</v>
      </c>
      <c r="G151" s="89">
        <f t="shared" si="6"/>
        <v>0</v>
      </c>
      <c r="H151" s="209"/>
      <c r="I151" s="209"/>
      <c r="J151" s="213" t="str">
        <f t="array" ref="J151:M151">_xlfn.XLOOKUP(C151,'ESAP NEIVA FASE II UNIFICADO'!$C$6:$C$720,'ESAP NEIVA FASE II UNIFICADO'!$C$6:$F$720,"NO ESTA")</f>
        <v>SUMINISTRO E INSTALACIÓN RED AGUA POTABLE</v>
      </c>
      <c r="K151">
        <v>0</v>
      </c>
      <c r="L151">
        <v>0</v>
      </c>
      <c r="M151">
        <v>0</v>
      </c>
      <c r="N151" s="115">
        <f t="shared" si="7"/>
        <v>0</v>
      </c>
      <c r="O151" s="146">
        <f t="shared" si="8"/>
        <v>0</v>
      </c>
      <c r="P151" s="119"/>
    </row>
    <row r="152" spans="2:16" ht="15" customHeight="1" x14ac:dyDescent="0.25">
      <c r="B152" s="86" t="s">
        <v>267</v>
      </c>
      <c r="C152" s="87" t="s">
        <v>268</v>
      </c>
      <c r="D152" s="82" t="s">
        <v>269</v>
      </c>
      <c r="E152" s="83">
        <v>45</v>
      </c>
      <c r="F152" s="88">
        <v>12322</v>
      </c>
      <c r="G152" s="89">
        <f t="shared" si="6"/>
        <v>554490</v>
      </c>
      <c r="H152" s="209"/>
      <c r="I152" s="209"/>
      <c r="J152" s="213" t="str">
        <f t="array" ref="J152:M152">_xlfn.XLOOKUP(C152,'ESAP NEIVA FASE II UNIFICADO'!$C$6:$C$720,'ESAP NEIVA FASE II UNIFICADO'!$C$6:$F$720,"NO ESTA")</f>
        <v>SUMINISTRO E INSTALACIÓN TUBERIA PVC-P DIAMETRO 1/2" RDE 9</v>
      </c>
      <c r="K152" t="str">
        <v xml:space="preserve">ML   </v>
      </c>
      <c r="L152">
        <v>121</v>
      </c>
      <c r="M152">
        <v>12676</v>
      </c>
      <c r="N152" s="115">
        <f t="shared" si="7"/>
        <v>12676</v>
      </c>
      <c r="O152" s="146">
        <f t="shared" si="8"/>
        <v>570420</v>
      </c>
      <c r="P152" s="119"/>
    </row>
    <row r="153" spans="2:16" ht="15" customHeight="1" x14ac:dyDescent="0.25">
      <c r="B153" s="86" t="s">
        <v>270</v>
      </c>
      <c r="C153" s="87" t="s">
        <v>271</v>
      </c>
      <c r="D153" s="82" t="s">
        <v>269</v>
      </c>
      <c r="E153" s="83">
        <v>18</v>
      </c>
      <c r="F153" s="88">
        <v>18333</v>
      </c>
      <c r="G153" s="89">
        <f t="shared" si="6"/>
        <v>329994</v>
      </c>
      <c r="H153" s="209"/>
      <c r="I153" s="209"/>
      <c r="J153" s="213" t="str">
        <f t="array" ref="J153:M153">_xlfn.XLOOKUP(C153,'ESAP NEIVA FASE II UNIFICADO'!$C$6:$C$720,'ESAP NEIVA FASE II UNIFICADO'!$C$6:$F$720,"NO ESTA")</f>
        <v>SUMINISTRO E INSTALACIÓN TUBERIA PCV-P DIAMETRO 3/4" RDE 11</v>
      </c>
      <c r="K153" t="str">
        <v xml:space="preserve">ML   </v>
      </c>
      <c r="L153">
        <v>49</v>
      </c>
      <c r="M153">
        <v>18861</v>
      </c>
      <c r="N153" s="115">
        <f t="shared" si="7"/>
        <v>18861</v>
      </c>
      <c r="O153" s="146">
        <f t="shared" si="8"/>
        <v>339498</v>
      </c>
      <c r="P153" s="119"/>
    </row>
    <row r="154" spans="2:16" ht="15" customHeight="1" x14ac:dyDescent="0.25">
      <c r="B154" s="86" t="s">
        <v>272</v>
      </c>
      <c r="C154" s="87" t="s">
        <v>273</v>
      </c>
      <c r="D154" s="82" t="s">
        <v>269</v>
      </c>
      <c r="E154" s="83">
        <v>15</v>
      </c>
      <c r="F154" s="88">
        <v>19440</v>
      </c>
      <c r="G154" s="89">
        <f t="shared" si="6"/>
        <v>291600</v>
      </c>
      <c r="H154" s="209"/>
      <c r="I154" s="209"/>
      <c r="J154" s="213" t="str">
        <f t="array" ref="J154:M154">_xlfn.XLOOKUP(C154,'ESAP NEIVA FASE II UNIFICADO'!$C$6:$C$720,'ESAP NEIVA FASE II UNIFICADO'!$C$6:$F$720,"NO ESTA")</f>
        <v>SUMINISTRO E INSTALACIÓN TUBERIA PCV-P DIAMETRO 1" RDE 13,5</v>
      </c>
      <c r="K154" t="str">
        <v xml:space="preserve">ML   </v>
      </c>
      <c r="L154">
        <v>40</v>
      </c>
      <c r="M154">
        <v>19999</v>
      </c>
      <c r="N154" s="115">
        <f t="shared" si="7"/>
        <v>19999</v>
      </c>
      <c r="O154" s="146">
        <f t="shared" si="8"/>
        <v>299985</v>
      </c>
      <c r="P154" s="119"/>
    </row>
    <row r="155" spans="2:16" ht="15" customHeight="1" x14ac:dyDescent="0.25">
      <c r="B155" s="86" t="s">
        <v>274</v>
      </c>
      <c r="C155" s="87" t="s">
        <v>275</v>
      </c>
      <c r="D155" s="82" t="s">
        <v>269</v>
      </c>
      <c r="E155" s="83">
        <v>23</v>
      </c>
      <c r="F155" s="88">
        <v>20651</v>
      </c>
      <c r="G155" s="89">
        <f t="shared" si="6"/>
        <v>474973</v>
      </c>
      <c r="H155" s="209"/>
      <c r="I155" s="209"/>
      <c r="J155" s="213" t="str">
        <f t="array" ref="J155:M155">_xlfn.XLOOKUP(C155,'ESAP NEIVA FASE II UNIFICADO'!$C$6:$C$720,'ESAP NEIVA FASE II UNIFICADO'!$C$6:$F$720,"NO ESTA")</f>
        <v>SUMINISTRO E INSTALACIÓN TUBERIA PCV-P DIAMETRO 1 1/4" RDE 21</v>
      </c>
      <c r="K155" t="str">
        <v xml:space="preserve">ML   </v>
      </c>
      <c r="L155">
        <v>64</v>
      </c>
      <c r="M155">
        <v>21245</v>
      </c>
      <c r="N155" s="115">
        <f t="shared" si="7"/>
        <v>21245</v>
      </c>
      <c r="O155" s="146">
        <f t="shared" si="8"/>
        <v>488635</v>
      </c>
      <c r="P155" s="119"/>
    </row>
    <row r="156" spans="2:16" ht="15" customHeight="1" x14ac:dyDescent="0.25">
      <c r="B156" s="86" t="s">
        <v>276</v>
      </c>
      <c r="C156" s="87" t="s">
        <v>277</v>
      </c>
      <c r="D156" s="82" t="s">
        <v>269</v>
      </c>
      <c r="E156" s="83">
        <v>21</v>
      </c>
      <c r="F156" s="88">
        <v>26545</v>
      </c>
      <c r="G156" s="89">
        <f t="shared" si="6"/>
        <v>557445</v>
      </c>
      <c r="H156" s="209"/>
      <c r="I156" s="209"/>
      <c r="J156" s="213" t="str">
        <f t="array" ref="J156:M156">_xlfn.XLOOKUP(C156,'ESAP NEIVA FASE II UNIFICADO'!$C$6:$C$720,'ESAP NEIVA FASE II UNIFICADO'!$C$6:$F$720,"NO ESTA")</f>
        <v>SUMINISTRO E INSTALACIÓN TUBERIA PCV-P DIAMETRO 1 1/2" RDE 21</v>
      </c>
      <c r="K156" t="str">
        <v xml:space="preserve">ML   </v>
      </c>
      <c r="L156">
        <v>57</v>
      </c>
      <c r="M156">
        <v>27309</v>
      </c>
      <c r="N156" s="115">
        <f t="shared" si="7"/>
        <v>27309</v>
      </c>
      <c r="O156" s="146">
        <f t="shared" si="8"/>
        <v>573489</v>
      </c>
      <c r="P156" s="119"/>
    </row>
    <row r="157" spans="2:16" ht="15" customHeight="1" x14ac:dyDescent="0.25">
      <c r="B157" s="86" t="s">
        <v>278</v>
      </c>
      <c r="C157" s="87" t="s">
        <v>279</v>
      </c>
      <c r="D157" s="82" t="s">
        <v>269</v>
      </c>
      <c r="E157" s="83">
        <v>33</v>
      </c>
      <c r="F157" s="88">
        <v>38005</v>
      </c>
      <c r="G157" s="89">
        <f t="shared" si="6"/>
        <v>1254165</v>
      </c>
      <c r="H157" s="209"/>
      <c r="I157" s="209"/>
      <c r="J157" s="213" t="str">
        <f t="array" ref="J157:M157">_xlfn.XLOOKUP(C157,'ESAP NEIVA FASE II UNIFICADO'!$C$6:$C$720,'ESAP NEIVA FASE II UNIFICADO'!$C$6:$F$720,"NO ESTA")</f>
        <v>SUMINISTRO E INSTALACIÓN TUBERIA PCV-P DIAMETRO 2" RDE 21</v>
      </c>
      <c r="K157" t="str">
        <v xml:space="preserve">ML   </v>
      </c>
      <c r="L157">
        <v>90</v>
      </c>
      <c r="M157">
        <v>39097</v>
      </c>
      <c r="N157" s="115">
        <f t="shared" si="7"/>
        <v>39097</v>
      </c>
      <c r="O157" s="146">
        <f t="shared" si="8"/>
        <v>1290201</v>
      </c>
      <c r="P157" s="119"/>
    </row>
    <row r="158" spans="2:16" ht="15" customHeight="1" x14ac:dyDescent="0.25">
      <c r="B158" s="86" t="s">
        <v>280</v>
      </c>
      <c r="C158" s="87" t="s">
        <v>281</v>
      </c>
      <c r="D158" s="82" t="s">
        <v>269</v>
      </c>
      <c r="E158" s="83">
        <v>7</v>
      </c>
      <c r="F158" s="88">
        <v>51298</v>
      </c>
      <c r="G158" s="89">
        <f t="shared" si="6"/>
        <v>359086</v>
      </c>
      <c r="H158" s="209"/>
      <c r="I158" s="209"/>
      <c r="J158" s="213" t="str">
        <f t="array" ref="J158:M158">_xlfn.XLOOKUP(C158,'ESAP NEIVA FASE II UNIFICADO'!$C$6:$C$720,'ESAP NEIVA FASE II UNIFICADO'!$C$6:$F$720,"NO ESTA")</f>
        <v>SUMINISTRO E INSTALACIÓN TUBERIA PCV-P DIAMETRO 2 1/2" RDE 21</v>
      </c>
      <c r="K158" t="str">
        <v xml:space="preserve">ML   </v>
      </c>
      <c r="L158">
        <v>18</v>
      </c>
      <c r="M158">
        <v>52773</v>
      </c>
      <c r="N158" s="115">
        <f t="shared" si="7"/>
        <v>52773</v>
      </c>
      <c r="O158" s="146">
        <f t="shared" si="8"/>
        <v>369411</v>
      </c>
      <c r="P158" s="119"/>
    </row>
    <row r="159" spans="2:16" ht="15" customHeight="1" x14ac:dyDescent="0.25">
      <c r="B159" s="86" t="s">
        <v>282</v>
      </c>
      <c r="C159" s="87" t="s">
        <v>283</v>
      </c>
      <c r="D159" s="82" t="s">
        <v>284</v>
      </c>
      <c r="E159" s="83">
        <v>39</v>
      </c>
      <c r="F159" s="88">
        <v>3190</v>
      </c>
      <c r="G159" s="89">
        <f t="shared" si="6"/>
        <v>124410</v>
      </c>
      <c r="H159" s="209"/>
      <c r="I159" s="209"/>
      <c r="J159" s="213" t="str">
        <f t="array" ref="J159:M159">_xlfn.XLOOKUP(C159,'ESAP NEIVA FASE II UNIFICADO'!$C$6:$C$720,'ESAP NEIVA FASE II UNIFICADO'!$C$6:$F$720,"NO ESTA")</f>
        <v>SUMINISTRO E INSTALACIÓN ACCESORIOS PVC-P 1/2" SCH 40</v>
      </c>
      <c r="K159" t="str">
        <v xml:space="preserve">UN   </v>
      </c>
      <c r="L159">
        <v>105</v>
      </c>
      <c r="M159">
        <v>3281</v>
      </c>
      <c r="N159" s="115">
        <f t="shared" si="7"/>
        <v>3281</v>
      </c>
      <c r="O159" s="146">
        <f t="shared" si="8"/>
        <v>127959</v>
      </c>
      <c r="P159" s="119"/>
    </row>
    <row r="160" spans="2:16" ht="15" customHeight="1" x14ac:dyDescent="0.25">
      <c r="B160" s="86" t="s">
        <v>285</v>
      </c>
      <c r="C160" s="87" t="s">
        <v>286</v>
      </c>
      <c r="D160" s="82" t="s">
        <v>284</v>
      </c>
      <c r="E160" s="83">
        <v>14</v>
      </c>
      <c r="F160" s="88">
        <v>3787</v>
      </c>
      <c r="G160" s="89">
        <f t="shared" si="6"/>
        <v>53018</v>
      </c>
      <c r="H160" s="209"/>
      <c r="I160" s="209"/>
      <c r="J160" s="213" t="str">
        <f t="array" ref="J160:M160">_xlfn.XLOOKUP(C160,'ESAP NEIVA FASE II UNIFICADO'!$C$6:$C$720,'ESAP NEIVA FASE II UNIFICADO'!$C$6:$F$720,"NO ESTA")</f>
        <v>SUMINISTRO E INSTALACIÓN ACCESORIOS PVC-P 3/4" SCH 40</v>
      </c>
      <c r="K160" t="str">
        <v xml:space="preserve">UN   </v>
      </c>
      <c r="L160">
        <v>38</v>
      </c>
      <c r="M160">
        <v>3896</v>
      </c>
      <c r="N160" s="115">
        <f t="shared" si="7"/>
        <v>3896</v>
      </c>
      <c r="O160" s="146">
        <f t="shared" si="8"/>
        <v>54544</v>
      </c>
      <c r="P160" s="119"/>
    </row>
    <row r="161" spans="2:16" ht="15" customHeight="1" x14ac:dyDescent="0.25">
      <c r="B161" s="86" t="s">
        <v>287</v>
      </c>
      <c r="C161" s="87" t="s">
        <v>288</v>
      </c>
      <c r="D161" s="82" t="s">
        <v>284</v>
      </c>
      <c r="E161" s="83">
        <v>11</v>
      </c>
      <c r="F161" s="88">
        <v>4474</v>
      </c>
      <c r="G161" s="89">
        <f t="shared" si="6"/>
        <v>49214</v>
      </c>
      <c r="H161" s="209"/>
      <c r="I161" s="209"/>
      <c r="J161" s="213" t="str">
        <f t="array" ref="J161:M161">_xlfn.XLOOKUP(C161,'ESAP NEIVA FASE II UNIFICADO'!$C$6:$C$720,'ESAP NEIVA FASE II UNIFICADO'!$C$6:$F$720,"NO ESTA")</f>
        <v>SUMINISTRO E INSTALACIÓN ACCESORIOS PVC-P 1" SCH 40</v>
      </c>
      <c r="K161" t="str">
        <v xml:space="preserve">UN   </v>
      </c>
      <c r="L161">
        <v>30</v>
      </c>
      <c r="M161">
        <v>4602</v>
      </c>
      <c r="N161" s="115">
        <f t="shared" si="7"/>
        <v>4602</v>
      </c>
      <c r="O161" s="146">
        <f t="shared" si="8"/>
        <v>50622</v>
      </c>
      <c r="P161" s="119"/>
    </row>
    <row r="162" spans="2:16" ht="15" customHeight="1" x14ac:dyDescent="0.25">
      <c r="B162" s="86" t="s">
        <v>289</v>
      </c>
      <c r="C162" s="87" t="s">
        <v>290</v>
      </c>
      <c r="D162" s="82" t="s">
        <v>284</v>
      </c>
      <c r="E162" s="83">
        <v>35</v>
      </c>
      <c r="F162" s="88">
        <v>7062</v>
      </c>
      <c r="G162" s="89">
        <f t="shared" si="6"/>
        <v>247170</v>
      </c>
      <c r="H162" s="209"/>
      <c r="I162" s="209"/>
      <c r="J162" s="213" t="str">
        <f t="array" ref="J162:M162">_xlfn.XLOOKUP(C162,'ESAP NEIVA FASE II UNIFICADO'!$C$6:$C$720,'ESAP NEIVA FASE II UNIFICADO'!$C$6:$F$720,"NO ESTA")</f>
        <v>SUMINISTRO E INSTALACIÓN ACCESORIOS PVC-P 1 1/4" SCH 40</v>
      </c>
      <c r="K162" t="str">
        <v xml:space="preserve">UN   </v>
      </c>
      <c r="L162">
        <v>96</v>
      </c>
      <c r="M162">
        <v>7266</v>
      </c>
      <c r="N162" s="115">
        <f t="shared" si="7"/>
        <v>7266</v>
      </c>
      <c r="O162" s="146">
        <f t="shared" si="8"/>
        <v>254310</v>
      </c>
      <c r="P162" s="119"/>
    </row>
    <row r="163" spans="2:16" ht="15" customHeight="1" x14ac:dyDescent="0.25">
      <c r="B163" s="86" t="s">
        <v>291</v>
      </c>
      <c r="C163" s="87" t="s">
        <v>292</v>
      </c>
      <c r="D163" s="82" t="s">
        <v>284</v>
      </c>
      <c r="E163" s="83">
        <v>30</v>
      </c>
      <c r="F163" s="88">
        <v>8707</v>
      </c>
      <c r="G163" s="89">
        <f t="shared" si="6"/>
        <v>261210</v>
      </c>
      <c r="H163" s="209"/>
      <c r="I163" s="209"/>
      <c r="J163" s="213" t="str">
        <f t="array" ref="J163:M163">_xlfn.XLOOKUP(C163,'ESAP NEIVA FASE II UNIFICADO'!$C$6:$C$720,'ESAP NEIVA FASE II UNIFICADO'!$C$6:$F$720,"NO ESTA")</f>
        <v xml:space="preserve">SUMINISTRO E INSTALACIÓN ACCESORIOS PVC-P 1 1/2" SCH 40                                                </v>
      </c>
      <c r="K163" t="str">
        <v xml:space="preserve">UN   </v>
      </c>
      <c r="L163">
        <v>82</v>
      </c>
      <c r="M163">
        <v>8958</v>
      </c>
      <c r="N163" s="115">
        <f t="shared" si="7"/>
        <v>8958</v>
      </c>
      <c r="O163" s="146">
        <f t="shared" si="8"/>
        <v>268740</v>
      </c>
      <c r="P163" s="119"/>
    </row>
    <row r="164" spans="2:16" ht="15" customHeight="1" x14ac:dyDescent="0.25">
      <c r="B164" s="86" t="s">
        <v>293</v>
      </c>
      <c r="C164" s="87" t="s">
        <v>294</v>
      </c>
      <c r="D164" s="82" t="s">
        <v>284</v>
      </c>
      <c r="E164" s="83">
        <v>21</v>
      </c>
      <c r="F164" s="88">
        <v>11867</v>
      </c>
      <c r="G164" s="89">
        <f t="shared" si="6"/>
        <v>249207</v>
      </c>
      <c r="H164" s="209"/>
      <c r="I164" s="209"/>
      <c r="J164" s="213" t="str">
        <f t="array" ref="J164:M164">_xlfn.XLOOKUP(C164,'ESAP NEIVA FASE II UNIFICADO'!$C$6:$C$720,'ESAP NEIVA FASE II UNIFICADO'!$C$6:$F$720,"NO ESTA")</f>
        <v>SUMINISTRO E INSTALACIÓN ACCESORIOS PVC-P 2" SCH 40</v>
      </c>
      <c r="K164" t="str">
        <v xml:space="preserve">UN   </v>
      </c>
      <c r="L164">
        <v>55</v>
      </c>
      <c r="M164">
        <v>12209</v>
      </c>
      <c r="N164" s="115">
        <f t="shared" si="7"/>
        <v>12209</v>
      </c>
      <c r="O164" s="146">
        <f t="shared" si="8"/>
        <v>256389</v>
      </c>
      <c r="P164" s="119"/>
    </row>
    <row r="165" spans="2:16" ht="15" customHeight="1" x14ac:dyDescent="0.25">
      <c r="B165" s="86" t="s">
        <v>295</v>
      </c>
      <c r="C165" s="87" t="s">
        <v>296</v>
      </c>
      <c r="D165" s="82" t="s">
        <v>284</v>
      </c>
      <c r="E165" s="83">
        <v>4</v>
      </c>
      <c r="F165" s="88">
        <v>28880</v>
      </c>
      <c r="G165" s="89">
        <f t="shared" si="6"/>
        <v>115520</v>
      </c>
      <c r="H165" s="209"/>
      <c r="I165" s="209"/>
      <c r="J165" s="213" t="str">
        <f t="array" ref="J165:M165">_xlfn.XLOOKUP(C165,'ESAP NEIVA FASE II UNIFICADO'!$C$6:$C$720,'ESAP NEIVA FASE II UNIFICADO'!$C$6:$F$720,"NO ESTA")</f>
        <v xml:space="preserve">SUMINISTRO E INSTALACIÓN ACCESORIOS PVC-P 2 1/2" SCH 40                                           </v>
      </c>
      <c r="K165" t="str">
        <v xml:space="preserve">UN   </v>
      </c>
      <c r="L165">
        <v>12</v>
      </c>
      <c r="M165">
        <v>29710</v>
      </c>
      <c r="N165" s="115">
        <f t="shared" si="7"/>
        <v>29710</v>
      </c>
      <c r="O165" s="146">
        <f t="shared" si="8"/>
        <v>118840</v>
      </c>
      <c r="P165" s="119"/>
    </row>
    <row r="166" spans="2:16" ht="15" customHeight="1" x14ac:dyDescent="0.25">
      <c r="B166" s="86" t="s">
        <v>297</v>
      </c>
      <c r="C166" s="87" t="s">
        <v>298</v>
      </c>
      <c r="D166" s="82" t="s">
        <v>284</v>
      </c>
      <c r="E166" s="83">
        <v>18</v>
      </c>
      <c r="F166" s="88">
        <v>1657</v>
      </c>
      <c r="G166" s="89">
        <f t="shared" si="6"/>
        <v>29826</v>
      </c>
      <c r="H166" s="209"/>
      <c r="I166" s="209"/>
      <c r="J166" s="213" t="str">
        <f t="array" ref="J166:M166">_xlfn.XLOOKUP(C166,'ESAP NEIVA FASE II UNIFICADO'!$C$6:$C$720,'ESAP NEIVA FASE II UNIFICADO'!$C$6:$F$720,"NO ESTA")</f>
        <v xml:space="preserve">SUMINISTRO E INSTALACIÓN SOPORTE DE 1/2"                                                                 </v>
      </c>
      <c r="K166" t="str">
        <v xml:space="preserve">UN   </v>
      </c>
      <c r="L166">
        <v>49</v>
      </c>
      <c r="M166">
        <v>1705</v>
      </c>
      <c r="N166" s="115">
        <f t="shared" si="7"/>
        <v>1705</v>
      </c>
      <c r="O166" s="146">
        <f t="shared" si="8"/>
        <v>30690</v>
      </c>
      <c r="P166" s="119"/>
    </row>
    <row r="167" spans="2:16" ht="15" customHeight="1" x14ac:dyDescent="0.25">
      <c r="B167" s="86" t="s">
        <v>299</v>
      </c>
      <c r="C167" s="87" t="s">
        <v>300</v>
      </c>
      <c r="D167" s="82" t="s">
        <v>284</v>
      </c>
      <c r="E167" s="83">
        <v>6</v>
      </c>
      <c r="F167" s="88">
        <v>2227</v>
      </c>
      <c r="G167" s="89">
        <f t="shared" si="6"/>
        <v>13362</v>
      </c>
      <c r="H167" s="209"/>
      <c r="I167" s="209"/>
      <c r="J167" s="213" t="str">
        <f t="array" ref="J167:M167">_xlfn.XLOOKUP(C167,'ESAP NEIVA FASE II UNIFICADO'!$C$6:$C$720,'ESAP NEIVA FASE II UNIFICADO'!$C$6:$F$720,"NO ESTA")</f>
        <v xml:space="preserve">SUMINISTRO E INSTALACIÓN SOPORTE DE 3/4"                                                                 </v>
      </c>
      <c r="K167" t="str">
        <v xml:space="preserve">UN   </v>
      </c>
      <c r="L167">
        <v>18</v>
      </c>
      <c r="M167">
        <v>2289</v>
      </c>
      <c r="N167" s="115">
        <f t="shared" si="7"/>
        <v>2289</v>
      </c>
      <c r="O167" s="146">
        <f t="shared" si="8"/>
        <v>13734</v>
      </c>
      <c r="P167" s="119"/>
    </row>
    <row r="168" spans="2:16" ht="15" customHeight="1" x14ac:dyDescent="0.25">
      <c r="B168" s="86" t="s">
        <v>301</v>
      </c>
      <c r="C168" s="87" t="s">
        <v>302</v>
      </c>
      <c r="D168" s="82" t="s">
        <v>284</v>
      </c>
      <c r="E168" s="83">
        <v>6</v>
      </c>
      <c r="F168" s="88">
        <v>2684</v>
      </c>
      <c r="G168" s="89">
        <f t="shared" si="6"/>
        <v>16104</v>
      </c>
      <c r="H168" s="209"/>
      <c r="I168" s="209"/>
      <c r="J168" s="213" t="str">
        <f t="array" ref="J168:M168">_xlfn.XLOOKUP(C168,'ESAP NEIVA FASE II UNIFICADO'!$C$6:$C$720,'ESAP NEIVA FASE II UNIFICADO'!$C$6:$F$720,"NO ESTA")</f>
        <v xml:space="preserve">SUMINISTRO E INSTALACIÓN SOPORTE DE 1"                                                                   </v>
      </c>
      <c r="K168" t="str">
        <v xml:space="preserve">UN   </v>
      </c>
      <c r="L168">
        <v>18</v>
      </c>
      <c r="M168">
        <v>2761</v>
      </c>
      <c r="N168" s="115">
        <f t="shared" si="7"/>
        <v>2761</v>
      </c>
      <c r="O168" s="146">
        <f t="shared" si="8"/>
        <v>16566</v>
      </c>
      <c r="P168" s="119"/>
    </row>
    <row r="169" spans="2:16" ht="15" customHeight="1" x14ac:dyDescent="0.25">
      <c r="B169" s="86" t="s">
        <v>303</v>
      </c>
      <c r="C169" s="87" t="s">
        <v>304</v>
      </c>
      <c r="D169" s="82" t="s">
        <v>284</v>
      </c>
      <c r="E169" s="83">
        <v>10</v>
      </c>
      <c r="F169" s="88">
        <v>3044</v>
      </c>
      <c r="G169" s="89">
        <f t="shared" si="6"/>
        <v>30440</v>
      </c>
      <c r="H169" s="209"/>
      <c r="I169" s="209"/>
      <c r="J169" s="213" t="str">
        <f t="array" ref="J169:M169">_xlfn.XLOOKUP(C169,'ESAP NEIVA FASE II UNIFICADO'!$C$6:$C$720,'ESAP NEIVA FASE II UNIFICADO'!$C$6:$F$720,"NO ESTA")</f>
        <v xml:space="preserve">SUMINISTRO E INSTALACIÓN SOPORTE DE 1 1/4"                                                               </v>
      </c>
      <c r="K169" t="str">
        <v xml:space="preserve">UN   </v>
      </c>
      <c r="L169">
        <v>26</v>
      </c>
      <c r="M169">
        <v>3131</v>
      </c>
      <c r="N169" s="115">
        <f t="shared" si="7"/>
        <v>3131</v>
      </c>
      <c r="O169" s="146">
        <f t="shared" si="8"/>
        <v>31310</v>
      </c>
      <c r="P169" s="119"/>
    </row>
    <row r="170" spans="2:16" ht="15" customHeight="1" x14ac:dyDescent="0.25">
      <c r="B170" s="86" t="s">
        <v>305</v>
      </c>
      <c r="C170" s="87" t="s">
        <v>306</v>
      </c>
      <c r="D170" s="82" t="s">
        <v>284</v>
      </c>
      <c r="E170" s="83">
        <v>9</v>
      </c>
      <c r="F170" s="88">
        <v>3686</v>
      </c>
      <c r="G170" s="89">
        <f t="shared" si="6"/>
        <v>33174</v>
      </c>
      <c r="H170" s="209"/>
      <c r="I170" s="209"/>
      <c r="J170" s="213" t="str">
        <f t="array" ref="J170:M170">_xlfn.XLOOKUP(C170,'ESAP NEIVA FASE II UNIFICADO'!$C$6:$C$720,'ESAP NEIVA FASE II UNIFICADO'!$C$6:$F$720,"NO ESTA")</f>
        <v xml:space="preserve">SUMINISTRO E INSTALACIÓN SOPORTE DE 1 1/2"                                                               </v>
      </c>
      <c r="K170" t="str">
        <v xml:space="preserve">UN   </v>
      </c>
      <c r="L170">
        <v>24</v>
      </c>
      <c r="M170">
        <v>3791</v>
      </c>
      <c r="N170" s="115">
        <f t="shared" si="7"/>
        <v>3791</v>
      </c>
      <c r="O170" s="146">
        <f t="shared" si="8"/>
        <v>34119</v>
      </c>
      <c r="P170" s="119"/>
    </row>
    <row r="171" spans="2:16" ht="15" customHeight="1" x14ac:dyDescent="0.25">
      <c r="B171" s="86" t="s">
        <v>307</v>
      </c>
      <c r="C171" s="87" t="s">
        <v>308</v>
      </c>
      <c r="D171" s="82" t="s">
        <v>284</v>
      </c>
      <c r="E171" s="83">
        <v>11</v>
      </c>
      <c r="F171" s="88">
        <v>4747</v>
      </c>
      <c r="G171" s="89">
        <f t="shared" si="6"/>
        <v>52217</v>
      </c>
      <c r="H171" s="209"/>
      <c r="I171" s="209"/>
      <c r="J171" s="213" t="str">
        <f t="array" ref="J171:M171">_xlfn.XLOOKUP(C171,'ESAP NEIVA FASE II UNIFICADO'!$C$6:$C$720,'ESAP NEIVA FASE II UNIFICADO'!$C$6:$F$720,"NO ESTA")</f>
        <v xml:space="preserve">SUMINISTRO E INSTALACIÓN SOPORTE DE 2"                                                                   </v>
      </c>
      <c r="K171" t="str">
        <v xml:space="preserve">UN   </v>
      </c>
      <c r="L171">
        <v>31</v>
      </c>
      <c r="M171">
        <v>4884</v>
      </c>
      <c r="N171" s="115">
        <f t="shared" si="7"/>
        <v>4884</v>
      </c>
      <c r="O171" s="146">
        <f t="shared" si="8"/>
        <v>53724</v>
      </c>
      <c r="P171" s="119"/>
    </row>
    <row r="172" spans="2:16" ht="15" customHeight="1" x14ac:dyDescent="0.25">
      <c r="B172" s="86" t="s">
        <v>309</v>
      </c>
      <c r="C172" s="87" t="s">
        <v>310</v>
      </c>
      <c r="D172" s="82" t="s">
        <v>284</v>
      </c>
      <c r="E172" s="83">
        <v>3</v>
      </c>
      <c r="F172" s="88">
        <v>5486</v>
      </c>
      <c r="G172" s="89">
        <f t="shared" si="6"/>
        <v>16458</v>
      </c>
      <c r="H172" s="209"/>
      <c r="I172" s="209"/>
      <c r="J172" s="213" t="str">
        <f t="array" ref="J172:M172">_xlfn.XLOOKUP(C172,'ESAP NEIVA FASE II UNIFICADO'!$C$6:$C$720,'ESAP NEIVA FASE II UNIFICADO'!$C$6:$F$720,"NO ESTA")</f>
        <v xml:space="preserve">SUMINISTRO E INSTALACIÓN SOPORTE DE 2 1/2"                                                               </v>
      </c>
      <c r="K172" t="str">
        <v xml:space="preserve">UN   </v>
      </c>
      <c r="L172">
        <v>7</v>
      </c>
      <c r="M172">
        <v>5644</v>
      </c>
      <c r="N172" s="115">
        <f t="shared" si="7"/>
        <v>5644</v>
      </c>
      <c r="O172" s="146">
        <f t="shared" si="8"/>
        <v>16932</v>
      </c>
      <c r="P172" s="119"/>
    </row>
    <row r="173" spans="2:16" ht="15" customHeight="1" x14ac:dyDescent="0.25">
      <c r="B173" s="86" t="s">
        <v>311</v>
      </c>
      <c r="C173" s="87" t="s">
        <v>312</v>
      </c>
      <c r="D173" s="82" t="s">
        <v>284</v>
      </c>
      <c r="E173" s="83">
        <v>15</v>
      </c>
      <c r="F173" s="88">
        <v>62432</v>
      </c>
      <c r="G173" s="89">
        <f t="shared" si="6"/>
        <v>936480</v>
      </c>
      <c r="H173" s="209"/>
      <c r="I173" s="209"/>
      <c r="J173" s="213" t="str">
        <f t="array" ref="J173:M173">_xlfn.XLOOKUP(C173,'ESAP NEIVA FASE II UNIFICADO'!$C$6:$C$720,'ESAP NEIVA FASE II UNIFICADO'!$C$6:$F$720,"NO ESTA")</f>
        <v xml:space="preserve">SUMINISTRO E INSTALACIÓN PUNTO HIDRÁULICO PVC-P 1/2"                                                      </v>
      </c>
      <c r="K173" t="str">
        <v xml:space="preserve">UN   </v>
      </c>
      <c r="L173">
        <v>41</v>
      </c>
      <c r="M173">
        <v>64227</v>
      </c>
      <c r="N173" s="115">
        <f t="shared" si="7"/>
        <v>64227</v>
      </c>
      <c r="O173" s="146">
        <f t="shared" si="8"/>
        <v>963405</v>
      </c>
      <c r="P173" s="119"/>
    </row>
    <row r="174" spans="2:16" ht="15" customHeight="1" x14ac:dyDescent="0.25">
      <c r="B174" s="86" t="s">
        <v>313</v>
      </c>
      <c r="C174" s="87" t="s">
        <v>314</v>
      </c>
      <c r="D174" s="82" t="s">
        <v>284</v>
      </c>
      <c r="E174" s="83">
        <v>5</v>
      </c>
      <c r="F174" s="88">
        <v>66520</v>
      </c>
      <c r="G174" s="89">
        <f t="shared" si="6"/>
        <v>332600</v>
      </c>
      <c r="H174" s="209"/>
      <c r="I174" s="209"/>
      <c r="J174" s="213" t="str">
        <f t="array" ref="J174:M174">_xlfn.XLOOKUP(C174,'ESAP NEIVA FASE II UNIFICADO'!$C$6:$C$720,'ESAP NEIVA FASE II UNIFICADO'!$C$6:$F$720,"NO ESTA")</f>
        <v xml:space="preserve">SUMINISTRO E INSTALACIÓN PUNTO HIDRÁULICO PVC-P 3/4"                                                      </v>
      </c>
      <c r="K174" t="str">
        <v xml:space="preserve">UN   </v>
      </c>
      <c r="L174">
        <v>14</v>
      </c>
      <c r="M174">
        <v>68433</v>
      </c>
      <c r="N174" s="115">
        <f t="shared" si="7"/>
        <v>68433</v>
      </c>
      <c r="O174" s="146">
        <f t="shared" si="8"/>
        <v>342165</v>
      </c>
      <c r="P174" s="119"/>
    </row>
    <row r="175" spans="2:16" ht="15" customHeight="1" x14ac:dyDescent="0.25">
      <c r="B175" s="86" t="s">
        <v>315</v>
      </c>
      <c r="C175" s="87" t="s">
        <v>316</v>
      </c>
      <c r="D175" s="82" t="s">
        <v>284</v>
      </c>
      <c r="E175" s="83">
        <v>15</v>
      </c>
      <c r="F175" s="88">
        <v>94716</v>
      </c>
      <c r="G175" s="89">
        <f t="shared" si="6"/>
        <v>1420740</v>
      </c>
      <c r="H175" s="209"/>
      <c r="I175" s="209"/>
      <c r="J175" s="213" t="str">
        <f t="array" ref="J175:M175">_xlfn.XLOOKUP(C175,'ESAP NEIVA FASE II UNIFICADO'!$C$6:$C$720,'ESAP NEIVA FASE II UNIFICADO'!$C$6:$F$720,"NO ESTA")</f>
        <v xml:space="preserve">SUMINISTRO E INSTALACIÓN PUNTO HIDRÁULICO PVC-P 1 1/4"                                                    </v>
      </c>
      <c r="K175" t="str">
        <v xml:space="preserve">UN   </v>
      </c>
      <c r="L175">
        <v>39</v>
      </c>
      <c r="M175">
        <v>97439</v>
      </c>
      <c r="N175" s="115">
        <f t="shared" si="7"/>
        <v>97439</v>
      </c>
      <c r="O175" s="146">
        <f t="shared" si="8"/>
        <v>1461585</v>
      </c>
      <c r="P175" s="119"/>
    </row>
    <row r="176" spans="2:16" ht="15" customHeight="1" x14ac:dyDescent="0.25">
      <c r="B176" s="86" t="s">
        <v>317</v>
      </c>
      <c r="C176" s="87" t="s">
        <v>318</v>
      </c>
      <c r="D176" s="82" t="s">
        <v>284</v>
      </c>
      <c r="E176" s="83">
        <v>5</v>
      </c>
      <c r="F176" s="88">
        <v>61542</v>
      </c>
      <c r="G176" s="89">
        <f t="shared" si="6"/>
        <v>307710</v>
      </c>
      <c r="H176" s="209"/>
      <c r="I176" s="209"/>
      <c r="J176" s="213" t="str">
        <f t="array" ref="J176:M176">_xlfn.XLOOKUP(C176,'ESAP NEIVA FASE II UNIFICADO'!$C$6:$C$720,'ESAP NEIVA FASE II UNIFICADO'!$C$6:$F$720,"NO ESTA")</f>
        <v xml:space="preserve">SUMINISTRO E INSTALACIÓN REGISTRO CORTINA ROSCAR 1/2"                                                   </v>
      </c>
      <c r="K176" t="str">
        <v xml:space="preserve">UN   </v>
      </c>
      <c r="L176">
        <v>12</v>
      </c>
      <c r="M176">
        <v>63313</v>
      </c>
      <c r="N176" s="115">
        <f t="shared" si="7"/>
        <v>63313</v>
      </c>
      <c r="O176" s="146">
        <f t="shared" si="8"/>
        <v>316565</v>
      </c>
      <c r="P176" s="119"/>
    </row>
    <row r="177" spans="2:16" ht="15" customHeight="1" x14ac:dyDescent="0.25">
      <c r="B177" s="86" t="s">
        <v>319</v>
      </c>
      <c r="C177" s="87" t="s">
        <v>320</v>
      </c>
      <c r="D177" s="82" t="s">
        <v>284</v>
      </c>
      <c r="E177" s="83">
        <v>2</v>
      </c>
      <c r="F177" s="88">
        <v>159498</v>
      </c>
      <c r="G177" s="89">
        <f t="shared" si="6"/>
        <v>318996</v>
      </c>
      <c r="H177" s="209"/>
      <c r="I177" s="209"/>
      <c r="J177" s="213" t="str">
        <f t="array" ref="J177:M177">_xlfn.XLOOKUP(C177,'ESAP NEIVA FASE II UNIFICADO'!$C$6:$C$720,'ESAP NEIVA FASE II UNIFICADO'!$C$6:$F$720,"NO ESTA")</f>
        <v xml:space="preserve">SUMINISTRO E INSTALACIÓN REGISTRO CORTINA P/D ROSCAR 1 1/4"                                                 </v>
      </c>
      <c r="K177" t="str">
        <v xml:space="preserve">UN   </v>
      </c>
      <c r="L177">
        <v>6</v>
      </c>
      <c r="M177">
        <v>164084</v>
      </c>
      <c r="N177" s="115">
        <f t="shared" si="7"/>
        <v>164084</v>
      </c>
      <c r="O177" s="146">
        <f t="shared" si="8"/>
        <v>328168</v>
      </c>
      <c r="P177" s="119"/>
    </row>
    <row r="178" spans="2:16" ht="15" customHeight="1" x14ac:dyDescent="0.25">
      <c r="B178" s="86" t="s">
        <v>321</v>
      </c>
      <c r="C178" s="87" t="s">
        <v>322</v>
      </c>
      <c r="D178" s="82" t="s">
        <v>284</v>
      </c>
      <c r="E178" s="83">
        <v>2</v>
      </c>
      <c r="F178" s="88">
        <v>216526</v>
      </c>
      <c r="G178" s="89">
        <f t="shared" si="6"/>
        <v>433052</v>
      </c>
      <c r="H178" s="209"/>
      <c r="I178" s="209"/>
      <c r="J178" s="213" t="str">
        <f t="array" ref="J178:M178">_xlfn.XLOOKUP(C178,'ESAP NEIVA FASE II UNIFICADO'!$C$6:$C$720,'ESAP NEIVA FASE II UNIFICADO'!$C$6:$F$720,"NO ESTA")</f>
        <v xml:space="preserve">SUMINISTRO E INSTALACIÓN REGISTRO CORTINA P/D ROSCAR 1 1/2"                                                 </v>
      </c>
      <c r="K178" t="str">
        <v xml:space="preserve">UN   </v>
      </c>
      <c r="L178">
        <v>6</v>
      </c>
      <c r="M178">
        <v>222753</v>
      </c>
      <c r="N178" s="115">
        <f t="shared" si="7"/>
        <v>222753</v>
      </c>
      <c r="O178" s="146">
        <f t="shared" si="8"/>
        <v>445506</v>
      </c>
      <c r="P178" s="119"/>
    </row>
    <row r="179" spans="2:16" ht="15" customHeight="1" x14ac:dyDescent="0.25">
      <c r="B179" s="86" t="s">
        <v>323</v>
      </c>
      <c r="C179" s="87" t="s">
        <v>324</v>
      </c>
      <c r="D179" s="82" t="s">
        <v>284</v>
      </c>
      <c r="E179" s="83">
        <v>2</v>
      </c>
      <c r="F179" s="88">
        <v>105405</v>
      </c>
      <c r="G179" s="89">
        <f t="shared" si="6"/>
        <v>210810</v>
      </c>
      <c r="H179" s="209"/>
      <c r="I179" s="209"/>
      <c r="J179" s="213" t="str">
        <f t="array" ref="J179:M179">_xlfn.XLOOKUP(C179,'ESAP NEIVA FASE II UNIFICADO'!$C$6:$C$720,'ESAP NEIVA FASE II UNIFICADO'!$C$6:$F$720,"NO ESTA")</f>
        <v xml:space="preserve">SUMINISTRO E INSTALACIÓN VÁLVULA FLOTADOR 1"                                                           </v>
      </c>
      <c r="K179" t="str">
        <v xml:space="preserve">UN   </v>
      </c>
      <c r="L179">
        <v>0</v>
      </c>
      <c r="M179">
        <v>108436</v>
      </c>
      <c r="N179" s="115">
        <f t="shared" si="7"/>
        <v>108436</v>
      </c>
      <c r="O179" s="146">
        <f t="shared" si="8"/>
        <v>216872</v>
      </c>
      <c r="P179" s="119"/>
    </row>
    <row r="180" spans="2:16" ht="15" customHeight="1" x14ac:dyDescent="0.25">
      <c r="B180" s="86" t="s">
        <v>325</v>
      </c>
      <c r="C180" s="87" t="s">
        <v>326</v>
      </c>
      <c r="D180" s="82" t="s">
        <v>284</v>
      </c>
      <c r="E180" s="83">
        <v>1</v>
      </c>
      <c r="F180" s="88">
        <v>164826</v>
      </c>
      <c r="G180" s="89">
        <f t="shared" si="6"/>
        <v>164826</v>
      </c>
      <c r="H180" s="209"/>
      <c r="I180" s="209"/>
      <c r="J180" s="213" t="str">
        <f t="array" ref="J180:M180">_xlfn.XLOOKUP(C180,'ESAP NEIVA FASE II UNIFICADO'!$C$6:$C$720,'ESAP NEIVA FASE II UNIFICADO'!$C$6:$F$720,"NO ESTA")</f>
        <v xml:space="preserve">SUMINISTRO E INSTALACIÓN MEDIDOR VELOCIMETRICO  3/4"                                                   </v>
      </c>
      <c r="K180" t="str">
        <v xml:space="preserve">UN   </v>
      </c>
      <c r="L180">
        <v>0</v>
      </c>
      <c r="M180">
        <v>169565</v>
      </c>
      <c r="N180" s="115">
        <f t="shared" si="7"/>
        <v>169565</v>
      </c>
      <c r="O180" s="146">
        <f t="shared" si="8"/>
        <v>169565</v>
      </c>
      <c r="P180" s="119"/>
    </row>
    <row r="181" spans="2:16" ht="15" customHeight="1" x14ac:dyDescent="0.25">
      <c r="B181" s="80" t="s">
        <v>327</v>
      </c>
      <c r="C181" s="81" t="s">
        <v>328</v>
      </c>
      <c r="D181" s="82"/>
      <c r="E181" s="83"/>
      <c r="F181" s="90">
        <v>0</v>
      </c>
      <c r="G181" s="89">
        <f t="shared" si="6"/>
        <v>0</v>
      </c>
      <c r="H181" s="209"/>
      <c r="I181" s="209"/>
      <c r="J181" s="213" t="str">
        <f t="array" ref="J181:M181">_xlfn.XLOOKUP(C181,'ESAP NEIVA FASE II UNIFICADO'!$C$6:$C$720,'ESAP NEIVA FASE II UNIFICADO'!$C$6:$F$720,"NO ESTA")</f>
        <v xml:space="preserve">SUMINISTRO E INSTALACION RED DESAGÜES AGUAS RESIDUALES                                                                              </v>
      </c>
      <c r="K181">
        <v>0</v>
      </c>
      <c r="L181">
        <v>0</v>
      </c>
      <c r="M181">
        <v>0</v>
      </c>
      <c r="N181" s="115">
        <f t="shared" si="7"/>
        <v>0</v>
      </c>
      <c r="O181" s="146">
        <f t="shared" si="8"/>
        <v>0</v>
      </c>
      <c r="P181" s="119"/>
    </row>
    <row r="182" spans="2:16" ht="15" customHeight="1" x14ac:dyDescent="0.25">
      <c r="B182" s="86" t="s">
        <v>329</v>
      </c>
      <c r="C182" s="87" t="s">
        <v>330</v>
      </c>
      <c r="D182" s="82" t="s">
        <v>269</v>
      </c>
      <c r="E182" s="83">
        <v>12</v>
      </c>
      <c r="F182" s="88">
        <v>23868</v>
      </c>
      <c r="G182" s="89">
        <f t="shared" si="6"/>
        <v>286416</v>
      </c>
      <c r="H182" s="209"/>
      <c r="I182" s="209"/>
      <c r="J182" s="213" t="str">
        <f t="array" ref="J182:M182">_xlfn.XLOOKUP(C182,'ESAP NEIVA FASE II UNIFICADO'!$C$6:$C$720,'ESAP NEIVA FASE II UNIFICADO'!$C$6:$F$720,"NO ESTA")</f>
        <v xml:space="preserve">SUMINISTRO E INSTALACIÓN TUBERIA PVC-S DIAMETRO 2"                                                                        </v>
      </c>
      <c r="K182" t="str">
        <v xml:space="preserve">ML   </v>
      </c>
      <c r="L182">
        <v>34</v>
      </c>
      <c r="M182">
        <v>24554</v>
      </c>
      <c r="N182" s="115">
        <f t="shared" si="7"/>
        <v>24554</v>
      </c>
      <c r="O182" s="146">
        <f t="shared" si="8"/>
        <v>294648</v>
      </c>
      <c r="P182" s="119"/>
    </row>
    <row r="183" spans="2:16" ht="15" customHeight="1" x14ac:dyDescent="0.25">
      <c r="B183" s="86" t="s">
        <v>331</v>
      </c>
      <c r="C183" s="87" t="s">
        <v>332</v>
      </c>
      <c r="D183" s="82" t="s">
        <v>269</v>
      </c>
      <c r="E183" s="83">
        <v>58</v>
      </c>
      <c r="F183" s="88">
        <v>35125</v>
      </c>
      <c r="G183" s="89">
        <f t="shared" si="6"/>
        <v>2037250</v>
      </c>
      <c r="H183" s="209"/>
      <c r="I183" s="209"/>
      <c r="J183" s="213" t="str">
        <f t="array" ref="J183:M183">_xlfn.XLOOKUP(C183,'ESAP NEIVA FASE II UNIFICADO'!$C$6:$C$720,'ESAP NEIVA FASE II UNIFICADO'!$C$6:$F$720,"NO ESTA")</f>
        <v xml:space="preserve">SUMINISTRO E INSTALACIÓN TUBERIA PVC-S DIAMETRO 3"                                                                        </v>
      </c>
      <c r="K183" t="str">
        <v xml:space="preserve">ML   </v>
      </c>
      <c r="L183">
        <v>157</v>
      </c>
      <c r="M183">
        <v>36135</v>
      </c>
      <c r="N183" s="115">
        <f t="shared" si="7"/>
        <v>36135</v>
      </c>
      <c r="O183" s="146">
        <f t="shared" si="8"/>
        <v>2095830</v>
      </c>
      <c r="P183" s="119"/>
    </row>
    <row r="184" spans="2:16" ht="15" customHeight="1" x14ac:dyDescent="0.25">
      <c r="B184" s="86" t="s">
        <v>333</v>
      </c>
      <c r="C184" s="87" t="s">
        <v>334</v>
      </c>
      <c r="D184" s="82" t="s">
        <v>269</v>
      </c>
      <c r="E184" s="83">
        <v>101</v>
      </c>
      <c r="F184" s="88">
        <v>50109</v>
      </c>
      <c r="G184" s="89">
        <f t="shared" si="6"/>
        <v>5061009</v>
      </c>
      <c r="H184" s="209"/>
      <c r="I184" s="209"/>
      <c r="J184" s="213" t="str">
        <f t="array" ref="J184:M184">_xlfn.XLOOKUP(C184,'ESAP NEIVA FASE II UNIFICADO'!$C$6:$C$720,'ESAP NEIVA FASE II UNIFICADO'!$C$6:$F$720,"NO ESTA")</f>
        <v xml:space="preserve">SUMINISTRO E INSTALACIÓN TUBERÍA PVC-S DIAMETRO 4"                                                                        </v>
      </c>
      <c r="K184" t="str">
        <v xml:space="preserve">ML   </v>
      </c>
      <c r="L184">
        <v>272</v>
      </c>
      <c r="M184">
        <v>51550</v>
      </c>
      <c r="N184" s="115">
        <f t="shared" si="7"/>
        <v>51550</v>
      </c>
      <c r="O184" s="146">
        <f t="shared" si="8"/>
        <v>5206550</v>
      </c>
      <c r="P184" s="119"/>
    </row>
    <row r="185" spans="2:16" ht="15" customHeight="1" x14ac:dyDescent="0.25">
      <c r="B185" s="86" t="s">
        <v>335</v>
      </c>
      <c r="C185" s="87" t="s">
        <v>336</v>
      </c>
      <c r="D185" s="82" t="s">
        <v>269</v>
      </c>
      <c r="E185" s="83">
        <v>26</v>
      </c>
      <c r="F185" s="88">
        <v>20770</v>
      </c>
      <c r="G185" s="89">
        <f t="shared" si="6"/>
        <v>540020</v>
      </c>
      <c r="H185" s="209"/>
      <c r="I185" s="209"/>
      <c r="J185" s="213" t="str">
        <f t="array" ref="J185:M185">_xlfn.XLOOKUP(C185,'ESAP NEIVA FASE II UNIFICADO'!$C$6:$C$720,'ESAP NEIVA FASE II UNIFICADO'!$C$6:$F$720,"NO ESTA")</f>
        <v xml:space="preserve">SUMINISTRO E INSTALACIÓN TUBERIA PVC-VENT DIAMETRO 2"                                                                     </v>
      </c>
      <c r="K185" t="str">
        <v xml:space="preserve">ML   </v>
      </c>
      <c r="L185">
        <v>72</v>
      </c>
      <c r="M185">
        <v>21367</v>
      </c>
      <c r="N185" s="115">
        <f t="shared" si="7"/>
        <v>21367</v>
      </c>
      <c r="O185" s="146">
        <f t="shared" si="8"/>
        <v>555542</v>
      </c>
      <c r="P185" s="119"/>
    </row>
    <row r="186" spans="2:16" ht="15" customHeight="1" x14ac:dyDescent="0.25">
      <c r="B186" s="86" t="s">
        <v>337</v>
      </c>
      <c r="C186" s="87" t="s">
        <v>338</v>
      </c>
      <c r="D186" s="82" t="s">
        <v>269</v>
      </c>
      <c r="E186" s="83">
        <v>36</v>
      </c>
      <c r="F186" s="88">
        <v>30880</v>
      </c>
      <c r="G186" s="89">
        <f t="shared" si="6"/>
        <v>1111680</v>
      </c>
      <c r="H186" s="209"/>
      <c r="I186" s="209"/>
      <c r="J186" s="213" t="str">
        <f t="array" ref="J186:M186">_xlfn.XLOOKUP(C186,'ESAP NEIVA FASE II UNIFICADO'!$C$6:$C$720,'ESAP NEIVA FASE II UNIFICADO'!$C$6:$F$720,"NO ESTA")</f>
        <v xml:space="preserve">SUMINISTRO E INSTALACIÓN TUBERIA PVC-VENT DIAMETRO 3"                                                                     </v>
      </c>
      <c r="K186" t="str">
        <v xml:space="preserve">ML   </v>
      </c>
      <c r="L186">
        <v>97</v>
      </c>
      <c r="M186">
        <v>31767</v>
      </c>
      <c r="N186" s="115">
        <f t="shared" si="7"/>
        <v>31767</v>
      </c>
      <c r="O186" s="146">
        <f t="shared" si="8"/>
        <v>1143612</v>
      </c>
      <c r="P186" s="119"/>
    </row>
    <row r="187" spans="2:16" ht="15" customHeight="1" x14ac:dyDescent="0.25">
      <c r="B187" s="86" t="s">
        <v>339</v>
      </c>
      <c r="C187" s="87" t="s">
        <v>340</v>
      </c>
      <c r="D187" s="82" t="s">
        <v>284</v>
      </c>
      <c r="E187" s="83">
        <v>45</v>
      </c>
      <c r="F187" s="88">
        <v>7302</v>
      </c>
      <c r="G187" s="89">
        <f t="shared" si="6"/>
        <v>328590</v>
      </c>
      <c r="H187" s="209"/>
      <c r="I187" s="209"/>
      <c r="J187" s="213" t="str">
        <f t="array" ref="J187:M187">_xlfn.XLOOKUP(C187,'ESAP NEIVA FASE II UNIFICADO'!$C$6:$C$720,'ESAP NEIVA FASE II UNIFICADO'!$C$6:$F$720,"NO ESTA")</f>
        <v xml:space="preserve">SUMINISTRO E INSTALACIÓN ACCESORIOS PVC-S DIAMETRO  2"                                                             </v>
      </c>
      <c r="K187" t="str">
        <v xml:space="preserve">UN   </v>
      </c>
      <c r="L187">
        <v>122</v>
      </c>
      <c r="M187">
        <v>7512</v>
      </c>
      <c r="N187" s="115">
        <f t="shared" si="7"/>
        <v>7512</v>
      </c>
      <c r="O187" s="146">
        <f t="shared" si="8"/>
        <v>338040</v>
      </c>
      <c r="P187" s="119"/>
    </row>
    <row r="188" spans="2:16" ht="15" customHeight="1" x14ac:dyDescent="0.25">
      <c r="B188" s="86" t="s">
        <v>341</v>
      </c>
      <c r="C188" s="87" t="s">
        <v>342</v>
      </c>
      <c r="D188" s="82" t="s">
        <v>284</v>
      </c>
      <c r="E188" s="83">
        <v>60</v>
      </c>
      <c r="F188" s="88">
        <v>10402</v>
      </c>
      <c r="G188" s="89">
        <f t="shared" si="6"/>
        <v>624120</v>
      </c>
      <c r="H188" s="209"/>
      <c r="I188" s="209"/>
      <c r="J188" s="213" t="str">
        <f t="array" ref="J188:M188">_xlfn.XLOOKUP(C188,'ESAP NEIVA FASE II UNIFICADO'!$C$6:$C$720,'ESAP NEIVA FASE II UNIFICADO'!$C$6:$F$720,"NO ESTA")</f>
        <v xml:space="preserve">SUMINISTRO E INSTALACIÓN ACCESORIOS PVC-S DIAMETRO  3"                                                             </v>
      </c>
      <c r="K188" t="str">
        <v xml:space="preserve">UN   </v>
      </c>
      <c r="L188">
        <v>161</v>
      </c>
      <c r="M188">
        <v>10700</v>
      </c>
      <c r="N188" s="115">
        <f t="shared" si="7"/>
        <v>10700</v>
      </c>
      <c r="O188" s="146">
        <f t="shared" si="8"/>
        <v>642000</v>
      </c>
      <c r="P188" s="119"/>
    </row>
    <row r="189" spans="2:16" ht="15" customHeight="1" x14ac:dyDescent="0.25">
      <c r="B189" s="86" t="s">
        <v>343</v>
      </c>
      <c r="C189" s="87" t="s">
        <v>344</v>
      </c>
      <c r="D189" s="82" t="s">
        <v>284</v>
      </c>
      <c r="E189" s="83">
        <v>106</v>
      </c>
      <c r="F189" s="88">
        <v>15285</v>
      </c>
      <c r="G189" s="89">
        <f t="shared" si="6"/>
        <v>1620210</v>
      </c>
      <c r="H189" s="209"/>
      <c r="I189" s="209"/>
      <c r="J189" s="213" t="str">
        <f t="array" ref="J189:M189">_xlfn.XLOOKUP(C189,'ESAP NEIVA FASE II UNIFICADO'!$C$6:$C$720,'ESAP NEIVA FASE II UNIFICADO'!$C$6:$F$720,"NO ESTA")</f>
        <v xml:space="preserve">SUMINISTRO E INSTALACIÓN ACCESORIOS PVC-S DIAMETRO  4"                                                             </v>
      </c>
      <c r="K189" t="str">
        <v xml:space="preserve">UN   </v>
      </c>
      <c r="L189">
        <v>288</v>
      </c>
      <c r="M189">
        <v>15725</v>
      </c>
      <c r="N189" s="115">
        <f t="shared" si="7"/>
        <v>15725</v>
      </c>
      <c r="O189" s="146">
        <f t="shared" si="8"/>
        <v>1666850</v>
      </c>
      <c r="P189" s="119"/>
    </row>
    <row r="190" spans="2:16" ht="15" customHeight="1" x14ac:dyDescent="0.25">
      <c r="B190" s="86" t="s">
        <v>345</v>
      </c>
      <c r="C190" s="87" t="s">
        <v>346</v>
      </c>
      <c r="D190" s="82" t="s">
        <v>284</v>
      </c>
      <c r="E190" s="83">
        <v>5</v>
      </c>
      <c r="F190" s="88">
        <v>4747</v>
      </c>
      <c r="G190" s="89">
        <f t="shared" si="6"/>
        <v>23735</v>
      </c>
      <c r="H190" s="209"/>
      <c r="I190" s="209"/>
      <c r="J190" s="213" t="str">
        <f t="array" ref="J190:M190">_xlfn.XLOOKUP(C190,'ESAP NEIVA FASE II UNIFICADO'!$C$6:$C$720,'ESAP NEIVA FASE II UNIFICADO'!$C$6:$F$720,"NO ESTA")</f>
        <v xml:space="preserve">SUMINISTRO E INSTALACIÓN SOPORTE 2"                                                                   </v>
      </c>
      <c r="K190" t="str">
        <v xml:space="preserve">UN   </v>
      </c>
      <c r="L190">
        <v>14</v>
      </c>
      <c r="M190">
        <v>4884</v>
      </c>
      <c r="N190" s="115">
        <f t="shared" si="7"/>
        <v>4884</v>
      </c>
      <c r="O190" s="146">
        <f t="shared" si="8"/>
        <v>24420</v>
      </c>
      <c r="P190" s="119"/>
    </row>
    <row r="191" spans="2:16" ht="15" customHeight="1" x14ac:dyDescent="0.25">
      <c r="B191" s="86" t="s">
        <v>347</v>
      </c>
      <c r="C191" s="87" t="s">
        <v>348</v>
      </c>
      <c r="D191" s="82" t="s">
        <v>284</v>
      </c>
      <c r="E191" s="83">
        <v>23</v>
      </c>
      <c r="F191" s="88">
        <v>6038</v>
      </c>
      <c r="G191" s="89">
        <f t="shared" si="6"/>
        <v>138874</v>
      </c>
      <c r="H191" s="209"/>
      <c r="I191" s="209"/>
      <c r="J191" s="213" t="str">
        <f t="array" ref="J191:M191">_xlfn.XLOOKUP(C191,'ESAP NEIVA FASE II UNIFICADO'!$C$6:$C$720,'ESAP NEIVA FASE II UNIFICADO'!$C$6:$F$720,"NO ESTA")</f>
        <v xml:space="preserve">SUMINISTRO E INSTALACIÓN SOPORTE 3"                                                                   </v>
      </c>
      <c r="K191" t="str">
        <v xml:space="preserve">UN   </v>
      </c>
      <c r="L191">
        <v>64</v>
      </c>
      <c r="M191">
        <v>6212</v>
      </c>
      <c r="N191" s="115">
        <f t="shared" si="7"/>
        <v>6212</v>
      </c>
      <c r="O191" s="146">
        <f t="shared" si="8"/>
        <v>142876</v>
      </c>
      <c r="P191" s="119"/>
    </row>
    <row r="192" spans="2:16" ht="15" customHeight="1" x14ac:dyDescent="0.25">
      <c r="B192" s="86" t="s">
        <v>349</v>
      </c>
      <c r="C192" s="87" t="s">
        <v>350</v>
      </c>
      <c r="D192" s="82" t="s">
        <v>284</v>
      </c>
      <c r="E192" s="83">
        <v>38</v>
      </c>
      <c r="F192" s="88">
        <v>11985</v>
      </c>
      <c r="G192" s="89">
        <f t="shared" si="6"/>
        <v>455430</v>
      </c>
      <c r="H192" s="209"/>
      <c r="I192" s="209"/>
      <c r="J192" s="213" t="str">
        <f t="array" ref="J192:M192">_xlfn.XLOOKUP(C192,'ESAP NEIVA FASE II UNIFICADO'!$C$6:$C$720,'ESAP NEIVA FASE II UNIFICADO'!$C$6:$F$720,"NO ESTA")</f>
        <v xml:space="preserve">SUMINISTRO E INSTALACIÓN SOPORTE 4"                                                                   </v>
      </c>
      <c r="K192" t="str">
        <v xml:space="preserve">UN   </v>
      </c>
      <c r="L192">
        <v>101</v>
      </c>
      <c r="M192">
        <v>12329</v>
      </c>
      <c r="N192" s="115">
        <f t="shared" si="7"/>
        <v>12329</v>
      </c>
      <c r="O192" s="146">
        <f t="shared" si="8"/>
        <v>468502</v>
      </c>
      <c r="P192" s="119"/>
    </row>
    <row r="193" spans="2:16" ht="15" customHeight="1" x14ac:dyDescent="0.25">
      <c r="B193" s="86" t="s">
        <v>351</v>
      </c>
      <c r="C193" s="87" t="s">
        <v>352</v>
      </c>
      <c r="D193" s="82" t="s">
        <v>284</v>
      </c>
      <c r="E193" s="83">
        <v>14</v>
      </c>
      <c r="F193" s="88">
        <v>40228</v>
      </c>
      <c r="G193" s="89">
        <f t="shared" si="6"/>
        <v>563192</v>
      </c>
      <c r="H193" s="209"/>
      <c r="I193" s="209"/>
      <c r="J193" s="213" t="str">
        <f t="array" ref="J193:M193">_xlfn.XLOOKUP(C193,'ESAP NEIVA FASE II UNIFICADO'!$C$6:$C$720,'ESAP NEIVA FASE II UNIFICADO'!$C$6:$F$720,"NO ESTA")</f>
        <v xml:space="preserve">SUMINISTRO E INSTALACIÓN SALIDA SANITARIA 2"                                    </v>
      </c>
      <c r="K193" t="str">
        <v xml:space="preserve">UN   </v>
      </c>
      <c r="L193">
        <v>36</v>
      </c>
      <c r="M193">
        <v>41384</v>
      </c>
      <c r="N193" s="115">
        <f t="shared" si="7"/>
        <v>41384</v>
      </c>
      <c r="O193" s="146">
        <f t="shared" si="8"/>
        <v>579376</v>
      </c>
      <c r="P193" s="119"/>
    </row>
    <row r="194" spans="2:16" ht="15" customHeight="1" x14ac:dyDescent="0.25">
      <c r="B194" s="86" t="s">
        <v>353</v>
      </c>
      <c r="C194" s="87" t="s">
        <v>354</v>
      </c>
      <c r="D194" s="82" t="s">
        <v>284</v>
      </c>
      <c r="E194" s="83">
        <v>9</v>
      </c>
      <c r="F194" s="88">
        <v>48624</v>
      </c>
      <c r="G194" s="89">
        <f t="shared" si="6"/>
        <v>437616</v>
      </c>
      <c r="H194" s="209"/>
      <c r="I194" s="209"/>
      <c r="J194" s="213" t="str">
        <f t="array" ref="J194:M194">_xlfn.XLOOKUP(C194,'ESAP NEIVA FASE II UNIFICADO'!$C$6:$C$720,'ESAP NEIVA FASE II UNIFICADO'!$C$6:$F$720,"NO ESTA")</f>
        <v xml:space="preserve">SUMINISTRO E INSTALACIÓN SALIDA SANITARIA 3"                                    </v>
      </c>
      <c r="K194" t="str">
        <v xml:space="preserve">UN   </v>
      </c>
      <c r="L194">
        <v>23</v>
      </c>
      <c r="M194">
        <v>50021</v>
      </c>
      <c r="N194" s="115">
        <f t="shared" si="7"/>
        <v>50021</v>
      </c>
      <c r="O194" s="146">
        <f t="shared" si="8"/>
        <v>450189</v>
      </c>
      <c r="P194" s="119"/>
    </row>
    <row r="195" spans="2:16" ht="15" customHeight="1" x14ac:dyDescent="0.25">
      <c r="B195" s="86" t="s">
        <v>355</v>
      </c>
      <c r="C195" s="87" t="s">
        <v>356</v>
      </c>
      <c r="D195" s="82" t="s">
        <v>284</v>
      </c>
      <c r="E195" s="83">
        <v>16</v>
      </c>
      <c r="F195" s="88">
        <v>59754</v>
      </c>
      <c r="G195" s="89">
        <f t="shared" si="6"/>
        <v>956064</v>
      </c>
      <c r="H195" s="209"/>
      <c r="I195" s="209"/>
      <c r="J195" s="213" t="str">
        <f t="array" ref="J195:M195">_xlfn.XLOOKUP(C195,'ESAP NEIVA FASE II UNIFICADO'!$C$6:$C$720,'ESAP NEIVA FASE II UNIFICADO'!$C$6:$F$720,"NO ESTA")</f>
        <v xml:space="preserve">SUMINISTRO E INSTALACIÓN SALIDA SANITARIA 4"                                    </v>
      </c>
      <c r="K195" t="str">
        <v xml:space="preserve">UN   </v>
      </c>
      <c r="L195">
        <v>42</v>
      </c>
      <c r="M195">
        <v>61472</v>
      </c>
      <c r="N195" s="115">
        <f t="shared" si="7"/>
        <v>61472</v>
      </c>
      <c r="O195" s="146">
        <f t="shared" si="8"/>
        <v>983552</v>
      </c>
      <c r="P195" s="119"/>
    </row>
    <row r="196" spans="2:16" ht="15" customHeight="1" x14ac:dyDescent="0.25">
      <c r="B196" s="86" t="s">
        <v>357</v>
      </c>
      <c r="C196" s="87" t="s">
        <v>358</v>
      </c>
      <c r="D196" s="82" t="s">
        <v>284</v>
      </c>
      <c r="E196" s="83">
        <v>1</v>
      </c>
      <c r="F196" s="88">
        <v>527149</v>
      </c>
      <c r="G196" s="89">
        <f t="shared" si="6"/>
        <v>527149</v>
      </c>
      <c r="H196" s="209"/>
      <c r="I196" s="209"/>
      <c r="J196" s="213" t="str">
        <f t="array" ref="J196:M196">_xlfn.XLOOKUP(C196,'ESAP NEIVA FASE II UNIFICADO'!$C$6:$C$720,'ESAP NEIVA FASE II UNIFICADO'!$C$6:$F$720,"NO ESTA")</f>
        <v xml:space="preserve">SUMINISTRO Y CONSTRUCCIÓN CAJA DE INSPECCIÓN 0.80mX0.80m H mäx:1.0m                                                                    </v>
      </c>
      <c r="K196" t="str">
        <v xml:space="preserve">UN   </v>
      </c>
      <c r="L196">
        <v>1</v>
      </c>
      <c r="M196">
        <v>542308</v>
      </c>
      <c r="N196" s="115">
        <f t="shared" si="7"/>
        <v>542308</v>
      </c>
      <c r="O196" s="146">
        <f t="shared" si="8"/>
        <v>542308</v>
      </c>
      <c r="P196" s="119"/>
    </row>
    <row r="197" spans="2:16" ht="15" customHeight="1" x14ac:dyDescent="0.25">
      <c r="B197" s="86" t="s">
        <v>359</v>
      </c>
      <c r="C197" s="87" t="s">
        <v>360</v>
      </c>
      <c r="D197" s="82" t="s">
        <v>269</v>
      </c>
      <c r="E197" s="83">
        <v>11</v>
      </c>
      <c r="F197" s="88">
        <v>44518</v>
      </c>
      <c r="G197" s="89">
        <f t="shared" si="6"/>
        <v>489698</v>
      </c>
      <c r="H197" s="209"/>
      <c r="I197" s="209"/>
      <c r="J197" s="213" t="str">
        <f t="array" ref="J197:M197">_xlfn.XLOOKUP(C197,'ESAP NEIVA FASE II UNIFICADO'!$C$6:$C$720,'ESAP NEIVA FASE II UNIFICADO'!$C$6:$F$720,"NO ESTA")</f>
        <v xml:space="preserve">SUMINISTRO E INSTALACIÓN TUBERIA PVC-ALC DIAMETRO 160mm                                                                   </v>
      </c>
      <c r="K197" t="str">
        <v xml:space="preserve">ML   </v>
      </c>
      <c r="L197">
        <v>29</v>
      </c>
      <c r="M197">
        <v>45798</v>
      </c>
      <c r="N197" s="115">
        <f t="shared" si="7"/>
        <v>45798</v>
      </c>
      <c r="O197" s="146">
        <f t="shared" si="8"/>
        <v>503778</v>
      </c>
      <c r="P197" s="119"/>
    </row>
    <row r="198" spans="2:16" ht="15" customHeight="1" x14ac:dyDescent="0.25">
      <c r="B198" s="86" t="s">
        <v>361</v>
      </c>
      <c r="C198" s="87" t="s">
        <v>362</v>
      </c>
      <c r="D198" s="82" t="s">
        <v>269</v>
      </c>
      <c r="E198" s="83">
        <v>3</v>
      </c>
      <c r="F198" s="88">
        <v>62167</v>
      </c>
      <c r="G198" s="89">
        <f t="shared" ref="G198:G261" si="9">ROUND(+F198*E198,2)</f>
        <v>186501</v>
      </c>
      <c r="H198" s="209"/>
      <c r="I198" s="209"/>
      <c r="J198" s="213" t="str">
        <f t="array" ref="J198:M198">_xlfn.XLOOKUP(C198,'ESAP NEIVA FASE II UNIFICADO'!$C$6:$C$720,'ESAP NEIVA FASE II UNIFICADO'!$C$6:$F$720,"NO ESTA")</f>
        <v xml:space="preserve">SUMINISTRO E INSTALACIÓN TUBERIA PVC-ALC DIAMETRO 200mm                                                                   </v>
      </c>
      <c r="K198" t="str">
        <v xml:space="preserve">ML   </v>
      </c>
      <c r="L198">
        <v>7</v>
      </c>
      <c r="M198">
        <v>63955</v>
      </c>
      <c r="N198" s="115">
        <f t="shared" ref="N198:N261" si="10">MAX(M198,F198)</f>
        <v>63955</v>
      </c>
      <c r="O198" s="146">
        <f t="shared" ref="O198:O261" si="11">N198*E198</f>
        <v>191865</v>
      </c>
      <c r="P198" s="119"/>
    </row>
    <row r="199" spans="2:16" ht="15" customHeight="1" x14ac:dyDescent="0.25">
      <c r="B199" s="86" t="s">
        <v>363</v>
      </c>
      <c r="C199" s="87" t="s">
        <v>364</v>
      </c>
      <c r="D199" s="82" t="s">
        <v>269</v>
      </c>
      <c r="E199" s="83">
        <v>11</v>
      </c>
      <c r="F199" s="88">
        <v>94451</v>
      </c>
      <c r="G199" s="89">
        <f t="shared" si="9"/>
        <v>1038961</v>
      </c>
      <c r="H199" s="209"/>
      <c r="I199" s="209"/>
      <c r="J199" s="213" t="str">
        <f t="array" ref="J199:M199">_xlfn.XLOOKUP(C199,'ESAP NEIVA FASE II UNIFICADO'!$C$6:$C$720,'ESAP NEIVA FASE II UNIFICADO'!$C$6:$F$720,"NO ESTA")</f>
        <v xml:space="preserve">SUMINISTRO E INSTALACIÓN TUBERÍA PVC-P DIAMETRO 4"                                                        </v>
      </c>
      <c r="K199" t="str">
        <v xml:space="preserve">ML   </v>
      </c>
      <c r="L199">
        <v>29</v>
      </c>
      <c r="M199">
        <v>97168</v>
      </c>
      <c r="N199" s="115">
        <f t="shared" si="10"/>
        <v>97168</v>
      </c>
      <c r="O199" s="146">
        <f t="shared" si="11"/>
        <v>1068848</v>
      </c>
      <c r="P199" s="119"/>
    </row>
    <row r="200" spans="2:16" ht="15" customHeight="1" x14ac:dyDescent="0.25">
      <c r="B200" s="86" t="s">
        <v>365</v>
      </c>
      <c r="C200" s="87" t="s">
        <v>366</v>
      </c>
      <c r="D200" s="82" t="s">
        <v>284</v>
      </c>
      <c r="E200" s="83">
        <v>5</v>
      </c>
      <c r="F200" s="88">
        <v>76064</v>
      </c>
      <c r="G200" s="89">
        <f t="shared" si="9"/>
        <v>380320</v>
      </c>
      <c r="H200" s="209"/>
      <c r="I200" s="209"/>
      <c r="J200" s="213" t="str">
        <f t="array" ref="J200:M200">_xlfn.XLOOKUP(C200,'ESAP NEIVA FASE II UNIFICADO'!$C$6:$C$720,'ESAP NEIVA FASE II UNIFICADO'!$C$6:$F$720,"NO ESTA")</f>
        <v xml:space="preserve">SUMINISTRO E INSTALACIÓN ACCESORIOS PVC-P DIAMETRO 4"                                                             </v>
      </c>
      <c r="K200" t="str">
        <v xml:space="preserve">UN   </v>
      </c>
      <c r="L200">
        <v>15</v>
      </c>
      <c r="M200">
        <v>78251</v>
      </c>
      <c r="N200" s="115">
        <f t="shared" si="10"/>
        <v>78251</v>
      </c>
      <c r="O200" s="146">
        <f t="shared" si="11"/>
        <v>391255</v>
      </c>
      <c r="P200" s="119"/>
    </row>
    <row r="201" spans="2:16" ht="15" customHeight="1" x14ac:dyDescent="0.25">
      <c r="B201" s="80" t="s">
        <v>367</v>
      </c>
      <c r="C201" s="81" t="s">
        <v>368</v>
      </c>
      <c r="D201" s="82" t="s">
        <v>369</v>
      </c>
      <c r="E201" s="83"/>
      <c r="F201" s="90">
        <v>0</v>
      </c>
      <c r="G201" s="89">
        <f t="shared" si="9"/>
        <v>0</v>
      </c>
      <c r="H201" s="209"/>
      <c r="I201" s="209"/>
      <c r="J201" s="213" t="str">
        <f t="array" ref="J201:M201">_xlfn.XLOOKUP(C201,'ESAP NEIVA FASE II UNIFICADO'!$C$6:$C$720,'ESAP NEIVA FASE II UNIFICADO'!$C$6:$F$720,"NO ESTA")</f>
        <v>SUMINISTRO E INSTALACIÓN DE APARATOS SANITARIOS</v>
      </c>
      <c r="K201" t="str">
        <v xml:space="preserve">     </v>
      </c>
      <c r="L201">
        <v>0</v>
      </c>
      <c r="M201">
        <v>0</v>
      </c>
      <c r="N201" s="115">
        <f t="shared" si="10"/>
        <v>0</v>
      </c>
      <c r="O201" s="146">
        <f t="shared" si="11"/>
        <v>0</v>
      </c>
      <c r="P201" s="119"/>
    </row>
    <row r="202" spans="2:16" ht="15" customHeight="1" x14ac:dyDescent="0.25">
      <c r="B202" s="86" t="s">
        <v>370</v>
      </c>
      <c r="C202" s="87" t="s">
        <v>371</v>
      </c>
      <c r="D202" s="82" t="s">
        <v>284</v>
      </c>
      <c r="E202" s="83">
        <v>28</v>
      </c>
      <c r="F202" s="88">
        <v>1074913</v>
      </c>
      <c r="G202" s="89">
        <f t="shared" si="9"/>
        <v>30097564</v>
      </c>
      <c r="H202" s="209"/>
      <c r="I202" s="209"/>
      <c r="J202" s="213" t="str">
        <f t="array" ref="J202:M202">_xlfn.XLOOKUP(C202,'ESAP NEIVA FASE II UNIFICADO'!$C$6:$C$720,'ESAP NEIVA FASE II UNIFICADO'!$C$6:$F$720,"NO ESTA")</f>
        <v>SUMINISTRO E INSTALACIÓN SANITARIO INSTITUCIONAL incluye FLUXOMETRO</v>
      </c>
      <c r="K202" t="str">
        <v xml:space="preserve">UN   </v>
      </c>
      <c r="L202">
        <v>24</v>
      </c>
      <c r="M202">
        <v>1105824</v>
      </c>
      <c r="N202" s="115">
        <f t="shared" si="10"/>
        <v>1105824</v>
      </c>
      <c r="O202" s="146">
        <f t="shared" si="11"/>
        <v>30963072</v>
      </c>
      <c r="P202" s="119"/>
    </row>
    <row r="203" spans="2:16" ht="15" customHeight="1" x14ac:dyDescent="0.25">
      <c r="B203" s="86" t="s">
        <v>372</v>
      </c>
      <c r="C203" s="87" t="s">
        <v>373</v>
      </c>
      <c r="D203" s="82" t="s">
        <v>374</v>
      </c>
      <c r="E203" s="83">
        <v>4</v>
      </c>
      <c r="F203" s="88">
        <v>651312</v>
      </c>
      <c r="G203" s="89">
        <f t="shared" si="9"/>
        <v>2605248</v>
      </c>
      <c r="H203" s="209"/>
      <c r="I203" s="209"/>
      <c r="J203" s="213" t="str">
        <f t="array" ref="J203:M203">_xlfn.XLOOKUP(C203,'ESAP NEIVA FASE II UNIFICADO'!$C$6:$C$720,'ESAP NEIVA FASE II UNIFICADO'!$C$6:$F$720,"NO ESTA")</f>
        <v xml:space="preserve">SUMINISTRO E INSTALACIÓN SANITARIO DE BAJO CONSUMO </v>
      </c>
      <c r="K203" t="str">
        <v>UN</v>
      </c>
      <c r="L203">
        <v>4</v>
      </c>
      <c r="M203">
        <v>670042</v>
      </c>
      <c r="N203" s="115">
        <f t="shared" si="10"/>
        <v>670042</v>
      </c>
      <c r="O203" s="146">
        <f t="shared" si="11"/>
        <v>2680168</v>
      </c>
      <c r="P203" s="119"/>
    </row>
    <row r="204" spans="2:16" ht="15" customHeight="1" x14ac:dyDescent="0.25">
      <c r="B204" s="86" t="s">
        <v>375</v>
      </c>
      <c r="C204" s="87" t="s">
        <v>376</v>
      </c>
      <c r="D204" s="82" t="s">
        <v>284</v>
      </c>
      <c r="E204" s="83">
        <v>12</v>
      </c>
      <c r="F204" s="88">
        <v>736530</v>
      </c>
      <c r="G204" s="89">
        <f t="shared" si="9"/>
        <v>8838360</v>
      </c>
      <c r="H204" s="209"/>
      <c r="I204" s="209"/>
      <c r="J204" s="213" t="str">
        <f t="array" ref="J204:M204">_xlfn.XLOOKUP(C204,'ESAP NEIVA FASE II UNIFICADO'!$C$6:$C$720,'ESAP NEIVA FASE II UNIFICADO'!$C$6:$F$720,"NO ESTA")</f>
        <v>SUMINISTRO E INSTALACIÓN ORINAL</v>
      </c>
      <c r="K204" t="str">
        <v xml:space="preserve">UN   </v>
      </c>
      <c r="L204">
        <v>9</v>
      </c>
      <c r="M204">
        <v>757710</v>
      </c>
      <c r="N204" s="115">
        <f t="shared" si="10"/>
        <v>757710</v>
      </c>
      <c r="O204" s="146">
        <f t="shared" si="11"/>
        <v>9092520</v>
      </c>
      <c r="P204" s="119"/>
    </row>
    <row r="205" spans="2:16" ht="24.75" customHeight="1" x14ac:dyDescent="0.25">
      <c r="B205" s="86" t="s">
        <v>377</v>
      </c>
      <c r="C205" s="87" t="s">
        <v>378</v>
      </c>
      <c r="D205" s="82" t="s">
        <v>94</v>
      </c>
      <c r="E205" s="83">
        <v>14</v>
      </c>
      <c r="F205" s="88">
        <v>212020</v>
      </c>
      <c r="G205" s="89">
        <f t="shared" si="9"/>
        <v>2968280</v>
      </c>
      <c r="H205" s="209"/>
      <c r="I205" s="209"/>
      <c r="J205" s="213" t="str">
        <f t="array" ref="J205:M205">_xlfn.XLOOKUP(C205,'ESAP NEIVA FASE II UNIFICADO'!$C$6:$C$720,'ESAP NEIVA FASE II UNIFICADO'!$C$6:$F$720,"NO ESTA")</f>
        <v>SUMINISTRO E INSTALACIÓN MESÓN EN GRANITO NEGRO ABSOLUTO o similar, ANCHO 0.60m</v>
      </c>
      <c r="K205" t="str">
        <v>ML</v>
      </c>
      <c r="L205">
        <v>13</v>
      </c>
      <c r="M205">
        <v>218116</v>
      </c>
      <c r="N205" s="115">
        <f t="shared" si="10"/>
        <v>218116</v>
      </c>
      <c r="O205" s="146">
        <f t="shared" si="11"/>
        <v>3053624</v>
      </c>
      <c r="P205" s="119"/>
    </row>
    <row r="206" spans="2:16" ht="15" customHeight="1" x14ac:dyDescent="0.25">
      <c r="B206" s="86" t="s">
        <v>379</v>
      </c>
      <c r="C206" s="87" t="s">
        <v>380</v>
      </c>
      <c r="D206" s="82" t="s">
        <v>284</v>
      </c>
      <c r="E206" s="83">
        <v>20</v>
      </c>
      <c r="F206" s="88">
        <v>572394</v>
      </c>
      <c r="G206" s="89">
        <f t="shared" si="9"/>
        <v>11447880</v>
      </c>
      <c r="H206" s="209"/>
      <c r="I206" s="209"/>
      <c r="J206" s="213" t="str">
        <f t="array" ref="J206:M206">_xlfn.XLOOKUP(C206,'ESAP NEIVA FASE II UNIFICADO'!$C$6:$C$720,'ESAP NEIVA FASE II UNIFICADO'!$C$6:$F$720,"NO ESTA")</f>
        <v xml:space="preserve">SUMINISTRO E INSTALACIÓN LAVAMANOS SOBREPONER </v>
      </c>
      <c r="K206" t="str">
        <v xml:space="preserve">UN   </v>
      </c>
      <c r="L206">
        <v>18</v>
      </c>
      <c r="M206">
        <v>588854</v>
      </c>
      <c r="N206" s="115">
        <f t="shared" si="10"/>
        <v>588854</v>
      </c>
      <c r="O206" s="146">
        <f t="shared" si="11"/>
        <v>11777080</v>
      </c>
      <c r="P206" s="119"/>
    </row>
    <row r="207" spans="2:16" ht="15" customHeight="1" x14ac:dyDescent="0.25">
      <c r="B207" s="86" t="s">
        <v>381</v>
      </c>
      <c r="C207" s="87" t="s">
        <v>382</v>
      </c>
      <c r="D207" s="82" t="s">
        <v>284</v>
      </c>
      <c r="E207" s="83">
        <v>3</v>
      </c>
      <c r="F207" s="88">
        <v>541361</v>
      </c>
      <c r="G207" s="89">
        <f t="shared" si="9"/>
        <v>1624083</v>
      </c>
      <c r="H207" s="209"/>
      <c r="I207" s="209"/>
      <c r="J207" s="213" t="str">
        <f t="array" ref="J207:M207">_xlfn.XLOOKUP(C207,'ESAP NEIVA FASE II UNIFICADO'!$C$6:$C$720,'ESAP NEIVA FASE II UNIFICADO'!$C$6:$F$720,"NO ESTA")</f>
        <v>SUMINISTRO E INSTALACIÓN LAVAMANOS PEDESTAL</v>
      </c>
      <c r="K207" t="str">
        <v xml:space="preserve">UN   </v>
      </c>
      <c r="L207">
        <v>3</v>
      </c>
      <c r="M207">
        <v>556929</v>
      </c>
      <c r="N207" s="115">
        <f t="shared" si="10"/>
        <v>556929</v>
      </c>
      <c r="O207" s="146">
        <f t="shared" si="11"/>
        <v>1670787</v>
      </c>
      <c r="P207" s="119"/>
    </row>
    <row r="208" spans="2:16" ht="24.75" customHeight="1" x14ac:dyDescent="0.25">
      <c r="B208" s="86" t="s">
        <v>383</v>
      </c>
      <c r="C208" s="87" t="s">
        <v>384</v>
      </c>
      <c r="D208" s="82" t="s">
        <v>13</v>
      </c>
      <c r="E208" s="83">
        <v>12</v>
      </c>
      <c r="F208" s="88">
        <v>88311</v>
      </c>
      <c r="G208" s="89">
        <f t="shared" si="9"/>
        <v>1059732</v>
      </c>
      <c r="H208" s="209"/>
      <c r="I208" s="209"/>
      <c r="J208" s="213" t="str">
        <f t="array" ref="J208:M208">_xlfn.XLOOKUP(C208,'ESAP NEIVA FASE II UNIFICADO'!$C$6:$C$720,'ESAP NEIVA FASE II UNIFICADO'!$C$6:$F$720,"NO ESTA")</f>
        <v>SUMINISTRO E INSTALACIÓN ESPEJO e=4MM PEGADO SOBRE BASTIDOR EN ALUMINIO DE 2X1</v>
      </c>
      <c r="K208" t="str">
        <v>M2</v>
      </c>
      <c r="L208">
        <v>11</v>
      </c>
      <c r="M208">
        <v>90851</v>
      </c>
      <c r="N208" s="115">
        <f t="shared" si="10"/>
        <v>90851</v>
      </c>
      <c r="O208" s="146">
        <f t="shared" si="11"/>
        <v>1090212</v>
      </c>
      <c r="P208" s="119"/>
    </row>
    <row r="209" spans="2:16" ht="15" customHeight="1" x14ac:dyDescent="0.25">
      <c r="B209" s="86" t="s">
        <v>385</v>
      </c>
      <c r="C209" s="87" t="s">
        <v>386</v>
      </c>
      <c r="D209" s="82" t="s">
        <v>284</v>
      </c>
      <c r="E209" s="83">
        <v>2</v>
      </c>
      <c r="F209" s="88">
        <v>42894</v>
      </c>
      <c r="G209" s="89">
        <f t="shared" si="9"/>
        <v>85788</v>
      </c>
      <c r="H209" s="209"/>
      <c r="I209" s="209"/>
      <c r="J209" s="213" t="str">
        <f t="array" ref="J209:M209">_xlfn.XLOOKUP(C209,'ESAP NEIVA FASE II UNIFICADO'!$C$6:$C$720,'ESAP NEIVA FASE II UNIFICADO'!$C$6:$F$720,"NO ESTA")</f>
        <v>SUMINISTRO E INSTALACIÓN LLAVES MANGUERA</v>
      </c>
      <c r="K209" t="str">
        <v xml:space="preserve">UN   </v>
      </c>
      <c r="L209">
        <v>1</v>
      </c>
      <c r="M209">
        <v>44128</v>
      </c>
      <c r="N209" s="115">
        <f t="shared" si="10"/>
        <v>44128</v>
      </c>
      <c r="O209" s="146">
        <f t="shared" si="11"/>
        <v>88256</v>
      </c>
      <c r="P209" s="119"/>
    </row>
    <row r="210" spans="2:16" ht="15" customHeight="1" x14ac:dyDescent="0.25">
      <c r="B210" s="80" t="s">
        <v>387</v>
      </c>
      <c r="C210" s="81" t="s">
        <v>388</v>
      </c>
      <c r="D210" s="82"/>
      <c r="E210" s="83"/>
      <c r="F210" s="90">
        <v>0</v>
      </c>
      <c r="G210" s="89">
        <f t="shared" si="9"/>
        <v>0</v>
      </c>
      <c r="H210" s="209"/>
      <c r="I210" s="209"/>
      <c r="J210" s="213" t="str">
        <f t="array" ref="J210:M210">_xlfn.XLOOKUP(C210,'ESAP NEIVA FASE II UNIFICADO'!$C$6:$C$720,'ESAP NEIVA FASE II UNIFICADO'!$C$6:$F$720,"NO ESTA")</f>
        <v xml:space="preserve">SUMINISTRO E INSTALACION RED DESAGÜES AGUAS LLUVIAS                                                                                 </v>
      </c>
      <c r="K210">
        <v>0</v>
      </c>
      <c r="L210">
        <v>0</v>
      </c>
      <c r="M210">
        <v>0</v>
      </c>
      <c r="N210" s="115">
        <f t="shared" si="10"/>
        <v>0</v>
      </c>
      <c r="O210" s="146">
        <f t="shared" si="11"/>
        <v>0</v>
      </c>
      <c r="P210" s="119"/>
    </row>
    <row r="211" spans="2:16" ht="15" customHeight="1" x14ac:dyDescent="0.25">
      <c r="B211" s="86" t="s">
        <v>389</v>
      </c>
      <c r="C211" s="87" t="s">
        <v>390</v>
      </c>
      <c r="D211" s="82" t="s">
        <v>269</v>
      </c>
      <c r="E211" s="83">
        <v>92</v>
      </c>
      <c r="F211" s="88">
        <v>35125</v>
      </c>
      <c r="G211" s="89">
        <f t="shared" si="9"/>
        <v>3231500</v>
      </c>
      <c r="H211" s="209"/>
      <c r="I211" s="209"/>
      <c r="J211" s="213" t="str">
        <f t="array" ref="J211:M211">_xlfn.XLOOKUP(C211,'ESAP NEIVA FASE II UNIFICADO'!$C$6:$C$720,'ESAP NEIVA FASE II UNIFICADO'!$C$6:$F$720,"NO ESTA")</f>
        <v xml:space="preserve">SUMINISTRO E INSTALACIÓN TUBERIA PVC-S DIAMETRO  3 PUL                                                                 </v>
      </c>
      <c r="K211" t="str">
        <v xml:space="preserve">ML   </v>
      </c>
      <c r="L211">
        <v>248</v>
      </c>
      <c r="M211">
        <v>36135</v>
      </c>
      <c r="N211" s="115">
        <f t="shared" si="10"/>
        <v>36135</v>
      </c>
      <c r="O211" s="146">
        <f t="shared" si="11"/>
        <v>3324420</v>
      </c>
      <c r="P211" s="119"/>
    </row>
    <row r="212" spans="2:16" ht="15" customHeight="1" x14ac:dyDescent="0.25">
      <c r="B212" s="86" t="s">
        <v>391</v>
      </c>
      <c r="C212" s="87" t="s">
        <v>392</v>
      </c>
      <c r="D212" s="82" t="s">
        <v>269</v>
      </c>
      <c r="E212" s="83">
        <v>45</v>
      </c>
      <c r="F212" s="88">
        <v>50109</v>
      </c>
      <c r="G212" s="89">
        <f t="shared" si="9"/>
        <v>2254905</v>
      </c>
      <c r="H212" s="209"/>
      <c r="I212" s="209"/>
      <c r="J212" s="213" t="str">
        <f t="array" ref="J212:M212">_xlfn.XLOOKUP(C212,'ESAP NEIVA FASE II UNIFICADO'!$C$6:$C$720,'ESAP NEIVA FASE II UNIFICADO'!$C$6:$F$720,"NO ESTA")</f>
        <v xml:space="preserve">SUMINISTRO E INSTALACIÓN TUBERIA PVC-S DIAMETRO 4 PUL                                                                 </v>
      </c>
      <c r="K212" t="str">
        <v xml:space="preserve">ML   </v>
      </c>
      <c r="L212">
        <v>122</v>
      </c>
      <c r="M212">
        <v>51550</v>
      </c>
      <c r="N212" s="115">
        <f t="shared" si="10"/>
        <v>51550</v>
      </c>
      <c r="O212" s="146">
        <f t="shared" si="11"/>
        <v>2319750</v>
      </c>
      <c r="P212" s="119"/>
    </row>
    <row r="213" spans="2:16" ht="15" customHeight="1" x14ac:dyDescent="0.25">
      <c r="B213" s="86" t="s">
        <v>393</v>
      </c>
      <c r="C213" s="87" t="s">
        <v>394</v>
      </c>
      <c r="D213" s="82" t="s">
        <v>269</v>
      </c>
      <c r="E213" s="83">
        <v>60</v>
      </c>
      <c r="F213" s="88">
        <v>90557</v>
      </c>
      <c r="G213" s="89">
        <f t="shared" si="9"/>
        <v>5433420</v>
      </c>
      <c r="H213" s="209"/>
      <c r="I213" s="209"/>
      <c r="J213" s="213" t="str">
        <f t="array" ref="J213:M213">_xlfn.XLOOKUP(C213,'ESAP NEIVA FASE II UNIFICADO'!$C$6:$C$720,'ESAP NEIVA FASE II UNIFICADO'!$C$6:$F$720,"NO ESTA")</f>
        <v xml:space="preserve">SUMINISTRO E INSTALACIÓN TUBERIA PVC-S DIAMETRO 6 PUL                                                                 </v>
      </c>
      <c r="K213" t="str">
        <v xml:space="preserve">ML   </v>
      </c>
      <c r="L213">
        <v>161</v>
      </c>
      <c r="M213">
        <v>93160</v>
      </c>
      <c r="N213" s="115">
        <f t="shared" si="10"/>
        <v>93160</v>
      </c>
      <c r="O213" s="146">
        <f t="shared" si="11"/>
        <v>5589600</v>
      </c>
      <c r="P213" s="119"/>
    </row>
    <row r="214" spans="2:16" ht="15" customHeight="1" x14ac:dyDescent="0.25">
      <c r="B214" s="86" t="s">
        <v>395</v>
      </c>
      <c r="C214" s="87" t="s">
        <v>396</v>
      </c>
      <c r="D214" s="82" t="s">
        <v>374</v>
      </c>
      <c r="E214" s="83">
        <v>38</v>
      </c>
      <c r="F214" s="88">
        <v>10402</v>
      </c>
      <c r="G214" s="89">
        <f t="shared" si="9"/>
        <v>395276</v>
      </c>
      <c r="H214" s="209"/>
      <c r="I214" s="209"/>
      <c r="J214" s="213" t="str">
        <f t="array" ref="J214:M214">_xlfn.XLOOKUP(C214,'ESAP NEIVA FASE II UNIFICADO'!$C$6:$C$720,'ESAP NEIVA FASE II UNIFICADO'!$C$6:$F$720,"NO ESTA")</f>
        <v xml:space="preserve">SUMINISTRO E INSTALACIÓN ACCESORIOS PVC-S DIAMETRO 3"                                                             </v>
      </c>
      <c r="K214" t="str">
        <v>UN</v>
      </c>
      <c r="L214">
        <v>101</v>
      </c>
      <c r="M214">
        <v>10700</v>
      </c>
      <c r="N214" s="115">
        <f t="shared" si="10"/>
        <v>10700</v>
      </c>
      <c r="O214" s="146">
        <f t="shared" si="11"/>
        <v>406600</v>
      </c>
      <c r="P214" s="119"/>
    </row>
    <row r="215" spans="2:16" ht="15" customHeight="1" x14ac:dyDescent="0.25">
      <c r="B215" s="86" t="s">
        <v>397</v>
      </c>
      <c r="C215" s="87" t="s">
        <v>398</v>
      </c>
      <c r="D215" s="82" t="s">
        <v>374</v>
      </c>
      <c r="E215" s="83">
        <v>21</v>
      </c>
      <c r="F215" s="88">
        <v>15285</v>
      </c>
      <c r="G215" s="89">
        <f t="shared" si="9"/>
        <v>320985</v>
      </c>
      <c r="H215" s="209"/>
      <c r="I215" s="209"/>
      <c r="J215" s="213" t="str">
        <f t="array" ref="J215:M215">_xlfn.XLOOKUP(C215,'ESAP NEIVA FASE II UNIFICADO'!$C$6:$C$720,'ESAP NEIVA FASE II UNIFICADO'!$C$6:$F$720,"NO ESTA")</f>
        <v xml:space="preserve">SUMINISTRO E INSTALACIÓN ACCESORIOS PVC-S DIAMETRO 4"                                                             </v>
      </c>
      <c r="K215" t="str">
        <v>UN</v>
      </c>
      <c r="L215">
        <v>58</v>
      </c>
      <c r="M215">
        <v>15725</v>
      </c>
      <c r="N215" s="115">
        <f t="shared" si="10"/>
        <v>15725</v>
      </c>
      <c r="O215" s="146">
        <f t="shared" si="11"/>
        <v>330225</v>
      </c>
      <c r="P215" s="119"/>
    </row>
    <row r="216" spans="2:16" ht="15" customHeight="1" x14ac:dyDescent="0.25">
      <c r="B216" s="86" t="s">
        <v>399</v>
      </c>
      <c r="C216" s="87" t="s">
        <v>400</v>
      </c>
      <c r="D216" s="82" t="s">
        <v>374</v>
      </c>
      <c r="E216" s="83">
        <v>25</v>
      </c>
      <c r="F216" s="88">
        <v>72844</v>
      </c>
      <c r="G216" s="89">
        <f t="shared" si="9"/>
        <v>1821100</v>
      </c>
      <c r="H216" s="209"/>
      <c r="I216" s="209"/>
      <c r="J216" s="213" t="str">
        <f t="array" ref="J216:M216">_xlfn.XLOOKUP(C216,'ESAP NEIVA FASE II UNIFICADO'!$C$6:$C$720,'ESAP NEIVA FASE II UNIFICADO'!$C$6:$F$720,"NO ESTA")</f>
        <v xml:space="preserve">SUMINISTRO E INSTALACIÓN ACCESORIOS PVC-S DIAMETRO 6"                                                             </v>
      </c>
      <c r="K216" t="str">
        <v>UN</v>
      </c>
      <c r="L216">
        <v>68</v>
      </c>
      <c r="M216">
        <v>74938</v>
      </c>
      <c r="N216" s="115">
        <f t="shared" si="10"/>
        <v>74938</v>
      </c>
      <c r="O216" s="146">
        <f t="shared" si="11"/>
        <v>1873450</v>
      </c>
      <c r="P216" s="119"/>
    </row>
    <row r="217" spans="2:16" ht="15" customHeight="1" x14ac:dyDescent="0.25">
      <c r="B217" s="86" t="s">
        <v>401</v>
      </c>
      <c r="C217" s="87" t="s">
        <v>402</v>
      </c>
      <c r="D217" s="82" t="s">
        <v>269</v>
      </c>
      <c r="E217" s="83">
        <v>12</v>
      </c>
      <c r="F217" s="88">
        <v>48624</v>
      </c>
      <c r="G217" s="89">
        <f t="shared" si="9"/>
        <v>583488</v>
      </c>
      <c r="H217" s="209"/>
      <c r="I217" s="209"/>
      <c r="J217" s="213" t="str">
        <f t="array" ref="J217:M217">_xlfn.XLOOKUP(C217,'ESAP NEIVA FASE II UNIFICADO'!$C$6:$C$720,'ESAP NEIVA FASE II UNIFICADO'!$C$6:$F$720,"NO ESTA")</f>
        <v xml:space="preserve">SUMINISTRO E INSTALACIÓN SALIDA SANITARIA DIAMETRO 3 PULG                                                               </v>
      </c>
      <c r="K217" t="str">
        <v xml:space="preserve">ML   </v>
      </c>
      <c r="L217">
        <v>31</v>
      </c>
      <c r="M217">
        <v>50021</v>
      </c>
      <c r="N217" s="115">
        <f t="shared" si="10"/>
        <v>50021</v>
      </c>
      <c r="O217" s="146">
        <f t="shared" si="11"/>
        <v>600252</v>
      </c>
      <c r="P217" s="119"/>
    </row>
    <row r="218" spans="2:16" ht="15" customHeight="1" x14ac:dyDescent="0.25">
      <c r="B218" s="86" t="s">
        <v>403</v>
      </c>
      <c r="C218" s="87" t="s">
        <v>404</v>
      </c>
      <c r="D218" s="82" t="s">
        <v>269</v>
      </c>
      <c r="E218" s="83">
        <v>8</v>
      </c>
      <c r="F218" s="88">
        <v>59754</v>
      </c>
      <c r="G218" s="89">
        <f t="shared" si="9"/>
        <v>478032</v>
      </c>
      <c r="H218" s="209"/>
      <c r="I218" s="209"/>
      <c r="J218" s="213" t="str">
        <f t="array" ref="J218:M218">_xlfn.XLOOKUP(C218,'ESAP NEIVA FASE II UNIFICADO'!$C$6:$C$720,'ESAP NEIVA FASE II UNIFICADO'!$C$6:$F$720,"NO ESTA")</f>
        <v xml:space="preserve">SUMINISTRO E INSTALACIÓN SALIDA SANITARIA DIAMETRO 4 PULG                                                               </v>
      </c>
      <c r="K218" t="str">
        <v xml:space="preserve">ML   </v>
      </c>
      <c r="L218">
        <v>23</v>
      </c>
      <c r="M218">
        <v>61472</v>
      </c>
      <c r="N218" s="115">
        <f t="shared" si="10"/>
        <v>61472</v>
      </c>
      <c r="O218" s="146">
        <f t="shared" si="11"/>
        <v>491776</v>
      </c>
      <c r="P218" s="119"/>
    </row>
    <row r="219" spans="2:16" ht="15" customHeight="1" x14ac:dyDescent="0.25">
      <c r="B219" s="86" t="s">
        <v>405</v>
      </c>
      <c r="C219" s="87" t="s">
        <v>406</v>
      </c>
      <c r="D219" s="82" t="s">
        <v>269</v>
      </c>
      <c r="E219" s="83">
        <v>50</v>
      </c>
      <c r="F219" s="88">
        <v>52044</v>
      </c>
      <c r="G219" s="89">
        <f t="shared" si="9"/>
        <v>2602200</v>
      </c>
      <c r="H219" s="209"/>
      <c r="I219" s="209"/>
      <c r="J219" s="213" t="str">
        <f t="array" ref="J219:M219">_xlfn.XLOOKUP(C219,'ESAP NEIVA FASE II UNIFICADO'!$C$6:$C$720,'ESAP NEIVA FASE II UNIFICADO'!$C$6:$F$720,"NO ESTA")</f>
        <v xml:space="preserve">SUMINISTRO E INSTALACIÓN POLIETILENO PEAD PARA FILTRO 90 mm                                                                  </v>
      </c>
      <c r="K219" t="str">
        <v xml:space="preserve">ML   </v>
      </c>
      <c r="L219">
        <v>0</v>
      </c>
      <c r="M219">
        <v>53541</v>
      </c>
      <c r="N219" s="115">
        <f t="shared" si="10"/>
        <v>53541</v>
      </c>
      <c r="O219" s="146">
        <f t="shared" si="11"/>
        <v>2677050</v>
      </c>
      <c r="P219" s="119"/>
    </row>
    <row r="220" spans="2:16" ht="15" customHeight="1" x14ac:dyDescent="0.25">
      <c r="B220" s="86" t="s">
        <v>407</v>
      </c>
      <c r="C220" s="87" t="s">
        <v>408</v>
      </c>
      <c r="D220" s="82" t="s">
        <v>269</v>
      </c>
      <c r="E220" s="83">
        <v>30</v>
      </c>
      <c r="F220" s="88">
        <v>27132</v>
      </c>
      <c r="G220" s="89">
        <f t="shared" si="9"/>
        <v>813960</v>
      </c>
      <c r="H220" s="209"/>
      <c r="I220" s="209"/>
      <c r="J220" s="213" t="str">
        <f t="array" ref="J220:M220">_xlfn.XLOOKUP(C220,'ESAP NEIVA FASE II UNIFICADO'!$C$6:$C$720,'ESAP NEIVA FASE II UNIFICADO'!$C$6:$F$720,"NO ESTA")</f>
        <v xml:space="preserve">SUMINISTRO E INSTALACIÓN TUBERIA PVC-ALC 90 mm                                                                  </v>
      </c>
      <c r="K220" t="str">
        <v xml:space="preserve">ML   </v>
      </c>
      <c r="L220">
        <v>0</v>
      </c>
      <c r="M220">
        <v>27913</v>
      </c>
      <c r="N220" s="115">
        <f t="shared" si="10"/>
        <v>27913</v>
      </c>
      <c r="O220" s="146">
        <f t="shared" si="11"/>
        <v>837390</v>
      </c>
      <c r="P220" s="119"/>
    </row>
    <row r="221" spans="2:16" ht="15" customHeight="1" x14ac:dyDescent="0.25">
      <c r="B221" s="86" t="s">
        <v>409</v>
      </c>
      <c r="C221" s="87" t="s">
        <v>410</v>
      </c>
      <c r="D221" s="82" t="s">
        <v>269</v>
      </c>
      <c r="E221" s="83">
        <v>15</v>
      </c>
      <c r="F221" s="88">
        <v>33344</v>
      </c>
      <c r="G221" s="89">
        <f t="shared" si="9"/>
        <v>500160</v>
      </c>
      <c r="H221" s="209"/>
      <c r="I221" s="209"/>
      <c r="J221" s="213" t="str">
        <f t="array" ref="J221:M221">_xlfn.XLOOKUP(C221,'ESAP NEIVA FASE II UNIFICADO'!$C$6:$C$720,'ESAP NEIVA FASE II UNIFICADO'!$C$6:$F$720,"NO ESTA")</f>
        <v xml:space="preserve">SUMINISTRO E INSTALACIÓN TUBERIA PVC-ALC 110 mm                                                                 </v>
      </c>
      <c r="K221" t="str">
        <v xml:space="preserve">ML   </v>
      </c>
      <c r="L221">
        <v>0</v>
      </c>
      <c r="M221">
        <v>34303</v>
      </c>
      <c r="N221" s="115">
        <f t="shared" si="10"/>
        <v>34303</v>
      </c>
      <c r="O221" s="146">
        <f t="shared" si="11"/>
        <v>514545</v>
      </c>
      <c r="P221" s="119"/>
    </row>
    <row r="222" spans="2:16" ht="15" customHeight="1" x14ac:dyDescent="0.25">
      <c r="B222" s="86" t="s">
        <v>411</v>
      </c>
      <c r="C222" s="87" t="s">
        <v>412</v>
      </c>
      <c r="D222" s="82" t="s">
        <v>269</v>
      </c>
      <c r="E222" s="83">
        <v>70</v>
      </c>
      <c r="F222" s="88">
        <v>44518</v>
      </c>
      <c r="G222" s="89">
        <f t="shared" si="9"/>
        <v>3116260</v>
      </c>
      <c r="H222" s="209"/>
      <c r="I222" s="209"/>
      <c r="J222" s="213" t="str">
        <f t="array" ref="J222:M222">_xlfn.XLOOKUP(C222,'ESAP NEIVA FASE II UNIFICADO'!$C$6:$C$720,'ESAP NEIVA FASE II UNIFICADO'!$C$6:$F$720,"NO ESTA")</f>
        <v xml:space="preserve">SUMINISTRO E INSTALACIÓN TUBERIA PVC-ALC 160 mm                                                                 </v>
      </c>
      <c r="K222" t="str">
        <v xml:space="preserve">ML   </v>
      </c>
      <c r="L222">
        <v>0</v>
      </c>
      <c r="M222">
        <v>45798</v>
      </c>
      <c r="N222" s="115">
        <f t="shared" si="10"/>
        <v>45798</v>
      </c>
      <c r="O222" s="146">
        <f t="shared" si="11"/>
        <v>3205860</v>
      </c>
      <c r="P222" s="119"/>
    </row>
    <row r="223" spans="2:16" ht="15" customHeight="1" x14ac:dyDescent="0.25">
      <c r="B223" s="86" t="s">
        <v>413</v>
      </c>
      <c r="C223" s="87" t="s">
        <v>414</v>
      </c>
      <c r="D223" s="82" t="s">
        <v>269</v>
      </c>
      <c r="E223" s="83">
        <v>20</v>
      </c>
      <c r="F223" s="88">
        <v>77667</v>
      </c>
      <c r="G223" s="89">
        <f t="shared" si="9"/>
        <v>1553340</v>
      </c>
      <c r="H223" s="209"/>
      <c r="I223" s="209"/>
      <c r="J223" s="213" t="str">
        <f t="array" ref="J223:M223">_xlfn.XLOOKUP(C223,'ESAP NEIVA FASE II UNIFICADO'!$C$6:$C$720,'ESAP NEIVA FASE II UNIFICADO'!$C$6:$F$720,"NO ESTA")</f>
        <v xml:space="preserve">SUMINISTRO E INSTALACIÓN TUBERIA PVC-ALC 250mm                                                                   </v>
      </c>
      <c r="K223" t="str">
        <v xml:space="preserve">ML   </v>
      </c>
      <c r="L223">
        <v>0</v>
      </c>
      <c r="M223">
        <v>79901</v>
      </c>
      <c r="N223" s="115">
        <f t="shared" si="10"/>
        <v>79901</v>
      </c>
      <c r="O223" s="146">
        <f t="shared" si="11"/>
        <v>1598020</v>
      </c>
      <c r="P223" s="119"/>
    </row>
    <row r="224" spans="2:16" ht="15" customHeight="1" x14ac:dyDescent="0.25">
      <c r="B224" s="86" t="s">
        <v>415</v>
      </c>
      <c r="C224" s="87" t="s">
        <v>358</v>
      </c>
      <c r="D224" s="82" t="s">
        <v>284</v>
      </c>
      <c r="E224" s="83">
        <v>4</v>
      </c>
      <c r="F224" s="88">
        <v>527149</v>
      </c>
      <c r="G224" s="89">
        <f t="shared" si="9"/>
        <v>2108596</v>
      </c>
      <c r="H224" s="209"/>
      <c r="I224" s="209"/>
      <c r="J224" s="213" t="str">
        <f t="array" ref="J224:M224">_xlfn.XLOOKUP(C224,'ESAP NEIVA FASE II UNIFICADO'!$C$6:$C$720,'ESAP NEIVA FASE II UNIFICADO'!$C$6:$F$720,"NO ESTA")</f>
        <v xml:space="preserve">SUMINISTRO Y CONSTRUCCIÓN CAJA DE INSPECCIÓN 0.80mX0.80m H mäx:1.0m                                                                    </v>
      </c>
      <c r="K224" t="str">
        <v xml:space="preserve">UN   </v>
      </c>
      <c r="L224">
        <v>1</v>
      </c>
      <c r="M224">
        <v>542308</v>
      </c>
      <c r="N224" s="115">
        <f t="shared" si="10"/>
        <v>542308</v>
      </c>
      <c r="O224" s="146">
        <f t="shared" si="11"/>
        <v>2169232</v>
      </c>
      <c r="P224" s="119"/>
    </row>
    <row r="225" spans="2:16" ht="15" customHeight="1" x14ac:dyDescent="0.25">
      <c r="B225" s="80" t="s">
        <v>416</v>
      </c>
      <c r="C225" s="81" t="s">
        <v>417</v>
      </c>
      <c r="D225" s="82"/>
      <c r="E225" s="83"/>
      <c r="F225" s="90">
        <v>0</v>
      </c>
      <c r="G225" s="89">
        <f t="shared" si="9"/>
        <v>0</v>
      </c>
      <c r="H225" s="209"/>
      <c r="I225" s="209"/>
      <c r="J225" s="213" t="str">
        <f t="array" ref="J225:M225">_xlfn.XLOOKUP(C225,'ESAP NEIVA FASE II UNIFICADO'!$C$6:$C$720,'ESAP NEIVA FASE II UNIFICADO'!$C$6:$F$720,"NO ESTA")</f>
        <v xml:space="preserve">EXCAVACIONES Y RELLENOS                                                                                       </v>
      </c>
      <c r="K225" t="str">
        <v xml:space="preserve">     </v>
      </c>
      <c r="L225">
        <v>0</v>
      </c>
      <c r="M225">
        <v>0</v>
      </c>
      <c r="N225" s="115">
        <f t="shared" si="10"/>
        <v>0</v>
      </c>
      <c r="O225" s="146">
        <f t="shared" si="11"/>
        <v>0</v>
      </c>
      <c r="P225" s="119"/>
    </row>
    <row r="226" spans="2:16" ht="15" customHeight="1" x14ac:dyDescent="0.25">
      <c r="B226" s="86" t="s">
        <v>418</v>
      </c>
      <c r="C226" s="87" t="s">
        <v>419</v>
      </c>
      <c r="D226" s="82" t="s">
        <v>420</v>
      </c>
      <c r="E226" s="83">
        <v>94</v>
      </c>
      <c r="F226" s="88">
        <v>38854</v>
      </c>
      <c r="G226" s="89">
        <f t="shared" si="9"/>
        <v>3652276</v>
      </c>
      <c r="H226" s="209"/>
      <c r="I226" s="209"/>
      <c r="J226" s="213" t="str">
        <f t="array" ref="J226:M226">_xlfn.XLOOKUP(C226,'ESAP NEIVA FASE II UNIFICADO'!$C$6:$C$720,'ESAP NEIVA FASE II UNIFICADO'!$C$6:$F$720,"NO ESTA")</f>
        <v>EXCAVACIÓN MANUAL EN MATERIAL COMÚN (incluye cargue y retiro)</v>
      </c>
      <c r="K226" t="str">
        <v>M3</v>
      </c>
      <c r="L226">
        <v>57.945499999999981</v>
      </c>
      <c r="M226">
        <v>39971</v>
      </c>
      <c r="N226" s="115">
        <f t="shared" si="10"/>
        <v>39971</v>
      </c>
      <c r="O226" s="146">
        <f t="shared" si="11"/>
        <v>3757274</v>
      </c>
      <c r="P226" s="119"/>
    </row>
    <row r="227" spans="2:16" ht="15" customHeight="1" x14ac:dyDescent="0.25">
      <c r="B227" s="86" t="s">
        <v>421</v>
      </c>
      <c r="C227" s="87" t="s">
        <v>422</v>
      </c>
      <c r="D227" s="82" t="s">
        <v>420</v>
      </c>
      <c r="E227" s="83">
        <v>28</v>
      </c>
      <c r="F227" s="88">
        <v>73475</v>
      </c>
      <c r="G227" s="89">
        <f t="shared" si="9"/>
        <v>2057300</v>
      </c>
      <c r="H227" s="209"/>
      <c r="I227" s="209"/>
      <c r="J227" s="213" t="str">
        <f t="array" ref="J227:M227">_xlfn.XLOOKUP(C227,'ESAP NEIVA FASE II UNIFICADO'!$C$6:$C$720,'ESAP NEIVA FASE II UNIFICADO'!$C$6:$F$720,"NO ESTA")</f>
        <v xml:space="preserve">RELLENO EN ARENA INCLUYE TRANSPORTE Y COLOCACIÓN       </v>
      </c>
      <c r="K227" t="str">
        <v>M3</v>
      </c>
      <c r="L227">
        <v>64.790000000000006</v>
      </c>
      <c r="M227">
        <v>75587</v>
      </c>
      <c r="N227" s="115">
        <f t="shared" si="10"/>
        <v>75587</v>
      </c>
      <c r="O227" s="146">
        <f t="shared" si="11"/>
        <v>2116436</v>
      </c>
      <c r="P227" s="119"/>
    </row>
    <row r="228" spans="2:16" ht="15" customHeight="1" x14ac:dyDescent="0.25">
      <c r="B228" s="86" t="s">
        <v>423</v>
      </c>
      <c r="C228" s="87" t="s">
        <v>36</v>
      </c>
      <c r="D228" s="82" t="s">
        <v>420</v>
      </c>
      <c r="E228" s="83">
        <v>28</v>
      </c>
      <c r="F228" s="88">
        <v>61173</v>
      </c>
      <c r="G228" s="89">
        <f t="shared" si="9"/>
        <v>1712844</v>
      </c>
      <c r="H228" s="209"/>
      <c r="I228" s="209"/>
      <c r="J228" s="213" t="str">
        <f t="array" ref="J228:M228">_xlfn.XLOOKUP(C228,'ESAP NEIVA FASE II UNIFICADO'!$C$6:$C$720,'ESAP NEIVA FASE II UNIFICADO'!$C$6:$F$720,"NO ESTA")</f>
        <v>RELLENO EN RECEBO COMÚN (Incluye Compactación)</v>
      </c>
      <c r="K228" t="str">
        <v>M3</v>
      </c>
      <c r="L228">
        <v>70.485000000000014</v>
      </c>
      <c r="M228">
        <v>62932</v>
      </c>
      <c r="N228" s="115">
        <f t="shared" si="10"/>
        <v>62932</v>
      </c>
      <c r="O228" s="146">
        <f t="shared" si="11"/>
        <v>1762096</v>
      </c>
      <c r="P228" s="119"/>
    </row>
    <row r="229" spans="2:16" ht="15" customHeight="1" x14ac:dyDescent="0.25">
      <c r="B229" s="86" t="s">
        <v>424</v>
      </c>
      <c r="C229" s="87" t="s">
        <v>425</v>
      </c>
      <c r="D229" s="82" t="s">
        <v>420</v>
      </c>
      <c r="E229" s="83">
        <v>37</v>
      </c>
      <c r="F229" s="88">
        <v>12151</v>
      </c>
      <c r="G229" s="89">
        <f t="shared" si="9"/>
        <v>449587</v>
      </c>
      <c r="H229" s="209"/>
      <c r="I229" s="209"/>
      <c r="J229" s="213" t="str">
        <f t="array" ref="J229:M229">_xlfn.XLOOKUP(C229,'ESAP NEIVA FASE II UNIFICADO'!$C$6:$C$720,'ESAP NEIVA FASE II UNIFICADO'!$C$6:$F$720,"NO ESTA")</f>
        <v>RELLENO EN MATERIAL COMÚN SELECCIONADO DE OBRA (Incluye Compactación)</v>
      </c>
      <c r="K229" t="str">
        <v xml:space="preserve">M3   </v>
      </c>
      <c r="L229">
        <v>0</v>
      </c>
      <c r="M229">
        <v>12500</v>
      </c>
      <c r="N229" s="115">
        <f t="shared" si="10"/>
        <v>12500</v>
      </c>
      <c r="O229" s="146">
        <f t="shared" si="11"/>
        <v>462500</v>
      </c>
      <c r="P229" s="119"/>
    </row>
    <row r="230" spans="2:16" ht="15" customHeight="1" x14ac:dyDescent="0.25">
      <c r="B230" s="80" t="s">
        <v>426</v>
      </c>
      <c r="C230" s="81" t="s">
        <v>427</v>
      </c>
      <c r="D230" s="82"/>
      <c r="E230" s="83"/>
      <c r="F230" s="90">
        <v>0</v>
      </c>
      <c r="G230" s="89">
        <f t="shared" si="9"/>
        <v>0</v>
      </c>
      <c r="H230" s="209"/>
      <c r="I230" s="209"/>
      <c r="J230" s="213" t="str">
        <f t="array" ref="J230:M230">_xlfn.XLOOKUP(C230,'ESAP NEIVA FASE II UNIFICADO'!$C$6:$C$720,'ESAP NEIVA FASE II UNIFICADO'!$C$6:$F$720,"NO ESTA")</f>
        <v xml:space="preserve">SUMINISTRO E INSTALACION DE EQUIPOS DE BOMBEO                                                                                             </v>
      </c>
      <c r="K230" t="str">
        <v xml:space="preserve">     </v>
      </c>
      <c r="L230">
        <v>0</v>
      </c>
      <c r="M230">
        <v>0</v>
      </c>
      <c r="N230" s="115">
        <f t="shared" si="10"/>
        <v>0</v>
      </c>
      <c r="O230" s="146">
        <f t="shared" si="11"/>
        <v>0</v>
      </c>
      <c r="P230" s="119"/>
    </row>
    <row r="231" spans="2:16" ht="25.5" customHeight="1" x14ac:dyDescent="0.25">
      <c r="B231" s="86" t="s">
        <v>428</v>
      </c>
      <c r="C231" s="87" t="s">
        <v>429</v>
      </c>
      <c r="D231" s="82" t="s">
        <v>374</v>
      </c>
      <c r="E231" s="83">
        <v>1</v>
      </c>
      <c r="F231" s="88">
        <v>33990785</v>
      </c>
      <c r="G231" s="89">
        <f t="shared" si="9"/>
        <v>33990785</v>
      </c>
      <c r="H231" s="209"/>
      <c r="I231" s="209"/>
      <c r="J231" s="213" t="str">
        <f t="array" ref="J231">_xlfn.XLOOKUP(C231,'ESAP NEIVA FASE II UNIFICADO'!$C$6:$C$720,'ESAP NEIVA FASE II UNIFICADO'!$C$6:$F$720,"NO ESTA")</f>
        <v>NO ESTA</v>
      </c>
      <c r="N231" s="115">
        <f t="shared" si="10"/>
        <v>33990785</v>
      </c>
      <c r="O231" s="146">
        <f t="shared" si="11"/>
        <v>33990785</v>
      </c>
      <c r="P231" s="119"/>
    </row>
    <row r="232" spans="2:16" ht="33.75" customHeight="1" x14ac:dyDescent="0.25">
      <c r="B232" s="86" t="s">
        <v>430</v>
      </c>
      <c r="C232" s="87" t="s">
        <v>431</v>
      </c>
      <c r="D232" s="82" t="s">
        <v>374</v>
      </c>
      <c r="E232" s="83">
        <v>1</v>
      </c>
      <c r="F232" s="88">
        <v>93095474</v>
      </c>
      <c r="G232" s="89">
        <f t="shared" si="9"/>
        <v>93095474</v>
      </c>
      <c r="H232" s="209"/>
      <c r="I232" s="209"/>
      <c r="J232" s="213" t="str">
        <f t="array" ref="J232">_xlfn.XLOOKUP(C232,'ESAP NEIVA FASE II UNIFICADO'!$C$6:$C$720,'ESAP NEIVA FASE II UNIFICADO'!$C$6:$F$720,"NO ESTA")</f>
        <v>NO ESTA</v>
      </c>
      <c r="N232" s="115">
        <f t="shared" si="10"/>
        <v>93095474</v>
      </c>
      <c r="O232" s="146">
        <f t="shared" si="11"/>
        <v>93095474</v>
      </c>
      <c r="P232" s="119"/>
    </row>
    <row r="233" spans="2:16" ht="15" customHeight="1" x14ac:dyDescent="0.25">
      <c r="B233" s="86" t="s">
        <v>432</v>
      </c>
      <c r="C233" s="87" t="s">
        <v>433</v>
      </c>
      <c r="D233" s="82" t="s">
        <v>374</v>
      </c>
      <c r="E233" s="83">
        <v>1</v>
      </c>
      <c r="F233" s="88">
        <v>13701712</v>
      </c>
      <c r="G233" s="89">
        <f t="shared" si="9"/>
        <v>13701712</v>
      </c>
      <c r="H233" s="209"/>
      <c r="I233" s="209"/>
      <c r="J233" s="213" t="str">
        <f t="array" ref="J233:M233">_xlfn.XLOOKUP(C233,'ESAP NEIVA FASE II UNIFICADO'!$C$6:$C$720,'ESAP NEIVA FASE II UNIFICADO'!$C$6:$F$720,"NO ESTA")</f>
        <v xml:space="preserve">SUMINISTRO E INSTALACIÓN DE EQUIPO EYECTOR 2 BOMBAS 3HP C/U </v>
      </c>
      <c r="K233" t="str">
        <v>UN</v>
      </c>
      <c r="L233">
        <v>0</v>
      </c>
      <c r="M233">
        <v>14095722</v>
      </c>
      <c r="N233" s="115">
        <f t="shared" si="10"/>
        <v>14095722</v>
      </c>
      <c r="O233" s="146">
        <f t="shared" si="11"/>
        <v>14095722</v>
      </c>
      <c r="P233" s="119"/>
    </row>
    <row r="234" spans="2:16" ht="18" customHeight="1" x14ac:dyDescent="0.25">
      <c r="B234" s="74">
        <v>13</v>
      </c>
      <c r="C234" s="75" t="s">
        <v>434</v>
      </c>
      <c r="D234" s="76"/>
      <c r="E234" s="77"/>
      <c r="F234" s="78">
        <v>0</v>
      </c>
      <c r="G234" s="89">
        <f t="shared" si="9"/>
        <v>0</v>
      </c>
      <c r="H234" s="209"/>
      <c r="I234" s="209"/>
      <c r="J234" s="213" t="str">
        <f t="array" ref="J234:M234">_xlfn.XLOOKUP(C234,'ESAP NEIVA FASE II UNIFICADO'!$C$6:$C$720,'ESAP NEIVA FASE II UNIFICADO'!$C$6:$F$720,"NO ESTA")</f>
        <v xml:space="preserve">RED DE PROTECCION CONTRA INCENDIO </v>
      </c>
      <c r="K234">
        <v>0</v>
      </c>
      <c r="L234">
        <v>0</v>
      </c>
      <c r="M234">
        <v>0</v>
      </c>
      <c r="N234" s="115">
        <f t="shared" si="10"/>
        <v>0</v>
      </c>
      <c r="O234" s="146">
        <f t="shared" si="11"/>
        <v>0</v>
      </c>
      <c r="P234" s="119"/>
    </row>
    <row r="235" spans="2:16" ht="15" customHeight="1" x14ac:dyDescent="0.25">
      <c r="B235" s="80" t="s">
        <v>435</v>
      </c>
      <c r="C235" s="81" t="s">
        <v>436</v>
      </c>
      <c r="D235" s="82"/>
      <c r="E235" s="83"/>
      <c r="F235" s="90">
        <v>0</v>
      </c>
      <c r="G235" s="89">
        <f t="shared" si="9"/>
        <v>0</v>
      </c>
      <c r="H235" s="209"/>
      <c r="I235" s="209"/>
      <c r="J235" s="213" t="str">
        <f t="array" ref="J235:M235">_xlfn.XLOOKUP(C235,'ESAP NEIVA FASE II UNIFICADO'!$C$6:$C$720,'ESAP NEIVA FASE II UNIFICADO'!$C$6:$F$720,"NO ESTA")</f>
        <v>SUMINISTRO E INSTALACIÓN RED DE ACERO NEGRO SCH 40</v>
      </c>
      <c r="K235">
        <v>0</v>
      </c>
      <c r="L235">
        <v>0</v>
      </c>
      <c r="M235">
        <v>0</v>
      </c>
      <c r="N235" s="115">
        <f t="shared" si="10"/>
        <v>0</v>
      </c>
      <c r="O235" s="146">
        <f t="shared" si="11"/>
        <v>0</v>
      </c>
      <c r="P235" s="119"/>
    </row>
    <row r="236" spans="2:16" ht="26.25" customHeight="1" x14ac:dyDescent="0.25">
      <c r="B236" s="86" t="s">
        <v>437</v>
      </c>
      <c r="C236" s="87" t="s">
        <v>438</v>
      </c>
      <c r="D236" s="82" t="s">
        <v>269</v>
      </c>
      <c r="E236" s="83">
        <v>257</v>
      </c>
      <c r="F236" s="88">
        <v>23651</v>
      </c>
      <c r="G236" s="89">
        <f t="shared" si="9"/>
        <v>6078307</v>
      </c>
      <c r="H236" s="209"/>
      <c r="I236" s="209"/>
      <c r="J236" s="213" t="str">
        <f t="array" ref="J236:M236">_xlfn.XLOOKUP(C236,'ESAP NEIVA FASE II UNIFICADO'!$C$6:$C$720,'ESAP NEIVA FASE II UNIFICADO'!$C$6:$F$720,"NO ESTA")</f>
        <v xml:space="preserve">SUMINISTRO E INSTALACIÓN TUBERIA ACERO 1" SCH 40 INCLUYE. SOPORTES Y ADITAMENTOS                                 </v>
      </c>
      <c r="K236" t="str">
        <v xml:space="preserve">ML   </v>
      </c>
      <c r="L236">
        <v>694</v>
      </c>
      <c r="M236">
        <v>24331</v>
      </c>
      <c r="N236" s="115">
        <f t="shared" si="10"/>
        <v>24331</v>
      </c>
      <c r="O236" s="146">
        <f t="shared" si="11"/>
        <v>6253067</v>
      </c>
      <c r="P236" s="119"/>
    </row>
    <row r="237" spans="2:16" ht="26.25" customHeight="1" x14ac:dyDescent="0.25">
      <c r="B237" s="86" t="s">
        <v>439</v>
      </c>
      <c r="C237" s="87" t="s">
        <v>440</v>
      </c>
      <c r="D237" s="82" t="s">
        <v>269</v>
      </c>
      <c r="E237" s="83">
        <v>129</v>
      </c>
      <c r="F237" s="88">
        <v>50656</v>
      </c>
      <c r="G237" s="89">
        <f t="shared" si="9"/>
        <v>6534624</v>
      </c>
      <c r="H237" s="209"/>
      <c r="I237" s="209"/>
      <c r="J237" s="213" t="str">
        <f t="array" ref="J237:M237">_xlfn.XLOOKUP(C237,'ESAP NEIVA FASE II UNIFICADO'!$C$6:$C$720,'ESAP NEIVA FASE II UNIFICADO'!$C$6:$F$720,"NO ESTA")</f>
        <v xml:space="preserve">SUMINISTRO E INSTALACIÓN TUBERIA ACERO 2" SCH 40 INCLUYE. SOPORTES Y ADITAMENTOS                                 </v>
      </c>
      <c r="K237" t="str">
        <v xml:space="preserve">ML   </v>
      </c>
      <c r="L237">
        <v>350</v>
      </c>
      <c r="M237">
        <v>52113</v>
      </c>
      <c r="N237" s="115">
        <f t="shared" si="10"/>
        <v>52113</v>
      </c>
      <c r="O237" s="146">
        <f t="shared" si="11"/>
        <v>6722577</v>
      </c>
      <c r="P237" s="119"/>
    </row>
    <row r="238" spans="2:16" ht="26.25" customHeight="1" x14ac:dyDescent="0.25">
      <c r="B238" s="86" t="s">
        <v>441</v>
      </c>
      <c r="C238" s="87" t="s">
        <v>442</v>
      </c>
      <c r="D238" s="82" t="s">
        <v>269</v>
      </c>
      <c r="E238" s="83">
        <v>112</v>
      </c>
      <c r="F238" s="88">
        <v>94382</v>
      </c>
      <c r="G238" s="89">
        <f t="shared" si="9"/>
        <v>10570784</v>
      </c>
      <c r="H238" s="209"/>
      <c r="I238" s="209"/>
      <c r="J238" s="213" t="str">
        <f t="array" ref="J238:M238">_xlfn.XLOOKUP(C238,'ESAP NEIVA FASE II UNIFICADO'!$C$6:$C$720,'ESAP NEIVA FASE II UNIFICADO'!$C$6:$F$720,"NO ESTA")</f>
        <v xml:space="preserve">SUMINISTRO E INSTALACIÓN TUBERIA ACERO 3" SCH 40 INCLUYE. SOPORTES Y ADITAMENTOS                                 </v>
      </c>
      <c r="K238" t="str">
        <v xml:space="preserve">ML   </v>
      </c>
      <c r="L238">
        <v>301</v>
      </c>
      <c r="M238">
        <v>97096</v>
      </c>
      <c r="N238" s="115">
        <f t="shared" si="10"/>
        <v>97096</v>
      </c>
      <c r="O238" s="146">
        <f t="shared" si="11"/>
        <v>10874752</v>
      </c>
      <c r="P238" s="119"/>
    </row>
    <row r="239" spans="2:16" ht="26.25" customHeight="1" x14ac:dyDescent="0.25">
      <c r="B239" s="86" t="s">
        <v>443</v>
      </c>
      <c r="C239" s="87" t="s">
        <v>444</v>
      </c>
      <c r="D239" s="82" t="s">
        <v>269</v>
      </c>
      <c r="E239" s="83">
        <v>16</v>
      </c>
      <c r="F239" s="88">
        <v>133184</v>
      </c>
      <c r="G239" s="89">
        <f t="shared" si="9"/>
        <v>2130944</v>
      </c>
      <c r="H239" s="209"/>
      <c r="I239" s="209"/>
      <c r="J239" s="213" t="str">
        <f t="array" ref="J239:M239">_xlfn.XLOOKUP(C239,'ESAP NEIVA FASE II UNIFICADO'!$C$6:$C$720,'ESAP NEIVA FASE II UNIFICADO'!$C$6:$F$720,"NO ESTA")</f>
        <v xml:space="preserve">SUMINISTRO E INSTALACIÓN TUBERIA ACERO 4" SCH 40 INCLUYE. SOPORTES Y ADITAMENTOS                                 </v>
      </c>
      <c r="K239" t="str">
        <v xml:space="preserve">ML   </v>
      </c>
      <c r="L239">
        <v>44</v>
      </c>
      <c r="M239">
        <v>137013</v>
      </c>
      <c r="N239" s="115">
        <f t="shared" si="10"/>
        <v>137013</v>
      </c>
      <c r="O239" s="146">
        <f t="shared" si="11"/>
        <v>2192208</v>
      </c>
      <c r="P239" s="119"/>
    </row>
    <row r="240" spans="2:16" ht="15" customHeight="1" x14ac:dyDescent="0.25">
      <c r="B240" s="86" t="s">
        <v>445</v>
      </c>
      <c r="C240" s="87" t="s">
        <v>446</v>
      </c>
      <c r="D240" s="82" t="s">
        <v>284</v>
      </c>
      <c r="E240" s="83">
        <v>95</v>
      </c>
      <c r="F240" s="88">
        <v>7968</v>
      </c>
      <c r="G240" s="89">
        <f t="shared" si="9"/>
        <v>756960</v>
      </c>
      <c r="H240" s="209"/>
      <c r="I240" s="209"/>
      <c r="J240" s="213" t="str">
        <f t="array" ref="J240:M240">_xlfn.XLOOKUP(C240,'ESAP NEIVA FASE II UNIFICADO'!$C$6:$C$720,'ESAP NEIVA FASE II UNIFICADO'!$C$6:$F$720,"NO ESTA")</f>
        <v xml:space="preserve">SUMINISTRO E INSTALACIÓN ACCESORIOS ACERO NEGRO 1"                                                       </v>
      </c>
      <c r="K240" t="str">
        <v xml:space="preserve">UN   </v>
      </c>
      <c r="L240">
        <v>256</v>
      </c>
      <c r="M240">
        <v>8196</v>
      </c>
      <c r="N240" s="115">
        <f t="shared" si="10"/>
        <v>8196</v>
      </c>
      <c r="O240" s="146">
        <f t="shared" si="11"/>
        <v>778620</v>
      </c>
      <c r="P240" s="119"/>
    </row>
    <row r="241" spans="2:16" ht="15" customHeight="1" x14ac:dyDescent="0.25">
      <c r="B241" s="86" t="s">
        <v>447</v>
      </c>
      <c r="C241" s="87" t="s">
        <v>448</v>
      </c>
      <c r="D241" s="82" t="s">
        <v>284</v>
      </c>
      <c r="E241" s="83">
        <v>35</v>
      </c>
      <c r="F241" s="88">
        <v>17334</v>
      </c>
      <c r="G241" s="89">
        <f t="shared" si="9"/>
        <v>606690</v>
      </c>
      <c r="H241" s="209"/>
      <c r="I241" s="209"/>
      <c r="J241" s="213" t="str">
        <f t="array" ref="J241:M241">_xlfn.XLOOKUP(C241,'ESAP NEIVA FASE II UNIFICADO'!$C$6:$C$720,'ESAP NEIVA FASE II UNIFICADO'!$C$6:$F$720,"NO ESTA")</f>
        <v xml:space="preserve">SUMINISTRO E INSTALACIÓN ACCESORIOS ACERO NEGRO 2"                                                       </v>
      </c>
      <c r="K241" t="str">
        <v xml:space="preserve">UN   </v>
      </c>
      <c r="L241">
        <v>95</v>
      </c>
      <c r="M241">
        <v>17833</v>
      </c>
      <c r="N241" s="115">
        <f t="shared" si="10"/>
        <v>17833</v>
      </c>
      <c r="O241" s="146">
        <f t="shared" si="11"/>
        <v>624155</v>
      </c>
      <c r="P241" s="119"/>
    </row>
    <row r="242" spans="2:16" ht="15" customHeight="1" x14ac:dyDescent="0.25">
      <c r="B242" s="86" t="s">
        <v>449</v>
      </c>
      <c r="C242" s="87" t="s">
        <v>450</v>
      </c>
      <c r="D242" s="82" t="s">
        <v>284</v>
      </c>
      <c r="E242" s="83">
        <v>48</v>
      </c>
      <c r="F242" s="88">
        <v>26840</v>
      </c>
      <c r="G242" s="89">
        <f t="shared" si="9"/>
        <v>1288320</v>
      </c>
      <c r="H242" s="209"/>
      <c r="I242" s="209"/>
      <c r="J242" s="213" t="str">
        <f t="array" ref="J242:M242">_xlfn.XLOOKUP(C242,'ESAP NEIVA FASE II UNIFICADO'!$C$6:$C$720,'ESAP NEIVA FASE II UNIFICADO'!$C$6:$F$720,"NO ESTA")</f>
        <v xml:space="preserve">SUMINISTRO E INSTALACIÓN ACCESORIOS ACERO NEGRO 3"                                                       </v>
      </c>
      <c r="K242" t="str">
        <v xml:space="preserve">UN   </v>
      </c>
      <c r="L242">
        <v>128</v>
      </c>
      <c r="M242">
        <v>27612</v>
      </c>
      <c r="N242" s="115">
        <f t="shared" si="10"/>
        <v>27612</v>
      </c>
      <c r="O242" s="146">
        <f t="shared" si="11"/>
        <v>1325376</v>
      </c>
      <c r="P242" s="119"/>
    </row>
    <row r="243" spans="2:16" ht="15" customHeight="1" x14ac:dyDescent="0.25">
      <c r="B243" s="86" t="s">
        <v>451</v>
      </c>
      <c r="C243" s="87" t="s">
        <v>452</v>
      </c>
      <c r="D243" s="82" t="s">
        <v>284</v>
      </c>
      <c r="E243" s="83">
        <v>7</v>
      </c>
      <c r="F243" s="88">
        <v>41942</v>
      </c>
      <c r="G243" s="89">
        <f t="shared" si="9"/>
        <v>293594</v>
      </c>
      <c r="H243" s="209"/>
      <c r="I243" s="209"/>
      <c r="J243" s="213" t="str">
        <f t="array" ref="J243:M243">_xlfn.XLOOKUP(C243,'ESAP NEIVA FASE II UNIFICADO'!$C$6:$C$720,'ESAP NEIVA FASE II UNIFICADO'!$C$6:$F$720,"NO ESTA")</f>
        <v xml:space="preserve">SUMINISTRO E INSTALACIÓN ACCESORIOS ACERO NEGRO 4"                                                       </v>
      </c>
      <c r="K243" t="str">
        <v xml:space="preserve">UN   </v>
      </c>
      <c r="L243">
        <v>19</v>
      </c>
      <c r="M243">
        <v>43148</v>
      </c>
      <c r="N243" s="115">
        <f t="shared" si="10"/>
        <v>43148</v>
      </c>
      <c r="O243" s="146">
        <f t="shared" si="11"/>
        <v>302036</v>
      </c>
      <c r="P243" s="119"/>
    </row>
    <row r="244" spans="2:16" ht="15" customHeight="1" x14ac:dyDescent="0.25">
      <c r="B244" s="86" t="s">
        <v>453</v>
      </c>
      <c r="C244" s="87" t="s">
        <v>454</v>
      </c>
      <c r="D244" s="82" t="s">
        <v>284</v>
      </c>
      <c r="E244" s="83">
        <v>21</v>
      </c>
      <c r="F244" s="88">
        <v>8087</v>
      </c>
      <c r="G244" s="89">
        <f t="shared" si="9"/>
        <v>169827</v>
      </c>
      <c r="H244" s="209"/>
      <c r="I244" s="209"/>
      <c r="J244" s="213" t="str">
        <f t="array" ref="J244:M244">_xlfn.XLOOKUP(C244,'ESAP NEIVA FASE II UNIFICADO'!$C$6:$C$720,'ESAP NEIVA FASE II UNIFICADO'!$C$6:$F$720,"NO ESTA")</f>
        <v xml:space="preserve">SUMINISTRO E INSTALACIÓN ACOPLES HIERRO FUNDIDO DIAMETRO 2"                                                      </v>
      </c>
      <c r="K244" t="str">
        <v xml:space="preserve">UN   </v>
      </c>
      <c r="L244">
        <v>55</v>
      </c>
      <c r="M244">
        <v>8320</v>
      </c>
      <c r="N244" s="115">
        <f t="shared" si="10"/>
        <v>8320</v>
      </c>
      <c r="O244" s="146">
        <f t="shared" si="11"/>
        <v>174720</v>
      </c>
      <c r="P244" s="119"/>
    </row>
    <row r="245" spans="2:16" ht="15" customHeight="1" x14ac:dyDescent="0.25">
      <c r="B245" s="86" t="s">
        <v>455</v>
      </c>
      <c r="C245" s="87" t="s">
        <v>456</v>
      </c>
      <c r="D245" s="82" t="s">
        <v>284</v>
      </c>
      <c r="E245" s="83">
        <v>22</v>
      </c>
      <c r="F245" s="88">
        <v>10734</v>
      </c>
      <c r="G245" s="89">
        <f t="shared" si="9"/>
        <v>236148</v>
      </c>
      <c r="H245" s="209"/>
      <c r="I245" s="209"/>
      <c r="J245" s="213" t="str">
        <f t="array" ref="J245:M245">_xlfn.XLOOKUP(C245,'ESAP NEIVA FASE II UNIFICADO'!$C$6:$C$720,'ESAP NEIVA FASE II UNIFICADO'!$C$6:$F$720,"NO ESTA")</f>
        <v xml:space="preserve">SUMINISTRO E INSTALACIÓN ACOPLES HIERRO FUNDIDO DIAMETRO 3"                                                       </v>
      </c>
      <c r="K245" t="str">
        <v xml:space="preserve">UN   </v>
      </c>
      <c r="L245">
        <v>58</v>
      </c>
      <c r="M245">
        <v>11043</v>
      </c>
      <c r="N245" s="115">
        <f t="shared" si="10"/>
        <v>11043</v>
      </c>
      <c r="O245" s="146">
        <f t="shared" si="11"/>
        <v>242946</v>
      </c>
      <c r="P245" s="119"/>
    </row>
    <row r="246" spans="2:16" ht="15" customHeight="1" x14ac:dyDescent="0.25">
      <c r="B246" s="86" t="s">
        <v>457</v>
      </c>
      <c r="C246" s="87" t="s">
        <v>458</v>
      </c>
      <c r="D246" s="82" t="s">
        <v>284</v>
      </c>
      <c r="E246" s="83">
        <v>3</v>
      </c>
      <c r="F246" s="88">
        <v>13280</v>
      </c>
      <c r="G246" s="89">
        <f t="shared" si="9"/>
        <v>39840</v>
      </c>
      <c r="H246" s="209"/>
      <c r="I246" s="209"/>
      <c r="J246" s="213" t="str">
        <f t="array" ref="J246:M246">_xlfn.XLOOKUP(C246,'ESAP NEIVA FASE II UNIFICADO'!$C$6:$C$720,'ESAP NEIVA FASE II UNIFICADO'!$C$6:$F$720,"NO ESTA")</f>
        <v xml:space="preserve">SUMINISTRO E INSTALACIÓN ACOPLES HIERRO FUNDIDO DIAMETRO 4"                                                       </v>
      </c>
      <c r="K246" t="str">
        <v xml:space="preserve">UN   </v>
      </c>
      <c r="L246">
        <v>9</v>
      </c>
      <c r="M246">
        <v>13663</v>
      </c>
      <c r="N246" s="115">
        <f t="shared" si="10"/>
        <v>13663</v>
      </c>
      <c r="O246" s="146">
        <f t="shared" si="11"/>
        <v>40989</v>
      </c>
      <c r="P246" s="119"/>
    </row>
    <row r="247" spans="2:16" ht="15" customHeight="1" x14ac:dyDescent="0.25">
      <c r="B247" s="86" t="s">
        <v>459</v>
      </c>
      <c r="C247" s="87" t="s">
        <v>460</v>
      </c>
      <c r="D247" s="82" t="s">
        <v>269</v>
      </c>
      <c r="E247" s="83">
        <v>222</v>
      </c>
      <c r="F247" s="88">
        <v>5722</v>
      </c>
      <c r="G247" s="89">
        <f t="shared" si="9"/>
        <v>1270284</v>
      </c>
      <c r="H247" s="209"/>
      <c r="I247" s="209"/>
      <c r="J247" s="213" t="str">
        <f t="array" ref="J247:M247">_xlfn.XLOOKUP(C247,'ESAP NEIVA FASE II UNIFICADO'!$C$6:$C$720,'ESAP NEIVA FASE II UNIFICADO'!$C$6:$F$720,"NO ESTA")</f>
        <v xml:space="preserve">SUMINISTRO Y APLICACIÓN PINTURA RED DE INCENDIO DIAMETRO DE 1" A 2"                                                              </v>
      </c>
      <c r="K247" t="str">
        <v xml:space="preserve">ML   </v>
      </c>
      <c r="L247">
        <v>602</v>
      </c>
      <c r="M247">
        <v>5888</v>
      </c>
      <c r="N247" s="115">
        <f t="shared" si="10"/>
        <v>5888</v>
      </c>
      <c r="O247" s="146">
        <f t="shared" si="11"/>
        <v>1307136</v>
      </c>
      <c r="P247" s="119"/>
    </row>
    <row r="248" spans="2:16" ht="15" customHeight="1" x14ac:dyDescent="0.25">
      <c r="B248" s="86" t="s">
        <v>461</v>
      </c>
      <c r="C248" s="87" t="s">
        <v>462</v>
      </c>
      <c r="D248" s="82" t="s">
        <v>269</v>
      </c>
      <c r="E248" s="83">
        <v>40</v>
      </c>
      <c r="F248" s="88">
        <v>9735</v>
      </c>
      <c r="G248" s="89">
        <f t="shared" si="9"/>
        <v>389400</v>
      </c>
      <c r="H248" s="209"/>
      <c r="I248" s="209"/>
      <c r="J248" s="213" t="str">
        <f t="array" ref="J248:M248">_xlfn.XLOOKUP(C248,'ESAP NEIVA FASE II UNIFICADO'!$C$6:$C$720,'ESAP NEIVA FASE II UNIFICADO'!$C$6:$F$720,"NO ESTA")</f>
        <v xml:space="preserve">SUMINISTRO Y APLICACIÓN PINTURA RED DE INCENDIO DIAMETRO DE  2 1/2" A 4"                                                          </v>
      </c>
      <c r="K248" t="str">
        <v xml:space="preserve">ML   </v>
      </c>
      <c r="L248">
        <v>107</v>
      </c>
      <c r="M248">
        <v>10014</v>
      </c>
      <c r="N248" s="115">
        <f t="shared" si="10"/>
        <v>10014</v>
      </c>
      <c r="O248" s="146">
        <f t="shared" si="11"/>
        <v>400560</v>
      </c>
      <c r="P248" s="119"/>
    </row>
    <row r="249" spans="2:16" ht="15" customHeight="1" x14ac:dyDescent="0.25">
      <c r="B249" s="80" t="s">
        <v>463</v>
      </c>
      <c r="C249" s="81" t="s">
        <v>464</v>
      </c>
      <c r="D249" s="82"/>
      <c r="E249" s="83"/>
      <c r="F249" s="90">
        <v>0</v>
      </c>
      <c r="G249" s="89">
        <f t="shared" si="9"/>
        <v>0</v>
      </c>
      <c r="H249" s="209"/>
      <c r="I249" s="209"/>
      <c r="J249" s="213" t="str">
        <f t="array" ref="J249:M249">_xlfn.XLOOKUP(C249,'ESAP NEIVA FASE II UNIFICADO'!$C$6:$C$720,'ESAP NEIVA FASE II UNIFICADO'!$C$6:$F$720,"NO ESTA")</f>
        <v>SUMINISTRO E INSTALACION ELEMENTOS RED CONTRA INCENDIO</v>
      </c>
      <c r="K249">
        <v>0</v>
      </c>
      <c r="L249">
        <v>0</v>
      </c>
      <c r="M249">
        <v>0</v>
      </c>
      <c r="N249" s="115">
        <f t="shared" si="10"/>
        <v>0</v>
      </c>
      <c r="O249" s="146">
        <f t="shared" si="11"/>
        <v>0</v>
      </c>
      <c r="P249" s="119"/>
    </row>
    <row r="250" spans="2:16" ht="15" customHeight="1" x14ac:dyDescent="0.25">
      <c r="B250" s="86" t="s">
        <v>465</v>
      </c>
      <c r="C250" s="87" t="s">
        <v>466</v>
      </c>
      <c r="D250" s="82" t="s">
        <v>284</v>
      </c>
      <c r="E250" s="83">
        <v>102</v>
      </c>
      <c r="F250" s="88">
        <v>57707</v>
      </c>
      <c r="G250" s="89">
        <f t="shared" si="9"/>
        <v>5886114</v>
      </c>
      <c r="H250" s="209"/>
      <c r="I250" s="209"/>
      <c r="J250" s="213" t="str">
        <f t="array" ref="J250:M250">_xlfn.XLOOKUP(C250,'ESAP NEIVA FASE II UNIFICADO'!$C$6:$C$720,'ESAP NEIVA FASE II UNIFICADO'!$C$6:$F$720,"NO ESTA")</f>
        <v xml:space="preserve">SUMINISTRO E INSTALACIÓN ROCIADOR PENDENT K:5.6                                                          </v>
      </c>
      <c r="K250" t="str">
        <v xml:space="preserve">UN   </v>
      </c>
      <c r="L250">
        <v>276</v>
      </c>
      <c r="M250">
        <v>59366</v>
      </c>
      <c r="N250" s="115">
        <f t="shared" si="10"/>
        <v>59366</v>
      </c>
      <c r="O250" s="146">
        <f t="shared" si="11"/>
        <v>6055332</v>
      </c>
      <c r="P250" s="119"/>
    </row>
    <row r="251" spans="2:16" ht="15" customHeight="1" x14ac:dyDescent="0.25">
      <c r="B251" s="86" t="s">
        <v>467</v>
      </c>
      <c r="C251" s="87" t="s">
        <v>468</v>
      </c>
      <c r="D251" s="82" t="s">
        <v>284</v>
      </c>
      <c r="E251" s="83">
        <v>14</v>
      </c>
      <c r="F251" s="88">
        <v>37813</v>
      </c>
      <c r="G251" s="89">
        <f t="shared" si="9"/>
        <v>529382</v>
      </c>
      <c r="H251" s="209"/>
      <c r="I251" s="209"/>
      <c r="J251" s="213" t="str">
        <f t="array" ref="J251:M251">_xlfn.XLOOKUP(C251,'ESAP NEIVA FASE II UNIFICADO'!$C$6:$C$720,'ESAP NEIVA FASE II UNIFICADO'!$C$6:$F$720,"NO ESTA")</f>
        <v xml:space="preserve">SUMINISTRO E INSTALACIÓN ROCIADOR MONTANTE K:5.6                                                          </v>
      </c>
      <c r="K251" t="str">
        <v xml:space="preserve">UN   </v>
      </c>
      <c r="L251">
        <v>38</v>
      </c>
      <c r="M251">
        <v>38899</v>
      </c>
      <c r="N251" s="115">
        <f t="shared" si="10"/>
        <v>38899</v>
      </c>
      <c r="O251" s="146">
        <f t="shared" si="11"/>
        <v>544586</v>
      </c>
      <c r="P251" s="119"/>
    </row>
    <row r="252" spans="2:16" ht="15" customHeight="1" x14ac:dyDescent="0.25">
      <c r="B252" s="86" t="s">
        <v>469</v>
      </c>
      <c r="C252" s="87" t="s">
        <v>470</v>
      </c>
      <c r="D252" s="82" t="s">
        <v>284</v>
      </c>
      <c r="E252" s="83">
        <v>10</v>
      </c>
      <c r="F252" s="88">
        <v>124777</v>
      </c>
      <c r="G252" s="89">
        <f t="shared" si="9"/>
        <v>1247770</v>
      </c>
      <c r="H252" s="209"/>
      <c r="I252" s="209"/>
      <c r="J252" s="213" t="str">
        <f t="array" ref="J252:M252">_xlfn.XLOOKUP(C252,'ESAP NEIVA FASE II UNIFICADO'!$C$6:$C$720,'ESAP NEIVA FASE II UNIFICADO'!$C$6:$F$720,"NO ESTA")</f>
        <v xml:space="preserve">SUMINISTRO E INSTALACIÓN ROCIADOR PENDENT K:11.2                                                          </v>
      </c>
      <c r="K252" t="str">
        <v xml:space="preserve">UN   </v>
      </c>
      <c r="L252">
        <v>27</v>
      </c>
      <c r="M252">
        <v>128366</v>
      </c>
      <c r="N252" s="115">
        <f t="shared" si="10"/>
        <v>128366</v>
      </c>
      <c r="O252" s="146">
        <f t="shared" si="11"/>
        <v>1283660</v>
      </c>
      <c r="P252" s="119"/>
    </row>
    <row r="253" spans="2:16" ht="15" customHeight="1" x14ac:dyDescent="0.25">
      <c r="B253" s="86" t="s">
        <v>471</v>
      </c>
      <c r="C253" s="87" t="s">
        <v>472</v>
      </c>
      <c r="D253" s="82" t="s">
        <v>284</v>
      </c>
      <c r="E253" s="83">
        <v>126</v>
      </c>
      <c r="F253" s="88">
        <v>45545</v>
      </c>
      <c r="G253" s="89">
        <f t="shared" si="9"/>
        <v>5738670</v>
      </c>
      <c r="H253" s="209"/>
      <c r="I253" s="209"/>
      <c r="J253" s="213" t="str">
        <f t="array" ref="J253:M253">_xlfn.XLOOKUP(C253,'ESAP NEIVA FASE II UNIFICADO'!$C$6:$C$720,'ESAP NEIVA FASE II UNIFICADO'!$C$6:$F$720,"NO ESTA")</f>
        <v xml:space="preserve">SUMINISTRO E INSTALACIÓN PUNTO HIDRÁULICO PARA ROCIADOR                                                  </v>
      </c>
      <c r="K253" t="str">
        <v xml:space="preserve">UN   </v>
      </c>
      <c r="L253">
        <v>341</v>
      </c>
      <c r="M253">
        <v>46856</v>
      </c>
      <c r="N253" s="115">
        <f t="shared" si="10"/>
        <v>46856</v>
      </c>
      <c r="O253" s="146">
        <f t="shared" si="11"/>
        <v>5903856</v>
      </c>
      <c r="P253" s="119"/>
    </row>
    <row r="254" spans="2:16" ht="15" customHeight="1" x14ac:dyDescent="0.25">
      <c r="B254" s="86" t="s">
        <v>473</v>
      </c>
      <c r="C254" s="87" t="s">
        <v>474</v>
      </c>
      <c r="D254" s="82" t="s">
        <v>284</v>
      </c>
      <c r="E254" s="83">
        <v>3</v>
      </c>
      <c r="F254" s="88">
        <v>4067582</v>
      </c>
      <c r="G254" s="89">
        <f t="shared" si="9"/>
        <v>12202746</v>
      </c>
      <c r="H254" s="209"/>
      <c r="I254" s="209"/>
      <c r="J254" s="213" t="str">
        <f t="array" ref="J254:M254">_xlfn.XLOOKUP(C254,'ESAP NEIVA FASE II UNIFICADO'!$C$6:$C$720,'ESAP NEIVA FASE II UNIFICADO'!$C$6:$F$720,"NO ESTA")</f>
        <v xml:space="preserve">SUMINISTRO E INSTALACIÓN ESTACIÓN DE CONTROL, PRUEBA Y DRENAJE 3"                                        </v>
      </c>
      <c r="K254" t="str">
        <v xml:space="preserve">UN   </v>
      </c>
      <c r="L254">
        <v>2</v>
      </c>
      <c r="M254">
        <v>4184551</v>
      </c>
      <c r="N254" s="115">
        <f t="shared" si="10"/>
        <v>4184551</v>
      </c>
      <c r="O254" s="146">
        <f t="shared" si="11"/>
        <v>12553653</v>
      </c>
      <c r="P254" s="119"/>
    </row>
    <row r="255" spans="2:16" ht="15" customHeight="1" x14ac:dyDescent="0.25">
      <c r="B255" s="86" t="s">
        <v>475</v>
      </c>
      <c r="C255" s="87" t="s">
        <v>476</v>
      </c>
      <c r="D255" s="82" t="s">
        <v>284</v>
      </c>
      <c r="E255" s="83">
        <v>3</v>
      </c>
      <c r="F255" s="88">
        <v>77869</v>
      </c>
      <c r="G255" s="89">
        <f t="shared" si="9"/>
        <v>233607</v>
      </c>
      <c r="H255" s="209"/>
      <c r="I255" s="209"/>
      <c r="J255" s="213" t="str">
        <f t="array" ref="J255:M255">_xlfn.XLOOKUP(C255,'ESAP NEIVA FASE II UNIFICADO'!$C$6:$C$720,'ESAP NEIVA FASE II UNIFICADO'!$C$6:$F$720,"NO ESTA")</f>
        <v xml:space="preserve">SUMINISTRO E INSTALACIÓN VÁLVULA TOMA Y DESC. AIRE 1" INCENDIO                                           </v>
      </c>
      <c r="K255" t="str">
        <v xml:space="preserve">UN   </v>
      </c>
      <c r="L255">
        <v>7</v>
      </c>
      <c r="M255">
        <v>80107</v>
      </c>
      <c r="N255" s="115">
        <f t="shared" si="10"/>
        <v>80107</v>
      </c>
      <c r="O255" s="146">
        <f t="shared" si="11"/>
        <v>240321</v>
      </c>
      <c r="P255" s="119"/>
    </row>
    <row r="256" spans="2:16" ht="15" customHeight="1" x14ac:dyDescent="0.25">
      <c r="B256" s="86" t="s">
        <v>477</v>
      </c>
      <c r="C256" s="87" t="s">
        <v>478</v>
      </c>
      <c r="D256" s="82" t="s">
        <v>284</v>
      </c>
      <c r="E256" s="83">
        <v>1</v>
      </c>
      <c r="F256" s="88">
        <v>1444838</v>
      </c>
      <c r="G256" s="89">
        <f t="shared" si="9"/>
        <v>1444838</v>
      </c>
      <c r="H256" s="209"/>
      <c r="I256" s="209"/>
      <c r="J256" s="213" t="str">
        <f t="array" ref="J256:M256">_xlfn.XLOOKUP(C256,'ESAP NEIVA FASE II UNIFICADO'!$C$6:$C$720,'ESAP NEIVA FASE II UNIFICADO'!$C$6:$F$720,"NO ESTA")</f>
        <v xml:space="preserve">SUMINISTRO E INSTALACIÓN SIAMESA DE INYECCIÓN                                                            </v>
      </c>
      <c r="K256" t="str">
        <v xml:space="preserve">UN   </v>
      </c>
      <c r="L256">
        <v>1</v>
      </c>
      <c r="M256">
        <v>1486386</v>
      </c>
      <c r="N256" s="115">
        <f t="shared" si="10"/>
        <v>1486386</v>
      </c>
      <c r="O256" s="146">
        <f t="shared" si="11"/>
        <v>1486386</v>
      </c>
      <c r="P256" s="119"/>
    </row>
    <row r="257" spans="2:16" ht="15" customHeight="1" x14ac:dyDescent="0.25">
      <c r="B257" s="86" t="s">
        <v>479</v>
      </c>
      <c r="C257" s="87" t="s">
        <v>480</v>
      </c>
      <c r="D257" s="82" t="s">
        <v>284</v>
      </c>
      <c r="E257" s="83">
        <v>1</v>
      </c>
      <c r="F257" s="88">
        <v>5225374</v>
      </c>
      <c r="G257" s="89">
        <f t="shared" si="9"/>
        <v>5225374</v>
      </c>
      <c r="H257" s="209"/>
      <c r="I257" s="209"/>
      <c r="J257" s="213" t="str">
        <f t="array" ref="J257:M257">_xlfn.XLOOKUP(C257,'ESAP NEIVA FASE II UNIFICADO'!$C$6:$C$720,'ESAP NEIVA FASE II UNIFICADO'!$C$6:$F$720,"NO ESTA")</f>
        <v xml:space="preserve">SUMINISTRO E INSTALACIÓN CABEZAL DE PRUEBAS                                                         </v>
      </c>
      <c r="K257" t="str">
        <v xml:space="preserve">UN   </v>
      </c>
      <c r="L257">
        <v>0</v>
      </c>
      <c r="M257">
        <v>5375637</v>
      </c>
      <c r="N257" s="115">
        <f t="shared" si="10"/>
        <v>5375637</v>
      </c>
      <c r="O257" s="146">
        <f t="shared" si="11"/>
        <v>5375637</v>
      </c>
      <c r="P257" s="119"/>
    </row>
    <row r="258" spans="2:16" ht="15" customHeight="1" x14ac:dyDescent="0.25">
      <c r="B258" s="86" t="s">
        <v>481</v>
      </c>
      <c r="C258" s="87" t="s">
        <v>482</v>
      </c>
      <c r="D258" s="82" t="s">
        <v>284</v>
      </c>
      <c r="E258" s="83">
        <v>1</v>
      </c>
      <c r="F258" s="88">
        <v>417454</v>
      </c>
      <c r="G258" s="89">
        <f t="shared" si="9"/>
        <v>417454</v>
      </c>
      <c r="H258" s="209"/>
      <c r="I258" s="209"/>
      <c r="J258" s="213" t="str">
        <f t="array" ref="J258:M258">_xlfn.XLOOKUP(C258,'ESAP NEIVA FASE II UNIFICADO'!$C$6:$C$720,'ESAP NEIVA FASE II UNIFICADO'!$C$6:$F$720,"NO ESTA")</f>
        <v xml:space="preserve">SUMINISTRO E INSTALACIÓN CHEQUE RANURADO 4"                                                              </v>
      </c>
      <c r="K258" t="str">
        <v xml:space="preserve">UN   </v>
      </c>
      <c r="L258">
        <v>0</v>
      </c>
      <c r="M258">
        <v>429459</v>
      </c>
      <c r="N258" s="115">
        <f t="shared" si="10"/>
        <v>429459</v>
      </c>
      <c r="O258" s="146">
        <f t="shared" si="11"/>
        <v>429459</v>
      </c>
      <c r="P258" s="119"/>
    </row>
    <row r="259" spans="2:16" ht="15" customHeight="1" x14ac:dyDescent="0.25">
      <c r="B259" s="86" t="s">
        <v>483</v>
      </c>
      <c r="C259" s="87" t="s">
        <v>484</v>
      </c>
      <c r="D259" s="82" t="s">
        <v>284</v>
      </c>
      <c r="E259" s="83">
        <v>1</v>
      </c>
      <c r="F259" s="88">
        <v>1501782</v>
      </c>
      <c r="G259" s="89">
        <f t="shared" si="9"/>
        <v>1501782</v>
      </c>
      <c r="H259" s="209"/>
      <c r="I259" s="209"/>
      <c r="J259" s="213" t="str">
        <f t="array" ref="J259:M259">_xlfn.XLOOKUP(C259,'ESAP NEIVA FASE II UNIFICADO'!$C$6:$C$720,'ESAP NEIVA FASE II UNIFICADO'!$C$6:$F$720,"NO ESTA")</f>
        <v xml:space="preserve">SUMINISTRO E INSTALACIÓN VÁLVULA OS&amp;Y 4"                                                                 </v>
      </c>
      <c r="K259" t="str">
        <v xml:space="preserve">UN   </v>
      </c>
      <c r="L259">
        <v>0</v>
      </c>
      <c r="M259">
        <v>1544969</v>
      </c>
      <c r="N259" s="115">
        <f t="shared" si="10"/>
        <v>1544969</v>
      </c>
      <c r="O259" s="146">
        <f t="shared" si="11"/>
        <v>1544969</v>
      </c>
      <c r="P259" s="119"/>
    </row>
    <row r="260" spans="2:16" ht="15" customHeight="1" x14ac:dyDescent="0.25">
      <c r="B260" s="86" t="s">
        <v>485</v>
      </c>
      <c r="C260" s="87" t="s">
        <v>486</v>
      </c>
      <c r="D260" s="82" t="s">
        <v>284</v>
      </c>
      <c r="E260" s="83">
        <v>5</v>
      </c>
      <c r="F260" s="88">
        <v>135847</v>
      </c>
      <c r="G260" s="89">
        <f t="shared" si="9"/>
        <v>679235</v>
      </c>
      <c r="H260" s="209"/>
      <c r="I260" s="209"/>
      <c r="J260" s="213" t="str">
        <f t="array" ref="J260:M260">_xlfn.XLOOKUP(C260,'ESAP NEIVA FASE II UNIFICADO'!$C$6:$C$720,'ESAP NEIVA FASE II UNIFICADO'!$C$6:$F$720,"NO ESTA")</f>
        <v xml:space="preserve">SUMINISTRO E INSTALACIÓN SOPORTE LONGITUDINAL 4 VÍAS 3"                                                               </v>
      </c>
      <c r="K260" t="str">
        <v xml:space="preserve">UN   </v>
      </c>
      <c r="L260">
        <v>15</v>
      </c>
      <c r="M260">
        <v>139754</v>
      </c>
      <c r="N260" s="115">
        <f t="shared" si="10"/>
        <v>139754</v>
      </c>
      <c r="O260" s="146">
        <f t="shared" si="11"/>
        <v>698770</v>
      </c>
      <c r="P260" s="119"/>
    </row>
    <row r="261" spans="2:16" ht="15" customHeight="1" x14ac:dyDescent="0.25">
      <c r="B261" s="86" t="s">
        <v>487</v>
      </c>
      <c r="C261" s="87" t="s">
        <v>488</v>
      </c>
      <c r="D261" s="82" t="s">
        <v>284</v>
      </c>
      <c r="E261" s="83">
        <v>1</v>
      </c>
      <c r="F261" s="88">
        <v>273215</v>
      </c>
      <c r="G261" s="89">
        <f t="shared" si="9"/>
        <v>273215</v>
      </c>
      <c r="H261" s="209"/>
      <c r="I261" s="209"/>
      <c r="J261" s="213" t="str">
        <f t="array" ref="J261:M261">_xlfn.XLOOKUP(C261,'ESAP NEIVA FASE II UNIFICADO'!$C$6:$C$720,'ESAP NEIVA FASE II UNIFICADO'!$C$6:$F$720,"NO ESTA")</f>
        <v xml:space="preserve">SUMINISTRO E INSTALACIÓN SOPORTE LONGITUDINAL 4 VÍAS 4"                                                               </v>
      </c>
      <c r="K261" t="str">
        <v xml:space="preserve">UN   </v>
      </c>
      <c r="L261">
        <v>2</v>
      </c>
      <c r="M261">
        <v>281071</v>
      </c>
      <c r="N261" s="115">
        <f t="shared" si="10"/>
        <v>281071</v>
      </c>
      <c r="O261" s="146">
        <f t="shared" si="11"/>
        <v>281071</v>
      </c>
      <c r="P261" s="119"/>
    </row>
    <row r="262" spans="2:16" ht="15" customHeight="1" x14ac:dyDescent="0.25">
      <c r="B262" s="86" t="s">
        <v>489</v>
      </c>
      <c r="C262" s="87" t="s">
        <v>490</v>
      </c>
      <c r="D262" s="82" t="s">
        <v>284</v>
      </c>
      <c r="E262" s="83">
        <v>12</v>
      </c>
      <c r="F262" s="88">
        <v>116835</v>
      </c>
      <c r="G262" s="89">
        <f t="shared" ref="G262:G325" si="12">ROUND(+F262*E262,2)</f>
        <v>1402020</v>
      </c>
      <c r="H262" s="209"/>
      <c r="I262" s="209"/>
      <c r="J262" s="213" t="str">
        <f t="array" ref="J262:M262">_xlfn.XLOOKUP(C262,'ESAP NEIVA FASE II UNIFICADO'!$C$6:$C$720,'ESAP NEIVA FASE II UNIFICADO'!$C$6:$F$720,"NO ESTA")</f>
        <v xml:space="preserve">SUMINISTRO E INSTALACIÓN SOPORTE LATERAL 2 VÍAS 2"                                                       </v>
      </c>
      <c r="K262" t="str">
        <v xml:space="preserve">UN   </v>
      </c>
      <c r="L262">
        <v>32</v>
      </c>
      <c r="M262">
        <v>120195</v>
      </c>
      <c r="N262" s="115">
        <f t="shared" ref="N262:N325" si="13">MAX(M262,F262)</f>
        <v>120195</v>
      </c>
      <c r="O262" s="146">
        <f t="shared" ref="O262:O325" si="14">N262*E262</f>
        <v>1442340</v>
      </c>
      <c r="P262" s="119"/>
    </row>
    <row r="263" spans="2:16" ht="15" customHeight="1" x14ac:dyDescent="0.25">
      <c r="B263" s="86" t="s">
        <v>491</v>
      </c>
      <c r="C263" s="87" t="s">
        <v>492</v>
      </c>
      <c r="D263" s="82" t="s">
        <v>284</v>
      </c>
      <c r="E263" s="83">
        <v>10</v>
      </c>
      <c r="F263" s="88">
        <v>123079</v>
      </c>
      <c r="G263" s="89">
        <f t="shared" si="12"/>
        <v>1230790</v>
      </c>
      <c r="H263" s="209"/>
      <c r="I263" s="209"/>
      <c r="J263" s="213" t="str">
        <f t="array" ref="J263:M263">_xlfn.XLOOKUP(C263,'ESAP NEIVA FASE II UNIFICADO'!$C$6:$C$720,'ESAP NEIVA FASE II UNIFICADO'!$C$6:$F$720,"NO ESTA")</f>
        <v xml:space="preserve">SUMINISTRO E INSTALACIÓN SOPORTE LATERAL 2 VÍAS 3"                                                       </v>
      </c>
      <c r="K263" t="str">
        <v xml:space="preserve">UN   </v>
      </c>
      <c r="L263">
        <v>27</v>
      </c>
      <c r="M263">
        <v>126619</v>
      </c>
      <c r="N263" s="115">
        <f t="shared" si="13"/>
        <v>126619</v>
      </c>
      <c r="O263" s="146">
        <f t="shared" si="14"/>
        <v>1266190</v>
      </c>
      <c r="P263" s="119"/>
    </row>
    <row r="264" spans="2:16" ht="15" customHeight="1" x14ac:dyDescent="0.25">
      <c r="B264" s="86" t="s">
        <v>493</v>
      </c>
      <c r="C264" s="87" t="s">
        <v>494</v>
      </c>
      <c r="D264" s="82" t="s">
        <v>284</v>
      </c>
      <c r="E264" s="83">
        <v>2</v>
      </c>
      <c r="F264" s="88">
        <v>1561068</v>
      </c>
      <c r="G264" s="89">
        <f t="shared" si="12"/>
        <v>3122136</v>
      </c>
      <c r="H264" s="209"/>
      <c r="I264" s="209"/>
      <c r="J264" s="213" t="str">
        <f t="array" ref="J264:M264">_xlfn.XLOOKUP(C264,'ESAP NEIVA FASE II UNIFICADO'!$C$6:$C$720,'ESAP NEIVA FASE II UNIFICADO'!$C$6:$F$720,"NO ESTA")</f>
        <v xml:space="preserve">SUMINISTRO E INSTALACIÓN GABINETE TIPO II </v>
      </c>
      <c r="K264" t="str">
        <v xml:space="preserve">UN   </v>
      </c>
      <c r="L264">
        <v>6</v>
      </c>
      <c r="M264">
        <v>1605959</v>
      </c>
      <c r="N264" s="115">
        <f t="shared" si="13"/>
        <v>1605959</v>
      </c>
      <c r="O264" s="146">
        <f t="shared" si="14"/>
        <v>3211918</v>
      </c>
      <c r="P264" s="119"/>
    </row>
    <row r="265" spans="2:16" ht="15.75" customHeight="1" x14ac:dyDescent="0.25">
      <c r="B265" s="74">
        <v>14</v>
      </c>
      <c r="C265" s="75" t="s">
        <v>495</v>
      </c>
      <c r="D265" s="76"/>
      <c r="E265" s="77"/>
      <c r="F265" s="78">
        <v>0</v>
      </c>
      <c r="G265" s="89">
        <f t="shared" si="12"/>
        <v>0</v>
      </c>
      <c r="H265" s="209"/>
      <c r="I265" s="209"/>
      <c r="J265" s="213" t="str">
        <f t="array" ref="J265:M265">_xlfn.XLOOKUP(C265,'ESAP NEIVA FASE II UNIFICADO'!$C$6:$C$720,'ESAP NEIVA FASE II UNIFICADO'!$C$6:$F$720,"NO ESTA")</f>
        <v>SALIDAS DE ALUMBRADO Y TOMACORRIENTES ELÉCTRICOS</v>
      </c>
      <c r="K265">
        <v>0</v>
      </c>
      <c r="L265">
        <v>0</v>
      </c>
      <c r="M265">
        <v>0</v>
      </c>
      <c r="N265" s="115">
        <f t="shared" si="13"/>
        <v>0</v>
      </c>
      <c r="O265" s="146">
        <f t="shared" si="14"/>
        <v>0</v>
      </c>
      <c r="P265" s="119"/>
    </row>
    <row r="266" spans="2:16" ht="26.25" customHeight="1" x14ac:dyDescent="0.25">
      <c r="B266" s="80" t="s">
        <v>496</v>
      </c>
      <c r="C266" s="81" t="s">
        <v>497</v>
      </c>
      <c r="D266" s="82"/>
      <c r="E266" s="83"/>
      <c r="F266" s="90">
        <v>0</v>
      </c>
      <c r="G266" s="89">
        <f t="shared" si="12"/>
        <v>0</v>
      </c>
      <c r="H266" s="209"/>
      <c r="I266" s="209"/>
      <c r="J266" s="213" t="str">
        <f t="array" ref="J266:M266">_xlfn.XLOOKUP(C266,'ESAP NEIVA FASE II UNIFICADO'!$C$6:$C$720,'ESAP NEIVA FASE II UNIFICADO'!$C$6:$F$720,"NO ESTA")</f>
        <v>SUMINISTRO E INSTALACIÓN SALIDAS DE ALUMBRADO EN TUBERIA PVC INCRUSTRADA (NO SE INCLUYE LAS LUMINARIAS)</v>
      </c>
      <c r="K266">
        <v>0</v>
      </c>
      <c r="L266">
        <v>0</v>
      </c>
      <c r="M266">
        <v>0</v>
      </c>
      <c r="N266" s="115">
        <f t="shared" si="13"/>
        <v>0</v>
      </c>
      <c r="O266" s="146">
        <f t="shared" si="14"/>
        <v>0</v>
      </c>
      <c r="P266" s="119"/>
    </row>
    <row r="267" spans="2:16" ht="15" customHeight="1" x14ac:dyDescent="0.25">
      <c r="B267" s="86" t="s">
        <v>498</v>
      </c>
      <c r="C267" s="87" t="s">
        <v>499</v>
      </c>
      <c r="D267" s="82" t="s">
        <v>374</v>
      </c>
      <c r="E267" s="83">
        <v>57</v>
      </c>
      <c r="F267" s="88">
        <v>80757</v>
      </c>
      <c r="G267" s="89">
        <f t="shared" si="12"/>
        <v>4603149</v>
      </c>
      <c r="H267" s="209"/>
      <c r="I267" s="209"/>
      <c r="J267" s="213" t="str">
        <f t="array" ref="J267:M267">_xlfn.XLOOKUP(C267,'ESAP NEIVA FASE II UNIFICADO'!$C$6:$C$720,'ESAP NEIVA FASE II UNIFICADO'!$C$6:$F$720,"NO ESTA")</f>
        <v>SUMINISTRO E INSTALACIÓN SALIDA PARA LAMPARA LED DE 1x28 W</v>
      </c>
      <c r="K267" t="str">
        <v>UN</v>
      </c>
      <c r="L267">
        <v>153</v>
      </c>
      <c r="M267">
        <v>83078</v>
      </c>
      <c r="N267" s="115">
        <f t="shared" si="13"/>
        <v>83078</v>
      </c>
      <c r="O267" s="146">
        <f t="shared" si="14"/>
        <v>4735446</v>
      </c>
      <c r="P267" s="119"/>
    </row>
    <row r="268" spans="2:16" ht="15" customHeight="1" x14ac:dyDescent="0.25">
      <c r="B268" s="86" t="s">
        <v>500</v>
      </c>
      <c r="C268" s="87" t="s">
        <v>501</v>
      </c>
      <c r="D268" s="82" t="s">
        <v>374</v>
      </c>
      <c r="E268" s="83">
        <v>30</v>
      </c>
      <c r="F268" s="88">
        <v>73056</v>
      </c>
      <c r="G268" s="89">
        <f t="shared" si="12"/>
        <v>2191680</v>
      </c>
      <c r="H268" s="209"/>
      <c r="I268" s="209"/>
      <c r="J268" s="213" t="str">
        <f t="array" ref="J268:M268">_xlfn.XLOOKUP(C268,'ESAP NEIVA FASE II UNIFICADO'!$C$6:$C$720,'ESAP NEIVA FASE II UNIFICADO'!$C$6:$F$720,"NO ESTA")</f>
        <v>SUMINISTRO E INSTALACIÓN SALIDA PARA LAMPARA LED DE 2x54 W</v>
      </c>
      <c r="K268" t="str">
        <v>UN</v>
      </c>
      <c r="L268">
        <v>82</v>
      </c>
      <c r="M268">
        <v>75156</v>
      </c>
      <c r="N268" s="115">
        <f t="shared" si="13"/>
        <v>75156</v>
      </c>
      <c r="O268" s="146">
        <f t="shared" si="14"/>
        <v>2254680</v>
      </c>
      <c r="P268" s="119"/>
    </row>
    <row r="269" spans="2:16" ht="15" customHeight="1" x14ac:dyDescent="0.25">
      <c r="B269" s="86" t="s">
        <v>502</v>
      </c>
      <c r="C269" s="87" t="s">
        <v>503</v>
      </c>
      <c r="D269" s="82" t="s">
        <v>374</v>
      </c>
      <c r="E269" s="83">
        <v>45</v>
      </c>
      <c r="F269" s="88">
        <v>68497</v>
      </c>
      <c r="G269" s="89">
        <f t="shared" si="12"/>
        <v>3082365</v>
      </c>
      <c r="H269" s="209"/>
      <c r="I269" s="209"/>
      <c r="J269" s="213" t="str">
        <f t="array" ref="J269:M269">_xlfn.XLOOKUP(C269,'ESAP NEIVA FASE II UNIFICADO'!$C$6:$C$720,'ESAP NEIVA FASE II UNIFICADO'!$C$6:$F$720,"NO ESTA")</f>
        <v>SUMINISTRO E INSTALACIÓN SALIDA PARA BALA DE LED 35W 120V</v>
      </c>
      <c r="K269" t="str">
        <v>UN</v>
      </c>
      <c r="L269">
        <v>121</v>
      </c>
      <c r="M269">
        <v>70467</v>
      </c>
      <c r="N269" s="115">
        <f t="shared" si="13"/>
        <v>70467</v>
      </c>
      <c r="O269" s="146">
        <f t="shared" si="14"/>
        <v>3171015</v>
      </c>
      <c r="P269" s="119"/>
    </row>
    <row r="270" spans="2:16" ht="15" customHeight="1" x14ac:dyDescent="0.25">
      <c r="B270" s="86" t="s">
        <v>504</v>
      </c>
      <c r="C270" s="87" t="s">
        <v>505</v>
      </c>
      <c r="D270" s="82" t="s">
        <v>374</v>
      </c>
      <c r="E270" s="83">
        <v>19</v>
      </c>
      <c r="F270" s="88">
        <v>68497</v>
      </c>
      <c r="G270" s="89">
        <f t="shared" si="12"/>
        <v>1301443</v>
      </c>
      <c r="H270" s="209"/>
      <c r="I270" s="209"/>
      <c r="J270" s="213" t="str">
        <f t="array" ref="J270:M270">_xlfn.XLOOKUP(C270,'ESAP NEIVA FASE II UNIFICADO'!$C$6:$C$720,'ESAP NEIVA FASE II UNIFICADO'!$C$6:$F$720,"NO ESTA")</f>
        <v>SUMINISTRO E INSTALACIÓN SALIDA PARA BALA RECESADA LED 10W 120V</v>
      </c>
      <c r="K270" t="str">
        <v>UN</v>
      </c>
      <c r="L270">
        <v>50</v>
      </c>
      <c r="M270">
        <v>70467</v>
      </c>
      <c r="N270" s="115">
        <f t="shared" si="13"/>
        <v>70467</v>
      </c>
      <c r="O270" s="146">
        <f t="shared" si="14"/>
        <v>1338873</v>
      </c>
      <c r="P270" s="119"/>
    </row>
    <row r="271" spans="2:16" ht="15" customHeight="1" x14ac:dyDescent="0.25">
      <c r="B271" s="86" t="s">
        <v>506</v>
      </c>
      <c r="C271" s="87" t="s">
        <v>507</v>
      </c>
      <c r="D271" s="82" t="s">
        <v>374</v>
      </c>
      <c r="E271" s="83">
        <v>68</v>
      </c>
      <c r="F271" s="88">
        <v>68497</v>
      </c>
      <c r="G271" s="89">
        <f t="shared" si="12"/>
        <v>4657796</v>
      </c>
      <c r="H271" s="209"/>
      <c r="I271" s="209"/>
      <c r="J271" s="213" t="str">
        <f t="array" ref="J271:M271">_xlfn.XLOOKUP(C271,'ESAP NEIVA FASE II UNIFICADO'!$C$6:$C$720,'ESAP NEIVA FASE II UNIFICADO'!$C$6:$F$720,"NO ESTA")</f>
        <v>SUMINISTRO E INSTALACIÓN SALIDA PARA LUMINARIA LED 2x26W 120V</v>
      </c>
      <c r="K271" t="str">
        <v>UN</v>
      </c>
      <c r="L271">
        <v>184</v>
      </c>
      <c r="M271">
        <v>70467</v>
      </c>
      <c r="N271" s="115">
        <f t="shared" si="13"/>
        <v>70467</v>
      </c>
      <c r="O271" s="146">
        <f t="shared" si="14"/>
        <v>4791756</v>
      </c>
      <c r="P271" s="119"/>
    </row>
    <row r="272" spans="2:16" ht="15" customHeight="1" x14ac:dyDescent="0.25">
      <c r="B272" s="86" t="s">
        <v>508</v>
      </c>
      <c r="C272" s="87" t="s">
        <v>509</v>
      </c>
      <c r="D272" s="82" t="s">
        <v>374</v>
      </c>
      <c r="E272" s="83">
        <v>2</v>
      </c>
      <c r="F272" s="88">
        <v>66337</v>
      </c>
      <c r="G272" s="89">
        <f t="shared" si="12"/>
        <v>132674</v>
      </c>
      <c r="H272" s="209"/>
      <c r="I272" s="209"/>
      <c r="J272" s="213" t="str">
        <f t="array" ref="J272:M272">_xlfn.XLOOKUP(C272,'ESAP NEIVA FASE II UNIFICADO'!$C$6:$C$720,'ESAP NEIVA FASE II UNIFICADO'!$C$6:$F$720,"NO ESTA")</f>
        <v>SUMINISTRO E INSTALACIÓN SALIDA PARA REFLECTOR DE LUZ DIRECTA</v>
      </c>
      <c r="K272" t="str">
        <v>UN</v>
      </c>
      <c r="L272">
        <v>6</v>
      </c>
      <c r="M272">
        <v>68243</v>
      </c>
      <c r="N272" s="115">
        <f t="shared" si="13"/>
        <v>68243</v>
      </c>
      <c r="O272" s="146">
        <f t="shared" si="14"/>
        <v>136486</v>
      </c>
      <c r="P272" s="119"/>
    </row>
    <row r="273" spans="2:16" ht="15" customHeight="1" x14ac:dyDescent="0.25">
      <c r="B273" s="86" t="s">
        <v>510</v>
      </c>
      <c r="C273" s="87" t="s">
        <v>511</v>
      </c>
      <c r="D273" s="82" t="s">
        <v>374</v>
      </c>
      <c r="E273" s="83">
        <v>2</v>
      </c>
      <c r="F273" s="88">
        <v>72723</v>
      </c>
      <c r="G273" s="89">
        <f t="shared" si="12"/>
        <v>145446</v>
      </c>
      <c r="H273" s="209"/>
      <c r="I273" s="209"/>
      <c r="J273" s="213" t="str">
        <f t="array" ref="J273:M273">_xlfn.XLOOKUP(C273,'ESAP NEIVA FASE II UNIFICADO'!$C$6:$C$720,'ESAP NEIVA FASE II UNIFICADO'!$C$6:$F$720,"NO ESTA")</f>
        <v>SUMINISTRO E INSTALACIÓN SALIDA PARA APLIQUE DE ESCALERA 1000W 120V</v>
      </c>
      <c r="K273" t="str">
        <v>UN</v>
      </c>
      <c r="L273">
        <v>6</v>
      </c>
      <c r="M273">
        <v>74815</v>
      </c>
      <c r="N273" s="115">
        <f t="shared" si="13"/>
        <v>74815</v>
      </c>
      <c r="O273" s="146">
        <f t="shared" si="14"/>
        <v>149630</v>
      </c>
      <c r="P273" s="119"/>
    </row>
    <row r="274" spans="2:16" ht="15" customHeight="1" x14ac:dyDescent="0.25">
      <c r="B274" s="86" t="s">
        <v>512</v>
      </c>
      <c r="C274" s="87" t="s">
        <v>513</v>
      </c>
      <c r="D274" s="82" t="s">
        <v>374</v>
      </c>
      <c r="E274" s="83">
        <v>25</v>
      </c>
      <c r="F274" s="88">
        <v>72723</v>
      </c>
      <c r="G274" s="89">
        <f t="shared" si="12"/>
        <v>1818075</v>
      </c>
      <c r="H274" s="209"/>
      <c r="I274" s="209"/>
      <c r="J274" s="213" t="str">
        <f t="array" ref="J274:M274">_xlfn.XLOOKUP(C274,'ESAP NEIVA FASE II UNIFICADO'!$C$6:$C$720,'ESAP NEIVA FASE II UNIFICADO'!$C$6:$F$720,"NO ESTA")</f>
        <v>SUMINISTRO E INSTALACIÓN SALIDA PARA BALAS LED DE PISO 3W 120V</v>
      </c>
      <c r="K274" t="str">
        <v>UN</v>
      </c>
      <c r="L274">
        <v>67</v>
      </c>
      <c r="M274">
        <v>74815</v>
      </c>
      <c r="N274" s="115">
        <f t="shared" si="13"/>
        <v>74815</v>
      </c>
      <c r="O274" s="146">
        <f t="shared" si="14"/>
        <v>1870375</v>
      </c>
      <c r="P274" s="119"/>
    </row>
    <row r="275" spans="2:16" ht="15" customHeight="1" x14ac:dyDescent="0.25">
      <c r="B275" s="86" t="s">
        <v>514</v>
      </c>
      <c r="C275" s="87" t="s">
        <v>515</v>
      </c>
      <c r="D275" s="82" t="s">
        <v>374</v>
      </c>
      <c r="E275" s="83">
        <v>4</v>
      </c>
      <c r="F275" s="88">
        <v>72723</v>
      </c>
      <c r="G275" s="89">
        <f t="shared" si="12"/>
        <v>290892</v>
      </c>
      <c r="H275" s="209"/>
      <c r="I275" s="209"/>
      <c r="J275" s="213" t="str">
        <f t="array" ref="J275:M275">_xlfn.XLOOKUP(C275,'ESAP NEIVA FASE II UNIFICADO'!$C$6:$C$720,'ESAP NEIVA FASE II UNIFICADO'!$C$6:$F$720,"NO ESTA")</f>
        <v>SUMINISTRO E INSTALACIÓN SALIDA PARA BALAS DE PISO 50W 120V</v>
      </c>
      <c r="K275" t="str">
        <v>UN</v>
      </c>
      <c r="L275">
        <v>10</v>
      </c>
      <c r="M275">
        <v>74815</v>
      </c>
      <c r="N275" s="115">
        <f t="shared" si="13"/>
        <v>74815</v>
      </c>
      <c r="O275" s="146">
        <f t="shared" si="14"/>
        <v>299260</v>
      </c>
      <c r="P275" s="119"/>
    </row>
    <row r="276" spans="2:16" ht="15" customHeight="1" x14ac:dyDescent="0.25">
      <c r="B276" s="86" t="s">
        <v>516</v>
      </c>
      <c r="C276" s="87" t="s">
        <v>517</v>
      </c>
      <c r="D276" s="82" t="s">
        <v>374</v>
      </c>
      <c r="E276" s="83">
        <v>16</v>
      </c>
      <c r="F276" s="88">
        <v>77775</v>
      </c>
      <c r="G276" s="89">
        <f t="shared" si="12"/>
        <v>1244400</v>
      </c>
      <c r="H276" s="209"/>
      <c r="I276" s="209"/>
      <c r="J276" s="213" t="str">
        <f t="array" ref="J276:M276">_xlfn.XLOOKUP(C276,'ESAP NEIVA FASE II UNIFICADO'!$C$6:$C$720,'ESAP NEIVA FASE II UNIFICADO'!$C$6:$F$720,"NO ESTA")</f>
        <v>SUMINISTRO E INSTALACIÓN SALIDA PARA INTERRUPTOR SENCILLO COLOR BLANCO</v>
      </c>
      <c r="K276" t="str">
        <v>UN</v>
      </c>
      <c r="L276">
        <v>42</v>
      </c>
      <c r="M276">
        <v>80011</v>
      </c>
      <c r="N276" s="115">
        <f t="shared" si="13"/>
        <v>80011</v>
      </c>
      <c r="O276" s="146">
        <f t="shared" si="14"/>
        <v>1280176</v>
      </c>
      <c r="P276" s="119"/>
    </row>
    <row r="277" spans="2:16" ht="15" customHeight="1" x14ac:dyDescent="0.25">
      <c r="B277" s="86" t="s">
        <v>518</v>
      </c>
      <c r="C277" s="87" t="s">
        <v>519</v>
      </c>
      <c r="D277" s="82" t="s">
        <v>374</v>
      </c>
      <c r="E277" s="83">
        <v>6</v>
      </c>
      <c r="F277" s="88">
        <v>84330</v>
      </c>
      <c r="G277" s="89">
        <f t="shared" si="12"/>
        <v>505980</v>
      </c>
      <c r="H277" s="209"/>
      <c r="I277" s="209"/>
      <c r="J277" s="213" t="str">
        <f t="array" ref="J277:M277">_xlfn.XLOOKUP(C277,'ESAP NEIVA FASE II UNIFICADO'!$C$6:$C$720,'ESAP NEIVA FASE II UNIFICADO'!$C$6:$F$720,"NO ESTA")</f>
        <v>SUMINISTRO E INSTALACIÓN SALIDA PARA INTERRUPTOR DOBLE COLOR BLANCO</v>
      </c>
      <c r="K277" t="str">
        <v>UN</v>
      </c>
      <c r="L277">
        <v>18</v>
      </c>
      <c r="M277">
        <v>86756</v>
      </c>
      <c r="N277" s="115">
        <f t="shared" si="13"/>
        <v>86756</v>
      </c>
      <c r="O277" s="146">
        <f t="shared" si="14"/>
        <v>520536</v>
      </c>
      <c r="P277" s="119"/>
    </row>
    <row r="278" spans="2:16" ht="27" customHeight="1" x14ac:dyDescent="0.25">
      <c r="B278" s="86" t="s">
        <v>520</v>
      </c>
      <c r="C278" s="87" t="s">
        <v>521</v>
      </c>
      <c r="D278" s="82" t="s">
        <v>374</v>
      </c>
      <c r="E278" s="83">
        <v>2</v>
      </c>
      <c r="F278" s="88">
        <v>86096</v>
      </c>
      <c r="G278" s="89">
        <f t="shared" si="12"/>
        <v>172192</v>
      </c>
      <c r="H278" s="209"/>
      <c r="I278" s="209"/>
      <c r="J278" s="213" t="str">
        <f t="array" ref="J278:M278">_xlfn.XLOOKUP(C278,'ESAP NEIVA FASE II UNIFICADO'!$C$6:$C$720,'ESAP NEIVA FASE II UNIFICADO'!$C$6:$F$720,"NO ESTA")</f>
        <v>SUMINISTRO E INSTALACIÓN SALIDA PARA INTERRUPTOR SENCILLO CONMUTABLE COLOR BLANCO</v>
      </c>
      <c r="K278" t="str">
        <v>UN</v>
      </c>
      <c r="L278">
        <v>6</v>
      </c>
      <c r="M278">
        <v>88571</v>
      </c>
      <c r="N278" s="115">
        <f t="shared" si="13"/>
        <v>88571</v>
      </c>
      <c r="O278" s="146">
        <f t="shared" si="14"/>
        <v>177142</v>
      </c>
      <c r="P278" s="119"/>
    </row>
    <row r="279" spans="2:16" ht="27" customHeight="1" x14ac:dyDescent="0.25">
      <c r="B279" s="86" t="s">
        <v>522</v>
      </c>
      <c r="C279" s="87" t="s">
        <v>523</v>
      </c>
      <c r="D279" s="82" t="s">
        <v>374</v>
      </c>
      <c r="E279" s="83">
        <v>2</v>
      </c>
      <c r="F279" s="88">
        <v>94074</v>
      </c>
      <c r="G279" s="89">
        <f t="shared" si="12"/>
        <v>188148</v>
      </c>
      <c r="H279" s="209"/>
      <c r="I279" s="209"/>
      <c r="J279" s="213" t="str">
        <f t="array" ref="J279:M279">_xlfn.XLOOKUP(C279,'ESAP NEIVA FASE II UNIFICADO'!$C$6:$C$720,'ESAP NEIVA FASE II UNIFICADO'!$C$6:$F$720,"NO ESTA")</f>
        <v>SUMINISTRO E INSTALACIÓN SALIDA PARA INTERRUPTOR DOBLE CONMUTABLE COLOR BLANCO</v>
      </c>
      <c r="K279" t="str">
        <v>UN</v>
      </c>
      <c r="L279">
        <v>4</v>
      </c>
      <c r="M279">
        <v>96779</v>
      </c>
      <c r="N279" s="115">
        <f t="shared" si="13"/>
        <v>96779</v>
      </c>
      <c r="O279" s="146">
        <f t="shared" si="14"/>
        <v>193558</v>
      </c>
      <c r="P279" s="119"/>
    </row>
    <row r="280" spans="2:16" ht="15" customHeight="1" x14ac:dyDescent="0.25">
      <c r="B280" s="86" t="s">
        <v>524</v>
      </c>
      <c r="C280" s="87" t="s">
        <v>525</v>
      </c>
      <c r="D280" s="82" t="s">
        <v>374</v>
      </c>
      <c r="E280" s="83">
        <v>5</v>
      </c>
      <c r="F280" s="88">
        <v>88289</v>
      </c>
      <c r="G280" s="89">
        <f t="shared" si="12"/>
        <v>441445</v>
      </c>
      <c r="H280" s="209"/>
      <c r="I280" s="209"/>
      <c r="J280" s="213" t="str">
        <f t="array" ref="J280:M280">_xlfn.XLOOKUP(C280,'ESAP NEIVA FASE II UNIFICADO'!$C$6:$C$720,'ESAP NEIVA FASE II UNIFICADO'!$C$6:$F$720,"NO ESTA")</f>
        <v>SUMINISTRO E INSTALACIÓN SALIDA PARA INTERRUPTOR DE SENSOR DE PRESENCIA</v>
      </c>
      <c r="K280" t="str">
        <v>UN</v>
      </c>
      <c r="L280">
        <v>12</v>
      </c>
      <c r="M280">
        <v>90828</v>
      </c>
      <c r="N280" s="115">
        <f t="shared" si="13"/>
        <v>90828</v>
      </c>
      <c r="O280" s="146">
        <f t="shared" si="14"/>
        <v>454140</v>
      </c>
      <c r="P280" s="119"/>
    </row>
    <row r="281" spans="2:16" ht="15" customHeight="1" x14ac:dyDescent="0.25">
      <c r="B281" s="86" t="s">
        <v>526</v>
      </c>
      <c r="C281" s="87" t="s">
        <v>527</v>
      </c>
      <c r="D281" s="82" t="s">
        <v>374</v>
      </c>
      <c r="E281" s="83">
        <v>1</v>
      </c>
      <c r="F281" s="88">
        <v>99551</v>
      </c>
      <c r="G281" s="89">
        <f t="shared" si="12"/>
        <v>99551</v>
      </c>
      <c r="H281" s="209"/>
      <c r="I281" s="209"/>
      <c r="J281" s="213" t="str">
        <f t="array" ref="J281:M281">_xlfn.XLOOKUP(C281,'ESAP NEIVA FASE II UNIFICADO'!$C$6:$C$720,'ESAP NEIVA FASE II UNIFICADO'!$C$6:$F$720,"NO ESTA")</f>
        <v>SUMINISTRO E INSTALACIÓN SALIDA PARA SENSOR DE MOVIEMIENTO DE TECHO</v>
      </c>
      <c r="K281" t="str">
        <v>UN</v>
      </c>
      <c r="L281">
        <v>4</v>
      </c>
      <c r="M281">
        <v>102414</v>
      </c>
      <c r="N281" s="115">
        <f t="shared" si="13"/>
        <v>102414</v>
      </c>
      <c r="O281" s="146">
        <f t="shared" si="14"/>
        <v>102414</v>
      </c>
      <c r="P281" s="119"/>
    </row>
    <row r="282" spans="2:16" ht="55.5" customHeight="1" x14ac:dyDescent="0.25">
      <c r="B282" s="86" t="s">
        <v>528</v>
      </c>
      <c r="C282" s="87" t="s">
        <v>529</v>
      </c>
      <c r="D282" s="82" t="s">
        <v>269</v>
      </c>
      <c r="E282" s="83">
        <v>176</v>
      </c>
      <c r="F282" s="88">
        <v>1657</v>
      </c>
      <c r="G282" s="89">
        <f t="shared" si="12"/>
        <v>291632</v>
      </c>
      <c r="H282" s="209"/>
      <c r="I282" s="209"/>
      <c r="J282" s="213" t="str">
        <f t="array" ref="J282:M282">_xlfn.XLOOKUP(C282,'ESAP NEIVA FASE II UNIFICADO'!$C$6:$C$720,'ESAP NEIVA FASE II UNIFICADO'!$C$6:$F$720,"NO ESTA")</f>
        <v xml:space="preserve">SUMINISTRO E INSTALACIÓN SALIDAS PARCIALES DE CIRCUITO PARA SALIDAS DE ALUMBRADO Y TOMACORIRIENTE DE USO NORMAL EN CABLE #12 AWG THHN/THWN, DESDE EL TABLERO DE AUTOMATICOS POR EL DUCTO PORTACABLES HASTA LOS PRIMEROS PUNTOS DE DERIVACIÓN. </v>
      </c>
      <c r="K282" t="str">
        <v xml:space="preserve">ML   </v>
      </c>
      <c r="L282">
        <v>474</v>
      </c>
      <c r="M282">
        <v>1705</v>
      </c>
      <c r="N282" s="115">
        <f t="shared" si="13"/>
        <v>1705</v>
      </c>
      <c r="O282" s="146">
        <f t="shared" si="14"/>
        <v>300080</v>
      </c>
      <c r="P282" s="119"/>
    </row>
    <row r="283" spans="2:16" ht="26.25" customHeight="1" x14ac:dyDescent="0.25">
      <c r="B283" s="80" t="s">
        <v>530</v>
      </c>
      <c r="C283" s="81" t="s">
        <v>531</v>
      </c>
      <c r="D283" s="82"/>
      <c r="E283" s="83"/>
      <c r="F283" s="104">
        <v>0</v>
      </c>
      <c r="G283" s="89">
        <f t="shared" si="12"/>
        <v>0</v>
      </c>
      <c r="H283" s="209"/>
      <c r="I283" s="209"/>
      <c r="J283" s="213" t="str">
        <f t="array" ref="J283:M283">_xlfn.XLOOKUP(C283,'ESAP NEIVA FASE II UNIFICADO'!$C$6:$C$720,'ESAP NEIVA FASE II UNIFICADO'!$C$6:$F$720,"NO ESTA")</f>
        <v xml:space="preserve">SUMINISTRO E INSTALACIÓN SALIDAS PARA TOMACORRIENTES USO NORMAL EN TUBERIA PVC INCRUSTRADA </v>
      </c>
      <c r="K283">
        <v>0</v>
      </c>
      <c r="L283">
        <v>0</v>
      </c>
      <c r="M283">
        <v>0</v>
      </c>
      <c r="N283" s="115">
        <f t="shared" si="13"/>
        <v>0</v>
      </c>
      <c r="O283" s="146">
        <f t="shared" si="14"/>
        <v>0</v>
      </c>
      <c r="P283" s="119"/>
    </row>
    <row r="284" spans="2:16" ht="26.25" customHeight="1" x14ac:dyDescent="0.25">
      <c r="B284" s="86" t="s">
        <v>532</v>
      </c>
      <c r="C284" s="87" t="s">
        <v>533</v>
      </c>
      <c r="D284" s="82" t="s">
        <v>284</v>
      </c>
      <c r="E284" s="83">
        <v>97</v>
      </c>
      <c r="F284" s="88">
        <v>80221</v>
      </c>
      <c r="G284" s="89">
        <f t="shared" si="12"/>
        <v>7781437</v>
      </c>
      <c r="H284" s="209"/>
      <c r="I284" s="209"/>
      <c r="J284" s="213" t="str">
        <f t="array" ref="J284:M284">_xlfn.XLOOKUP(C284,'ESAP NEIVA FASE II UNIFICADO'!$C$6:$C$720,'ESAP NEIVA FASE II UNIFICADO'!$C$6:$F$720,"NO ESTA")</f>
        <v>SUMINISTRO E INSTALACIÓN SALIDA PARA TOMACORRIENTE DOBLE MONOFÁSICO CON POLO A TIERRA</v>
      </c>
      <c r="K284" t="str">
        <v xml:space="preserve">UN   </v>
      </c>
      <c r="L284">
        <v>264</v>
      </c>
      <c r="M284">
        <v>82527</v>
      </c>
      <c r="N284" s="115">
        <f t="shared" si="13"/>
        <v>82527</v>
      </c>
      <c r="O284" s="146">
        <f t="shared" si="14"/>
        <v>8005119</v>
      </c>
      <c r="P284" s="119"/>
    </row>
    <row r="285" spans="2:16" ht="26.25" customHeight="1" x14ac:dyDescent="0.25">
      <c r="B285" s="86" t="s">
        <v>534</v>
      </c>
      <c r="C285" s="87" t="s">
        <v>535</v>
      </c>
      <c r="D285" s="82" t="s">
        <v>284</v>
      </c>
      <c r="E285" s="83">
        <v>2</v>
      </c>
      <c r="F285" s="88">
        <v>108445</v>
      </c>
      <c r="G285" s="89">
        <f t="shared" si="12"/>
        <v>216890</v>
      </c>
      <c r="H285" s="209"/>
      <c r="I285" s="209"/>
      <c r="J285" s="213" t="str">
        <f t="array" ref="J285:M285">_xlfn.XLOOKUP(C285,'ESAP NEIVA FASE II UNIFICADO'!$C$6:$C$720,'ESAP NEIVA FASE II UNIFICADO'!$C$6:$F$720,"NO ESTA")</f>
        <v>SUMINISTRO E INSTALACIÓN SALIDA PARA TOMACORRIENTE DOBLE TIPO GFCI COLOR BLANCO MONOFÁSICODE MURO CON POLO A TIERRA</v>
      </c>
      <c r="K285" t="str">
        <v xml:space="preserve">UN   </v>
      </c>
      <c r="L285">
        <v>5</v>
      </c>
      <c r="M285">
        <v>111563</v>
      </c>
      <c r="N285" s="115">
        <f t="shared" si="13"/>
        <v>111563</v>
      </c>
      <c r="O285" s="146">
        <f t="shared" si="14"/>
        <v>223126</v>
      </c>
      <c r="P285" s="119"/>
    </row>
    <row r="286" spans="2:16" ht="26.25" customHeight="1" x14ac:dyDescent="0.25">
      <c r="B286" s="86" t="s">
        <v>536</v>
      </c>
      <c r="C286" s="87" t="s">
        <v>537</v>
      </c>
      <c r="D286" s="82" t="s">
        <v>284</v>
      </c>
      <c r="E286" s="83">
        <v>7</v>
      </c>
      <c r="F286" s="88">
        <v>81181</v>
      </c>
      <c r="G286" s="89">
        <f t="shared" si="12"/>
        <v>568267</v>
      </c>
      <c r="H286" s="209"/>
      <c r="I286" s="209"/>
      <c r="J286" s="213" t="str">
        <f t="array" ref="J286:M286">_xlfn.XLOOKUP(C286,'ESAP NEIVA FASE II UNIFICADO'!$C$6:$C$720,'ESAP NEIVA FASE II UNIFICADO'!$C$6:$F$720,"NO ESTA")</f>
        <v>SUMINISTRO E INSTALACIÓN SALIDA PARA SECADOR 20A-120V a 1.2 METROS DE ALTURA</v>
      </c>
      <c r="K286" t="str">
        <v xml:space="preserve">UN   </v>
      </c>
      <c r="L286">
        <v>18</v>
      </c>
      <c r="M286">
        <v>83516</v>
      </c>
      <c r="N286" s="115">
        <f t="shared" si="13"/>
        <v>83516</v>
      </c>
      <c r="O286" s="146">
        <f t="shared" si="14"/>
        <v>584612</v>
      </c>
      <c r="P286" s="119"/>
    </row>
    <row r="287" spans="2:16" ht="26.25" customHeight="1" x14ac:dyDescent="0.25">
      <c r="B287" s="86" t="s">
        <v>538</v>
      </c>
      <c r="C287" s="87" t="s">
        <v>539</v>
      </c>
      <c r="D287" s="82" t="s">
        <v>284</v>
      </c>
      <c r="E287" s="83">
        <v>1</v>
      </c>
      <c r="F287" s="88">
        <v>98368</v>
      </c>
      <c r="G287" s="89">
        <f t="shared" si="12"/>
        <v>98368</v>
      </c>
      <c r="H287" s="209"/>
      <c r="I287" s="209"/>
      <c r="J287" s="213" t="str">
        <f t="array" ref="J287:M287">_xlfn.XLOOKUP(C287,'ESAP NEIVA FASE II UNIFICADO'!$C$6:$C$720,'ESAP NEIVA FASE II UNIFICADO'!$C$6:$F$720,"NO ESTA")</f>
        <v>SUMINISTRO E INSTALACIÓN SALIDA PARA TOMA TRIFÁSICA 208v 3FASES EN CAFETERIA</v>
      </c>
      <c r="K287" t="str">
        <v xml:space="preserve">UN   </v>
      </c>
      <c r="L287">
        <v>3</v>
      </c>
      <c r="M287">
        <v>101196</v>
      </c>
      <c r="N287" s="115">
        <f t="shared" si="13"/>
        <v>101196</v>
      </c>
      <c r="O287" s="146">
        <f t="shared" si="14"/>
        <v>101196</v>
      </c>
      <c r="P287" s="119"/>
    </row>
    <row r="288" spans="2:16" ht="51" customHeight="1" x14ac:dyDescent="0.25">
      <c r="B288" s="86" t="s">
        <v>540</v>
      </c>
      <c r="C288" s="87" t="s">
        <v>541</v>
      </c>
      <c r="D288" s="82" t="s">
        <v>269</v>
      </c>
      <c r="E288" s="83">
        <v>365</v>
      </c>
      <c r="F288" s="88">
        <v>1657</v>
      </c>
      <c r="G288" s="89">
        <f t="shared" si="12"/>
        <v>604805</v>
      </c>
      <c r="H288" s="209"/>
      <c r="I288" s="209"/>
      <c r="J288" s="213" t="str">
        <f t="array" ref="J288:M288">_xlfn.XLOOKUP(C288,'ESAP NEIVA FASE II UNIFICADO'!$C$6:$C$720,'ESAP NEIVA FASE II UNIFICADO'!$C$6:$F$720,"NO ESTA")</f>
        <v xml:space="preserve">SUMINISTRO E INSTALACIÓN SALIDAS PARCIALES DE CIRCUITO PARA TOMACORIRIENTE DE USO NORMAL EN CABLE #12 AWG THHN/THWN, DESDE EL TABLERO DE AUTOMATICOS POR EL DUCTO PORTACABLES HASTA LOS PRIMEROS PUNTOS DE DERIVACIÓN. </v>
      </c>
      <c r="K288" t="str">
        <v xml:space="preserve">ML   </v>
      </c>
      <c r="L288">
        <v>985</v>
      </c>
      <c r="M288">
        <v>1705</v>
      </c>
      <c r="N288" s="115">
        <f t="shared" si="13"/>
        <v>1705</v>
      </c>
      <c r="O288" s="146">
        <f t="shared" si="14"/>
        <v>622325</v>
      </c>
      <c r="P288" s="119"/>
    </row>
    <row r="289" spans="2:16" ht="26.25" customHeight="1" x14ac:dyDescent="0.25">
      <c r="B289" s="80" t="s">
        <v>542</v>
      </c>
      <c r="C289" s="81" t="s">
        <v>543</v>
      </c>
      <c r="D289" s="82"/>
      <c r="E289" s="83"/>
      <c r="F289" s="104">
        <v>0</v>
      </c>
      <c r="G289" s="89">
        <f t="shared" si="12"/>
        <v>0</v>
      </c>
      <c r="H289" s="209"/>
      <c r="I289" s="209"/>
      <c r="J289" s="213" t="str">
        <f t="array" ref="J289:M289">_xlfn.XLOOKUP(C289,'ESAP NEIVA FASE II UNIFICADO'!$C$6:$C$720,'ESAP NEIVA FASE II UNIFICADO'!$C$6:$F$720,"NO ESTA")</f>
        <v xml:space="preserve">SUMINISTRO E INSTALACIÓN SALIDAS PARA TOMACORRIENTES USO REGULADO EN TUBERIA PVC INCRUSTRADA </v>
      </c>
      <c r="K289">
        <v>0</v>
      </c>
      <c r="L289">
        <v>0</v>
      </c>
      <c r="M289">
        <v>0</v>
      </c>
      <c r="N289" s="115">
        <f t="shared" si="13"/>
        <v>0</v>
      </c>
      <c r="O289" s="146">
        <f t="shared" si="14"/>
        <v>0</v>
      </c>
      <c r="P289" s="119"/>
    </row>
    <row r="290" spans="2:16" ht="26.25" customHeight="1" x14ac:dyDescent="0.25">
      <c r="B290" s="86" t="s">
        <v>544</v>
      </c>
      <c r="C290" s="87" t="s">
        <v>545</v>
      </c>
      <c r="D290" s="82" t="s">
        <v>374</v>
      </c>
      <c r="E290" s="83">
        <v>15</v>
      </c>
      <c r="F290" s="88">
        <v>118664</v>
      </c>
      <c r="G290" s="89">
        <f t="shared" si="12"/>
        <v>1779960</v>
      </c>
      <c r="H290" s="209"/>
      <c r="I290" s="209"/>
      <c r="J290" s="213" t="str">
        <f t="array" ref="J290:M290">_xlfn.XLOOKUP(C290,'ESAP NEIVA FASE II UNIFICADO'!$C$6:$C$720,'ESAP NEIVA FASE II UNIFICADO'!$C$6:$F$720,"NO ESTA")</f>
        <v>SUMINISTRO E INSTALACIÓN SALIDA PARA TOMACORRIENTE DOBLE DE COLOR NARAJA, PARA INSTALAR EN MURO</v>
      </c>
      <c r="K290" t="str">
        <v>UN</v>
      </c>
      <c r="L290">
        <v>39</v>
      </c>
      <c r="M290">
        <v>122076</v>
      </c>
      <c r="N290" s="115">
        <f t="shared" si="13"/>
        <v>122076</v>
      </c>
      <c r="O290" s="146">
        <f t="shared" si="14"/>
        <v>1831140</v>
      </c>
      <c r="P290" s="119"/>
    </row>
    <row r="291" spans="2:16" ht="26.25" customHeight="1" x14ac:dyDescent="0.25">
      <c r="B291" s="86" t="s">
        <v>546</v>
      </c>
      <c r="C291" s="87" t="s">
        <v>547</v>
      </c>
      <c r="D291" s="82" t="s">
        <v>374</v>
      </c>
      <c r="E291" s="83">
        <v>29</v>
      </c>
      <c r="F291" s="88">
        <v>109378</v>
      </c>
      <c r="G291" s="89">
        <f t="shared" si="12"/>
        <v>3171962</v>
      </c>
      <c r="H291" s="209"/>
      <c r="I291" s="209"/>
      <c r="J291" s="213" t="str">
        <f t="array" ref="J291:M291">_xlfn.XLOOKUP(C291,'ESAP NEIVA FASE II UNIFICADO'!$C$6:$C$720,'ESAP NEIVA FASE II UNIFICADO'!$C$6:$F$720,"NO ESTA")</f>
        <v xml:space="preserve">SUMINISTRO E INSTALACIÓN SALIDA PARA TOMACORRIENTE DOBLE DE COLOR NARAJA, PARA INSTALAR EN CANALETA PERIMETRAL </v>
      </c>
      <c r="K291" t="str">
        <v>UN</v>
      </c>
      <c r="L291">
        <v>80</v>
      </c>
      <c r="M291">
        <v>112524</v>
      </c>
      <c r="N291" s="115">
        <f t="shared" si="13"/>
        <v>112524</v>
      </c>
      <c r="O291" s="146">
        <f t="shared" si="14"/>
        <v>3263196</v>
      </c>
      <c r="P291" s="119"/>
    </row>
    <row r="292" spans="2:16" ht="26.25" customHeight="1" x14ac:dyDescent="0.25">
      <c r="B292" s="86" t="s">
        <v>548</v>
      </c>
      <c r="C292" s="87" t="s">
        <v>549</v>
      </c>
      <c r="D292" s="82" t="s">
        <v>269</v>
      </c>
      <c r="E292" s="83">
        <v>14</v>
      </c>
      <c r="F292" s="88">
        <v>11111</v>
      </c>
      <c r="G292" s="89">
        <f t="shared" si="12"/>
        <v>155554</v>
      </c>
      <c r="H292" s="209"/>
      <c r="I292" s="209"/>
      <c r="J292" s="213" t="str">
        <f t="array" ref="J292:M292">_xlfn.XLOOKUP(C292,'ESAP NEIVA FASE II UNIFICADO'!$C$6:$C$720,'ESAP NEIVA FASE II UNIFICADO'!$C$6:$F$720,"NO ESTA")</f>
        <v>SUMINISTRO E INSTALACIÓN INTERCONEXIÓN ENTRE EL DUCTO PORTACABLES Y LA CANALETA PERIMETRAL EN ø 1 1/2" CON 4#12 AWG THHN/THWN</v>
      </c>
      <c r="K292" t="str">
        <v xml:space="preserve">ML   </v>
      </c>
      <c r="L292">
        <v>36</v>
      </c>
      <c r="M292">
        <v>11430</v>
      </c>
      <c r="N292" s="115">
        <f t="shared" si="13"/>
        <v>11430</v>
      </c>
      <c r="O292" s="146">
        <f t="shared" si="14"/>
        <v>160020</v>
      </c>
      <c r="P292" s="119"/>
    </row>
    <row r="293" spans="2:16" ht="49.5" customHeight="1" x14ac:dyDescent="0.25">
      <c r="B293" s="86" t="s">
        <v>550</v>
      </c>
      <c r="C293" s="87" t="s">
        <v>551</v>
      </c>
      <c r="D293" s="82" t="s">
        <v>269</v>
      </c>
      <c r="E293" s="83">
        <v>554</v>
      </c>
      <c r="F293" s="88">
        <v>1657</v>
      </c>
      <c r="G293" s="89">
        <f t="shared" si="12"/>
        <v>917978</v>
      </c>
      <c r="H293" s="209"/>
      <c r="I293" s="209"/>
      <c r="J293" s="213" t="str">
        <f t="array" ref="J293:M293">_xlfn.XLOOKUP(C293,'ESAP NEIVA FASE II UNIFICADO'!$C$6:$C$720,'ESAP NEIVA FASE II UNIFICADO'!$C$6:$F$720,"NO ESTA")</f>
        <v xml:space="preserve">SUMINISTRO E INSTALACIÓN SALIDAS PARCIALES DE CIRCUITO PARA TOMACORIRIENTE DE USO REGULADO EN CABLE #12 AWG THHN/THWN, DESDE EL TABLERO DE AUTOMATICOS POR EL DUCTO PORTACABLES HASTA LOS PRIMEROS PUNTOS DE DERIVACIÓN. </v>
      </c>
      <c r="K293" t="str">
        <v xml:space="preserve">ML   </v>
      </c>
      <c r="L293">
        <v>1496</v>
      </c>
      <c r="M293">
        <v>1705</v>
      </c>
      <c r="N293" s="115">
        <f t="shared" si="13"/>
        <v>1705</v>
      </c>
      <c r="O293" s="146">
        <f t="shared" si="14"/>
        <v>944570</v>
      </c>
      <c r="P293" s="119"/>
    </row>
    <row r="294" spans="2:16" ht="21" customHeight="1" x14ac:dyDescent="0.25">
      <c r="B294" s="74">
        <v>15</v>
      </c>
      <c r="C294" s="75" t="s">
        <v>552</v>
      </c>
      <c r="D294" s="76"/>
      <c r="E294" s="77"/>
      <c r="F294" s="105">
        <v>0</v>
      </c>
      <c r="G294" s="89">
        <f t="shared" si="12"/>
        <v>0</v>
      </c>
      <c r="H294" s="209"/>
      <c r="I294" s="209"/>
      <c r="J294" s="213" t="str">
        <f t="array" ref="J294:M294">_xlfn.XLOOKUP(C294,'ESAP NEIVA FASE II UNIFICADO'!$C$6:$C$720,'ESAP NEIVA FASE II UNIFICADO'!$C$6:$F$720,"NO ESTA")</f>
        <v>DUCTOS, ACOMETIDAS, TABLEROS, PUESTA A TIERRA, PARARRAYOS Y PLANTA ELÉCTRICA</v>
      </c>
      <c r="K294">
        <v>0</v>
      </c>
      <c r="L294">
        <v>0</v>
      </c>
      <c r="M294">
        <v>0</v>
      </c>
      <c r="N294" s="115">
        <f t="shared" si="13"/>
        <v>0</v>
      </c>
      <c r="O294" s="146">
        <f t="shared" si="14"/>
        <v>0</v>
      </c>
      <c r="P294" s="119"/>
    </row>
    <row r="295" spans="2:16" ht="15" customHeight="1" x14ac:dyDescent="0.25">
      <c r="B295" s="80" t="s">
        <v>553</v>
      </c>
      <c r="C295" s="81" t="s">
        <v>554</v>
      </c>
      <c r="D295" s="82"/>
      <c r="E295" s="83"/>
      <c r="F295" s="90">
        <v>0</v>
      </c>
      <c r="G295" s="89">
        <f t="shared" si="12"/>
        <v>0</v>
      </c>
      <c r="H295" s="209"/>
      <c r="I295" s="209"/>
      <c r="J295" s="213" t="str">
        <f t="array" ref="J295:M295">_xlfn.XLOOKUP(C295,'ESAP NEIVA FASE II UNIFICADO'!$C$6:$C$720,'ESAP NEIVA FASE II UNIFICADO'!$C$6:$F$720,"NO ESTA")</f>
        <v>SUMINISTRO E INSTALACIÓN DE DUCTOS PORTACABLES</v>
      </c>
      <c r="K295">
        <v>0</v>
      </c>
      <c r="L295">
        <v>0</v>
      </c>
      <c r="M295">
        <v>0</v>
      </c>
      <c r="N295" s="115">
        <f t="shared" si="13"/>
        <v>0</v>
      </c>
      <c r="O295" s="146">
        <f t="shared" si="14"/>
        <v>0</v>
      </c>
      <c r="P295" s="119"/>
    </row>
    <row r="296" spans="2:16" ht="24" customHeight="1" x14ac:dyDescent="0.25">
      <c r="B296" s="86" t="s">
        <v>555</v>
      </c>
      <c r="C296" s="87" t="s">
        <v>556</v>
      </c>
      <c r="D296" s="82" t="s">
        <v>269</v>
      </c>
      <c r="E296" s="83">
        <v>72</v>
      </c>
      <c r="F296" s="88">
        <v>102351</v>
      </c>
      <c r="G296" s="89">
        <f t="shared" si="12"/>
        <v>7369272</v>
      </c>
      <c r="H296" s="209"/>
      <c r="I296" s="209"/>
      <c r="J296" s="213" t="str">
        <f t="array" ref="J296">_xlfn.XLOOKUP(C296,'ESAP NEIVA FASE II UNIFICADO'!$C$6:$C$720,'ESAP NEIVA FASE II UNIFICADO'!$C$6:$F$720,"NO ESTA")</f>
        <v>NO ESTA</v>
      </c>
      <c r="N296" s="115">
        <f t="shared" si="13"/>
        <v>102351</v>
      </c>
      <c r="O296" s="146">
        <f t="shared" si="14"/>
        <v>7369272</v>
      </c>
      <c r="P296" s="119"/>
    </row>
    <row r="297" spans="2:16" ht="24" customHeight="1" x14ac:dyDescent="0.25">
      <c r="B297" s="86" t="s">
        <v>557</v>
      </c>
      <c r="C297" s="87" t="s">
        <v>558</v>
      </c>
      <c r="D297" s="82" t="s">
        <v>284</v>
      </c>
      <c r="E297" s="83">
        <v>3</v>
      </c>
      <c r="F297" s="88">
        <v>131426</v>
      </c>
      <c r="G297" s="89">
        <f t="shared" si="12"/>
        <v>394278</v>
      </c>
      <c r="H297" s="209"/>
      <c r="I297" s="209"/>
      <c r="J297" s="213" t="str">
        <f t="array" ref="J297:M297">_xlfn.XLOOKUP(C297,'ESAP NEIVA FASE II UNIFICADO'!$C$6:$C$720,'ESAP NEIVA FASE II UNIFICADO'!$C$6:$F$720,"NO ESTA")</f>
        <v>SUMINISTRO E INSTALACIÓN TÉE PARA DUCTO PORTACABLES TROQUELADO DE 30x10 cm</v>
      </c>
      <c r="K297" t="str">
        <v xml:space="preserve">UN   </v>
      </c>
      <c r="L297">
        <v>8</v>
      </c>
      <c r="M297">
        <v>135206</v>
      </c>
      <c r="N297" s="115">
        <f t="shared" si="13"/>
        <v>135206</v>
      </c>
      <c r="O297" s="146">
        <f t="shared" si="14"/>
        <v>405618</v>
      </c>
      <c r="P297" s="119"/>
    </row>
    <row r="298" spans="2:16" ht="24" customHeight="1" x14ac:dyDescent="0.25">
      <c r="B298" s="86" t="s">
        <v>559</v>
      </c>
      <c r="C298" s="87" t="s">
        <v>560</v>
      </c>
      <c r="D298" s="82" t="s">
        <v>284</v>
      </c>
      <c r="E298" s="83">
        <v>34</v>
      </c>
      <c r="F298" s="88">
        <v>29149</v>
      </c>
      <c r="G298" s="89">
        <f t="shared" si="12"/>
        <v>991066</v>
      </c>
      <c r="H298" s="209"/>
      <c r="I298" s="209"/>
      <c r="J298" s="213" t="str">
        <f t="array" ref="J298:M298">_xlfn.XLOOKUP(C298,'ESAP NEIVA FASE II UNIFICADO'!$C$6:$C$720,'ESAP NEIVA FASE II UNIFICADO'!$C$6:$F$720,"NO ESTA")</f>
        <v>SUMINISTRO E INSTALACIÓN SOPORTES DE FIJACIÓN TIPO PELDAÑO DESCOLGADO PARA DUCTOS PORTACABLES TROQUELADO</v>
      </c>
      <c r="K298" t="str">
        <v xml:space="preserve">UN   </v>
      </c>
      <c r="L298">
        <v>91</v>
      </c>
      <c r="M298">
        <v>29987</v>
      </c>
      <c r="N298" s="115">
        <f t="shared" si="13"/>
        <v>29987</v>
      </c>
      <c r="O298" s="146">
        <f t="shared" si="14"/>
        <v>1019558</v>
      </c>
      <c r="P298" s="119"/>
    </row>
    <row r="299" spans="2:16" ht="24" customHeight="1" x14ac:dyDescent="0.25">
      <c r="B299" s="86" t="s">
        <v>561</v>
      </c>
      <c r="C299" s="87" t="s">
        <v>562</v>
      </c>
      <c r="D299" s="82" t="s">
        <v>269</v>
      </c>
      <c r="E299" s="83">
        <v>25</v>
      </c>
      <c r="F299" s="88">
        <v>190528</v>
      </c>
      <c r="G299" s="89">
        <f t="shared" si="12"/>
        <v>4763200</v>
      </c>
      <c r="H299" s="209"/>
      <c r="I299" s="209"/>
      <c r="J299" s="213" t="str">
        <f t="array" ref="J299">_xlfn.XLOOKUP(C299,'ESAP NEIVA FASE II UNIFICADO'!$C$6:$C$720,'ESAP NEIVA FASE II UNIFICADO'!$C$6:$F$720,"NO ESTA")</f>
        <v>NO ESTA</v>
      </c>
      <c r="N299" s="115">
        <f t="shared" si="13"/>
        <v>190528</v>
      </c>
      <c r="O299" s="146">
        <f t="shared" si="14"/>
        <v>4763200</v>
      </c>
      <c r="P299" s="119"/>
    </row>
    <row r="300" spans="2:16" ht="24" customHeight="1" x14ac:dyDescent="0.25">
      <c r="B300" s="86" t="s">
        <v>563</v>
      </c>
      <c r="C300" s="87" t="s">
        <v>564</v>
      </c>
      <c r="D300" s="82" t="s">
        <v>284</v>
      </c>
      <c r="E300" s="83">
        <v>1</v>
      </c>
      <c r="F300" s="88">
        <v>157710</v>
      </c>
      <c r="G300" s="89">
        <f t="shared" si="12"/>
        <v>157710</v>
      </c>
      <c r="H300" s="209"/>
      <c r="I300" s="209"/>
      <c r="J300" s="213" t="str">
        <f t="array" ref="J300:M300">_xlfn.XLOOKUP(C300,'ESAP NEIVA FASE II UNIFICADO'!$C$6:$C$720,'ESAP NEIVA FASE II UNIFICADO'!$C$6:$F$720,"NO ESTA")</f>
        <v>SUMINISTRO E INSTALACIÓN TÉE PARA DUCTO PORTACABLES TROQUELADO DE 100x30 cm</v>
      </c>
      <c r="K300" t="str">
        <v xml:space="preserve">UN   </v>
      </c>
      <c r="L300">
        <v>2</v>
      </c>
      <c r="M300">
        <v>162245</v>
      </c>
      <c r="N300" s="115">
        <f t="shared" si="13"/>
        <v>162245</v>
      </c>
      <c r="O300" s="146">
        <f t="shared" si="14"/>
        <v>162245</v>
      </c>
      <c r="P300" s="119"/>
    </row>
    <row r="301" spans="2:16" ht="24" customHeight="1" x14ac:dyDescent="0.25">
      <c r="B301" s="86" t="s">
        <v>565</v>
      </c>
      <c r="C301" s="87" t="s">
        <v>566</v>
      </c>
      <c r="D301" s="82" t="s">
        <v>284</v>
      </c>
      <c r="E301" s="83">
        <v>12</v>
      </c>
      <c r="F301" s="88">
        <v>29149</v>
      </c>
      <c r="G301" s="89">
        <f t="shared" si="12"/>
        <v>349788</v>
      </c>
      <c r="H301" s="209"/>
      <c r="I301" s="209"/>
      <c r="J301" s="213" t="str">
        <f t="array" ref="J301:M301">_xlfn.XLOOKUP(C301,'ESAP NEIVA FASE II UNIFICADO'!$C$6:$C$720,'ESAP NEIVA FASE II UNIFICADO'!$C$6:$F$720,"NO ESTA")</f>
        <v>SUMINISTRO E INSTALACIÓN SOPORTES DE FIJACIÓN TIPO PELDAÑO DESCOLGADO PARA DUCTO PORTACABLES TROQUELADO</v>
      </c>
      <c r="K301" t="str">
        <v xml:space="preserve">UN   </v>
      </c>
      <c r="L301">
        <v>34</v>
      </c>
      <c r="M301">
        <v>29987</v>
      </c>
      <c r="N301" s="115">
        <f t="shared" si="13"/>
        <v>29987</v>
      </c>
      <c r="O301" s="146">
        <f t="shared" si="14"/>
        <v>359844</v>
      </c>
      <c r="P301" s="119"/>
    </row>
    <row r="302" spans="2:16" ht="15" customHeight="1" x14ac:dyDescent="0.25">
      <c r="B302" s="80" t="s">
        <v>567</v>
      </c>
      <c r="C302" s="81" t="s">
        <v>568</v>
      </c>
      <c r="D302" s="82"/>
      <c r="E302" s="83"/>
      <c r="F302" s="104">
        <v>0</v>
      </c>
      <c r="G302" s="89">
        <f t="shared" si="12"/>
        <v>0</v>
      </c>
      <c r="H302" s="209"/>
      <c r="I302" s="209"/>
      <c r="J302" s="213" t="str">
        <f t="array" ref="J302:M302">_xlfn.XLOOKUP(C302,'ESAP NEIVA FASE II UNIFICADO'!$C$6:$C$720,'ESAP NEIVA FASE II UNIFICADO'!$C$6:$F$720,"NO ESTA")</f>
        <v>CANALETA PERIMETRAL MULTITOMA</v>
      </c>
      <c r="K302">
        <v>0</v>
      </c>
      <c r="L302">
        <v>0</v>
      </c>
      <c r="M302">
        <v>0</v>
      </c>
      <c r="N302" s="115">
        <f t="shared" si="13"/>
        <v>0</v>
      </c>
      <c r="O302" s="146">
        <f t="shared" si="14"/>
        <v>0</v>
      </c>
      <c r="P302" s="119"/>
    </row>
    <row r="303" spans="2:16" ht="22.5" customHeight="1" x14ac:dyDescent="0.25">
      <c r="B303" s="86" t="s">
        <v>569</v>
      </c>
      <c r="C303" s="87" t="s">
        <v>570</v>
      </c>
      <c r="D303" s="82" t="s">
        <v>269</v>
      </c>
      <c r="E303" s="83">
        <v>68</v>
      </c>
      <c r="F303" s="88">
        <v>29007</v>
      </c>
      <c r="G303" s="89">
        <f t="shared" si="12"/>
        <v>1972476</v>
      </c>
      <c r="H303" s="209"/>
      <c r="I303" s="209"/>
      <c r="J303" s="213" t="str">
        <f t="array" ref="J303:M303">_xlfn.XLOOKUP(C303,'ESAP NEIVA FASE II UNIFICADO'!$C$6:$C$720,'ESAP NEIVA FASE II UNIFICADO'!$C$6:$F$720,"NO ESTA")</f>
        <v>SUMINISTRO E INSTALACIÓN CANALETA MULTITOMA DE DOS COMPARTIMIENTOS EN LÁMINA COLD ROLLED CAL. 18 DE SECCIÓN 10x4 cm CON TAPA CLIP Y ACABADO ELECTROESTÁTICO GRIS NOPAL TEXTURIZADO</v>
      </c>
      <c r="K303" t="str">
        <v xml:space="preserve">ML   </v>
      </c>
      <c r="L303">
        <v>182</v>
      </c>
      <c r="M303">
        <v>29842</v>
      </c>
      <c r="N303" s="115">
        <f t="shared" si="13"/>
        <v>29842</v>
      </c>
      <c r="O303" s="146">
        <f t="shared" si="14"/>
        <v>2029256</v>
      </c>
      <c r="P303" s="119"/>
    </row>
    <row r="304" spans="2:16" ht="42" customHeight="1" x14ac:dyDescent="0.25">
      <c r="B304" s="86" t="s">
        <v>571</v>
      </c>
      <c r="C304" s="87" t="s">
        <v>572</v>
      </c>
      <c r="D304" s="82" t="s">
        <v>374</v>
      </c>
      <c r="E304" s="83">
        <v>29</v>
      </c>
      <c r="F304" s="88">
        <v>22632</v>
      </c>
      <c r="G304" s="89">
        <f t="shared" si="12"/>
        <v>656328</v>
      </c>
      <c r="H304" s="209"/>
      <c r="I304" s="209"/>
      <c r="J304" s="213" t="str">
        <f t="array" ref="J304:M304">_xlfn.XLOOKUP(C304,'ESAP NEIVA FASE II UNIFICADO'!$C$6:$C$720,'ESAP NEIVA FASE II UNIFICADO'!$C$6:$F$720,"NO ESTA")</f>
        <v>SUMINISTRO E INSTALACIÓN PLACA TOMA TROQUELADA PARA CANALETA 10x4 cm, CON PERFORACIONES PARA UNA (1) TOMA DOBLE COLOR BLANCO, UNA (1) TOMA DOBLE COLOR NARANJA Y UNA (1) TOMA RJ-45</v>
      </c>
      <c r="K304" t="str">
        <v>UN</v>
      </c>
      <c r="L304">
        <v>80</v>
      </c>
      <c r="M304">
        <v>23284</v>
      </c>
      <c r="N304" s="115">
        <f t="shared" si="13"/>
        <v>23284</v>
      </c>
      <c r="O304" s="146">
        <f t="shared" si="14"/>
        <v>675236</v>
      </c>
      <c r="P304" s="119"/>
    </row>
    <row r="305" spans="2:16" ht="22.5" customHeight="1" x14ac:dyDescent="0.25">
      <c r="B305" s="80" t="s">
        <v>573</v>
      </c>
      <c r="C305" s="81" t="s">
        <v>574</v>
      </c>
      <c r="D305" s="82"/>
      <c r="E305" s="83"/>
      <c r="F305" s="104">
        <v>0</v>
      </c>
      <c r="G305" s="89">
        <f t="shared" si="12"/>
        <v>0</v>
      </c>
      <c r="H305" s="209"/>
      <c r="I305" s="209"/>
      <c r="J305" s="213" t="str">
        <f t="array" ref="J305:M305">_xlfn.XLOOKUP(C305,'ESAP NEIVA FASE II UNIFICADO'!$C$6:$C$720,'ESAP NEIVA FASE II UNIFICADO'!$C$6:$F$720,"NO ESTA")</f>
        <v>SUMINISTRO E INSTALACIÓN COMETIDA RED MEDIA TENSIÓN (SEGÚN NORMAS CODENSA SA ESP)</v>
      </c>
      <c r="K305">
        <v>0</v>
      </c>
      <c r="L305">
        <v>0</v>
      </c>
      <c r="M305">
        <v>0</v>
      </c>
      <c r="N305" s="115">
        <f t="shared" si="13"/>
        <v>0</v>
      </c>
      <c r="O305" s="146">
        <f t="shared" si="14"/>
        <v>0</v>
      </c>
      <c r="P305" s="119"/>
    </row>
    <row r="306" spans="2:16" ht="48" customHeight="1" x14ac:dyDescent="0.25">
      <c r="B306" s="86" t="s">
        <v>575</v>
      </c>
      <c r="C306" s="87" t="s">
        <v>576</v>
      </c>
      <c r="D306" s="82" t="s">
        <v>374</v>
      </c>
      <c r="E306" s="83">
        <v>1</v>
      </c>
      <c r="F306" s="88">
        <v>69693692</v>
      </c>
      <c r="G306" s="89">
        <f t="shared" si="12"/>
        <v>69693692</v>
      </c>
      <c r="H306" s="209"/>
      <c r="I306" s="209"/>
      <c r="J306" s="213" t="str">
        <f t="array" ref="J306:M306">_xlfn.XLOOKUP(C306,'ESAP NEIVA FASE II UNIFICADO'!$C$6:$C$720,'ESAP NEIVA FASE II UNIFICADO'!$C$6:$F$720,"NO ESTA")</f>
        <v>SUMINISTRO E INSTALACIÓN TRANSFORMADOR DE DISTRIBUCIÓN DE 500 Kva, NIVEL DE TENSIÓN PRIMARIO 13.200 VOLTIOS, NIVEL DE TENSIÓN SECUNDARIO 208/120 VOLTIOS. INCLUYE: RIEL DE SOPORTE PARA TRANSFORMADOR (PATIN), RUEDAS PARA RIEL CON FRENO MECANICO</v>
      </c>
      <c r="K306" t="str">
        <v>UN</v>
      </c>
      <c r="L306">
        <v>0</v>
      </c>
      <c r="M306">
        <v>71697829</v>
      </c>
      <c r="N306" s="115">
        <f t="shared" si="13"/>
        <v>71697829</v>
      </c>
      <c r="O306" s="146">
        <f t="shared" si="14"/>
        <v>71697829</v>
      </c>
      <c r="P306" s="119"/>
    </row>
    <row r="307" spans="2:16" ht="22.5" customHeight="1" x14ac:dyDescent="0.25">
      <c r="B307" s="86" t="s">
        <v>577</v>
      </c>
      <c r="C307" s="87" t="s">
        <v>578</v>
      </c>
      <c r="D307" s="82" t="s">
        <v>374</v>
      </c>
      <c r="E307" s="83">
        <v>1</v>
      </c>
      <c r="F307" s="88">
        <v>5160130</v>
      </c>
      <c r="G307" s="89">
        <f t="shared" si="12"/>
        <v>5160130</v>
      </c>
      <c r="H307" s="209"/>
      <c r="I307" s="209"/>
      <c r="J307" s="213" t="str">
        <f t="array" ref="J307:M307">_xlfn.XLOOKUP(C307,'ESAP NEIVA FASE II UNIFICADO'!$C$6:$C$720,'ESAP NEIVA FASE II UNIFICADO'!$C$6:$F$720,"NO ESTA")</f>
        <v>SUMINISTRO E INSTALACIÓN PUERTA CORTAFUEGO PINTURA ELECTROESTÁTICA Y SEÑALES DE RIESGO ELÉCTRICO. INCLUYE ACCESORIOS PARA ENCLAVAMIENTO</v>
      </c>
      <c r="K307" t="str">
        <v>UN</v>
      </c>
      <c r="L307">
        <v>0</v>
      </c>
      <c r="M307">
        <v>5308517</v>
      </c>
      <c r="N307" s="115">
        <f t="shared" si="13"/>
        <v>5308517</v>
      </c>
      <c r="O307" s="146">
        <f t="shared" si="14"/>
        <v>5308517</v>
      </c>
      <c r="P307" s="119"/>
    </row>
    <row r="308" spans="2:16" ht="37.5" customHeight="1" x14ac:dyDescent="0.25">
      <c r="B308" s="86" t="s">
        <v>579</v>
      </c>
      <c r="C308" s="87" t="s">
        <v>580</v>
      </c>
      <c r="D308" s="82" t="s">
        <v>374</v>
      </c>
      <c r="E308" s="83">
        <v>1</v>
      </c>
      <c r="F308" s="88">
        <v>192043</v>
      </c>
      <c r="G308" s="89">
        <f t="shared" si="12"/>
        <v>192043</v>
      </c>
      <c r="H308" s="209"/>
      <c r="I308" s="209"/>
      <c r="J308" s="213" t="str">
        <f t="array" ref="J308:M308">_xlfn.XLOOKUP(C308,'ESAP NEIVA FASE II UNIFICADO'!$C$6:$C$720,'ESAP NEIVA FASE II UNIFICADO'!$C$6:$F$720,"NO ESTA")</f>
        <v>SUMINISTRO E INSTALACIÓN BARRERA DE PROTECCIÓN PARA EVITAR CONTACTO DIRECTO CON TRANSFORMADOR. INCLUYE INDUMENTARIA PARA ASEGURAR LA BARRERA A LA DISTANCIA ADECUADA DEL TRANSFORMADOR</v>
      </c>
      <c r="K308" t="str">
        <v>UN</v>
      </c>
      <c r="L308">
        <v>0</v>
      </c>
      <c r="M308">
        <v>197566</v>
      </c>
      <c r="N308" s="115">
        <f t="shared" si="13"/>
        <v>197566</v>
      </c>
      <c r="O308" s="146">
        <f t="shared" si="14"/>
        <v>197566</v>
      </c>
      <c r="P308" s="119"/>
    </row>
    <row r="309" spans="2:16" ht="22.5" customHeight="1" x14ac:dyDescent="0.25">
      <c r="B309" s="86" t="s">
        <v>581</v>
      </c>
      <c r="C309" s="87" t="s">
        <v>582</v>
      </c>
      <c r="D309" s="82" t="s">
        <v>374</v>
      </c>
      <c r="E309" s="83">
        <v>1</v>
      </c>
      <c r="F309" s="88">
        <v>156510</v>
      </c>
      <c r="G309" s="89">
        <f t="shared" si="12"/>
        <v>156510</v>
      </c>
      <c r="H309" s="209"/>
      <c r="I309" s="209"/>
      <c r="J309" s="213" t="str">
        <f t="array" ref="J309">_xlfn.XLOOKUP(C309,'ESAP NEIVA FASE II UNIFICADO'!$C$6:$C$720,'ESAP NEIVA FASE II UNIFICADO'!$C$6:$F$720,"NO ESTA")</f>
        <v>NO ESTA</v>
      </c>
      <c r="N309" s="115">
        <f t="shared" si="13"/>
        <v>156510</v>
      </c>
      <c r="O309" s="146">
        <f t="shared" si="14"/>
        <v>156510</v>
      </c>
      <c r="P309" s="119"/>
    </row>
    <row r="310" spans="2:16" ht="22.5" customHeight="1" x14ac:dyDescent="0.25">
      <c r="B310" s="86" t="s">
        <v>583</v>
      </c>
      <c r="C310" s="87" t="s">
        <v>584</v>
      </c>
      <c r="D310" s="82" t="s">
        <v>374</v>
      </c>
      <c r="E310" s="83">
        <v>1</v>
      </c>
      <c r="F310" s="88">
        <v>315470</v>
      </c>
      <c r="G310" s="89">
        <f t="shared" si="12"/>
        <v>315470</v>
      </c>
      <c r="H310" s="209"/>
      <c r="I310" s="209"/>
      <c r="J310" s="213" t="str">
        <f t="array" ref="J310:M310">_xlfn.XLOOKUP(C310,'ESAP NEIVA FASE II UNIFICADO'!$C$6:$C$720,'ESAP NEIVA FASE II UNIFICADO'!$C$6:$F$720,"NO ESTA")</f>
        <v>SUMINISTRO E INSTALACIÓN PASAMUROS DE MEDIA TENSIÓN, PASA MUROS EN PVC INCLUYE OBRAS NECESARIAS PARA LA INSTALACIÓN DE LAS MISMAS (JUEGO)</v>
      </c>
      <c r="K310" t="str">
        <v>UN</v>
      </c>
      <c r="L310">
        <v>0</v>
      </c>
      <c r="M310">
        <v>324542</v>
      </c>
      <c r="N310" s="115">
        <f t="shared" si="13"/>
        <v>324542</v>
      </c>
      <c r="O310" s="146">
        <f t="shared" si="14"/>
        <v>324542</v>
      </c>
      <c r="P310" s="119"/>
    </row>
    <row r="311" spans="2:16" ht="22.5" customHeight="1" x14ac:dyDescent="0.25">
      <c r="B311" s="86" t="s">
        <v>585</v>
      </c>
      <c r="C311" s="87" t="s">
        <v>586</v>
      </c>
      <c r="D311" s="82" t="s">
        <v>374</v>
      </c>
      <c r="E311" s="83">
        <v>1</v>
      </c>
      <c r="F311" s="88">
        <v>384601</v>
      </c>
      <c r="G311" s="89">
        <f t="shared" si="12"/>
        <v>384601</v>
      </c>
      <c r="H311" s="209"/>
      <c r="I311" s="209"/>
      <c r="J311" s="213" t="str">
        <f t="array" ref="J311:M311">_xlfn.XLOOKUP(C311,'ESAP NEIVA FASE II UNIFICADO'!$C$6:$C$720,'ESAP NEIVA FASE II UNIFICADO'!$C$6:$F$720,"NO ESTA")</f>
        <v>SUMINISTRO E INSTALACIÓN DUCTO DE VENTILACIÓN CON DÁMPER FIRE, INCLUYE REJILLA DAMPER PARA EMERGENCIA</v>
      </c>
      <c r="K311" t="str">
        <v>UN</v>
      </c>
      <c r="L311">
        <v>0</v>
      </c>
      <c r="M311">
        <v>395661</v>
      </c>
      <c r="N311" s="115">
        <f t="shared" si="13"/>
        <v>395661</v>
      </c>
      <c r="O311" s="146">
        <f t="shared" si="14"/>
        <v>395661</v>
      </c>
      <c r="P311" s="119"/>
    </row>
    <row r="312" spans="2:16" ht="35.25" customHeight="1" x14ac:dyDescent="0.25">
      <c r="B312" s="86" t="s">
        <v>587</v>
      </c>
      <c r="C312" s="87" t="s">
        <v>588</v>
      </c>
      <c r="D312" s="82" t="s">
        <v>374</v>
      </c>
      <c r="E312" s="83">
        <v>1</v>
      </c>
      <c r="F312" s="88">
        <v>281558</v>
      </c>
      <c r="G312" s="89">
        <f t="shared" si="12"/>
        <v>281558</v>
      </c>
      <c r="H312" s="209"/>
      <c r="I312" s="209"/>
      <c r="J312" s="213" t="str">
        <f t="array" ref="J312">_xlfn.XLOOKUP(C312,'ESAP NEIVA FASE II UNIFICADO'!$C$6:$C$720,'ESAP NEIVA FASE II UNIFICADO'!$C$6:$F$720,"NO ESTA")</f>
        <v>NO ESTA</v>
      </c>
      <c r="N312" s="115">
        <f t="shared" si="13"/>
        <v>281558</v>
      </c>
      <c r="O312" s="146">
        <f t="shared" si="14"/>
        <v>281558</v>
      </c>
      <c r="P312" s="119"/>
    </row>
    <row r="313" spans="2:16" ht="22.5" customHeight="1" x14ac:dyDescent="0.25">
      <c r="B313" s="86" t="s">
        <v>589</v>
      </c>
      <c r="C313" s="87" t="s">
        <v>590</v>
      </c>
      <c r="D313" s="82" t="s">
        <v>374</v>
      </c>
      <c r="E313" s="83">
        <v>1</v>
      </c>
      <c r="F313" s="88">
        <v>567798</v>
      </c>
      <c r="G313" s="89">
        <f t="shared" si="12"/>
        <v>567798</v>
      </c>
      <c r="H313" s="209"/>
      <c r="I313" s="209"/>
      <c r="J313" s="213" t="str">
        <f t="array" ref="J313:M313">_xlfn.XLOOKUP(C313,'ESAP NEIVA FASE II UNIFICADO'!$C$6:$C$720,'ESAP NEIVA FASE II UNIFICADO'!$C$6:$F$720,"NO ESTA")</f>
        <v>SUMINISTRO E INSTALACIÓN DE DPS (DISPOSITIVO DE PROTECCIÓN CONTRA SOBRETENSIONES)</v>
      </c>
      <c r="K313" t="str">
        <v>UN</v>
      </c>
      <c r="L313">
        <v>1</v>
      </c>
      <c r="M313">
        <v>584126</v>
      </c>
      <c r="N313" s="115">
        <f t="shared" si="13"/>
        <v>584126</v>
      </c>
      <c r="O313" s="146">
        <f t="shared" si="14"/>
        <v>584126</v>
      </c>
      <c r="P313" s="119"/>
    </row>
    <row r="314" spans="2:16" ht="37.5" customHeight="1" x14ac:dyDescent="0.25">
      <c r="B314" s="86" t="s">
        <v>591</v>
      </c>
      <c r="C314" s="87" t="s">
        <v>592</v>
      </c>
      <c r="D314" s="82" t="s">
        <v>374</v>
      </c>
      <c r="E314" s="83">
        <v>1</v>
      </c>
      <c r="F314" s="88">
        <v>18223352</v>
      </c>
      <c r="G314" s="89">
        <f t="shared" si="12"/>
        <v>18223352</v>
      </c>
      <c r="H314" s="209"/>
      <c r="I314" s="209"/>
      <c r="J314" s="213" t="str">
        <f t="array" ref="J314">_xlfn.XLOOKUP(C314,'ESAP NEIVA FASE II UNIFICADO'!$C$6:$C$720,'ESAP NEIVA FASE II UNIFICADO'!$C$6:$F$720,"NO ESTA")</f>
        <v>NO ESTA</v>
      </c>
      <c r="N314" s="115">
        <f t="shared" si="13"/>
        <v>18223352</v>
      </c>
      <c r="O314" s="146">
        <f t="shared" si="14"/>
        <v>18223352</v>
      </c>
      <c r="P314" s="119"/>
    </row>
    <row r="315" spans="2:16" ht="40.5" customHeight="1" x14ac:dyDescent="0.25">
      <c r="B315" s="86" t="s">
        <v>593</v>
      </c>
      <c r="C315" s="87" t="s">
        <v>594</v>
      </c>
      <c r="D315" s="82" t="s">
        <v>374</v>
      </c>
      <c r="E315" s="83">
        <v>1</v>
      </c>
      <c r="F315" s="88">
        <v>1448384</v>
      </c>
      <c r="G315" s="89">
        <f t="shared" si="12"/>
        <v>1448384</v>
      </c>
      <c r="H315" s="209"/>
      <c r="I315" s="209"/>
      <c r="J315" s="213" t="str">
        <f t="array" ref="J315:M315">_xlfn.XLOOKUP(C315,'ESAP NEIVA FASE II UNIFICADO'!$C$6:$C$720,'ESAP NEIVA FASE II UNIFICADO'!$C$6:$F$720,"NO ESTA")</f>
        <v xml:space="preserve">SUMINISTRO E INSTALACIÓN CAJA DE INSPECCIÓN SENCILLA CON TAPA EN CONCRETO SEGÚN NORMA CS-276 CODENSA S.A. ESP PARA RED DE MEDIA Y BAJA TENSIÓN. </v>
      </c>
      <c r="K315" t="str">
        <v>UN</v>
      </c>
      <c r="L315">
        <v>2</v>
      </c>
      <c r="M315">
        <v>1490034</v>
      </c>
      <c r="N315" s="115">
        <f t="shared" si="13"/>
        <v>1490034</v>
      </c>
      <c r="O315" s="146">
        <f t="shared" si="14"/>
        <v>1490034</v>
      </c>
      <c r="P315" s="119"/>
    </row>
    <row r="316" spans="2:16" ht="15" customHeight="1" x14ac:dyDescent="0.25">
      <c r="B316" s="80" t="s">
        <v>595</v>
      </c>
      <c r="C316" s="81" t="s">
        <v>596</v>
      </c>
      <c r="D316" s="82"/>
      <c r="E316" s="83"/>
      <c r="F316" s="104">
        <v>0</v>
      </c>
      <c r="G316" s="89">
        <f t="shared" si="12"/>
        <v>0</v>
      </c>
      <c r="H316" s="209"/>
      <c r="I316" s="209"/>
      <c r="J316" s="213" t="str">
        <f t="array" ref="J316:M316">_xlfn.XLOOKUP(C316,'ESAP NEIVA FASE II UNIFICADO'!$C$6:$C$720,'ESAP NEIVA FASE II UNIFICADO'!$C$6:$F$720,"NO ESTA")</f>
        <v>SUMINISTRO E INSTALACIÓN ALIMENTADORES ELÉCTRICOS PRINCIPALES</v>
      </c>
      <c r="K316">
        <v>0</v>
      </c>
      <c r="L316">
        <v>0</v>
      </c>
      <c r="M316">
        <v>0</v>
      </c>
      <c r="N316" s="115">
        <f t="shared" si="13"/>
        <v>0</v>
      </c>
      <c r="O316" s="146">
        <f t="shared" si="14"/>
        <v>0</v>
      </c>
      <c r="P316" s="119"/>
    </row>
    <row r="317" spans="2:16" ht="25.5" customHeight="1" x14ac:dyDescent="0.25">
      <c r="B317" s="86" t="s">
        <v>597</v>
      </c>
      <c r="C317" s="87" t="s">
        <v>598</v>
      </c>
      <c r="D317" s="82" t="s">
        <v>269</v>
      </c>
      <c r="E317" s="83">
        <v>20</v>
      </c>
      <c r="F317" s="88">
        <v>306054</v>
      </c>
      <c r="G317" s="89">
        <f t="shared" si="12"/>
        <v>6121080</v>
      </c>
      <c r="H317" s="209"/>
      <c r="I317" s="209"/>
      <c r="J317" s="213" t="str">
        <f t="array" ref="J317:M317">_xlfn.XLOOKUP(C317,'ESAP NEIVA FASE II UNIFICADO'!$C$6:$C$720,'ESAP NEIVA FASE II UNIFICADO'!$C$6:$F$720,"NO ESTA")</f>
        <v>SUMINISTRO E INSTALACIÓN INTERCONEXIÓN ENTRE CAJA CS-276 Y CELDA DE MEDIDA CABLE XLPE 15KV T AWG EN TUBERÍA PVC 6".</v>
      </c>
      <c r="K317" t="str">
        <v xml:space="preserve">ML   </v>
      </c>
      <c r="L317">
        <v>0</v>
      </c>
      <c r="M317">
        <v>314854</v>
      </c>
      <c r="N317" s="115">
        <f t="shared" si="13"/>
        <v>314854</v>
      </c>
      <c r="O317" s="146">
        <f t="shared" si="14"/>
        <v>6297080</v>
      </c>
      <c r="P317" s="119"/>
    </row>
    <row r="318" spans="2:16" ht="39.75" customHeight="1" x14ac:dyDescent="0.25">
      <c r="B318" s="86" t="s">
        <v>599</v>
      </c>
      <c r="C318" s="87" t="s">
        <v>600</v>
      </c>
      <c r="D318" s="82" t="s">
        <v>269</v>
      </c>
      <c r="E318" s="83">
        <v>6</v>
      </c>
      <c r="F318" s="88">
        <v>1129589</v>
      </c>
      <c r="G318" s="89">
        <f t="shared" si="12"/>
        <v>6777534</v>
      </c>
      <c r="H318" s="209"/>
      <c r="I318" s="209"/>
      <c r="J318" s="213" t="str">
        <f t="array" ref="J318">_xlfn.XLOOKUP(C318,'ESAP NEIVA FASE II UNIFICADO'!$C$6:$C$720,'ESAP NEIVA FASE II UNIFICADO'!$C$6:$F$720,"NO ESTA")</f>
        <v>NO ESTA</v>
      </c>
      <c r="N318" s="115">
        <f t="shared" si="13"/>
        <v>1129589</v>
      </c>
      <c r="O318" s="146">
        <f t="shared" si="14"/>
        <v>6777534</v>
      </c>
      <c r="P318" s="119"/>
    </row>
    <row r="319" spans="2:16" ht="40.5" customHeight="1" x14ac:dyDescent="0.25">
      <c r="B319" s="86" t="s">
        <v>601</v>
      </c>
      <c r="C319" s="87" t="s">
        <v>602</v>
      </c>
      <c r="D319" s="82" t="s">
        <v>269</v>
      </c>
      <c r="E319" s="83">
        <v>5</v>
      </c>
      <c r="F319" s="88">
        <v>1188385</v>
      </c>
      <c r="G319" s="89">
        <f t="shared" si="12"/>
        <v>5941925</v>
      </c>
      <c r="H319" s="209"/>
      <c r="I319" s="209"/>
      <c r="J319" s="213" t="str">
        <f t="array" ref="J319">_xlfn.XLOOKUP(C319,'ESAP NEIVA FASE II UNIFICADO'!$C$6:$C$720,'ESAP NEIVA FASE II UNIFICADO'!$C$6:$F$720,"NO ESTA")</f>
        <v>NO ESTA</v>
      </c>
      <c r="N319" s="115">
        <f t="shared" si="13"/>
        <v>1188385</v>
      </c>
      <c r="O319" s="146">
        <f t="shared" si="14"/>
        <v>5941925</v>
      </c>
      <c r="P319" s="119"/>
    </row>
    <row r="320" spans="2:16" ht="15" customHeight="1" x14ac:dyDescent="0.25">
      <c r="B320" s="80" t="s">
        <v>603</v>
      </c>
      <c r="C320" s="81" t="s">
        <v>596</v>
      </c>
      <c r="D320" s="82"/>
      <c r="E320" s="83"/>
      <c r="F320" s="104">
        <v>0</v>
      </c>
      <c r="G320" s="89">
        <f t="shared" si="12"/>
        <v>0</v>
      </c>
      <c r="H320" s="209"/>
      <c r="I320" s="209"/>
      <c r="J320" s="213" t="str">
        <f t="array" ref="J320:M320">_xlfn.XLOOKUP(C320,'ESAP NEIVA FASE II UNIFICADO'!$C$6:$C$720,'ESAP NEIVA FASE II UNIFICADO'!$C$6:$F$720,"NO ESTA")</f>
        <v>SUMINISTRO E INSTALACIÓN ALIMENTADORES ELÉCTRICOS PRINCIPALES</v>
      </c>
      <c r="K320">
        <v>0</v>
      </c>
      <c r="L320">
        <v>0</v>
      </c>
      <c r="M320">
        <v>0</v>
      </c>
      <c r="N320" s="115">
        <f t="shared" si="13"/>
        <v>0</v>
      </c>
      <c r="O320" s="146">
        <f t="shared" si="14"/>
        <v>0</v>
      </c>
      <c r="P320" s="119"/>
    </row>
    <row r="321" spans="2:16" ht="24.75" customHeight="1" x14ac:dyDescent="0.25">
      <c r="B321" s="86" t="s">
        <v>604</v>
      </c>
      <c r="C321" s="87" t="s">
        <v>605</v>
      </c>
      <c r="D321" s="82" t="s">
        <v>269</v>
      </c>
      <c r="E321" s="83">
        <v>8</v>
      </c>
      <c r="F321" s="88">
        <v>185558</v>
      </c>
      <c r="G321" s="89">
        <f t="shared" si="12"/>
        <v>1484464</v>
      </c>
      <c r="H321" s="209"/>
      <c r="I321" s="209"/>
      <c r="J321" s="213" t="str">
        <f t="array" ref="J321:M321">_xlfn.XLOOKUP(C321,'ESAP NEIVA FASE II UNIFICADO'!$C$6:$C$720,'ESAP NEIVA FASE II UNIFICADO'!$C$6:$F$720,"NO ESTA")</f>
        <v>SUMINISTRO E INSTALACIÓN ALIMENTADOR DESDE TRANSFERENCIA HASTA TABLERO GENERAL DE MAQUINAS EN 3#4/0+1#4/0N+1#2T AWG EN BANDEJA PORTA CABLES</v>
      </c>
      <c r="K321" t="str">
        <v xml:space="preserve">ML   </v>
      </c>
      <c r="L321">
        <v>0</v>
      </c>
      <c r="M321">
        <v>190892</v>
      </c>
      <c r="N321" s="115">
        <f t="shared" si="13"/>
        <v>190892</v>
      </c>
      <c r="O321" s="146">
        <f t="shared" si="14"/>
        <v>1527136</v>
      </c>
      <c r="P321" s="119"/>
    </row>
    <row r="322" spans="2:16" ht="42" customHeight="1" x14ac:dyDescent="0.25">
      <c r="B322" s="86" t="s">
        <v>606</v>
      </c>
      <c r="C322" s="87" t="s">
        <v>607</v>
      </c>
      <c r="D322" s="82" t="s">
        <v>269</v>
      </c>
      <c r="E322" s="83">
        <v>52</v>
      </c>
      <c r="F322" s="88">
        <v>59599</v>
      </c>
      <c r="G322" s="89">
        <f t="shared" si="12"/>
        <v>3099148</v>
      </c>
      <c r="H322" s="209"/>
      <c r="I322" s="209"/>
      <c r="J322" s="213" t="str">
        <f t="array" ref="J322:M322">_xlfn.XLOOKUP(C322,'ESAP NEIVA FASE II UNIFICADO'!$C$6:$C$720,'ESAP NEIVA FASE II UNIFICADO'!$C$6:$F$720,"NO ESTA")</f>
        <v>SUMINISTRO E INSTALACIÓN ALIMENTADOR DESDE EL TABLERO GENERAL MAQUINAS HASTA EL TABLERO DE ASCENSOR EN 3#6+1#6N+1#8T AWG EN TUBERIA PVC ø 1 1/2" INCLUYENDO DE TERMINALES DE CONEXIÓN</v>
      </c>
      <c r="K322" t="str">
        <v xml:space="preserve">ML   </v>
      </c>
      <c r="L322">
        <v>0</v>
      </c>
      <c r="M322">
        <v>61314</v>
      </c>
      <c r="N322" s="115">
        <f t="shared" si="13"/>
        <v>61314</v>
      </c>
      <c r="O322" s="146">
        <f t="shared" si="14"/>
        <v>3188328</v>
      </c>
      <c r="P322" s="119"/>
    </row>
    <row r="323" spans="2:16" ht="42" customHeight="1" x14ac:dyDescent="0.25">
      <c r="B323" s="86" t="s">
        <v>608</v>
      </c>
      <c r="C323" s="87" t="s">
        <v>609</v>
      </c>
      <c r="D323" s="82" t="s">
        <v>269</v>
      </c>
      <c r="E323" s="83">
        <v>106</v>
      </c>
      <c r="F323" s="88">
        <v>59599</v>
      </c>
      <c r="G323" s="89">
        <f t="shared" si="12"/>
        <v>6317494</v>
      </c>
      <c r="H323" s="209"/>
      <c r="I323" s="209"/>
      <c r="J323" s="213" t="str">
        <f t="array" ref="J323:M323">_xlfn.XLOOKUP(C323,'ESAP NEIVA FASE II UNIFICADO'!$C$6:$C$720,'ESAP NEIVA FASE II UNIFICADO'!$C$6:$F$720,"NO ESTA")</f>
        <v>SUMINISTRO E INSTALACIÓN ALIMENTADOR DESDE EL TABLERO GENERAL MAQUINAS HASTA EL TABLERO NORMAL BOMBAS EN 3#6+1#6N+1#8T AWG EN TUBERIA PVC 1 ø 1 1/2" INCLUYENDO DE TERMINALES DE CONEXIÓN</v>
      </c>
      <c r="K323" t="str">
        <v xml:space="preserve">ML   </v>
      </c>
      <c r="L323">
        <v>0</v>
      </c>
      <c r="M323">
        <v>61314</v>
      </c>
      <c r="N323" s="115">
        <f t="shared" si="13"/>
        <v>61314</v>
      </c>
      <c r="O323" s="146">
        <f t="shared" si="14"/>
        <v>6499284</v>
      </c>
      <c r="P323" s="119"/>
    </row>
    <row r="324" spans="2:16" ht="42" customHeight="1" x14ac:dyDescent="0.25">
      <c r="B324" s="86" t="s">
        <v>610</v>
      </c>
      <c r="C324" s="87" t="s">
        <v>611</v>
      </c>
      <c r="D324" s="82" t="s">
        <v>269</v>
      </c>
      <c r="E324" s="83">
        <v>5</v>
      </c>
      <c r="F324" s="88">
        <v>348439</v>
      </c>
      <c r="G324" s="89">
        <f t="shared" si="12"/>
        <v>1742195</v>
      </c>
      <c r="H324" s="209"/>
      <c r="I324" s="209"/>
      <c r="J324" s="213" t="str">
        <f t="array" ref="J324:M324">_xlfn.XLOOKUP(C324,'ESAP NEIVA FASE II UNIFICADO'!$C$6:$C$720,'ESAP NEIVA FASE II UNIFICADO'!$C$6:$F$720,"NO ESTA")</f>
        <v>SUMINISTRO E INSTALACIÓN ALIMENTADOR DESDE TRANSFERENCIA HASTA EL TABLERO GENERAL DE DISTRIBUCIÓN EN 6#4/0+2#4/0N+1#4T EN BANDEJA PORTACABLES</v>
      </c>
      <c r="K324" t="str">
        <v xml:space="preserve">ML   </v>
      </c>
      <c r="L324">
        <v>0</v>
      </c>
      <c r="M324">
        <v>358460</v>
      </c>
      <c r="N324" s="115">
        <f t="shared" si="13"/>
        <v>358460</v>
      </c>
      <c r="O324" s="146">
        <f t="shared" si="14"/>
        <v>1792300</v>
      </c>
      <c r="P324" s="119"/>
    </row>
    <row r="325" spans="2:16" ht="42" customHeight="1" x14ac:dyDescent="0.25">
      <c r="B325" s="86" t="s">
        <v>612</v>
      </c>
      <c r="C325" s="87" t="s">
        <v>613</v>
      </c>
      <c r="D325" s="82" t="s">
        <v>269</v>
      </c>
      <c r="E325" s="83">
        <v>6</v>
      </c>
      <c r="F325" s="88">
        <v>59599</v>
      </c>
      <c r="G325" s="89">
        <f t="shared" si="12"/>
        <v>357594</v>
      </c>
      <c r="H325" s="209"/>
      <c r="I325" s="209"/>
      <c r="J325" s="213" t="str">
        <f t="array" ref="J325:M325">_xlfn.XLOOKUP(C325,'ESAP NEIVA FASE II UNIFICADO'!$C$6:$C$720,'ESAP NEIVA FASE II UNIFICADO'!$C$6:$F$720,"NO ESTA")</f>
        <v>SUMINISTRO E INSTALACIÓN ALIMENTADOR DESDE EL TABLERO GENERAL DE DISTRIBUCIÓN HASTA EL TNS SOTANO POR CARCAMO CON 3#6+1#6N+1#8T AWG INCLUYE TERMINALES DE CONEXIÓN</v>
      </c>
      <c r="K325" t="str">
        <v xml:space="preserve">ML   </v>
      </c>
      <c r="L325">
        <v>0</v>
      </c>
      <c r="M325">
        <v>61314</v>
      </c>
      <c r="N325" s="115">
        <f t="shared" si="13"/>
        <v>61314</v>
      </c>
      <c r="O325" s="146">
        <f t="shared" si="14"/>
        <v>367884</v>
      </c>
      <c r="P325" s="119"/>
    </row>
    <row r="326" spans="2:16" ht="42" customHeight="1" x14ac:dyDescent="0.25">
      <c r="B326" s="86" t="s">
        <v>614</v>
      </c>
      <c r="C326" s="87" t="s">
        <v>615</v>
      </c>
      <c r="D326" s="82" t="s">
        <v>269</v>
      </c>
      <c r="E326" s="83">
        <v>60</v>
      </c>
      <c r="F326" s="88">
        <v>125170</v>
      </c>
      <c r="G326" s="89">
        <f t="shared" ref="G326:G389" si="15">ROUND(+F326*E326,2)</f>
        <v>7510200</v>
      </c>
      <c r="H326" s="209"/>
      <c r="I326" s="209"/>
      <c r="J326" s="213" t="str">
        <f t="array" ref="J326:M326">_xlfn.XLOOKUP(C326,'ESAP NEIVA FASE II UNIFICADO'!$C$6:$C$720,'ESAP NEIVA FASE II UNIFICADO'!$C$6:$F$720,"NO ESTA")</f>
        <v>SUMINISTRO E INSTALACIÓN ALIMENTADOR DESDE EL TABLERO GENERAL DE DISTRIBUCIÓN HASTA EL TNP1 PISO 1 EN 1 ø 2" CON 3#2/0+1#2/0N+1#4T AWG INCLUYE TERMINALES DE CONEXIÓN</v>
      </c>
      <c r="K326" t="str">
        <v xml:space="preserve">ML   </v>
      </c>
      <c r="L326">
        <v>0</v>
      </c>
      <c r="M326">
        <v>128769</v>
      </c>
      <c r="N326" s="115">
        <f t="shared" ref="N326:N389" si="16">MAX(M326,F326)</f>
        <v>128769</v>
      </c>
      <c r="O326" s="146">
        <f t="shared" ref="O326:O389" si="17">N326*E326</f>
        <v>7726140</v>
      </c>
      <c r="P326" s="119"/>
    </row>
    <row r="327" spans="2:16" ht="42" customHeight="1" x14ac:dyDescent="0.25">
      <c r="B327" s="86" t="s">
        <v>616</v>
      </c>
      <c r="C327" s="87" t="s">
        <v>617</v>
      </c>
      <c r="D327" s="82" t="s">
        <v>269</v>
      </c>
      <c r="E327" s="83">
        <v>64</v>
      </c>
      <c r="F327" s="88">
        <v>185250</v>
      </c>
      <c r="G327" s="89">
        <f t="shared" si="15"/>
        <v>11856000</v>
      </c>
      <c r="H327" s="209"/>
      <c r="I327" s="209"/>
      <c r="J327" s="213" t="str">
        <f t="array" ref="J327:M327">_xlfn.XLOOKUP(C327,'ESAP NEIVA FASE II UNIFICADO'!$C$6:$C$720,'ESAP NEIVA FASE II UNIFICADO'!$C$6:$F$720,"NO ESTA")</f>
        <v>SUMINISTRO E INSTALACIÓN ALIMENTADOR DESDE EL TABLERO GENERAL DE DISTRIBUCIÓN HASTA EL TNP2 PISO 2 EN 1 ø 3" CON 3#4/0+1#2/0N+1#4T AWG INCLUYE TERMINALES DE CONEXIÓN</v>
      </c>
      <c r="K327" t="str">
        <v xml:space="preserve">ML   </v>
      </c>
      <c r="L327">
        <v>0</v>
      </c>
      <c r="M327">
        <v>190576</v>
      </c>
      <c r="N327" s="115">
        <f t="shared" si="16"/>
        <v>190576</v>
      </c>
      <c r="O327" s="146">
        <f t="shared" si="17"/>
        <v>12196864</v>
      </c>
      <c r="P327" s="119"/>
    </row>
    <row r="328" spans="2:16" ht="42" customHeight="1" x14ac:dyDescent="0.25">
      <c r="B328" s="86" t="s">
        <v>618</v>
      </c>
      <c r="C328" s="87" t="s">
        <v>619</v>
      </c>
      <c r="D328" s="82" t="s">
        <v>269</v>
      </c>
      <c r="E328" s="83">
        <v>68</v>
      </c>
      <c r="F328" s="88">
        <v>185250</v>
      </c>
      <c r="G328" s="89">
        <f t="shared" si="15"/>
        <v>12597000</v>
      </c>
      <c r="H328" s="209"/>
      <c r="I328" s="209"/>
      <c r="J328" s="213" t="str">
        <f t="array" ref="J328:M328">_xlfn.XLOOKUP(C328,'ESAP NEIVA FASE II UNIFICADO'!$C$6:$C$720,'ESAP NEIVA FASE II UNIFICADO'!$C$6:$F$720,"NO ESTA")</f>
        <v>SUMINISTRO E INSTALACIÓN ALIMENTADOR DESDE EL TABLERO GENERAL DE DISTRIBUCIÓN HASTA EL TNP3 PISO 3 EN 1 ø 3" CON 3#4/0+1#2/0N+1#4T AWG INCLUYE TERMINALES DE CONEXIÓN</v>
      </c>
      <c r="K328" t="str">
        <v xml:space="preserve">ML   </v>
      </c>
      <c r="L328">
        <v>0</v>
      </c>
      <c r="M328">
        <v>190576</v>
      </c>
      <c r="N328" s="115">
        <f t="shared" si="16"/>
        <v>190576</v>
      </c>
      <c r="O328" s="146">
        <f t="shared" si="17"/>
        <v>12959168</v>
      </c>
      <c r="P328" s="119"/>
    </row>
    <row r="329" spans="2:16" ht="42" customHeight="1" x14ac:dyDescent="0.25">
      <c r="B329" s="86" t="s">
        <v>620</v>
      </c>
      <c r="C329" s="87" t="s">
        <v>621</v>
      </c>
      <c r="D329" s="82" t="s">
        <v>269</v>
      </c>
      <c r="E329" s="83">
        <v>72</v>
      </c>
      <c r="F329" s="88">
        <v>185250</v>
      </c>
      <c r="G329" s="89">
        <f t="shared" si="15"/>
        <v>13338000</v>
      </c>
      <c r="H329" s="209"/>
      <c r="I329" s="209"/>
      <c r="J329" s="213" t="str">
        <f t="array" ref="J329:M329">_xlfn.XLOOKUP(C329,'ESAP NEIVA FASE II UNIFICADO'!$C$6:$C$720,'ESAP NEIVA FASE II UNIFICADO'!$C$6:$F$720,"NO ESTA")</f>
        <v>SUMINISTRO E INSTALACIÓN ALIMENTADOR DESDE EL TABLERO GENERAL DE DISTRIBUCIÓN HASTA EL TNP3 PISO 4 EN 1 Ø 3" CON 3#4/0+1#2/0N+1#4T AWG INCLUYE TERMINALES DE CONEXIÓN</v>
      </c>
      <c r="K329" t="str">
        <v xml:space="preserve">ML   </v>
      </c>
      <c r="L329">
        <v>0</v>
      </c>
      <c r="M329">
        <v>190576</v>
      </c>
      <c r="N329" s="115">
        <f t="shared" si="16"/>
        <v>190576</v>
      </c>
      <c r="O329" s="146">
        <f t="shared" si="17"/>
        <v>13721472</v>
      </c>
      <c r="P329" s="119"/>
    </row>
    <row r="330" spans="2:16" ht="42" customHeight="1" x14ac:dyDescent="0.25">
      <c r="B330" s="86" t="s">
        <v>622</v>
      </c>
      <c r="C330" s="87" t="s">
        <v>623</v>
      </c>
      <c r="D330" s="82" t="s">
        <v>269</v>
      </c>
      <c r="E330" s="83">
        <v>60</v>
      </c>
      <c r="F330" s="88">
        <v>166131</v>
      </c>
      <c r="G330" s="89">
        <f t="shared" si="15"/>
        <v>9967860</v>
      </c>
      <c r="H330" s="209"/>
      <c r="I330" s="209"/>
      <c r="J330" s="213" t="str">
        <f t="array" ref="J330:M330">_xlfn.XLOOKUP(C330,'ESAP NEIVA FASE II UNIFICADO'!$C$6:$C$720,'ESAP NEIVA FASE II UNIFICADO'!$C$6:$F$720,"NO ESTA")</f>
        <v xml:space="preserve">SUMINISTRO E INSTALACIÓNALIMENTADOR DESDE EL TABLERO GENERAL DE DISTRIBUCIÓN HASTA LA UPS1 PISO 1 EN 1 Ø 2" con 3#3/0+1#2/0N+1#2/OT AWG INCLUYENDO TERMINALES DE CONEXIÓN </v>
      </c>
      <c r="K330" t="str">
        <v xml:space="preserve">ML   </v>
      </c>
      <c r="L330">
        <v>0</v>
      </c>
      <c r="M330">
        <v>170907</v>
      </c>
      <c r="N330" s="115">
        <f t="shared" si="16"/>
        <v>170907</v>
      </c>
      <c r="O330" s="146">
        <f t="shared" si="17"/>
        <v>10254420</v>
      </c>
      <c r="P330" s="119"/>
    </row>
    <row r="331" spans="2:16" ht="42" customHeight="1" x14ac:dyDescent="0.25">
      <c r="B331" s="86" t="s">
        <v>624</v>
      </c>
      <c r="C331" s="87" t="s">
        <v>625</v>
      </c>
      <c r="D331" s="82" t="s">
        <v>269</v>
      </c>
      <c r="E331" s="83">
        <v>7</v>
      </c>
      <c r="F331" s="88">
        <v>96934</v>
      </c>
      <c r="G331" s="89">
        <f t="shared" si="15"/>
        <v>678538</v>
      </c>
      <c r="H331" s="209"/>
      <c r="I331" s="209"/>
      <c r="J331" s="213" t="str">
        <f t="array" ref="J331:M331">_xlfn.XLOOKUP(C331,'ESAP NEIVA FASE II UNIFICADO'!$C$6:$C$720,'ESAP NEIVA FASE II UNIFICADO'!$C$6:$F$720,"NO ESTA")</f>
        <v xml:space="preserve">SUMINISTRO E INSTALACIÓN ALIMENTADOR DESDE UPS1 HASTA EL TABLERO REGULADO 1 PISO 1 EN 1 Ø 2" con 3#2+1#2N+1#8T AWG INCLUYENDO TERMINALES DE CONEXIÓN </v>
      </c>
      <c r="K331" t="str">
        <v xml:space="preserve">ML   </v>
      </c>
      <c r="L331">
        <v>0</v>
      </c>
      <c r="M331">
        <v>99722</v>
      </c>
      <c r="N331" s="115">
        <f t="shared" si="16"/>
        <v>99722</v>
      </c>
      <c r="O331" s="146">
        <f t="shared" si="17"/>
        <v>698054</v>
      </c>
      <c r="P331" s="119"/>
    </row>
    <row r="332" spans="2:16" ht="42" customHeight="1" x14ac:dyDescent="0.25">
      <c r="B332" s="86" t="s">
        <v>626</v>
      </c>
      <c r="C332" s="87" t="s">
        <v>627</v>
      </c>
      <c r="D332" s="82" t="s">
        <v>269</v>
      </c>
      <c r="E332" s="83">
        <v>102</v>
      </c>
      <c r="F332" s="88">
        <v>157894</v>
      </c>
      <c r="G332" s="89">
        <f t="shared" si="15"/>
        <v>16105188</v>
      </c>
      <c r="H332" s="209"/>
      <c r="I332" s="209"/>
      <c r="J332" s="213" t="str">
        <f t="array" ref="J332">_xlfn.XLOOKUP(C332,'ESAP NEIVA FASE II UNIFICADO'!$C$6:$C$720,'ESAP NEIVA FASE II UNIFICADO'!$C$6:$F$720,"NO ESTA")</f>
        <v>NO ESTA</v>
      </c>
      <c r="N332" s="115">
        <f t="shared" si="16"/>
        <v>157894</v>
      </c>
      <c r="O332" s="146">
        <f t="shared" si="17"/>
        <v>16105188</v>
      </c>
      <c r="P332" s="119"/>
    </row>
    <row r="333" spans="2:16" ht="15" customHeight="1" x14ac:dyDescent="0.25">
      <c r="B333" s="80" t="s">
        <v>628</v>
      </c>
      <c r="C333" s="81" t="s">
        <v>629</v>
      </c>
      <c r="D333" s="82"/>
      <c r="E333" s="83"/>
      <c r="F333" s="104">
        <v>0</v>
      </c>
      <c r="G333" s="89">
        <f t="shared" si="15"/>
        <v>0</v>
      </c>
      <c r="H333" s="209"/>
      <c r="I333" s="209"/>
      <c r="J333" s="213" t="str">
        <f t="array" ref="J333:M333">_xlfn.XLOOKUP(C333,'ESAP NEIVA FASE II UNIFICADO'!$C$6:$C$720,'ESAP NEIVA FASE II UNIFICADO'!$C$6:$F$720,"NO ESTA")</f>
        <v xml:space="preserve">SUMINISTRO E INSTALACIÓN DE CANALIZACIONES </v>
      </c>
      <c r="K333">
        <v>0</v>
      </c>
      <c r="L333">
        <v>0</v>
      </c>
      <c r="M333">
        <v>0</v>
      </c>
      <c r="N333" s="115">
        <f t="shared" si="16"/>
        <v>0</v>
      </c>
      <c r="O333" s="146">
        <f t="shared" si="17"/>
        <v>0</v>
      </c>
      <c r="P333" s="119"/>
    </row>
    <row r="334" spans="2:16" ht="15" customHeight="1" x14ac:dyDescent="0.25">
      <c r="B334" s="86" t="s">
        <v>630</v>
      </c>
      <c r="C334" s="87" t="s">
        <v>631</v>
      </c>
      <c r="D334" s="82" t="s">
        <v>269</v>
      </c>
      <c r="E334" s="83">
        <v>50</v>
      </c>
      <c r="F334" s="88">
        <v>35336</v>
      </c>
      <c r="G334" s="89">
        <f t="shared" si="15"/>
        <v>1766800</v>
      </c>
      <c r="H334" s="209"/>
      <c r="I334" s="209"/>
      <c r="J334" s="213" t="str">
        <f t="array" ref="J334:M334">_xlfn.XLOOKUP(C334,'ESAP NEIVA FASE II UNIFICADO'!$C$6:$C$720,'ESAP NEIVA FASE II UNIFICADO'!$C$6:$F$720,"NO ESTA")</f>
        <v>SUMINISTRO E INSTALACIÓN TUBERÍA PVC Ø 4" (Incluye todos los materiales para su instalación)</v>
      </c>
      <c r="K334" t="str">
        <v xml:space="preserve">ML   </v>
      </c>
      <c r="L334">
        <v>0</v>
      </c>
      <c r="M334">
        <v>36352</v>
      </c>
      <c r="N334" s="115">
        <f t="shared" si="16"/>
        <v>36352</v>
      </c>
      <c r="O334" s="146">
        <f t="shared" si="17"/>
        <v>1817600</v>
      </c>
      <c r="P334" s="119"/>
    </row>
    <row r="335" spans="2:16" ht="15" customHeight="1" x14ac:dyDescent="0.25">
      <c r="B335" s="86" t="s">
        <v>632</v>
      </c>
      <c r="C335" s="87" t="s">
        <v>633</v>
      </c>
      <c r="D335" s="82" t="s">
        <v>269</v>
      </c>
      <c r="E335" s="83">
        <v>100</v>
      </c>
      <c r="F335" s="88">
        <v>63995</v>
      </c>
      <c r="G335" s="89">
        <f t="shared" si="15"/>
        <v>6399500</v>
      </c>
      <c r="H335" s="209"/>
      <c r="I335" s="209"/>
      <c r="J335" s="213" t="str">
        <f t="array" ref="J335">_xlfn.XLOOKUP(C335,'ESAP NEIVA FASE II UNIFICADO'!$C$6:$C$720,'ESAP NEIVA FASE II UNIFICADO'!$C$6:$F$720,"NO ESTA")</f>
        <v>NO ESTA</v>
      </c>
      <c r="N335" s="115">
        <f t="shared" si="16"/>
        <v>63995</v>
      </c>
      <c r="O335" s="146">
        <f t="shared" si="17"/>
        <v>6399500</v>
      </c>
      <c r="P335" s="119"/>
    </row>
    <row r="336" spans="2:16" ht="15" customHeight="1" x14ac:dyDescent="0.25">
      <c r="B336" s="80" t="s">
        <v>634</v>
      </c>
      <c r="C336" s="81" t="s">
        <v>635</v>
      </c>
      <c r="D336" s="82"/>
      <c r="E336" s="83"/>
      <c r="F336" s="88">
        <v>0</v>
      </c>
      <c r="G336" s="89">
        <f t="shared" si="15"/>
        <v>0</v>
      </c>
      <c r="H336" s="209"/>
      <c r="I336" s="209"/>
      <c r="J336" s="213" t="str">
        <f t="array" ref="J336:M336">_xlfn.XLOOKUP(C336,'ESAP NEIVA FASE II UNIFICADO'!$C$6:$C$720,'ESAP NEIVA FASE II UNIFICADO'!$C$6:$F$720,"NO ESTA")</f>
        <v>SUMINISTRO E INSTALACIÓN DE TABLEROS E INTERRUPTORES</v>
      </c>
      <c r="K336">
        <v>0</v>
      </c>
      <c r="L336">
        <v>0</v>
      </c>
      <c r="M336">
        <v>0</v>
      </c>
      <c r="N336" s="115">
        <f t="shared" si="16"/>
        <v>0</v>
      </c>
      <c r="O336" s="146">
        <f t="shared" si="17"/>
        <v>0</v>
      </c>
      <c r="P336" s="119"/>
    </row>
    <row r="337" spans="2:16" ht="42" customHeight="1" x14ac:dyDescent="0.25">
      <c r="B337" s="86" t="s">
        <v>636</v>
      </c>
      <c r="C337" s="87" t="s">
        <v>637</v>
      </c>
      <c r="D337" s="82" t="s">
        <v>374</v>
      </c>
      <c r="E337" s="83">
        <v>1</v>
      </c>
      <c r="F337" s="88">
        <v>826432</v>
      </c>
      <c r="G337" s="89">
        <f t="shared" si="15"/>
        <v>826432</v>
      </c>
      <c r="H337" s="209"/>
      <c r="I337" s="209"/>
      <c r="J337" s="213" t="str">
        <f t="array" ref="J337:M337">_xlfn.XLOOKUP(C337,'ESAP NEIVA FASE II UNIFICADO'!$C$6:$C$720,'ESAP NEIVA FASE II UNIFICADO'!$C$6:$F$720,"NO ESTA")</f>
        <v>SUMINISTRO E INSTALACIÓN TABLERO AUTOMATICO DE 38 CIRCUITOS TIPO PESADO CON PUERTA Y CERRRADURA DE CIERRE, CERRADURA Y ESPACIO TOTALIZADOR INDUSTRIAL (TNP4)</v>
      </c>
      <c r="K337" t="str">
        <v>UN</v>
      </c>
      <c r="L337">
        <v>0</v>
      </c>
      <c r="M337">
        <v>850198</v>
      </c>
      <c r="N337" s="115">
        <f t="shared" si="16"/>
        <v>850198</v>
      </c>
      <c r="O337" s="146">
        <f t="shared" si="17"/>
        <v>850198</v>
      </c>
      <c r="P337" s="119"/>
    </row>
    <row r="338" spans="2:16" ht="42" customHeight="1" x14ac:dyDescent="0.25">
      <c r="B338" s="86" t="s">
        <v>638</v>
      </c>
      <c r="C338" s="87" t="s">
        <v>639</v>
      </c>
      <c r="D338" s="82" t="s">
        <v>374</v>
      </c>
      <c r="E338" s="83">
        <v>1</v>
      </c>
      <c r="F338" s="88">
        <v>663831</v>
      </c>
      <c r="G338" s="89">
        <f t="shared" si="15"/>
        <v>663831</v>
      </c>
      <c r="H338" s="209"/>
      <c r="I338" s="209"/>
      <c r="J338" s="213" t="str">
        <f t="array" ref="J338:M338">_xlfn.XLOOKUP(C338,'ESAP NEIVA FASE II UNIFICADO'!$C$6:$C$720,'ESAP NEIVA FASE II UNIFICADO'!$C$6:$F$720,"NO ESTA")</f>
        <v xml:space="preserve">SUMINISTRO E INSTALACIÓN TABLERO AUTOMATICO DE 18 CIRCUITOS TIPO PESADO CON PUERTA Y CERRRADURA DE CIERRE, CERRADURA Y ESPACIO TOTALIZADOR INDUSTRIAL CON BARRAJE DE TIERRA AISLADA. </v>
      </c>
      <c r="K338" t="str">
        <v>UN</v>
      </c>
      <c r="L338">
        <v>0</v>
      </c>
      <c r="M338">
        <v>682920</v>
      </c>
      <c r="N338" s="115">
        <f t="shared" si="16"/>
        <v>682920</v>
      </c>
      <c r="O338" s="146">
        <f t="shared" si="17"/>
        <v>682920</v>
      </c>
      <c r="P338" s="119"/>
    </row>
    <row r="339" spans="2:16" ht="42" customHeight="1" x14ac:dyDescent="0.25">
      <c r="B339" s="86" t="s">
        <v>640</v>
      </c>
      <c r="C339" s="87" t="s">
        <v>641</v>
      </c>
      <c r="D339" s="82" t="s">
        <v>374</v>
      </c>
      <c r="E339" s="83">
        <v>3</v>
      </c>
      <c r="F339" s="88">
        <v>667055</v>
      </c>
      <c r="G339" s="89">
        <f t="shared" si="15"/>
        <v>2001165</v>
      </c>
      <c r="H339" s="209"/>
      <c r="I339" s="209"/>
      <c r="J339" s="213" t="str">
        <f t="array" ref="J339:M339">_xlfn.XLOOKUP(C339,'ESAP NEIVA FASE II UNIFICADO'!$C$6:$C$720,'ESAP NEIVA FASE II UNIFICADO'!$C$6:$F$720,"NO ESTA")</f>
        <v>SUMINISTRO E INSTALACIÓN TABLERO AUTOMATICO DE 24 CIRCUITOS TIPO PESADO CON PUERTA Y CERRRADURA DE CIERRE, CERRADURA Y ESPACIO TOTALIZADOR INDUSTRIAL CON BARRAJE DE TIERRA AISLADA (TNS, TR1, TR2)</v>
      </c>
      <c r="K339" t="str">
        <v>UN</v>
      </c>
      <c r="L339">
        <v>0</v>
      </c>
      <c r="M339">
        <v>686237</v>
      </c>
      <c r="N339" s="115">
        <f t="shared" si="16"/>
        <v>686237</v>
      </c>
      <c r="O339" s="146">
        <f t="shared" si="17"/>
        <v>2058711</v>
      </c>
      <c r="P339" s="119"/>
    </row>
    <row r="340" spans="2:16" ht="42" customHeight="1" x14ac:dyDescent="0.25">
      <c r="B340" s="86" t="s">
        <v>642</v>
      </c>
      <c r="C340" s="87" t="s">
        <v>643</v>
      </c>
      <c r="D340" s="82" t="s">
        <v>374</v>
      </c>
      <c r="E340" s="83">
        <v>3</v>
      </c>
      <c r="F340" s="88">
        <v>936367</v>
      </c>
      <c r="G340" s="89">
        <f t="shared" si="15"/>
        <v>2809101</v>
      </c>
      <c r="H340" s="209"/>
      <c r="I340" s="209"/>
      <c r="J340" s="213" t="str">
        <f t="array" ref="J340:M340">_xlfn.XLOOKUP(C340,'ESAP NEIVA FASE II UNIFICADO'!$C$6:$C$720,'ESAP NEIVA FASE II UNIFICADO'!$C$6:$F$720,"NO ESTA")</f>
        <v>SUMINISTRO E INSTALACIÓN TABLERO AUTOMATICO DE 42 CIRCUITOS TIPO PESADO CON PUERTA Y CERRRADURA DE CIERRE, CERRADURA Y ESPACIO TOTALIZADOR INDUSTRIAL (TNP1, TNP2, TNP3)</v>
      </c>
      <c r="K340" t="str">
        <v>UN</v>
      </c>
      <c r="L340">
        <v>0</v>
      </c>
      <c r="M340">
        <v>963294</v>
      </c>
      <c r="N340" s="115">
        <f t="shared" si="16"/>
        <v>963294</v>
      </c>
      <c r="O340" s="146">
        <f t="shared" si="17"/>
        <v>2889882</v>
      </c>
      <c r="P340" s="119"/>
    </row>
    <row r="341" spans="2:16" ht="27" customHeight="1" x14ac:dyDescent="0.25">
      <c r="B341" s="86" t="s">
        <v>644</v>
      </c>
      <c r="C341" s="87" t="s">
        <v>645</v>
      </c>
      <c r="D341" s="82" t="s">
        <v>374</v>
      </c>
      <c r="E341" s="83">
        <v>19</v>
      </c>
      <c r="F341" s="88">
        <v>19981</v>
      </c>
      <c r="G341" s="89">
        <f t="shared" si="15"/>
        <v>379639</v>
      </c>
      <c r="H341" s="209"/>
      <c r="I341" s="209"/>
      <c r="J341" s="213" t="str">
        <f t="array" ref="J341:M341">_xlfn.XLOOKUP(C341,'ESAP NEIVA FASE II UNIFICADO'!$C$6:$C$720,'ESAP NEIVA FASE II UNIFICADO'!$C$6:$F$720,"NO ESTA")</f>
        <v>SUMINISTRO E INSTALACIÓN INTERRUPTORES AUTOMÁTICOS ENCHUFABLES 240 V. 10kA 1x20 AMPS. TIPO ENCHUFABLE 10 Ka 240V.</v>
      </c>
      <c r="K341" t="str">
        <v>UN</v>
      </c>
      <c r="L341">
        <v>51</v>
      </c>
      <c r="M341">
        <v>20555</v>
      </c>
      <c r="N341" s="115">
        <f t="shared" si="16"/>
        <v>20555</v>
      </c>
      <c r="O341" s="146">
        <f t="shared" si="17"/>
        <v>390545</v>
      </c>
      <c r="P341" s="119"/>
    </row>
    <row r="342" spans="2:16" ht="27.75" customHeight="1" x14ac:dyDescent="0.25">
      <c r="B342" s="86" t="s">
        <v>646</v>
      </c>
      <c r="C342" s="87" t="s">
        <v>647</v>
      </c>
      <c r="D342" s="82" t="s">
        <v>374</v>
      </c>
      <c r="E342" s="83">
        <v>14</v>
      </c>
      <c r="F342" s="88">
        <v>19981</v>
      </c>
      <c r="G342" s="89">
        <f t="shared" si="15"/>
        <v>279734</v>
      </c>
      <c r="H342" s="209"/>
      <c r="I342" s="209"/>
      <c r="J342" s="213" t="str">
        <f t="array" ref="J342:M342">_xlfn.XLOOKUP(C342,'ESAP NEIVA FASE II UNIFICADO'!$C$6:$C$720,'ESAP NEIVA FASE II UNIFICADO'!$C$6:$F$720,"NO ESTA")</f>
        <v>SUMINISTRO E INSTALACIÓN INTERRUPTORES AUTOMÁTICOS ENCHUFABLES 240 V. 10kA 1x30 AMPS. TIPO ENCHUFABLE 10 Ka 240V.</v>
      </c>
      <c r="K342" t="str">
        <v>UN</v>
      </c>
      <c r="L342">
        <v>36</v>
      </c>
      <c r="M342">
        <v>20555</v>
      </c>
      <c r="N342" s="115">
        <f t="shared" si="16"/>
        <v>20555</v>
      </c>
      <c r="O342" s="146">
        <f t="shared" si="17"/>
        <v>287770</v>
      </c>
      <c r="P342" s="119"/>
    </row>
    <row r="343" spans="2:16" ht="30.75" customHeight="1" x14ac:dyDescent="0.25">
      <c r="B343" s="86" t="s">
        <v>648</v>
      </c>
      <c r="C343" s="87" t="s">
        <v>649</v>
      </c>
      <c r="D343" s="82" t="s">
        <v>374</v>
      </c>
      <c r="E343" s="83">
        <v>2</v>
      </c>
      <c r="F343" s="88">
        <v>56418</v>
      </c>
      <c r="G343" s="89">
        <f t="shared" si="15"/>
        <v>112836</v>
      </c>
      <c r="H343" s="209"/>
      <c r="I343" s="209"/>
      <c r="J343" s="213" t="str">
        <f t="array" ref="J343:M343">_xlfn.XLOOKUP(C343,'ESAP NEIVA FASE II UNIFICADO'!$C$6:$C$720,'ESAP NEIVA FASE II UNIFICADO'!$C$6:$F$720,"NO ESTA")</f>
        <v>SUMINISTRO E INSTALACIÓN INTERRUPTORES AUTOMÁTICOS ENCHUFABLES 240 V. 10kA 3x30 AMPS. TIPO ENCHUFABLE 10 Ka 240V.</v>
      </c>
      <c r="K343" t="str">
        <v>UN</v>
      </c>
      <c r="L343">
        <v>4</v>
      </c>
      <c r="M343">
        <v>58041</v>
      </c>
      <c r="N343" s="115">
        <f t="shared" si="16"/>
        <v>58041</v>
      </c>
      <c r="O343" s="146">
        <f t="shared" si="17"/>
        <v>116082</v>
      </c>
      <c r="P343" s="119"/>
    </row>
    <row r="344" spans="2:16" ht="27.75" customHeight="1" x14ac:dyDescent="0.25">
      <c r="B344" s="80" t="s">
        <v>650</v>
      </c>
      <c r="C344" s="81" t="s">
        <v>651</v>
      </c>
      <c r="D344" s="82"/>
      <c r="E344" s="83"/>
      <c r="F344" s="104">
        <v>0</v>
      </c>
      <c r="G344" s="89">
        <f t="shared" si="15"/>
        <v>0</v>
      </c>
      <c r="H344" s="209"/>
      <c r="I344" s="209"/>
      <c r="J344" s="213" t="str">
        <f t="array" ref="J344">_xlfn.XLOOKUP(C344,'ESAP NEIVA FASE II UNIFICADO'!$C$6:$C$720,'ESAP NEIVA FASE II UNIFICADO'!$C$6:$F$720,"NO ESTA")</f>
        <v>NO ESTA</v>
      </c>
      <c r="N344" s="115">
        <f t="shared" si="16"/>
        <v>0</v>
      </c>
      <c r="O344" s="146">
        <f t="shared" si="17"/>
        <v>0</v>
      </c>
      <c r="P344" s="119"/>
    </row>
    <row r="345" spans="2:16" ht="66" customHeight="1" x14ac:dyDescent="0.25">
      <c r="B345" s="86" t="s">
        <v>652</v>
      </c>
      <c r="C345" s="87" t="s">
        <v>653</v>
      </c>
      <c r="D345" s="82" t="s">
        <v>374</v>
      </c>
      <c r="E345" s="83">
        <v>1</v>
      </c>
      <c r="F345" s="88">
        <v>565932</v>
      </c>
      <c r="G345" s="89">
        <f t="shared" si="15"/>
        <v>565932</v>
      </c>
      <c r="H345" s="209"/>
      <c r="I345" s="209"/>
      <c r="J345" s="213" t="str">
        <f t="array" ref="J345">_xlfn.XLOOKUP(C345,'ESAP NEIVA FASE II UNIFICADO'!$C$6:$C$720,'ESAP NEIVA FASE II UNIFICADO'!$C$6:$F$720,"NO ESTA")</f>
        <v>NO ESTA</v>
      </c>
      <c r="N345" s="115">
        <f t="shared" si="16"/>
        <v>565932</v>
      </c>
      <c r="O345" s="146">
        <f t="shared" si="17"/>
        <v>565932</v>
      </c>
      <c r="P345" s="119"/>
    </row>
    <row r="346" spans="2:16" ht="15" customHeight="1" x14ac:dyDescent="0.25">
      <c r="B346" s="80" t="s">
        <v>654</v>
      </c>
      <c r="C346" s="81" t="s">
        <v>655</v>
      </c>
      <c r="D346" s="82"/>
      <c r="E346" s="83"/>
      <c r="F346" s="104">
        <v>0</v>
      </c>
      <c r="G346" s="89">
        <f t="shared" si="15"/>
        <v>0</v>
      </c>
      <c r="H346" s="209"/>
      <c r="I346" s="209"/>
      <c r="J346" s="213" t="str">
        <f t="array" ref="J346:M346">_xlfn.XLOOKUP(C346,'ESAP NEIVA FASE II UNIFICADO'!$C$6:$C$720,'ESAP NEIVA FASE II UNIFICADO'!$C$6:$F$720,"NO ESTA")</f>
        <v>SUMINISTRO E INSTALACIÓN TABLEROS DE DISTRIBUCIÓN GENERAL</v>
      </c>
      <c r="K346">
        <v>0</v>
      </c>
      <c r="L346">
        <v>0</v>
      </c>
      <c r="M346">
        <v>0</v>
      </c>
      <c r="N346" s="115">
        <f t="shared" si="16"/>
        <v>0</v>
      </c>
      <c r="O346" s="146">
        <f t="shared" si="17"/>
        <v>0</v>
      </c>
      <c r="P346" s="119"/>
    </row>
    <row r="347" spans="2:16" ht="81" customHeight="1" x14ac:dyDescent="0.25">
      <c r="B347" s="86" t="s">
        <v>656</v>
      </c>
      <c r="C347" s="87" t="s">
        <v>657</v>
      </c>
      <c r="D347" s="82" t="s">
        <v>374</v>
      </c>
      <c r="E347" s="83">
        <v>1</v>
      </c>
      <c r="F347" s="88">
        <v>15336818</v>
      </c>
      <c r="G347" s="89">
        <f t="shared" si="15"/>
        <v>15336818</v>
      </c>
      <c r="H347" s="209"/>
      <c r="I347" s="209"/>
      <c r="J347" s="213" t="str">
        <f t="array" ref="J347">_xlfn.XLOOKUP(C347,'ESAP NEIVA FASE II UNIFICADO'!$C$6:$C$720,'ESAP NEIVA FASE II UNIFICADO'!$C$6:$F$720,"NO ESTA")</f>
        <v>NO ESTA</v>
      </c>
      <c r="N347" s="115">
        <f t="shared" si="16"/>
        <v>15336818</v>
      </c>
      <c r="O347" s="146">
        <f t="shared" si="17"/>
        <v>15336818</v>
      </c>
      <c r="P347" s="119"/>
    </row>
    <row r="348" spans="2:16" ht="72" customHeight="1" x14ac:dyDescent="0.25">
      <c r="B348" s="86" t="s">
        <v>658</v>
      </c>
      <c r="C348" s="87" t="s">
        <v>659</v>
      </c>
      <c r="D348" s="82" t="s">
        <v>374</v>
      </c>
      <c r="E348" s="83">
        <v>1</v>
      </c>
      <c r="F348" s="88">
        <v>11590451</v>
      </c>
      <c r="G348" s="89">
        <f t="shared" si="15"/>
        <v>11590451</v>
      </c>
      <c r="H348" s="209"/>
      <c r="I348" s="209"/>
      <c r="J348" s="213" t="str">
        <f t="array" ref="J348">_xlfn.XLOOKUP(C348,'ESAP NEIVA FASE II UNIFICADO'!$C$6:$C$720,'ESAP NEIVA FASE II UNIFICADO'!$C$6:$F$720,"NO ESTA")</f>
        <v>NO ESTA</v>
      </c>
      <c r="N348" s="115">
        <f t="shared" si="16"/>
        <v>11590451</v>
      </c>
      <c r="O348" s="146">
        <f t="shared" si="17"/>
        <v>11590451</v>
      </c>
      <c r="P348" s="119"/>
    </row>
    <row r="349" spans="2:16" ht="69" customHeight="1" x14ac:dyDescent="0.25">
      <c r="B349" s="86" t="s">
        <v>660</v>
      </c>
      <c r="C349" s="87" t="s">
        <v>661</v>
      </c>
      <c r="D349" s="82" t="s">
        <v>374</v>
      </c>
      <c r="E349" s="83">
        <v>1</v>
      </c>
      <c r="F349" s="88">
        <v>13463635</v>
      </c>
      <c r="G349" s="89">
        <f t="shared" si="15"/>
        <v>13463635</v>
      </c>
      <c r="H349" s="209"/>
      <c r="I349" s="209"/>
      <c r="J349" s="213" t="str">
        <f t="array" ref="J349">_xlfn.XLOOKUP(C349,'ESAP NEIVA FASE II UNIFICADO'!$C$6:$C$720,'ESAP NEIVA FASE II UNIFICADO'!$C$6:$F$720,"NO ESTA")</f>
        <v>NO ESTA</v>
      </c>
      <c r="N349" s="115">
        <f t="shared" si="16"/>
        <v>13463635</v>
      </c>
      <c r="O349" s="146">
        <f t="shared" si="17"/>
        <v>13463635</v>
      </c>
      <c r="P349" s="119"/>
    </row>
    <row r="350" spans="2:16" ht="39" customHeight="1" x14ac:dyDescent="0.25">
      <c r="B350" s="80" t="s">
        <v>662</v>
      </c>
      <c r="C350" s="81" t="s">
        <v>663</v>
      </c>
      <c r="D350" s="82"/>
      <c r="E350" s="83"/>
      <c r="F350" s="104">
        <v>0</v>
      </c>
      <c r="G350" s="89">
        <f t="shared" si="15"/>
        <v>0</v>
      </c>
      <c r="H350" s="209"/>
      <c r="I350" s="209"/>
      <c r="J350" s="213" t="str">
        <f t="array" ref="J350:M350">_xlfn.XLOOKUP(C350,'ESAP NEIVA FASE II UNIFICADO'!$C$6:$C$720,'ESAP NEIVA FASE II UNIFICADO'!$C$6:$F$720,"NO ESTA")</f>
        <v xml:space="preserve">SUMINISTRO E INSTALACIÓN PUESTA A TIERRA TRANSFORMADOR Y SUBESTACIÓN (Incluye preparación de tierra con la solución Sanick Gel para obtener una elevada conductividad eléctrica (ver especificaciones técnicas de diseño anexas) </v>
      </c>
      <c r="K350">
        <v>0</v>
      </c>
      <c r="L350">
        <v>0</v>
      </c>
      <c r="M350">
        <v>0</v>
      </c>
      <c r="N350" s="115">
        <f t="shared" si="16"/>
        <v>0</v>
      </c>
      <c r="O350" s="146">
        <f t="shared" si="17"/>
        <v>0</v>
      </c>
      <c r="P350" s="119"/>
    </row>
    <row r="351" spans="2:16" ht="15" customHeight="1" x14ac:dyDescent="0.25">
      <c r="B351" s="86" t="s">
        <v>664</v>
      </c>
      <c r="C351" s="87" t="s">
        <v>665</v>
      </c>
      <c r="D351" s="82" t="s">
        <v>269</v>
      </c>
      <c r="E351" s="83">
        <v>35</v>
      </c>
      <c r="F351" s="88">
        <v>23727</v>
      </c>
      <c r="G351" s="89">
        <f t="shared" si="15"/>
        <v>830445</v>
      </c>
      <c r="H351" s="209"/>
      <c r="I351" s="209"/>
      <c r="J351" s="213" t="str">
        <f t="array" ref="J351:M351">_xlfn.XLOOKUP(C351,'ESAP NEIVA FASE II UNIFICADO'!$C$6:$C$720,'ESAP NEIVA FASE II UNIFICADO'!$C$6:$F$720,"NO ESTA")</f>
        <v>SUMINISTRO E INSTALACIÓN CONDUCTOR 2/0 Cu. TEMPLE DURO</v>
      </c>
      <c r="K351" t="str">
        <v xml:space="preserve">ML   </v>
      </c>
      <c r="L351">
        <v>0</v>
      </c>
      <c r="M351">
        <v>24409</v>
      </c>
      <c r="N351" s="115">
        <f t="shared" si="16"/>
        <v>24409</v>
      </c>
      <c r="O351" s="146">
        <f t="shared" si="17"/>
        <v>854315</v>
      </c>
      <c r="P351" s="119"/>
    </row>
    <row r="352" spans="2:16" ht="28.5" customHeight="1" x14ac:dyDescent="0.25">
      <c r="B352" s="86" t="s">
        <v>666</v>
      </c>
      <c r="C352" s="87" t="s">
        <v>667</v>
      </c>
      <c r="D352" s="82" t="s">
        <v>374</v>
      </c>
      <c r="E352" s="83">
        <v>6</v>
      </c>
      <c r="F352" s="88">
        <v>124067</v>
      </c>
      <c r="G352" s="89">
        <f t="shared" si="15"/>
        <v>744402</v>
      </c>
      <c r="H352" s="209"/>
      <c r="I352" s="209"/>
      <c r="J352" s="213" t="str">
        <f t="array" ref="J352">_xlfn.XLOOKUP(C352,'ESAP NEIVA FASE II UNIFICADO'!$C$6:$C$720,'ESAP NEIVA FASE II UNIFICADO'!$C$6:$F$720,"NO ESTA")</f>
        <v>NO ESTA</v>
      </c>
      <c r="N352" s="115">
        <f t="shared" si="16"/>
        <v>124067</v>
      </c>
      <c r="O352" s="146">
        <f t="shared" si="17"/>
        <v>744402</v>
      </c>
      <c r="P352" s="119"/>
    </row>
    <row r="353" spans="2:16" ht="38.25" customHeight="1" x14ac:dyDescent="0.25">
      <c r="B353" s="86" t="s">
        <v>668</v>
      </c>
      <c r="C353" s="87" t="s">
        <v>669</v>
      </c>
      <c r="D353" s="82" t="s">
        <v>374</v>
      </c>
      <c r="E353" s="83">
        <v>6</v>
      </c>
      <c r="F353" s="88">
        <v>128433</v>
      </c>
      <c r="G353" s="89">
        <f t="shared" si="15"/>
        <v>770598</v>
      </c>
      <c r="H353" s="209"/>
      <c r="I353" s="209"/>
      <c r="J353" s="213" t="str">
        <f t="array" ref="J353">_xlfn.XLOOKUP(C353,'ESAP NEIVA FASE II UNIFICADO'!$C$6:$C$720,'ESAP NEIVA FASE II UNIFICADO'!$C$6:$F$720,"NO ESTA")</f>
        <v>NO ESTA</v>
      </c>
      <c r="N353" s="115">
        <f t="shared" si="16"/>
        <v>128433</v>
      </c>
      <c r="O353" s="146">
        <f t="shared" si="17"/>
        <v>770598</v>
      </c>
      <c r="P353" s="119"/>
    </row>
    <row r="354" spans="2:16" ht="42.75" customHeight="1" x14ac:dyDescent="0.25">
      <c r="B354" s="86" t="s">
        <v>670</v>
      </c>
      <c r="C354" s="87" t="s">
        <v>671</v>
      </c>
      <c r="D354" s="82" t="s">
        <v>374</v>
      </c>
      <c r="E354" s="83">
        <v>2</v>
      </c>
      <c r="F354" s="88">
        <v>128433</v>
      </c>
      <c r="G354" s="89">
        <f t="shared" si="15"/>
        <v>256866</v>
      </c>
      <c r="H354" s="209"/>
      <c r="I354" s="209"/>
      <c r="J354" s="213" t="str">
        <f t="array" ref="J354">_xlfn.XLOOKUP(C354,'ESAP NEIVA FASE II UNIFICADO'!$C$6:$C$720,'ESAP NEIVA FASE II UNIFICADO'!$C$6:$F$720,"NO ESTA")</f>
        <v>NO ESTA</v>
      </c>
      <c r="N354" s="115">
        <f t="shared" si="16"/>
        <v>128433</v>
      </c>
      <c r="O354" s="146">
        <f t="shared" si="17"/>
        <v>256866</v>
      </c>
      <c r="P354" s="119"/>
    </row>
    <row r="355" spans="2:16" ht="79.5" customHeight="1" x14ac:dyDescent="0.25">
      <c r="B355" s="86" t="s">
        <v>672</v>
      </c>
      <c r="C355" s="87" t="s">
        <v>673</v>
      </c>
      <c r="D355" s="82" t="s">
        <v>16</v>
      </c>
      <c r="E355" s="83">
        <v>6</v>
      </c>
      <c r="F355" s="88">
        <v>162213</v>
      </c>
      <c r="G355" s="89">
        <f t="shared" si="15"/>
        <v>973278</v>
      </c>
      <c r="H355" s="209"/>
      <c r="I355" s="209"/>
      <c r="J355" s="213" t="str">
        <f t="array" ref="J355">_xlfn.XLOOKUP(C355,'ESAP NEIVA FASE II UNIFICADO'!$C$6:$C$720,'ESAP NEIVA FASE II UNIFICADO'!$C$6:$F$720,"NO ESTA")</f>
        <v>NO ESTA</v>
      </c>
      <c r="N355" s="115">
        <f t="shared" si="16"/>
        <v>162213</v>
      </c>
      <c r="O355" s="146">
        <f t="shared" si="17"/>
        <v>973278</v>
      </c>
      <c r="P355" s="119"/>
    </row>
    <row r="356" spans="2:16" ht="41.25" customHeight="1" x14ac:dyDescent="0.25">
      <c r="B356" s="80" t="s">
        <v>674</v>
      </c>
      <c r="C356" s="81" t="s">
        <v>675</v>
      </c>
      <c r="D356" s="82"/>
      <c r="E356" s="83"/>
      <c r="F356" s="104">
        <v>0</v>
      </c>
      <c r="G356" s="89">
        <f t="shared" si="15"/>
        <v>0</v>
      </c>
      <c r="H356" s="209"/>
      <c r="I356" s="209"/>
      <c r="J356" s="213" t="str">
        <f t="array" ref="J356:M356">_xlfn.XLOOKUP(C356,'ESAP NEIVA FASE II UNIFICADO'!$C$6:$C$720,'ESAP NEIVA FASE II UNIFICADO'!$C$6:$F$720,"NO ESTA")</f>
        <v xml:space="preserve">SUMINISTRO E INSTALACIÓN PUESTA A TIERRA TABLERO DE DISTRIBUCIÓN Y GENERAL (Incluye preparación de tierra con la solución Sanick Gel para obtener una elevada conductividad eléctrica (ver especificaciones técnicas de diseño anexas) </v>
      </c>
      <c r="K356">
        <v>0</v>
      </c>
      <c r="L356">
        <v>0</v>
      </c>
      <c r="M356">
        <v>0</v>
      </c>
      <c r="N356" s="115">
        <f t="shared" si="16"/>
        <v>0</v>
      </c>
      <c r="O356" s="146">
        <f t="shared" si="17"/>
        <v>0</v>
      </c>
      <c r="P356" s="119"/>
    </row>
    <row r="357" spans="2:16" ht="15" customHeight="1" x14ac:dyDescent="0.25">
      <c r="B357" s="86" t="s">
        <v>676</v>
      </c>
      <c r="C357" s="87" t="s">
        <v>677</v>
      </c>
      <c r="D357" s="82" t="s">
        <v>269</v>
      </c>
      <c r="E357" s="83">
        <v>10</v>
      </c>
      <c r="F357" s="88">
        <v>6994</v>
      </c>
      <c r="G357" s="89">
        <f t="shared" si="15"/>
        <v>69940</v>
      </c>
      <c r="H357" s="209"/>
      <c r="I357" s="209"/>
      <c r="J357" s="213" t="str">
        <f t="array" ref="J357:M357">_xlfn.XLOOKUP(C357,'ESAP NEIVA FASE II UNIFICADO'!$C$6:$C$720,'ESAP NEIVA FASE II UNIFICADO'!$C$6:$F$720,"NO ESTA")</f>
        <v>SUMINISTRO E INSTALACIÓN CONDUCTOR 6 Cu TEMPLE DURO</v>
      </c>
      <c r="K357" t="str">
        <v xml:space="preserve">ML   </v>
      </c>
      <c r="L357">
        <v>0</v>
      </c>
      <c r="M357">
        <v>7194</v>
      </c>
      <c r="N357" s="115">
        <f t="shared" si="16"/>
        <v>7194</v>
      </c>
      <c r="O357" s="146">
        <f t="shared" si="17"/>
        <v>71940</v>
      </c>
      <c r="P357" s="119"/>
    </row>
    <row r="358" spans="2:16" ht="25.5" customHeight="1" x14ac:dyDescent="0.25">
      <c r="B358" s="86" t="s">
        <v>678</v>
      </c>
      <c r="C358" s="87" t="s">
        <v>679</v>
      </c>
      <c r="D358" s="82" t="s">
        <v>374</v>
      </c>
      <c r="E358" s="83">
        <v>1</v>
      </c>
      <c r="F358" s="88">
        <v>124067</v>
      </c>
      <c r="G358" s="89">
        <f t="shared" si="15"/>
        <v>124067</v>
      </c>
      <c r="H358" s="209"/>
      <c r="I358" s="209"/>
      <c r="J358" s="213" t="str">
        <f t="array" ref="J358:M358">_xlfn.XLOOKUP(C358,'ESAP NEIVA FASE II UNIFICADO'!$C$6:$C$720,'ESAP NEIVA FASE II UNIFICADO'!$C$6:$F$720,"NO ESTA")</f>
        <v>SUMINISTRO E INSTALACIÓN ELECTRODO DE PUESTA A TIERRA EN VARILLA DE COBRE DE 5/8" X 2.40 M</v>
      </c>
      <c r="K358" t="str">
        <v>UN</v>
      </c>
      <c r="L358">
        <v>0</v>
      </c>
      <c r="M358">
        <v>127634</v>
      </c>
      <c r="N358" s="115">
        <f t="shared" si="16"/>
        <v>127634</v>
      </c>
      <c r="O358" s="146">
        <f t="shared" si="17"/>
        <v>127634</v>
      </c>
      <c r="P358" s="119"/>
    </row>
    <row r="359" spans="2:16" ht="40.5" customHeight="1" x14ac:dyDescent="0.25">
      <c r="B359" s="86" t="s">
        <v>680</v>
      </c>
      <c r="C359" s="87" t="s">
        <v>681</v>
      </c>
      <c r="D359" s="82" t="s">
        <v>374</v>
      </c>
      <c r="E359" s="83">
        <v>1</v>
      </c>
      <c r="F359" s="88">
        <v>128433</v>
      </c>
      <c r="G359" s="89">
        <f t="shared" si="15"/>
        <v>128433</v>
      </c>
      <c r="H359" s="209"/>
      <c r="I359" s="209"/>
      <c r="J359" s="213" t="str">
        <f t="array" ref="J359:M359">_xlfn.XLOOKUP(C359,'ESAP NEIVA FASE II UNIFICADO'!$C$6:$C$720,'ESAP NEIVA FASE II UNIFICADO'!$C$6:$F$720,"NO ESTA")</f>
        <v>SUMINISTRO E INSTALACIÓN CONEXIÓN TERMOSOLDADA DE VARILLA A CABLE DE COBRE DESNUDO # 6 AWG, INCLUYE SUMINISTRO DE MOLDE, FÚNDENTE Y DEMÁS ACCESORIOS.</v>
      </c>
      <c r="K359" t="str">
        <v>UN</v>
      </c>
      <c r="L359">
        <v>0</v>
      </c>
      <c r="M359">
        <v>132126</v>
      </c>
      <c r="N359" s="115">
        <f t="shared" si="16"/>
        <v>132126</v>
      </c>
      <c r="O359" s="146">
        <f t="shared" si="17"/>
        <v>132126</v>
      </c>
      <c r="P359" s="119"/>
    </row>
    <row r="360" spans="2:16" ht="43.5" customHeight="1" x14ac:dyDescent="0.25">
      <c r="B360" s="86" t="s">
        <v>682</v>
      </c>
      <c r="C360" s="87" t="s">
        <v>683</v>
      </c>
      <c r="D360" s="82" t="s">
        <v>374</v>
      </c>
      <c r="E360" s="83">
        <v>2</v>
      </c>
      <c r="F360" s="88">
        <v>128433</v>
      </c>
      <c r="G360" s="89">
        <f t="shared" si="15"/>
        <v>256866</v>
      </c>
      <c r="H360" s="209"/>
      <c r="I360" s="209"/>
      <c r="J360" s="213" t="str">
        <f t="array" ref="J360">_xlfn.XLOOKUP(C360,'ESAP NEIVA FASE II UNIFICADO'!$C$6:$C$720,'ESAP NEIVA FASE II UNIFICADO'!$C$6:$F$720,"NO ESTA")</f>
        <v>NO ESTA</v>
      </c>
      <c r="N360" s="115">
        <f t="shared" si="16"/>
        <v>128433</v>
      </c>
      <c r="O360" s="146">
        <f t="shared" si="17"/>
        <v>256866</v>
      </c>
      <c r="P360" s="119"/>
    </row>
    <row r="361" spans="2:16" ht="79.5" customHeight="1" x14ac:dyDescent="0.25">
      <c r="B361" s="86" t="s">
        <v>684</v>
      </c>
      <c r="C361" s="87" t="s">
        <v>673</v>
      </c>
      <c r="D361" s="82" t="s">
        <v>374</v>
      </c>
      <c r="E361" s="83">
        <v>1</v>
      </c>
      <c r="F361" s="88">
        <v>162213</v>
      </c>
      <c r="G361" s="89">
        <f t="shared" si="15"/>
        <v>162213</v>
      </c>
      <c r="H361" s="209"/>
      <c r="I361" s="209"/>
      <c r="J361" s="213" t="str">
        <f t="array" ref="J361">_xlfn.XLOOKUP(C361,'ESAP NEIVA FASE II UNIFICADO'!$C$6:$C$720,'ESAP NEIVA FASE II UNIFICADO'!$C$6:$F$720,"NO ESTA")</f>
        <v>NO ESTA</v>
      </c>
      <c r="N361" s="115">
        <f t="shared" si="16"/>
        <v>162213</v>
      </c>
      <c r="O361" s="146">
        <f t="shared" si="17"/>
        <v>162213</v>
      </c>
      <c r="P361" s="119"/>
    </row>
    <row r="362" spans="2:16" ht="40.5" customHeight="1" x14ac:dyDescent="0.25">
      <c r="B362" s="80" t="s">
        <v>685</v>
      </c>
      <c r="C362" s="81" t="s">
        <v>686</v>
      </c>
      <c r="D362" s="82"/>
      <c r="E362" s="83"/>
      <c r="F362" s="104">
        <v>0</v>
      </c>
      <c r="G362" s="89">
        <f t="shared" si="15"/>
        <v>0</v>
      </c>
      <c r="H362" s="209"/>
      <c r="I362" s="209"/>
      <c r="J362" s="213" t="str">
        <f t="array" ref="J362:M362">_xlfn.XLOOKUP(C362,'ESAP NEIVA FASE II UNIFICADO'!$C$6:$C$720,'ESAP NEIVA FASE II UNIFICADO'!$C$6:$F$720,"NO ESTA")</f>
        <v xml:space="preserve">SUMINISTRO E INSTALACIÓN PUESTA A TIERRA PLANTA GENERADORA (Incluye preparación de tierra con la solución Sanick Gel para obtener una elevada conductividad eléctrica (ver especificaciones técnicas de diseño anexas) </v>
      </c>
      <c r="K362">
        <v>0</v>
      </c>
      <c r="L362">
        <v>0</v>
      </c>
      <c r="M362">
        <v>0</v>
      </c>
      <c r="N362" s="115">
        <f t="shared" si="16"/>
        <v>0</v>
      </c>
      <c r="O362" s="146">
        <f t="shared" si="17"/>
        <v>0</v>
      </c>
      <c r="P362" s="119"/>
    </row>
    <row r="363" spans="2:16" ht="15" customHeight="1" x14ac:dyDescent="0.25">
      <c r="B363" s="86" t="s">
        <v>687</v>
      </c>
      <c r="C363" s="87" t="s">
        <v>665</v>
      </c>
      <c r="D363" s="82" t="s">
        <v>269</v>
      </c>
      <c r="E363" s="83">
        <v>8</v>
      </c>
      <c r="F363" s="88">
        <v>23727</v>
      </c>
      <c r="G363" s="89">
        <f t="shared" si="15"/>
        <v>189816</v>
      </c>
      <c r="H363" s="209"/>
      <c r="I363" s="209"/>
      <c r="J363" s="213" t="str">
        <f t="array" ref="J363:M363">_xlfn.XLOOKUP(C363,'ESAP NEIVA FASE II UNIFICADO'!$C$6:$C$720,'ESAP NEIVA FASE II UNIFICADO'!$C$6:$F$720,"NO ESTA")</f>
        <v>SUMINISTRO E INSTALACIÓN CONDUCTOR 2/0 Cu. TEMPLE DURO</v>
      </c>
      <c r="K363" t="str">
        <v xml:space="preserve">ML   </v>
      </c>
      <c r="L363">
        <v>0</v>
      </c>
      <c r="M363">
        <v>24409</v>
      </c>
      <c r="N363" s="115">
        <f t="shared" si="16"/>
        <v>24409</v>
      </c>
      <c r="O363" s="146">
        <f t="shared" si="17"/>
        <v>195272</v>
      </c>
      <c r="P363" s="119"/>
    </row>
    <row r="364" spans="2:16" ht="68.25" customHeight="1" x14ac:dyDescent="0.25">
      <c r="B364" s="86" t="s">
        <v>688</v>
      </c>
      <c r="C364" s="87" t="s">
        <v>689</v>
      </c>
      <c r="D364" s="82" t="s">
        <v>374</v>
      </c>
      <c r="E364" s="83">
        <v>1</v>
      </c>
      <c r="F364" s="88">
        <v>688023</v>
      </c>
      <c r="G364" s="89">
        <f t="shared" si="15"/>
        <v>688023</v>
      </c>
      <c r="H364" s="209"/>
      <c r="I364" s="209"/>
      <c r="J364" s="213" t="str">
        <f t="array" ref="J364">_xlfn.XLOOKUP(C364,'ESAP NEIVA FASE II UNIFICADO'!$C$6:$C$720,'ESAP NEIVA FASE II UNIFICADO'!$C$6:$F$720,"NO ESTA")</f>
        <v>NO ESTA</v>
      </c>
      <c r="N364" s="115">
        <f t="shared" si="16"/>
        <v>688023</v>
      </c>
      <c r="O364" s="146">
        <f t="shared" si="17"/>
        <v>688023</v>
      </c>
      <c r="P364" s="119"/>
    </row>
    <row r="365" spans="2:16" ht="34.5" customHeight="1" x14ac:dyDescent="0.25">
      <c r="B365" s="80" t="s">
        <v>690</v>
      </c>
      <c r="C365" s="81" t="s">
        <v>691</v>
      </c>
      <c r="D365" s="82"/>
      <c r="E365" s="83"/>
      <c r="F365" s="104">
        <v>0</v>
      </c>
      <c r="G365" s="89">
        <f t="shared" si="15"/>
        <v>0</v>
      </c>
      <c r="H365" s="209"/>
      <c r="I365" s="209"/>
      <c r="J365" s="213" t="str">
        <f t="array" ref="J365:M365">_xlfn.XLOOKUP(C365,'ESAP NEIVA FASE II UNIFICADO'!$C$6:$C$720,'ESAP NEIVA FASE II UNIFICADO'!$C$6:$F$720,"NO ESTA")</f>
        <v>SISTEMA DE PROTECCIÓN EXTERNA CONTRA DESCARGAS ATMOSFÉRICAS BAJANTES DE PARARRAYOS DESDE CUBIERTA A TERRENO</v>
      </c>
      <c r="K365">
        <v>0</v>
      </c>
      <c r="L365">
        <v>0</v>
      </c>
      <c r="M365">
        <v>0</v>
      </c>
      <c r="N365" s="115">
        <f t="shared" si="16"/>
        <v>0</v>
      </c>
      <c r="O365" s="146">
        <f t="shared" si="17"/>
        <v>0</v>
      </c>
      <c r="P365" s="119"/>
    </row>
    <row r="366" spans="2:16" ht="30" customHeight="1" x14ac:dyDescent="0.25">
      <c r="B366" s="86" t="s">
        <v>692</v>
      </c>
      <c r="C366" s="87" t="s">
        <v>693</v>
      </c>
      <c r="D366" s="82" t="s">
        <v>269</v>
      </c>
      <c r="E366" s="83">
        <v>65</v>
      </c>
      <c r="F366" s="88">
        <v>4621</v>
      </c>
      <c r="G366" s="89">
        <f t="shared" si="15"/>
        <v>300365</v>
      </c>
      <c r="H366" s="209"/>
      <c r="I366" s="209"/>
      <c r="J366" s="213" t="str">
        <f t="array" ref="J366:M366">_xlfn.XLOOKUP(C366,'ESAP NEIVA FASE II UNIFICADO'!$C$6:$C$720,'ESAP NEIVA FASE II UNIFICADO'!$C$6:$F$720,"NO ESTA")</f>
        <v>SUMINISTRO E INSTALACIÓN TENDIDO DE TUBERÍA Ø 3/4” PVC EMBEBIDO EN LAS COLUMNAS DE CONCRETO, DESDE LA CUBIERTA HASTA EL TERRENO.</v>
      </c>
      <c r="K366" t="str">
        <v xml:space="preserve">ML   </v>
      </c>
      <c r="L366">
        <v>0</v>
      </c>
      <c r="M366">
        <v>4755</v>
      </c>
      <c r="N366" s="115">
        <f t="shared" si="16"/>
        <v>4755</v>
      </c>
      <c r="O366" s="146">
        <f t="shared" si="17"/>
        <v>309075</v>
      </c>
      <c r="P366" s="119"/>
    </row>
    <row r="367" spans="2:16" ht="30" customHeight="1" x14ac:dyDescent="0.25">
      <c r="B367" s="86" t="s">
        <v>694</v>
      </c>
      <c r="C367" s="87" t="s">
        <v>695</v>
      </c>
      <c r="D367" s="82" t="s">
        <v>269</v>
      </c>
      <c r="E367" s="83">
        <v>69</v>
      </c>
      <c r="F367" s="88">
        <v>14361</v>
      </c>
      <c r="G367" s="89">
        <f t="shared" si="15"/>
        <v>990909</v>
      </c>
      <c r="H367" s="209"/>
      <c r="I367" s="209"/>
      <c r="J367" s="213" t="str">
        <f t="array" ref="J367:M367">_xlfn.XLOOKUP(C367,'ESAP NEIVA FASE II UNIFICADO'!$C$6:$C$720,'ESAP NEIVA FASE II UNIFICADO'!$C$6:$F$720,"NO ESTA")</f>
        <v>SUMINISTRO E INSTALACIÓN TENDIDO DE CONDUCTOR DE COBRE DESNUDO # 2 AWG, DESDE LA CUBIERTA HASTA EL TERRENO POR LAS BAJANTES.</v>
      </c>
      <c r="K367" t="str">
        <v xml:space="preserve">ML   </v>
      </c>
      <c r="L367">
        <v>0</v>
      </c>
      <c r="M367">
        <v>14774</v>
      </c>
      <c r="N367" s="115">
        <f t="shared" si="16"/>
        <v>14774</v>
      </c>
      <c r="O367" s="146">
        <f t="shared" si="17"/>
        <v>1019406</v>
      </c>
      <c r="P367" s="119"/>
    </row>
    <row r="368" spans="2:16" ht="45" customHeight="1" x14ac:dyDescent="0.25">
      <c r="B368" s="86" t="s">
        <v>696</v>
      </c>
      <c r="C368" s="87" t="s">
        <v>697</v>
      </c>
      <c r="D368" s="82" t="s">
        <v>269</v>
      </c>
      <c r="E368" s="83">
        <v>244</v>
      </c>
      <c r="F368" s="88">
        <v>5245</v>
      </c>
      <c r="G368" s="89">
        <f t="shared" si="15"/>
        <v>1279780</v>
      </c>
      <c r="H368" s="209"/>
      <c r="I368" s="209"/>
      <c r="J368" s="213" t="str">
        <f t="array" ref="J368:M368">_xlfn.XLOOKUP(C368,'ESAP NEIVA FASE II UNIFICADO'!$C$6:$C$720,'ESAP NEIVA FASE II UNIFICADO'!$C$6:$F$720,"NO ESTA")</f>
        <v>SUMINISTRO E INSTALACIÓN TENDIDO DE ALAMBRON 8MM SOBREPUESTO EN LOS BORDES DE LA CUBIERTA PARA INTERCONEXIÓN DE PUNTAS CAPTADORAS Y BAJANTES A MALLA A TIERRA.</v>
      </c>
      <c r="K368" t="str">
        <v xml:space="preserve">ML   </v>
      </c>
      <c r="L368">
        <v>0</v>
      </c>
      <c r="M368">
        <v>5396</v>
      </c>
      <c r="N368" s="115">
        <f t="shared" si="16"/>
        <v>5396</v>
      </c>
      <c r="O368" s="146">
        <f t="shared" si="17"/>
        <v>1316624</v>
      </c>
      <c r="P368" s="119"/>
    </row>
    <row r="369" spans="2:16" ht="45" customHeight="1" x14ac:dyDescent="0.25">
      <c r="B369" s="86" t="s">
        <v>698</v>
      </c>
      <c r="C369" s="87" t="s">
        <v>699</v>
      </c>
      <c r="D369" s="82" t="s">
        <v>269</v>
      </c>
      <c r="E369" s="83">
        <v>190</v>
      </c>
      <c r="F369" s="88">
        <v>14361</v>
      </c>
      <c r="G369" s="89">
        <f t="shared" si="15"/>
        <v>2728590</v>
      </c>
      <c r="H369" s="209"/>
      <c r="I369" s="209"/>
      <c r="J369" s="213" t="str">
        <f t="array" ref="J369">_xlfn.XLOOKUP(C369,'ESAP NEIVA FASE II UNIFICADO'!$C$6:$C$720,'ESAP NEIVA FASE II UNIFICADO'!$C$6:$F$720,"NO ESTA")</f>
        <v>NO ESTA</v>
      </c>
      <c r="N369" s="115">
        <f t="shared" si="16"/>
        <v>14361</v>
      </c>
      <c r="O369" s="146">
        <f t="shared" si="17"/>
        <v>2728590</v>
      </c>
      <c r="P369" s="119"/>
    </row>
    <row r="370" spans="2:16" ht="68.25" customHeight="1" x14ac:dyDescent="0.25">
      <c r="B370" s="86" t="s">
        <v>700</v>
      </c>
      <c r="C370" s="87" t="s">
        <v>701</v>
      </c>
      <c r="D370" s="82" t="s">
        <v>374</v>
      </c>
      <c r="E370" s="83">
        <v>14</v>
      </c>
      <c r="F370" s="88">
        <v>207921</v>
      </c>
      <c r="G370" s="89">
        <f t="shared" si="15"/>
        <v>2910894</v>
      </c>
      <c r="H370" s="209"/>
      <c r="I370" s="209"/>
      <c r="J370" s="213" t="str">
        <f t="array" ref="J370">_xlfn.XLOOKUP(C370,'ESAP NEIVA FASE II UNIFICADO'!$C$6:$C$720,'ESAP NEIVA FASE II UNIFICADO'!$C$6:$F$720,"NO ESTA")</f>
        <v>NO ESTA</v>
      </c>
      <c r="N370" s="115">
        <f t="shared" si="16"/>
        <v>207921</v>
      </c>
      <c r="O370" s="146">
        <f t="shared" si="17"/>
        <v>2910894</v>
      </c>
      <c r="P370" s="119"/>
    </row>
    <row r="371" spans="2:16" ht="35.25" customHeight="1" x14ac:dyDescent="0.25">
      <c r="B371" s="86" t="s">
        <v>702</v>
      </c>
      <c r="C371" s="87" t="s">
        <v>703</v>
      </c>
      <c r="D371" s="82" t="s">
        <v>374</v>
      </c>
      <c r="E371" s="83">
        <v>86</v>
      </c>
      <c r="F371" s="88">
        <v>20521</v>
      </c>
      <c r="G371" s="89">
        <f t="shared" si="15"/>
        <v>1764806</v>
      </c>
      <c r="H371" s="209"/>
      <c r="I371" s="209"/>
      <c r="J371" s="213" t="str">
        <f t="array" ref="J371:M371">_xlfn.XLOOKUP(C371,'ESAP NEIVA FASE II UNIFICADO'!$C$6:$C$720,'ESAP NEIVA FASE II UNIFICADO'!$C$6:$F$720,"NO ESTA")</f>
        <v>SUMINISTRO E INSTALACIÓN ABRAZADERAS DE BRONCE PARA SOPORTAR EL CABLE AL MURO DE CONCRETO APROBADAS PARA INTEMPERIE.</v>
      </c>
      <c r="K371" t="str">
        <v>UN</v>
      </c>
      <c r="L371">
        <v>0</v>
      </c>
      <c r="M371">
        <v>21111</v>
      </c>
      <c r="N371" s="115">
        <f t="shared" si="16"/>
        <v>21111</v>
      </c>
      <c r="O371" s="146">
        <f t="shared" si="17"/>
        <v>1815546</v>
      </c>
      <c r="P371" s="119"/>
    </row>
    <row r="372" spans="2:16" ht="35.25" customHeight="1" x14ac:dyDescent="0.25">
      <c r="B372" s="86" t="s">
        <v>704</v>
      </c>
      <c r="C372" s="87" t="s">
        <v>705</v>
      </c>
      <c r="D372" s="82" t="s">
        <v>374</v>
      </c>
      <c r="E372" s="83">
        <v>4</v>
      </c>
      <c r="F372" s="88">
        <v>25465</v>
      </c>
      <c r="G372" s="89">
        <f t="shared" si="15"/>
        <v>101860</v>
      </c>
      <c r="H372" s="209"/>
      <c r="I372" s="209"/>
      <c r="J372" s="213" t="str">
        <f t="array" ref="J372:M372">_xlfn.XLOOKUP(C372,'ESAP NEIVA FASE II UNIFICADO'!$C$6:$C$720,'ESAP NEIVA FASE II UNIFICADO'!$C$6:$F$720,"NO ESTA")</f>
        <v>SUMINISTRO E INSTALACIÓN GRAPA DERIVACIÓN EN T DE BRONCE PARA SOPORTAR EL CABLE AL MURO DE CONCRETO APROBADAS PARA INTEMPERIE.</v>
      </c>
      <c r="K372" t="str">
        <v>UN</v>
      </c>
      <c r="L372">
        <v>0</v>
      </c>
      <c r="M372">
        <v>26196</v>
      </c>
      <c r="N372" s="115">
        <f t="shared" si="16"/>
        <v>26196</v>
      </c>
      <c r="O372" s="146">
        <f t="shared" si="17"/>
        <v>104784</v>
      </c>
      <c r="P372" s="119"/>
    </row>
    <row r="373" spans="2:16" ht="35.25" customHeight="1" x14ac:dyDescent="0.25">
      <c r="B373" s="86" t="s">
        <v>706</v>
      </c>
      <c r="C373" s="87" t="s">
        <v>707</v>
      </c>
      <c r="D373" s="82" t="s">
        <v>374</v>
      </c>
      <c r="E373" s="83">
        <v>4</v>
      </c>
      <c r="F373" s="88">
        <v>208968</v>
      </c>
      <c r="G373" s="89">
        <f t="shared" si="15"/>
        <v>835872</v>
      </c>
      <c r="H373" s="209"/>
      <c r="I373" s="209"/>
      <c r="J373" s="213" t="str">
        <f t="array" ref="J373:M373">_xlfn.XLOOKUP(C373,'ESAP NEIVA FASE II UNIFICADO'!$C$6:$C$720,'ESAP NEIVA FASE II UNIFICADO'!$C$6:$F$720,"NO ESTA")</f>
        <v>SUMINISTRO E INSTALACIÓN ELECTRODO DE PUESTA A TIERRA EN CU DE 5/8"X 8' + CONECTOR</v>
      </c>
      <c r="K373" t="str">
        <v>UN</v>
      </c>
      <c r="L373">
        <v>0</v>
      </c>
      <c r="M373">
        <v>214977</v>
      </c>
      <c r="N373" s="115">
        <f t="shared" si="16"/>
        <v>214977</v>
      </c>
      <c r="O373" s="146">
        <f t="shared" si="17"/>
        <v>859908</v>
      </c>
      <c r="P373" s="119"/>
    </row>
    <row r="374" spans="2:16" ht="35.25" customHeight="1" x14ac:dyDescent="0.25">
      <c r="B374" s="86" t="s">
        <v>708</v>
      </c>
      <c r="C374" s="87" t="s">
        <v>709</v>
      </c>
      <c r="D374" s="82" t="s">
        <v>374</v>
      </c>
      <c r="E374" s="83">
        <v>4</v>
      </c>
      <c r="F374" s="88">
        <v>128433</v>
      </c>
      <c r="G374" s="89">
        <f t="shared" si="15"/>
        <v>513732</v>
      </c>
      <c r="H374" s="209"/>
      <c r="I374" s="209"/>
      <c r="J374" s="213" t="str">
        <f t="array" ref="J374:M374">_xlfn.XLOOKUP(C374,'ESAP NEIVA FASE II UNIFICADO'!$C$6:$C$720,'ESAP NEIVA FASE II UNIFICADO'!$C$6:$F$720,"NO ESTA")</f>
        <v>SUMINISTRO E INSTALACIÓN CONEXIÓN EXOTÉRMICA VARILLA-CABLE CALIBRE #2 AWG. INCLUYE SUMINISTRO DE MOLDE FÚNDENTE Y DEMÁS ACCESORIOS.</v>
      </c>
      <c r="K374" t="str">
        <v>UN</v>
      </c>
      <c r="L374">
        <v>0</v>
      </c>
      <c r="M374">
        <v>132126</v>
      </c>
      <c r="N374" s="115">
        <f t="shared" si="16"/>
        <v>132126</v>
      </c>
      <c r="O374" s="146">
        <f t="shared" si="17"/>
        <v>528504</v>
      </c>
      <c r="P374" s="119"/>
    </row>
    <row r="375" spans="2:16" ht="44.25" customHeight="1" x14ac:dyDescent="0.25">
      <c r="B375" s="86" t="s">
        <v>710</v>
      </c>
      <c r="C375" s="87" t="s">
        <v>711</v>
      </c>
      <c r="D375" s="82" t="s">
        <v>374</v>
      </c>
      <c r="E375" s="83">
        <v>4</v>
      </c>
      <c r="F375" s="88">
        <v>255391</v>
      </c>
      <c r="G375" s="89">
        <f t="shared" si="15"/>
        <v>1021564</v>
      </c>
      <c r="H375" s="209"/>
      <c r="I375" s="209"/>
      <c r="J375" s="213" t="str">
        <f t="array" ref="J375">_xlfn.XLOOKUP(C375,'ESAP NEIVA FASE II UNIFICADO'!$C$6:$C$720,'ESAP NEIVA FASE II UNIFICADO'!$C$6:$F$720,"NO ESTA")</f>
        <v>NO ESTA</v>
      </c>
      <c r="N375" s="115">
        <f t="shared" si="16"/>
        <v>255391</v>
      </c>
      <c r="O375" s="146">
        <f t="shared" si="17"/>
        <v>1021564</v>
      </c>
      <c r="P375" s="119"/>
    </row>
    <row r="376" spans="2:16" ht="15" customHeight="1" x14ac:dyDescent="0.25">
      <c r="B376" s="74">
        <v>16</v>
      </c>
      <c r="C376" s="75" t="s">
        <v>712</v>
      </c>
      <c r="D376" s="76"/>
      <c r="E376" s="77"/>
      <c r="F376" s="78">
        <v>0</v>
      </c>
      <c r="G376" s="89">
        <f t="shared" si="15"/>
        <v>0</v>
      </c>
      <c r="H376" s="209"/>
      <c r="I376" s="209"/>
      <c r="J376" s="213" t="str">
        <f t="array" ref="J376:M376">_xlfn.XLOOKUP(C376,'ESAP NEIVA FASE II UNIFICADO'!$C$6:$C$720,'ESAP NEIVA FASE II UNIFICADO'!$C$6:$F$720,"NO ESTA")</f>
        <v>LUMINARIAS Y LAMPARAS</v>
      </c>
      <c r="K376">
        <v>0</v>
      </c>
      <c r="L376">
        <v>0</v>
      </c>
      <c r="M376">
        <v>0</v>
      </c>
      <c r="N376" s="115">
        <f t="shared" si="16"/>
        <v>0</v>
      </c>
      <c r="O376" s="146">
        <f t="shared" si="17"/>
        <v>0</v>
      </c>
      <c r="P376" s="119"/>
    </row>
    <row r="377" spans="2:16" ht="15" customHeight="1" x14ac:dyDescent="0.25">
      <c r="B377" s="80" t="s">
        <v>713</v>
      </c>
      <c r="C377" s="81" t="s">
        <v>714</v>
      </c>
      <c r="D377" s="82"/>
      <c r="E377" s="83"/>
      <c r="F377" s="90">
        <v>0</v>
      </c>
      <c r="G377" s="89">
        <f t="shared" si="15"/>
        <v>0</v>
      </c>
      <c r="H377" s="209"/>
      <c r="I377" s="209"/>
      <c r="J377" s="213" t="str">
        <f t="array" ref="J377:M377">_xlfn.XLOOKUP(C377,'ESAP NEIVA FASE II UNIFICADO'!$C$6:$C$720,'ESAP NEIVA FASE II UNIFICADO'!$C$6:$F$720,"NO ESTA")</f>
        <v xml:space="preserve">SUMINISTRO E INSTALACIÓN DE LÁMPARAS FLUORESCENTES </v>
      </c>
      <c r="K377">
        <v>0</v>
      </c>
      <c r="L377">
        <v>0</v>
      </c>
      <c r="M377">
        <v>0</v>
      </c>
      <c r="N377" s="115">
        <f t="shared" si="16"/>
        <v>0</v>
      </c>
      <c r="O377" s="146">
        <f t="shared" si="17"/>
        <v>0</v>
      </c>
      <c r="P377" s="119"/>
    </row>
    <row r="378" spans="2:16" ht="15" customHeight="1" x14ac:dyDescent="0.25">
      <c r="B378" s="86" t="s">
        <v>715</v>
      </c>
      <c r="C378" s="87" t="s">
        <v>716</v>
      </c>
      <c r="D378" s="82" t="s">
        <v>374</v>
      </c>
      <c r="E378" s="83">
        <v>57</v>
      </c>
      <c r="F378" s="88">
        <v>132079</v>
      </c>
      <c r="G378" s="89">
        <f t="shared" si="15"/>
        <v>7528503</v>
      </c>
      <c r="H378" s="209"/>
      <c r="I378" s="209"/>
      <c r="J378" s="213" t="str">
        <f t="array" ref="J378:M378">_xlfn.XLOOKUP(C378,'ESAP NEIVA FASE II UNIFICADO'!$C$6:$C$720,'ESAP NEIVA FASE II UNIFICADO'!$C$6:$F$720,"NO ESTA")</f>
        <v>SUMINISTRO E INSTALACIÓN LÁMPARA LED 1x28 W</v>
      </c>
      <c r="K378" t="str">
        <v>UN</v>
      </c>
      <c r="L378">
        <v>153</v>
      </c>
      <c r="M378">
        <v>97894</v>
      </c>
      <c r="N378" s="115">
        <f t="shared" si="16"/>
        <v>132079</v>
      </c>
      <c r="O378" s="146">
        <f t="shared" si="17"/>
        <v>7528503</v>
      </c>
      <c r="P378" s="119"/>
    </row>
    <row r="379" spans="2:16" ht="15" customHeight="1" x14ac:dyDescent="0.25">
      <c r="B379" s="86" t="s">
        <v>717</v>
      </c>
      <c r="C379" s="87" t="s">
        <v>718</v>
      </c>
      <c r="D379" s="82" t="s">
        <v>374</v>
      </c>
      <c r="E379" s="83">
        <v>30</v>
      </c>
      <c r="F379" s="88">
        <v>213588</v>
      </c>
      <c r="G379" s="89">
        <f t="shared" si="15"/>
        <v>6407640</v>
      </c>
      <c r="H379" s="209"/>
      <c r="I379" s="209"/>
      <c r="J379" s="213" t="str">
        <f t="array" ref="J379:M379">_xlfn.XLOOKUP(C379,'ESAP NEIVA FASE II UNIFICADO'!$C$6:$C$720,'ESAP NEIVA FASE II UNIFICADO'!$C$6:$F$720,"NO ESTA")</f>
        <v>SUMINISTRO E INSTALACIÓN LÁMPARA LED 2x54 W</v>
      </c>
      <c r="K379" t="str">
        <v>UN</v>
      </c>
      <c r="L379">
        <v>82</v>
      </c>
      <c r="M379">
        <v>178068</v>
      </c>
      <c r="N379" s="115">
        <f t="shared" si="16"/>
        <v>213588</v>
      </c>
      <c r="O379" s="146">
        <f t="shared" si="17"/>
        <v>6407640</v>
      </c>
      <c r="P379" s="119"/>
    </row>
    <row r="380" spans="2:16" ht="15" customHeight="1" x14ac:dyDescent="0.25">
      <c r="B380" s="86" t="s">
        <v>719</v>
      </c>
      <c r="C380" s="87" t="s">
        <v>720</v>
      </c>
      <c r="D380" s="82" t="s">
        <v>374</v>
      </c>
      <c r="E380" s="83">
        <v>45</v>
      </c>
      <c r="F380" s="88">
        <v>185607</v>
      </c>
      <c r="G380" s="89">
        <f t="shared" si="15"/>
        <v>8352315</v>
      </c>
      <c r="H380" s="209"/>
      <c r="I380" s="209"/>
      <c r="J380" s="213" t="str">
        <f t="array" ref="J380:M380">_xlfn.XLOOKUP(C380,'ESAP NEIVA FASE II UNIFICADO'!$C$6:$C$720,'ESAP NEIVA FASE II UNIFICADO'!$C$6:$F$720,"NO ESTA")</f>
        <v>SUMINISTRO E INSTALACIÓN BALA LED 35W 120 V</v>
      </c>
      <c r="K380" t="str">
        <v>UN</v>
      </c>
      <c r="L380">
        <v>121</v>
      </c>
      <c r="M380">
        <v>190945</v>
      </c>
      <c r="N380" s="115">
        <f t="shared" si="16"/>
        <v>190945</v>
      </c>
      <c r="O380" s="146">
        <f t="shared" si="17"/>
        <v>8592525</v>
      </c>
      <c r="P380" s="119"/>
    </row>
    <row r="381" spans="2:16" ht="15" customHeight="1" x14ac:dyDescent="0.25">
      <c r="B381" s="86" t="s">
        <v>721</v>
      </c>
      <c r="C381" s="87" t="s">
        <v>722</v>
      </c>
      <c r="D381" s="82" t="s">
        <v>374</v>
      </c>
      <c r="E381" s="83">
        <v>19</v>
      </c>
      <c r="F381" s="88">
        <v>136906</v>
      </c>
      <c r="G381" s="89">
        <f t="shared" si="15"/>
        <v>2601214</v>
      </c>
      <c r="H381" s="209"/>
      <c r="I381" s="209"/>
      <c r="J381" s="213" t="str">
        <f t="array" ref="J381:M381">_xlfn.XLOOKUP(C381,'ESAP NEIVA FASE II UNIFICADO'!$C$6:$C$720,'ESAP NEIVA FASE II UNIFICADO'!$C$6:$F$720,"NO ESTA")</f>
        <v>SUMINISTRO E INSTALACIÓN BALA RECESADA LED 10W 120 V</v>
      </c>
      <c r="K381" t="str">
        <v>UN</v>
      </c>
      <c r="L381">
        <v>50</v>
      </c>
      <c r="M381">
        <v>140842</v>
      </c>
      <c r="N381" s="115">
        <f t="shared" si="16"/>
        <v>140842</v>
      </c>
      <c r="O381" s="146">
        <f t="shared" si="17"/>
        <v>2675998</v>
      </c>
      <c r="P381" s="119"/>
    </row>
    <row r="382" spans="2:16" ht="15" customHeight="1" x14ac:dyDescent="0.25">
      <c r="B382" s="86" t="s">
        <v>723</v>
      </c>
      <c r="C382" s="87" t="s">
        <v>724</v>
      </c>
      <c r="D382" s="82" t="s">
        <v>374</v>
      </c>
      <c r="E382" s="83">
        <v>68</v>
      </c>
      <c r="F382" s="88">
        <v>220574</v>
      </c>
      <c r="G382" s="89">
        <f t="shared" si="15"/>
        <v>14999032</v>
      </c>
      <c r="H382" s="209"/>
      <c r="I382" s="209"/>
      <c r="J382" s="213" t="str">
        <f t="array" ref="J382:M382">_xlfn.XLOOKUP(C382,'ESAP NEIVA FASE II UNIFICADO'!$C$6:$C$720,'ESAP NEIVA FASE II UNIFICADO'!$C$6:$F$720,"NO ESTA")</f>
        <v>SUMINISTRO E INSTALACIÓN LUMINARIA LED 2x26W 120V</v>
      </c>
      <c r="K382" t="str">
        <v>UN</v>
      </c>
      <c r="L382">
        <v>184</v>
      </c>
      <c r="M382">
        <v>226917</v>
      </c>
      <c r="N382" s="115">
        <f t="shared" si="16"/>
        <v>226917</v>
      </c>
      <c r="O382" s="146">
        <f t="shared" si="17"/>
        <v>15430356</v>
      </c>
      <c r="P382" s="119"/>
    </row>
    <row r="383" spans="2:16" ht="15" customHeight="1" x14ac:dyDescent="0.25">
      <c r="B383" s="86" t="s">
        <v>725</v>
      </c>
      <c r="C383" s="87" t="s">
        <v>726</v>
      </c>
      <c r="D383" s="82" t="s">
        <v>374</v>
      </c>
      <c r="E383" s="83">
        <v>2</v>
      </c>
      <c r="F383" s="88">
        <v>263004</v>
      </c>
      <c r="G383" s="89">
        <f t="shared" si="15"/>
        <v>526008</v>
      </c>
      <c r="H383" s="209"/>
      <c r="I383" s="209"/>
      <c r="J383" s="213" t="str">
        <f t="array" ref="J383:M383">_xlfn.XLOOKUP(C383,'ESAP NEIVA FASE II UNIFICADO'!$C$6:$C$720,'ESAP NEIVA FASE II UNIFICADO'!$C$6:$F$720,"NO ESTA")</f>
        <v>SUMINISTRO E INSTALACIÓN REFLECTOR DE LUZ INDIRECTA</v>
      </c>
      <c r="K383" t="str">
        <v>UN</v>
      </c>
      <c r="L383">
        <v>6</v>
      </c>
      <c r="M383">
        <v>270567</v>
      </c>
      <c r="N383" s="115">
        <f t="shared" si="16"/>
        <v>270567</v>
      </c>
      <c r="O383" s="146">
        <f t="shared" si="17"/>
        <v>541134</v>
      </c>
      <c r="P383" s="119"/>
    </row>
    <row r="384" spans="2:16" ht="15" customHeight="1" x14ac:dyDescent="0.25">
      <c r="B384" s="86" t="s">
        <v>727</v>
      </c>
      <c r="C384" s="87" t="s">
        <v>728</v>
      </c>
      <c r="D384" s="82" t="s">
        <v>374</v>
      </c>
      <c r="E384" s="83">
        <v>2</v>
      </c>
      <c r="F384" s="88">
        <v>194320</v>
      </c>
      <c r="G384" s="89">
        <f t="shared" si="15"/>
        <v>388640</v>
      </c>
      <c r="H384" s="209"/>
      <c r="I384" s="209"/>
      <c r="J384" s="213" t="str">
        <f t="array" ref="J384:M384">_xlfn.XLOOKUP(C384,'ESAP NEIVA FASE II UNIFICADO'!$C$6:$C$720,'ESAP NEIVA FASE II UNIFICADO'!$C$6:$F$720,"NO ESTA")</f>
        <v>SUMINISTRO E INSTALACIÓN APLIQUE DE ESCALERA 1000W 120V</v>
      </c>
      <c r="K384" t="str">
        <v>UN</v>
      </c>
      <c r="L384">
        <v>6</v>
      </c>
      <c r="M384">
        <v>199908</v>
      </c>
      <c r="N384" s="115">
        <f t="shared" si="16"/>
        <v>199908</v>
      </c>
      <c r="O384" s="146">
        <f t="shared" si="17"/>
        <v>399816</v>
      </c>
      <c r="P384" s="119"/>
    </row>
    <row r="385" spans="2:16" ht="15" customHeight="1" x14ac:dyDescent="0.25">
      <c r="B385" s="86" t="s">
        <v>729</v>
      </c>
      <c r="C385" s="87" t="s">
        <v>730</v>
      </c>
      <c r="D385" s="82" t="s">
        <v>374</v>
      </c>
      <c r="E385" s="83">
        <v>25</v>
      </c>
      <c r="F385" s="88">
        <v>94417</v>
      </c>
      <c r="G385" s="89">
        <f t="shared" si="15"/>
        <v>2360425</v>
      </c>
      <c r="H385" s="209"/>
      <c r="I385" s="209"/>
      <c r="J385" s="213" t="str">
        <f t="array" ref="J385:M385">_xlfn.XLOOKUP(C385,'ESAP NEIVA FASE II UNIFICADO'!$C$6:$C$720,'ESAP NEIVA FASE II UNIFICADO'!$C$6:$F$720,"NO ESTA")</f>
        <v>SUMINISTRO E INSTALACIÓN BALAS LED DE PISO 3W 120V</v>
      </c>
      <c r="K385" t="str">
        <v>UN</v>
      </c>
      <c r="L385">
        <v>67</v>
      </c>
      <c r="M385">
        <v>97132</v>
      </c>
      <c r="N385" s="115">
        <f t="shared" si="16"/>
        <v>97132</v>
      </c>
      <c r="O385" s="146">
        <f t="shared" si="17"/>
        <v>2428300</v>
      </c>
      <c r="P385" s="119"/>
    </row>
    <row r="386" spans="2:16" ht="15" customHeight="1" x14ac:dyDescent="0.25">
      <c r="B386" s="86" t="s">
        <v>731</v>
      </c>
      <c r="C386" s="87" t="s">
        <v>732</v>
      </c>
      <c r="D386" s="82" t="s">
        <v>374</v>
      </c>
      <c r="E386" s="83">
        <v>4</v>
      </c>
      <c r="F386" s="88">
        <v>75686</v>
      </c>
      <c r="G386" s="89">
        <f t="shared" si="15"/>
        <v>302744</v>
      </c>
      <c r="H386" s="209"/>
      <c r="I386" s="209"/>
      <c r="J386" s="213" t="str">
        <f t="array" ref="J386:M386">_xlfn.XLOOKUP(C386,'ESAP NEIVA FASE II UNIFICADO'!$C$6:$C$720,'ESAP NEIVA FASE II UNIFICADO'!$C$6:$F$720,"NO ESTA")</f>
        <v>SUMINISTRO E INSTALACIÓN BALAS DE PISO 50W 120 V</v>
      </c>
      <c r="K386" t="str">
        <v>UN</v>
      </c>
      <c r="L386">
        <v>10</v>
      </c>
      <c r="M386">
        <v>77862</v>
      </c>
      <c r="N386" s="115">
        <f t="shared" si="16"/>
        <v>77862</v>
      </c>
      <c r="O386" s="146">
        <f t="shared" si="17"/>
        <v>311448</v>
      </c>
      <c r="P386" s="119"/>
    </row>
    <row r="387" spans="2:16" ht="15" customHeight="1" x14ac:dyDescent="0.25">
      <c r="B387" s="74">
        <v>17</v>
      </c>
      <c r="C387" s="75" t="s">
        <v>733</v>
      </c>
      <c r="D387" s="76"/>
      <c r="E387" s="77"/>
      <c r="F387" s="78">
        <v>0</v>
      </c>
      <c r="G387" s="89">
        <f t="shared" si="15"/>
        <v>0</v>
      </c>
      <c r="H387" s="209"/>
      <c r="I387" s="209"/>
      <c r="J387" s="213" t="str">
        <f t="array" ref="J387:M387">_xlfn.XLOOKUP(C387,'ESAP NEIVA FASE II UNIFICADO'!$C$6:$C$720,'ESAP NEIVA FASE II UNIFICADO'!$C$6:$F$720,"NO ESTA")</f>
        <v>AIRE ACONDICIONADO</v>
      </c>
      <c r="K387">
        <v>0</v>
      </c>
      <c r="L387">
        <v>0</v>
      </c>
      <c r="M387">
        <v>0</v>
      </c>
      <c r="N387" s="115">
        <f t="shared" si="16"/>
        <v>0</v>
      </c>
      <c r="O387" s="146">
        <f t="shared" si="17"/>
        <v>0</v>
      </c>
      <c r="P387" s="119"/>
    </row>
    <row r="388" spans="2:16" ht="15" customHeight="1" x14ac:dyDescent="0.25">
      <c r="B388" s="80" t="s">
        <v>734</v>
      </c>
      <c r="C388" s="81" t="s">
        <v>735</v>
      </c>
      <c r="D388" s="82"/>
      <c r="E388" s="83"/>
      <c r="F388" s="90">
        <v>0</v>
      </c>
      <c r="G388" s="89">
        <f t="shared" si="15"/>
        <v>0</v>
      </c>
      <c r="H388" s="209"/>
      <c r="I388" s="209"/>
      <c r="J388" s="213" t="str">
        <f t="array" ref="J388:M388">_xlfn.XLOOKUP(C388,'ESAP NEIVA FASE II UNIFICADO'!$C$6:$C$720,'ESAP NEIVA FASE II UNIFICADO'!$C$6:$F$720,"NO ESTA")</f>
        <v>SUMINISTRO E INSTALACION DE TUBERIA AGUA FRIA PVC</v>
      </c>
      <c r="K388">
        <v>0</v>
      </c>
      <c r="L388">
        <v>0</v>
      </c>
      <c r="M388">
        <v>0</v>
      </c>
      <c r="N388" s="115">
        <f t="shared" si="16"/>
        <v>0</v>
      </c>
      <c r="O388" s="146">
        <f t="shared" si="17"/>
        <v>0</v>
      </c>
      <c r="P388" s="119"/>
    </row>
    <row r="389" spans="2:16" ht="15" customHeight="1" x14ac:dyDescent="0.25">
      <c r="B389" s="86" t="s">
        <v>736</v>
      </c>
      <c r="C389" s="87" t="s">
        <v>737</v>
      </c>
      <c r="D389" s="82" t="s">
        <v>94</v>
      </c>
      <c r="E389" s="83">
        <v>17</v>
      </c>
      <c r="F389" s="88">
        <v>69676</v>
      </c>
      <c r="G389" s="89">
        <f t="shared" si="15"/>
        <v>1184492</v>
      </c>
      <c r="H389" s="209"/>
      <c r="I389" s="209"/>
      <c r="J389" s="213" t="str">
        <f t="array" ref="J389:M389">_xlfn.XLOOKUP(C389,'ESAP NEIVA FASE II UNIFICADO'!$C$6:$C$720,'ESAP NEIVA FASE II UNIFICADO'!$C$6:$F$720,"NO ESTA")</f>
        <v>SUMINISTRO E INSTALACION TUBERIA Y ACCESORIOS RDE 21 Ø DIAMETRO  4"</v>
      </c>
      <c r="K389" t="str">
        <v>ML</v>
      </c>
      <c r="L389">
        <v>45</v>
      </c>
      <c r="M389">
        <v>71680</v>
      </c>
      <c r="N389" s="115">
        <f t="shared" si="16"/>
        <v>71680</v>
      </c>
      <c r="O389" s="146">
        <f t="shared" si="17"/>
        <v>1218560</v>
      </c>
      <c r="P389" s="119"/>
    </row>
    <row r="390" spans="2:16" ht="15" customHeight="1" x14ac:dyDescent="0.25">
      <c r="B390" s="86" t="s">
        <v>738</v>
      </c>
      <c r="C390" s="87" t="s">
        <v>739</v>
      </c>
      <c r="D390" s="82" t="s">
        <v>94</v>
      </c>
      <c r="E390" s="83">
        <v>9</v>
      </c>
      <c r="F390" s="88">
        <v>45305</v>
      </c>
      <c r="G390" s="89">
        <f t="shared" ref="G390:G453" si="18">ROUND(+F390*E390,2)</f>
        <v>407745</v>
      </c>
      <c r="H390" s="209"/>
      <c r="I390" s="209"/>
      <c r="J390" s="213" t="str">
        <f t="array" ref="J390:M390">_xlfn.XLOOKUP(C390,'ESAP NEIVA FASE II UNIFICADO'!$C$6:$C$720,'ESAP NEIVA FASE II UNIFICADO'!$C$6:$F$720,"NO ESTA")</f>
        <v>SUMINISTRO E INSTALACION TUBERIA Y ACCESORIOS RDE 21 Ø DIAMETRO  3"</v>
      </c>
      <c r="K390" t="str">
        <v>ML</v>
      </c>
      <c r="L390">
        <v>24</v>
      </c>
      <c r="M390">
        <v>46609</v>
      </c>
      <c r="N390" s="115">
        <f t="shared" ref="N390:N453" si="19">MAX(M390,F390)</f>
        <v>46609</v>
      </c>
      <c r="O390" s="146">
        <f t="shared" ref="O390:O453" si="20">N390*E390</f>
        <v>419481</v>
      </c>
      <c r="P390" s="119"/>
    </row>
    <row r="391" spans="2:16" ht="15" customHeight="1" x14ac:dyDescent="0.25">
      <c r="B391" s="86" t="s">
        <v>740</v>
      </c>
      <c r="C391" s="87" t="s">
        <v>741</v>
      </c>
      <c r="D391" s="82" t="s">
        <v>94</v>
      </c>
      <c r="E391" s="83">
        <v>24</v>
      </c>
      <c r="F391" s="88">
        <v>33764</v>
      </c>
      <c r="G391" s="89">
        <f t="shared" si="18"/>
        <v>810336</v>
      </c>
      <c r="H391" s="209"/>
      <c r="I391" s="209"/>
      <c r="J391" s="213" t="str">
        <f t="array" ref="J391:M391">_xlfn.XLOOKUP(C391,'ESAP NEIVA FASE II UNIFICADO'!$C$6:$C$720,'ESAP NEIVA FASE II UNIFICADO'!$C$6:$F$720,"NO ESTA")</f>
        <v>SUMINISTRO E INSTALACION TUBERIA Y ACCESORIOS RDE 21 Ø DIAMETRO  2 1/2"</v>
      </c>
      <c r="K391" t="str">
        <v>ML</v>
      </c>
      <c r="L391">
        <v>64</v>
      </c>
      <c r="M391">
        <v>34736</v>
      </c>
      <c r="N391" s="115">
        <f t="shared" si="19"/>
        <v>34736</v>
      </c>
      <c r="O391" s="146">
        <f t="shared" si="20"/>
        <v>833664</v>
      </c>
      <c r="P391" s="119"/>
    </row>
    <row r="392" spans="2:16" ht="15" customHeight="1" x14ac:dyDescent="0.25">
      <c r="B392" s="86" t="s">
        <v>742</v>
      </c>
      <c r="C392" s="87" t="s">
        <v>743</v>
      </c>
      <c r="D392" s="82" t="s">
        <v>94</v>
      </c>
      <c r="E392" s="83">
        <v>68</v>
      </c>
      <c r="F392" s="88">
        <v>22987</v>
      </c>
      <c r="G392" s="89">
        <f t="shared" si="18"/>
        <v>1563116</v>
      </c>
      <c r="H392" s="209"/>
      <c r="I392" s="209"/>
      <c r="J392" s="213" t="str">
        <f t="array" ref="J392:M392">_xlfn.XLOOKUP(C392,'ESAP NEIVA FASE II UNIFICADO'!$C$6:$C$720,'ESAP NEIVA FASE II UNIFICADO'!$C$6:$F$720,"NO ESTA")</f>
        <v>SUMINISTRO E INSTALACION TUBERIA Y ACCESORIOS RDE 21 Ø DIAMETRO  2"</v>
      </c>
      <c r="K392" t="str">
        <v>ML</v>
      </c>
      <c r="L392">
        <v>185.4</v>
      </c>
      <c r="M392">
        <v>23647</v>
      </c>
      <c r="N392" s="115">
        <f t="shared" si="19"/>
        <v>23647</v>
      </c>
      <c r="O392" s="146">
        <f t="shared" si="20"/>
        <v>1607996</v>
      </c>
      <c r="P392" s="119"/>
    </row>
    <row r="393" spans="2:16" ht="15" customHeight="1" x14ac:dyDescent="0.25">
      <c r="B393" s="86" t="s">
        <v>744</v>
      </c>
      <c r="C393" s="87" t="s">
        <v>745</v>
      </c>
      <c r="D393" s="82" t="s">
        <v>94</v>
      </c>
      <c r="E393" s="83">
        <v>40</v>
      </c>
      <c r="F393" s="88">
        <v>16749</v>
      </c>
      <c r="G393" s="89">
        <f t="shared" si="18"/>
        <v>669960</v>
      </c>
      <c r="H393" s="209"/>
      <c r="I393" s="209"/>
      <c r="J393" s="213" t="str">
        <f t="array" ref="J393:M393">_xlfn.XLOOKUP(C393,'ESAP NEIVA FASE II UNIFICADO'!$C$6:$C$720,'ESAP NEIVA FASE II UNIFICADO'!$C$6:$F$720,"NO ESTA")</f>
        <v>SUMINISTRO E INSTALACION TUBERIA Y ACCESORIOS RDE 21 Ø DIAMETRO  1 1/2"</v>
      </c>
      <c r="K393" t="str">
        <v>ML</v>
      </c>
      <c r="L393">
        <v>106.80000000000001</v>
      </c>
      <c r="M393">
        <v>17230</v>
      </c>
      <c r="N393" s="115">
        <f t="shared" si="19"/>
        <v>17230</v>
      </c>
      <c r="O393" s="146">
        <f t="shared" si="20"/>
        <v>689200</v>
      </c>
      <c r="P393" s="119"/>
    </row>
    <row r="394" spans="2:16" ht="15" customHeight="1" x14ac:dyDescent="0.25">
      <c r="B394" s="86" t="s">
        <v>746</v>
      </c>
      <c r="C394" s="87" t="s">
        <v>747</v>
      </c>
      <c r="D394" s="82" t="s">
        <v>94</v>
      </c>
      <c r="E394" s="83">
        <v>61</v>
      </c>
      <c r="F394" s="88">
        <v>14248</v>
      </c>
      <c r="G394" s="89">
        <f t="shared" si="18"/>
        <v>869128</v>
      </c>
      <c r="H394" s="209"/>
      <c r="I394" s="209"/>
      <c r="J394" s="213" t="str">
        <f t="array" ref="J394:M394">_xlfn.XLOOKUP(C394,'ESAP NEIVA FASE II UNIFICADO'!$C$6:$C$720,'ESAP NEIVA FASE II UNIFICADO'!$C$6:$F$720,"NO ESTA")</f>
        <v>SUMINISTRO E INSTALACION TUBERIA Y ACCESORIOS RDE 21 Ø DIAMETRO  1 1/4"</v>
      </c>
      <c r="K394" t="str">
        <v>ML</v>
      </c>
      <c r="L394">
        <v>165.6</v>
      </c>
      <c r="M394">
        <v>14658</v>
      </c>
      <c r="N394" s="115">
        <f t="shared" si="19"/>
        <v>14658</v>
      </c>
      <c r="O394" s="146">
        <f t="shared" si="20"/>
        <v>894138</v>
      </c>
      <c r="P394" s="119"/>
    </row>
    <row r="395" spans="2:16" ht="15" customHeight="1" x14ac:dyDescent="0.25">
      <c r="B395" s="86" t="s">
        <v>748</v>
      </c>
      <c r="C395" s="87" t="s">
        <v>749</v>
      </c>
      <c r="D395" s="82" t="s">
        <v>94</v>
      </c>
      <c r="E395" s="83">
        <v>10</v>
      </c>
      <c r="F395" s="88">
        <v>10424</v>
      </c>
      <c r="G395" s="89">
        <f t="shared" si="18"/>
        <v>104240</v>
      </c>
      <c r="H395" s="209"/>
      <c r="I395" s="209"/>
      <c r="J395" s="213" t="str">
        <f t="array" ref="J395:M395">_xlfn.XLOOKUP(C395,'ESAP NEIVA FASE II UNIFICADO'!$C$6:$C$720,'ESAP NEIVA FASE II UNIFICADO'!$C$6:$F$720,"NO ESTA")</f>
        <v>SUMINISTRO E INSTALACION TUBERIA Y ACCESORIOS RDE 21 Ø DIAMETRO  1"</v>
      </c>
      <c r="K395" t="str">
        <v>ML</v>
      </c>
      <c r="L395">
        <v>28.799999999999997</v>
      </c>
      <c r="M395">
        <v>10725</v>
      </c>
      <c r="N395" s="115">
        <f t="shared" si="19"/>
        <v>10725</v>
      </c>
      <c r="O395" s="146">
        <f t="shared" si="20"/>
        <v>107250</v>
      </c>
      <c r="P395" s="119"/>
    </row>
    <row r="396" spans="2:16" ht="15" customHeight="1" x14ac:dyDescent="0.25">
      <c r="B396" s="86" t="s">
        <v>750</v>
      </c>
      <c r="C396" s="87" t="s">
        <v>751</v>
      </c>
      <c r="D396" s="82" t="s">
        <v>94</v>
      </c>
      <c r="E396" s="83">
        <v>12</v>
      </c>
      <c r="F396" s="88">
        <v>9158</v>
      </c>
      <c r="G396" s="89">
        <f t="shared" si="18"/>
        <v>109896</v>
      </c>
      <c r="H396" s="209"/>
      <c r="I396" s="209"/>
      <c r="J396" s="213" t="str">
        <f t="array" ref="J396:M396">_xlfn.XLOOKUP(C396,'ESAP NEIVA FASE II UNIFICADO'!$C$6:$C$720,'ESAP NEIVA FASE II UNIFICADO'!$C$6:$F$720,"NO ESTA")</f>
        <v>SUMINISTRO E INSTALACION TUBERIA Y ACCESORIOS RDE 21 Ø DIAMETRO  3/4"</v>
      </c>
      <c r="K396" t="str">
        <v>ML</v>
      </c>
      <c r="L396">
        <v>32</v>
      </c>
      <c r="M396">
        <v>9421</v>
      </c>
      <c r="N396" s="115">
        <f t="shared" si="19"/>
        <v>9421</v>
      </c>
      <c r="O396" s="146">
        <f t="shared" si="20"/>
        <v>113052</v>
      </c>
      <c r="P396" s="119"/>
    </row>
    <row r="397" spans="2:16" ht="26.25" customHeight="1" x14ac:dyDescent="0.25">
      <c r="B397" s="80" t="s">
        <v>752</v>
      </c>
      <c r="C397" s="81" t="s">
        <v>753</v>
      </c>
      <c r="D397" s="82"/>
      <c r="E397" s="83"/>
      <c r="F397" s="90">
        <v>0</v>
      </c>
      <c r="G397" s="89">
        <f t="shared" si="18"/>
        <v>0</v>
      </c>
      <c r="H397" s="209"/>
      <c r="I397" s="209"/>
      <c r="J397" s="213" t="str">
        <f t="array" ref="J397">_xlfn.XLOOKUP(C397,'ESAP NEIVA FASE II UNIFICADO'!$C$6:$C$720,'ESAP NEIVA FASE II UNIFICADO'!$C$6:$F$720,"NO ESTA")</f>
        <v>NO ESTA</v>
      </c>
      <c r="N397" s="115">
        <f t="shared" si="19"/>
        <v>0</v>
      </c>
      <c r="O397" s="146">
        <f t="shared" si="20"/>
        <v>0</v>
      </c>
      <c r="P397" s="119"/>
    </row>
    <row r="398" spans="2:16" ht="26.25" customHeight="1" x14ac:dyDescent="0.25">
      <c r="B398" s="86" t="s">
        <v>754</v>
      </c>
      <c r="C398" s="87" t="s">
        <v>755</v>
      </c>
      <c r="D398" s="82" t="s">
        <v>94</v>
      </c>
      <c r="E398" s="83">
        <v>17</v>
      </c>
      <c r="F398" s="88">
        <v>40228</v>
      </c>
      <c r="G398" s="89">
        <f t="shared" si="18"/>
        <v>683876</v>
      </c>
      <c r="H398" s="209"/>
      <c r="I398" s="209"/>
      <c r="J398" s="213" t="str">
        <f t="array" ref="J398:M398">_xlfn.XLOOKUP(C398,'ESAP NEIVA FASE II UNIFICADO'!$C$6:$C$720,'ESAP NEIVA FASE II UNIFICADO'!$C$6:$F$720,"NO ESTA")</f>
        <v>SUMINISTRO E INSTALACION DE AISLAMIENTO TERMICO TUBERIA Y ACCESORIOS RDE 21 Ø DIAMETRO  4"</v>
      </c>
      <c r="K398" t="str">
        <v>ML</v>
      </c>
      <c r="L398">
        <v>45</v>
      </c>
      <c r="M398">
        <v>41384</v>
      </c>
      <c r="N398" s="115">
        <f t="shared" si="19"/>
        <v>41384</v>
      </c>
      <c r="O398" s="146">
        <f t="shared" si="20"/>
        <v>703528</v>
      </c>
      <c r="P398" s="119"/>
    </row>
    <row r="399" spans="2:16" ht="26.25" customHeight="1" x14ac:dyDescent="0.25">
      <c r="B399" s="86" t="s">
        <v>756</v>
      </c>
      <c r="C399" s="87" t="s">
        <v>757</v>
      </c>
      <c r="D399" s="82" t="s">
        <v>94</v>
      </c>
      <c r="E399" s="83">
        <v>9</v>
      </c>
      <c r="F399" s="88">
        <v>36137</v>
      </c>
      <c r="G399" s="89">
        <f t="shared" si="18"/>
        <v>325233</v>
      </c>
      <c r="H399" s="209"/>
      <c r="I399" s="209"/>
      <c r="J399" s="213" t="str">
        <f t="array" ref="J399:M399">_xlfn.XLOOKUP(C399,'ESAP NEIVA FASE II UNIFICADO'!$C$6:$C$720,'ESAP NEIVA FASE II UNIFICADO'!$C$6:$F$720,"NO ESTA")</f>
        <v>SUMINISTRO E INSTALACION DE AISLAMIENTO TERMICO TUBERIA Y ACCESORIOS RDE 21 Ø DIAMETRO  3"</v>
      </c>
      <c r="K399" t="str">
        <v>ML</v>
      </c>
      <c r="L399">
        <v>24</v>
      </c>
      <c r="M399">
        <v>37175</v>
      </c>
      <c r="N399" s="115">
        <f t="shared" si="19"/>
        <v>37175</v>
      </c>
      <c r="O399" s="146">
        <f t="shared" si="20"/>
        <v>334575</v>
      </c>
      <c r="P399" s="119"/>
    </row>
    <row r="400" spans="2:16" ht="26.25" customHeight="1" x14ac:dyDescent="0.25">
      <c r="B400" s="86" t="s">
        <v>758</v>
      </c>
      <c r="C400" s="87" t="s">
        <v>759</v>
      </c>
      <c r="D400" s="82" t="s">
        <v>94</v>
      </c>
      <c r="E400" s="83">
        <v>24</v>
      </c>
      <c r="F400" s="88">
        <v>27708</v>
      </c>
      <c r="G400" s="89">
        <f t="shared" si="18"/>
        <v>664992</v>
      </c>
      <c r="H400" s="209"/>
      <c r="I400" s="209"/>
      <c r="J400" s="213" t="str">
        <f t="array" ref="J400:M400">_xlfn.XLOOKUP(C400,'ESAP NEIVA FASE II UNIFICADO'!$C$6:$C$720,'ESAP NEIVA FASE II UNIFICADO'!$C$6:$F$720,"NO ESTA")</f>
        <v>SUMINISTRO E INSTALACION DE AISLAMIENTO TERMICO TUBERIA Y ACCESORIOS RDE 21 Ø DIAMETRO  2 1/2"</v>
      </c>
      <c r="K400" t="str">
        <v>ML</v>
      </c>
      <c r="L400">
        <v>64</v>
      </c>
      <c r="M400">
        <v>28505</v>
      </c>
      <c r="N400" s="115">
        <f t="shared" si="19"/>
        <v>28505</v>
      </c>
      <c r="O400" s="146">
        <f t="shared" si="20"/>
        <v>684120</v>
      </c>
      <c r="P400" s="119"/>
    </row>
    <row r="401" spans="2:16" ht="26.25" customHeight="1" x14ac:dyDescent="0.25">
      <c r="B401" s="86" t="s">
        <v>760</v>
      </c>
      <c r="C401" s="87" t="s">
        <v>761</v>
      </c>
      <c r="D401" s="82" t="s">
        <v>94</v>
      </c>
      <c r="E401" s="83">
        <v>68</v>
      </c>
      <c r="F401" s="88">
        <v>21856</v>
      </c>
      <c r="G401" s="89">
        <f t="shared" si="18"/>
        <v>1486208</v>
      </c>
      <c r="H401" s="209"/>
      <c r="I401" s="209"/>
      <c r="J401" s="213" t="str">
        <f t="array" ref="J401:M401">_xlfn.XLOOKUP(C401,'ESAP NEIVA FASE II UNIFICADO'!$C$6:$C$720,'ESAP NEIVA FASE II UNIFICADO'!$C$6:$F$720,"NO ESTA")</f>
        <v>SUMINISTRO E INSTALACION DE AISLAMIENTO TERMICO TUBERIA Y ACCESORIOS RDE 21 Ø DIAMETRO  2"</v>
      </c>
      <c r="K401" t="str">
        <v>ML</v>
      </c>
      <c r="L401">
        <v>185.4</v>
      </c>
      <c r="M401">
        <v>22485</v>
      </c>
      <c r="N401" s="115">
        <f t="shared" si="19"/>
        <v>22485</v>
      </c>
      <c r="O401" s="146">
        <f t="shared" si="20"/>
        <v>1528980</v>
      </c>
      <c r="P401" s="119"/>
    </row>
    <row r="402" spans="2:16" ht="26.25" customHeight="1" x14ac:dyDescent="0.25">
      <c r="B402" s="86" t="s">
        <v>762</v>
      </c>
      <c r="C402" s="87" t="s">
        <v>763</v>
      </c>
      <c r="D402" s="82" t="s">
        <v>94</v>
      </c>
      <c r="E402" s="83">
        <v>40</v>
      </c>
      <c r="F402" s="88">
        <v>16484</v>
      </c>
      <c r="G402" s="89">
        <f t="shared" si="18"/>
        <v>659360</v>
      </c>
      <c r="H402" s="209"/>
      <c r="I402" s="209"/>
      <c r="J402" s="213" t="str">
        <f t="array" ref="J402:M402">_xlfn.XLOOKUP(C402,'ESAP NEIVA FASE II UNIFICADO'!$C$6:$C$720,'ESAP NEIVA FASE II UNIFICADO'!$C$6:$F$720,"NO ESTA")</f>
        <v>SUMINISTRO E INSTALACION DE AISLAMIENTO TERMICO TUBERIA Y ACCESORIOS RDE 21 Ø DIAMETRO  1 1/2"</v>
      </c>
      <c r="K402" t="str">
        <v>ML</v>
      </c>
      <c r="L402">
        <v>106.80000000000001</v>
      </c>
      <c r="M402">
        <v>16958</v>
      </c>
      <c r="N402" s="115">
        <f t="shared" si="19"/>
        <v>16958</v>
      </c>
      <c r="O402" s="146">
        <f t="shared" si="20"/>
        <v>678320</v>
      </c>
      <c r="P402" s="119"/>
    </row>
    <row r="403" spans="2:16" ht="26.25" customHeight="1" x14ac:dyDescent="0.25">
      <c r="B403" s="86" t="s">
        <v>764</v>
      </c>
      <c r="C403" s="87" t="s">
        <v>765</v>
      </c>
      <c r="D403" s="82" t="s">
        <v>94</v>
      </c>
      <c r="E403" s="83">
        <v>61</v>
      </c>
      <c r="F403" s="88">
        <v>14137</v>
      </c>
      <c r="G403" s="89">
        <f t="shared" si="18"/>
        <v>862357</v>
      </c>
      <c r="H403" s="209"/>
      <c r="I403" s="209"/>
      <c r="J403" s="213" t="str">
        <f t="array" ref="J403:M403">_xlfn.XLOOKUP(C403,'ESAP NEIVA FASE II UNIFICADO'!$C$6:$C$720,'ESAP NEIVA FASE II UNIFICADO'!$C$6:$F$720,"NO ESTA")</f>
        <v>SUMINISTRO E INSTALACION DE AISLAMIENTO TERMICO TUBERIA Y ACCESORIOS RDE 21 Ø DIAMETRO  1 1/4"</v>
      </c>
      <c r="K403" t="str">
        <v>ML</v>
      </c>
      <c r="L403">
        <v>165.6</v>
      </c>
      <c r="M403">
        <v>14543</v>
      </c>
      <c r="N403" s="115">
        <f t="shared" si="19"/>
        <v>14543</v>
      </c>
      <c r="O403" s="146">
        <f t="shared" si="20"/>
        <v>887123</v>
      </c>
      <c r="P403" s="119"/>
    </row>
    <row r="404" spans="2:16" ht="26.25" customHeight="1" x14ac:dyDescent="0.25">
      <c r="B404" s="86" t="s">
        <v>766</v>
      </c>
      <c r="C404" s="87" t="s">
        <v>767</v>
      </c>
      <c r="D404" s="82" t="s">
        <v>94</v>
      </c>
      <c r="E404" s="83">
        <v>10</v>
      </c>
      <c r="F404" s="88">
        <v>10302</v>
      </c>
      <c r="G404" s="89">
        <f t="shared" si="18"/>
        <v>103020</v>
      </c>
      <c r="H404" s="209"/>
      <c r="I404" s="209"/>
      <c r="J404" s="213" t="str">
        <f t="array" ref="J404:M404">_xlfn.XLOOKUP(C404,'ESAP NEIVA FASE II UNIFICADO'!$C$6:$C$720,'ESAP NEIVA FASE II UNIFICADO'!$C$6:$F$720,"NO ESTA")</f>
        <v>SUMINISTRO E INSTALACION DE AISLAMIENTO TERMICO TUBERIA Y ACCESORIOS RDE 21 Ø DIAMETRO  1"</v>
      </c>
      <c r="K404" t="str">
        <v>ML</v>
      </c>
      <c r="L404">
        <v>28.799999999999997</v>
      </c>
      <c r="M404">
        <v>10599</v>
      </c>
      <c r="N404" s="115">
        <f t="shared" si="19"/>
        <v>10599</v>
      </c>
      <c r="O404" s="146">
        <f t="shared" si="20"/>
        <v>105990</v>
      </c>
      <c r="P404" s="119"/>
    </row>
    <row r="405" spans="2:16" ht="26.25" customHeight="1" x14ac:dyDescent="0.25">
      <c r="B405" s="86" t="s">
        <v>768</v>
      </c>
      <c r="C405" s="87" t="s">
        <v>769</v>
      </c>
      <c r="D405" s="82" t="s">
        <v>94</v>
      </c>
      <c r="E405" s="83">
        <v>12</v>
      </c>
      <c r="F405" s="88">
        <v>8992</v>
      </c>
      <c r="G405" s="89">
        <f t="shared" si="18"/>
        <v>107904</v>
      </c>
      <c r="H405" s="209"/>
      <c r="I405" s="209"/>
      <c r="J405" s="213" t="str">
        <f t="array" ref="J405:M405">_xlfn.XLOOKUP(C405,'ESAP NEIVA FASE II UNIFICADO'!$C$6:$C$720,'ESAP NEIVA FASE II UNIFICADO'!$C$6:$F$720,"NO ESTA")</f>
        <v>SUMINISTRO E INSTALACION DE AISLAMIENTO TERMICO TUBERIA Y ACCESORIOS RDE 21 Ø DIAMETRO  3/4"</v>
      </c>
      <c r="K405" t="str">
        <v>ML</v>
      </c>
      <c r="L405">
        <v>32</v>
      </c>
      <c r="M405">
        <v>9250</v>
      </c>
      <c r="N405" s="115">
        <f t="shared" si="19"/>
        <v>9250</v>
      </c>
      <c r="O405" s="146">
        <f t="shared" si="20"/>
        <v>111000</v>
      </c>
      <c r="P405" s="119"/>
    </row>
    <row r="406" spans="2:16" ht="15" customHeight="1" x14ac:dyDescent="0.25">
      <c r="B406" s="80" t="s">
        <v>770</v>
      </c>
      <c r="C406" s="81" t="s">
        <v>771</v>
      </c>
      <c r="D406" s="82"/>
      <c r="E406" s="83"/>
      <c r="F406" s="90">
        <v>0</v>
      </c>
      <c r="G406" s="89">
        <f t="shared" si="18"/>
        <v>0</v>
      </c>
      <c r="H406" s="209"/>
      <c r="I406" s="209"/>
      <c r="J406" s="213" t="str">
        <f t="array" ref="J406">_xlfn.XLOOKUP(C406,'ESAP NEIVA FASE II UNIFICADO'!$C$6:$C$720,'ESAP NEIVA FASE II UNIFICADO'!$C$6:$F$720,"NO ESTA")</f>
        <v>NO ESTA</v>
      </c>
      <c r="N406" s="115">
        <f t="shared" si="19"/>
        <v>0</v>
      </c>
      <c r="O406" s="146">
        <f t="shared" si="20"/>
        <v>0</v>
      </c>
      <c r="P406" s="119"/>
    </row>
    <row r="407" spans="2:16" ht="27" customHeight="1" x14ac:dyDescent="0.25">
      <c r="B407" s="86" t="s">
        <v>772</v>
      </c>
      <c r="C407" s="87" t="s">
        <v>773</v>
      </c>
      <c r="D407" s="82" t="s">
        <v>16</v>
      </c>
      <c r="E407" s="83">
        <v>1</v>
      </c>
      <c r="F407" s="88">
        <v>280467</v>
      </c>
      <c r="G407" s="89">
        <f t="shared" si="18"/>
        <v>280467</v>
      </c>
      <c r="H407" s="209"/>
      <c r="I407" s="209"/>
      <c r="J407" s="213" t="str">
        <f t="array" ref="J407:M407">_xlfn.XLOOKUP(C407,'ESAP NEIVA FASE II UNIFICADO'!$C$6:$C$720,'ESAP NEIVA FASE II UNIFICADO'!$C$6:$F$720,"NO ESTA")</f>
        <v>SUMINISTRO E INSTALACION MANOMETROS 4", INCLUYE GRIFOS DE PRUEBA Y ACCESORIOS</v>
      </c>
      <c r="K407" t="str">
        <v>UND</v>
      </c>
      <c r="L407">
        <v>3</v>
      </c>
      <c r="M407">
        <v>288532</v>
      </c>
      <c r="N407" s="115">
        <f t="shared" si="19"/>
        <v>288532</v>
      </c>
      <c r="O407" s="146">
        <f t="shared" si="20"/>
        <v>288532</v>
      </c>
      <c r="P407" s="119"/>
    </row>
    <row r="408" spans="2:16" ht="15" customHeight="1" x14ac:dyDescent="0.25">
      <c r="B408" s="86" t="s">
        <v>774</v>
      </c>
      <c r="C408" s="87" t="s">
        <v>775</v>
      </c>
      <c r="D408" s="82" t="s">
        <v>16</v>
      </c>
      <c r="E408" s="83">
        <v>1</v>
      </c>
      <c r="F408" s="88">
        <v>539674</v>
      </c>
      <c r="G408" s="89">
        <f t="shared" si="18"/>
        <v>539674</v>
      </c>
      <c r="H408" s="209"/>
      <c r="I408" s="209"/>
      <c r="J408" s="213" t="str">
        <f t="array" ref="J408:M408">_xlfn.XLOOKUP(C408,'ESAP NEIVA FASE II UNIFICADO'!$C$6:$C$720,'ESAP NEIVA FASE II UNIFICADO'!$C$6:$F$720,"NO ESTA")</f>
        <v>SUMINISTRO E INSTALACION TERMOMETROS 0-100F DE COLUMNA 7"</v>
      </c>
      <c r="K408" t="str">
        <v>UND</v>
      </c>
      <c r="L408">
        <v>3</v>
      </c>
      <c r="M408">
        <v>555192</v>
      </c>
      <c r="N408" s="115">
        <f t="shared" si="19"/>
        <v>555192</v>
      </c>
      <c r="O408" s="146">
        <f t="shared" si="20"/>
        <v>555192</v>
      </c>
      <c r="P408" s="119"/>
    </row>
    <row r="409" spans="2:16" ht="15" customHeight="1" x14ac:dyDescent="0.25">
      <c r="B409" s="86" t="s">
        <v>776</v>
      </c>
      <c r="C409" s="87" t="s">
        <v>777</v>
      </c>
      <c r="D409" s="82" t="s">
        <v>16</v>
      </c>
      <c r="E409" s="83">
        <v>1</v>
      </c>
      <c r="F409" s="88">
        <v>190013</v>
      </c>
      <c r="G409" s="89">
        <f t="shared" si="18"/>
        <v>190013</v>
      </c>
      <c r="H409" s="209"/>
      <c r="I409" s="209"/>
      <c r="J409" s="213" t="str">
        <f t="array" ref="J409:M409">_xlfn.XLOOKUP(C409,'ESAP NEIVA FASE II UNIFICADO'!$C$6:$C$720,'ESAP NEIVA FASE II UNIFICADO'!$C$6:$F$720,"NO ESTA")</f>
        <v>SUMINISTRO E INSTALACION ELIMINADORES DE AIRE</v>
      </c>
      <c r="K409" t="str">
        <v>UND</v>
      </c>
      <c r="L409">
        <v>3</v>
      </c>
      <c r="M409">
        <v>195476</v>
      </c>
      <c r="N409" s="115">
        <f t="shared" si="19"/>
        <v>195476</v>
      </c>
      <c r="O409" s="146">
        <f t="shared" si="20"/>
        <v>195476</v>
      </c>
      <c r="P409" s="119"/>
    </row>
    <row r="410" spans="2:16" ht="15" customHeight="1" x14ac:dyDescent="0.25">
      <c r="B410" s="86" t="s">
        <v>778</v>
      </c>
      <c r="C410" s="87" t="s">
        <v>779</v>
      </c>
      <c r="D410" s="82" t="s">
        <v>16</v>
      </c>
      <c r="E410" s="83">
        <v>1</v>
      </c>
      <c r="F410" s="88">
        <v>439771</v>
      </c>
      <c r="G410" s="89">
        <f t="shared" si="18"/>
        <v>439771</v>
      </c>
      <c r="H410" s="209"/>
      <c r="I410" s="209"/>
      <c r="J410" s="213" t="str">
        <f t="array" ref="J410:M410">_xlfn.XLOOKUP(C410,'ESAP NEIVA FASE II UNIFICADO'!$C$6:$C$720,'ESAP NEIVA FASE II UNIFICADO'!$C$6:$F$720,"NO ESTA")</f>
        <v xml:space="preserve">SUMINISTRO E INSTALACION TANQUE DE EXPANSIÓN PVC CON VALVULA DE NIVEL </v>
      </c>
      <c r="K410" t="str">
        <v>UND</v>
      </c>
      <c r="L410">
        <v>1</v>
      </c>
      <c r="M410">
        <v>452416</v>
      </c>
      <c r="N410" s="115">
        <f t="shared" si="19"/>
        <v>452416</v>
      </c>
      <c r="O410" s="146">
        <f t="shared" si="20"/>
        <v>452416</v>
      </c>
      <c r="P410" s="119"/>
    </row>
    <row r="411" spans="2:16" ht="15" customHeight="1" x14ac:dyDescent="0.25">
      <c r="B411" s="86" t="s">
        <v>780</v>
      </c>
      <c r="C411" s="87" t="s">
        <v>781</v>
      </c>
      <c r="D411" s="82" t="s">
        <v>16</v>
      </c>
      <c r="E411" s="83">
        <v>1</v>
      </c>
      <c r="F411" s="88">
        <v>2269116</v>
      </c>
      <c r="G411" s="89">
        <f t="shared" si="18"/>
        <v>2269116</v>
      </c>
      <c r="H411" s="209"/>
      <c r="I411" s="209"/>
      <c r="J411" s="213" t="str">
        <f t="array" ref="J411:M411">_xlfn.XLOOKUP(C411,'ESAP NEIVA FASE II UNIFICADO'!$C$6:$C$720,'ESAP NEIVA FASE II UNIFICADO'!$C$6:$F$720,"NO ESTA")</f>
        <v>SUMINISTRO E INSTALACION VALVULAS MARIPOSA DE 4" SUCCIÓN DE BOMBA</v>
      </c>
      <c r="K411" t="str">
        <v>UND</v>
      </c>
      <c r="L411">
        <v>3</v>
      </c>
      <c r="M411">
        <v>2334368</v>
      </c>
      <c r="N411" s="115">
        <f t="shared" si="19"/>
        <v>2334368</v>
      </c>
      <c r="O411" s="146">
        <f t="shared" si="20"/>
        <v>2334368</v>
      </c>
      <c r="P411" s="119"/>
    </row>
    <row r="412" spans="2:16" ht="15" customHeight="1" x14ac:dyDescent="0.25">
      <c r="B412" s="86" t="s">
        <v>782</v>
      </c>
      <c r="C412" s="87" t="s">
        <v>783</v>
      </c>
      <c r="D412" s="82" t="s">
        <v>16</v>
      </c>
      <c r="E412" s="83">
        <v>1</v>
      </c>
      <c r="F412" s="88">
        <v>2269116</v>
      </c>
      <c r="G412" s="89">
        <f t="shared" si="18"/>
        <v>2269116</v>
      </c>
      <c r="H412" s="209"/>
      <c r="I412" s="209"/>
      <c r="J412" s="213" t="str">
        <f t="array" ref="J412:M412">_xlfn.XLOOKUP(C412,'ESAP NEIVA FASE II UNIFICADO'!$C$6:$C$720,'ESAP NEIVA FASE II UNIFICADO'!$C$6:$F$720,"NO ESTA")</f>
        <v>SUMINISTRO E INSTALACION VALVULAS MARIPOSA DE 4" DESCARGA DE BOMBA</v>
      </c>
      <c r="K412" t="str">
        <v>UND</v>
      </c>
      <c r="L412">
        <v>3</v>
      </c>
      <c r="M412">
        <v>2334368</v>
      </c>
      <c r="N412" s="115">
        <f t="shared" si="19"/>
        <v>2334368</v>
      </c>
      <c r="O412" s="146">
        <f t="shared" si="20"/>
        <v>2334368</v>
      </c>
      <c r="P412" s="119"/>
    </row>
    <row r="413" spans="2:16" ht="15" customHeight="1" x14ac:dyDescent="0.25">
      <c r="B413" s="86" t="s">
        <v>784</v>
      </c>
      <c r="C413" s="87" t="s">
        <v>785</v>
      </c>
      <c r="D413" s="82" t="s">
        <v>16</v>
      </c>
      <c r="E413" s="83">
        <v>1</v>
      </c>
      <c r="F413" s="88">
        <v>1198909</v>
      </c>
      <c r="G413" s="89">
        <f t="shared" si="18"/>
        <v>1198909</v>
      </c>
      <c r="H413" s="209"/>
      <c r="I413" s="209"/>
      <c r="J413" s="213" t="str">
        <f t="array" ref="J413:M413">_xlfn.XLOOKUP(C413,'ESAP NEIVA FASE II UNIFICADO'!$C$6:$C$720,'ESAP NEIVA FASE II UNIFICADO'!$C$6:$F$720,"NO ESTA")</f>
        <v>SUMINISTRO E INSTALACION VALVULA TRIPLE - FLOTREX</v>
      </c>
      <c r="K413" t="str">
        <v>UND</v>
      </c>
      <c r="L413">
        <v>1</v>
      </c>
      <c r="M413">
        <v>1233385</v>
      </c>
      <c r="N413" s="115">
        <f t="shared" si="19"/>
        <v>1233385</v>
      </c>
      <c r="O413" s="146">
        <f t="shared" si="20"/>
        <v>1233385</v>
      </c>
      <c r="P413" s="119"/>
    </row>
    <row r="414" spans="2:16" ht="15" customHeight="1" x14ac:dyDescent="0.25">
      <c r="B414" s="86" t="s">
        <v>786</v>
      </c>
      <c r="C414" s="87" t="s">
        <v>787</v>
      </c>
      <c r="D414" s="82" t="s">
        <v>16</v>
      </c>
      <c r="E414" s="83">
        <v>1</v>
      </c>
      <c r="F414" s="88">
        <v>353019</v>
      </c>
      <c r="G414" s="89">
        <f t="shared" si="18"/>
        <v>353019</v>
      </c>
      <c r="H414" s="209"/>
      <c r="I414" s="209"/>
      <c r="J414" s="213" t="str">
        <f t="array" ref="J414:M414">_xlfn.XLOOKUP(C414,'ESAP NEIVA FASE II UNIFICADO'!$C$6:$C$720,'ESAP NEIVA FASE II UNIFICADO'!$C$6:$F$720,"NO ESTA")</f>
        <v>SUMINISTRO E INSTALACION VALVULA CORTINA 3" 125PSI - PISO 3</v>
      </c>
      <c r="K414" t="str">
        <v>UND</v>
      </c>
      <c r="L414">
        <v>0</v>
      </c>
      <c r="M414">
        <v>363171</v>
      </c>
      <c r="N414" s="115">
        <f t="shared" si="19"/>
        <v>363171</v>
      </c>
      <c r="O414" s="146">
        <f t="shared" si="20"/>
        <v>363171</v>
      </c>
      <c r="P414" s="119"/>
    </row>
    <row r="415" spans="2:16" ht="15" customHeight="1" x14ac:dyDescent="0.25">
      <c r="B415" s="86" t="s">
        <v>788</v>
      </c>
      <c r="C415" s="87" t="s">
        <v>789</v>
      </c>
      <c r="D415" s="82" t="s">
        <v>16</v>
      </c>
      <c r="E415" s="83">
        <v>1</v>
      </c>
      <c r="F415" s="88">
        <v>493508</v>
      </c>
      <c r="G415" s="89">
        <f t="shared" si="18"/>
        <v>493508</v>
      </c>
      <c r="H415" s="209"/>
      <c r="I415" s="209"/>
      <c r="J415" s="213" t="str">
        <f t="array" ref="J415:M415">_xlfn.XLOOKUP(C415,'ESAP NEIVA FASE II UNIFICADO'!$C$6:$C$720,'ESAP NEIVA FASE II UNIFICADO'!$C$6:$F$720,"NO ESTA")</f>
        <v>SUMINISTRO E INSTALACION VALVULA GLOBO 3" 125PSI - PISO 3</v>
      </c>
      <c r="K415" t="str">
        <v>UND</v>
      </c>
      <c r="L415">
        <v>0</v>
      </c>
      <c r="M415">
        <v>507699</v>
      </c>
      <c r="N415" s="115">
        <f t="shared" si="19"/>
        <v>507699</v>
      </c>
      <c r="O415" s="146">
        <f t="shared" si="20"/>
        <v>507699</v>
      </c>
      <c r="P415" s="119"/>
    </row>
    <row r="416" spans="2:16" ht="15" customHeight="1" x14ac:dyDescent="0.25">
      <c r="B416" s="86" t="s">
        <v>790</v>
      </c>
      <c r="C416" s="87" t="s">
        <v>791</v>
      </c>
      <c r="D416" s="82" t="s">
        <v>16</v>
      </c>
      <c r="E416" s="83">
        <v>2</v>
      </c>
      <c r="F416" s="88">
        <v>313682</v>
      </c>
      <c r="G416" s="89">
        <f t="shared" si="18"/>
        <v>627364</v>
      </c>
      <c r="H416" s="209"/>
      <c r="I416" s="209"/>
      <c r="J416" s="213" t="str">
        <f t="array" ref="J416:M416">_xlfn.XLOOKUP(C416,'ESAP NEIVA FASE II UNIFICADO'!$C$6:$C$720,'ESAP NEIVA FASE II UNIFICADO'!$C$6:$F$720,"NO ESTA")</f>
        <v>SUMINISTRO E INSTALACION VALVULAS CORTINA 2 1/2" 125PSI - PISOS 2,3,4</v>
      </c>
      <c r="K416" t="str">
        <v>UND</v>
      </c>
      <c r="L416">
        <v>5</v>
      </c>
      <c r="M416">
        <v>322703</v>
      </c>
      <c r="N416" s="115">
        <f t="shared" si="19"/>
        <v>322703</v>
      </c>
      <c r="O416" s="146">
        <f t="shared" si="20"/>
        <v>645406</v>
      </c>
      <c r="P416" s="119"/>
    </row>
    <row r="417" spans="2:16" ht="15" customHeight="1" x14ac:dyDescent="0.25">
      <c r="B417" s="86" t="s">
        <v>792</v>
      </c>
      <c r="C417" s="87" t="s">
        <v>793</v>
      </c>
      <c r="D417" s="82" t="s">
        <v>16</v>
      </c>
      <c r="E417" s="83">
        <v>2</v>
      </c>
      <c r="F417" s="88">
        <v>442558</v>
      </c>
      <c r="G417" s="89">
        <f t="shared" si="18"/>
        <v>885116</v>
      </c>
      <c r="H417" s="209"/>
      <c r="I417" s="209"/>
      <c r="J417" s="213" t="str">
        <f t="array" ref="J417:M417">_xlfn.XLOOKUP(C417,'ESAP NEIVA FASE II UNIFICADO'!$C$6:$C$720,'ESAP NEIVA FASE II UNIFICADO'!$C$6:$F$720,"NO ESTA")</f>
        <v>SUMINISTRO E INSTALACION VALVULAS GLOBO 2 1/2" 125PSI - PISOS 2,3,4</v>
      </c>
      <c r="K417" t="str">
        <v>UND</v>
      </c>
      <c r="L417">
        <v>5</v>
      </c>
      <c r="M417">
        <v>455284</v>
      </c>
      <c r="N417" s="115">
        <f t="shared" si="19"/>
        <v>455284</v>
      </c>
      <c r="O417" s="146">
        <f t="shared" si="20"/>
        <v>910568</v>
      </c>
      <c r="P417" s="119"/>
    </row>
    <row r="418" spans="2:16" ht="15" customHeight="1" x14ac:dyDescent="0.25">
      <c r="B418" s="86" t="s">
        <v>794</v>
      </c>
      <c r="C418" s="87" t="s">
        <v>795</v>
      </c>
      <c r="D418" s="82" t="s">
        <v>16</v>
      </c>
      <c r="E418" s="83">
        <v>1</v>
      </c>
      <c r="F418" s="88">
        <v>232011</v>
      </c>
      <c r="G418" s="89">
        <f t="shared" si="18"/>
        <v>232011</v>
      </c>
      <c r="H418" s="209"/>
      <c r="I418" s="209"/>
      <c r="J418" s="213" t="str">
        <f t="array" ref="J418:M418">_xlfn.XLOOKUP(C418,'ESAP NEIVA FASE II UNIFICADO'!$C$6:$C$720,'ESAP NEIVA FASE II UNIFICADO'!$C$6:$F$720,"NO ESTA")</f>
        <v>SUMINISTRO E INSTALACION VALVULAS CORTINA 2" 125PSI - PISO 1,4</v>
      </c>
      <c r="K418" t="str">
        <v>UND</v>
      </c>
      <c r="L418">
        <v>1</v>
      </c>
      <c r="M418">
        <v>238683</v>
      </c>
      <c r="N418" s="115">
        <f t="shared" si="19"/>
        <v>238683</v>
      </c>
      <c r="O418" s="146">
        <f t="shared" si="20"/>
        <v>238683</v>
      </c>
      <c r="P418" s="119"/>
    </row>
    <row r="419" spans="2:16" ht="15" customHeight="1" x14ac:dyDescent="0.25">
      <c r="B419" s="86" t="s">
        <v>796</v>
      </c>
      <c r="C419" s="87" t="s">
        <v>797</v>
      </c>
      <c r="D419" s="82" t="s">
        <v>16</v>
      </c>
      <c r="E419" s="83">
        <v>1</v>
      </c>
      <c r="F419" s="88">
        <v>252880</v>
      </c>
      <c r="G419" s="89">
        <f t="shared" si="18"/>
        <v>252880</v>
      </c>
      <c r="H419" s="209"/>
      <c r="I419" s="209"/>
      <c r="J419" s="213" t="str">
        <f t="array" ref="J419:M419">_xlfn.XLOOKUP(C419,'ESAP NEIVA FASE II UNIFICADO'!$C$6:$C$720,'ESAP NEIVA FASE II UNIFICADO'!$C$6:$F$720,"NO ESTA")</f>
        <v>SUMINISTRO E INSTALACION VALVULAS GLOBO 2" 125PSI - PISO 1,4</v>
      </c>
      <c r="K419" t="str">
        <v>UND</v>
      </c>
      <c r="L419">
        <v>1</v>
      </c>
      <c r="M419">
        <v>260152</v>
      </c>
      <c r="N419" s="115">
        <f t="shared" si="19"/>
        <v>260152</v>
      </c>
      <c r="O419" s="146">
        <f t="shared" si="20"/>
        <v>260152</v>
      </c>
      <c r="P419" s="119"/>
    </row>
    <row r="420" spans="2:16" ht="15" customHeight="1" x14ac:dyDescent="0.25">
      <c r="B420" s="86" t="s">
        <v>798</v>
      </c>
      <c r="C420" s="87" t="s">
        <v>799</v>
      </c>
      <c r="D420" s="82" t="s">
        <v>16</v>
      </c>
      <c r="E420" s="83">
        <v>1</v>
      </c>
      <c r="F420" s="88">
        <v>568435</v>
      </c>
      <c r="G420" s="89">
        <f t="shared" si="18"/>
        <v>568435</v>
      </c>
      <c r="H420" s="209"/>
      <c r="I420" s="209"/>
      <c r="J420" s="213" t="str">
        <f t="array" ref="J420:M420">_xlfn.XLOOKUP(C420,'ESAP NEIVA FASE II UNIFICADO'!$C$6:$C$720,'ESAP NEIVA FASE II UNIFICADO'!$C$6:$F$720,"NO ESTA")</f>
        <v>SUMINISTRO E INSTALACION FILTRO / STRAINER incluye SOPORTERIA</v>
      </c>
      <c r="K420" t="str">
        <v>UND</v>
      </c>
      <c r="L420">
        <v>1</v>
      </c>
      <c r="M420">
        <v>584781</v>
      </c>
      <c r="N420" s="115">
        <f t="shared" si="19"/>
        <v>584781</v>
      </c>
      <c r="O420" s="146">
        <f t="shared" si="20"/>
        <v>584781</v>
      </c>
      <c r="P420" s="119"/>
    </row>
    <row r="421" spans="2:16" ht="24" customHeight="1" x14ac:dyDescent="0.25">
      <c r="B421" s="86" t="s">
        <v>800</v>
      </c>
      <c r="C421" s="87" t="s">
        <v>801</v>
      </c>
      <c r="D421" s="82" t="s">
        <v>16</v>
      </c>
      <c r="E421" s="83">
        <v>1</v>
      </c>
      <c r="F421" s="88">
        <v>3123399</v>
      </c>
      <c r="G421" s="89">
        <f t="shared" si="18"/>
        <v>3123399</v>
      </c>
      <c r="H421" s="209"/>
      <c r="I421" s="209"/>
      <c r="J421" s="213" t="str">
        <f t="array" ref="J421:M421">_xlfn.XLOOKUP(C421,'ESAP NEIVA FASE II UNIFICADO'!$C$6:$C$720,'ESAP NEIVA FASE II UNIFICADO'!$C$6:$F$720,"NO ESTA")</f>
        <v>SUMINISTRO E INSTALACION FLANCHES, CABEZALES Y ACCESORIOS VARIOS ASOCIADOS</v>
      </c>
      <c r="K421" t="str">
        <v>UND</v>
      </c>
      <c r="L421">
        <v>1</v>
      </c>
      <c r="M421">
        <v>3213217</v>
      </c>
      <c r="N421" s="115">
        <f t="shared" si="19"/>
        <v>3213217</v>
      </c>
      <c r="O421" s="146">
        <f t="shared" si="20"/>
        <v>3213217</v>
      </c>
      <c r="P421" s="119"/>
    </row>
    <row r="422" spans="2:16" ht="15" customHeight="1" x14ac:dyDescent="0.25">
      <c r="B422" s="86" t="s">
        <v>802</v>
      </c>
      <c r="C422" s="87" t="s">
        <v>803</v>
      </c>
      <c r="D422" s="82" t="s">
        <v>16</v>
      </c>
      <c r="E422" s="83">
        <v>2</v>
      </c>
      <c r="F422" s="88">
        <v>977944</v>
      </c>
      <c r="G422" s="89">
        <f t="shared" si="18"/>
        <v>1955888</v>
      </c>
      <c r="H422" s="209"/>
      <c r="I422" s="209"/>
      <c r="J422" s="213" t="str">
        <f t="array" ref="J422:M422">_xlfn.XLOOKUP(C422,'ESAP NEIVA FASE II UNIFICADO'!$C$6:$C$720,'ESAP NEIVA FASE II UNIFICADO'!$C$6:$F$720,"NO ESTA")</f>
        <v>SUMINISTRO E INSTALACION JUNTAS FLEXIBLES CHILLER 4"</v>
      </c>
      <c r="K422" t="str">
        <v>UND</v>
      </c>
      <c r="L422">
        <v>2</v>
      </c>
      <c r="M422">
        <v>1006067</v>
      </c>
      <c r="N422" s="115">
        <f t="shared" si="19"/>
        <v>1006067</v>
      </c>
      <c r="O422" s="146">
        <f t="shared" si="20"/>
        <v>2012134</v>
      </c>
      <c r="P422" s="119"/>
    </row>
    <row r="423" spans="2:16" ht="15" customHeight="1" x14ac:dyDescent="0.25">
      <c r="B423" s="86" t="s">
        <v>804</v>
      </c>
      <c r="C423" s="87" t="s">
        <v>805</v>
      </c>
      <c r="D423" s="82" t="s">
        <v>16</v>
      </c>
      <c r="E423" s="83">
        <v>2</v>
      </c>
      <c r="F423" s="88">
        <v>934074</v>
      </c>
      <c r="G423" s="89">
        <f t="shared" si="18"/>
        <v>1868148</v>
      </c>
      <c r="H423" s="209"/>
      <c r="I423" s="209"/>
      <c r="J423" s="213" t="str">
        <f t="array" ref="J423:M423">_xlfn.XLOOKUP(C423,'ESAP NEIVA FASE II UNIFICADO'!$C$6:$C$720,'ESAP NEIVA FASE II UNIFICADO'!$C$6:$F$720,"NO ESTA")</f>
        <v>SUMINISTRO E INSTALACION JUNTAS FLEXIBLES BOMBA VERTICAL 3"</v>
      </c>
      <c r="K423" t="str">
        <v>UND</v>
      </c>
      <c r="L423">
        <v>2</v>
      </c>
      <c r="M423">
        <v>960934</v>
      </c>
      <c r="N423" s="115">
        <f t="shared" si="19"/>
        <v>960934</v>
      </c>
      <c r="O423" s="146">
        <f t="shared" si="20"/>
        <v>1921868</v>
      </c>
      <c r="P423" s="119"/>
    </row>
    <row r="424" spans="2:16" ht="15" customHeight="1" x14ac:dyDescent="0.25">
      <c r="B424" s="86" t="s">
        <v>806</v>
      </c>
      <c r="C424" s="87" t="s">
        <v>807</v>
      </c>
      <c r="D424" s="82" t="s">
        <v>16</v>
      </c>
      <c r="E424" s="83">
        <v>1</v>
      </c>
      <c r="F424" s="88">
        <v>247012</v>
      </c>
      <c r="G424" s="89">
        <f t="shared" si="18"/>
        <v>247012</v>
      </c>
      <c r="H424" s="209"/>
      <c r="I424" s="209"/>
      <c r="J424" s="213" t="str">
        <f t="array" ref="J424:M424">_xlfn.XLOOKUP(C424,'ESAP NEIVA FASE II UNIFICADO'!$C$6:$C$720,'ESAP NEIVA FASE II UNIFICADO'!$C$6:$F$720,"NO ESTA")</f>
        <v>SUMINISTRO E INSTALACION VALVULA DE CORTINA 2" FC 150 PSI</v>
      </c>
      <c r="K424" t="str">
        <v>UND</v>
      </c>
      <c r="L424">
        <v>0</v>
      </c>
      <c r="M424">
        <v>254114</v>
      </c>
      <c r="N424" s="115">
        <f t="shared" si="19"/>
        <v>254114</v>
      </c>
      <c r="O424" s="146">
        <f t="shared" si="20"/>
        <v>254114</v>
      </c>
      <c r="P424" s="119"/>
    </row>
    <row r="425" spans="2:16" ht="15" customHeight="1" x14ac:dyDescent="0.25">
      <c r="B425" s="86" t="s">
        <v>808</v>
      </c>
      <c r="C425" s="87" t="s">
        <v>809</v>
      </c>
      <c r="D425" s="82" t="s">
        <v>16</v>
      </c>
      <c r="E425" s="83">
        <v>1</v>
      </c>
      <c r="F425" s="88">
        <v>274921</v>
      </c>
      <c r="G425" s="89">
        <f t="shared" si="18"/>
        <v>274921</v>
      </c>
      <c r="H425" s="209"/>
      <c r="I425" s="209"/>
      <c r="J425" s="213" t="str">
        <f t="array" ref="J425:M425">_xlfn.XLOOKUP(C425,'ESAP NEIVA FASE II UNIFICADO'!$C$6:$C$720,'ESAP NEIVA FASE II UNIFICADO'!$C$6:$F$720,"NO ESTA")</f>
        <v>SUMINISTRO E INSTALACION VALVULA DE GLOBO 2" FC 150 PSI</v>
      </c>
      <c r="K425" t="str">
        <v>UND</v>
      </c>
      <c r="L425">
        <v>0</v>
      </c>
      <c r="M425">
        <v>282827</v>
      </c>
      <c r="N425" s="115">
        <f t="shared" si="19"/>
        <v>282827</v>
      </c>
      <c r="O425" s="146">
        <f t="shared" si="20"/>
        <v>282827</v>
      </c>
      <c r="P425" s="119"/>
    </row>
    <row r="426" spans="2:16" ht="15" customHeight="1" x14ac:dyDescent="0.25">
      <c r="B426" s="86" t="s">
        <v>810</v>
      </c>
      <c r="C426" s="87" t="s">
        <v>811</v>
      </c>
      <c r="D426" s="82" t="s">
        <v>16</v>
      </c>
      <c r="E426" s="83">
        <v>6</v>
      </c>
      <c r="F426" s="88">
        <v>208744</v>
      </c>
      <c r="G426" s="89">
        <f t="shared" si="18"/>
        <v>1252464</v>
      </c>
      <c r="H426" s="209"/>
      <c r="I426" s="209"/>
      <c r="J426" s="213" t="str">
        <f t="array" ref="J426:M426">_xlfn.XLOOKUP(C426,'ESAP NEIVA FASE II UNIFICADO'!$C$6:$C$720,'ESAP NEIVA FASE II UNIFICADO'!$C$6:$F$720,"NO ESTA")</f>
        <v>SUMINISTRO E INSTALACION VALVULAS DE CORTINA 1 1/4" FC 125 PSI</v>
      </c>
      <c r="K426" t="str">
        <v>UND</v>
      </c>
      <c r="L426">
        <v>17</v>
      </c>
      <c r="M426">
        <v>214747</v>
      </c>
      <c r="N426" s="115">
        <f t="shared" si="19"/>
        <v>214747</v>
      </c>
      <c r="O426" s="146">
        <f t="shared" si="20"/>
        <v>1288482</v>
      </c>
      <c r="P426" s="119"/>
    </row>
    <row r="427" spans="2:16" ht="15" customHeight="1" x14ac:dyDescent="0.25">
      <c r="B427" s="86" t="s">
        <v>812</v>
      </c>
      <c r="C427" s="87" t="s">
        <v>813</v>
      </c>
      <c r="D427" s="82" t="s">
        <v>16</v>
      </c>
      <c r="E427" s="83">
        <v>6</v>
      </c>
      <c r="F427" s="88">
        <v>315141</v>
      </c>
      <c r="G427" s="89">
        <f t="shared" si="18"/>
        <v>1890846</v>
      </c>
      <c r="H427" s="209"/>
      <c r="I427" s="209"/>
      <c r="J427" s="213" t="str">
        <f t="array" ref="J427:M427">_xlfn.XLOOKUP(C427,'ESAP NEIVA FASE II UNIFICADO'!$C$6:$C$720,'ESAP NEIVA FASE II UNIFICADO'!$C$6:$F$720,"NO ESTA")</f>
        <v>SUMINISTRO E INSTALACION VALVULAS DE GLOBO 1 1/4" FC 125 PSI</v>
      </c>
      <c r="K427" t="str">
        <v>UND</v>
      </c>
      <c r="L427">
        <v>17</v>
      </c>
      <c r="M427">
        <v>324203</v>
      </c>
      <c r="N427" s="115">
        <f t="shared" si="19"/>
        <v>324203</v>
      </c>
      <c r="O427" s="146">
        <f t="shared" si="20"/>
        <v>1945218</v>
      </c>
      <c r="P427" s="119"/>
    </row>
    <row r="428" spans="2:16" ht="15" customHeight="1" x14ac:dyDescent="0.25">
      <c r="B428" s="86" t="s">
        <v>814</v>
      </c>
      <c r="C428" s="87" t="s">
        <v>815</v>
      </c>
      <c r="D428" s="82" t="s">
        <v>16</v>
      </c>
      <c r="E428" s="83">
        <v>1</v>
      </c>
      <c r="F428" s="88">
        <v>227476</v>
      </c>
      <c r="G428" s="89">
        <f t="shared" si="18"/>
        <v>227476</v>
      </c>
      <c r="H428" s="209"/>
      <c r="I428" s="209"/>
      <c r="J428" s="213" t="str">
        <f t="array" ref="J428:M428">_xlfn.XLOOKUP(C428,'ESAP NEIVA FASE II UNIFICADO'!$C$6:$C$720,'ESAP NEIVA FASE II UNIFICADO'!$C$6:$F$720,"NO ESTA")</f>
        <v>SUMINISTRO E INSTALACION VALVULAS DE CORTINA 1 1/2" FC 125-150 PSI</v>
      </c>
      <c r="K428" t="str">
        <v>UND</v>
      </c>
      <c r="L428">
        <v>1</v>
      </c>
      <c r="M428">
        <v>234017</v>
      </c>
      <c r="N428" s="115">
        <f t="shared" si="19"/>
        <v>234017</v>
      </c>
      <c r="O428" s="146">
        <f t="shared" si="20"/>
        <v>234017</v>
      </c>
      <c r="P428" s="119"/>
    </row>
    <row r="429" spans="2:16" ht="15" customHeight="1" x14ac:dyDescent="0.25">
      <c r="B429" s="86" t="s">
        <v>816</v>
      </c>
      <c r="C429" s="87" t="s">
        <v>817</v>
      </c>
      <c r="D429" s="82" t="s">
        <v>16</v>
      </c>
      <c r="E429" s="83">
        <v>1</v>
      </c>
      <c r="F429" s="88">
        <v>327380</v>
      </c>
      <c r="G429" s="89">
        <f t="shared" si="18"/>
        <v>327380</v>
      </c>
      <c r="H429" s="209"/>
      <c r="I429" s="209"/>
      <c r="J429" s="213" t="str">
        <f t="array" ref="J429:M429">_xlfn.XLOOKUP(C429,'ESAP NEIVA FASE II UNIFICADO'!$C$6:$C$720,'ESAP NEIVA FASE II UNIFICADO'!$C$6:$F$720,"NO ESTA")</f>
        <v>SUMINISTRO E INSTALACIONVALVULAS DE GLOBO 1   1/2" FC 125-150 PSI</v>
      </c>
      <c r="K429" t="str">
        <v>UND</v>
      </c>
      <c r="L429">
        <v>1</v>
      </c>
      <c r="M429">
        <v>336793</v>
      </c>
      <c r="N429" s="115">
        <f t="shared" si="19"/>
        <v>336793</v>
      </c>
      <c r="O429" s="146">
        <f t="shared" si="20"/>
        <v>336793</v>
      </c>
      <c r="P429" s="119"/>
    </row>
    <row r="430" spans="2:16" ht="15" customHeight="1" x14ac:dyDescent="0.25">
      <c r="B430" s="86" t="s">
        <v>818</v>
      </c>
      <c r="C430" s="87" t="s">
        <v>819</v>
      </c>
      <c r="D430" s="82" t="s">
        <v>16</v>
      </c>
      <c r="E430" s="83">
        <v>2</v>
      </c>
      <c r="F430" s="88">
        <v>152549</v>
      </c>
      <c r="G430" s="89">
        <f t="shared" si="18"/>
        <v>305098</v>
      </c>
      <c r="H430" s="209"/>
      <c r="I430" s="209"/>
      <c r="J430" s="213" t="str">
        <f t="array" ref="J430:M430">_xlfn.XLOOKUP(C430,'ESAP NEIVA FASE II UNIFICADO'!$C$6:$C$720,'ESAP NEIVA FASE II UNIFICADO'!$C$6:$F$720,"NO ESTA")</f>
        <v>SUMINISTRO E INSTALACION VALVULAS DE CORTINA 1" FC 125 PSI</v>
      </c>
      <c r="K430" t="str">
        <v>UND</v>
      </c>
      <c r="L430">
        <v>2</v>
      </c>
      <c r="M430">
        <v>156935</v>
      </c>
      <c r="N430" s="115">
        <f t="shared" si="19"/>
        <v>156935</v>
      </c>
      <c r="O430" s="146">
        <f t="shared" si="20"/>
        <v>313870</v>
      </c>
      <c r="P430" s="119"/>
    </row>
    <row r="431" spans="2:16" ht="15" customHeight="1" x14ac:dyDescent="0.25">
      <c r="B431" s="86" t="s">
        <v>820</v>
      </c>
      <c r="C431" s="87" t="s">
        <v>821</v>
      </c>
      <c r="D431" s="82" t="s">
        <v>16</v>
      </c>
      <c r="E431" s="83">
        <v>2</v>
      </c>
      <c r="F431" s="88">
        <v>190013</v>
      </c>
      <c r="G431" s="89">
        <f t="shared" si="18"/>
        <v>380026</v>
      </c>
      <c r="H431" s="209"/>
      <c r="I431" s="209"/>
      <c r="J431" s="213" t="str">
        <f t="array" ref="J431:M431">_xlfn.XLOOKUP(C431,'ESAP NEIVA FASE II UNIFICADO'!$C$6:$C$720,'ESAP NEIVA FASE II UNIFICADO'!$C$6:$F$720,"NO ESTA")</f>
        <v>SUMINISTRO E INSTALACION VALVULAS DE GLOBO 1" FC 125 PSI</v>
      </c>
      <c r="K431" t="str">
        <v>UND</v>
      </c>
      <c r="L431">
        <v>2</v>
      </c>
      <c r="M431">
        <v>195476</v>
      </c>
      <c r="N431" s="115">
        <f t="shared" si="19"/>
        <v>195476</v>
      </c>
      <c r="O431" s="146">
        <f t="shared" si="20"/>
        <v>390952</v>
      </c>
      <c r="P431" s="119"/>
    </row>
    <row r="432" spans="2:16" ht="15" customHeight="1" x14ac:dyDescent="0.25">
      <c r="B432" s="86" t="s">
        <v>822</v>
      </c>
      <c r="C432" s="87" t="s">
        <v>823</v>
      </c>
      <c r="D432" s="82" t="s">
        <v>16</v>
      </c>
      <c r="E432" s="83">
        <v>4</v>
      </c>
      <c r="F432" s="88">
        <v>121992</v>
      </c>
      <c r="G432" s="89">
        <f t="shared" si="18"/>
        <v>487968</v>
      </c>
      <c r="H432" s="209"/>
      <c r="I432" s="209"/>
      <c r="J432" s="213" t="str">
        <f t="array" ref="J432:M432">_xlfn.XLOOKUP(C432,'ESAP NEIVA FASE II UNIFICADO'!$C$6:$C$720,'ESAP NEIVA FASE II UNIFICADO'!$C$6:$F$720,"NO ESTA")</f>
        <v>SUMINISTRO E INSTALACION VALVULAS DE CORTINA 3/4" FC 125 PSI</v>
      </c>
      <c r="K432" t="str">
        <v>UND</v>
      </c>
      <c r="L432">
        <v>4</v>
      </c>
      <c r="M432">
        <v>125501</v>
      </c>
      <c r="N432" s="115">
        <f t="shared" si="19"/>
        <v>125501</v>
      </c>
      <c r="O432" s="146">
        <f t="shared" si="20"/>
        <v>502004</v>
      </c>
      <c r="P432" s="119"/>
    </row>
    <row r="433" spans="2:16" ht="15" customHeight="1" x14ac:dyDescent="0.25">
      <c r="B433" s="86" t="s">
        <v>824</v>
      </c>
      <c r="C433" s="87" t="s">
        <v>825</v>
      </c>
      <c r="D433" s="82" t="s">
        <v>16</v>
      </c>
      <c r="E433" s="83">
        <v>4</v>
      </c>
      <c r="F433" s="88">
        <v>156335</v>
      </c>
      <c r="G433" s="89">
        <f t="shared" si="18"/>
        <v>625340</v>
      </c>
      <c r="H433" s="209"/>
      <c r="I433" s="209"/>
      <c r="J433" s="213" t="str">
        <f t="array" ref="J433:M433">_xlfn.XLOOKUP(C433,'ESAP NEIVA FASE II UNIFICADO'!$C$6:$C$720,'ESAP NEIVA FASE II UNIFICADO'!$C$6:$F$720,"NO ESTA")</f>
        <v>SUMINISTRO E INSTALACION VALVULAS DE GLOBO 3/4" FC 125 PSI</v>
      </c>
      <c r="K433" t="str">
        <v>UND</v>
      </c>
      <c r="L433">
        <v>4</v>
      </c>
      <c r="M433">
        <v>160830</v>
      </c>
      <c r="N433" s="115">
        <f t="shared" si="19"/>
        <v>160830</v>
      </c>
      <c r="O433" s="146">
        <f t="shared" si="20"/>
        <v>643320</v>
      </c>
      <c r="P433" s="119"/>
    </row>
    <row r="434" spans="2:16" ht="15" customHeight="1" x14ac:dyDescent="0.25">
      <c r="B434" s="86" t="s">
        <v>826</v>
      </c>
      <c r="C434" s="87" t="s">
        <v>827</v>
      </c>
      <c r="D434" s="82" t="s">
        <v>16</v>
      </c>
      <c r="E434" s="83">
        <v>2</v>
      </c>
      <c r="F434" s="88">
        <v>190013</v>
      </c>
      <c r="G434" s="89">
        <f t="shared" si="18"/>
        <v>380026</v>
      </c>
      <c r="H434" s="209"/>
      <c r="I434" s="209"/>
      <c r="J434" s="213" t="str">
        <f t="array" ref="J434:M434">_xlfn.XLOOKUP(C434,'ESAP NEIVA FASE II UNIFICADO'!$C$6:$C$720,'ESAP NEIVA FASE II UNIFICADO'!$C$6:$F$720,"NO ESTA")</f>
        <v>SUMINISTRO E INSTALACION TERMOTATOS DIGITALES NO PROGRAMABLES FC</v>
      </c>
      <c r="K434" t="str">
        <v>UND</v>
      </c>
      <c r="L434">
        <v>6</v>
      </c>
      <c r="M434">
        <v>195476</v>
      </c>
      <c r="N434" s="115">
        <f t="shared" si="19"/>
        <v>195476</v>
      </c>
      <c r="O434" s="146">
        <f t="shared" si="20"/>
        <v>390952</v>
      </c>
      <c r="P434" s="119"/>
    </row>
    <row r="435" spans="2:16" ht="15" customHeight="1" x14ac:dyDescent="0.25">
      <c r="B435" s="86" t="s">
        <v>828</v>
      </c>
      <c r="C435" s="87" t="s">
        <v>829</v>
      </c>
      <c r="D435" s="82" t="s">
        <v>16</v>
      </c>
      <c r="E435" s="83">
        <v>8</v>
      </c>
      <c r="F435" s="88">
        <v>314891</v>
      </c>
      <c r="G435" s="89">
        <f t="shared" si="18"/>
        <v>2519128</v>
      </c>
      <c r="H435" s="209"/>
      <c r="I435" s="209"/>
      <c r="J435" s="213" t="str">
        <f t="array" ref="J435:M435">_xlfn.XLOOKUP(C435,'ESAP NEIVA FASE II UNIFICADO'!$C$6:$C$720,'ESAP NEIVA FASE II UNIFICADO'!$C$6:$F$720,"NO ESTA")</f>
        <v xml:space="preserve">SUMINISTRO E INSTALACION TERMOSTATOS PROPORCIONALES DIGITALES </v>
      </c>
      <c r="K435" t="str">
        <v>UND</v>
      </c>
      <c r="L435">
        <v>22</v>
      </c>
      <c r="M435">
        <v>323946</v>
      </c>
      <c r="N435" s="115">
        <f t="shared" si="19"/>
        <v>323946</v>
      </c>
      <c r="O435" s="146">
        <f t="shared" si="20"/>
        <v>2591568</v>
      </c>
      <c r="P435" s="119"/>
    </row>
    <row r="436" spans="2:16" ht="15" customHeight="1" x14ac:dyDescent="0.25">
      <c r="B436" s="86" t="s">
        <v>830</v>
      </c>
      <c r="C436" s="87" t="s">
        <v>831</v>
      </c>
      <c r="D436" s="82" t="s">
        <v>16</v>
      </c>
      <c r="E436" s="83">
        <v>2</v>
      </c>
      <c r="F436" s="88">
        <v>239964</v>
      </c>
      <c r="G436" s="89">
        <f t="shared" si="18"/>
        <v>479928</v>
      </c>
      <c r="H436" s="209"/>
      <c r="I436" s="209"/>
      <c r="J436" s="213" t="str">
        <f t="array" ref="J436:M436">_xlfn.XLOOKUP(C436,'ESAP NEIVA FASE II UNIFICADO'!$C$6:$C$720,'ESAP NEIVA FASE II UNIFICADO'!$C$6:$F$720,"NO ESTA")</f>
        <v>SUMINISTRO E INSTALACION ELECTROVALVULAS ON-OFF  110V</v>
      </c>
      <c r="K436" t="str">
        <v>UND</v>
      </c>
      <c r="L436">
        <v>6</v>
      </c>
      <c r="M436">
        <v>246864</v>
      </c>
      <c r="N436" s="115">
        <f t="shared" si="19"/>
        <v>246864</v>
      </c>
      <c r="O436" s="146">
        <f t="shared" si="20"/>
        <v>493728</v>
      </c>
      <c r="P436" s="119"/>
    </row>
    <row r="437" spans="2:16" ht="15" customHeight="1" x14ac:dyDescent="0.25">
      <c r="B437" s="86" t="s">
        <v>832</v>
      </c>
      <c r="C437" s="87" t="s">
        <v>833</v>
      </c>
      <c r="D437" s="82" t="s">
        <v>16</v>
      </c>
      <c r="E437" s="83">
        <v>1</v>
      </c>
      <c r="F437" s="88">
        <v>795675</v>
      </c>
      <c r="G437" s="89">
        <f t="shared" si="18"/>
        <v>795675</v>
      </c>
      <c r="H437" s="209"/>
      <c r="I437" s="209"/>
      <c r="J437" s="213" t="str">
        <f t="array" ref="J437:M437">_xlfn.XLOOKUP(C437,'ESAP NEIVA FASE II UNIFICADO'!$C$6:$C$720,'ESAP NEIVA FASE II UNIFICADO'!$C$6:$F$720,"NO ESTA")</f>
        <v>SUMINISTRO E INSTALACION ELECTROVALVULAS PROPORCIONALES 2 " - 2 VIAS - 24V</v>
      </c>
      <c r="K437" t="str">
        <v>UND</v>
      </c>
      <c r="L437">
        <v>0</v>
      </c>
      <c r="M437">
        <v>818556</v>
      </c>
      <c r="N437" s="115">
        <f t="shared" si="19"/>
        <v>818556</v>
      </c>
      <c r="O437" s="146">
        <f t="shared" si="20"/>
        <v>818556</v>
      </c>
      <c r="P437" s="119"/>
    </row>
    <row r="438" spans="2:16" ht="27.75" customHeight="1" x14ac:dyDescent="0.25">
      <c r="B438" s="86" t="s">
        <v>834</v>
      </c>
      <c r="C438" s="87" t="s">
        <v>835</v>
      </c>
      <c r="D438" s="82" t="s">
        <v>16</v>
      </c>
      <c r="E438" s="83">
        <v>1</v>
      </c>
      <c r="F438" s="88">
        <v>795675</v>
      </c>
      <c r="G438" s="89">
        <f t="shared" si="18"/>
        <v>795675</v>
      </c>
      <c r="H438" s="209"/>
      <c r="I438" s="209"/>
      <c r="J438" s="213" t="str">
        <f t="array" ref="J438:M438">_xlfn.XLOOKUP(C438,'ESAP NEIVA FASE II UNIFICADO'!$C$6:$C$720,'ESAP NEIVA FASE II UNIFICADO'!$C$6:$F$720,"NO ESTA")</f>
        <v>SUMINISTRO E INSTALACION ELECTROVALVULAS PROPORCIONALES  1 1/2 " - 2 VIAS - 24V</v>
      </c>
      <c r="K438" t="str">
        <v>UND</v>
      </c>
      <c r="L438">
        <v>2</v>
      </c>
      <c r="M438">
        <v>818556</v>
      </c>
      <c r="N438" s="115">
        <f t="shared" si="19"/>
        <v>818556</v>
      </c>
      <c r="O438" s="146">
        <f t="shared" si="20"/>
        <v>818556</v>
      </c>
      <c r="P438" s="119"/>
    </row>
    <row r="439" spans="2:16" ht="27.75" customHeight="1" x14ac:dyDescent="0.25">
      <c r="B439" s="86" t="s">
        <v>836</v>
      </c>
      <c r="C439" s="87" t="s">
        <v>837</v>
      </c>
      <c r="D439" s="82" t="s">
        <v>16</v>
      </c>
      <c r="E439" s="83">
        <v>1</v>
      </c>
      <c r="F439" s="88">
        <v>795675</v>
      </c>
      <c r="G439" s="89">
        <f t="shared" si="18"/>
        <v>795675</v>
      </c>
      <c r="H439" s="209"/>
      <c r="I439" s="209"/>
      <c r="J439" s="213" t="str">
        <f t="array" ref="J439:M439">_xlfn.XLOOKUP(C439,'ESAP NEIVA FASE II UNIFICADO'!$C$6:$C$720,'ESAP NEIVA FASE II UNIFICADO'!$C$6:$F$720,"NO ESTA")</f>
        <v>SUMINISTRO E INSTALACION ELECTROVALVULAS PROPORCIONALES  1 1/2 " - 3 VIAS - 24V</v>
      </c>
      <c r="K439" t="str">
        <v>UND</v>
      </c>
      <c r="L439">
        <v>0</v>
      </c>
      <c r="M439">
        <v>818556</v>
      </c>
      <c r="N439" s="115">
        <f t="shared" si="19"/>
        <v>818556</v>
      </c>
      <c r="O439" s="146">
        <f t="shared" si="20"/>
        <v>818556</v>
      </c>
      <c r="P439" s="119"/>
    </row>
    <row r="440" spans="2:16" ht="15" customHeight="1" x14ac:dyDescent="0.25">
      <c r="B440" s="86" t="s">
        <v>838</v>
      </c>
      <c r="C440" s="87" t="s">
        <v>839</v>
      </c>
      <c r="D440" s="82" t="s">
        <v>16</v>
      </c>
      <c r="E440" s="83">
        <v>5</v>
      </c>
      <c r="F440" s="88">
        <v>702016</v>
      </c>
      <c r="G440" s="89">
        <f t="shared" si="18"/>
        <v>3510080</v>
      </c>
      <c r="H440" s="209"/>
      <c r="I440" s="209"/>
      <c r="J440" s="213" t="str">
        <f t="array" ref="J440:M440">_xlfn.XLOOKUP(C440,'ESAP NEIVA FASE II UNIFICADO'!$C$6:$C$720,'ESAP NEIVA FASE II UNIFICADO'!$C$6:$F$720,"NO ESTA")</f>
        <v>SUMINISTRO E INSTALACION ELECTROVALVULAS PROPORCIONALES 1 1/4 " - 24V</v>
      </c>
      <c r="K440" t="str">
        <v>UND</v>
      </c>
      <c r="L440">
        <v>15</v>
      </c>
      <c r="M440">
        <v>722203</v>
      </c>
      <c r="N440" s="115">
        <f t="shared" si="19"/>
        <v>722203</v>
      </c>
      <c r="O440" s="146">
        <f t="shared" si="20"/>
        <v>3611015</v>
      </c>
      <c r="P440" s="119"/>
    </row>
    <row r="441" spans="2:16" ht="15" customHeight="1" x14ac:dyDescent="0.25">
      <c r="B441" s="86" t="s">
        <v>840</v>
      </c>
      <c r="C441" s="87" t="s">
        <v>841</v>
      </c>
      <c r="D441" s="82" t="s">
        <v>16</v>
      </c>
      <c r="E441" s="83">
        <v>1</v>
      </c>
      <c r="F441" s="88">
        <v>566147</v>
      </c>
      <c r="G441" s="89">
        <f t="shared" si="18"/>
        <v>566147</v>
      </c>
      <c r="H441" s="209"/>
      <c r="I441" s="209"/>
      <c r="J441" s="213" t="str">
        <f t="array" ref="J441:M441">_xlfn.XLOOKUP(C441,'ESAP NEIVA FASE II UNIFICADO'!$C$6:$C$720,'ESAP NEIVA FASE II UNIFICADO'!$C$6:$F$720,"NO ESTA")</f>
        <v>SUMINISTRO E INSTALACION ELECTROVALVULAS PROPORCIONALES 1 " - 24V</v>
      </c>
      <c r="K441" t="str">
        <v>UND</v>
      </c>
      <c r="L441">
        <v>0</v>
      </c>
      <c r="M441">
        <v>582428</v>
      </c>
      <c r="N441" s="115">
        <f t="shared" si="19"/>
        <v>582428</v>
      </c>
      <c r="O441" s="146">
        <f t="shared" si="20"/>
        <v>582428</v>
      </c>
      <c r="P441" s="119"/>
    </row>
    <row r="442" spans="2:16" ht="15" customHeight="1" x14ac:dyDescent="0.25">
      <c r="B442" s="80" t="s">
        <v>842</v>
      </c>
      <c r="C442" s="81" t="s">
        <v>843</v>
      </c>
      <c r="D442" s="82"/>
      <c r="E442" s="83"/>
      <c r="F442" s="90">
        <v>0</v>
      </c>
      <c r="G442" s="89">
        <f t="shared" si="18"/>
        <v>0</v>
      </c>
      <c r="H442" s="209"/>
      <c r="I442" s="209"/>
      <c r="J442" s="213" t="str">
        <f t="array" ref="J442:M442">_xlfn.XLOOKUP(C442,'ESAP NEIVA FASE II UNIFICADO'!$C$6:$C$720,'ESAP NEIVA FASE II UNIFICADO'!$C$6:$F$720,"NO ESTA")</f>
        <v>SUMINISTRO, MONTAJE E INSTALACIÓN DE DUCTOS DE AIRE ACONDICIONADO</v>
      </c>
      <c r="K442">
        <v>0</v>
      </c>
      <c r="L442">
        <v>0</v>
      </c>
      <c r="M442">
        <v>0</v>
      </c>
      <c r="N442" s="115">
        <f t="shared" si="19"/>
        <v>0</v>
      </c>
      <c r="O442" s="146">
        <f t="shared" si="20"/>
        <v>0</v>
      </c>
      <c r="P442" s="119"/>
    </row>
    <row r="443" spans="2:16" ht="15" customHeight="1" x14ac:dyDescent="0.25">
      <c r="B443" s="86" t="s">
        <v>844</v>
      </c>
      <c r="C443" s="87" t="s">
        <v>845</v>
      </c>
      <c r="D443" s="82" t="s">
        <v>13</v>
      </c>
      <c r="E443" s="83">
        <v>28</v>
      </c>
      <c r="F443" s="88">
        <v>62021</v>
      </c>
      <c r="G443" s="89">
        <f t="shared" si="18"/>
        <v>1736588</v>
      </c>
      <c r="H443" s="209"/>
      <c r="I443" s="209"/>
      <c r="J443" s="213" t="str">
        <f t="array" ref="J443:M443">_xlfn.XLOOKUP(C443,'ESAP NEIVA FASE II UNIFICADO'!$C$6:$C$720,'ESAP NEIVA FASE II UNIFICADO'!$C$6:$F$720,"NO ESTA")</f>
        <v>SUMINISTRO E INSTALACION DUCTOS EN LAMINA GALVANIZADA CAL. 24 Wrap FC</v>
      </c>
      <c r="K443" t="str">
        <v>M2</v>
      </c>
      <c r="L443">
        <v>77</v>
      </c>
      <c r="M443">
        <v>63805</v>
      </c>
      <c r="N443" s="115">
        <f t="shared" si="19"/>
        <v>63805</v>
      </c>
      <c r="O443" s="146">
        <f t="shared" si="20"/>
        <v>1786540</v>
      </c>
      <c r="P443" s="119"/>
    </row>
    <row r="444" spans="2:16" ht="15" customHeight="1" x14ac:dyDescent="0.25">
      <c r="B444" s="86" t="s">
        <v>846</v>
      </c>
      <c r="C444" s="87" t="s">
        <v>847</v>
      </c>
      <c r="D444" s="82" t="s">
        <v>13</v>
      </c>
      <c r="E444" s="83">
        <v>200</v>
      </c>
      <c r="F444" s="88">
        <v>68217</v>
      </c>
      <c r="G444" s="89">
        <f t="shared" si="18"/>
        <v>13643400</v>
      </c>
      <c r="H444" s="209"/>
      <c r="I444" s="209"/>
      <c r="J444" s="213" t="str">
        <f t="array" ref="J444:M444">_xlfn.XLOOKUP(C444,'ESAP NEIVA FASE II UNIFICADO'!$C$6:$C$720,'ESAP NEIVA FASE II UNIFICADO'!$C$6:$F$720,"NO ESTA")</f>
        <v>SUMINISTRO E INSTALACION DUCTOS EN LAMINA GALVANIZADA CAL. 22 Wrap FC</v>
      </c>
      <c r="K444" t="str">
        <v>M2</v>
      </c>
      <c r="L444">
        <v>540</v>
      </c>
      <c r="M444">
        <v>70179</v>
      </c>
      <c r="N444" s="115">
        <f t="shared" si="19"/>
        <v>70179</v>
      </c>
      <c r="O444" s="146">
        <f t="shared" si="20"/>
        <v>14035800</v>
      </c>
      <c r="P444" s="119"/>
    </row>
    <row r="445" spans="2:16" ht="15" customHeight="1" x14ac:dyDescent="0.25">
      <c r="B445" s="86" t="s">
        <v>848</v>
      </c>
      <c r="C445" s="87" t="s">
        <v>849</v>
      </c>
      <c r="D445" s="82" t="s">
        <v>13</v>
      </c>
      <c r="E445" s="83">
        <v>228</v>
      </c>
      <c r="F445" s="88">
        <v>18913</v>
      </c>
      <c r="G445" s="89">
        <f t="shared" si="18"/>
        <v>4312164</v>
      </c>
      <c r="H445" s="209"/>
      <c r="I445" s="209"/>
      <c r="J445" s="213" t="str">
        <f t="array" ref="J445:M445">_xlfn.XLOOKUP(C445,'ESAP NEIVA FASE II UNIFICADO'!$C$6:$C$720,'ESAP NEIVA FASE II UNIFICADO'!$C$6:$F$720,"NO ESTA")</f>
        <v>SUMINISTRO E INSTALACION AISLAMIENTO DUCTOS EN JUMBOLON FC</v>
      </c>
      <c r="K445" t="str">
        <v>M2</v>
      </c>
      <c r="L445">
        <v>617</v>
      </c>
      <c r="M445">
        <v>19457</v>
      </c>
      <c r="N445" s="115">
        <f t="shared" si="19"/>
        <v>19457</v>
      </c>
      <c r="O445" s="146">
        <f t="shared" si="20"/>
        <v>4436196</v>
      </c>
      <c r="P445" s="119"/>
    </row>
    <row r="446" spans="2:16" ht="15" customHeight="1" x14ac:dyDescent="0.25">
      <c r="B446" s="86" t="s">
        <v>850</v>
      </c>
      <c r="C446" s="87" t="s">
        <v>851</v>
      </c>
      <c r="D446" s="82" t="s">
        <v>13</v>
      </c>
      <c r="E446" s="83">
        <v>55</v>
      </c>
      <c r="F446" s="88">
        <v>74461</v>
      </c>
      <c r="G446" s="89">
        <f t="shared" si="18"/>
        <v>4095355</v>
      </c>
      <c r="H446" s="209"/>
      <c r="I446" s="209"/>
      <c r="J446" s="213" t="str">
        <f t="array" ref="J446:M446">_xlfn.XLOOKUP(C446,'ESAP NEIVA FASE II UNIFICADO'!$C$6:$C$720,'ESAP NEIVA FASE II UNIFICADO'!$C$6:$F$720,"NO ESTA")</f>
        <v>SUMINISTRO E INSTALACION DUCTOS EN LAMINA GALVANIZADA CAL. 20 Wrap UMAS</v>
      </c>
      <c r="K446" t="str">
        <v>M2</v>
      </c>
      <c r="L446">
        <v>150</v>
      </c>
      <c r="M446">
        <v>76603</v>
      </c>
      <c r="N446" s="115">
        <f t="shared" si="19"/>
        <v>76603</v>
      </c>
      <c r="O446" s="146">
        <f t="shared" si="20"/>
        <v>4213165</v>
      </c>
      <c r="P446" s="119"/>
    </row>
    <row r="447" spans="2:16" ht="15" customHeight="1" x14ac:dyDescent="0.25">
      <c r="B447" s="86" t="s">
        <v>852</v>
      </c>
      <c r="C447" s="87" t="s">
        <v>853</v>
      </c>
      <c r="D447" s="82" t="s">
        <v>13</v>
      </c>
      <c r="E447" s="83">
        <v>55</v>
      </c>
      <c r="F447" s="88">
        <v>18913</v>
      </c>
      <c r="G447" s="89">
        <f t="shared" si="18"/>
        <v>1040215</v>
      </c>
      <c r="H447" s="209"/>
      <c r="I447" s="209"/>
      <c r="J447" s="213" t="str">
        <f t="array" ref="J447:M447">_xlfn.XLOOKUP(C447,'ESAP NEIVA FASE II UNIFICADO'!$C$6:$C$720,'ESAP NEIVA FASE II UNIFICADO'!$C$6:$F$720,"NO ESTA")</f>
        <v>SUMINISTRO E INSTALACION AISLAMIENTO DUCTOS EN DUCT WRAP UMAS</v>
      </c>
      <c r="K447" t="str">
        <v>M2</v>
      </c>
      <c r="L447">
        <v>150</v>
      </c>
      <c r="M447">
        <v>19457</v>
      </c>
      <c r="N447" s="115">
        <f t="shared" si="19"/>
        <v>19457</v>
      </c>
      <c r="O447" s="146">
        <f t="shared" si="20"/>
        <v>1070135</v>
      </c>
      <c r="P447" s="119"/>
    </row>
    <row r="448" spans="2:16" ht="15" customHeight="1" x14ac:dyDescent="0.25">
      <c r="B448" s="86" t="s">
        <v>854</v>
      </c>
      <c r="C448" s="87" t="s">
        <v>855</v>
      </c>
      <c r="D448" s="82" t="s">
        <v>16</v>
      </c>
      <c r="E448" s="83">
        <v>9</v>
      </c>
      <c r="F448" s="88">
        <v>32461</v>
      </c>
      <c r="G448" s="89">
        <f t="shared" si="18"/>
        <v>292149</v>
      </c>
      <c r="H448" s="209"/>
      <c r="I448" s="209"/>
      <c r="J448" s="213" t="str">
        <f t="array" ref="J448:M448">_xlfn.XLOOKUP(C448,'ESAP NEIVA FASE II UNIFICADO'!$C$6:$C$720,'ESAP NEIVA FASE II UNIFICADO'!$C$6:$F$720,"NO ESTA")</f>
        <v>SUMINISTRO E INSTALACION ACOPLE FLEXIBLE DUCTOS - EQUIPOS</v>
      </c>
      <c r="K448" t="str">
        <v>UND</v>
      </c>
      <c r="L448">
        <v>24</v>
      </c>
      <c r="M448">
        <v>33394</v>
      </c>
      <c r="N448" s="115">
        <f t="shared" si="19"/>
        <v>33394</v>
      </c>
      <c r="O448" s="146">
        <f t="shared" si="20"/>
        <v>300546</v>
      </c>
      <c r="P448" s="119"/>
    </row>
    <row r="449" spans="2:16" ht="15" customHeight="1" x14ac:dyDescent="0.25">
      <c r="B449" s="80" t="s">
        <v>856</v>
      </c>
      <c r="C449" s="81" t="s">
        <v>857</v>
      </c>
      <c r="D449" s="82"/>
      <c r="E449" s="83"/>
      <c r="F449" s="90">
        <v>0</v>
      </c>
      <c r="G449" s="89">
        <f t="shared" si="18"/>
        <v>0</v>
      </c>
      <c r="H449" s="209"/>
      <c r="I449" s="209"/>
      <c r="J449" s="213" t="str">
        <f t="array" ref="J449:M449">_xlfn.XLOOKUP(C449,'ESAP NEIVA FASE II UNIFICADO'!$C$6:$C$720,'ESAP NEIVA FASE II UNIFICADO'!$C$6:$F$720,"NO ESTA")</f>
        <v>SUMINISTRO E INSTALACIÓN DIFUSORES Y REJILLAS</v>
      </c>
      <c r="K449">
        <v>0</v>
      </c>
      <c r="L449">
        <v>0</v>
      </c>
      <c r="M449">
        <v>0</v>
      </c>
      <c r="N449" s="115">
        <f t="shared" si="19"/>
        <v>0</v>
      </c>
      <c r="O449" s="146">
        <f t="shared" si="20"/>
        <v>0</v>
      </c>
      <c r="P449" s="119"/>
    </row>
    <row r="450" spans="2:16" ht="26.25" customHeight="1" x14ac:dyDescent="0.25">
      <c r="B450" s="86" t="s">
        <v>858</v>
      </c>
      <c r="C450" s="87" t="s">
        <v>859</v>
      </c>
      <c r="D450" s="82" t="s">
        <v>16</v>
      </c>
      <c r="E450" s="83">
        <v>30</v>
      </c>
      <c r="F450" s="88">
        <v>152890</v>
      </c>
      <c r="G450" s="89">
        <f t="shared" si="18"/>
        <v>4586700</v>
      </c>
      <c r="H450" s="209"/>
      <c r="I450" s="209"/>
      <c r="J450" s="213" t="str">
        <f t="array" ref="J450:M450">_xlfn.XLOOKUP(C450,'ESAP NEIVA FASE II UNIFICADO'!$C$6:$C$720,'ESAP NEIVA FASE II UNIFICADO'!$C$6:$F$720,"NO ESTA")</f>
        <v>SUMINISTRO E INSTALACION DIFUSORES SUMINISTRO DE 12" x 12" 4V (Tipo Descolgado) con Damper OB</v>
      </c>
      <c r="K450" t="str">
        <v>UND</v>
      </c>
      <c r="L450">
        <v>82</v>
      </c>
      <c r="M450">
        <v>157287</v>
      </c>
      <c r="N450" s="115">
        <f t="shared" si="19"/>
        <v>157287</v>
      </c>
      <c r="O450" s="146">
        <f t="shared" si="20"/>
        <v>4718610</v>
      </c>
      <c r="P450" s="119"/>
    </row>
    <row r="451" spans="2:16" ht="26.25" customHeight="1" x14ac:dyDescent="0.25">
      <c r="B451" s="86" t="s">
        <v>860</v>
      </c>
      <c r="C451" s="87" t="s">
        <v>861</v>
      </c>
      <c r="D451" s="82" t="s">
        <v>16</v>
      </c>
      <c r="E451" s="83">
        <v>2</v>
      </c>
      <c r="F451" s="88">
        <v>106685</v>
      </c>
      <c r="G451" s="89">
        <f t="shared" si="18"/>
        <v>213370</v>
      </c>
      <c r="H451" s="209"/>
      <c r="I451" s="209"/>
      <c r="J451" s="213" t="str">
        <f t="array" ref="J451:M451">_xlfn.XLOOKUP(C451,'ESAP NEIVA FASE II UNIFICADO'!$C$6:$C$720,'ESAP NEIVA FASE II UNIFICADO'!$C$6:$F$720,"NO ESTA")</f>
        <v>SUMINISTRO E INSTALACION DIFUSORES SUMINISTRO DE 9" x 9" 4V (Tipo Descolgado) con Damper OB</v>
      </c>
      <c r="K451" t="str">
        <v>UND</v>
      </c>
      <c r="L451">
        <v>4</v>
      </c>
      <c r="M451">
        <v>109753</v>
      </c>
      <c r="N451" s="115">
        <f t="shared" si="19"/>
        <v>109753</v>
      </c>
      <c r="O451" s="146">
        <f t="shared" si="20"/>
        <v>219506</v>
      </c>
      <c r="P451" s="119"/>
    </row>
    <row r="452" spans="2:16" ht="26.25" customHeight="1" x14ac:dyDescent="0.25">
      <c r="B452" s="86" t="s">
        <v>862</v>
      </c>
      <c r="C452" s="87" t="s">
        <v>863</v>
      </c>
      <c r="D452" s="82" t="s">
        <v>16</v>
      </c>
      <c r="E452" s="83">
        <v>1</v>
      </c>
      <c r="F452" s="88">
        <v>225320</v>
      </c>
      <c r="G452" s="89">
        <f t="shared" si="18"/>
        <v>225320</v>
      </c>
      <c r="H452" s="209"/>
      <c r="I452" s="209"/>
      <c r="J452" s="213" t="str">
        <f t="array" ref="J452:M452">_xlfn.XLOOKUP(C452,'ESAP NEIVA FASE II UNIFICADO'!$C$6:$C$720,'ESAP NEIVA FASE II UNIFICADO'!$C$6:$F$720,"NO ESTA")</f>
        <v>SUMINISTRO E INSTALACION REJILLAS SUMINISTRO DE 48" X 12" (TIPO DOBLE ALETA) con Damper incluye EXTRACTORES DE AIRE</v>
      </c>
      <c r="K452" t="str">
        <v>UND</v>
      </c>
      <c r="L452">
        <v>4</v>
      </c>
      <c r="M452">
        <v>231800</v>
      </c>
      <c r="N452" s="115">
        <f t="shared" si="19"/>
        <v>231800</v>
      </c>
      <c r="O452" s="146">
        <f t="shared" si="20"/>
        <v>231800</v>
      </c>
      <c r="P452" s="119"/>
    </row>
    <row r="453" spans="2:16" ht="26.25" customHeight="1" x14ac:dyDescent="0.25">
      <c r="B453" s="86" t="s">
        <v>864</v>
      </c>
      <c r="C453" s="87" t="s">
        <v>865</v>
      </c>
      <c r="D453" s="82" t="s">
        <v>16</v>
      </c>
      <c r="E453" s="83">
        <v>1</v>
      </c>
      <c r="F453" s="88">
        <v>56734</v>
      </c>
      <c r="G453" s="89">
        <f t="shared" si="18"/>
        <v>56734</v>
      </c>
      <c r="H453" s="209"/>
      <c r="I453" s="209"/>
      <c r="J453" s="213" t="str">
        <f t="array" ref="J453:M453">_xlfn.XLOOKUP(C453,'ESAP NEIVA FASE II UNIFICADO'!$C$6:$C$720,'ESAP NEIVA FASE II UNIFICADO'!$C$6:$F$720,"NO ESTA")</f>
        <v>SUMINISTRO E INSTALACION REJILLAS DE ACCESO/ RETORNO A FC DE 18" x 8" 160 CFM</v>
      </c>
      <c r="K453" t="str">
        <v>UND</v>
      </c>
      <c r="L453">
        <v>2</v>
      </c>
      <c r="M453">
        <v>58365</v>
      </c>
      <c r="N453" s="115">
        <f t="shared" si="19"/>
        <v>58365</v>
      </c>
      <c r="O453" s="146">
        <f t="shared" si="20"/>
        <v>58365</v>
      </c>
      <c r="P453" s="119"/>
    </row>
    <row r="454" spans="2:16" ht="26.25" customHeight="1" x14ac:dyDescent="0.25">
      <c r="B454" s="86" t="s">
        <v>866</v>
      </c>
      <c r="C454" s="87" t="s">
        <v>867</v>
      </c>
      <c r="D454" s="82" t="s">
        <v>16</v>
      </c>
      <c r="E454" s="83">
        <v>4</v>
      </c>
      <c r="F454" s="88">
        <v>212833</v>
      </c>
      <c r="G454" s="89">
        <f t="shared" ref="G454:G517" si="21">ROUND(+F454*E454,2)</f>
        <v>851332</v>
      </c>
      <c r="H454" s="209"/>
      <c r="I454" s="209"/>
      <c r="J454" s="213" t="str">
        <f t="array" ref="J454:M454">_xlfn.XLOOKUP(C454,'ESAP NEIVA FASE II UNIFICADO'!$C$6:$C$720,'ESAP NEIVA FASE II UNIFICADO'!$C$6:$F$720,"NO ESTA")</f>
        <v>SUMINISTRO E INSTALACION REJILLAS DE ACCESO/ RETORNO A FC DE 40" x 8"   320 CFM</v>
      </c>
      <c r="K454" t="str">
        <v>UND</v>
      </c>
      <c r="L454">
        <v>12</v>
      </c>
      <c r="M454">
        <v>218953</v>
      </c>
      <c r="N454" s="115">
        <f t="shared" ref="N454:N517" si="22">MAX(M454,F454)</f>
        <v>218953</v>
      </c>
      <c r="O454" s="146">
        <f t="shared" ref="O454:O517" si="23">N454*E454</f>
        <v>875812</v>
      </c>
      <c r="P454" s="119"/>
    </row>
    <row r="455" spans="2:16" ht="26.25" customHeight="1" x14ac:dyDescent="0.25">
      <c r="B455" s="86" t="s">
        <v>868</v>
      </c>
      <c r="C455" s="87" t="s">
        <v>869</v>
      </c>
      <c r="D455" s="82" t="s">
        <v>16</v>
      </c>
      <c r="E455" s="83">
        <v>3</v>
      </c>
      <c r="F455" s="88">
        <v>225320</v>
      </c>
      <c r="G455" s="89">
        <f t="shared" si="21"/>
        <v>675960</v>
      </c>
      <c r="H455" s="209"/>
      <c r="I455" s="209"/>
      <c r="J455" s="213" t="str">
        <f t="array" ref="J455:M455">_xlfn.XLOOKUP(C455,'ESAP NEIVA FASE II UNIFICADO'!$C$6:$C$720,'ESAP NEIVA FASE II UNIFICADO'!$C$6:$F$720,"NO ESTA")</f>
        <v>SUMINISTRO E INSTALACION REJILLAS DE ACCESO/ RETORNO A FC DE 48" x 12" 400 CFM</v>
      </c>
      <c r="K455" t="str">
        <v>UND</v>
      </c>
      <c r="L455">
        <v>8</v>
      </c>
      <c r="M455">
        <v>231800</v>
      </c>
      <c r="N455" s="115">
        <f t="shared" si="22"/>
        <v>231800</v>
      </c>
      <c r="O455" s="146">
        <f t="shared" si="23"/>
        <v>695400</v>
      </c>
      <c r="P455" s="119"/>
    </row>
    <row r="456" spans="2:16" ht="26.25" customHeight="1" x14ac:dyDescent="0.25">
      <c r="B456" s="86" t="s">
        <v>870</v>
      </c>
      <c r="C456" s="87" t="s">
        <v>871</v>
      </c>
      <c r="D456" s="82" t="s">
        <v>16</v>
      </c>
      <c r="E456" s="83">
        <v>1</v>
      </c>
      <c r="F456" s="88">
        <v>485068</v>
      </c>
      <c r="G456" s="89">
        <f t="shared" si="21"/>
        <v>485068</v>
      </c>
      <c r="H456" s="209"/>
      <c r="I456" s="209"/>
      <c r="J456" s="213" t="str">
        <f t="array" ref="J456:M456">_xlfn.XLOOKUP(C456,'ESAP NEIVA FASE II UNIFICADO'!$C$6:$C$720,'ESAP NEIVA FASE II UNIFICADO'!$C$6:$F$720,"NO ESTA")</f>
        <v>SUMINISTRO E INSTALACION REJILLAS DE ACCESO/ RETORNO A FC DE 48" x 20" 2400 CFM</v>
      </c>
      <c r="K456" t="str">
        <v>UND</v>
      </c>
      <c r="L456">
        <v>1</v>
      </c>
      <c r="M456">
        <v>499017</v>
      </c>
      <c r="N456" s="115">
        <f t="shared" si="22"/>
        <v>499017</v>
      </c>
      <c r="O456" s="146">
        <f t="shared" si="23"/>
        <v>499017</v>
      </c>
      <c r="P456" s="119"/>
    </row>
    <row r="457" spans="2:16" ht="26.25" customHeight="1" x14ac:dyDescent="0.25">
      <c r="B457" s="86" t="s">
        <v>872</v>
      </c>
      <c r="C457" s="87" t="s">
        <v>873</v>
      </c>
      <c r="D457" s="82" t="s">
        <v>16</v>
      </c>
      <c r="E457" s="83">
        <v>1</v>
      </c>
      <c r="F457" s="88">
        <v>431371</v>
      </c>
      <c r="G457" s="89">
        <f t="shared" si="21"/>
        <v>431371</v>
      </c>
      <c r="H457" s="209"/>
      <c r="I457" s="209"/>
      <c r="J457" s="213" t="str">
        <f t="array" ref="J457:M457">_xlfn.XLOOKUP(C457,'ESAP NEIVA FASE II UNIFICADO'!$C$6:$C$720,'ESAP NEIVA FASE II UNIFICADO'!$C$6:$F$720,"NO ESTA")</f>
        <v>SUMINISTRO E INSTALACION REJILLAS DE ACCESO/ RETORNO A FC DE 48" x 24" 3600 CFM</v>
      </c>
      <c r="K457" t="str">
        <v>UND</v>
      </c>
      <c r="L457">
        <v>3</v>
      </c>
      <c r="M457">
        <v>443775</v>
      </c>
      <c r="N457" s="115">
        <f t="shared" si="22"/>
        <v>443775</v>
      </c>
      <c r="O457" s="146">
        <f t="shared" si="23"/>
        <v>443775</v>
      </c>
      <c r="P457" s="119"/>
    </row>
    <row r="458" spans="2:16" ht="15" customHeight="1" x14ac:dyDescent="0.25">
      <c r="B458" s="86" t="s">
        <v>874</v>
      </c>
      <c r="C458" s="87" t="s">
        <v>875</v>
      </c>
      <c r="D458" s="82" t="s">
        <v>16</v>
      </c>
      <c r="E458" s="83">
        <v>1</v>
      </c>
      <c r="F458" s="88">
        <v>23016</v>
      </c>
      <c r="G458" s="89">
        <f t="shared" si="21"/>
        <v>23016</v>
      </c>
      <c r="H458" s="209"/>
      <c r="I458" s="209"/>
      <c r="J458" s="213" t="str">
        <f t="array" ref="J458:M458">_xlfn.XLOOKUP(C458,'ESAP NEIVA FASE II UNIFICADO'!$C$6:$C$720,'ESAP NEIVA FASE II UNIFICADO'!$C$6:$F$720,"NO ESTA")</f>
        <v>SUMINISTRO E INSTALACION REJILLAS DE TOMA AIRE EXTERNO TAE 6" x 6"</v>
      </c>
      <c r="K458" t="str">
        <v>UND</v>
      </c>
      <c r="L458">
        <v>0</v>
      </c>
      <c r="M458">
        <v>23678</v>
      </c>
      <c r="N458" s="115">
        <f t="shared" si="22"/>
        <v>23678</v>
      </c>
      <c r="O458" s="146">
        <f t="shared" si="23"/>
        <v>23678</v>
      </c>
      <c r="P458" s="119"/>
    </row>
    <row r="459" spans="2:16" ht="15" customHeight="1" x14ac:dyDescent="0.25">
      <c r="B459" s="86" t="s">
        <v>876</v>
      </c>
      <c r="C459" s="87" t="s">
        <v>877</v>
      </c>
      <c r="D459" s="82" t="s">
        <v>16</v>
      </c>
      <c r="E459" s="83">
        <v>1</v>
      </c>
      <c r="F459" s="88">
        <v>31757</v>
      </c>
      <c r="G459" s="89">
        <f t="shared" si="21"/>
        <v>31757</v>
      </c>
      <c r="H459" s="209"/>
      <c r="I459" s="209"/>
      <c r="J459" s="213" t="str">
        <f t="array" ref="J459:M459">_xlfn.XLOOKUP(C459,'ESAP NEIVA FASE II UNIFICADO'!$C$6:$C$720,'ESAP NEIVA FASE II UNIFICADO'!$C$6:$F$720,"NO ESTA")</f>
        <v>SUMINISTRO E INSTALACION REJILLAS DE TOMA AIRE EXTERNO TAE 10" x 8"</v>
      </c>
      <c r="K459" t="str">
        <v>UND</v>
      </c>
      <c r="L459">
        <v>0</v>
      </c>
      <c r="M459">
        <v>32671</v>
      </c>
      <c r="N459" s="115">
        <f t="shared" si="22"/>
        <v>32671</v>
      </c>
      <c r="O459" s="146">
        <f t="shared" si="23"/>
        <v>32671</v>
      </c>
      <c r="P459" s="119"/>
    </row>
    <row r="460" spans="2:16" ht="15" customHeight="1" x14ac:dyDescent="0.25">
      <c r="B460" s="86" t="s">
        <v>878</v>
      </c>
      <c r="C460" s="87" t="s">
        <v>879</v>
      </c>
      <c r="D460" s="82" t="s">
        <v>16</v>
      </c>
      <c r="E460" s="83">
        <v>6</v>
      </c>
      <c r="F460" s="88">
        <v>44246</v>
      </c>
      <c r="G460" s="89">
        <f t="shared" si="21"/>
        <v>265476</v>
      </c>
      <c r="H460" s="209"/>
      <c r="I460" s="209"/>
      <c r="J460" s="213" t="str">
        <f t="array" ref="J460:M460">_xlfn.XLOOKUP(C460,'ESAP NEIVA FASE II UNIFICADO'!$C$6:$C$720,'ESAP NEIVA FASE II UNIFICADO'!$C$6:$F$720,"NO ESTA")</f>
        <v>SUMINISTRO E INSTALACION REJILLAS DE TOMA AIRE EXTERNO TAE 12" x 8"</v>
      </c>
      <c r="K460" t="str">
        <v>UND</v>
      </c>
      <c r="L460">
        <v>16</v>
      </c>
      <c r="M460">
        <v>45518</v>
      </c>
      <c r="N460" s="115">
        <f t="shared" si="22"/>
        <v>45518</v>
      </c>
      <c r="O460" s="146">
        <f t="shared" si="23"/>
        <v>273108</v>
      </c>
      <c r="P460" s="119"/>
    </row>
    <row r="461" spans="2:16" ht="15" customHeight="1" x14ac:dyDescent="0.25">
      <c r="B461" s="86" t="s">
        <v>880</v>
      </c>
      <c r="C461" s="87" t="s">
        <v>881</v>
      </c>
      <c r="D461" s="82" t="s">
        <v>16</v>
      </c>
      <c r="E461" s="83">
        <v>1</v>
      </c>
      <c r="F461" s="88">
        <v>56734</v>
      </c>
      <c r="G461" s="89">
        <f t="shared" si="21"/>
        <v>56734</v>
      </c>
      <c r="H461" s="209"/>
      <c r="I461" s="209"/>
      <c r="J461" s="213" t="str">
        <f t="array" ref="J461:M461">_xlfn.XLOOKUP(C461,'ESAP NEIVA FASE II UNIFICADO'!$C$6:$C$720,'ESAP NEIVA FASE II UNIFICADO'!$C$6:$F$720,"NO ESTA")</f>
        <v>SUMINISTRO E INSTALACION REJILLAS DE TOMA AIRE EXTERNO TAE 18" x 8"</v>
      </c>
      <c r="K461" t="str">
        <v>UND</v>
      </c>
      <c r="L461">
        <v>2</v>
      </c>
      <c r="M461">
        <v>58365</v>
      </c>
      <c r="N461" s="115">
        <f t="shared" si="22"/>
        <v>58365</v>
      </c>
      <c r="O461" s="146">
        <f t="shared" si="23"/>
        <v>58365</v>
      </c>
      <c r="P461" s="119"/>
    </row>
    <row r="462" spans="2:16" ht="25.5" customHeight="1" x14ac:dyDescent="0.25">
      <c r="B462" s="86" t="s">
        <v>882</v>
      </c>
      <c r="C462" s="87" t="s">
        <v>883</v>
      </c>
      <c r="D462" s="82" t="s">
        <v>16</v>
      </c>
      <c r="E462" s="83">
        <v>1</v>
      </c>
      <c r="F462" s="88">
        <v>562493</v>
      </c>
      <c r="G462" s="89">
        <f t="shared" si="21"/>
        <v>562493</v>
      </c>
      <c r="H462" s="209"/>
      <c r="I462" s="209"/>
      <c r="J462" s="213" t="str">
        <f t="array" ref="J462">_xlfn.XLOOKUP(C462,'ESAP NEIVA FASE II UNIFICADO'!$C$6:$C$720,'ESAP NEIVA FASE II UNIFICADO'!$C$6:$F$720,"NO ESTA")</f>
        <v>NO ESTA</v>
      </c>
      <c r="N462" s="115">
        <f t="shared" si="22"/>
        <v>562493</v>
      </c>
      <c r="O462" s="146">
        <f t="shared" si="23"/>
        <v>562493</v>
      </c>
      <c r="P462" s="119"/>
    </row>
    <row r="463" spans="2:16" ht="25.5" customHeight="1" x14ac:dyDescent="0.25">
      <c r="B463" s="86" t="s">
        <v>884</v>
      </c>
      <c r="C463" s="87" t="s">
        <v>885</v>
      </c>
      <c r="D463" s="82" t="s">
        <v>16</v>
      </c>
      <c r="E463" s="83">
        <v>1</v>
      </c>
      <c r="F463" s="88">
        <v>649370</v>
      </c>
      <c r="G463" s="89">
        <f t="shared" si="21"/>
        <v>649370</v>
      </c>
      <c r="H463" s="209"/>
      <c r="I463" s="209"/>
      <c r="J463" s="213" t="str">
        <f t="array" ref="J463">_xlfn.XLOOKUP(C463,'ESAP NEIVA FASE II UNIFICADO'!$C$6:$C$720,'ESAP NEIVA FASE II UNIFICADO'!$C$6:$F$720,"NO ESTA")</f>
        <v>NO ESTA</v>
      </c>
      <c r="N463" s="115">
        <f t="shared" si="22"/>
        <v>649370</v>
      </c>
      <c r="O463" s="146">
        <f t="shared" si="23"/>
        <v>649370</v>
      </c>
      <c r="P463" s="119"/>
    </row>
    <row r="464" spans="2:16" ht="15" customHeight="1" x14ac:dyDescent="0.25">
      <c r="B464" s="80" t="s">
        <v>886</v>
      </c>
      <c r="C464" s="81" t="s">
        <v>887</v>
      </c>
      <c r="D464" s="82"/>
      <c r="E464" s="83"/>
      <c r="F464" s="90">
        <v>0</v>
      </c>
      <c r="G464" s="89">
        <f t="shared" si="21"/>
        <v>0</v>
      </c>
      <c r="H464" s="209"/>
      <c r="I464" s="209"/>
      <c r="J464" s="213" t="str">
        <f t="array" ref="J464:M464">_xlfn.XLOOKUP(C464,'ESAP NEIVA FASE II UNIFICADO'!$C$6:$C$720,'ESAP NEIVA FASE II UNIFICADO'!$C$6:$F$720,"NO ESTA")</f>
        <v>SUMINSITRO, MONTAJE E INSTALACIÓN DE VENTILACIÓN MECANICA</v>
      </c>
      <c r="K464">
        <v>0</v>
      </c>
      <c r="L464">
        <v>0</v>
      </c>
      <c r="M464">
        <v>0</v>
      </c>
      <c r="N464" s="115">
        <f t="shared" si="22"/>
        <v>0</v>
      </c>
      <c r="O464" s="146">
        <f t="shared" si="23"/>
        <v>0</v>
      </c>
      <c r="P464" s="119"/>
    </row>
    <row r="465" spans="2:16" ht="15" customHeight="1" x14ac:dyDescent="0.25">
      <c r="B465" s="86" t="s">
        <v>888</v>
      </c>
      <c r="C465" s="87" t="s">
        <v>851</v>
      </c>
      <c r="D465" s="82" t="s">
        <v>13</v>
      </c>
      <c r="E465" s="83">
        <v>32</v>
      </c>
      <c r="F465" s="88">
        <v>87499</v>
      </c>
      <c r="G465" s="89">
        <f t="shared" si="21"/>
        <v>2799968</v>
      </c>
      <c r="H465" s="209"/>
      <c r="I465" s="209"/>
      <c r="J465" s="213" t="str">
        <f t="array" ref="J465:M465">_xlfn.XLOOKUP(C465,'ESAP NEIVA FASE II UNIFICADO'!$C$6:$C$720,'ESAP NEIVA FASE II UNIFICADO'!$C$6:$F$720,"NO ESTA")</f>
        <v>SUMINISTRO E INSTALACION DUCTOS EN LAMINA GALVANIZADA CAL. 20 Wrap UMAS</v>
      </c>
      <c r="K465" t="str">
        <v>M2</v>
      </c>
      <c r="L465">
        <v>150</v>
      </c>
      <c r="M465">
        <v>76603</v>
      </c>
      <c r="N465" s="115">
        <f t="shared" si="22"/>
        <v>87499</v>
      </c>
      <c r="O465" s="146">
        <f t="shared" si="23"/>
        <v>2799968</v>
      </c>
      <c r="P465" s="119"/>
    </row>
    <row r="466" spans="2:16" ht="15" customHeight="1" x14ac:dyDescent="0.25">
      <c r="B466" s="86" t="s">
        <v>889</v>
      </c>
      <c r="C466" s="87" t="s">
        <v>890</v>
      </c>
      <c r="D466" s="82" t="s">
        <v>13</v>
      </c>
      <c r="E466" s="83">
        <v>71</v>
      </c>
      <c r="F466" s="88">
        <v>81255</v>
      </c>
      <c r="G466" s="89">
        <f t="shared" si="21"/>
        <v>5769105</v>
      </c>
      <c r="H466" s="209"/>
      <c r="I466" s="209"/>
      <c r="J466" s="213" t="str">
        <f t="array" ref="J466:M466">_xlfn.XLOOKUP(C466,'ESAP NEIVA FASE II UNIFICADO'!$C$6:$C$720,'ESAP NEIVA FASE II UNIFICADO'!$C$6:$F$720,"NO ESTA")</f>
        <v>SUMINISTRO E INSTALACION DUCTOS EN LAMINA GALVANIZADA CAL. 22 Wrap UMAS</v>
      </c>
      <c r="K466" t="str">
        <v>M2</v>
      </c>
      <c r="L466">
        <v>191</v>
      </c>
      <c r="M466">
        <v>83592</v>
      </c>
      <c r="N466" s="115">
        <f t="shared" si="22"/>
        <v>83592</v>
      </c>
      <c r="O466" s="146">
        <f t="shared" si="23"/>
        <v>5935032</v>
      </c>
      <c r="P466" s="119"/>
    </row>
    <row r="467" spans="2:16" ht="15" customHeight="1" x14ac:dyDescent="0.25">
      <c r="B467" s="86" t="s">
        <v>891</v>
      </c>
      <c r="C467" s="87" t="s">
        <v>892</v>
      </c>
      <c r="D467" s="82" t="s">
        <v>16</v>
      </c>
      <c r="E467" s="83">
        <v>1</v>
      </c>
      <c r="F467" s="88">
        <v>484511</v>
      </c>
      <c r="G467" s="89">
        <f t="shared" si="21"/>
        <v>484511</v>
      </c>
      <c r="H467" s="209"/>
      <c r="I467" s="209"/>
      <c r="J467" s="213" t="str">
        <f t="array" ref="J467:M467">_xlfn.XLOOKUP(C467,'ESAP NEIVA FASE II UNIFICADO'!$C$6:$C$720,'ESAP NEIVA FASE II UNIFICADO'!$C$6:$F$720,"NO ESTA")</f>
        <v>SUMINISTRO E INSTALACION BANCO DE FILTROS</v>
      </c>
      <c r="K467" t="str">
        <v>UND</v>
      </c>
      <c r="L467">
        <v>2</v>
      </c>
      <c r="M467">
        <v>498443</v>
      </c>
      <c r="N467" s="115">
        <f t="shared" si="22"/>
        <v>498443</v>
      </c>
      <c r="O467" s="146">
        <f t="shared" si="23"/>
        <v>498443</v>
      </c>
      <c r="P467" s="119"/>
    </row>
    <row r="468" spans="2:16" ht="15" customHeight="1" x14ac:dyDescent="0.25">
      <c r="B468" s="80" t="s">
        <v>893</v>
      </c>
      <c r="C468" s="81" t="s">
        <v>894</v>
      </c>
      <c r="D468" s="82"/>
      <c r="E468" s="83"/>
      <c r="F468" s="90">
        <v>0</v>
      </c>
      <c r="G468" s="89">
        <f t="shared" si="21"/>
        <v>0</v>
      </c>
      <c r="H468" s="209"/>
      <c r="I468" s="209"/>
      <c r="J468" s="213" t="str">
        <f t="array" ref="J468:M468">_xlfn.XLOOKUP(C468,'ESAP NEIVA FASE II UNIFICADO'!$C$6:$C$720,'ESAP NEIVA FASE II UNIFICADO'!$C$6:$F$720,"NO ESTA")</f>
        <v>SUMNISTRO, INSTALACION Y MONTAJE CONTROL</v>
      </c>
      <c r="K468">
        <v>0</v>
      </c>
      <c r="L468">
        <v>0</v>
      </c>
      <c r="M468">
        <v>0</v>
      </c>
      <c r="N468" s="115">
        <f t="shared" si="22"/>
        <v>0</v>
      </c>
      <c r="O468" s="146">
        <f t="shared" si="23"/>
        <v>0</v>
      </c>
      <c r="P468" s="119"/>
    </row>
    <row r="469" spans="2:16" ht="15" customHeight="1" x14ac:dyDescent="0.25">
      <c r="B469" s="86" t="s">
        <v>895</v>
      </c>
      <c r="C469" s="87" t="s">
        <v>896</v>
      </c>
      <c r="D469" s="82" t="s">
        <v>16</v>
      </c>
      <c r="E469" s="83">
        <v>1</v>
      </c>
      <c r="F469" s="88">
        <v>1923036</v>
      </c>
      <c r="G469" s="89">
        <f t="shared" si="21"/>
        <v>1923036</v>
      </c>
      <c r="H469" s="209"/>
      <c r="I469" s="209"/>
      <c r="J469" s="213" t="str">
        <f t="array" ref="J469:M469">_xlfn.XLOOKUP(C469,'ESAP NEIVA FASE II UNIFICADO'!$C$6:$C$720,'ESAP NEIVA FASE II UNIFICADO'!$C$6:$F$720,"NO ESTA")</f>
        <v>SUMINISTRO E INSTALACION VALVULA BYPASS 2"</v>
      </c>
      <c r="K469" t="str">
        <v>UND</v>
      </c>
      <c r="L469">
        <v>1</v>
      </c>
      <c r="M469">
        <v>1978337</v>
      </c>
      <c r="N469" s="115">
        <f t="shared" si="22"/>
        <v>1978337</v>
      </c>
      <c r="O469" s="146">
        <f t="shared" si="23"/>
        <v>1978337</v>
      </c>
      <c r="P469" s="119"/>
    </row>
    <row r="470" spans="2:16" ht="15" customHeight="1" x14ac:dyDescent="0.25">
      <c r="B470" s="86" t="s">
        <v>897</v>
      </c>
      <c r="C470" s="87" t="s">
        <v>898</v>
      </c>
      <c r="D470" s="82" t="s">
        <v>16</v>
      </c>
      <c r="E470" s="83">
        <v>2</v>
      </c>
      <c r="F470" s="88">
        <v>1173812</v>
      </c>
      <c r="G470" s="89">
        <f t="shared" si="21"/>
        <v>2347624</v>
      </c>
      <c r="H470" s="209"/>
      <c r="I470" s="209"/>
      <c r="J470" s="213" t="str">
        <f t="array" ref="J470:M470">_xlfn.XLOOKUP(C470,'ESAP NEIVA FASE II UNIFICADO'!$C$6:$C$720,'ESAP NEIVA FASE II UNIFICADO'!$C$6:$F$720,"NO ESTA")</f>
        <v>SUMINISTRO E INSTALACION SENSOR DIFERENCIAL DE PRESIÓN SISTEMA AGUA FRIA</v>
      </c>
      <c r="K470" t="str">
        <v>UND</v>
      </c>
      <c r="L470">
        <v>2</v>
      </c>
      <c r="M470">
        <v>1207567</v>
      </c>
      <c r="N470" s="115">
        <f t="shared" si="22"/>
        <v>1207567</v>
      </c>
      <c r="O470" s="146">
        <f t="shared" si="23"/>
        <v>2415134</v>
      </c>
      <c r="P470" s="119"/>
    </row>
    <row r="471" spans="2:16" ht="15" customHeight="1" x14ac:dyDescent="0.25">
      <c r="B471" s="86" t="s">
        <v>899</v>
      </c>
      <c r="C471" s="87" t="s">
        <v>900</v>
      </c>
      <c r="D471" s="82" t="s">
        <v>16</v>
      </c>
      <c r="E471" s="83">
        <v>1</v>
      </c>
      <c r="F471" s="88">
        <v>843506</v>
      </c>
      <c r="G471" s="89">
        <f t="shared" si="21"/>
        <v>843506</v>
      </c>
      <c r="H471" s="209"/>
      <c r="I471" s="209"/>
      <c r="J471" s="213" t="str">
        <f t="array" ref="J471:M471">_xlfn.XLOOKUP(C471,'ESAP NEIVA FASE II UNIFICADO'!$C$6:$C$720,'ESAP NEIVA FASE II UNIFICADO'!$C$6:$F$720,"NO ESTA")</f>
        <v>SUMINISTRO E INSTALACION SENSOR DIFERENCIAL DE PRESIÓN SISTEMA AIRE UMAS</v>
      </c>
      <c r="K471" t="str">
        <v>UND</v>
      </c>
      <c r="L471">
        <v>1</v>
      </c>
      <c r="M471">
        <v>867763</v>
      </c>
      <c r="N471" s="115">
        <f t="shared" si="22"/>
        <v>867763</v>
      </c>
      <c r="O471" s="146">
        <f t="shared" si="23"/>
        <v>867763</v>
      </c>
      <c r="P471" s="119"/>
    </row>
    <row r="472" spans="2:16" ht="15" customHeight="1" x14ac:dyDescent="0.25">
      <c r="B472" s="86" t="s">
        <v>901</v>
      </c>
      <c r="C472" s="87" t="s">
        <v>902</v>
      </c>
      <c r="D472" s="82" t="s">
        <v>16</v>
      </c>
      <c r="E472" s="83">
        <v>1</v>
      </c>
      <c r="F472" s="88">
        <v>843506</v>
      </c>
      <c r="G472" s="89">
        <f t="shared" si="21"/>
        <v>843506</v>
      </c>
      <c r="H472" s="209"/>
      <c r="I472" s="209"/>
      <c r="J472" s="213" t="str">
        <f t="array" ref="J472:M472">_xlfn.XLOOKUP(C472,'ESAP NEIVA FASE II UNIFICADO'!$C$6:$C$720,'ESAP NEIVA FASE II UNIFICADO'!$C$6:$F$720,"NO ESTA")</f>
        <v>SUMINISTRO E INSTALACION SENSOR DE FLUJO AIRE UMAS</v>
      </c>
      <c r="K472" t="str">
        <v>UND</v>
      </c>
      <c r="L472">
        <v>2</v>
      </c>
      <c r="M472">
        <v>867763</v>
      </c>
      <c r="N472" s="115">
        <f t="shared" si="22"/>
        <v>867763</v>
      </c>
      <c r="O472" s="146">
        <f t="shared" si="23"/>
        <v>867763</v>
      </c>
      <c r="P472" s="119"/>
    </row>
    <row r="473" spans="2:16" ht="15" customHeight="1" x14ac:dyDescent="0.25">
      <c r="B473" s="86" t="s">
        <v>903</v>
      </c>
      <c r="C473" s="87" t="s">
        <v>904</v>
      </c>
      <c r="D473" s="82" t="s">
        <v>16</v>
      </c>
      <c r="E473" s="83">
        <v>2</v>
      </c>
      <c r="F473" s="88">
        <v>1073893</v>
      </c>
      <c r="G473" s="89">
        <f t="shared" si="21"/>
        <v>2147786</v>
      </c>
      <c r="H473" s="209"/>
      <c r="I473" s="209"/>
      <c r="J473" s="213" t="str">
        <f t="array" ref="J473:M473">_xlfn.XLOOKUP(C473,'ESAP NEIVA FASE II UNIFICADO'!$C$6:$C$720,'ESAP NEIVA FASE II UNIFICADO'!$C$6:$F$720,"NO ESTA")</f>
        <v>SUMINISTRO E INSTALACION SENSOR CO</v>
      </c>
      <c r="K473" t="str">
        <v>UND</v>
      </c>
      <c r="L473">
        <v>3</v>
      </c>
      <c r="M473">
        <v>1104774</v>
      </c>
      <c r="N473" s="115">
        <f t="shared" si="22"/>
        <v>1104774</v>
      </c>
      <c r="O473" s="146">
        <f t="shared" si="23"/>
        <v>2209548</v>
      </c>
      <c r="P473" s="119"/>
    </row>
    <row r="474" spans="2:16" ht="15" customHeight="1" x14ac:dyDescent="0.25">
      <c r="B474" s="86" t="s">
        <v>905</v>
      </c>
      <c r="C474" s="87" t="s">
        <v>906</v>
      </c>
      <c r="D474" s="82" t="s">
        <v>16</v>
      </c>
      <c r="E474" s="83">
        <v>2</v>
      </c>
      <c r="F474" s="88">
        <v>322168</v>
      </c>
      <c r="G474" s="89">
        <f t="shared" si="21"/>
        <v>644336</v>
      </c>
      <c r="H474" s="209"/>
      <c r="I474" s="209"/>
      <c r="J474" s="213" t="str">
        <f t="array" ref="J474:M474">_xlfn.XLOOKUP(C474,'ESAP NEIVA FASE II UNIFICADO'!$C$6:$C$720,'ESAP NEIVA FASE II UNIFICADO'!$C$6:$F$720,"NO ESTA")</f>
        <v>SUMINISTRO E INSTALACION SENSOR CONTROL CO2 UMAS</v>
      </c>
      <c r="K474" t="str">
        <v>UND</v>
      </c>
      <c r="L474">
        <v>2</v>
      </c>
      <c r="M474">
        <v>331432</v>
      </c>
      <c r="N474" s="115">
        <f t="shared" si="22"/>
        <v>331432</v>
      </c>
      <c r="O474" s="146">
        <f t="shared" si="23"/>
        <v>662864</v>
      </c>
      <c r="P474" s="119"/>
    </row>
    <row r="475" spans="2:16" ht="15" customHeight="1" x14ac:dyDescent="0.25">
      <c r="B475" s="74">
        <v>18</v>
      </c>
      <c r="C475" s="75" t="s">
        <v>907</v>
      </c>
      <c r="D475" s="76"/>
      <c r="E475" s="77"/>
      <c r="F475" s="78">
        <v>0</v>
      </c>
      <c r="G475" s="89">
        <f t="shared" si="21"/>
        <v>0</v>
      </c>
      <c r="H475" s="209"/>
      <c r="I475" s="209"/>
      <c r="J475" s="213" t="str">
        <f t="array" ref="J475:M475">_xlfn.XLOOKUP(C475,'ESAP NEIVA FASE II UNIFICADO'!$C$6:$C$720,'ESAP NEIVA FASE II UNIFICADO'!$C$6:$F$720,"NO ESTA")</f>
        <v>RED DE VOZ Y DATOS Cat. 6A BLINDADO LSZH (Low Smoke Zero Halogen)</v>
      </c>
      <c r="K475">
        <v>0</v>
      </c>
      <c r="L475">
        <v>0</v>
      </c>
      <c r="M475">
        <v>0</v>
      </c>
      <c r="N475" s="115">
        <f t="shared" si="22"/>
        <v>0</v>
      </c>
      <c r="O475" s="146">
        <f t="shared" si="23"/>
        <v>0</v>
      </c>
      <c r="P475" s="119"/>
    </row>
    <row r="476" spans="2:16" ht="15" customHeight="1" x14ac:dyDescent="0.25">
      <c r="B476" s="80" t="s">
        <v>908</v>
      </c>
      <c r="C476" s="81" t="s">
        <v>909</v>
      </c>
      <c r="D476" s="82"/>
      <c r="E476" s="83"/>
      <c r="F476" s="90">
        <v>0</v>
      </c>
      <c r="G476" s="89">
        <f t="shared" si="21"/>
        <v>0</v>
      </c>
      <c r="H476" s="209"/>
      <c r="I476" s="209"/>
      <c r="J476" s="213" t="str">
        <f t="array" ref="J476:M476">_xlfn.XLOOKUP(C476,'ESAP NEIVA FASE II UNIFICADO'!$C$6:$C$720,'ESAP NEIVA FASE II UNIFICADO'!$C$6:$F$720,"NO ESTA")</f>
        <v>SUMINISTRO E INSTALACION DE TOMAS PUESTOS DE TRABAJO</v>
      </c>
      <c r="K476">
        <v>0</v>
      </c>
      <c r="L476">
        <v>0</v>
      </c>
      <c r="M476">
        <v>0</v>
      </c>
      <c r="N476" s="115">
        <f t="shared" si="22"/>
        <v>0</v>
      </c>
      <c r="O476" s="146">
        <f t="shared" si="23"/>
        <v>0</v>
      </c>
      <c r="P476" s="119"/>
    </row>
    <row r="477" spans="2:16" ht="26.25" customHeight="1" x14ac:dyDescent="0.25">
      <c r="B477" s="86" t="s">
        <v>910</v>
      </c>
      <c r="C477" s="87" t="s">
        <v>911</v>
      </c>
      <c r="D477" s="82" t="s">
        <v>16</v>
      </c>
      <c r="E477" s="83">
        <v>64</v>
      </c>
      <c r="F477" s="88">
        <v>36542</v>
      </c>
      <c r="G477" s="89">
        <f t="shared" si="21"/>
        <v>2338688</v>
      </c>
      <c r="H477" s="209"/>
      <c r="I477" s="209"/>
      <c r="J477" s="213" t="str">
        <f t="array" ref="J477:M477">_xlfn.XLOOKUP(C477,'ESAP NEIVA FASE II UNIFICADO'!$C$6:$C$720,'ESAP NEIVA FASE II UNIFICADO'!$C$6:$F$720,"NO ESTA")</f>
        <v xml:space="preserve">SUMINISTRO E INSTALACION TOMAS SENCILLA RJ45 Cat. 6A DATOS BLINDADO INCLUYE MARQUILLAS </v>
      </c>
      <c r="K477" t="str">
        <v>UND</v>
      </c>
      <c r="L477">
        <v>172</v>
      </c>
      <c r="M477">
        <v>37593</v>
      </c>
      <c r="N477" s="115">
        <f t="shared" si="22"/>
        <v>37593</v>
      </c>
      <c r="O477" s="146">
        <f t="shared" si="23"/>
        <v>2405952</v>
      </c>
      <c r="P477" s="119"/>
    </row>
    <row r="478" spans="2:16" ht="26.25" customHeight="1" x14ac:dyDescent="0.25">
      <c r="B478" s="86" t="s">
        <v>912</v>
      </c>
      <c r="C478" s="87" t="s">
        <v>913</v>
      </c>
      <c r="D478" s="82" t="s">
        <v>16</v>
      </c>
      <c r="E478" s="83">
        <v>14</v>
      </c>
      <c r="F478" s="88">
        <v>36542</v>
      </c>
      <c r="G478" s="89">
        <f t="shared" si="21"/>
        <v>511588</v>
      </c>
      <c r="H478" s="209"/>
      <c r="I478" s="209"/>
      <c r="J478" s="213" t="str">
        <f t="array" ref="J478:M478">_xlfn.XLOOKUP(C478,'ESAP NEIVA FASE II UNIFICADO'!$C$6:$C$720,'ESAP NEIVA FASE II UNIFICADO'!$C$6:$F$720,"NO ESTA")</f>
        <v>SUMINISTRO E INSTALACION TOMAS SENCILLA RJ45 Cat. 6A VOZ BLINDADO INCLUYE MARQUILLAS</v>
      </c>
      <c r="K478" t="str">
        <v>UND</v>
      </c>
      <c r="L478">
        <v>38</v>
      </c>
      <c r="M478">
        <v>37593</v>
      </c>
      <c r="N478" s="115">
        <f t="shared" si="22"/>
        <v>37593</v>
      </c>
      <c r="O478" s="146">
        <f t="shared" si="23"/>
        <v>526302</v>
      </c>
      <c r="P478" s="119"/>
    </row>
    <row r="479" spans="2:16" ht="15" customHeight="1" x14ac:dyDescent="0.25">
      <c r="B479" s="86" t="s">
        <v>914</v>
      </c>
      <c r="C479" s="87" t="s">
        <v>915</v>
      </c>
      <c r="D479" s="82" t="s">
        <v>16</v>
      </c>
      <c r="E479" s="83">
        <v>64</v>
      </c>
      <c r="F479" s="88">
        <v>9646</v>
      </c>
      <c r="G479" s="89">
        <f t="shared" si="21"/>
        <v>617344</v>
      </c>
      <c r="H479" s="209"/>
      <c r="I479" s="209"/>
      <c r="J479" s="213" t="str">
        <f t="array" ref="J479:M479">_xlfn.XLOOKUP(C479,'ESAP NEIVA FASE II UNIFICADO'!$C$6:$C$720,'ESAP NEIVA FASE II UNIFICADO'!$C$6:$F$720,"NO ESTA")</f>
        <v>SUMINISTRO E INSTALACION FACE PLATE DOBLE PARA TOMA RJ45</v>
      </c>
      <c r="K479" t="str">
        <v>UND</v>
      </c>
      <c r="L479">
        <v>172</v>
      </c>
      <c r="M479">
        <v>9923</v>
      </c>
      <c r="N479" s="115">
        <f t="shared" si="22"/>
        <v>9923</v>
      </c>
      <c r="O479" s="146">
        <f t="shared" si="23"/>
        <v>635072</v>
      </c>
      <c r="P479" s="119"/>
    </row>
    <row r="480" spans="2:16" ht="15" customHeight="1" x14ac:dyDescent="0.25">
      <c r="B480" s="86" t="s">
        <v>916</v>
      </c>
      <c r="C480" s="87" t="s">
        <v>917</v>
      </c>
      <c r="D480" s="82" t="s">
        <v>16</v>
      </c>
      <c r="E480" s="83">
        <v>64</v>
      </c>
      <c r="F480" s="88">
        <v>43957</v>
      </c>
      <c r="G480" s="89">
        <f t="shared" si="21"/>
        <v>2813248</v>
      </c>
      <c r="H480" s="209"/>
      <c r="I480" s="209"/>
      <c r="J480" s="213" t="str">
        <f t="array" ref="J480:M480">_xlfn.XLOOKUP(C480,'ESAP NEIVA FASE II UNIFICADO'!$C$6:$C$720,'ESAP NEIVA FASE II UNIFICADO'!$C$6:$F$720,"NO ESTA")</f>
        <v>SUMINISTRO E INSTALACION PATCH CORD. RJ45-RJ45 1,5 m Cat. 6A BLINDADO</v>
      </c>
      <c r="K480" t="str">
        <v>UND</v>
      </c>
      <c r="L480">
        <v>172</v>
      </c>
      <c r="M480">
        <v>45221</v>
      </c>
      <c r="N480" s="115">
        <f t="shared" si="22"/>
        <v>45221</v>
      </c>
      <c r="O480" s="146">
        <f t="shared" si="23"/>
        <v>2894144</v>
      </c>
      <c r="P480" s="119"/>
    </row>
    <row r="481" spans="2:16" ht="15" customHeight="1" x14ac:dyDescent="0.25">
      <c r="B481" s="80" t="s">
        <v>918</v>
      </c>
      <c r="C481" s="81" t="s">
        <v>919</v>
      </c>
      <c r="D481" s="82"/>
      <c r="E481" s="83"/>
      <c r="F481" s="104">
        <v>0</v>
      </c>
      <c r="G481" s="89">
        <f t="shared" si="21"/>
        <v>0</v>
      </c>
      <c r="H481" s="209"/>
      <c r="I481" s="209"/>
      <c r="J481" s="213" t="str">
        <f t="array" ref="J481:M481">_xlfn.XLOOKUP(C481,'ESAP NEIVA FASE II UNIFICADO'!$C$6:$C$720,'ESAP NEIVA FASE II UNIFICADO'!$C$6:$F$720,"NO ESTA")</f>
        <v>SUMINISTRO E INSTALACION DE CABLES</v>
      </c>
      <c r="K481">
        <v>0</v>
      </c>
      <c r="L481">
        <v>0</v>
      </c>
      <c r="M481">
        <v>0</v>
      </c>
      <c r="N481" s="115">
        <f t="shared" si="22"/>
        <v>0</v>
      </c>
      <c r="O481" s="146">
        <f t="shared" si="23"/>
        <v>0</v>
      </c>
      <c r="P481" s="119"/>
    </row>
    <row r="482" spans="2:16" ht="24.75" customHeight="1" x14ac:dyDescent="0.25">
      <c r="B482" s="86" t="s">
        <v>920</v>
      </c>
      <c r="C482" s="87" t="s">
        <v>921</v>
      </c>
      <c r="D482" s="82" t="s">
        <v>94</v>
      </c>
      <c r="E482" s="83">
        <v>1765</v>
      </c>
      <c r="F482" s="88">
        <v>4378</v>
      </c>
      <c r="G482" s="89">
        <f t="shared" si="21"/>
        <v>7727170</v>
      </c>
      <c r="H482" s="209"/>
      <c r="I482" s="209"/>
      <c r="J482" s="213" t="str">
        <f t="array" ref="J482:M482">_xlfn.XLOOKUP(C482,'ESAP NEIVA FASE II UNIFICADO'!$C$6:$C$720,'ESAP NEIVA FASE II UNIFICADO'!$C$6:$F$720,"NO ESTA")</f>
        <v>SUMINISTRO E INSTALACION CABLE 10 G F/UTP Cat. 6A CON CHAQUETA LSZH (LOW SMOKE ZERO HALOGEN)</v>
      </c>
      <c r="K482" t="str">
        <v>ML</v>
      </c>
      <c r="L482">
        <v>11247</v>
      </c>
      <c r="M482">
        <v>4503</v>
      </c>
      <c r="N482" s="115">
        <f t="shared" si="22"/>
        <v>4503</v>
      </c>
      <c r="O482" s="146">
        <f t="shared" si="23"/>
        <v>7947795</v>
      </c>
      <c r="P482" s="119"/>
    </row>
    <row r="483" spans="2:16" ht="15" customHeight="1" x14ac:dyDescent="0.25">
      <c r="B483" s="80" t="s">
        <v>922</v>
      </c>
      <c r="C483" s="81" t="s">
        <v>923</v>
      </c>
      <c r="D483" s="82"/>
      <c r="E483" s="83"/>
      <c r="F483" s="104">
        <v>0</v>
      </c>
      <c r="G483" s="89">
        <f t="shared" si="21"/>
        <v>0</v>
      </c>
      <c r="H483" s="209"/>
      <c r="I483" s="209"/>
      <c r="J483" s="213" t="str">
        <f t="array" ref="J483:M483">_xlfn.XLOOKUP(C483,'ESAP NEIVA FASE II UNIFICADO'!$C$6:$C$720,'ESAP NEIVA FASE II UNIFICADO'!$C$6:$F$720,"NO ESTA")</f>
        <v xml:space="preserve">SUMINISTRO E INSTALACION DE ELEMENTOS DE ADMINISTRACIÓN </v>
      </c>
      <c r="K483">
        <v>0</v>
      </c>
      <c r="L483">
        <v>0</v>
      </c>
      <c r="M483">
        <v>0</v>
      </c>
      <c r="N483" s="115">
        <f t="shared" si="22"/>
        <v>0</v>
      </c>
      <c r="O483" s="146">
        <f t="shared" si="23"/>
        <v>0</v>
      </c>
      <c r="P483" s="119"/>
    </row>
    <row r="484" spans="2:16" ht="15" customHeight="1" x14ac:dyDescent="0.25">
      <c r="B484" s="86" t="s">
        <v>924</v>
      </c>
      <c r="C484" s="87" t="s">
        <v>925</v>
      </c>
      <c r="D484" s="82" t="s">
        <v>16</v>
      </c>
      <c r="E484" s="83">
        <v>4</v>
      </c>
      <c r="F484" s="88">
        <v>261119</v>
      </c>
      <c r="G484" s="89">
        <f t="shared" si="21"/>
        <v>1044476</v>
      </c>
      <c r="H484" s="209"/>
      <c r="I484" s="209"/>
      <c r="J484" s="213" t="str">
        <f t="array" ref="J484:M484">_xlfn.XLOOKUP(C484,'ESAP NEIVA FASE II UNIFICADO'!$C$6:$C$720,'ESAP NEIVA FASE II UNIFICADO'!$C$6:$F$720,"NO ESTA")</f>
        <v>SUMINISTRO E INSTALACION HERRAJE PATVH PANEL 24 Pts Cat. 6A BLINDADO</v>
      </c>
      <c r="K484" t="str">
        <v>UND</v>
      </c>
      <c r="L484">
        <v>9</v>
      </c>
      <c r="M484">
        <v>268628</v>
      </c>
      <c r="N484" s="115">
        <f t="shared" si="22"/>
        <v>268628</v>
      </c>
      <c r="O484" s="146">
        <f t="shared" si="23"/>
        <v>1074512</v>
      </c>
      <c r="P484" s="119"/>
    </row>
    <row r="485" spans="2:16" ht="26.25" customHeight="1" x14ac:dyDescent="0.25">
      <c r="B485" s="86" t="s">
        <v>926</v>
      </c>
      <c r="C485" s="87" t="s">
        <v>927</v>
      </c>
      <c r="D485" s="82" t="s">
        <v>16</v>
      </c>
      <c r="E485" s="83">
        <v>64</v>
      </c>
      <c r="F485" s="88">
        <v>36544</v>
      </c>
      <c r="G485" s="89">
        <f t="shared" si="21"/>
        <v>2338816</v>
      </c>
      <c r="H485" s="209"/>
      <c r="I485" s="209"/>
      <c r="J485" s="213" t="str">
        <f t="array" ref="J485:M485">_xlfn.XLOOKUP(C485,'ESAP NEIVA FASE II UNIFICADO'!$C$6:$C$720,'ESAP NEIVA FASE II UNIFICADO'!$C$6:$F$720,"NO ESTA")</f>
        <v>SUMINISTRO E INSTALACION TOMA SENCILLA RJ45 Cat. 6A AZUL DATOS BLINDADO INCLUYE MARQUILLAS</v>
      </c>
      <c r="K485" t="str">
        <v>UND</v>
      </c>
      <c r="L485">
        <v>172</v>
      </c>
      <c r="M485">
        <v>37595</v>
      </c>
      <c r="N485" s="115">
        <f t="shared" si="22"/>
        <v>37595</v>
      </c>
      <c r="O485" s="146">
        <f t="shared" si="23"/>
        <v>2406080</v>
      </c>
      <c r="P485" s="119"/>
    </row>
    <row r="486" spans="2:16" ht="26.25" customHeight="1" x14ac:dyDescent="0.25">
      <c r="B486" s="86" t="s">
        <v>928</v>
      </c>
      <c r="C486" s="87" t="s">
        <v>929</v>
      </c>
      <c r="D486" s="82" t="s">
        <v>16</v>
      </c>
      <c r="E486" s="83">
        <v>14</v>
      </c>
      <c r="F486" s="88">
        <v>36544</v>
      </c>
      <c r="G486" s="89">
        <f t="shared" si="21"/>
        <v>511616</v>
      </c>
      <c r="H486" s="209"/>
      <c r="I486" s="209"/>
      <c r="J486" s="213" t="str">
        <f t="array" ref="J486:M486">_xlfn.XLOOKUP(C486,'ESAP NEIVA FASE II UNIFICADO'!$C$6:$C$720,'ESAP NEIVA FASE II UNIFICADO'!$C$6:$F$720,"NO ESTA")</f>
        <v>SUMINISTRO E INSTALACION TOMA SENCILLA RJ45 Cat. 6A ROJO VOZ BLINDADO INCLUYE MARQUILLAS</v>
      </c>
      <c r="K486" t="str">
        <v>UND</v>
      </c>
      <c r="L486">
        <v>38</v>
      </c>
      <c r="M486">
        <v>37595</v>
      </c>
      <c r="N486" s="115">
        <f t="shared" si="22"/>
        <v>37595</v>
      </c>
      <c r="O486" s="146">
        <f t="shared" si="23"/>
        <v>526330</v>
      </c>
      <c r="P486" s="119"/>
    </row>
    <row r="487" spans="2:16" ht="15" customHeight="1" x14ac:dyDescent="0.25">
      <c r="B487" s="86" t="s">
        <v>930</v>
      </c>
      <c r="C487" s="87" t="s">
        <v>931</v>
      </c>
      <c r="D487" s="82" t="s">
        <v>16</v>
      </c>
      <c r="E487" s="83">
        <v>64</v>
      </c>
      <c r="F487" s="88">
        <v>46873</v>
      </c>
      <c r="G487" s="89">
        <f t="shared" si="21"/>
        <v>2999872</v>
      </c>
      <c r="H487" s="209"/>
      <c r="I487" s="209"/>
      <c r="J487" s="213" t="str">
        <f t="array" ref="J487:M487">_xlfn.XLOOKUP(C487,'ESAP NEIVA FASE II UNIFICADO'!$C$6:$C$720,'ESAP NEIVA FASE II UNIFICADO'!$C$6:$F$720,"NO ESTA")</f>
        <v>SUMINISTRO E INSTALACION PATCH CORD. RJ45-RJ45 3 m Cat. 6A DATOS BLINDADO</v>
      </c>
      <c r="K487" t="str">
        <v>UND</v>
      </c>
      <c r="L487">
        <v>172</v>
      </c>
      <c r="M487">
        <v>48221</v>
      </c>
      <c r="N487" s="115">
        <f t="shared" si="22"/>
        <v>48221</v>
      </c>
      <c r="O487" s="146">
        <f t="shared" si="23"/>
        <v>3086144</v>
      </c>
      <c r="P487" s="119"/>
    </row>
    <row r="488" spans="2:16" ht="15" customHeight="1" x14ac:dyDescent="0.25">
      <c r="B488" s="86" t="s">
        <v>932</v>
      </c>
      <c r="C488" s="87" t="s">
        <v>933</v>
      </c>
      <c r="D488" s="82" t="s">
        <v>16</v>
      </c>
      <c r="E488" s="83">
        <v>14</v>
      </c>
      <c r="F488" s="88">
        <v>46873</v>
      </c>
      <c r="G488" s="89">
        <f t="shared" si="21"/>
        <v>656222</v>
      </c>
      <c r="H488" s="209"/>
      <c r="I488" s="209"/>
      <c r="J488" s="213" t="str">
        <f t="array" ref="J488:M488">_xlfn.XLOOKUP(C488,'ESAP NEIVA FASE II UNIFICADO'!$C$6:$C$720,'ESAP NEIVA FASE II UNIFICADO'!$C$6:$F$720,"NO ESTA")</f>
        <v>SUMINISTRO E INSTALACION PATCH CORD. RJ45-RJ45 3 m Cat. 6A VOZ BLINDADO</v>
      </c>
      <c r="K488" t="str">
        <v>UND</v>
      </c>
      <c r="L488">
        <v>38</v>
      </c>
      <c r="M488">
        <v>48221</v>
      </c>
      <c r="N488" s="115">
        <f t="shared" si="22"/>
        <v>48221</v>
      </c>
      <c r="O488" s="146">
        <f t="shared" si="23"/>
        <v>675094</v>
      </c>
      <c r="P488" s="119"/>
    </row>
    <row r="489" spans="2:16" ht="15" customHeight="1" x14ac:dyDescent="0.25">
      <c r="B489" s="86" t="s">
        <v>934</v>
      </c>
      <c r="C489" s="87" t="s">
        <v>935</v>
      </c>
      <c r="D489" s="82" t="s">
        <v>16</v>
      </c>
      <c r="E489" s="83">
        <v>4</v>
      </c>
      <c r="F489" s="88">
        <v>243712</v>
      </c>
      <c r="G489" s="89">
        <f t="shared" si="21"/>
        <v>974848</v>
      </c>
      <c r="H489" s="209"/>
      <c r="I489" s="209"/>
      <c r="J489" s="213" t="str">
        <f t="array" ref="J489:M489">_xlfn.XLOOKUP(C489,'ESAP NEIVA FASE II UNIFICADO'!$C$6:$C$720,'ESAP NEIVA FASE II UNIFICADO'!$C$6:$F$720,"NO ESTA")</f>
        <v>SUMINISTRO E INSTALACION ORGANIZADOR HORIZONTAL 2U</v>
      </c>
      <c r="K489" t="str">
        <v>UND</v>
      </c>
      <c r="L489">
        <v>9</v>
      </c>
      <c r="M489">
        <v>250719</v>
      </c>
      <c r="N489" s="115">
        <f t="shared" si="22"/>
        <v>250719</v>
      </c>
      <c r="O489" s="146">
        <f t="shared" si="23"/>
        <v>1002876</v>
      </c>
      <c r="P489" s="119"/>
    </row>
    <row r="490" spans="2:16" ht="15" customHeight="1" x14ac:dyDescent="0.25">
      <c r="B490" s="80" t="s">
        <v>936</v>
      </c>
      <c r="C490" s="81" t="s">
        <v>937</v>
      </c>
      <c r="D490" s="82"/>
      <c r="E490" s="83"/>
      <c r="F490" s="104">
        <v>0</v>
      </c>
      <c r="G490" s="89">
        <f t="shared" si="21"/>
        <v>0</v>
      </c>
      <c r="H490" s="209"/>
      <c r="I490" s="209"/>
      <c r="J490" s="213" t="str">
        <f t="array" ref="J490:M490">_xlfn.XLOOKUP(C490,'ESAP NEIVA FASE II UNIFICADO'!$C$6:$C$720,'ESAP NEIVA FASE II UNIFICADO'!$C$6:$F$720,"NO ESTA")</f>
        <v>SUMINISTRO E INSTALACIÓN INTEGRACIÓN TELEFÓNICA</v>
      </c>
      <c r="K490">
        <v>0</v>
      </c>
      <c r="L490">
        <v>0</v>
      </c>
      <c r="M490">
        <v>0</v>
      </c>
      <c r="N490" s="115">
        <f t="shared" si="22"/>
        <v>0</v>
      </c>
      <c r="O490" s="146">
        <f t="shared" si="23"/>
        <v>0</v>
      </c>
      <c r="P490" s="119"/>
    </row>
    <row r="491" spans="2:16" ht="24.75" customHeight="1" x14ac:dyDescent="0.25">
      <c r="B491" s="86" t="s">
        <v>938</v>
      </c>
      <c r="C491" s="87" t="s">
        <v>939</v>
      </c>
      <c r="D491" s="82" t="s">
        <v>16</v>
      </c>
      <c r="E491" s="83">
        <v>1</v>
      </c>
      <c r="F491" s="88">
        <v>565498</v>
      </c>
      <c r="G491" s="89">
        <f t="shared" si="21"/>
        <v>565498</v>
      </c>
      <c r="H491" s="209"/>
      <c r="I491" s="209"/>
      <c r="J491" s="213" t="str">
        <f t="array" ref="J491:M491">_xlfn.XLOOKUP(C491,'ESAP NEIVA FASE II UNIFICADO'!$C$6:$C$720,'ESAP NEIVA FASE II UNIFICADO'!$C$6:$F$720,"NO ESTA")</f>
        <v>SUMINISTRO E INSTALACION PATCH PANEL 24 Pts Cat. 5E BLINDADO PARA INTEGRACIÓN TELEFONICA</v>
      </c>
      <c r="K491" t="str">
        <v>UND</v>
      </c>
      <c r="L491">
        <v>1</v>
      </c>
      <c r="M491">
        <v>581760</v>
      </c>
      <c r="N491" s="115">
        <f t="shared" si="22"/>
        <v>581760</v>
      </c>
      <c r="O491" s="146">
        <f t="shared" si="23"/>
        <v>581760</v>
      </c>
      <c r="P491" s="119"/>
    </row>
    <row r="492" spans="2:16" ht="24.75" customHeight="1" x14ac:dyDescent="0.25">
      <c r="B492" s="86" t="s">
        <v>940</v>
      </c>
      <c r="C492" s="87" t="s">
        <v>941</v>
      </c>
      <c r="D492" s="82" t="s">
        <v>16</v>
      </c>
      <c r="E492" s="83">
        <v>14</v>
      </c>
      <c r="F492" s="88">
        <v>34348</v>
      </c>
      <c r="G492" s="89">
        <f t="shared" si="21"/>
        <v>480872</v>
      </c>
      <c r="H492" s="209"/>
      <c r="I492" s="209"/>
      <c r="J492" s="213" t="str">
        <f t="array" ref="J492:M492">_xlfn.XLOOKUP(C492,'ESAP NEIVA FASE II UNIFICADO'!$C$6:$C$720,'ESAP NEIVA FASE II UNIFICADO'!$C$6:$F$720,"NO ESTA")</f>
        <v>SUMINISTRO E INSTALACION PATCH CORD RJ45-RJ45 1m Cat 5E INTEGRACIÓN TELEFÓNICA INCLUYE MARQUILLAS</v>
      </c>
      <c r="K492" t="str">
        <v>UND</v>
      </c>
      <c r="L492">
        <v>38</v>
      </c>
      <c r="M492">
        <v>35336</v>
      </c>
      <c r="N492" s="115">
        <f t="shared" si="22"/>
        <v>35336</v>
      </c>
      <c r="O492" s="146">
        <f t="shared" si="23"/>
        <v>494704</v>
      </c>
      <c r="P492" s="119"/>
    </row>
    <row r="493" spans="2:16" ht="15" customHeight="1" x14ac:dyDescent="0.25">
      <c r="B493" s="86" t="s">
        <v>942</v>
      </c>
      <c r="C493" s="87" t="s">
        <v>935</v>
      </c>
      <c r="D493" s="82" t="s">
        <v>16</v>
      </c>
      <c r="E493" s="83">
        <v>1</v>
      </c>
      <c r="F493" s="88">
        <v>243712</v>
      </c>
      <c r="G493" s="89">
        <f t="shared" si="21"/>
        <v>243712</v>
      </c>
      <c r="H493" s="209"/>
      <c r="I493" s="209"/>
      <c r="J493" s="213" t="str">
        <f t="array" ref="J493:M493">_xlfn.XLOOKUP(C493,'ESAP NEIVA FASE II UNIFICADO'!$C$6:$C$720,'ESAP NEIVA FASE II UNIFICADO'!$C$6:$F$720,"NO ESTA")</f>
        <v>SUMINISTRO E INSTALACION ORGANIZADOR HORIZONTAL 2U</v>
      </c>
      <c r="K493" t="str">
        <v>UND</v>
      </c>
      <c r="L493">
        <v>9</v>
      </c>
      <c r="M493">
        <v>250719</v>
      </c>
      <c r="N493" s="115">
        <f t="shared" si="22"/>
        <v>250719</v>
      </c>
      <c r="O493" s="146">
        <f t="shared" si="23"/>
        <v>250719</v>
      </c>
      <c r="P493" s="119"/>
    </row>
    <row r="494" spans="2:16" ht="15" customHeight="1" x14ac:dyDescent="0.25">
      <c r="B494" s="80" t="s">
        <v>943</v>
      </c>
      <c r="C494" s="81" t="s">
        <v>944</v>
      </c>
      <c r="D494" s="82"/>
      <c r="E494" s="83"/>
      <c r="F494" s="104">
        <v>0</v>
      </c>
      <c r="G494" s="89">
        <f t="shared" si="21"/>
        <v>0</v>
      </c>
      <c r="H494" s="209"/>
      <c r="I494" s="209"/>
      <c r="J494" s="213" t="str">
        <f t="array" ref="J494:M494">_xlfn.XLOOKUP(C494,'ESAP NEIVA FASE II UNIFICADO'!$C$6:$C$720,'ESAP NEIVA FASE II UNIFICADO'!$C$6:$F$720,"NO ESTA")</f>
        <v>SUMINISTRO E INSTALACIÓN DE BACKBONE</v>
      </c>
      <c r="K494">
        <v>0</v>
      </c>
      <c r="L494">
        <v>0</v>
      </c>
      <c r="M494">
        <v>0</v>
      </c>
      <c r="N494" s="115">
        <f t="shared" si="22"/>
        <v>0</v>
      </c>
      <c r="O494" s="146">
        <f t="shared" si="23"/>
        <v>0</v>
      </c>
      <c r="P494" s="119"/>
    </row>
    <row r="495" spans="2:16" ht="15" customHeight="1" x14ac:dyDescent="0.25">
      <c r="B495" s="86" t="s">
        <v>945</v>
      </c>
      <c r="C495" s="87" t="s">
        <v>946</v>
      </c>
      <c r="D495" s="82" t="s">
        <v>94</v>
      </c>
      <c r="E495" s="83">
        <v>12</v>
      </c>
      <c r="F495" s="88">
        <v>19055</v>
      </c>
      <c r="G495" s="89">
        <f t="shared" si="21"/>
        <v>228660</v>
      </c>
      <c r="H495" s="209"/>
      <c r="I495" s="209"/>
      <c r="J495" s="213" t="str">
        <f t="array" ref="J495:M495">_xlfn.XLOOKUP(C495,'ESAP NEIVA FASE II UNIFICADO'!$C$6:$C$720,'ESAP NEIVA FASE II UNIFICADO'!$C$6:$F$720,"NO ESTA")</f>
        <v>SUMINISTRO E INSTALACION FIBRA OPTICA 6 HILOS MULTIMODO 50/125 u.</v>
      </c>
      <c r="K495" t="str">
        <v>ML</v>
      </c>
      <c r="L495">
        <v>32</v>
      </c>
      <c r="M495">
        <v>19602</v>
      </c>
      <c r="N495" s="115">
        <f t="shared" si="22"/>
        <v>19602</v>
      </c>
      <c r="O495" s="146">
        <f t="shared" si="23"/>
        <v>235224</v>
      </c>
      <c r="P495" s="119"/>
    </row>
    <row r="496" spans="2:16" ht="15" customHeight="1" x14ac:dyDescent="0.25">
      <c r="B496" s="86" t="s">
        <v>947</v>
      </c>
      <c r="C496" s="87" t="s">
        <v>948</v>
      </c>
      <c r="D496" s="82" t="s">
        <v>16</v>
      </c>
      <c r="E496" s="83">
        <v>2</v>
      </c>
      <c r="F496" s="88">
        <v>686925</v>
      </c>
      <c r="G496" s="89">
        <f t="shared" si="21"/>
        <v>1373850</v>
      </c>
      <c r="H496" s="209"/>
      <c r="I496" s="209"/>
      <c r="J496" s="213" t="str">
        <f t="array" ref="J496:M496">_xlfn.XLOOKUP(C496,'ESAP NEIVA FASE II UNIFICADO'!$C$6:$C$720,'ESAP NEIVA FASE II UNIFICADO'!$C$6:$F$720,"NO ESTA")</f>
        <v>SUMINISTRO E INSTALACION BANDEJA DE FIBRA OPTICA DE 24 PUERTOS</v>
      </c>
      <c r="K496" t="str">
        <v>UND</v>
      </c>
      <c r="L496">
        <v>2</v>
      </c>
      <c r="M496">
        <v>706677</v>
      </c>
      <c r="N496" s="115">
        <f t="shared" si="22"/>
        <v>706677</v>
      </c>
      <c r="O496" s="146">
        <f t="shared" si="23"/>
        <v>1413354</v>
      </c>
      <c r="P496" s="119"/>
    </row>
    <row r="497" spans="2:16" ht="15" customHeight="1" x14ac:dyDescent="0.25">
      <c r="B497" s="86" t="s">
        <v>949</v>
      </c>
      <c r="C497" s="87" t="s">
        <v>950</v>
      </c>
      <c r="D497" s="82" t="s">
        <v>16</v>
      </c>
      <c r="E497" s="83">
        <v>2</v>
      </c>
      <c r="F497" s="88">
        <v>243712</v>
      </c>
      <c r="G497" s="89">
        <f t="shared" si="21"/>
        <v>487424</v>
      </c>
      <c r="H497" s="209"/>
      <c r="I497" s="209"/>
      <c r="J497" s="213" t="str">
        <f t="array" ref="J497:M497">_xlfn.XLOOKUP(C497,'ESAP NEIVA FASE II UNIFICADO'!$C$6:$C$720,'ESAP NEIVA FASE II UNIFICADO'!$C$6:$F$720,"NO ESTA")</f>
        <v>SUMINISTRO E INSTALACION ORGANIZADOR HORIZONTAL 1U</v>
      </c>
      <c r="K497" t="str">
        <v>UND</v>
      </c>
      <c r="L497">
        <v>2</v>
      </c>
      <c r="M497">
        <v>250719</v>
      </c>
      <c r="N497" s="115">
        <f t="shared" si="22"/>
        <v>250719</v>
      </c>
      <c r="O497" s="146">
        <f t="shared" si="23"/>
        <v>501438</v>
      </c>
      <c r="P497" s="119"/>
    </row>
    <row r="498" spans="2:16" ht="15" customHeight="1" x14ac:dyDescent="0.25">
      <c r="B498" s="80" t="s">
        <v>951</v>
      </c>
      <c r="C498" s="81" t="s">
        <v>952</v>
      </c>
      <c r="D498" s="82"/>
      <c r="E498" s="83"/>
      <c r="F498" s="104">
        <v>0</v>
      </c>
      <c r="G498" s="89">
        <f t="shared" si="21"/>
        <v>0</v>
      </c>
      <c r="H498" s="209"/>
      <c r="I498" s="209"/>
      <c r="J498" s="213" t="str">
        <f t="array" ref="J498:M498">_xlfn.XLOOKUP(C498,'ESAP NEIVA FASE II UNIFICADO'!$C$6:$C$720,'ESAP NEIVA FASE II UNIFICADO'!$C$6:$F$720,"NO ESTA")</f>
        <v xml:space="preserve">SUMINISTRO E INSTALACIÓN DE OTROS </v>
      </c>
      <c r="K498">
        <v>0</v>
      </c>
      <c r="L498">
        <v>0</v>
      </c>
      <c r="M498">
        <v>0</v>
      </c>
      <c r="N498" s="115">
        <f t="shared" si="22"/>
        <v>0</v>
      </c>
      <c r="O498" s="146">
        <f t="shared" si="23"/>
        <v>0</v>
      </c>
      <c r="P498" s="119"/>
    </row>
    <row r="499" spans="2:16" ht="25.5" customHeight="1" x14ac:dyDescent="0.25">
      <c r="B499" s="86" t="s">
        <v>953</v>
      </c>
      <c r="C499" s="87" t="s">
        <v>954</v>
      </c>
      <c r="D499" s="82" t="s">
        <v>16</v>
      </c>
      <c r="E499" s="83">
        <v>1</v>
      </c>
      <c r="F499" s="88">
        <v>4378807</v>
      </c>
      <c r="G499" s="89">
        <f t="shared" si="21"/>
        <v>4378807</v>
      </c>
      <c r="H499" s="209"/>
      <c r="I499" s="209"/>
      <c r="J499" s="213" t="str">
        <f t="array" ref="J499:M499">_xlfn.XLOOKUP(C499,'ESAP NEIVA FASE II UNIFICADO'!$C$6:$C$720,'ESAP NEIVA FASE II UNIFICADO'!$C$6:$F$720,"NO ESTA")</f>
        <v>SUMINISTRO E INSTALACION GABINETE 2,10 m ALTO X 0,71 m PROFUNDO Y 0,81 m DE ANCHO</v>
      </c>
      <c r="K499" t="str">
        <v>UND</v>
      </c>
      <c r="L499">
        <v>3</v>
      </c>
      <c r="M499">
        <v>4504726</v>
      </c>
      <c r="N499" s="115">
        <f t="shared" si="22"/>
        <v>4504726</v>
      </c>
      <c r="O499" s="146">
        <f t="shared" si="23"/>
        <v>4504726</v>
      </c>
      <c r="P499" s="119"/>
    </row>
    <row r="500" spans="2:16" ht="15" customHeight="1" x14ac:dyDescent="0.25">
      <c r="B500" s="86" t="s">
        <v>955</v>
      </c>
      <c r="C500" s="87" t="s">
        <v>956</v>
      </c>
      <c r="D500" s="82" t="s">
        <v>16</v>
      </c>
      <c r="E500" s="83">
        <v>2</v>
      </c>
      <c r="F500" s="88">
        <v>562724</v>
      </c>
      <c r="G500" s="89">
        <f t="shared" si="21"/>
        <v>1125448</v>
      </c>
      <c r="H500" s="209"/>
      <c r="I500" s="209"/>
      <c r="J500" s="213" t="str">
        <f t="array" ref="J500:M500">_xlfn.XLOOKUP(C500,'ESAP NEIVA FASE II UNIFICADO'!$C$6:$C$720,'ESAP NEIVA FASE II UNIFICADO'!$C$6:$F$720,"NO ESTA")</f>
        <v>SUMINISTRO E INSTALACION ORGANIZADOR VERTICAL</v>
      </c>
      <c r="K500" t="str">
        <v>UND</v>
      </c>
      <c r="L500">
        <v>6</v>
      </c>
      <c r="M500">
        <v>578906</v>
      </c>
      <c r="N500" s="115">
        <f t="shared" si="22"/>
        <v>578906</v>
      </c>
      <c r="O500" s="146">
        <f t="shared" si="23"/>
        <v>1157812</v>
      </c>
      <c r="P500" s="119"/>
    </row>
    <row r="501" spans="2:16" ht="26.25" customHeight="1" x14ac:dyDescent="0.25">
      <c r="B501" s="86" t="s">
        <v>957</v>
      </c>
      <c r="C501" s="87" t="s">
        <v>958</v>
      </c>
      <c r="D501" s="82" t="s">
        <v>16</v>
      </c>
      <c r="E501" s="83">
        <v>1</v>
      </c>
      <c r="F501" s="88">
        <v>487317</v>
      </c>
      <c r="G501" s="89">
        <f t="shared" si="21"/>
        <v>487317</v>
      </c>
      <c r="H501" s="209"/>
      <c r="I501" s="209"/>
      <c r="J501" s="213" t="str">
        <f t="array" ref="J501:M501">_xlfn.XLOOKUP(C501,'ESAP NEIVA FASE II UNIFICADO'!$C$6:$C$720,'ESAP NEIVA FASE II UNIFICADO'!$C$6:$F$720,"NO ESTA")</f>
        <v>SUMINISTRO E INSTALACION MULTITOMA CON 5 SALIDAS ELECTRICAS GRADO HOSPITALARIO</v>
      </c>
      <c r="K501" t="str">
        <v>UND</v>
      </c>
      <c r="L501">
        <v>3</v>
      </c>
      <c r="M501">
        <v>501331</v>
      </c>
      <c r="N501" s="115">
        <f t="shared" si="22"/>
        <v>501331</v>
      </c>
      <c r="O501" s="146">
        <f t="shared" si="23"/>
        <v>501331</v>
      </c>
      <c r="P501" s="119"/>
    </row>
    <row r="502" spans="2:16" ht="26.25" customHeight="1" x14ac:dyDescent="0.25">
      <c r="B502" s="86" t="s">
        <v>959</v>
      </c>
      <c r="C502" s="87" t="s">
        <v>960</v>
      </c>
      <c r="D502" s="82" t="s">
        <v>94</v>
      </c>
      <c r="E502" s="83">
        <v>11</v>
      </c>
      <c r="F502" s="88">
        <v>4503</v>
      </c>
      <c r="G502" s="89">
        <f t="shared" si="21"/>
        <v>49533</v>
      </c>
      <c r="H502" s="209"/>
      <c r="I502" s="209"/>
      <c r="J502" s="213" t="str">
        <f t="array" ref="J502:M502">_xlfn.XLOOKUP(C502,'ESAP NEIVA FASE II UNIFICADO'!$C$6:$C$720,'ESAP NEIVA FASE II UNIFICADO'!$C$6:$F$720,"NO ESTA")</f>
        <v>SUMINISTRO E INSTALACION CABLE THHN No. 6 AWG VERDE. PARA ATERRIZAJE DE ELEMENTOS Y GABINATE</v>
      </c>
      <c r="K502" t="str">
        <v>ML</v>
      </c>
      <c r="L502">
        <v>29</v>
      </c>
      <c r="M502">
        <v>4631</v>
      </c>
      <c r="N502" s="115">
        <f t="shared" si="22"/>
        <v>4631</v>
      </c>
      <c r="O502" s="146">
        <f t="shared" si="23"/>
        <v>50941</v>
      </c>
      <c r="P502" s="119"/>
    </row>
    <row r="503" spans="2:16" ht="15" customHeight="1" x14ac:dyDescent="0.25">
      <c r="B503" s="86" t="s">
        <v>961</v>
      </c>
      <c r="C503" s="87" t="s">
        <v>962</v>
      </c>
      <c r="D503" s="82" t="s">
        <v>94</v>
      </c>
      <c r="E503" s="83">
        <v>230</v>
      </c>
      <c r="F503" s="88">
        <v>149924</v>
      </c>
      <c r="G503" s="89">
        <f t="shared" si="21"/>
        <v>34482520</v>
      </c>
      <c r="H503" s="209"/>
      <c r="I503" s="209"/>
      <c r="J503" s="213" t="str">
        <f t="array" ref="J503:M503">_xlfn.XLOOKUP(C503,'ESAP NEIVA FASE II UNIFICADO'!$C$6:$C$720,'ESAP NEIVA FASE II UNIFICADO'!$C$6:$F$720,"NO ESTA")</f>
        <v>SUMINISTRO E INSTALACION BANDEJA TIPO MALLA DE 40 x 8 cm CON ACCESORIOS</v>
      </c>
      <c r="K503" t="str">
        <v>ML</v>
      </c>
      <c r="L503">
        <v>316</v>
      </c>
      <c r="M503">
        <v>154235</v>
      </c>
      <c r="N503" s="115">
        <f t="shared" si="22"/>
        <v>154235</v>
      </c>
      <c r="O503" s="146">
        <f t="shared" si="23"/>
        <v>35474050</v>
      </c>
      <c r="P503" s="119"/>
    </row>
    <row r="504" spans="2:16" ht="15" customHeight="1" x14ac:dyDescent="0.25">
      <c r="B504" s="86" t="s">
        <v>963</v>
      </c>
      <c r="C504" s="87" t="s">
        <v>964</v>
      </c>
      <c r="D504" s="82" t="s">
        <v>94</v>
      </c>
      <c r="E504" s="83">
        <v>91</v>
      </c>
      <c r="F504" s="88">
        <v>35522</v>
      </c>
      <c r="G504" s="89">
        <f t="shared" si="21"/>
        <v>3232502</v>
      </c>
      <c r="H504" s="209"/>
      <c r="I504" s="209"/>
      <c r="J504" s="213" t="str">
        <f t="array" ref="J504:M504">_xlfn.XLOOKUP(C504,'ESAP NEIVA FASE II UNIFICADO'!$C$6:$C$720,'ESAP NEIVA FASE II UNIFICADO'!$C$6:$F$720,"NO ESTA")</f>
        <v>SUMINISTRO E INSTALACION CANALETA METÁLICA DE 12 x 5 cm.</v>
      </c>
      <c r="K504" t="str">
        <v>ML</v>
      </c>
      <c r="L504">
        <v>245</v>
      </c>
      <c r="M504">
        <v>36543</v>
      </c>
      <c r="N504" s="115">
        <f t="shared" si="22"/>
        <v>36543</v>
      </c>
      <c r="O504" s="146">
        <f t="shared" si="23"/>
        <v>3325413</v>
      </c>
      <c r="P504" s="119"/>
    </row>
    <row r="505" spans="2:16" ht="15" customHeight="1" x14ac:dyDescent="0.25">
      <c r="B505" s="86" t="s">
        <v>965</v>
      </c>
      <c r="C505" s="87" t="s">
        <v>966</v>
      </c>
      <c r="D505" s="82" t="s">
        <v>94</v>
      </c>
      <c r="E505" s="83">
        <v>23</v>
      </c>
      <c r="F505" s="88">
        <v>19618</v>
      </c>
      <c r="G505" s="89">
        <f t="shared" si="21"/>
        <v>451214</v>
      </c>
      <c r="H505" s="209"/>
      <c r="I505" s="209"/>
      <c r="J505" s="213" t="str">
        <f t="array" ref="J505:M505">_xlfn.XLOOKUP(C505,'ESAP NEIVA FASE II UNIFICADO'!$C$6:$C$720,'ESAP NEIVA FASE II UNIFICADO'!$C$6:$F$720,"NO ESTA")</f>
        <v>SUMINISTRO E INSTALACION TUBERÍA EMT DE 1" INCLUYE ACCESORIOS</v>
      </c>
      <c r="K505" t="str">
        <v>ML</v>
      </c>
      <c r="L505">
        <v>64</v>
      </c>
      <c r="M505">
        <v>20181</v>
      </c>
      <c r="N505" s="115">
        <f t="shared" si="22"/>
        <v>20181</v>
      </c>
      <c r="O505" s="146">
        <f t="shared" si="23"/>
        <v>464163</v>
      </c>
      <c r="P505" s="119"/>
    </row>
    <row r="506" spans="2:16" ht="15" customHeight="1" x14ac:dyDescent="0.25">
      <c r="B506" s="86" t="s">
        <v>967</v>
      </c>
      <c r="C506" s="87" t="s">
        <v>968</v>
      </c>
      <c r="D506" s="82" t="s">
        <v>94</v>
      </c>
      <c r="E506" s="83">
        <v>61</v>
      </c>
      <c r="F506" s="88">
        <v>15591</v>
      </c>
      <c r="G506" s="89">
        <f t="shared" si="21"/>
        <v>951051</v>
      </c>
      <c r="H506" s="209"/>
      <c r="I506" s="209"/>
      <c r="J506" s="213" t="str">
        <f t="array" ref="J506:M506">_xlfn.XLOOKUP(C506,'ESAP NEIVA FASE II UNIFICADO'!$C$6:$C$720,'ESAP NEIVA FASE II UNIFICADO'!$C$6:$F$720,"NO ESTA")</f>
        <v>SUMINISTRO E INSTALACION TUBERÍA EMT DE 3/4" INCLUYE ACCESORIOS</v>
      </c>
      <c r="K506" t="str">
        <v>ML</v>
      </c>
      <c r="L506">
        <v>166</v>
      </c>
      <c r="M506">
        <v>16039</v>
      </c>
      <c r="N506" s="115">
        <f t="shared" si="22"/>
        <v>16039</v>
      </c>
      <c r="O506" s="146">
        <f t="shared" si="23"/>
        <v>978379</v>
      </c>
      <c r="P506" s="119"/>
    </row>
    <row r="507" spans="2:16" ht="15" customHeight="1" x14ac:dyDescent="0.25">
      <c r="B507" s="86" t="s">
        <v>969</v>
      </c>
      <c r="C507" s="87" t="s">
        <v>970</v>
      </c>
      <c r="D507" s="82" t="s">
        <v>94</v>
      </c>
      <c r="E507" s="83">
        <v>8</v>
      </c>
      <c r="F507" s="88">
        <v>5744</v>
      </c>
      <c r="G507" s="89">
        <f t="shared" si="21"/>
        <v>45952</v>
      </c>
      <c r="H507" s="209"/>
      <c r="I507" s="209"/>
      <c r="J507" s="213" t="str">
        <f t="array" ref="J507:M507">_xlfn.XLOOKUP(C507,'ESAP NEIVA FASE II UNIFICADO'!$C$6:$C$720,'ESAP NEIVA FASE II UNIFICADO'!$C$6:$F$720,"NO ESTA")</f>
        <v>SUMINISTRO E INSTALACION TUBERÍA PVC DE 1" INCLUYE ACCESORIOS</v>
      </c>
      <c r="K507" t="str">
        <v>ML</v>
      </c>
      <c r="L507">
        <v>22</v>
      </c>
      <c r="M507">
        <v>5910</v>
      </c>
      <c r="N507" s="115">
        <f t="shared" si="22"/>
        <v>5910</v>
      </c>
      <c r="O507" s="146">
        <f t="shared" si="23"/>
        <v>47280</v>
      </c>
      <c r="P507" s="119"/>
    </row>
    <row r="508" spans="2:16" ht="15" customHeight="1" x14ac:dyDescent="0.25">
      <c r="B508" s="86" t="s">
        <v>971</v>
      </c>
      <c r="C508" s="87" t="s">
        <v>972</v>
      </c>
      <c r="D508" s="82" t="s">
        <v>94</v>
      </c>
      <c r="E508" s="83">
        <v>31</v>
      </c>
      <c r="F508" s="88">
        <v>4621</v>
      </c>
      <c r="G508" s="89">
        <f t="shared" si="21"/>
        <v>143251</v>
      </c>
      <c r="H508" s="209"/>
      <c r="I508" s="209"/>
      <c r="J508" s="213" t="str">
        <f t="array" ref="J508:M508">_xlfn.XLOOKUP(C508,'ESAP NEIVA FASE II UNIFICADO'!$C$6:$C$720,'ESAP NEIVA FASE II UNIFICADO'!$C$6:$F$720,"NO ESTA")</f>
        <v>SUMINISTRO E INSTALACION TUBERÍA PVC DE 3/4" INCLUYE ACCESORIOS</v>
      </c>
      <c r="K508" t="str">
        <v>ML</v>
      </c>
      <c r="L508">
        <v>84</v>
      </c>
      <c r="M508">
        <v>4755</v>
      </c>
      <c r="N508" s="115">
        <f t="shared" si="22"/>
        <v>4755</v>
      </c>
      <c r="O508" s="146">
        <f t="shared" si="23"/>
        <v>147405</v>
      </c>
      <c r="P508" s="119"/>
    </row>
    <row r="509" spans="2:16" ht="15" customHeight="1" x14ac:dyDescent="0.25">
      <c r="B509" s="86" t="s">
        <v>973</v>
      </c>
      <c r="C509" s="87" t="s">
        <v>974</v>
      </c>
      <c r="D509" s="82" t="s">
        <v>16</v>
      </c>
      <c r="E509" s="83">
        <v>4</v>
      </c>
      <c r="F509" s="88">
        <v>749587</v>
      </c>
      <c r="G509" s="89">
        <f t="shared" si="21"/>
        <v>2998348</v>
      </c>
      <c r="H509" s="209"/>
      <c r="I509" s="209"/>
      <c r="J509" s="213" t="str">
        <f t="array" ref="J509:M509">_xlfn.XLOOKUP(C509,'ESAP NEIVA FASE II UNIFICADO'!$C$6:$C$720,'ESAP NEIVA FASE II UNIFICADO'!$C$6:$F$720,"NO ESTA")</f>
        <v>SUMINISTRO E INSTALACION PARRILLA ORGANIZADORA DE CABLES DE 1,20 x 0,6 m</v>
      </c>
      <c r="K509" t="str">
        <v>UND</v>
      </c>
      <c r="L509">
        <v>2</v>
      </c>
      <c r="M509">
        <v>771142</v>
      </c>
      <c r="N509" s="115">
        <f t="shared" si="22"/>
        <v>771142</v>
      </c>
      <c r="O509" s="146">
        <f t="shared" si="23"/>
        <v>3084568</v>
      </c>
      <c r="P509" s="119"/>
    </row>
    <row r="510" spans="2:16" ht="15" customHeight="1" x14ac:dyDescent="0.25">
      <c r="B510" s="86" t="s">
        <v>975</v>
      </c>
      <c r="C510" s="87" t="s">
        <v>976</v>
      </c>
      <c r="D510" s="82" t="s">
        <v>16</v>
      </c>
      <c r="E510" s="83">
        <v>4</v>
      </c>
      <c r="F510" s="88">
        <v>12566</v>
      </c>
      <c r="G510" s="89">
        <f t="shared" si="21"/>
        <v>50264</v>
      </c>
      <c r="H510" s="209"/>
      <c r="I510" s="209"/>
      <c r="J510" s="213" t="str">
        <f t="array" ref="J510:M510">_xlfn.XLOOKUP(C510,'ESAP NEIVA FASE II UNIFICADO'!$C$6:$C$720,'ESAP NEIVA FASE II UNIFICADO'!$C$6:$F$720,"NO ESTA")</f>
        <v>SUMINISTRO E INSTALACION CAJA DE PASO 10 x 10 m DOBLE FONDO</v>
      </c>
      <c r="K510" t="str">
        <v>UND</v>
      </c>
      <c r="L510">
        <v>4</v>
      </c>
      <c r="M510">
        <v>12928</v>
      </c>
      <c r="N510" s="115">
        <f t="shared" si="22"/>
        <v>12928</v>
      </c>
      <c r="O510" s="146">
        <f t="shared" si="23"/>
        <v>51712</v>
      </c>
      <c r="P510" s="119"/>
    </row>
    <row r="511" spans="2:16" ht="15" customHeight="1" x14ac:dyDescent="0.25">
      <c r="B511" s="80" t="s">
        <v>977</v>
      </c>
      <c r="C511" s="81" t="s">
        <v>978</v>
      </c>
      <c r="D511" s="82"/>
      <c r="E511" s="83"/>
      <c r="F511" s="106">
        <v>0</v>
      </c>
      <c r="G511" s="89">
        <f t="shared" si="21"/>
        <v>0</v>
      </c>
      <c r="H511" s="209"/>
      <c r="I511" s="209"/>
      <c r="J511" s="213" t="str">
        <f t="array" ref="J511:M511">_xlfn.XLOOKUP(C511,'ESAP NEIVA FASE II UNIFICADO'!$C$6:$C$720,'ESAP NEIVA FASE II UNIFICADO'!$C$6:$F$720,"NO ESTA")</f>
        <v xml:space="preserve">SUMINISTRO E INSTALACIÓN DE REDES ELECTRICAS ESPECIALES </v>
      </c>
      <c r="K511">
        <v>0</v>
      </c>
      <c r="L511">
        <v>0</v>
      </c>
      <c r="M511">
        <v>0</v>
      </c>
      <c r="N511" s="115">
        <f t="shared" si="22"/>
        <v>0</v>
      </c>
      <c r="O511" s="146">
        <f t="shared" si="23"/>
        <v>0</v>
      </c>
      <c r="P511" s="119"/>
    </row>
    <row r="512" spans="2:16" ht="15" customHeight="1" x14ac:dyDescent="0.25">
      <c r="B512" s="86" t="s">
        <v>979</v>
      </c>
      <c r="C512" s="87" t="s">
        <v>980</v>
      </c>
      <c r="D512" s="82" t="s">
        <v>16</v>
      </c>
      <c r="E512" s="83">
        <v>2</v>
      </c>
      <c r="F512" s="88">
        <v>62439</v>
      </c>
      <c r="G512" s="89">
        <f t="shared" si="21"/>
        <v>124878</v>
      </c>
      <c r="H512" s="209"/>
      <c r="I512" s="209"/>
      <c r="J512" s="213" t="str">
        <f t="array" ref="J512:M512">_xlfn.XLOOKUP(C512,'ESAP NEIVA FASE II UNIFICADO'!$C$6:$C$720,'ESAP NEIVA FASE II UNIFICADO'!$C$6:$F$720,"NO ESTA")</f>
        <v>SUMINISTRO E INSTALACION SALIDA TOMA NEMA L5-30 RAWELT</v>
      </c>
      <c r="K512" t="str">
        <v>UND</v>
      </c>
      <c r="L512">
        <v>2</v>
      </c>
      <c r="M512">
        <v>64235</v>
      </c>
      <c r="N512" s="115">
        <f t="shared" si="22"/>
        <v>64235</v>
      </c>
      <c r="O512" s="146">
        <f t="shared" si="23"/>
        <v>128470</v>
      </c>
      <c r="P512" s="119"/>
    </row>
    <row r="513" spans="2:16" ht="29.25" customHeight="1" x14ac:dyDescent="0.25">
      <c r="B513" s="86" t="s">
        <v>981</v>
      </c>
      <c r="C513" s="87" t="s">
        <v>982</v>
      </c>
      <c r="D513" s="82" t="s">
        <v>94</v>
      </c>
      <c r="E513" s="83">
        <v>2</v>
      </c>
      <c r="F513" s="88">
        <v>6290</v>
      </c>
      <c r="G513" s="89">
        <f t="shared" si="21"/>
        <v>12580</v>
      </c>
      <c r="H513" s="209"/>
      <c r="I513" s="209"/>
      <c r="J513" s="213" t="str">
        <f t="array" ref="J513:M513">_xlfn.XLOOKUP(C513,'ESAP NEIVA FASE II UNIFICADO'!$C$6:$C$720,'ESAP NEIVA FASE II UNIFICADO'!$C$6:$F$720,"NO ESTA")</f>
        <v>SUMINISTRO E INSTALACION CIRCUITO PREENSAMBLADO AZUL MONOFÁSICO NORMAL PARA RACK</v>
      </c>
      <c r="K513" t="str">
        <v>ML</v>
      </c>
      <c r="L513">
        <v>2</v>
      </c>
      <c r="M513">
        <v>6470</v>
      </c>
      <c r="N513" s="115">
        <f t="shared" si="22"/>
        <v>6470</v>
      </c>
      <c r="O513" s="146">
        <f t="shared" si="23"/>
        <v>12940</v>
      </c>
      <c r="P513" s="119"/>
    </row>
    <row r="514" spans="2:16" ht="29.25" customHeight="1" x14ac:dyDescent="0.25">
      <c r="B514" s="86" t="s">
        <v>983</v>
      </c>
      <c r="C514" s="87" t="s">
        <v>984</v>
      </c>
      <c r="D514" s="82" t="s">
        <v>94</v>
      </c>
      <c r="E514" s="83">
        <v>2</v>
      </c>
      <c r="F514" s="88">
        <v>6290</v>
      </c>
      <c r="G514" s="89">
        <f t="shared" si="21"/>
        <v>12580</v>
      </c>
      <c r="H514" s="209"/>
      <c r="I514" s="209"/>
      <c r="J514" s="213" t="str">
        <f t="array" ref="J514:M514">_xlfn.XLOOKUP(C514,'ESAP NEIVA FASE II UNIFICADO'!$C$6:$C$720,'ESAP NEIVA FASE II UNIFICADO'!$C$6:$F$720,"NO ESTA")</f>
        <v>SUMINISTRO E INSTALACION CIRCUITO PREENSAMBLADO ROJO MONOFÁSICO REGULADO PARA RACK</v>
      </c>
      <c r="K514" t="str">
        <v>ML</v>
      </c>
      <c r="L514">
        <v>2</v>
      </c>
      <c r="M514">
        <v>6470</v>
      </c>
      <c r="N514" s="115">
        <f t="shared" si="22"/>
        <v>6470</v>
      </c>
      <c r="O514" s="146">
        <f t="shared" si="23"/>
        <v>12940</v>
      </c>
      <c r="P514" s="119"/>
    </row>
    <row r="515" spans="2:16" ht="15" customHeight="1" x14ac:dyDescent="0.25">
      <c r="B515" s="86" t="s">
        <v>985</v>
      </c>
      <c r="C515" s="87" t="s">
        <v>986</v>
      </c>
      <c r="D515" s="82" t="s">
        <v>16</v>
      </c>
      <c r="E515" s="83">
        <v>2</v>
      </c>
      <c r="F515" s="88">
        <v>615221</v>
      </c>
      <c r="G515" s="89">
        <f t="shared" si="21"/>
        <v>1230442</v>
      </c>
      <c r="H515" s="209"/>
      <c r="I515" s="209"/>
      <c r="J515" s="213" t="str">
        <f t="array" ref="J515:M515">_xlfn.XLOOKUP(C515,'ESAP NEIVA FASE II UNIFICADO'!$C$6:$C$720,'ESAP NEIVA FASE II UNIFICADO'!$C$6:$F$720,"NO ESTA")</f>
        <v>SUMINISTRO E INSTALACION BARRAJE DE PUESTA A TIERRA PARA RACK TGB</v>
      </c>
      <c r="K515" t="str">
        <v>UND</v>
      </c>
      <c r="L515">
        <v>2</v>
      </c>
      <c r="M515">
        <v>632913</v>
      </c>
      <c r="N515" s="115">
        <f t="shared" si="22"/>
        <v>632913</v>
      </c>
      <c r="O515" s="146">
        <f t="shared" si="23"/>
        <v>1265826</v>
      </c>
      <c r="P515" s="119"/>
    </row>
    <row r="516" spans="2:16" ht="15" customHeight="1" x14ac:dyDescent="0.25">
      <c r="B516" s="80" t="s">
        <v>987</v>
      </c>
      <c r="C516" s="81" t="s">
        <v>988</v>
      </c>
      <c r="D516" s="82"/>
      <c r="E516" s="83"/>
      <c r="F516" s="104">
        <v>0</v>
      </c>
      <c r="G516" s="89">
        <f t="shared" si="21"/>
        <v>0</v>
      </c>
      <c r="H516" s="209"/>
      <c r="I516" s="209"/>
      <c r="J516" s="213" t="str">
        <f t="array" ref="J516:M516">_xlfn.XLOOKUP(C516,'ESAP NEIVA FASE II UNIFICADO'!$C$6:$C$720,'ESAP NEIVA FASE II UNIFICADO'!$C$6:$F$720,"NO ESTA")</f>
        <v>SUMINISTRO E INSTALACION DE EQUIPOS ACTIVOS</v>
      </c>
      <c r="K516">
        <v>0</v>
      </c>
      <c r="L516">
        <v>0</v>
      </c>
      <c r="M516">
        <v>0</v>
      </c>
      <c r="N516" s="115">
        <f t="shared" si="22"/>
        <v>0</v>
      </c>
      <c r="O516" s="146">
        <f t="shared" si="23"/>
        <v>0</v>
      </c>
      <c r="P516" s="119"/>
    </row>
    <row r="517" spans="2:16" ht="25.5" customHeight="1" x14ac:dyDescent="0.25">
      <c r="B517" s="86" t="s">
        <v>989</v>
      </c>
      <c r="C517" s="87" t="s">
        <v>990</v>
      </c>
      <c r="D517" s="82" t="s">
        <v>16</v>
      </c>
      <c r="E517" s="83">
        <v>1</v>
      </c>
      <c r="F517" s="88">
        <v>7139109</v>
      </c>
      <c r="G517" s="89">
        <f t="shared" si="21"/>
        <v>7139109</v>
      </c>
      <c r="H517" s="209"/>
      <c r="I517" s="209"/>
      <c r="J517" s="213" t="str">
        <f t="array" ref="J517:M517">_xlfn.XLOOKUP(C517,'ESAP NEIVA FASE II UNIFICADO'!$C$6:$C$720,'ESAP NEIVA FASE II UNIFICADO'!$C$6:$F$720,"NO ESTA")</f>
        <v xml:space="preserve">SUMINISTRO E INSTALACION SWITCHE DE BORDE DE 24 PoE PUERTOS GIGABIT ETHERNET 10/100/1000 Gbps CON PUERTO DE ADMINSITRACION POR CONSOLA </v>
      </c>
      <c r="K517" t="str">
        <v>UND</v>
      </c>
      <c r="L517">
        <v>13</v>
      </c>
      <c r="M517">
        <v>7344406</v>
      </c>
      <c r="N517" s="115">
        <f t="shared" si="22"/>
        <v>7344406</v>
      </c>
      <c r="O517" s="146">
        <f t="shared" si="23"/>
        <v>7344406</v>
      </c>
      <c r="P517" s="119"/>
    </row>
    <row r="518" spans="2:16" ht="15" customHeight="1" x14ac:dyDescent="0.25">
      <c r="B518" s="86" t="s">
        <v>991</v>
      </c>
      <c r="C518" s="87" t="s">
        <v>992</v>
      </c>
      <c r="D518" s="82" t="s">
        <v>16</v>
      </c>
      <c r="E518" s="83">
        <v>1</v>
      </c>
      <c r="F518" s="88">
        <v>818109</v>
      </c>
      <c r="G518" s="89">
        <f t="shared" ref="G518:G540" si="24">ROUND(+F518*E518,2)</f>
        <v>818109</v>
      </c>
      <c r="H518" s="209"/>
      <c r="I518" s="209"/>
      <c r="J518" s="213" t="str">
        <f t="array" ref="J518:M518">_xlfn.XLOOKUP(C518,'ESAP NEIVA FASE II UNIFICADO'!$C$6:$C$720,'ESAP NEIVA FASE II UNIFICADO'!$C$6:$F$720,"NO ESTA")</f>
        <v>SUMINISTRO E INSTALACION MODULO SFP 10G</v>
      </c>
      <c r="K518" t="str">
        <v>UND</v>
      </c>
      <c r="L518">
        <v>0</v>
      </c>
      <c r="M518">
        <v>841635</v>
      </c>
      <c r="N518" s="115">
        <f t="shared" ref="N518:N540" si="25">MAX(M518,F518)</f>
        <v>841635</v>
      </c>
      <c r="O518" s="146">
        <f t="shared" ref="O518:O540" si="26">N518*E518</f>
        <v>841635</v>
      </c>
      <c r="P518" s="119"/>
    </row>
    <row r="519" spans="2:16" ht="24.75" customHeight="1" x14ac:dyDescent="0.25">
      <c r="B519" s="74">
        <v>19</v>
      </c>
      <c r="C519" s="75" t="s">
        <v>993</v>
      </c>
      <c r="D519" s="76"/>
      <c r="E519" s="77"/>
      <c r="F519" s="78">
        <v>0</v>
      </c>
      <c r="G519" s="89">
        <f t="shared" si="24"/>
        <v>0</v>
      </c>
      <c r="H519" s="209"/>
      <c r="I519" s="209"/>
      <c r="J519" s="213" t="str">
        <f t="array" ref="J519:M519">_xlfn.XLOOKUP(C519,'ESAP NEIVA FASE II UNIFICADO'!$C$6:$C$720,'ESAP NEIVA FASE II UNIFICADO'!$C$6:$F$720,"NO ESTA")</f>
        <v>SEGURIDAD ELÉCTRONICA (CCTV, CONTROL ACCESOS, DETECCION INCENDIOS Y SONIDO)</v>
      </c>
      <c r="K519">
        <v>0</v>
      </c>
      <c r="L519">
        <v>0</v>
      </c>
      <c r="M519">
        <v>0</v>
      </c>
      <c r="N519" s="115">
        <f t="shared" si="25"/>
        <v>0</v>
      </c>
      <c r="O519" s="146">
        <f t="shared" si="26"/>
        <v>0</v>
      </c>
      <c r="P519" s="119"/>
    </row>
    <row r="520" spans="2:16" ht="15" customHeight="1" x14ac:dyDescent="0.25">
      <c r="B520" s="80" t="s">
        <v>994</v>
      </c>
      <c r="C520" s="81" t="s">
        <v>995</v>
      </c>
      <c r="D520" s="82"/>
      <c r="E520" s="83"/>
      <c r="F520" s="90">
        <v>0</v>
      </c>
      <c r="G520" s="89">
        <f t="shared" si="24"/>
        <v>0</v>
      </c>
      <c r="H520" s="209"/>
      <c r="I520" s="209"/>
      <c r="J520" s="213" t="str">
        <f t="array" ref="J520:M520">_xlfn.XLOOKUP(C520,'ESAP NEIVA FASE II UNIFICADO'!$C$6:$C$720,'ESAP NEIVA FASE II UNIFICADO'!$C$6:$F$720,"NO ESTA")</f>
        <v>SUMINISTRO E INSTALACION DE DETECCIÓN DE INDENDIO</v>
      </c>
      <c r="K520">
        <v>0</v>
      </c>
      <c r="L520">
        <v>0</v>
      </c>
      <c r="M520">
        <v>0</v>
      </c>
      <c r="N520" s="115">
        <f t="shared" si="25"/>
        <v>0</v>
      </c>
      <c r="O520" s="146">
        <f t="shared" si="26"/>
        <v>0</v>
      </c>
      <c r="P520" s="119"/>
    </row>
    <row r="521" spans="2:16" ht="22.5" customHeight="1" x14ac:dyDescent="0.25">
      <c r="B521" s="86" t="s">
        <v>996</v>
      </c>
      <c r="C521" s="87" t="s">
        <v>997</v>
      </c>
      <c r="D521" s="82" t="s">
        <v>16</v>
      </c>
      <c r="E521" s="83">
        <v>3</v>
      </c>
      <c r="F521" s="88">
        <v>495757</v>
      </c>
      <c r="G521" s="89">
        <f t="shared" si="24"/>
        <v>1487271</v>
      </c>
      <c r="H521" s="209"/>
      <c r="I521" s="209"/>
      <c r="J521" s="213" t="str">
        <f t="array" ref="J521:M521">_xlfn.XLOOKUP(C521,'ESAP NEIVA FASE II UNIFICADO'!$C$6:$C$720,'ESAP NEIVA FASE II UNIFICADO'!$C$6:$F$720,"NO ESTA")</f>
        <v>SUMINISTRO E INSTALACION ESTACION MANUAL DIRECCIONABLE DE AVISO, CON CUBIERTA ACRILICA</v>
      </c>
      <c r="K521" t="str">
        <v>UND</v>
      </c>
      <c r="L521">
        <v>8</v>
      </c>
      <c r="M521">
        <v>503198</v>
      </c>
      <c r="N521" s="115">
        <f t="shared" si="25"/>
        <v>503198</v>
      </c>
      <c r="O521" s="146">
        <f t="shared" si="26"/>
        <v>1509594</v>
      </c>
      <c r="P521" s="119"/>
    </row>
    <row r="522" spans="2:16" ht="15" customHeight="1" x14ac:dyDescent="0.25">
      <c r="B522" s="86" t="s">
        <v>998</v>
      </c>
      <c r="C522" s="87" t="s">
        <v>999</v>
      </c>
      <c r="D522" s="82" t="s">
        <v>16</v>
      </c>
      <c r="E522" s="83">
        <v>3</v>
      </c>
      <c r="F522" s="88">
        <v>354773</v>
      </c>
      <c r="G522" s="89">
        <f t="shared" si="24"/>
        <v>1064319</v>
      </c>
      <c r="H522" s="209"/>
      <c r="I522" s="209"/>
      <c r="J522" s="213" t="str">
        <f t="array" ref="J522:M522">_xlfn.XLOOKUP(C522,'ESAP NEIVA FASE II UNIFICADO'!$C$6:$C$720,'ESAP NEIVA FASE II UNIFICADO'!$C$6:$F$720,"NO ESTA")</f>
        <v>SUMINISTRO E INSTALACION SIRENA / ESTROBO CON SUS MODULOS DE CONTROL</v>
      </c>
      <c r="K522" t="str">
        <v>UND</v>
      </c>
      <c r="L522">
        <v>8</v>
      </c>
      <c r="M522">
        <v>360098</v>
      </c>
      <c r="N522" s="115">
        <f t="shared" si="25"/>
        <v>360098</v>
      </c>
      <c r="O522" s="146">
        <f t="shared" si="26"/>
        <v>1080294</v>
      </c>
      <c r="P522" s="119"/>
    </row>
    <row r="523" spans="2:16" ht="15" customHeight="1" x14ac:dyDescent="0.25">
      <c r="B523" s="86" t="s">
        <v>1000</v>
      </c>
      <c r="C523" s="87" t="s">
        <v>1001</v>
      </c>
      <c r="D523" s="82" t="s">
        <v>16</v>
      </c>
      <c r="E523" s="83">
        <v>46</v>
      </c>
      <c r="F523" s="88">
        <v>399073</v>
      </c>
      <c r="G523" s="89">
        <f t="shared" si="24"/>
        <v>18357358</v>
      </c>
      <c r="H523" s="209"/>
      <c r="I523" s="209"/>
      <c r="J523" s="213" t="str">
        <f t="array" ref="J523:M523">_xlfn.XLOOKUP(C523,'ESAP NEIVA FASE II UNIFICADO'!$C$6:$C$720,'ESAP NEIVA FASE II UNIFICADO'!$C$6:$F$720,"NO ESTA")</f>
        <v>SUMINISTRO E INSTALACION DETECTOR DE HUMO DIRECCIONABLE CON BASE</v>
      </c>
      <c r="K523" t="str">
        <v>UND</v>
      </c>
      <c r="L523">
        <v>96</v>
      </c>
      <c r="M523">
        <v>405062</v>
      </c>
      <c r="N523" s="115">
        <f t="shared" si="25"/>
        <v>405062</v>
      </c>
      <c r="O523" s="146">
        <f t="shared" si="26"/>
        <v>18632852</v>
      </c>
      <c r="P523" s="119"/>
    </row>
    <row r="524" spans="2:16" ht="15" customHeight="1" x14ac:dyDescent="0.25">
      <c r="B524" s="86" t="s">
        <v>1002</v>
      </c>
      <c r="C524" s="87" t="s">
        <v>1003</v>
      </c>
      <c r="D524" s="82" t="s">
        <v>16</v>
      </c>
      <c r="E524" s="83">
        <v>2</v>
      </c>
      <c r="F524" s="88">
        <v>373759</v>
      </c>
      <c r="G524" s="89">
        <f t="shared" si="24"/>
        <v>747518</v>
      </c>
      <c r="H524" s="209"/>
      <c r="I524" s="209"/>
      <c r="J524" s="213" t="str">
        <f t="array" ref="J524:M524">_xlfn.XLOOKUP(C524,'ESAP NEIVA FASE II UNIFICADO'!$C$6:$C$720,'ESAP NEIVA FASE II UNIFICADO'!$C$6:$F$720,"NO ESTA")</f>
        <v>SUMINISTRO E INSTALACION DETECTOR DE MONOXIDO DIRECCIONABLE CON BASE</v>
      </c>
      <c r="K524" t="str">
        <v>UND</v>
      </c>
      <c r="L524">
        <v>6</v>
      </c>
      <c r="M524">
        <v>379368</v>
      </c>
      <c r="N524" s="115">
        <f t="shared" si="25"/>
        <v>379368</v>
      </c>
      <c r="O524" s="146">
        <f t="shared" si="26"/>
        <v>758736</v>
      </c>
      <c r="P524" s="119"/>
    </row>
    <row r="525" spans="2:16" ht="15" customHeight="1" x14ac:dyDescent="0.25">
      <c r="B525" s="86" t="s">
        <v>1004</v>
      </c>
      <c r="C525" s="87" t="s">
        <v>1005</v>
      </c>
      <c r="D525" s="82" t="s">
        <v>16</v>
      </c>
      <c r="E525" s="83">
        <v>2</v>
      </c>
      <c r="F525" s="88">
        <v>394556</v>
      </c>
      <c r="G525" s="89">
        <f t="shared" si="24"/>
        <v>789112</v>
      </c>
      <c r="H525" s="209"/>
      <c r="I525" s="209"/>
      <c r="J525" s="213" t="str">
        <f t="array" ref="J525:M525">_xlfn.XLOOKUP(C525,'ESAP NEIVA FASE II UNIFICADO'!$C$6:$C$720,'ESAP NEIVA FASE II UNIFICADO'!$C$6:$F$720,"NO ESTA")</f>
        <v>SUMINISTRO E INSTALACION CITOFONO DE EMERGENCIA</v>
      </c>
      <c r="K525" t="str">
        <v>UND</v>
      </c>
      <c r="L525">
        <v>5</v>
      </c>
      <c r="M525">
        <v>400477</v>
      </c>
      <c r="N525" s="115">
        <f t="shared" si="25"/>
        <v>400477</v>
      </c>
      <c r="O525" s="146">
        <f t="shared" si="26"/>
        <v>800954</v>
      </c>
      <c r="P525" s="119"/>
    </row>
    <row r="526" spans="2:16" ht="23.25" customHeight="1" x14ac:dyDescent="0.25">
      <c r="B526" s="86" t="s">
        <v>1006</v>
      </c>
      <c r="C526" s="87" t="s">
        <v>1007</v>
      </c>
      <c r="D526" s="82" t="s">
        <v>16</v>
      </c>
      <c r="E526" s="83">
        <v>1</v>
      </c>
      <c r="F526" s="88">
        <v>8286837</v>
      </c>
      <c r="G526" s="89">
        <f t="shared" si="24"/>
        <v>8286837</v>
      </c>
      <c r="H526" s="209"/>
      <c r="I526" s="209"/>
      <c r="J526" s="213" t="str">
        <f t="array" ref="J526:M526">_xlfn.XLOOKUP(C526,'ESAP NEIVA FASE II UNIFICADO'!$C$6:$C$720,'ESAP NEIVA FASE II UNIFICADO'!$C$6:$F$720,"NO ESTA")</f>
        <v xml:space="preserve">SUMINISTRO E INSTALACION CENTRAL DE DETECCION DE INCENDIO E INTRUSIÓN, CONSU GABINETE, FUENTE, CPU, DISPLAY Y TECLEDO, CON UN 30% DE RESERVA PARA AMPLIACIÓN. </v>
      </c>
      <c r="K526" t="str">
        <v>UND</v>
      </c>
      <c r="L526">
        <v>1</v>
      </c>
      <c r="M526">
        <v>8411205</v>
      </c>
      <c r="N526" s="115">
        <f t="shared" si="25"/>
        <v>8411205</v>
      </c>
      <c r="O526" s="146">
        <f t="shared" si="26"/>
        <v>8411205</v>
      </c>
      <c r="P526" s="119"/>
    </row>
    <row r="527" spans="2:16" ht="15" customHeight="1" x14ac:dyDescent="0.25">
      <c r="B527" s="86" t="s">
        <v>1008</v>
      </c>
      <c r="C527" s="87" t="s">
        <v>1009</v>
      </c>
      <c r="D527" s="82" t="s">
        <v>94</v>
      </c>
      <c r="E527" s="83">
        <v>496</v>
      </c>
      <c r="F527" s="88">
        <v>5188</v>
      </c>
      <c r="G527" s="89">
        <f t="shared" si="24"/>
        <v>2573248</v>
      </c>
      <c r="H527" s="209"/>
      <c r="I527" s="209"/>
      <c r="J527" s="213" t="str">
        <f t="array" ref="J527:M527">_xlfn.XLOOKUP(C527,'ESAP NEIVA FASE II UNIFICADO'!$C$6:$C$720,'ESAP NEIVA FASE II UNIFICADO'!$C$6:$F$720,"NO ESTA")</f>
        <v>SUMINISTRO E INSTALACION CABLE BLINDADO 2 x 16 AWG FPL</v>
      </c>
      <c r="K527" t="str">
        <v>ML</v>
      </c>
      <c r="L527">
        <v>1277</v>
      </c>
      <c r="M527">
        <v>5267</v>
      </c>
      <c r="N527" s="115">
        <f t="shared" si="25"/>
        <v>5267</v>
      </c>
      <c r="O527" s="146">
        <f t="shared" si="26"/>
        <v>2612432</v>
      </c>
      <c r="P527" s="119"/>
    </row>
    <row r="528" spans="2:16" ht="15" customHeight="1" x14ac:dyDescent="0.25">
      <c r="B528" s="86" t="s">
        <v>1010</v>
      </c>
      <c r="C528" s="87" t="s">
        <v>968</v>
      </c>
      <c r="D528" s="82" t="s">
        <v>94</v>
      </c>
      <c r="E528" s="83">
        <v>456</v>
      </c>
      <c r="F528" s="88">
        <v>15802</v>
      </c>
      <c r="G528" s="89">
        <f t="shared" si="24"/>
        <v>7205712</v>
      </c>
      <c r="H528" s="209"/>
      <c r="I528" s="209"/>
      <c r="J528" s="213" t="str">
        <f t="array" ref="J528:M528">_xlfn.XLOOKUP(C528,'ESAP NEIVA FASE II UNIFICADO'!$C$6:$C$720,'ESAP NEIVA FASE II UNIFICADO'!$C$6:$F$720,"NO ESTA")</f>
        <v>SUMINISTRO E INSTALACION TUBERÍA EMT DE 3/4" INCLUYE ACCESORIOS</v>
      </c>
      <c r="K528" t="str">
        <v>ML</v>
      </c>
      <c r="L528">
        <v>166</v>
      </c>
      <c r="M528">
        <v>16039</v>
      </c>
      <c r="N528" s="115">
        <f t="shared" si="25"/>
        <v>16039</v>
      </c>
      <c r="O528" s="146">
        <f t="shared" si="26"/>
        <v>7313784</v>
      </c>
      <c r="P528" s="119"/>
    </row>
    <row r="529" spans="2:17" ht="15" customHeight="1" x14ac:dyDescent="0.25">
      <c r="B529" s="86" t="s">
        <v>1011</v>
      </c>
      <c r="C529" s="87" t="s">
        <v>972</v>
      </c>
      <c r="D529" s="82" t="s">
        <v>94</v>
      </c>
      <c r="E529" s="83">
        <v>7</v>
      </c>
      <c r="F529" s="88">
        <v>4684</v>
      </c>
      <c r="G529" s="89">
        <f t="shared" si="24"/>
        <v>32788</v>
      </c>
      <c r="H529" s="209"/>
      <c r="I529" s="209"/>
      <c r="J529" s="213" t="str">
        <f t="array" ref="J529:M529">_xlfn.XLOOKUP(C529,'ESAP NEIVA FASE II UNIFICADO'!$C$6:$C$720,'ESAP NEIVA FASE II UNIFICADO'!$C$6:$F$720,"NO ESTA")</f>
        <v>SUMINISTRO E INSTALACION TUBERÍA PVC DE 3/4" INCLUYE ACCESORIOS</v>
      </c>
      <c r="K529" t="str">
        <v>ML</v>
      </c>
      <c r="L529">
        <v>84</v>
      </c>
      <c r="M529">
        <v>4755</v>
      </c>
      <c r="N529" s="115">
        <f t="shared" si="25"/>
        <v>4755</v>
      </c>
      <c r="O529" s="146">
        <f t="shared" si="26"/>
        <v>33285</v>
      </c>
      <c r="P529" s="119"/>
    </row>
    <row r="530" spans="2:17" ht="15" customHeight="1" x14ac:dyDescent="0.25">
      <c r="B530" s="86" t="s">
        <v>1012</v>
      </c>
      <c r="C530" s="87" t="s">
        <v>976</v>
      </c>
      <c r="D530" s="82" t="s">
        <v>16</v>
      </c>
      <c r="E530" s="83">
        <v>9</v>
      </c>
      <c r="F530" s="88">
        <v>12736</v>
      </c>
      <c r="G530" s="89">
        <f t="shared" si="24"/>
        <v>114624</v>
      </c>
      <c r="H530" s="209"/>
      <c r="I530" s="209"/>
      <c r="J530" s="213" t="str">
        <f t="array" ref="J530:M530">_xlfn.XLOOKUP(C530,'ESAP NEIVA FASE II UNIFICADO'!$C$6:$C$720,'ESAP NEIVA FASE II UNIFICADO'!$C$6:$F$720,"NO ESTA")</f>
        <v>SUMINISTRO E INSTALACION CAJA DE PASO 10 x 10 m DOBLE FONDO</v>
      </c>
      <c r="K530" t="str">
        <v>UND</v>
      </c>
      <c r="L530">
        <v>4</v>
      </c>
      <c r="M530">
        <v>12928</v>
      </c>
      <c r="N530" s="115">
        <f t="shared" si="25"/>
        <v>12928</v>
      </c>
      <c r="O530" s="146">
        <f t="shared" si="26"/>
        <v>116352</v>
      </c>
      <c r="P530" s="119"/>
    </row>
    <row r="531" spans="2:17" ht="15" customHeight="1" x14ac:dyDescent="0.25">
      <c r="B531" s="74">
        <v>20</v>
      </c>
      <c r="C531" s="75" t="s">
        <v>1013</v>
      </c>
      <c r="D531" s="76"/>
      <c r="E531" s="77"/>
      <c r="F531" s="78">
        <v>0</v>
      </c>
      <c r="G531" s="89">
        <f t="shared" si="24"/>
        <v>0</v>
      </c>
      <c r="H531" s="209"/>
      <c r="I531" s="209"/>
      <c r="J531" s="213" t="str">
        <f t="array" ref="J531">_xlfn.XLOOKUP(C531,'ESAP NEIVA FASE II UNIFICADO'!$C$6:$C$720,'ESAP NEIVA FASE II UNIFICADO'!$C$6:$F$720,"NO ESTA")</f>
        <v>NO ESTA</v>
      </c>
      <c r="N531" s="115">
        <f t="shared" si="25"/>
        <v>0</v>
      </c>
      <c r="O531" s="146">
        <f t="shared" si="26"/>
        <v>0</v>
      </c>
      <c r="P531" s="119"/>
    </row>
    <row r="532" spans="2:17" ht="23.25" customHeight="1" x14ac:dyDescent="0.25">
      <c r="B532" s="86" t="s">
        <v>1014</v>
      </c>
      <c r="C532" s="87" t="s">
        <v>1015</v>
      </c>
      <c r="D532" s="82" t="s">
        <v>13</v>
      </c>
      <c r="E532" s="83">
        <v>600</v>
      </c>
      <c r="F532" s="88">
        <v>23541</v>
      </c>
      <c r="G532" s="89">
        <f t="shared" si="24"/>
        <v>14124600</v>
      </c>
      <c r="H532" s="209"/>
      <c r="I532" s="209"/>
      <c r="J532" s="213" t="str">
        <f t="array" ref="J532">_xlfn.XLOOKUP(C532,'ESAP NEIVA FASE II UNIFICADO'!$C$6:$C$720,'ESAP NEIVA FASE II UNIFICADO'!$C$6:$F$720,"NO ESTA")</f>
        <v>NO ESTA</v>
      </c>
      <c r="N532" s="115">
        <f t="shared" si="25"/>
        <v>23541</v>
      </c>
      <c r="O532" s="146">
        <f t="shared" si="26"/>
        <v>14124600</v>
      </c>
      <c r="P532" s="119"/>
    </row>
    <row r="533" spans="2:17" ht="23.25" customHeight="1" x14ac:dyDescent="0.25">
      <c r="B533" s="86" t="s">
        <v>1016</v>
      </c>
      <c r="C533" s="87" t="s">
        <v>1017</v>
      </c>
      <c r="D533" s="82" t="s">
        <v>13</v>
      </c>
      <c r="E533" s="83">
        <v>600</v>
      </c>
      <c r="F533" s="88">
        <v>20071</v>
      </c>
      <c r="G533" s="89">
        <f t="shared" si="24"/>
        <v>12042600</v>
      </c>
      <c r="H533" s="209"/>
      <c r="I533" s="209"/>
      <c r="J533" s="213" t="str">
        <f t="array" ref="J533">_xlfn.XLOOKUP(C533,'ESAP NEIVA FASE II UNIFICADO'!$C$6:$C$720,'ESAP NEIVA FASE II UNIFICADO'!$C$6:$F$720,"NO ESTA")</f>
        <v>NO ESTA</v>
      </c>
      <c r="N533" s="115">
        <f t="shared" si="25"/>
        <v>20071</v>
      </c>
      <c r="O533" s="146">
        <f t="shared" si="26"/>
        <v>12042600</v>
      </c>
      <c r="P533" s="119"/>
    </row>
    <row r="534" spans="2:17" ht="15" customHeight="1" x14ac:dyDescent="0.25">
      <c r="B534" s="86" t="s">
        <v>1018</v>
      </c>
      <c r="C534" s="87" t="s">
        <v>1019</v>
      </c>
      <c r="D534" s="82" t="s">
        <v>94</v>
      </c>
      <c r="E534" s="83">
        <v>1500</v>
      </c>
      <c r="F534" s="88">
        <v>7250</v>
      </c>
      <c r="G534" s="89">
        <f t="shared" si="24"/>
        <v>10875000</v>
      </c>
      <c r="H534" s="209"/>
      <c r="I534" s="209"/>
      <c r="J534" s="213" t="str">
        <f t="array" ref="J534">_xlfn.XLOOKUP(C534,'ESAP NEIVA FASE II UNIFICADO'!$C$6:$C$720,'ESAP NEIVA FASE II UNIFICADO'!$C$6:$F$720,"NO ESTA")</f>
        <v>NO ESTA</v>
      </c>
      <c r="N534" s="115">
        <f t="shared" si="25"/>
        <v>7250</v>
      </c>
      <c r="O534" s="146">
        <f t="shared" si="26"/>
        <v>10875000</v>
      </c>
      <c r="P534" s="119"/>
    </row>
    <row r="535" spans="2:17" ht="27" customHeight="1" x14ac:dyDescent="0.25">
      <c r="B535" s="86" t="s">
        <v>1020</v>
      </c>
      <c r="C535" s="87" t="s">
        <v>1021</v>
      </c>
      <c r="D535" s="82" t="s">
        <v>13</v>
      </c>
      <c r="E535" s="83">
        <v>100</v>
      </c>
      <c r="F535" s="88">
        <v>153023</v>
      </c>
      <c r="G535" s="89">
        <f t="shared" si="24"/>
        <v>15302300</v>
      </c>
      <c r="H535" s="209"/>
      <c r="I535" s="209"/>
      <c r="J535" s="213" t="str">
        <f t="array" ref="J535">_xlfn.XLOOKUP(C535,'ESAP NEIVA FASE II UNIFICADO'!$C$6:$C$720,'ESAP NEIVA FASE II UNIFICADO'!$C$6:$F$720,"NO ESTA")</f>
        <v>NO ESTA</v>
      </c>
      <c r="N535" s="115">
        <f t="shared" si="25"/>
        <v>153023</v>
      </c>
      <c r="O535" s="146">
        <f t="shared" si="26"/>
        <v>15302300</v>
      </c>
      <c r="P535" s="119"/>
    </row>
    <row r="536" spans="2:17" ht="15" customHeight="1" x14ac:dyDescent="0.25">
      <c r="B536" s="86" t="s">
        <v>1022</v>
      </c>
      <c r="C536" s="87" t="s">
        <v>1023</v>
      </c>
      <c r="D536" s="82" t="s">
        <v>55</v>
      </c>
      <c r="E536" s="83">
        <v>1072.0999999999999</v>
      </c>
      <c r="F536" s="88">
        <v>12733</v>
      </c>
      <c r="G536" s="89">
        <f t="shared" si="24"/>
        <v>13651049.300000001</v>
      </c>
      <c r="H536" s="209"/>
      <c r="I536" s="209"/>
      <c r="J536" s="213" t="str">
        <f t="array" ref="J536">_xlfn.XLOOKUP(C536,'ESAP NEIVA FASE II UNIFICADO'!$C$6:$C$720,'ESAP NEIVA FASE II UNIFICADO'!$C$6:$F$720,"NO ESTA")</f>
        <v>NO ESTA</v>
      </c>
      <c r="N536" s="115">
        <f t="shared" si="25"/>
        <v>12733</v>
      </c>
      <c r="O536" s="146">
        <f t="shared" si="26"/>
        <v>13651049.299999999</v>
      </c>
      <c r="P536" s="119"/>
    </row>
    <row r="537" spans="2:17" ht="38.25" customHeight="1" x14ac:dyDescent="0.25">
      <c r="B537" s="86" t="s">
        <v>1024</v>
      </c>
      <c r="C537" s="87" t="s">
        <v>1025</v>
      </c>
      <c r="D537" s="82" t="s">
        <v>16</v>
      </c>
      <c r="E537" s="83">
        <v>793</v>
      </c>
      <c r="F537" s="88">
        <v>16683</v>
      </c>
      <c r="G537" s="89">
        <f t="shared" si="24"/>
        <v>13229619</v>
      </c>
      <c r="H537" s="209"/>
      <c r="I537" s="209"/>
      <c r="J537" s="213" t="str">
        <f t="array" ref="J537">_xlfn.XLOOKUP(C537,'ESAP NEIVA FASE II UNIFICADO'!$C$6:$C$720,'ESAP NEIVA FASE II UNIFICADO'!$C$6:$F$720,"NO ESTA")</f>
        <v>NO ESTA</v>
      </c>
      <c r="N537" s="115">
        <f t="shared" si="25"/>
        <v>16683</v>
      </c>
      <c r="O537" s="146">
        <f t="shared" si="26"/>
        <v>13229619</v>
      </c>
      <c r="P537" s="119"/>
    </row>
    <row r="538" spans="2:17" ht="38.25" customHeight="1" x14ac:dyDescent="0.25">
      <c r="B538" s="86" t="s">
        <v>1026</v>
      </c>
      <c r="C538" s="87" t="s">
        <v>1027</v>
      </c>
      <c r="D538" s="82" t="s">
        <v>13</v>
      </c>
      <c r="E538" s="83">
        <v>40</v>
      </c>
      <c r="F538" s="88">
        <v>106331</v>
      </c>
      <c r="G538" s="89">
        <f t="shared" si="24"/>
        <v>4253240</v>
      </c>
      <c r="H538" s="209"/>
      <c r="I538" s="209"/>
      <c r="J538" s="213" t="str">
        <f t="array" ref="J538">_xlfn.XLOOKUP(C538,'ESAP NEIVA FASE II UNIFICADO'!$C$6:$C$720,'ESAP NEIVA FASE II UNIFICADO'!$C$6:$F$720,"NO ESTA")</f>
        <v>NO ESTA</v>
      </c>
      <c r="N538" s="115">
        <f t="shared" si="25"/>
        <v>106331</v>
      </c>
      <c r="O538" s="146">
        <f t="shared" si="26"/>
        <v>4253240</v>
      </c>
      <c r="P538" s="119"/>
    </row>
    <row r="539" spans="2:17" ht="37.15" customHeight="1" x14ac:dyDescent="0.25">
      <c r="B539" s="86" t="s">
        <v>1028</v>
      </c>
      <c r="C539" s="87" t="s">
        <v>1029</v>
      </c>
      <c r="D539" s="82" t="s">
        <v>13</v>
      </c>
      <c r="E539" s="83">
        <v>1316</v>
      </c>
      <c r="F539" s="88">
        <v>162305</v>
      </c>
      <c r="G539" s="89">
        <f t="shared" si="24"/>
        <v>213593380</v>
      </c>
      <c r="H539" s="209"/>
      <c r="I539" s="209"/>
      <c r="J539" s="213" t="str">
        <f t="array" ref="J539">_xlfn.XLOOKUP(C539,'ESAP NEIVA FASE II UNIFICADO'!$C$6:$C$720,'ESAP NEIVA FASE II UNIFICADO'!$C$6:$F$720,"NO ESTA")</f>
        <v>NO ESTA</v>
      </c>
      <c r="N539" s="115">
        <f t="shared" si="25"/>
        <v>162305</v>
      </c>
      <c r="O539" s="146">
        <f t="shared" si="26"/>
        <v>213593380</v>
      </c>
      <c r="P539" s="119"/>
    </row>
    <row r="540" spans="2:17" ht="16.5" x14ac:dyDescent="0.25">
      <c r="B540" s="86" t="s">
        <v>1030</v>
      </c>
      <c r="C540" s="87" t="s">
        <v>1031</v>
      </c>
      <c r="D540" s="82" t="s">
        <v>13</v>
      </c>
      <c r="E540" s="83">
        <v>700</v>
      </c>
      <c r="F540" s="88">
        <v>36804</v>
      </c>
      <c r="G540" s="89">
        <f t="shared" si="24"/>
        <v>25762800</v>
      </c>
      <c r="H540" s="209"/>
      <c r="I540" s="209"/>
      <c r="J540" s="213" t="str">
        <f t="array" ref="J540">_xlfn.XLOOKUP(C540,'ESAP NEIVA FASE II UNIFICADO'!$C$6:$C$720,'ESAP NEIVA FASE II UNIFICADO'!$C$6:$F$720,"NO ESTA")</f>
        <v>NO ESTA</v>
      </c>
      <c r="N540" s="115">
        <f t="shared" si="25"/>
        <v>36804</v>
      </c>
      <c r="O540" s="146">
        <f t="shared" si="26"/>
        <v>25762800</v>
      </c>
      <c r="P540" s="119"/>
    </row>
    <row r="541" spans="2:17" ht="16.5" x14ac:dyDescent="0.25">
      <c r="B541" s="419" t="s">
        <v>1032</v>
      </c>
      <c r="C541" s="419"/>
      <c r="D541" s="419"/>
      <c r="E541" s="419"/>
      <c r="F541" s="107"/>
      <c r="G541" s="108">
        <f>+SUM(G6:G540)</f>
        <v>5916156186.6800032</v>
      </c>
      <c r="H541" s="108"/>
      <c r="I541" s="108"/>
      <c r="K541" s="108">
        <v>5830808778</v>
      </c>
      <c r="O541" s="159">
        <f>SUM(O6:O540)</f>
        <v>6028484962.8150005</v>
      </c>
      <c r="Q541" s="108"/>
    </row>
    <row r="542" spans="2:17" ht="16.5" x14ac:dyDescent="0.25">
      <c r="B542" s="419" t="s">
        <v>1033</v>
      </c>
      <c r="C542" s="419"/>
      <c r="D542" s="419"/>
      <c r="E542" s="419"/>
      <c r="F542" s="109"/>
      <c r="G542" s="110">
        <f>+G543+G544+G545</f>
        <v>1539975455.3899999</v>
      </c>
      <c r="H542" s="209"/>
      <c r="I542" s="211"/>
      <c r="K542" s="95">
        <f>+K541-G541</f>
        <v>-85347408.680003166</v>
      </c>
      <c r="M542" s="95" t="e">
        <f>+K30-K542</f>
        <v>#VALUE!</v>
      </c>
    </row>
    <row r="543" spans="2:17" ht="16.5" x14ac:dyDescent="0.25">
      <c r="B543" s="420" t="s">
        <v>1034</v>
      </c>
      <c r="C543" s="420"/>
      <c r="D543" s="420"/>
      <c r="E543" s="420"/>
      <c r="F543" s="111">
        <v>0.20030000000000001</v>
      </c>
      <c r="G543" s="112">
        <f>ROUND(+$G$541*F543,2)</f>
        <v>1185006084.1900001</v>
      </c>
      <c r="H543" s="209"/>
      <c r="I543" s="212"/>
    </row>
    <row r="544" spans="2:17" ht="16.5" x14ac:dyDescent="0.25">
      <c r="B544" s="420" t="s">
        <v>1035</v>
      </c>
      <c r="C544" s="420"/>
      <c r="D544" s="420"/>
      <c r="E544" s="420"/>
      <c r="F544" s="113">
        <v>0.01</v>
      </c>
      <c r="G544" s="112">
        <f>ROUND(+$G$541*F544,2)</f>
        <v>59161561.869999997</v>
      </c>
      <c r="H544" s="209"/>
      <c r="I544" s="212"/>
    </row>
    <row r="545" spans="2:11" ht="16.5" x14ac:dyDescent="0.25">
      <c r="B545" s="420" t="s">
        <v>1036</v>
      </c>
      <c r="C545" s="420"/>
      <c r="D545" s="420"/>
      <c r="E545" s="420"/>
      <c r="F545" s="111">
        <v>0.05</v>
      </c>
      <c r="G545" s="112">
        <f>ROUND(+$G$541*F545,2)</f>
        <v>295807809.32999998</v>
      </c>
      <c r="H545" s="209"/>
      <c r="I545" s="212"/>
    </row>
    <row r="546" spans="2:11" ht="16.5" x14ac:dyDescent="0.3">
      <c r="B546" s="419" t="s">
        <v>1037</v>
      </c>
      <c r="C546" s="419"/>
      <c r="D546" s="419"/>
      <c r="E546" s="419"/>
      <c r="F546" s="114"/>
      <c r="G546" s="110">
        <f>+G541+G542</f>
        <v>7456131642.0700035</v>
      </c>
      <c r="H546" s="209"/>
      <c r="I546" s="211"/>
      <c r="K546" s="115">
        <f>'[3]Nieva 2021 trabajando 4'!K554-'Neiva 2022 FASE I ACTUAL (4)'!G548+50000000</f>
        <v>-40892404.840003967</v>
      </c>
    </row>
    <row r="547" spans="2:11" ht="16.5" x14ac:dyDescent="0.25">
      <c r="B547" s="420" t="s">
        <v>1038</v>
      </c>
      <c r="C547" s="420"/>
      <c r="D547" s="420"/>
      <c r="E547" s="420"/>
      <c r="F547" s="111">
        <v>0.19</v>
      </c>
      <c r="G547" s="112">
        <f>ROUND(+G545*F547,2)</f>
        <v>56203483.770000003</v>
      </c>
      <c r="H547" s="209"/>
      <c r="I547" s="212"/>
      <c r="K547" s="95"/>
    </row>
    <row r="548" spans="2:11" ht="16.5" x14ac:dyDescent="0.25">
      <c r="B548" s="419" t="s">
        <v>1039</v>
      </c>
      <c r="C548" s="419"/>
      <c r="D548" s="419"/>
      <c r="E548" s="419"/>
      <c r="F548" s="116"/>
      <c r="G548" s="108">
        <f>+G546+G547</f>
        <v>7512335125.840004</v>
      </c>
      <c r="H548" s="209"/>
      <c r="I548" s="210"/>
      <c r="K548" s="108">
        <f>7403747930</f>
        <v>7403747930</v>
      </c>
    </row>
    <row r="549" spans="2:11" x14ac:dyDescent="0.25">
      <c r="G549" s="115"/>
      <c r="H549" s="115"/>
      <c r="I549" s="115"/>
    </row>
    <row r="550" spans="2:11" x14ac:dyDescent="0.25">
      <c r="G550" s="120"/>
      <c r="H550" s="120"/>
      <c r="I550" s="120"/>
    </row>
    <row r="551" spans="2:11" x14ac:dyDescent="0.25">
      <c r="G551" s="121"/>
      <c r="H551" s="121"/>
      <c r="I551" s="121"/>
      <c r="K551" s="121">
        <f>492000000/G548</f>
        <v>6.5492285921547752E-2</v>
      </c>
    </row>
    <row r="552" spans="2:11" x14ac:dyDescent="0.25">
      <c r="G552" s="121"/>
      <c r="H552" s="121"/>
      <c r="I552" s="121"/>
    </row>
    <row r="553" spans="2:11" x14ac:dyDescent="0.25">
      <c r="G553" s="115"/>
      <c r="H553" s="115"/>
      <c r="I553" s="115"/>
    </row>
    <row r="554" spans="2:11" x14ac:dyDescent="0.25">
      <c r="G554" s="122"/>
      <c r="H554" s="122"/>
      <c r="I554" s="122"/>
    </row>
    <row r="555" spans="2:11" x14ac:dyDescent="0.25">
      <c r="G555" s="115"/>
      <c r="H555" s="115"/>
      <c r="I555" s="115"/>
    </row>
  </sheetData>
  <mergeCells count="9">
    <mergeCell ref="B546:E546"/>
    <mergeCell ref="B547:E547"/>
    <mergeCell ref="B548:E548"/>
    <mergeCell ref="B1:G2"/>
    <mergeCell ref="B541:E541"/>
    <mergeCell ref="B542:E542"/>
    <mergeCell ref="B543:E543"/>
    <mergeCell ref="B544:E544"/>
    <mergeCell ref="B545:E545"/>
  </mergeCells>
  <pageMargins left="0.70866141732283472" right="0.70866141732283472" top="0.74803149606299213" bottom="0.74803149606299213" header="0.31496062992125984" footer="0.31496062992125984"/>
  <pageSetup scale="6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O555"/>
  <sheetViews>
    <sheetView showZeros="0" view="pageBreakPreview" zoomScale="87" zoomScaleNormal="90" zoomScaleSheetLayoutView="87" workbookViewId="0">
      <selection activeCell="M553" sqref="M553"/>
    </sheetView>
  </sheetViews>
  <sheetFormatPr baseColWidth="10" defaultColWidth="11.5703125" defaultRowHeight="18.75" x14ac:dyDescent="0.3"/>
  <cols>
    <col min="1" max="1" width="3.5703125" customWidth="1"/>
    <col min="2" max="2" width="9.140625" bestFit="1" customWidth="1"/>
    <col min="3" max="3" width="58.140625" style="117" customWidth="1"/>
    <col min="4" max="4" width="11.5703125" style="118" customWidth="1"/>
    <col min="5" max="5" width="11.5703125" style="233" customWidth="1"/>
    <col min="6" max="6" width="17.7109375" customWidth="1"/>
    <col min="7" max="7" width="19.5703125" hidden="1" customWidth="1"/>
    <col min="8" max="8" width="48.85546875" style="118" customWidth="1"/>
    <col min="9" max="9" width="20.28515625" customWidth="1"/>
    <col min="10" max="10" width="11.5703125" customWidth="1"/>
    <col min="11" max="11" width="17.85546875" customWidth="1"/>
    <col min="12" max="14" width="9.140625" bestFit="1" customWidth="1"/>
    <col min="15" max="15" width="24.5703125" style="119" customWidth="1"/>
  </cols>
  <sheetData>
    <row r="1" spans="2:15" ht="14.45" customHeight="1" x14ac:dyDescent="0.25">
      <c r="B1" s="421" t="s">
        <v>0</v>
      </c>
      <c r="C1" s="422"/>
      <c r="D1" s="422"/>
      <c r="E1" s="422"/>
      <c r="F1" s="422"/>
      <c r="G1" s="422"/>
      <c r="O1" s="119">
        <f t="shared" ref="O1:O10" si="0">M1*N1</f>
        <v>0</v>
      </c>
    </row>
    <row r="2" spans="2:15" ht="15" x14ac:dyDescent="0.25">
      <c r="B2" s="423"/>
      <c r="C2" s="424"/>
      <c r="D2" s="424"/>
      <c r="E2" s="424"/>
      <c r="F2" s="424"/>
      <c r="G2" s="424"/>
      <c r="O2" s="119">
        <f t="shared" si="0"/>
        <v>0</v>
      </c>
    </row>
    <row r="3" spans="2:15" ht="36" x14ac:dyDescent="0.25">
      <c r="B3" s="70" t="s">
        <v>1</v>
      </c>
      <c r="C3" s="71" t="s">
        <v>2</v>
      </c>
      <c r="D3" s="70" t="s">
        <v>3</v>
      </c>
      <c r="E3" s="228" t="s">
        <v>4</v>
      </c>
      <c r="F3" s="73" t="s">
        <v>5</v>
      </c>
      <c r="G3" s="70" t="s">
        <v>6</v>
      </c>
      <c r="H3" s="118" t="s">
        <v>7</v>
      </c>
      <c r="O3" s="119">
        <f t="shared" si="0"/>
        <v>0</v>
      </c>
    </row>
    <row r="4" spans="2:15" ht="18" x14ac:dyDescent="0.25">
      <c r="B4" s="74">
        <v>1</v>
      </c>
      <c r="C4" s="75" t="s">
        <v>8</v>
      </c>
      <c r="D4" s="76"/>
      <c r="E4" s="229"/>
      <c r="F4" s="78"/>
      <c r="G4" s="79"/>
      <c r="O4" s="119">
        <f t="shared" si="0"/>
        <v>0</v>
      </c>
    </row>
    <row r="5" spans="2:15" ht="18" customHeight="1" x14ac:dyDescent="0.25">
      <c r="B5" s="80" t="s">
        <v>9</v>
      </c>
      <c r="C5" s="81" t="s">
        <v>10</v>
      </c>
      <c r="D5" s="82"/>
      <c r="E5" s="230"/>
      <c r="F5" s="84"/>
      <c r="G5" s="85"/>
      <c r="O5" s="119">
        <f t="shared" si="0"/>
        <v>0</v>
      </c>
    </row>
    <row r="6" spans="2:15" ht="15" customHeight="1" x14ac:dyDescent="0.25">
      <c r="B6" s="86" t="s">
        <v>11</v>
      </c>
      <c r="C6" s="87" t="s">
        <v>12</v>
      </c>
      <c r="D6" s="82" t="s">
        <v>13</v>
      </c>
      <c r="E6" s="230">
        <v>250</v>
      </c>
      <c r="F6" s="88">
        <v>27093</v>
      </c>
      <c r="G6" s="89">
        <f t="shared" ref="G6:G69" si="1">ROUND(+F6*E6,2)</f>
        <v>6773250</v>
      </c>
      <c r="H6" s="118" t="str">
        <f t="array" ref="H6:K6">_xlfn.XLOOKUP(B6,'ESAP NEIVA FASE II UNIFICADO'!$B$6:$B$720,'ESAP NEIVA FASE II UNIFICADO'!$C$6:$F$720,"NO ESTA")</f>
        <v>DESCAPOTE A MAQUINA (INCLUYE RETIRO)</v>
      </c>
      <c r="I6" t="str">
        <v>M2</v>
      </c>
      <c r="J6">
        <v>295</v>
      </c>
      <c r="K6">
        <v>23484</v>
      </c>
      <c r="L6">
        <f>+IF(J6&gt;0,0,1)</f>
        <v>0</v>
      </c>
      <c r="O6" s="119">
        <f t="shared" si="0"/>
        <v>0</v>
      </c>
    </row>
    <row r="7" spans="2:15" ht="15" customHeight="1" x14ac:dyDescent="0.25">
      <c r="B7" s="86" t="s">
        <v>14</v>
      </c>
      <c r="C7" s="87" t="s">
        <v>15</v>
      </c>
      <c r="D7" s="82" t="s">
        <v>16</v>
      </c>
      <c r="E7" s="230">
        <v>8</v>
      </c>
      <c r="F7" s="88">
        <v>34164</v>
      </c>
      <c r="G7" s="89">
        <f t="shared" si="1"/>
        <v>273312</v>
      </c>
      <c r="H7" s="118" t="str">
        <f t="array" ref="H7:K7">_xlfn.XLOOKUP(B7,'ESAP NEIVA FASE II UNIFICADO'!$B$6:$B$720,'ESAP NEIVA FASE II UNIFICADO'!$C$6:$F$720,"NO ESTA")</f>
        <v>BARRERA DE PROTECCIÓN PARA ARBOLES EXISTENTES</v>
      </c>
      <c r="I7" t="str">
        <v>UND</v>
      </c>
      <c r="J7">
        <v>0</v>
      </c>
      <c r="K7">
        <v>35057</v>
      </c>
      <c r="O7" s="119">
        <f t="shared" si="0"/>
        <v>0</v>
      </c>
    </row>
    <row r="8" spans="2:15" ht="18" customHeight="1" x14ac:dyDescent="0.25">
      <c r="B8" s="80" t="s">
        <v>17</v>
      </c>
      <c r="C8" s="81" t="s">
        <v>18</v>
      </c>
      <c r="D8" s="82"/>
      <c r="E8" s="230"/>
      <c r="F8" s="90">
        <v>0</v>
      </c>
      <c r="G8" s="89">
        <f t="shared" si="1"/>
        <v>0</v>
      </c>
      <c r="H8" s="118" t="str">
        <f t="array" ref="H8:K8">_xlfn.XLOOKUP(B8,'ESAP NEIVA FASE II UNIFICADO'!$B$6:$B$720,'ESAP NEIVA FASE II UNIFICADO'!$C$6:$F$720,"NO ESTA")</f>
        <v>INSTALACION SERVICIOS PROVISIONALES</v>
      </c>
      <c r="I8">
        <v>0</v>
      </c>
      <c r="J8">
        <v>0</v>
      </c>
      <c r="K8">
        <v>0</v>
      </c>
      <c r="O8" s="119">
        <f t="shared" si="0"/>
        <v>0</v>
      </c>
    </row>
    <row r="9" spans="2:15" ht="12" customHeight="1" x14ac:dyDescent="0.25">
      <c r="B9" s="80" t="s">
        <v>19</v>
      </c>
      <c r="C9" s="81" t="s">
        <v>20</v>
      </c>
      <c r="D9" s="82"/>
      <c r="E9" s="230"/>
      <c r="F9" s="90">
        <v>0</v>
      </c>
      <c r="G9" s="89">
        <f t="shared" si="1"/>
        <v>0</v>
      </c>
      <c r="H9" s="118" t="str">
        <f t="array" ref="H9:K9">_xlfn.XLOOKUP(B9,'ESAP NEIVA FASE II UNIFICADO'!$B$6:$B$720,'ESAP NEIVA FASE II UNIFICADO'!$C$6:$F$720,"NO ESTA")</f>
        <v>DEMOLICIONES</v>
      </c>
      <c r="I9">
        <v>0</v>
      </c>
      <c r="J9">
        <v>0</v>
      </c>
      <c r="K9">
        <v>0</v>
      </c>
      <c r="O9" s="119">
        <f t="shared" si="0"/>
        <v>0</v>
      </c>
    </row>
    <row r="10" spans="2:15" ht="30" customHeight="1" x14ac:dyDescent="0.25">
      <c r="B10" s="86" t="s">
        <v>21</v>
      </c>
      <c r="C10" s="87" t="s">
        <v>22</v>
      </c>
      <c r="D10" s="82" t="s">
        <v>13</v>
      </c>
      <c r="E10" s="230">
        <v>0</v>
      </c>
      <c r="F10" s="88">
        <v>23053</v>
      </c>
      <c r="G10" s="89">
        <f t="shared" si="1"/>
        <v>0</v>
      </c>
      <c r="H10" s="118" t="str">
        <f t="array" ref="H10:K10">_xlfn.XLOOKUP(B10,'ESAP NEIVA FASE II UNIFICADO'!$B$6:$B$720,'ESAP NEIVA FASE II UNIFICADO'!$C$6:$F$720,"NO ESTA")</f>
        <v>DEMOLICIÓN AREA DE ESPACIO PUBLICO (VIAS, ANDENES, CUNETAS) INCLIUYE RETIRO DE SOBRANTES Y DISPOSICIÓN FINAL</v>
      </c>
      <c r="I10" t="str">
        <v>M2</v>
      </c>
      <c r="J10">
        <v>0</v>
      </c>
      <c r="K10">
        <v>16701</v>
      </c>
      <c r="L10">
        <f t="shared" ref="L10:L73" si="2">+IF(J10&gt;0,0,1)</f>
        <v>1</v>
      </c>
      <c r="M10">
        <f t="shared" ref="M10:M73" si="3">IF(L10=1,F10,0)</f>
        <v>23053</v>
      </c>
      <c r="N10" s="119">
        <f t="shared" ref="N10:N73" si="4">E10</f>
        <v>0</v>
      </c>
      <c r="O10" s="119">
        <f t="shared" si="0"/>
        <v>0</v>
      </c>
    </row>
    <row r="11" spans="2:15" ht="30" customHeight="1" x14ac:dyDescent="0.25">
      <c r="B11" s="86" t="s">
        <v>23</v>
      </c>
      <c r="C11" s="87" t="s">
        <v>24</v>
      </c>
      <c r="D11" s="82" t="s">
        <v>13</v>
      </c>
      <c r="E11" s="230">
        <v>151</v>
      </c>
      <c r="F11" s="88">
        <v>30048</v>
      </c>
      <c r="G11" s="89">
        <f t="shared" si="1"/>
        <v>4537248</v>
      </c>
      <c r="H11" s="118" t="str">
        <f t="array" ref="H11:K11">_xlfn.XLOOKUP(B11,'ESAP NEIVA FASE II UNIFICADO'!$B$6:$B$720,'ESAP NEIVA FASE II UNIFICADO'!$C$6:$F$720,"NO ESTA")</f>
        <v>DEMOLICIÓN DE ESTRUCTURA EXISTENTE AREA CUBIERTA INCLIUYE RETIRO DE SOBRANTES Y DISPOSICIÓN FINAL</v>
      </c>
      <c r="I11" t="str">
        <v>M2</v>
      </c>
      <c r="J11">
        <v>0</v>
      </c>
      <c r="K11">
        <v>13104</v>
      </c>
      <c r="L11">
        <f t="shared" si="2"/>
        <v>1</v>
      </c>
      <c r="M11">
        <f t="shared" si="3"/>
        <v>30048</v>
      </c>
      <c r="N11" s="119">
        <f t="shared" si="4"/>
        <v>151</v>
      </c>
      <c r="O11" s="119">
        <f t="shared" ref="O11:O74" si="5">ROUND(M11*N11,2)</f>
        <v>4537248</v>
      </c>
    </row>
    <row r="12" spans="2:15" ht="13.5" customHeight="1" x14ac:dyDescent="0.25">
      <c r="B12" s="74">
        <v>2</v>
      </c>
      <c r="C12" s="75" t="s">
        <v>25</v>
      </c>
      <c r="D12" s="76"/>
      <c r="E12" s="229"/>
      <c r="F12" s="78">
        <v>0</v>
      </c>
      <c r="G12" s="89">
        <f t="shared" si="1"/>
        <v>0</v>
      </c>
      <c r="H12" s="118" t="str">
        <f t="array" ref="H12:K12">_xlfn.XLOOKUP(B12,'ESAP NEIVA FASE II UNIFICADO'!$B$6:$B$720,'ESAP NEIVA FASE II UNIFICADO'!$C$6:$F$720,"NO ESTA")</f>
        <v>CIMENTACION</v>
      </c>
      <c r="I12">
        <v>0</v>
      </c>
      <c r="J12">
        <v>0</v>
      </c>
      <c r="K12">
        <v>0</v>
      </c>
      <c r="L12">
        <f t="shared" si="2"/>
        <v>1</v>
      </c>
      <c r="M12">
        <f t="shared" si="3"/>
        <v>0</v>
      </c>
      <c r="N12" s="119">
        <f t="shared" si="4"/>
        <v>0</v>
      </c>
      <c r="O12" s="119">
        <f t="shared" si="5"/>
        <v>0</v>
      </c>
    </row>
    <row r="13" spans="2:15" ht="18" customHeight="1" x14ac:dyDescent="0.25">
      <c r="B13" s="80" t="s">
        <v>26</v>
      </c>
      <c r="C13" s="81" t="s">
        <v>27</v>
      </c>
      <c r="D13" s="82"/>
      <c r="E13" s="230"/>
      <c r="F13" s="84">
        <v>0</v>
      </c>
      <c r="G13" s="89">
        <f t="shared" si="1"/>
        <v>0</v>
      </c>
      <c r="H13" s="118" t="str">
        <f t="array" ref="H13:K13">_xlfn.XLOOKUP(B13,'ESAP NEIVA FASE II UNIFICADO'!$B$6:$B$720,'ESAP NEIVA FASE II UNIFICADO'!$C$6:$F$720,"NO ESTA")</f>
        <v>EXCAVACIONES, RELLENOS Y OTROS</v>
      </c>
      <c r="I13">
        <v>0</v>
      </c>
      <c r="J13">
        <v>0</v>
      </c>
      <c r="K13">
        <v>0</v>
      </c>
      <c r="L13">
        <f t="shared" si="2"/>
        <v>1</v>
      </c>
      <c r="M13">
        <f t="shared" si="3"/>
        <v>0</v>
      </c>
      <c r="N13" s="119">
        <f t="shared" si="4"/>
        <v>0</v>
      </c>
      <c r="O13" s="119">
        <f t="shared" si="5"/>
        <v>0</v>
      </c>
    </row>
    <row r="14" spans="2:15" ht="19.5" customHeight="1" x14ac:dyDescent="0.25">
      <c r="B14" s="86" t="s">
        <v>28</v>
      </c>
      <c r="C14" s="87" t="s">
        <v>29</v>
      </c>
      <c r="D14" s="82" t="s">
        <v>30</v>
      </c>
      <c r="E14" s="230">
        <v>0</v>
      </c>
      <c r="F14" s="88">
        <v>30837</v>
      </c>
      <c r="G14" s="89">
        <f t="shared" si="1"/>
        <v>0</v>
      </c>
      <c r="H14" s="118" t="str">
        <f t="array" ref="H14:K14">_xlfn.XLOOKUP(B14,'ESAP NEIVA FASE II UNIFICADO'!$B$6:$B$720,'ESAP NEIVA FASE II UNIFICADO'!$C$6:$F$720,"NO ESTA")</f>
        <v>EXCAVACIÓN MECÁNICA EN MATERIAL COMÚN (incluye cargue y retiro)</v>
      </c>
      <c r="I14" t="str">
        <v>M3</v>
      </c>
      <c r="J14">
        <v>400</v>
      </c>
      <c r="K14">
        <v>31642</v>
      </c>
      <c r="L14">
        <f t="shared" si="2"/>
        <v>0</v>
      </c>
      <c r="M14">
        <f t="shared" si="3"/>
        <v>0</v>
      </c>
      <c r="N14" s="119">
        <f t="shared" si="4"/>
        <v>0</v>
      </c>
      <c r="O14" s="119">
        <f t="shared" si="5"/>
        <v>0</v>
      </c>
    </row>
    <row r="15" spans="2:15" ht="18.75" customHeight="1" x14ac:dyDescent="0.25">
      <c r="B15" s="86" t="s">
        <v>31</v>
      </c>
      <c r="C15" s="87" t="s">
        <v>32</v>
      </c>
      <c r="D15" s="82" t="s">
        <v>30</v>
      </c>
      <c r="E15" s="230">
        <v>299.45</v>
      </c>
      <c r="F15" s="88">
        <v>38954</v>
      </c>
      <c r="G15" s="89">
        <f t="shared" si="1"/>
        <v>11664775.300000001</v>
      </c>
      <c r="H15" s="118" t="str">
        <f t="array" ref="H15:K15">_xlfn.XLOOKUP(B15,'ESAP NEIVA FASE II UNIFICADO'!$B$6:$B$720,'ESAP NEIVA FASE II UNIFICADO'!$C$6:$F$720,"NO ESTA")</f>
        <v>EXCAVACIÓN MANUAL EN MATERIAL COMÚN (incluye cargue y retiro)</v>
      </c>
      <c r="I15" t="str">
        <v>M3</v>
      </c>
      <c r="J15">
        <v>57.945499999999981</v>
      </c>
      <c r="K15">
        <v>39971</v>
      </c>
      <c r="L15">
        <f t="shared" si="2"/>
        <v>0</v>
      </c>
      <c r="M15">
        <f t="shared" si="3"/>
        <v>0</v>
      </c>
      <c r="N15" s="119">
        <f t="shared" si="4"/>
        <v>299.45</v>
      </c>
      <c r="O15" s="119">
        <f t="shared" si="5"/>
        <v>0</v>
      </c>
    </row>
    <row r="16" spans="2:15" ht="30" customHeight="1" x14ac:dyDescent="0.25">
      <c r="B16" s="86" t="s">
        <v>33</v>
      </c>
      <c r="C16" s="147" t="s">
        <v>34</v>
      </c>
      <c r="D16" s="82" t="s">
        <v>30</v>
      </c>
      <c r="E16" s="230">
        <v>524.07000000000005</v>
      </c>
      <c r="F16" s="88">
        <v>12182</v>
      </c>
      <c r="G16" s="89">
        <f t="shared" si="1"/>
        <v>6384220.7400000002</v>
      </c>
      <c r="H16" s="118" t="str">
        <f t="array" ref="H16:K16">_xlfn.XLOOKUP(B16,'ESAP NEIVA FASE II UNIFICADO'!$B$6:$B$720,'ESAP NEIVA FASE II UNIFICADO'!$C$6:$F$720,"NO ESTA")</f>
        <v>RELLENOS EN MATERIAL COMÚN, SELECCIONADO DE OBRA (Incluye Compactación)</v>
      </c>
      <c r="I16" t="str">
        <v>M3</v>
      </c>
      <c r="J16">
        <v>56.107679999999959</v>
      </c>
      <c r="K16">
        <v>12500</v>
      </c>
      <c r="L16">
        <f t="shared" si="2"/>
        <v>0</v>
      </c>
      <c r="M16">
        <f t="shared" si="3"/>
        <v>0</v>
      </c>
      <c r="N16" s="119">
        <f t="shared" si="4"/>
        <v>524.07000000000005</v>
      </c>
      <c r="O16" s="119">
        <f t="shared" si="5"/>
        <v>0</v>
      </c>
    </row>
    <row r="17" spans="2:15" ht="17.25" customHeight="1" x14ac:dyDescent="0.25">
      <c r="B17" s="86" t="s">
        <v>35</v>
      </c>
      <c r="C17" s="87" t="s">
        <v>36</v>
      </c>
      <c r="D17" s="82" t="s">
        <v>30</v>
      </c>
      <c r="E17" s="230">
        <v>122.54</v>
      </c>
      <c r="F17" s="88">
        <v>61330</v>
      </c>
      <c r="G17" s="89">
        <f t="shared" si="1"/>
        <v>7515378.2000000002</v>
      </c>
      <c r="H17" s="118" t="str">
        <f t="array" ref="H17:K17">_xlfn.XLOOKUP(B17,'ESAP NEIVA FASE II UNIFICADO'!$B$6:$B$720,'ESAP NEIVA FASE II UNIFICADO'!$C$6:$F$720,"NO ESTA")</f>
        <v>RELLENO EN RECEBO COMÚN (Incluye Compactación)</v>
      </c>
      <c r="I17" t="str">
        <v>M3</v>
      </c>
      <c r="J17">
        <v>70.485000000000014</v>
      </c>
      <c r="K17">
        <v>62932</v>
      </c>
      <c r="L17">
        <f t="shared" si="2"/>
        <v>0</v>
      </c>
      <c r="M17">
        <f t="shared" si="3"/>
        <v>0</v>
      </c>
      <c r="N17" s="119">
        <f t="shared" si="4"/>
        <v>122.54</v>
      </c>
      <c r="O17" s="119">
        <f t="shared" si="5"/>
        <v>0</v>
      </c>
    </row>
    <row r="18" spans="2:15" ht="18.75" customHeight="1" x14ac:dyDescent="0.25">
      <c r="B18" s="80" t="s">
        <v>37</v>
      </c>
      <c r="C18" s="81" t="s">
        <v>38</v>
      </c>
      <c r="D18" s="82"/>
      <c r="E18" s="230"/>
      <c r="F18" s="90">
        <v>0</v>
      </c>
      <c r="G18" s="89">
        <f t="shared" si="1"/>
        <v>0</v>
      </c>
      <c r="H18" s="118" t="str">
        <f t="array" ref="H18:K18">_xlfn.XLOOKUP(B18,'ESAP NEIVA FASE II UNIFICADO'!$B$6:$B$720,'ESAP NEIVA FASE II UNIFICADO'!$C$6:$F$720,"NO ESTA")</f>
        <v xml:space="preserve">CONCRETOS DE CIMENTACIÓN </v>
      </c>
      <c r="I18">
        <v>0</v>
      </c>
      <c r="J18">
        <v>0</v>
      </c>
      <c r="K18">
        <v>0</v>
      </c>
      <c r="L18">
        <f t="shared" si="2"/>
        <v>1</v>
      </c>
      <c r="M18">
        <f t="shared" si="3"/>
        <v>0</v>
      </c>
      <c r="N18" s="119">
        <f t="shared" si="4"/>
        <v>0</v>
      </c>
      <c r="O18" s="119">
        <f t="shared" si="5"/>
        <v>0</v>
      </c>
    </row>
    <row r="19" spans="2:15" ht="14.25" customHeight="1" x14ac:dyDescent="0.25">
      <c r="B19" s="86" t="s">
        <v>39</v>
      </c>
      <c r="C19" s="147" t="s">
        <v>40</v>
      </c>
      <c r="D19" s="82" t="s">
        <v>13</v>
      </c>
      <c r="E19" s="230">
        <v>1111.51</v>
      </c>
      <c r="F19" s="88">
        <v>23864</v>
      </c>
      <c r="G19" s="89">
        <f t="shared" si="1"/>
        <v>26525074.640000001</v>
      </c>
      <c r="H19" s="118" t="str">
        <f t="array" ref="H19:K19">_xlfn.XLOOKUP(B19,'ESAP NEIVA FASE II UNIFICADO'!$B$6:$B$720,'ESAP NEIVA FASE II UNIFICADO'!$C$6:$F$720,"NO ESTA")</f>
        <v>CONCRETO POBRE DE LIMPIEZA  e=0.05 m</v>
      </c>
      <c r="I19" t="str">
        <v>M2</v>
      </c>
      <c r="J19">
        <v>72.123000000000047</v>
      </c>
      <c r="K19">
        <v>25442</v>
      </c>
      <c r="L19">
        <f t="shared" si="2"/>
        <v>0</v>
      </c>
      <c r="M19">
        <f t="shared" si="3"/>
        <v>0</v>
      </c>
      <c r="N19" s="119">
        <f t="shared" si="4"/>
        <v>1111.51</v>
      </c>
      <c r="O19" s="119">
        <f t="shared" si="5"/>
        <v>0</v>
      </c>
    </row>
    <row r="20" spans="2:15" ht="18.75" customHeight="1" x14ac:dyDescent="0.25">
      <c r="B20" s="86" t="s">
        <v>41</v>
      </c>
      <c r="C20" s="87" t="s">
        <v>42</v>
      </c>
      <c r="D20" s="82" t="s">
        <v>30</v>
      </c>
      <c r="E20" s="230">
        <v>46.48</v>
      </c>
      <c r="F20" s="88">
        <v>705830</v>
      </c>
      <c r="G20" s="89">
        <f t="shared" si="1"/>
        <v>32806978.399999999</v>
      </c>
      <c r="H20" s="118" t="str">
        <f t="array" ref="H20:K20">_xlfn.XLOOKUP(B20,'ESAP NEIVA FASE II UNIFICADO'!$B$6:$B$720,'ESAP NEIVA FASE II UNIFICADO'!$C$6:$F$720,"NO ESTA")</f>
        <v>CONCRETO PARA ZAPATAS DE 4000 psi</v>
      </c>
      <c r="I20" t="str">
        <v>M3</v>
      </c>
      <c r="J20">
        <v>36</v>
      </c>
      <c r="K20">
        <v>652838</v>
      </c>
      <c r="L20">
        <f t="shared" si="2"/>
        <v>0</v>
      </c>
      <c r="M20">
        <f t="shared" si="3"/>
        <v>0</v>
      </c>
      <c r="N20" s="119">
        <f t="shared" si="4"/>
        <v>46.48</v>
      </c>
      <c r="O20" s="119">
        <f t="shared" si="5"/>
        <v>0</v>
      </c>
    </row>
    <row r="21" spans="2:15" ht="15" customHeight="1" x14ac:dyDescent="0.25">
      <c r="B21" s="86" t="s">
        <v>43</v>
      </c>
      <c r="C21" s="87" t="s">
        <v>44</v>
      </c>
      <c r="D21" s="82" t="s">
        <v>30</v>
      </c>
      <c r="E21" s="231">
        <v>45.04</v>
      </c>
      <c r="F21" s="88">
        <v>705830</v>
      </c>
      <c r="G21" s="89">
        <f t="shared" si="1"/>
        <v>31790583.199999999</v>
      </c>
      <c r="H21" s="118" t="str">
        <f t="array" ref="H21:K21">_xlfn.XLOOKUP(B21,'ESAP NEIVA FASE II UNIFICADO'!$B$6:$B$720,'ESAP NEIVA FASE II UNIFICADO'!$C$6:$F$720,"NO ESTA")</f>
        <v>VIGAS DE CIMENTACIÓN DE 4000 psi</v>
      </c>
      <c r="I21" t="str">
        <v>M3</v>
      </c>
      <c r="J21">
        <v>36.5</v>
      </c>
      <c r="K21">
        <v>652838</v>
      </c>
      <c r="L21">
        <f t="shared" si="2"/>
        <v>0</v>
      </c>
      <c r="M21">
        <f t="shared" si="3"/>
        <v>0</v>
      </c>
      <c r="N21" s="119">
        <f t="shared" si="4"/>
        <v>45.04</v>
      </c>
      <c r="O21" s="119">
        <f t="shared" si="5"/>
        <v>0</v>
      </c>
    </row>
    <row r="22" spans="2:15" ht="18.75" customHeight="1" x14ac:dyDescent="0.25">
      <c r="B22" s="86" t="s">
        <v>45</v>
      </c>
      <c r="C22" s="87" t="s">
        <v>46</v>
      </c>
      <c r="D22" s="82" t="s">
        <v>30</v>
      </c>
      <c r="E22" s="230">
        <v>34.93</v>
      </c>
      <c r="F22" s="88">
        <v>782307</v>
      </c>
      <c r="G22" s="89">
        <f t="shared" si="1"/>
        <v>27325983.510000002</v>
      </c>
      <c r="H22" s="118" t="str">
        <f t="array" ref="H22:K22">_xlfn.XLOOKUP(B22,'ESAP NEIVA FASE II UNIFICADO'!$B$6:$B$720,'ESAP NEIVA FASE II UNIFICADO'!$C$6:$F$720,"NO ESTA")</f>
        <v>MURO DE CONTENCIÓN SOTANO EN CONCRETO DE 4000 PSI</v>
      </c>
      <c r="I22" t="str">
        <v>M3</v>
      </c>
      <c r="J22">
        <v>13</v>
      </c>
      <c r="K22">
        <v>795025</v>
      </c>
      <c r="L22">
        <f t="shared" si="2"/>
        <v>0</v>
      </c>
      <c r="M22">
        <f t="shared" si="3"/>
        <v>0</v>
      </c>
      <c r="N22" s="119">
        <f t="shared" si="4"/>
        <v>34.93</v>
      </c>
      <c r="O22" s="119">
        <f t="shared" si="5"/>
        <v>0</v>
      </c>
    </row>
    <row r="23" spans="2:15" ht="15.75" customHeight="1" x14ac:dyDescent="0.25">
      <c r="B23" s="80" t="s">
        <v>47</v>
      </c>
      <c r="C23" s="81" t="s">
        <v>48</v>
      </c>
      <c r="D23" s="82"/>
      <c r="E23" s="230"/>
      <c r="F23" s="90">
        <v>0</v>
      </c>
      <c r="G23" s="89">
        <f t="shared" si="1"/>
        <v>0</v>
      </c>
      <c r="H23" s="118" t="str">
        <f t="array" ref="H23:K23">_xlfn.XLOOKUP(B23,'ESAP NEIVA FASE II UNIFICADO'!$B$6:$B$720,'ESAP NEIVA FASE II UNIFICADO'!$C$6:$F$720,"NO ESTA")</f>
        <v xml:space="preserve">CONSTRUCCIÓN VARIOS EN CONCRETO </v>
      </c>
      <c r="I23">
        <v>0</v>
      </c>
      <c r="J23">
        <v>0</v>
      </c>
      <c r="K23">
        <v>0</v>
      </c>
      <c r="L23">
        <f t="shared" si="2"/>
        <v>1</v>
      </c>
      <c r="M23">
        <f t="shared" si="3"/>
        <v>0</v>
      </c>
      <c r="N23" s="119">
        <f t="shared" si="4"/>
        <v>0</v>
      </c>
      <c r="O23" s="119">
        <f t="shared" si="5"/>
        <v>0</v>
      </c>
    </row>
    <row r="24" spans="2:15" ht="19.5" customHeight="1" x14ac:dyDescent="0.25">
      <c r="B24" s="86" t="s">
        <v>49</v>
      </c>
      <c r="C24" s="87" t="s">
        <v>50</v>
      </c>
      <c r="D24" s="82" t="s">
        <v>30</v>
      </c>
      <c r="E24" s="230">
        <v>50.62</v>
      </c>
      <c r="F24" s="88">
        <v>782307</v>
      </c>
      <c r="G24" s="89">
        <f t="shared" si="1"/>
        <v>39600380.340000004</v>
      </c>
      <c r="H24" s="118" t="str">
        <f t="array" ref="H24:K24">_xlfn.XLOOKUP(B24,'ESAP NEIVA FASE II UNIFICADO'!$B$6:$B$720,'ESAP NEIVA FASE II UNIFICADO'!$C$6:$F$720,"NO ESTA")</f>
        <v>TANQUE DE ALMACENAMIENTO Y RESERVA EN CONCRETO DE 4000 PSI</v>
      </c>
      <c r="I24" t="str">
        <v>M3</v>
      </c>
      <c r="J24">
        <v>13.700000000000003</v>
      </c>
      <c r="K24">
        <v>821235</v>
      </c>
      <c r="L24">
        <f t="shared" si="2"/>
        <v>0</v>
      </c>
      <c r="M24">
        <f t="shared" si="3"/>
        <v>0</v>
      </c>
      <c r="N24" s="119">
        <f t="shared" si="4"/>
        <v>50.62</v>
      </c>
      <c r="O24" s="119">
        <f t="shared" si="5"/>
        <v>0</v>
      </c>
    </row>
    <row r="25" spans="2:15" ht="18" customHeight="1" x14ac:dyDescent="0.25">
      <c r="B25" s="80" t="s">
        <v>51</v>
      </c>
      <c r="C25" s="81" t="s">
        <v>52</v>
      </c>
      <c r="D25" s="82"/>
      <c r="E25" s="230"/>
      <c r="F25" s="90">
        <v>0</v>
      </c>
      <c r="G25" s="89">
        <f t="shared" si="1"/>
        <v>0</v>
      </c>
      <c r="H25" s="118" t="str">
        <f t="array" ref="H25:K25">_xlfn.XLOOKUP(B25,'ESAP NEIVA FASE II UNIFICADO'!$B$6:$B$720,'ESAP NEIVA FASE II UNIFICADO'!$C$6:$F$720,"NO ESTA")</f>
        <v>SUMINISTRO E INSTALACIÓN ACERO DE REFUERZO CIMENTACIÓN</v>
      </c>
      <c r="I25">
        <v>0</v>
      </c>
      <c r="J25">
        <v>0</v>
      </c>
      <c r="K25">
        <v>0</v>
      </c>
      <c r="L25">
        <f t="shared" si="2"/>
        <v>1</v>
      </c>
      <c r="M25">
        <f t="shared" si="3"/>
        <v>0</v>
      </c>
      <c r="N25" s="119">
        <f t="shared" si="4"/>
        <v>0</v>
      </c>
      <c r="O25" s="119">
        <f t="shared" si="5"/>
        <v>0</v>
      </c>
    </row>
    <row r="26" spans="2:15" ht="16.5" customHeight="1" x14ac:dyDescent="0.25">
      <c r="B26" s="92" t="s">
        <v>53</v>
      </c>
      <c r="C26" s="93" t="s">
        <v>54</v>
      </c>
      <c r="D26" s="92" t="s">
        <v>55</v>
      </c>
      <c r="E26" s="230">
        <v>16621.25</v>
      </c>
      <c r="F26" s="94">
        <v>5265</v>
      </c>
      <c r="G26" s="89">
        <f t="shared" si="1"/>
        <v>87510881.25</v>
      </c>
      <c r="H26" s="118" t="str">
        <f t="array" ref="H26:K26">_xlfn.XLOOKUP(B26,'ESAP NEIVA FASE II UNIFICADO'!$B$6:$B$720,'ESAP NEIVA FASE II UNIFICADO'!$C$6:$F$720,"NO ESTA")</f>
        <v>ACERO DE REFUERZO 60000 psi Incluye ALAMBRE DE AMARRE</v>
      </c>
      <c r="I26" s="95" t="str">
        <v>KG</v>
      </c>
      <c r="J26">
        <v>8230.6999999999971</v>
      </c>
      <c r="K26">
        <v>5000</v>
      </c>
      <c r="L26">
        <f t="shared" si="2"/>
        <v>0</v>
      </c>
      <c r="M26">
        <f t="shared" si="3"/>
        <v>0</v>
      </c>
      <c r="N26" s="119">
        <f t="shared" si="4"/>
        <v>16621.25</v>
      </c>
      <c r="O26" s="119">
        <f t="shared" si="5"/>
        <v>0</v>
      </c>
    </row>
    <row r="27" spans="2:15" ht="25.9" customHeight="1" x14ac:dyDescent="0.25">
      <c r="B27" s="86" t="s">
        <v>56</v>
      </c>
      <c r="C27" s="93" t="s">
        <v>57</v>
      </c>
      <c r="D27" s="82" t="s">
        <v>13</v>
      </c>
      <c r="E27" s="230">
        <v>1871.1</v>
      </c>
      <c r="F27" s="94">
        <v>7898</v>
      </c>
      <c r="G27" s="89">
        <f t="shared" si="1"/>
        <v>14777947.800000001</v>
      </c>
      <c r="H27" s="118" t="str">
        <f t="array" ref="H27:K27">_xlfn.XLOOKUP(B27,'ESAP NEIVA FASE II UNIFICADO'!$B$6:$B$720,'ESAP NEIVA FASE II UNIFICADO'!$C$6:$F$720,"NO ESTA")</f>
        <v>MALLA ELECTROSOLDADA PLACA CONTRAPISO Q84 Ø4 mm separación 15x15 cm o similar</v>
      </c>
      <c r="I27" t="str">
        <v>M2</v>
      </c>
      <c r="J27">
        <v>242.5</v>
      </c>
      <c r="K27">
        <v>7500</v>
      </c>
      <c r="L27">
        <f t="shared" si="2"/>
        <v>0</v>
      </c>
      <c r="M27">
        <f t="shared" si="3"/>
        <v>0</v>
      </c>
      <c r="N27" s="119">
        <f t="shared" si="4"/>
        <v>1871.1</v>
      </c>
      <c r="O27" s="119">
        <f t="shared" si="5"/>
        <v>0</v>
      </c>
    </row>
    <row r="28" spans="2:15" ht="16.5" customHeight="1" x14ac:dyDescent="0.25">
      <c r="B28" s="74">
        <v>3</v>
      </c>
      <c r="C28" s="75" t="s">
        <v>58</v>
      </c>
      <c r="D28" s="76"/>
      <c r="E28" s="229"/>
      <c r="F28" s="78">
        <v>0</v>
      </c>
      <c r="G28" s="89">
        <f t="shared" si="1"/>
        <v>0</v>
      </c>
      <c r="H28" s="118" t="str">
        <f t="array" ref="H28:K28">_xlfn.XLOOKUP(B28,'ESAP NEIVA FASE II UNIFICADO'!$B$6:$B$720,'ESAP NEIVA FASE II UNIFICADO'!$C$6:$F$720,"NO ESTA")</f>
        <v>ESTRUCTURAS EN CONCRETO Y METALICAS</v>
      </c>
      <c r="I28" s="96">
        <v>0</v>
      </c>
      <c r="J28">
        <v>0</v>
      </c>
      <c r="K28">
        <v>0</v>
      </c>
      <c r="L28">
        <f t="shared" si="2"/>
        <v>1</v>
      </c>
      <c r="M28">
        <f t="shared" si="3"/>
        <v>0</v>
      </c>
      <c r="N28" s="119">
        <f t="shared" si="4"/>
        <v>0</v>
      </c>
      <c r="O28" s="119">
        <f t="shared" si="5"/>
        <v>0</v>
      </c>
    </row>
    <row r="29" spans="2:15" ht="16.5" customHeight="1" x14ac:dyDescent="0.25">
      <c r="B29" s="80" t="s">
        <v>59</v>
      </c>
      <c r="C29" s="81" t="s">
        <v>60</v>
      </c>
      <c r="D29" s="82"/>
      <c r="E29" s="230"/>
      <c r="F29" s="84">
        <v>0</v>
      </c>
      <c r="G29" s="89">
        <f t="shared" si="1"/>
        <v>0</v>
      </c>
      <c r="H29" s="118" t="str">
        <f t="array" ref="H29:K29">_xlfn.XLOOKUP(B29,'ESAP NEIVA FASE II UNIFICADO'!$B$6:$B$720,'ESAP NEIVA FASE II UNIFICADO'!$C$6:$F$720,"NO ESTA")</f>
        <v>ELEMENTOS ESTRUCTURALES</v>
      </c>
      <c r="I29" s="96">
        <v>0</v>
      </c>
      <c r="J29">
        <v>0</v>
      </c>
      <c r="K29">
        <v>0</v>
      </c>
      <c r="L29">
        <f t="shared" si="2"/>
        <v>1</v>
      </c>
      <c r="M29">
        <f t="shared" si="3"/>
        <v>0</v>
      </c>
      <c r="N29" s="119">
        <f t="shared" si="4"/>
        <v>0</v>
      </c>
      <c r="O29" s="119">
        <f t="shared" si="5"/>
        <v>0</v>
      </c>
    </row>
    <row r="30" spans="2:15" ht="20.25" customHeight="1" x14ac:dyDescent="0.25">
      <c r="B30" s="86" t="s">
        <v>61</v>
      </c>
      <c r="C30" s="87" t="s">
        <v>62</v>
      </c>
      <c r="D30" s="82" t="s">
        <v>30</v>
      </c>
      <c r="E30" s="230">
        <v>247.78</v>
      </c>
      <c r="F30" s="88">
        <v>831289</v>
      </c>
      <c r="G30" s="89">
        <f t="shared" si="1"/>
        <v>205976788.41999999</v>
      </c>
      <c r="H30" s="118" t="str">
        <f t="array" ref="H30:K30">_xlfn.XLOOKUP(B30,'ESAP NEIVA FASE II UNIFICADO'!$B$6:$B$720,'ESAP NEIVA FASE II UNIFICADO'!$C$6:$F$720,"NO ESTA")</f>
        <v>COLUMNAS EN CONCRETO DE 4000 psi</v>
      </c>
      <c r="I30" s="96" t="str">
        <v>M3</v>
      </c>
      <c r="J30">
        <v>24.939999999999998</v>
      </c>
      <c r="K30">
        <v>789448</v>
      </c>
      <c r="L30">
        <f t="shared" si="2"/>
        <v>0</v>
      </c>
      <c r="M30">
        <f t="shared" si="3"/>
        <v>0</v>
      </c>
      <c r="N30" s="119">
        <f t="shared" si="4"/>
        <v>247.78</v>
      </c>
      <c r="O30" s="119">
        <f t="shared" si="5"/>
        <v>0</v>
      </c>
    </row>
    <row r="31" spans="2:15" ht="30" customHeight="1" x14ac:dyDescent="0.25">
      <c r="B31" s="86" t="s">
        <v>63</v>
      </c>
      <c r="C31" s="87" t="s">
        <v>64</v>
      </c>
      <c r="D31" s="82" t="s">
        <v>30</v>
      </c>
      <c r="E31" s="230">
        <v>152.63999999999999</v>
      </c>
      <c r="F31" s="88">
        <v>831289</v>
      </c>
      <c r="G31" s="89">
        <f t="shared" si="1"/>
        <v>126887952.95999999</v>
      </c>
      <c r="H31" s="118" t="str">
        <f t="array" ref="H31:K31">_xlfn.XLOOKUP(B31,'ESAP NEIVA FASE II UNIFICADO'!$B$6:$B$720,'ESAP NEIVA FASE II UNIFICADO'!$C$6:$F$720,"NO ESTA")</f>
        <v>PANTALLAS ASCENSORES Y ESCALERA EJES F2 Y K2 EN CONCRETO DE 4000 PSI</v>
      </c>
      <c r="I31" t="str">
        <v>M3</v>
      </c>
      <c r="J31">
        <v>15.569999999999993</v>
      </c>
      <c r="K31">
        <v>789448</v>
      </c>
      <c r="L31">
        <f t="shared" si="2"/>
        <v>0</v>
      </c>
      <c r="M31">
        <f t="shared" si="3"/>
        <v>0</v>
      </c>
      <c r="N31" s="119">
        <f t="shared" si="4"/>
        <v>152.63999999999999</v>
      </c>
      <c r="O31" s="119">
        <f t="shared" si="5"/>
        <v>0</v>
      </c>
    </row>
    <row r="32" spans="2:15" ht="13.5" customHeight="1" x14ac:dyDescent="0.25">
      <c r="B32" s="80" t="s">
        <v>65</v>
      </c>
      <c r="C32" s="81" t="s">
        <v>66</v>
      </c>
      <c r="D32" s="82"/>
      <c r="E32" s="230"/>
      <c r="F32" s="90">
        <v>0</v>
      </c>
      <c r="G32" s="89">
        <f t="shared" si="1"/>
        <v>0</v>
      </c>
      <c r="H32" s="118" t="str">
        <f t="array" ref="H32:K32">_xlfn.XLOOKUP(B32,'ESAP NEIVA FASE II UNIFICADO'!$B$6:$B$720,'ESAP NEIVA FASE II UNIFICADO'!$C$6:$F$720,"NO ESTA")</f>
        <v>PLACAS Y LOSAS DE ENTREPISO</v>
      </c>
      <c r="I32" s="95">
        <v>0</v>
      </c>
      <c r="J32">
        <v>0</v>
      </c>
      <c r="K32">
        <v>0</v>
      </c>
      <c r="L32">
        <f t="shared" si="2"/>
        <v>1</v>
      </c>
      <c r="M32">
        <f t="shared" si="3"/>
        <v>0</v>
      </c>
      <c r="N32" s="119">
        <f t="shared" si="4"/>
        <v>0</v>
      </c>
      <c r="O32" s="119">
        <f t="shared" si="5"/>
        <v>0</v>
      </c>
    </row>
    <row r="33" spans="2:15" ht="30" customHeight="1" x14ac:dyDescent="0.25">
      <c r="B33" s="86" t="s">
        <v>67</v>
      </c>
      <c r="C33" s="87" t="s">
        <v>68</v>
      </c>
      <c r="D33" s="82" t="s">
        <v>30</v>
      </c>
      <c r="E33" s="230">
        <v>2128.8200000000002</v>
      </c>
      <c r="F33" s="88">
        <v>740030</v>
      </c>
      <c r="G33" s="89">
        <f t="shared" si="1"/>
        <v>1575390664.5999999</v>
      </c>
      <c r="H33" s="118" t="str">
        <f t="array" ref="H33:K33">_xlfn.XLOOKUP(B33,'ESAP NEIVA FASE II UNIFICADO'!$B$6:$B$720,'ESAP NEIVA FASE II UNIFICADO'!$C$6:$F$720,"NO ESTA")</f>
        <v>PLACA ENTREPISO ALIGERADA H= 0.60M EN CONCRETO DE 4000 PSI incluye, VIGAS, VIGUETAS, RIOSTRAS, CASETON E: 7.5 cms aprox, etc</v>
      </c>
      <c r="I33" t="str">
        <v>M3</v>
      </c>
      <c r="J33">
        <v>0</v>
      </c>
      <c r="K33">
        <v>905780</v>
      </c>
      <c r="L33">
        <f t="shared" si="2"/>
        <v>1</v>
      </c>
      <c r="M33">
        <f t="shared" si="3"/>
        <v>740030</v>
      </c>
      <c r="N33" s="119">
        <f t="shared" si="4"/>
        <v>2128.8200000000002</v>
      </c>
      <c r="O33" s="119">
        <f t="shared" si="5"/>
        <v>1575390664.5999999</v>
      </c>
    </row>
    <row r="34" spans="2:15" ht="16.5" customHeight="1" x14ac:dyDescent="0.25">
      <c r="B34" s="86" t="s">
        <v>69</v>
      </c>
      <c r="C34" s="148" t="s">
        <v>70</v>
      </c>
      <c r="D34" s="82" t="s">
        <v>13</v>
      </c>
      <c r="E34" s="230">
        <v>1581</v>
      </c>
      <c r="F34" s="88">
        <v>100365</v>
      </c>
      <c r="G34" s="89">
        <f t="shared" si="1"/>
        <v>158677065</v>
      </c>
      <c r="H34" s="118" t="str">
        <f t="array" ref="H34:K34">_xlfn.XLOOKUP(B34,'ESAP NEIVA FASE II UNIFICADO'!$B$6:$B$720,'ESAP NEIVA FASE II UNIFICADO'!$C$6:$F$720,"NO ESTA")</f>
        <v>PLACA MACIZA CONTRAPISO CIMENTACION E: 15 cms</v>
      </c>
      <c r="I34" t="str">
        <v>M2</v>
      </c>
      <c r="J34">
        <v>235.59999999999991</v>
      </c>
      <c r="K34">
        <v>95123</v>
      </c>
      <c r="L34">
        <f t="shared" si="2"/>
        <v>0</v>
      </c>
      <c r="M34">
        <f t="shared" si="3"/>
        <v>0</v>
      </c>
      <c r="N34" s="119">
        <f t="shared" si="4"/>
        <v>1581</v>
      </c>
      <c r="O34" s="119">
        <f t="shared" si="5"/>
        <v>0</v>
      </c>
    </row>
    <row r="35" spans="2:15" ht="19.5" customHeight="1" x14ac:dyDescent="0.25">
      <c r="B35" s="86" t="s">
        <v>71</v>
      </c>
      <c r="C35" s="87" t="s">
        <v>72</v>
      </c>
      <c r="D35" s="82" t="s">
        <v>30</v>
      </c>
      <c r="E35" s="230">
        <v>8.9</v>
      </c>
      <c r="F35" s="88">
        <v>743087</v>
      </c>
      <c r="G35" s="89">
        <f t="shared" si="1"/>
        <v>6613474.2999999998</v>
      </c>
      <c r="H35" s="118" t="str">
        <f t="array" ref="H35:K35">_xlfn.XLOOKUP(B35,'ESAP NEIVA FASE II UNIFICADO'!$B$6:$B$720,'ESAP NEIVA FASE II UNIFICADO'!$C$6:$F$720,"NO ESTA")</f>
        <v xml:space="preserve">PLACA MACIZA ZONA ASCENSOR 2DA PLANTA </v>
      </c>
      <c r="I35" t="str">
        <v>M3</v>
      </c>
      <c r="J35">
        <v>0</v>
      </c>
      <c r="K35">
        <v>789448</v>
      </c>
      <c r="L35">
        <f t="shared" si="2"/>
        <v>1</v>
      </c>
      <c r="M35">
        <f t="shared" si="3"/>
        <v>743087</v>
      </c>
      <c r="N35" s="119">
        <f t="shared" si="4"/>
        <v>8.9</v>
      </c>
      <c r="O35" s="119">
        <f t="shared" si="5"/>
        <v>6613474.2999999998</v>
      </c>
    </row>
    <row r="36" spans="2:15" ht="15" customHeight="1" x14ac:dyDescent="0.25">
      <c r="B36" s="80" t="s">
        <v>73</v>
      </c>
      <c r="C36" s="81" t="s">
        <v>74</v>
      </c>
      <c r="D36" s="82"/>
      <c r="E36" s="230"/>
      <c r="F36" s="90">
        <v>0</v>
      </c>
      <c r="G36" s="89">
        <f t="shared" si="1"/>
        <v>0</v>
      </c>
      <c r="H36" s="118" t="str">
        <f t="array" ref="H36:K36">_xlfn.XLOOKUP(B36,'ESAP NEIVA FASE II UNIFICADO'!$B$6:$B$720,'ESAP NEIVA FASE II UNIFICADO'!$C$6:$F$720,"NO ESTA")</f>
        <v>CONSTRUCCIONES VARIAS EN CONCRETO</v>
      </c>
      <c r="I36">
        <v>0</v>
      </c>
      <c r="J36">
        <v>0</v>
      </c>
      <c r="K36">
        <v>0</v>
      </c>
      <c r="L36">
        <f t="shared" si="2"/>
        <v>1</v>
      </c>
      <c r="M36">
        <f t="shared" si="3"/>
        <v>0</v>
      </c>
      <c r="N36" s="119">
        <f t="shared" si="4"/>
        <v>0</v>
      </c>
      <c r="O36" s="119">
        <f t="shared" si="5"/>
        <v>0</v>
      </c>
    </row>
    <row r="37" spans="2:15" ht="17.25" customHeight="1" x14ac:dyDescent="0.25">
      <c r="B37" s="86" t="s">
        <v>75</v>
      </c>
      <c r="C37" s="87" t="s">
        <v>76</v>
      </c>
      <c r="D37" s="82" t="s">
        <v>30</v>
      </c>
      <c r="E37" s="230">
        <v>73</v>
      </c>
      <c r="F37" s="88">
        <v>724119</v>
      </c>
      <c r="G37" s="89">
        <f t="shared" si="1"/>
        <v>52860687</v>
      </c>
      <c r="H37" s="118" t="str">
        <f t="array" ref="H37:K37">_xlfn.XLOOKUP(B37,'ESAP NEIVA FASE II UNIFICADO'!$B$6:$B$720,'ESAP NEIVA FASE II UNIFICADO'!$C$6:$F$720,"NO ESTA")</f>
        <v>MURO EN CONCRETO DE 4000 PSI DESCOLGADO VIGA 00C 30x120</v>
      </c>
      <c r="I37" t="str">
        <v>M3</v>
      </c>
      <c r="J37">
        <v>11.299999999999997</v>
      </c>
      <c r="K37">
        <v>795025</v>
      </c>
      <c r="L37">
        <f t="shared" si="2"/>
        <v>0</v>
      </c>
      <c r="M37">
        <f t="shared" si="3"/>
        <v>0</v>
      </c>
      <c r="N37" s="119">
        <f t="shared" si="4"/>
        <v>73</v>
      </c>
      <c r="O37" s="119">
        <f t="shared" si="5"/>
        <v>0</v>
      </c>
    </row>
    <row r="38" spans="2:15" ht="19.5" customHeight="1" x14ac:dyDescent="0.25">
      <c r="B38" s="86" t="s">
        <v>77</v>
      </c>
      <c r="C38" s="87" t="s">
        <v>78</v>
      </c>
      <c r="D38" s="82" t="s">
        <v>30</v>
      </c>
      <c r="E38" s="230">
        <v>109</v>
      </c>
      <c r="F38" s="88">
        <v>724119</v>
      </c>
      <c r="G38" s="89">
        <f t="shared" si="1"/>
        <v>78928971</v>
      </c>
      <c r="H38" s="118" t="str">
        <f t="array" ref="H38:K38">_xlfn.XLOOKUP(B38,'ESAP NEIVA FASE II UNIFICADO'!$B$6:$B$720,'ESAP NEIVA FASE II UNIFICADO'!$C$6:$F$720,"NO ESTA")</f>
        <v>MURO ESTRUCTURAL EN CONCRETO DE 4000 PSI FACHADA EXTERIOR</v>
      </c>
      <c r="I38" t="str">
        <v>M3</v>
      </c>
      <c r="J38">
        <v>15.900000000000006</v>
      </c>
      <c r="K38">
        <v>766762</v>
      </c>
      <c r="L38">
        <f t="shared" si="2"/>
        <v>0</v>
      </c>
      <c r="M38">
        <f t="shared" si="3"/>
        <v>0</v>
      </c>
      <c r="N38" s="119">
        <f t="shared" si="4"/>
        <v>109</v>
      </c>
      <c r="O38" s="119">
        <f t="shared" si="5"/>
        <v>0</v>
      </c>
    </row>
    <row r="39" spans="2:15" ht="17.25" customHeight="1" x14ac:dyDescent="0.25">
      <c r="B39" s="86" t="s">
        <v>79</v>
      </c>
      <c r="C39" s="87" t="s">
        <v>80</v>
      </c>
      <c r="D39" s="82" t="s">
        <v>30</v>
      </c>
      <c r="E39" s="230">
        <v>30</v>
      </c>
      <c r="F39" s="88">
        <v>743087</v>
      </c>
      <c r="G39" s="89">
        <f t="shared" si="1"/>
        <v>22292610</v>
      </c>
      <c r="H39" s="118" t="str">
        <f t="array" ref="H39:K39">_xlfn.XLOOKUP(B39,'ESAP NEIVA FASE II UNIFICADO'!$B$6:$B$720,'ESAP NEIVA FASE II UNIFICADO'!$C$6:$F$720,"NO ESTA")</f>
        <v>ESCALERAS INTERNAS</v>
      </c>
      <c r="I39" t="str">
        <v>M3</v>
      </c>
      <c r="J39">
        <v>4.7000000000000028</v>
      </c>
      <c r="K39">
        <v>910627</v>
      </c>
      <c r="L39">
        <f t="shared" si="2"/>
        <v>0</v>
      </c>
      <c r="M39">
        <f t="shared" si="3"/>
        <v>0</v>
      </c>
      <c r="N39" s="119">
        <f t="shared" si="4"/>
        <v>30</v>
      </c>
      <c r="O39" s="119">
        <f t="shared" si="5"/>
        <v>0</v>
      </c>
    </row>
    <row r="40" spans="2:15" ht="18" customHeight="1" x14ac:dyDescent="0.25">
      <c r="B40" s="86" t="s">
        <v>81</v>
      </c>
      <c r="C40" s="87" t="s">
        <v>82</v>
      </c>
      <c r="D40" s="82" t="s">
        <v>30</v>
      </c>
      <c r="E40" s="230">
        <v>17</v>
      </c>
      <c r="F40" s="88">
        <v>743087</v>
      </c>
      <c r="G40" s="89">
        <f t="shared" si="1"/>
        <v>12632479</v>
      </c>
      <c r="H40" s="118" t="str">
        <f t="array" ref="H40:K40">_xlfn.XLOOKUP(B40,'ESAP NEIVA FASE II UNIFICADO'!$B$6:$B$720,'ESAP NEIVA FASE II UNIFICADO'!$C$6:$F$720,"NO ESTA")</f>
        <v>ESCALERA ACCESO SEGUNDO (2DO) Y TERCER (3ER) PISO EJES 1 Y 4'</v>
      </c>
      <c r="I40" t="str">
        <v>M3</v>
      </c>
      <c r="J40">
        <v>2</v>
      </c>
      <c r="K40">
        <v>910627</v>
      </c>
      <c r="L40">
        <f t="shared" si="2"/>
        <v>0</v>
      </c>
      <c r="M40">
        <f t="shared" si="3"/>
        <v>0</v>
      </c>
      <c r="N40" s="119">
        <f t="shared" si="4"/>
        <v>17</v>
      </c>
      <c r="O40" s="119">
        <f t="shared" si="5"/>
        <v>0</v>
      </c>
    </row>
    <row r="41" spans="2:15" ht="15.75" customHeight="1" x14ac:dyDescent="0.25">
      <c r="B41" s="86" t="s">
        <v>83</v>
      </c>
      <c r="C41" s="87" t="s">
        <v>84</v>
      </c>
      <c r="D41" s="82" t="s">
        <v>30</v>
      </c>
      <c r="E41" s="230">
        <v>63</v>
      </c>
      <c r="F41" s="88">
        <v>761561</v>
      </c>
      <c r="G41" s="89">
        <f t="shared" si="1"/>
        <v>47978343</v>
      </c>
      <c r="H41" s="118" t="str">
        <f t="array" ref="H41:K41">_xlfn.XLOOKUP(B41,'ESAP NEIVA FASE II UNIFICADO'!$B$6:$B$720,'ESAP NEIVA FASE II UNIFICADO'!$C$6:$F$720,"NO ESTA")</f>
        <v>RAMPAS DE ACCESO Incluye ACERO DE REFUERZO</v>
      </c>
      <c r="I41" t="str">
        <v>M3</v>
      </c>
      <c r="J41">
        <v>9</v>
      </c>
      <c r="K41">
        <v>852120</v>
      </c>
      <c r="L41">
        <f t="shared" si="2"/>
        <v>0</v>
      </c>
      <c r="M41">
        <f t="shared" si="3"/>
        <v>0</v>
      </c>
      <c r="N41" s="119">
        <f t="shared" si="4"/>
        <v>63</v>
      </c>
      <c r="O41" s="119">
        <f t="shared" si="5"/>
        <v>0</v>
      </c>
    </row>
    <row r="42" spans="2:15" ht="39.75" customHeight="1" x14ac:dyDescent="0.25">
      <c r="B42" s="80" t="s">
        <v>85</v>
      </c>
      <c r="C42" s="81" t="s">
        <v>86</v>
      </c>
      <c r="D42" s="82"/>
      <c r="E42" s="230"/>
      <c r="F42" s="90">
        <v>0</v>
      </c>
      <c r="G42" s="89">
        <f t="shared" si="1"/>
        <v>0</v>
      </c>
      <c r="H42" s="118" t="str">
        <f t="array" ref="H42:K42">_xlfn.XLOOKUP(B42,'ESAP NEIVA FASE II UNIFICADO'!$B$6:$B$720,'ESAP NEIVA FASE II UNIFICADO'!$C$6:$F$720,"NO ESTA")</f>
        <v>SUMINISTRO E INSTALACIÓN ACERO DE REFUERZO ELEMENTOS ESTRUCTURALES, PLACAS MACIZAS, CONSTRUCCIONES VARIAS EN CONCRETOS</v>
      </c>
      <c r="I42">
        <v>0</v>
      </c>
      <c r="J42">
        <v>0</v>
      </c>
      <c r="K42">
        <v>0</v>
      </c>
      <c r="L42">
        <f t="shared" si="2"/>
        <v>1</v>
      </c>
      <c r="M42">
        <f t="shared" si="3"/>
        <v>0</v>
      </c>
      <c r="N42" s="119">
        <f t="shared" si="4"/>
        <v>0</v>
      </c>
      <c r="O42" s="119">
        <f t="shared" si="5"/>
        <v>0</v>
      </c>
    </row>
    <row r="43" spans="2:15" ht="18" customHeight="1" x14ac:dyDescent="0.25">
      <c r="B43" s="86" t="s">
        <v>87</v>
      </c>
      <c r="C43" s="93" t="s">
        <v>54</v>
      </c>
      <c r="D43" s="82" t="s">
        <v>55</v>
      </c>
      <c r="E43" s="230">
        <v>134615.48000000001</v>
      </c>
      <c r="F43" s="94">
        <v>5265</v>
      </c>
      <c r="G43" s="89">
        <f t="shared" si="1"/>
        <v>708750502.20000005</v>
      </c>
      <c r="H43" s="118" t="str">
        <f t="array" ref="H43:K43">_xlfn.XLOOKUP(B43,'ESAP NEIVA FASE II UNIFICADO'!$B$6:$B$720,'ESAP NEIVA FASE II UNIFICADO'!$C$6:$F$720,"NO ESTA")</f>
        <v>ACERO DE REFUERZO 60000 psi Incluye ALAMBRE DE AMARRE</v>
      </c>
      <c r="I43" t="str">
        <v>KG</v>
      </c>
      <c r="J43">
        <v>84343.400000000023</v>
      </c>
      <c r="K43">
        <v>5000</v>
      </c>
      <c r="L43">
        <f t="shared" si="2"/>
        <v>0</v>
      </c>
      <c r="M43">
        <f t="shared" si="3"/>
        <v>0</v>
      </c>
      <c r="N43" s="119">
        <f t="shared" si="4"/>
        <v>134615.48000000001</v>
      </c>
      <c r="O43" s="119">
        <f t="shared" si="5"/>
        <v>0</v>
      </c>
    </row>
    <row r="44" spans="2:15" ht="30" customHeight="1" x14ac:dyDescent="0.25">
      <c r="B44" s="86" t="s">
        <v>88</v>
      </c>
      <c r="C44" s="93" t="s">
        <v>89</v>
      </c>
      <c r="D44" s="82" t="s">
        <v>13</v>
      </c>
      <c r="E44" s="230">
        <v>6220.01</v>
      </c>
      <c r="F44" s="94">
        <v>7898</v>
      </c>
      <c r="G44" s="89">
        <f t="shared" si="1"/>
        <v>49125638.979999997</v>
      </c>
      <c r="H44" s="118" t="str">
        <f t="array" ref="H44:K44">_xlfn.XLOOKUP(B44,'ESAP NEIVA FASE II UNIFICADO'!$B$6:$B$720,'ESAP NEIVA FASE II UNIFICADO'!$C$6:$F$720,"NO ESTA")</f>
        <v>MALLA ELECTROSOLDADA PLACA ENTREPISO Q85 Ø4 mm separación 15x15 cm o similar</v>
      </c>
      <c r="I44" t="str">
        <v>M2</v>
      </c>
      <c r="J44">
        <v>938.19999999999982</v>
      </c>
      <c r="K44">
        <v>7500</v>
      </c>
      <c r="L44">
        <f t="shared" si="2"/>
        <v>0</v>
      </c>
      <c r="M44">
        <f t="shared" si="3"/>
        <v>0</v>
      </c>
      <c r="N44" s="119">
        <f t="shared" si="4"/>
        <v>6220.01</v>
      </c>
      <c r="O44" s="119">
        <f t="shared" si="5"/>
        <v>0</v>
      </c>
    </row>
    <row r="45" spans="2:15" ht="30" customHeight="1" x14ac:dyDescent="0.25">
      <c r="B45" s="80" t="s">
        <v>90</v>
      </c>
      <c r="C45" s="81" t="s">
        <v>91</v>
      </c>
      <c r="D45" s="82"/>
      <c r="E45" s="230"/>
      <c r="F45" s="90">
        <v>0</v>
      </c>
      <c r="G45" s="89">
        <f t="shared" si="1"/>
        <v>0</v>
      </c>
      <c r="H45" s="118" t="str">
        <f t="array" ref="H45:K45">_xlfn.XLOOKUP(B45,'ESAP NEIVA FASE II UNIFICADO'!$B$6:$B$720,'ESAP NEIVA FASE II UNIFICADO'!$C$6:$F$720,"NO ESTA")</f>
        <v>SUMINISTRO E INSTALACION DE ESTRUCTURA METALICA CUBIERTA</v>
      </c>
      <c r="I45">
        <v>0</v>
      </c>
      <c r="J45">
        <v>0</v>
      </c>
      <c r="K45">
        <v>0</v>
      </c>
      <c r="L45">
        <f t="shared" si="2"/>
        <v>1</v>
      </c>
      <c r="M45">
        <f t="shared" si="3"/>
        <v>0</v>
      </c>
      <c r="N45" s="119">
        <f t="shared" si="4"/>
        <v>0</v>
      </c>
      <c r="O45" s="119">
        <f t="shared" si="5"/>
        <v>0</v>
      </c>
    </row>
    <row r="46" spans="2:15" ht="15" customHeight="1" x14ac:dyDescent="0.25">
      <c r="B46" s="86" t="s">
        <v>92</v>
      </c>
      <c r="C46" s="87" t="s">
        <v>93</v>
      </c>
      <c r="D46" s="82" t="s">
        <v>94</v>
      </c>
      <c r="E46" s="230">
        <v>194</v>
      </c>
      <c r="F46" s="88">
        <v>107633</v>
      </c>
      <c r="G46" s="89">
        <f t="shared" si="1"/>
        <v>20880802</v>
      </c>
      <c r="H46" s="118" t="str">
        <f t="array" ref="H46:K46">_xlfn.XLOOKUP(B46,'ESAP NEIVA FASE II UNIFICADO'!$B$6:$B$720,'ESAP NEIVA FASE II UNIFICADO'!$C$6:$F$720,"NO ESTA")</f>
        <v>CERCHA METALICA CUBIERTA</v>
      </c>
      <c r="I46" s="95" t="str">
        <v>ML</v>
      </c>
      <c r="J46">
        <v>14.099999999999994</v>
      </c>
      <c r="K46">
        <v>109392</v>
      </c>
      <c r="L46">
        <f t="shared" si="2"/>
        <v>0</v>
      </c>
      <c r="M46">
        <f t="shared" si="3"/>
        <v>0</v>
      </c>
      <c r="N46" s="119">
        <f t="shared" si="4"/>
        <v>194</v>
      </c>
      <c r="O46" s="119">
        <f t="shared" si="5"/>
        <v>0</v>
      </c>
    </row>
    <row r="47" spans="2:15" ht="15" customHeight="1" x14ac:dyDescent="0.25">
      <c r="B47" s="86" t="s">
        <v>95</v>
      </c>
      <c r="C47" s="87" t="s">
        <v>96</v>
      </c>
      <c r="D47" s="82" t="s">
        <v>94</v>
      </c>
      <c r="E47" s="230">
        <v>1240</v>
      </c>
      <c r="F47" s="88">
        <v>76272</v>
      </c>
      <c r="G47" s="89">
        <f t="shared" si="1"/>
        <v>94577280</v>
      </c>
      <c r="H47" s="118" t="str">
        <f t="array" ref="H47:K47">_xlfn.XLOOKUP(B47,'ESAP NEIVA FASE II UNIFICADO'!$B$6:$B$720,'ESAP NEIVA FASE II UNIFICADO'!$C$6:$F$720,"NO ESTA")</f>
        <v>CORREAS METALICAS CUBIERTA</v>
      </c>
      <c r="I47" t="str">
        <v>ML</v>
      </c>
      <c r="J47">
        <v>28.599999999999994</v>
      </c>
      <c r="K47">
        <v>78264</v>
      </c>
      <c r="L47">
        <f t="shared" si="2"/>
        <v>0</v>
      </c>
      <c r="M47">
        <f t="shared" si="3"/>
        <v>0</v>
      </c>
      <c r="N47" s="119">
        <f t="shared" si="4"/>
        <v>1240</v>
      </c>
      <c r="O47" s="119">
        <f t="shared" si="5"/>
        <v>0</v>
      </c>
    </row>
    <row r="48" spans="2:15" ht="15" customHeight="1" x14ac:dyDescent="0.25">
      <c r="B48" s="86" t="s">
        <v>97</v>
      </c>
      <c r="C48" s="87" t="s">
        <v>98</v>
      </c>
      <c r="D48" s="82" t="s">
        <v>13</v>
      </c>
      <c r="E48" s="230">
        <v>508</v>
      </c>
      <c r="F48" s="88">
        <v>100848</v>
      </c>
      <c r="G48" s="89">
        <f t="shared" si="1"/>
        <v>51230784</v>
      </c>
      <c r="H48" s="118" t="str">
        <f t="array" ref="H48:K48">_xlfn.XLOOKUP(B48,'ESAP NEIVA FASE II UNIFICADO'!$B$6:$B$720,'ESAP NEIVA FASE II UNIFICADO'!$C$6:$F$720,"NO ESTA")</f>
        <v>CUBIERTA TIPO SANDWICH</v>
      </c>
      <c r="I48" t="str">
        <v>M2</v>
      </c>
      <c r="J48">
        <v>488.5</v>
      </c>
      <c r="K48">
        <v>103483</v>
      </c>
      <c r="L48">
        <f t="shared" si="2"/>
        <v>0</v>
      </c>
      <c r="M48">
        <f t="shared" si="3"/>
        <v>0</v>
      </c>
      <c r="N48" s="119">
        <f t="shared" si="4"/>
        <v>508</v>
      </c>
      <c r="O48" s="119">
        <f t="shared" si="5"/>
        <v>0</v>
      </c>
    </row>
    <row r="49" spans="2:15" ht="14.25" customHeight="1" x14ac:dyDescent="0.25">
      <c r="B49" s="74">
        <v>4</v>
      </c>
      <c r="C49" s="75" t="s">
        <v>99</v>
      </c>
      <c r="D49" s="76"/>
      <c r="E49" s="229"/>
      <c r="F49" s="78">
        <v>0</v>
      </c>
      <c r="G49" s="89">
        <f t="shared" si="1"/>
        <v>0</v>
      </c>
      <c r="H49" s="118" t="str">
        <f t="array" ref="H49:K49">_xlfn.XLOOKUP(B49,'ESAP NEIVA FASE II UNIFICADO'!$B$6:$B$720,'ESAP NEIVA FASE II UNIFICADO'!$C$6:$F$720,"NO ESTA")</f>
        <v>CIELO RASOS</v>
      </c>
      <c r="I49">
        <v>0</v>
      </c>
      <c r="J49">
        <v>0</v>
      </c>
      <c r="K49">
        <v>0</v>
      </c>
      <c r="L49">
        <f t="shared" si="2"/>
        <v>1</v>
      </c>
      <c r="M49">
        <f t="shared" si="3"/>
        <v>0</v>
      </c>
      <c r="N49" s="119">
        <f t="shared" si="4"/>
        <v>0</v>
      </c>
      <c r="O49" s="119">
        <f t="shared" si="5"/>
        <v>0</v>
      </c>
    </row>
    <row r="50" spans="2:15" ht="17.25" customHeight="1" x14ac:dyDescent="0.25">
      <c r="B50" s="80" t="s">
        <v>100</v>
      </c>
      <c r="C50" s="81" t="s">
        <v>101</v>
      </c>
      <c r="D50" s="82"/>
      <c r="E50" s="230"/>
      <c r="F50" s="84">
        <v>0</v>
      </c>
      <c r="G50" s="89">
        <f t="shared" si="1"/>
        <v>0</v>
      </c>
      <c r="H50" s="118" t="str">
        <f t="array" ref="H50:K50">_xlfn.XLOOKUP(B50,'ESAP NEIVA FASE II UNIFICADO'!$B$6:$B$720,'ESAP NEIVA FASE II UNIFICADO'!$C$6:$F$720,"NO ESTA")</f>
        <v>SUMINISTRO E INSTALACION DE CIELOS RASOS PISO 1</v>
      </c>
      <c r="I50">
        <v>0</v>
      </c>
      <c r="J50">
        <v>0</v>
      </c>
      <c r="K50">
        <v>0</v>
      </c>
      <c r="L50">
        <f t="shared" si="2"/>
        <v>1</v>
      </c>
      <c r="M50">
        <f t="shared" si="3"/>
        <v>0</v>
      </c>
      <c r="N50" s="119">
        <f t="shared" si="4"/>
        <v>0</v>
      </c>
      <c r="O50" s="119">
        <f t="shared" si="5"/>
        <v>0</v>
      </c>
    </row>
    <row r="51" spans="2:15" ht="31.5" customHeight="1" x14ac:dyDescent="0.25">
      <c r="B51" s="86" t="s">
        <v>102</v>
      </c>
      <c r="C51" s="147" t="s">
        <v>103</v>
      </c>
      <c r="D51" s="82" t="s">
        <v>13</v>
      </c>
      <c r="E51" s="230">
        <v>59.86</v>
      </c>
      <c r="F51" s="88">
        <v>43820</v>
      </c>
      <c r="G51" s="89">
        <f t="shared" si="1"/>
        <v>2623065.2000000002</v>
      </c>
      <c r="H51" s="118" t="str">
        <f t="array" ref="H51:K51">_xlfn.XLOOKUP(B51,'ESAP NEIVA FASE II UNIFICADO'!$B$6:$B$720,'ESAP NEIVA FASE II UNIFICADO'!$C$6:$F$720,"NO ESTA")</f>
        <v xml:space="preserve">SUMINISTRO E INSTALACION CIELO RASO EN DRYWALL LAMINA VERDE RH  PINTADO A 3 MANOS PINTURA VINILO TIPO 1 o similar  BLANCA Ref. Planos 09512 AULAS Y GENERAL </v>
      </c>
      <c r="I51" t="str">
        <v>M2</v>
      </c>
      <c r="J51">
        <v>0</v>
      </c>
      <c r="K51">
        <v>52673</v>
      </c>
      <c r="L51">
        <f t="shared" si="2"/>
        <v>1</v>
      </c>
      <c r="M51">
        <f t="shared" si="3"/>
        <v>43820</v>
      </c>
      <c r="N51" s="119">
        <f t="shared" si="4"/>
        <v>59.86</v>
      </c>
      <c r="O51" s="119">
        <f t="shared" si="5"/>
        <v>2623065.2000000002</v>
      </c>
    </row>
    <row r="52" spans="2:15" ht="26.25" customHeight="1" x14ac:dyDescent="0.25">
      <c r="B52" s="86" t="s">
        <v>104</v>
      </c>
      <c r="C52" s="149" t="s">
        <v>105</v>
      </c>
      <c r="D52" s="82" t="s">
        <v>13</v>
      </c>
      <c r="E52" s="230">
        <v>388.43</v>
      </c>
      <c r="F52" s="88">
        <v>43820</v>
      </c>
      <c r="G52" s="89">
        <f t="shared" si="1"/>
        <v>17021002.600000001</v>
      </c>
      <c r="H52" s="118" t="str">
        <f t="array" ref="H52:K52">_xlfn.XLOOKUP(B52,'ESAP NEIVA FASE II UNIFICADO'!$B$6:$B$720,'ESAP NEIVA FASE II UNIFICADO'!$C$6:$F$720,"NO ESTA")</f>
        <v>SUMINISTRO E INSTALACION CIELO RASO EN DRYWALL LAMINA BLANCA PINTADO A 3 MANOS PINTURA VINILO TIPO 1  BLANCA Ref. Planos 09511</v>
      </c>
      <c r="I52" t="str">
        <v>M2</v>
      </c>
      <c r="J52">
        <v>0</v>
      </c>
      <c r="K52">
        <v>52673</v>
      </c>
      <c r="L52">
        <f t="shared" si="2"/>
        <v>1</v>
      </c>
      <c r="M52">
        <f t="shared" si="3"/>
        <v>43820</v>
      </c>
      <c r="N52" s="119">
        <f t="shared" si="4"/>
        <v>388.43</v>
      </c>
      <c r="O52" s="119">
        <f t="shared" si="5"/>
        <v>17021002.600000001</v>
      </c>
    </row>
    <row r="53" spans="2:15" ht="15.75" customHeight="1" x14ac:dyDescent="0.25">
      <c r="B53" s="74">
        <v>5</v>
      </c>
      <c r="C53" s="75" t="s">
        <v>106</v>
      </c>
      <c r="D53" s="76"/>
      <c r="E53" s="229"/>
      <c r="F53" s="78">
        <v>0</v>
      </c>
      <c r="G53" s="89">
        <f t="shared" si="1"/>
        <v>0</v>
      </c>
      <c r="H53" s="118" t="str">
        <f t="array" ref="H53:K53">_xlfn.XLOOKUP(B53,'ESAP NEIVA FASE II UNIFICADO'!$B$6:$B$720,'ESAP NEIVA FASE II UNIFICADO'!$C$6:$F$720,"NO ESTA")</f>
        <v>CONSTRUCCIÓN DE MUROS ARQUITECTONICOS</v>
      </c>
      <c r="I53">
        <v>0</v>
      </c>
      <c r="J53">
        <v>0</v>
      </c>
      <c r="K53">
        <v>0</v>
      </c>
      <c r="L53">
        <f t="shared" si="2"/>
        <v>1</v>
      </c>
      <c r="M53">
        <f t="shared" si="3"/>
        <v>0</v>
      </c>
      <c r="N53" s="119">
        <f t="shared" si="4"/>
        <v>0</v>
      </c>
      <c r="O53" s="119">
        <f t="shared" si="5"/>
        <v>0</v>
      </c>
    </row>
    <row r="54" spans="2:15" ht="15" customHeight="1" x14ac:dyDescent="0.25">
      <c r="B54" s="80" t="s">
        <v>107</v>
      </c>
      <c r="C54" s="81" t="s">
        <v>108</v>
      </c>
      <c r="D54" s="82"/>
      <c r="E54" s="230"/>
      <c r="F54" s="90">
        <v>0</v>
      </c>
      <c r="G54" s="89">
        <f t="shared" si="1"/>
        <v>0</v>
      </c>
      <c r="H54" s="118" t="str">
        <f t="array" ref="H54:K54">_xlfn.XLOOKUP(B54,'ESAP NEIVA FASE II UNIFICADO'!$B$6:$B$720,'ESAP NEIVA FASE II UNIFICADO'!$C$6:$F$720,"NO ESTA")</f>
        <v>CONSTRUCCIÓN MUROS ARQUITECTONICOS SEMISOTANO</v>
      </c>
      <c r="I54">
        <v>0</v>
      </c>
      <c r="J54">
        <v>0</v>
      </c>
      <c r="K54">
        <v>0</v>
      </c>
      <c r="L54">
        <f t="shared" si="2"/>
        <v>1</v>
      </c>
      <c r="M54">
        <f t="shared" si="3"/>
        <v>0</v>
      </c>
      <c r="N54" s="119">
        <f t="shared" si="4"/>
        <v>0</v>
      </c>
      <c r="O54" s="119">
        <f t="shared" si="5"/>
        <v>0</v>
      </c>
    </row>
    <row r="55" spans="2:15" ht="15" customHeight="1" x14ac:dyDescent="0.25">
      <c r="B55" s="86" t="s">
        <v>109</v>
      </c>
      <c r="C55" s="87" t="s">
        <v>110</v>
      </c>
      <c r="D55" s="82" t="s">
        <v>30</v>
      </c>
      <c r="E55" s="230">
        <v>0.73</v>
      </c>
      <c r="F55" s="88">
        <v>724119</v>
      </c>
      <c r="G55" s="89">
        <f t="shared" si="1"/>
        <v>528606.87</v>
      </c>
      <c r="H55" s="118" t="str">
        <f t="array" ref="H55:K55">_xlfn.XLOOKUP(B55,'ESAP NEIVA FASE II UNIFICADO'!$B$6:$B$720,'ESAP NEIVA FASE II UNIFICADO'!$C$6:$F$720,"NO ESTA")</f>
        <v>MURO EN CONCRETO DE 4000 PSI e=0.12 m Ver. Planos Tipo Muro M-1</v>
      </c>
      <c r="I55" t="str">
        <v>M3</v>
      </c>
      <c r="J55">
        <v>0</v>
      </c>
      <c r="K55">
        <v>821235</v>
      </c>
      <c r="L55">
        <f t="shared" si="2"/>
        <v>1</v>
      </c>
      <c r="M55">
        <f t="shared" si="3"/>
        <v>724119</v>
      </c>
      <c r="N55" s="119">
        <f t="shared" si="4"/>
        <v>0.73</v>
      </c>
      <c r="O55" s="119">
        <f t="shared" si="5"/>
        <v>528606.87</v>
      </c>
    </row>
    <row r="56" spans="2:15" ht="15" customHeight="1" x14ac:dyDescent="0.25">
      <c r="B56" s="86" t="s">
        <v>111</v>
      </c>
      <c r="C56" s="87" t="s">
        <v>112</v>
      </c>
      <c r="D56" s="82" t="s">
        <v>30</v>
      </c>
      <c r="E56" s="230">
        <v>11.33</v>
      </c>
      <c r="F56" s="88">
        <v>724119</v>
      </c>
      <c r="G56" s="89">
        <f t="shared" si="1"/>
        <v>8204268.2699999996</v>
      </c>
      <c r="H56" s="118" t="str">
        <f t="array" ref="H56:K56">_xlfn.XLOOKUP(B56,'ESAP NEIVA FASE II UNIFICADO'!$B$6:$B$720,'ESAP NEIVA FASE II UNIFICADO'!$C$6:$F$720,"NO ESTA")</f>
        <v>MURO EN CONCRETO DE 4000 PSI e=0.15 m Ver. Planos Tipo Muro M-2</v>
      </c>
      <c r="I56" t="str">
        <v>M3</v>
      </c>
      <c r="J56">
        <v>11.33</v>
      </c>
      <c r="K56">
        <v>821235</v>
      </c>
      <c r="L56">
        <f t="shared" si="2"/>
        <v>0</v>
      </c>
      <c r="M56">
        <f t="shared" si="3"/>
        <v>0</v>
      </c>
      <c r="N56" s="119">
        <f t="shared" si="4"/>
        <v>11.33</v>
      </c>
      <c r="O56" s="119">
        <f t="shared" si="5"/>
        <v>0</v>
      </c>
    </row>
    <row r="57" spans="2:15" ht="15" customHeight="1" x14ac:dyDescent="0.25">
      <c r="B57" s="86" t="s">
        <v>113</v>
      </c>
      <c r="C57" s="87" t="s">
        <v>114</v>
      </c>
      <c r="D57" s="82" t="s">
        <v>30</v>
      </c>
      <c r="E57" s="230">
        <v>95.6</v>
      </c>
      <c r="F57" s="88">
        <v>724119</v>
      </c>
      <c r="G57" s="89">
        <f t="shared" si="1"/>
        <v>69225776.400000006</v>
      </c>
      <c r="H57" s="118" t="str">
        <f t="array" ref="H57:K57">_xlfn.XLOOKUP(B57,'ESAP NEIVA FASE II UNIFICADO'!$B$6:$B$720,'ESAP NEIVA FASE II UNIFICADO'!$C$6:$F$720,"NO ESTA")</f>
        <v>MURO EN CONCRETO DE 4000 PSI e=0.25 m Ver. Planos Tipo Muro M-3</v>
      </c>
      <c r="I57" t="str">
        <v>M3</v>
      </c>
      <c r="J57">
        <v>95.594999999999999</v>
      </c>
      <c r="K57">
        <v>821235</v>
      </c>
      <c r="L57">
        <f t="shared" si="2"/>
        <v>0</v>
      </c>
      <c r="M57">
        <f t="shared" si="3"/>
        <v>0</v>
      </c>
      <c r="N57" s="119">
        <f t="shared" si="4"/>
        <v>95.6</v>
      </c>
      <c r="O57" s="119">
        <f t="shared" si="5"/>
        <v>0</v>
      </c>
    </row>
    <row r="58" spans="2:15" ht="15" customHeight="1" x14ac:dyDescent="0.25">
      <c r="B58" s="86" t="s">
        <v>115</v>
      </c>
      <c r="C58" s="87" t="s">
        <v>116</v>
      </c>
      <c r="D58" s="82" t="s">
        <v>30</v>
      </c>
      <c r="E58" s="230">
        <v>20.12</v>
      </c>
      <c r="F58" s="88">
        <v>724119</v>
      </c>
      <c r="G58" s="89">
        <f t="shared" si="1"/>
        <v>14569274.279999999</v>
      </c>
      <c r="H58" s="118" t="str">
        <f t="array" ref="H58:K58">_xlfn.XLOOKUP(B58,'ESAP NEIVA FASE II UNIFICADO'!$B$6:$B$720,'ESAP NEIVA FASE II UNIFICADO'!$C$6:$F$720,"NO ESTA")</f>
        <v>MURO EN CONCRETO DE 4000 PSI e=0.30 m Ver. Planos Tipo Muro M-4</v>
      </c>
      <c r="I58" t="str">
        <v>M3</v>
      </c>
      <c r="J58">
        <v>20.12</v>
      </c>
      <c r="K58">
        <v>821235</v>
      </c>
      <c r="L58">
        <f t="shared" si="2"/>
        <v>0</v>
      </c>
      <c r="M58">
        <f t="shared" si="3"/>
        <v>0</v>
      </c>
      <c r="N58" s="119">
        <f t="shared" si="4"/>
        <v>20.12</v>
      </c>
      <c r="O58" s="119">
        <f t="shared" si="5"/>
        <v>0</v>
      </c>
    </row>
    <row r="59" spans="2:15" ht="15" customHeight="1" x14ac:dyDescent="0.25">
      <c r="B59" s="86" t="s">
        <v>117</v>
      </c>
      <c r="C59" s="87" t="s">
        <v>118</v>
      </c>
      <c r="D59" s="82" t="s">
        <v>30</v>
      </c>
      <c r="E59" s="230">
        <v>80.489999999999995</v>
      </c>
      <c r="F59" s="88">
        <v>724119</v>
      </c>
      <c r="G59" s="89">
        <f t="shared" si="1"/>
        <v>58284338.310000002</v>
      </c>
      <c r="H59" s="118" t="str">
        <f t="array" ref="H59:K59">_xlfn.XLOOKUP(B59,'ESAP NEIVA FASE II UNIFICADO'!$B$6:$B$720,'ESAP NEIVA FASE II UNIFICADO'!$C$6:$F$720,"NO ESTA")</f>
        <v>MURO EN CONCRETO DE 4000 PSI e=0.40 m Ver. Planos Tipo Muro M-5</v>
      </c>
      <c r="I59" t="str">
        <v>M3</v>
      </c>
      <c r="J59">
        <v>80.484999999999999</v>
      </c>
      <c r="K59">
        <v>821235</v>
      </c>
      <c r="L59">
        <f t="shared" si="2"/>
        <v>0</v>
      </c>
      <c r="M59">
        <f t="shared" si="3"/>
        <v>0</v>
      </c>
      <c r="N59" s="119">
        <f t="shared" si="4"/>
        <v>80.489999999999995</v>
      </c>
      <c r="O59" s="119">
        <f t="shared" si="5"/>
        <v>0</v>
      </c>
    </row>
    <row r="60" spans="2:15" ht="15" customHeight="1" x14ac:dyDescent="0.25">
      <c r="B60" s="86" t="s">
        <v>119</v>
      </c>
      <c r="C60" s="87" t="s">
        <v>120</v>
      </c>
      <c r="D60" s="82" t="s">
        <v>13</v>
      </c>
      <c r="E60" s="230">
        <v>79.69</v>
      </c>
      <c r="F60" s="88">
        <v>153751</v>
      </c>
      <c r="G60" s="89">
        <f t="shared" si="1"/>
        <v>12252417.189999999</v>
      </c>
      <c r="H60" s="118" t="str">
        <f t="array" ref="H60:K60">_xlfn.XLOOKUP(B60,'ESAP NEIVA FASE II UNIFICADO'!$B$6:$B$720,'ESAP NEIVA FASE II UNIFICADO'!$C$6:$F$720,"NO ESTA")</f>
        <v>MURO EN LADRILLO GRAN FORMATO e= 0.12 m Ref. Tierra Ver. Planos Tipo Muro M-6</v>
      </c>
      <c r="I60" t="str">
        <v>M2</v>
      </c>
      <c r="J60">
        <v>79.69</v>
      </c>
      <c r="K60">
        <v>141317</v>
      </c>
      <c r="L60">
        <f t="shared" si="2"/>
        <v>0</v>
      </c>
      <c r="M60">
        <f t="shared" si="3"/>
        <v>0</v>
      </c>
      <c r="N60" s="119">
        <f t="shared" si="4"/>
        <v>79.69</v>
      </c>
      <c r="O60" s="119">
        <f t="shared" si="5"/>
        <v>0</v>
      </c>
    </row>
    <row r="61" spans="2:15" ht="15" customHeight="1" x14ac:dyDescent="0.25">
      <c r="B61" s="86" t="s">
        <v>121</v>
      </c>
      <c r="C61" s="87" t="s">
        <v>122</v>
      </c>
      <c r="D61" s="82" t="s">
        <v>13</v>
      </c>
      <c r="E61" s="230">
        <v>21.32</v>
      </c>
      <c r="F61" s="88">
        <v>307503</v>
      </c>
      <c r="G61" s="89">
        <f t="shared" si="1"/>
        <v>6555963.96</v>
      </c>
      <c r="H61" s="118" t="str">
        <f t="array" ref="H61:K61">_xlfn.XLOOKUP(B61,'ESAP NEIVA FASE II UNIFICADO'!$B$6:$B$720,'ESAP NEIVA FASE II UNIFICADO'!$C$6:$F$720,"NO ESTA")</f>
        <v xml:space="preserve">MURO EN LADRILLO GRAN FORMATO e= 0.25 m Ref. Tierra Ver. Planos Tipo Muro M-7 </v>
      </c>
      <c r="I61" t="str">
        <v>M2</v>
      </c>
      <c r="J61">
        <v>21.32</v>
      </c>
      <c r="K61">
        <v>186538</v>
      </c>
      <c r="L61">
        <f t="shared" si="2"/>
        <v>0</v>
      </c>
      <c r="M61">
        <f t="shared" si="3"/>
        <v>0</v>
      </c>
      <c r="N61" s="119">
        <f t="shared" si="4"/>
        <v>21.32</v>
      </c>
      <c r="O61" s="119">
        <f t="shared" si="5"/>
        <v>0</v>
      </c>
    </row>
    <row r="62" spans="2:15" ht="15" customHeight="1" x14ac:dyDescent="0.25">
      <c r="B62" s="97" t="s">
        <v>123</v>
      </c>
      <c r="C62" s="98" t="s">
        <v>124</v>
      </c>
      <c r="D62" s="82"/>
      <c r="E62" s="230"/>
      <c r="F62" s="90">
        <v>0</v>
      </c>
      <c r="G62" s="89">
        <f t="shared" si="1"/>
        <v>0</v>
      </c>
      <c r="H62" s="118" t="str">
        <f t="array" ref="H62:K62">_xlfn.XLOOKUP(B62,'ESAP NEIVA FASE II UNIFICADO'!$B$6:$B$720,'ESAP NEIVA FASE II UNIFICADO'!$C$6:$F$720,"NO ESTA")</f>
        <v>CONSTRUCCIÓN MUROS ARQUITECTONICOS EXTERIORES</v>
      </c>
      <c r="I62">
        <v>0</v>
      </c>
      <c r="J62">
        <v>0</v>
      </c>
      <c r="K62">
        <v>0</v>
      </c>
      <c r="L62">
        <f t="shared" si="2"/>
        <v>1</v>
      </c>
      <c r="M62">
        <f t="shared" si="3"/>
        <v>0</v>
      </c>
      <c r="N62" s="119">
        <f t="shared" si="4"/>
        <v>0</v>
      </c>
      <c r="O62" s="119">
        <f t="shared" si="5"/>
        <v>0</v>
      </c>
    </row>
    <row r="63" spans="2:15" ht="15" customHeight="1" x14ac:dyDescent="0.25">
      <c r="B63" s="86" t="s">
        <v>125</v>
      </c>
      <c r="C63" s="87" t="s">
        <v>112</v>
      </c>
      <c r="D63" s="82" t="s">
        <v>30</v>
      </c>
      <c r="E63" s="230">
        <v>0.17</v>
      </c>
      <c r="F63" s="88">
        <v>724119</v>
      </c>
      <c r="G63" s="89">
        <f t="shared" si="1"/>
        <v>123100.23</v>
      </c>
      <c r="H63" s="118" t="str">
        <f t="array" ref="H63:K63">_xlfn.XLOOKUP(B63,'ESAP NEIVA FASE II UNIFICADO'!$B$6:$B$720,'ESAP NEIVA FASE II UNIFICADO'!$C$6:$F$720,"NO ESTA")</f>
        <v>MURO EN CONCRETO DE 4000 PSI e=0.15 m  Ver. Planos Tipo Muro M-2</v>
      </c>
      <c r="I63" t="str">
        <v>M3</v>
      </c>
      <c r="J63">
        <v>0</v>
      </c>
      <c r="K63">
        <v>821235</v>
      </c>
      <c r="L63">
        <f t="shared" si="2"/>
        <v>1</v>
      </c>
      <c r="M63">
        <f t="shared" si="3"/>
        <v>724119</v>
      </c>
      <c r="N63" s="119">
        <f t="shared" si="4"/>
        <v>0.17</v>
      </c>
      <c r="O63" s="119">
        <f t="shared" si="5"/>
        <v>123100.23</v>
      </c>
    </row>
    <row r="64" spans="2:15" ht="15" customHeight="1" x14ac:dyDescent="0.25">
      <c r="B64" s="86" t="s">
        <v>126</v>
      </c>
      <c r="C64" s="87" t="s">
        <v>114</v>
      </c>
      <c r="D64" s="82" t="s">
        <v>30</v>
      </c>
      <c r="E64" s="230">
        <v>56.08</v>
      </c>
      <c r="F64" s="88">
        <v>724119</v>
      </c>
      <c r="G64" s="89">
        <f t="shared" si="1"/>
        <v>40608593.520000003</v>
      </c>
      <c r="H64" s="118" t="str">
        <f t="array" ref="H64:K64">_xlfn.XLOOKUP(B64,'ESAP NEIVA FASE II UNIFICADO'!$B$6:$B$720,'ESAP NEIVA FASE II UNIFICADO'!$C$6:$F$720,"NO ESTA")</f>
        <v>MURO EN CONCRETO DE 4000 PSI  e=0.25 m Ver. Planos Tipo Muro M-3</v>
      </c>
      <c r="I64" t="str">
        <v>M3</v>
      </c>
      <c r="J64">
        <v>0</v>
      </c>
      <c r="K64">
        <v>821235</v>
      </c>
      <c r="L64">
        <f t="shared" si="2"/>
        <v>1</v>
      </c>
      <c r="M64">
        <f t="shared" si="3"/>
        <v>724119</v>
      </c>
      <c r="N64" s="119">
        <f t="shared" si="4"/>
        <v>56.08</v>
      </c>
      <c r="O64" s="119">
        <f t="shared" si="5"/>
        <v>40608593.520000003</v>
      </c>
    </row>
    <row r="65" spans="2:15" ht="15" customHeight="1" x14ac:dyDescent="0.25">
      <c r="B65" s="80" t="s">
        <v>127</v>
      </c>
      <c r="C65" s="81" t="s">
        <v>128</v>
      </c>
      <c r="D65" s="82"/>
      <c r="E65" s="230"/>
      <c r="F65" s="90">
        <v>0</v>
      </c>
      <c r="G65" s="89">
        <f t="shared" si="1"/>
        <v>0</v>
      </c>
      <c r="H65" s="118" t="str">
        <f t="array" ref="H65:K65">_xlfn.XLOOKUP(B65,'ESAP NEIVA FASE II UNIFICADO'!$B$6:$B$720,'ESAP NEIVA FASE II UNIFICADO'!$C$6:$F$720,"NO ESTA")</f>
        <v>CONSTRUCCIÓN MUROS ARQUITECTONICOS PISO 1</v>
      </c>
      <c r="I65">
        <v>0</v>
      </c>
      <c r="J65">
        <v>0</v>
      </c>
      <c r="K65">
        <v>0</v>
      </c>
      <c r="L65">
        <f t="shared" si="2"/>
        <v>1</v>
      </c>
      <c r="M65">
        <f t="shared" si="3"/>
        <v>0</v>
      </c>
      <c r="N65" s="119">
        <f t="shared" si="4"/>
        <v>0</v>
      </c>
      <c r="O65" s="119">
        <f t="shared" si="5"/>
        <v>0</v>
      </c>
    </row>
    <row r="66" spans="2:15" ht="15" customHeight="1" x14ac:dyDescent="0.25">
      <c r="B66" s="86" t="s">
        <v>129</v>
      </c>
      <c r="C66" s="87" t="s">
        <v>130</v>
      </c>
      <c r="D66" s="82" t="s">
        <v>13</v>
      </c>
      <c r="E66" s="230">
        <v>91.92</v>
      </c>
      <c r="F66" s="88">
        <v>110927</v>
      </c>
      <c r="G66" s="89">
        <f t="shared" si="1"/>
        <v>10196409.84</v>
      </c>
      <c r="H66" s="118" t="str">
        <f t="array" ref="H66:K66">_xlfn.XLOOKUP(B66,'ESAP NEIVA FASE II UNIFICADO'!$B$6:$B$720,'ESAP NEIVA FASE II UNIFICADO'!$C$6:$F$720,"NO ESTA")</f>
        <v>ENCHAPE DE MURO BAÑOS PORCELANATO GRIS 30*40CM</v>
      </c>
      <c r="I66" t="str">
        <v>M2</v>
      </c>
      <c r="J66">
        <v>91.915000000000006</v>
      </c>
      <c r="K66">
        <v>102358</v>
      </c>
      <c r="L66">
        <f t="shared" si="2"/>
        <v>0</v>
      </c>
      <c r="M66">
        <f t="shared" si="3"/>
        <v>0</v>
      </c>
      <c r="N66" s="119">
        <f t="shared" si="4"/>
        <v>91.92</v>
      </c>
      <c r="O66" s="119">
        <f t="shared" si="5"/>
        <v>0</v>
      </c>
    </row>
    <row r="67" spans="2:15" ht="15" customHeight="1" x14ac:dyDescent="0.25">
      <c r="B67" s="86" t="s">
        <v>131</v>
      </c>
      <c r="C67" s="87" t="s">
        <v>112</v>
      </c>
      <c r="D67" s="82" t="s">
        <v>30</v>
      </c>
      <c r="E67" s="230">
        <v>29.67</v>
      </c>
      <c r="F67" s="88">
        <v>724119</v>
      </c>
      <c r="G67" s="89">
        <f t="shared" si="1"/>
        <v>21484610.73</v>
      </c>
      <c r="H67" s="118" t="str">
        <f t="array" ref="H67:K67">_xlfn.XLOOKUP(B67,'ESAP NEIVA FASE II UNIFICADO'!$B$6:$B$720,'ESAP NEIVA FASE II UNIFICADO'!$C$6:$F$720,"NO ESTA")</f>
        <v>MURO EN CONCRETO DE 4000 PSI e=0.15 m Ver. Planos Tipo Muro M-2</v>
      </c>
      <c r="I67" t="str">
        <v>M3</v>
      </c>
      <c r="J67">
        <v>29.659999999999997</v>
      </c>
      <c r="K67">
        <v>821235</v>
      </c>
      <c r="L67">
        <f t="shared" si="2"/>
        <v>0</v>
      </c>
      <c r="M67">
        <f t="shared" si="3"/>
        <v>0</v>
      </c>
      <c r="N67" s="119">
        <f t="shared" si="4"/>
        <v>29.67</v>
      </c>
      <c r="O67" s="119">
        <f t="shared" si="5"/>
        <v>0</v>
      </c>
    </row>
    <row r="68" spans="2:15" ht="15" customHeight="1" x14ac:dyDescent="0.25">
      <c r="B68" s="86" t="s">
        <v>132</v>
      </c>
      <c r="C68" s="87" t="s">
        <v>114</v>
      </c>
      <c r="D68" s="82" t="s">
        <v>30</v>
      </c>
      <c r="E68" s="230">
        <v>8.76</v>
      </c>
      <c r="F68" s="88">
        <v>724119</v>
      </c>
      <c r="G68" s="89">
        <f t="shared" si="1"/>
        <v>6343282.4400000004</v>
      </c>
      <c r="H68" s="118" t="str">
        <f t="array" ref="H68:K68">_xlfn.XLOOKUP(B68,'ESAP NEIVA FASE II UNIFICADO'!$B$6:$B$720,'ESAP NEIVA FASE II UNIFICADO'!$C$6:$F$720,"NO ESTA")</f>
        <v>MURO EN CONCRETO DE 4000 PSI e=0.25 m Ver. Planos Tipo Muro M-3</v>
      </c>
      <c r="I68" t="str">
        <v>M3</v>
      </c>
      <c r="J68">
        <v>8.76</v>
      </c>
      <c r="K68">
        <v>821235</v>
      </c>
      <c r="L68">
        <f t="shared" si="2"/>
        <v>0</v>
      </c>
      <c r="M68">
        <f t="shared" si="3"/>
        <v>0</v>
      </c>
      <c r="N68" s="119">
        <f t="shared" si="4"/>
        <v>8.76</v>
      </c>
      <c r="O68" s="119">
        <f t="shared" si="5"/>
        <v>0</v>
      </c>
    </row>
    <row r="69" spans="2:15" ht="15" customHeight="1" x14ac:dyDescent="0.25">
      <c r="B69" s="86" t="s">
        <v>133</v>
      </c>
      <c r="C69" s="87" t="s">
        <v>118</v>
      </c>
      <c r="D69" s="82" t="s">
        <v>134</v>
      </c>
      <c r="E69" s="230">
        <v>54.4</v>
      </c>
      <c r="F69" s="88">
        <v>724119</v>
      </c>
      <c r="G69" s="89">
        <f t="shared" si="1"/>
        <v>39392073.600000001</v>
      </c>
      <c r="H69" s="118" t="str">
        <f t="array" ref="H69:K69">_xlfn.XLOOKUP(B69,'ESAP NEIVA FASE II UNIFICADO'!$B$6:$B$720,'ESAP NEIVA FASE II UNIFICADO'!$C$6:$F$720,"NO ESTA")</f>
        <v>MURO EN CONCRETO DE 4000 PSI e=0.40 m Ver. Planos Tipo Muro M-5</v>
      </c>
      <c r="I69" t="str">
        <v>M3</v>
      </c>
      <c r="J69">
        <v>54.390000000000008</v>
      </c>
      <c r="K69">
        <v>821235</v>
      </c>
      <c r="L69">
        <f t="shared" si="2"/>
        <v>0</v>
      </c>
      <c r="M69">
        <f t="shared" si="3"/>
        <v>0</v>
      </c>
      <c r="N69" s="119">
        <f t="shared" si="4"/>
        <v>54.4</v>
      </c>
      <c r="O69" s="119">
        <f t="shared" si="5"/>
        <v>0</v>
      </c>
    </row>
    <row r="70" spans="2:15" ht="23.45" customHeight="1" x14ac:dyDescent="0.25">
      <c r="B70" s="86" t="s">
        <v>135</v>
      </c>
      <c r="C70" s="87" t="s">
        <v>120</v>
      </c>
      <c r="D70" s="82" t="s">
        <v>13</v>
      </c>
      <c r="E70" s="230">
        <v>204.57</v>
      </c>
      <c r="F70" s="88">
        <v>153751</v>
      </c>
      <c r="G70" s="89">
        <f t="shared" ref="G70:G133" si="6">ROUND(+F70*E70,2)</f>
        <v>31452842.07</v>
      </c>
      <c r="H70" s="118" t="str">
        <f t="array" ref="H70:K70">_xlfn.XLOOKUP(B70,'ESAP NEIVA FASE II UNIFICADO'!$B$6:$B$720,'ESAP NEIVA FASE II UNIFICADO'!$C$6:$F$720,"NO ESTA")</f>
        <v>MURO EN LADRILLO GRAN FORMATO e= 0.12 m Ref. Tierra Ver. Planos Tipo Muro M-6</v>
      </c>
      <c r="I70" t="str">
        <v>M2</v>
      </c>
      <c r="J70">
        <v>204.56</v>
      </c>
      <c r="K70">
        <v>141317</v>
      </c>
      <c r="L70">
        <f t="shared" si="2"/>
        <v>0</v>
      </c>
      <c r="M70">
        <f t="shared" si="3"/>
        <v>0</v>
      </c>
      <c r="N70" s="119">
        <f t="shared" si="4"/>
        <v>204.57</v>
      </c>
      <c r="O70" s="119">
        <f t="shared" si="5"/>
        <v>0</v>
      </c>
    </row>
    <row r="71" spans="2:15" ht="31.15" customHeight="1" x14ac:dyDescent="0.25">
      <c r="B71" s="86" t="s">
        <v>136</v>
      </c>
      <c r="C71" s="87" t="s">
        <v>122</v>
      </c>
      <c r="D71" s="82" t="s">
        <v>13</v>
      </c>
      <c r="E71" s="230">
        <v>76.38</v>
      </c>
      <c r="F71" s="88">
        <v>307503</v>
      </c>
      <c r="G71" s="89">
        <f t="shared" si="6"/>
        <v>23487079.140000001</v>
      </c>
      <c r="H71" s="118" t="str">
        <f t="array" ref="H71:K71">_xlfn.XLOOKUP(B71,'ESAP NEIVA FASE II UNIFICADO'!$B$6:$B$720,'ESAP NEIVA FASE II UNIFICADO'!$C$6:$F$720,"NO ESTA")</f>
        <v xml:space="preserve">MURO EN LADRILLO GRAN FORMATO e= 0.25 m Ref. Tierra Ver. Planos Tipo Muro M-7 </v>
      </c>
      <c r="I71" t="str">
        <v>M2</v>
      </c>
      <c r="J71">
        <v>76.37</v>
      </c>
      <c r="K71">
        <v>186538</v>
      </c>
      <c r="L71">
        <f t="shared" si="2"/>
        <v>0</v>
      </c>
      <c r="M71">
        <f t="shared" si="3"/>
        <v>0</v>
      </c>
      <c r="N71" s="119">
        <f t="shared" si="4"/>
        <v>76.38</v>
      </c>
      <c r="O71" s="119">
        <f t="shared" si="5"/>
        <v>0</v>
      </c>
    </row>
    <row r="72" spans="2:15" ht="15" customHeight="1" x14ac:dyDescent="0.25">
      <c r="B72" s="80" t="s">
        <v>137</v>
      </c>
      <c r="C72" s="81" t="s">
        <v>138</v>
      </c>
      <c r="D72" s="82"/>
      <c r="E72" s="230"/>
      <c r="F72" s="90">
        <v>0</v>
      </c>
      <c r="G72" s="89">
        <f t="shared" si="6"/>
        <v>0</v>
      </c>
      <c r="H72" s="118" t="str">
        <f t="array" ref="H72:K72">_xlfn.XLOOKUP(B72,'ESAP NEIVA FASE II UNIFICADO'!$B$6:$B$720,'ESAP NEIVA FASE II UNIFICADO'!$C$6:$F$720,"NO ESTA")</f>
        <v>CONSTRUCCIÓN MUROS ARQUITECTONICOS PISO 2</v>
      </c>
      <c r="I72">
        <v>0</v>
      </c>
      <c r="J72">
        <v>0</v>
      </c>
      <c r="K72">
        <v>0</v>
      </c>
      <c r="L72">
        <f t="shared" si="2"/>
        <v>1</v>
      </c>
      <c r="M72">
        <f t="shared" si="3"/>
        <v>0</v>
      </c>
      <c r="N72" s="119">
        <f t="shared" si="4"/>
        <v>0</v>
      </c>
      <c r="O72" s="119">
        <f t="shared" si="5"/>
        <v>0</v>
      </c>
    </row>
    <row r="73" spans="2:15" ht="15" customHeight="1" x14ac:dyDescent="0.25">
      <c r="B73" s="86" t="s">
        <v>139</v>
      </c>
      <c r="C73" s="87" t="s">
        <v>130</v>
      </c>
      <c r="D73" s="82" t="s">
        <v>13</v>
      </c>
      <c r="E73" s="230">
        <v>89.61</v>
      </c>
      <c r="F73" s="88">
        <v>110927</v>
      </c>
      <c r="G73" s="89">
        <f t="shared" si="6"/>
        <v>9940168.4700000007</v>
      </c>
      <c r="H73" s="118" t="str">
        <f t="array" ref="H73:K73">_xlfn.XLOOKUP(B73,'ESAP NEIVA FASE II UNIFICADO'!$B$6:$B$720,'ESAP NEIVA FASE II UNIFICADO'!$C$6:$F$720,"NO ESTA")</f>
        <v>ENCHAPE DE MURO BAÑOS PORCELANATO GRIS 30*40CM</v>
      </c>
      <c r="I73" t="str">
        <v>M2</v>
      </c>
      <c r="J73">
        <v>89.605000000000004</v>
      </c>
      <c r="K73">
        <v>102358</v>
      </c>
      <c r="L73">
        <f t="shared" si="2"/>
        <v>0</v>
      </c>
      <c r="M73">
        <f t="shared" si="3"/>
        <v>0</v>
      </c>
      <c r="N73" s="119">
        <f t="shared" si="4"/>
        <v>89.61</v>
      </c>
      <c r="O73" s="119">
        <f t="shared" si="5"/>
        <v>0</v>
      </c>
    </row>
    <row r="74" spans="2:15" ht="15" customHeight="1" x14ac:dyDescent="0.25">
      <c r="B74" s="86" t="s">
        <v>140</v>
      </c>
      <c r="C74" s="87" t="s">
        <v>110</v>
      </c>
      <c r="D74" s="82" t="s">
        <v>30</v>
      </c>
      <c r="E74" s="230">
        <v>1.1299999999999999</v>
      </c>
      <c r="F74" s="88">
        <v>724119</v>
      </c>
      <c r="G74" s="89">
        <f t="shared" si="6"/>
        <v>818254.47</v>
      </c>
      <c r="H74" s="118" t="str">
        <f t="array" ref="H74:K74">_xlfn.XLOOKUP(B74,'ESAP NEIVA FASE II UNIFICADO'!$B$6:$B$720,'ESAP NEIVA FASE II UNIFICADO'!$C$6:$F$720,"NO ESTA")</f>
        <v>MURO EN CONCRETO DE 4000 PSI e=0.15 m Ver. Planos Tipo Muro M-2</v>
      </c>
      <c r="I74" t="str">
        <v>M3</v>
      </c>
      <c r="J74">
        <v>1.1200000000000001</v>
      </c>
      <c r="K74">
        <v>821235</v>
      </c>
      <c r="L74">
        <f t="shared" ref="L74:L137" si="7">+IF(J74&gt;0,0,1)</f>
        <v>0</v>
      </c>
      <c r="M74">
        <f t="shared" ref="M74:M137" si="8">IF(L74=1,F74,0)</f>
        <v>0</v>
      </c>
      <c r="N74" s="119">
        <f t="shared" ref="N74:N137" si="9">E74</f>
        <v>1.1299999999999999</v>
      </c>
      <c r="O74" s="119">
        <f t="shared" si="5"/>
        <v>0</v>
      </c>
    </row>
    <row r="75" spans="2:15" ht="15" customHeight="1" x14ac:dyDescent="0.25">
      <c r="B75" s="86" t="s">
        <v>141</v>
      </c>
      <c r="C75" s="87" t="s">
        <v>112</v>
      </c>
      <c r="D75" s="82" t="s">
        <v>30</v>
      </c>
      <c r="E75" s="230">
        <v>31.71</v>
      </c>
      <c r="F75" s="88">
        <v>724119</v>
      </c>
      <c r="G75" s="89">
        <f t="shared" si="6"/>
        <v>22961813.489999998</v>
      </c>
      <c r="H75" s="118" t="str">
        <f t="array" ref="H75:K75">_xlfn.XLOOKUP(B75,'ESAP NEIVA FASE II UNIFICADO'!$B$6:$B$720,'ESAP NEIVA FASE II UNIFICADO'!$C$6:$F$720,"NO ESTA")</f>
        <v>MURO EN CONCRETO DE 4000 PSI e=0.25 m Ver. Planos Tipo Muro M-3</v>
      </c>
      <c r="I75" t="str">
        <v>M3</v>
      </c>
      <c r="J75">
        <v>31.71</v>
      </c>
      <c r="K75">
        <v>821235</v>
      </c>
      <c r="L75">
        <f t="shared" si="7"/>
        <v>0</v>
      </c>
      <c r="M75">
        <f t="shared" si="8"/>
        <v>0</v>
      </c>
      <c r="N75" s="119">
        <f t="shared" si="9"/>
        <v>31.71</v>
      </c>
      <c r="O75" s="119">
        <f t="shared" ref="O75:O138" si="10">ROUND(M75*N75,2)</f>
        <v>0</v>
      </c>
    </row>
    <row r="76" spans="2:15" ht="15" customHeight="1" x14ac:dyDescent="0.25">
      <c r="B76" s="86" t="s">
        <v>142</v>
      </c>
      <c r="C76" s="87" t="s">
        <v>114</v>
      </c>
      <c r="D76" s="82" t="s">
        <v>30</v>
      </c>
      <c r="E76" s="230">
        <v>77.67</v>
      </c>
      <c r="F76" s="88">
        <v>724119</v>
      </c>
      <c r="G76" s="89">
        <f t="shared" si="6"/>
        <v>56242322.729999997</v>
      </c>
      <c r="H76" s="118" t="str">
        <f t="array" ref="H76:K76">_xlfn.XLOOKUP(B76,'ESAP NEIVA FASE II UNIFICADO'!$B$6:$B$720,'ESAP NEIVA FASE II UNIFICADO'!$C$6:$F$720,"NO ESTA")</f>
        <v>MURO EN CONCRETO DE 4000 PSI e=0.40 m Ver. Planos Tipo Muro M-5</v>
      </c>
      <c r="I76" t="str">
        <v>M3</v>
      </c>
      <c r="J76">
        <v>81.89</v>
      </c>
      <c r="K76">
        <v>821235</v>
      </c>
      <c r="L76">
        <f t="shared" si="7"/>
        <v>0</v>
      </c>
      <c r="M76">
        <f t="shared" si="8"/>
        <v>0</v>
      </c>
      <c r="N76" s="119">
        <f t="shared" si="9"/>
        <v>77.67</v>
      </c>
      <c r="O76" s="119">
        <f t="shared" si="10"/>
        <v>0</v>
      </c>
    </row>
    <row r="77" spans="2:15" ht="15" customHeight="1" x14ac:dyDescent="0.25">
      <c r="B77" s="86" t="s">
        <v>143</v>
      </c>
      <c r="C77" s="87" t="s">
        <v>120</v>
      </c>
      <c r="D77" s="82" t="s">
        <v>13</v>
      </c>
      <c r="E77" s="230">
        <v>139.68</v>
      </c>
      <c r="F77" s="88">
        <v>153751</v>
      </c>
      <c r="G77" s="89">
        <f t="shared" si="6"/>
        <v>21475939.68</v>
      </c>
      <c r="H77" s="118" t="str">
        <f t="array" ref="H77:K77">_xlfn.XLOOKUP(B77,'ESAP NEIVA FASE II UNIFICADO'!$B$6:$B$720,'ESAP NEIVA FASE II UNIFICADO'!$C$6:$F$720,"NO ESTA")</f>
        <v>MURO EN LADRILLO GRAN FORMATO e= 0.12 m Ref. Tierra Ver. Planos Tipo Muro M-6</v>
      </c>
      <c r="I77" t="str">
        <v>M2</v>
      </c>
      <c r="J77">
        <v>139.68</v>
      </c>
      <c r="K77">
        <v>141317</v>
      </c>
      <c r="L77">
        <f t="shared" si="7"/>
        <v>0</v>
      </c>
      <c r="M77">
        <f t="shared" si="8"/>
        <v>0</v>
      </c>
      <c r="N77" s="119">
        <f t="shared" si="9"/>
        <v>139.68</v>
      </c>
      <c r="O77" s="119">
        <f t="shared" si="10"/>
        <v>0</v>
      </c>
    </row>
    <row r="78" spans="2:15" ht="15" customHeight="1" x14ac:dyDescent="0.25">
      <c r="B78" s="86" t="s">
        <v>144</v>
      </c>
      <c r="C78" s="87" t="s">
        <v>122</v>
      </c>
      <c r="D78" s="82" t="s">
        <v>13</v>
      </c>
      <c r="E78" s="230">
        <v>124.47</v>
      </c>
      <c r="F78" s="88">
        <v>307503</v>
      </c>
      <c r="G78" s="89">
        <f t="shared" si="6"/>
        <v>38274898.409999996</v>
      </c>
      <c r="H78" s="118" t="str">
        <f t="array" ref="H78:K78">_xlfn.XLOOKUP(B78,'ESAP NEIVA FASE II UNIFICADO'!$B$6:$B$720,'ESAP NEIVA FASE II UNIFICADO'!$C$6:$F$720,"NO ESTA")</f>
        <v xml:space="preserve">MURO EN LADRILLO GRAN FORMATO e= 0.25 m Ref. Tierra Ver. Planos Tipo Muro M-7 </v>
      </c>
      <c r="I78" t="str">
        <v>M2</v>
      </c>
      <c r="J78">
        <v>124.47</v>
      </c>
      <c r="K78">
        <v>186538</v>
      </c>
      <c r="L78">
        <f t="shared" si="7"/>
        <v>0</v>
      </c>
      <c r="M78">
        <f t="shared" si="8"/>
        <v>0</v>
      </c>
      <c r="N78" s="119">
        <f t="shared" si="9"/>
        <v>124.47</v>
      </c>
      <c r="O78" s="119">
        <f t="shared" si="10"/>
        <v>0</v>
      </c>
    </row>
    <row r="79" spans="2:15" ht="12.75" customHeight="1" x14ac:dyDescent="0.25">
      <c r="B79" s="74">
        <v>6</v>
      </c>
      <c r="C79" s="75" t="s">
        <v>145</v>
      </c>
      <c r="D79" s="76"/>
      <c r="E79" s="229"/>
      <c r="F79" s="78">
        <v>0</v>
      </c>
      <c r="G79" s="89">
        <f t="shared" si="6"/>
        <v>0</v>
      </c>
      <c r="H79" s="118" t="str">
        <f t="array" ref="H79:K79">_xlfn.XLOOKUP(B79,'ESAP NEIVA FASE II UNIFICADO'!$B$6:$B$720,'ESAP NEIVA FASE II UNIFICADO'!$C$6:$F$720,"NO ESTA")</f>
        <v>ACABADOS DE PISOS</v>
      </c>
      <c r="I79">
        <v>0</v>
      </c>
      <c r="J79">
        <v>0</v>
      </c>
      <c r="K79">
        <v>0</v>
      </c>
      <c r="L79">
        <f t="shared" si="7"/>
        <v>1</v>
      </c>
      <c r="M79">
        <f t="shared" si="8"/>
        <v>0</v>
      </c>
      <c r="N79" s="119">
        <f t="shared" si="9"/>
        <v>0</v>
      </c>
      <c r="O79" s="119">
        <f t="shared" si="10"/>
        <v>0</v>
      </c>
    </row>
    <row r="80" spans="2:15" ht="15" customHeight="1" x14ac:dyDescent="0.25">
      <c r="B80" s="80" t="s">
        <v>146</v>
      </c>
      <c r="C80" s="81" t="s">
        <v>147</v>
      </c>
      <c r="D80" s="82"/>
      <c r="E80" s="230"/>
      <c r="F80" s="90">
        <v>0</v>
      </c>
      <c r="G80" s="89">
        <f t="shared" si="6"/>
        <v>0</v>
      </c>
      <c r="H80" s="118" t="str">
        <f t="array" ref="H80:K80">_xlfn.XLOOKUP(B80,'ESAP NEIVA FASE II UNIFICADO'!$B$6:$B$720,'ESAP NEIVA FASE II UNIFICADO'!$C$6:$F$720,"NO ESTA")</f>
        <v>SUMINISTRO E INSTALACIÓN PISOS SEMISOTANO</v>
      </c>
      <c r="I80">
        <v>0</v>
      </c>
      <c r="J80">
        <v>0</v>
      </c>
      <c r="K80">
        <v>0</v>
      </c>
      <c r="L80">
        <f t="shared" si="7"/>
        <v>1</v>
      </c>
      <c r="M80">
        <f t="shared" si="8"/>
        <v>0</v>
      </c>
      <c r="N80" s="119">
        <f t="shared" si="9"/>
        <v>0</v>
      </c>
      <c r="O80" s="119">
        <f t="shared" si="10"/>
        <v>0</v>
      </c>
    </row>
    <row r="81" spans="2:15" ht="23.25" customHeight="1" x14ac:dyDescent="0.25">
      <c r="B81" s="86" t="s">
        <v>148</v>
      </c>
      <c r="C81" s="87" t="s">
        <v>149</v>
      </c>
      <c r="D81" s="82" t="s">
        <v>13</v>
      </c>
      <c r="E81" s="230">
        <v>457.19</v>
      </c>
      <c r="F81" s="88">
        <v>94327</v>
      </c>
      <c r="G81" s="89">
        <f t="shared" si="6"/>
        <v>43125361.130000003</v>
      </c>
      <c r="H81" s="118" t="str">
        <f t="array" ref="H81:K81">_xlfn.XLOOKUP(B81,'ESAP NEIVA FASE II UNIFICADO'!$B$6:$B$720,'ESAP NEIVA FASE II UNIFICADO'!$C$6:$F$720,"NO ESTA")</f>
        <v xml:space="preserve">ANDEN INTERNO EN CONCRETO DE 2500 PSI CON ACABADO CEMENTO PULIDO Ref. Planos 03318 </v>
      </c>
      <c r="I81" t="str">
        <v>M2</v>
      </c>
      <c r="J81">
        <v>0</v>
      </c>
      <c r="K81">
        <v>89287</v>
      </c>
      <c r="L81">
        <f t="shared" si="7"/>
        <v>1</v>
      </c>
      <c r="M81">
        <f t="shared" si="8"/>
        <v>94327</v>
      </c>
      <c r="N81" s="119">
        <f t="shared" si="9"/>
        <v>457.19</v>
      </c>
      <c r="O81" s="119">
        <f t="shared" si="10"/>
        <v>43125361.130000003</v>
      </c>
    </row>
    <row r="82" spans="2:15" ht="15" customHeight="1" x14ac:dyDescent="0.25">
      <c r="B82" s="86" t="s">
        <v>150</v>
      </c>
      <c r="C82" s="87" t="s">
        <v>151</v>
      </c>
      <c r="D82" s="82" t="s">
        <v>13</v>
      </c>
      <c r="E82" s="230">
        <v>1963.08</v>
      </c>
      <c r="F82" s="88">
        <v>7702</v>
      </c>
      <c r="G82" s="89">
        <f t="shared" si="6"/>
        <v>15119642.16</v>
      </c>
      <c r="H82" s="118" t="str">
        <f t="array" ref="H82:K82">_xlfn.XLOOKUP(B82,'ESAP NEIVA FASE II UNIFICADO'!$B$6:$B$720,'ESAP NEIVA FASE II UNIFICADO'!$C$6:$F$720,"NO ESTA")</f>
        <v>ACABADO DE PISO DE CONCRETO GRIS PULIDO   Ref. Planos 09650-1</v>
      </c>
      <c r="I82" t="str">
        <v>M2</v>
      </c>
      <c r="J82">
        <v>0</v>
      </c>
      <c r="K82">
        <v>8211</v>
      </c>
      <c r="L82">
        <f t="shared" si="7"/>
        <v>1</v>
      </c>
      <c r="M82">
        <f t="shared" si="8"/>
        <v>7702</v>
      </c>
      <c r="N82" s="119">
        <f t="shared" si="9"/>
        <v>1963.08</v>
      </c>
      <c r="O82" s="119">
        <f t="shared" si="10"/>
        <v>15119642.16</v>
      </c>
    </row>
    <row r="83" spans="2:15" ht="22.5" customHeight="1" x14ac:dyDescent="0.25">
      <c r="B83" s="86" t="s">
        <v>152</v>
      </c>
      <c r="C83" s="147" t="s">
        <v>153</v>
      </c>
      <c r="D83" s="82" t="s">
        <v>13</v>
      </c>
      <c r="E83" s="230">
        <v>1.4</v>
      </c>
      <c r="F83" s="88">
        <v>107920</v>
      </c>
      <c r="G83" s="89">
        <f t="shared" si="6"/>
        <v>151088</v>
      </c>
      <c r="H83" s="118" t="str">
        <f t="array" ref="H83:K83">_xlfn.XLOOKUP(B83,'ESAP NEIVA FASE II UNIFICADO'!$B$6:$B$720,'ESAP NEIVA FASE II UNIFICADO'!$C$6:$F$720,"NO ESTA")</f>
        <v>SUMINISTRO E INSTALACION PISO TABLETA ZONAS COMUNES Incluye ALISTADO Referencia  ALFA 30 X 30 HUILA Ref. Planos 09610.1</v>
      </c>
      <c r="I83" t="str">
        <v>M2</v>
      </c>
      <c r="J83">
        <v>0</v>
      </c>
      <c r="K83">
        <v>108210</v>
      </c>
      <c r="L83">
        <f t="shared" si="7"/>
        <v>1</v>
      </c>
      <c r="M83">
        <f t="shared" si="8"/>
        <v>107920</v>
      </c>
      <c r="N83" s="119">
        <f t="shared" si="9"/>
        <v>1.4</v>
      </c>
      <c r="O83" s="119">
        <f t="shared" si="10"/>
        <v>151088</v>
      </c>
    </row>
    <row r="84" spans="2:15" ht="15" customHeight="1" x14ac:dyDescent="0.25">
      <c r="B84" s="80" t="s">
        <v>154</v>
      </c>
      <c r="C84" s="81" t="s">
        <v>155</v>
      </c>
      <c r="D84" s="82"/>
      <c r="E84" s="230"/>
      <c r="F84" s="90">
        <v>0</v>
      </c>
      <c r="G84" s="89">
        <f t="shared" si="6"/>
        <v>0</v>
      </c>
      <c r="H84" s="118" t="str">
        <f t="array" ref="H84:K84">_xlfn.XLOOKUP(B84,'ESAP NEIVA FASE II UNIFICADO'!$B$6:$B$720,'ESAP NEIVA FASE II UNIFICADO'!$C$6:$F$720,"NO ESTA")</f>
        <v>SUMINISTRO E INSTALACIÓN DE PISOS ESPACIO PUBLICO</v>
      </c>
      <c r="I84">
        <v>0</v>
      </c>
      <c r="J84">
        <v>0</v>
      </c>
      <c r="K84">
        <v>0</v>
      </c>
      <c r="L84">
        <f t="shared" si="7"/>
        <v>1</v>
      </c>
      <c r="M84">
        <f t="shared" si="8"/>
        <v>0</v>
      </c>
      <c r="N84" s="119">
        <f t="shared" si="9"/>
        <v>0</v>
      </c>
      <c r="O84" s="119">
        <f t="shared" si="10"/>
        <v>0</v>
      </c>
    </row>
    <row r="85" spans="2:15" ht="36.75" customHeight="1" x14ac:dyDescent="0.25">
      <c r="B85" s="86" t="s">
        <v>156</v>
      </c>
      <c r="C85" s="147" t="s">
        <v>157</v>
      </c>
      <c r="D85" s="82" t="s">
        <v>13</v>
      </c>
      <c r="E85" s="230">
        <v>45.8</v>
      </c>
      <c r="F85" s="88">
        <v>89363</v>
      </c>
      <c r="G85" s="89">
        <f t="shared" si="6"/>
        <v>4092825.4</v>
      </c>
      <c r="H85" s="118" t="str">
        <f t="array" ref="H85:K85">_xlfn.XLOOKUP(B85,'ESAP NEIVA FASE II UNIFICADO'!$B$6:$B$720,'ESAP NEIVA FASE II UNIFICADO'!$C$6:$F$720,"NO ESTA")</f>
        <v>SUMINISTRO E INSTALACION ANDEN EN LOSETA PREFABRICADA Referencia A50  GRIS 40 X 40 incluye alistadio - (Especificación Cartilla Andenes IDU-2011)</v>
      </c>
      <c r="I85" t="str">
        <v>M2</v>
      </c>
      <c r="J85">
        <v>1832.0720000000001</v>
      </c>
      <c r="K85">
        <v>91697</v>
      </c>
      <c r="L85">
        <f t="shared" si="7"/>
        <v>0</v>
      </c>
      <c r="M85">
        <f t="shared" si="8"/>
        <v>0</v>
      </c>
      <c r="N85" s="119">
        <f t="shared" si="9"/>
        <v>45.8</v>
      </c>
      <c r="O85" s="119">
        <f t="shared" si="10"/>
        <v>0</v>
      </c>
    </row>
    <row r="86" spans="2:15" ht="21.75" customHeight="1" x14ac:dyDescent="0.25">
      <c r="B86" s="86" t="s">
        <v>158</v>
      </c>
      <c r="C86" s="87" t="s">
        <v>159</v>
      </c>
      <c r="D86" s="82" t="s">
        <v>13</v>
      </c>
      <c r="E86" s="230">
        <v>4.59</v>
      </c>
      <c r="F86" s="88">
        <v>93854</v>
      </c>
      <c r="G86" s="89">
        <f t="shared" si="6"/>
        <v>430789.86</v>
      </c>
      <c r="H86" s="118" t="str">
        <f t="array" ref="H86:K86">_xlfn.XLOOKUP(B86,'ESAP NEIVA FASE II UNIFICADO'!$B$6:$B$720,'ESAP NEIVA FASE II UNIFICADO'!$C$6:$F$720,"NO ESTA")</f>
        <v>SUMINISTRO E INSTALACION JARDIN Ref. Planos A2900 (Incluye material aislante, impermeabilizante, tierra, abonos y plantas ornamentales)</v>
      </c>
      <c r="I86" t="str">
        <v>M2</v>
      </c>
      <c r="J86">
        <v>183.66400000000002</v>
      </c>
      <c r="K86">
        <v>96306</v>
      </c>
      <c r="L86">
        <f t="shared" si="7"/>
        <v>0</v>
      </c>
      <c r="M86">
        <f t="shared" si="8"/>
        <v>0</v>
      </c>
      <c r="N86" s="119">
        <f t="shared" si="9"/>
        <v>4.59</v>
      </c>
      <c r="O86" s="119">
        <f t="shared" si="10"/>
        <v>0</v>
      </c>
    </row>
    <row r="87" spans="2:15" ht="15" customHeight="1" x14ac:dyDescent="0.25">
      <c r="B87" s="80" t="s">
        <v>160</v>
      </c>
      <c r="C87" s="81" t="s">
        <v>161</v>
      </c>
      <c r="D87" s="82"/>
      <c r="E87" s="230"/>
      <c r="F87" s="90">
        <v>0</v>
      </c>
      <c r="G87" s="89">
        <f t="shared" si="6"/>
        <v>0</v>
      </c>
      <c r="H87" s="118" t="str">
        <f t="array" ref="H87:K87">_xlfn.XLOOKUP(B87,'ESAP NEIVA FASE II UNIFICADO'!$B$6:$B$720,'ESAP NEIVA FASE II UNIFICADO'!$C$6:$F$720,"NO ESTA")</f>
        <v>SUMINISTRO E INSTALACIÓN DE PISOS PISO 1</v>
      </c>
      <c r="I87">
        <v>0</v>
      </c>
      <c r="J87">
        <v>0</v>
      </c>
      <c r="K87">
        <v>0</v>
      </c>
      <c r="L87">
        <f t="shared" si="7"/>
        <v>1</v>
      </c>
      <c r="M87">
        <f t="shared" si="8"/>
        <v>0</v>
      </c>
      <c r="N87" s="119">
        <f t="shared" si="9"/>
        <v>0</v>
      </c>
      <c r="O87" s="119">
        <f t="shared" si="10"/>
        <v>0</v>
      </c>
    </row>
    <row r="88" spans="2:15" ht="27" customHeight="1" x14ac:dyDescent="0.25">
      <c r="B88" s="86" t="s">
        <v>162</v>
      </c>
      <c r="C88" s="147" t="s">
        <v>153</v>
      </c>
      <c r="D88" s="82" t="s">
        <v>13</v>
      </c>
      <c r="E88" s="230">
        <v>718.89</v>
      </c>
      <c r="F88" s="88">
        <v>107920</v>
      </c>
      <c r="G88" s="89">
        <f t="shared" si="6"/>
        <v>77582608.799999997</v>
      </c>
      <c r="H88" s="118" t="str">
        <f t="array" ref="H88:K88">_xlfn.XLOOKUP(B88,'ESAP NEIVA FASE II UNIFICADO'!$B$6:$B$720,'ESAP NEIVA FASE II UNIFICADO'!$C$6:$F$720,"NO ESTA")</f>
        <v>SUMINISTRO E INSTALACION PISO TABLETA ZONAS COMUNES Incluye ALISTADO Referencia  ALFA 30 X 30 HUILA Ref. Planos 09610.1</v>
      </c>
      <c r="I88" t="str">
        <v>M2</v>
      </c>
      <c r="J88">
        <v>513.95999999999992</v>
      </c>
      <c r="K88">
        <v>108210</v>
      </c>
      <c r="L88">
        <f t="shared" si="7"/>
        <v>0</v>
      </c>
      <c r="M88">
        <f t="shared" si="8"/>
        <v>0</v>
      </c>
      <c r="N88" s="119">
        <f t="shared" si="9"/>
        <v>718.89</v>
      </c>
      <c r="O88" s="119">
        <f t="shared" si="10"/>
        <v>0</v>
      </c>
    </row>
    <row r="89" spans="2:15" ht="25.5" customHeight="1" x14ac:dyDescent="0.25">
      <c r="B89" s="86" t="s">
        <v>163</v>
      </c>
      <c r="C89" s="149" t="s">
        <v>164</v>
      </c>
      <c r="D89" s="82" t="s">
        <v>13</v>
      </c>
      <c r="E89" s="230">
        <v>576.27</v>
      </c>
      <c r="F89" s="88">
        <v>70788</v>
      </c>
      <c r="G89" s="89">
        <f t="shared" si="6"/>
        <v>40793000.759999998</v>
      </c>
      <c r="H89" s="118" t="str">
        <f t="array" ref="H89:K89">_xlfn.XLOOKUP(B89,'ESAP NEIVA FASE II UNIFICADO'!$B$6:$B$720,'ESAP NEIVA FASE II UNIFICADO'!$C$6:$F$720,"NO ESTA")</f>
        <v>SUMINISTRO E INSTALACION PISO LOSETA PREFABRICADA GRIS Referencia A30 DE 40X60 - (Especificación Cartilla Andenes IDU-2011)  Ref. Planos 09620.8</v>
      </c>
      <c r="I89" t="str">
        <v>M2</v>
      </c>
      <c r="J89">
        <v>230.83</v>
      </c>
      <c r="K89">
        <v>70614</v>
      </c>
      <c r="L89">
        <f t="shared" si="7"/>
        <v>0</v>
      </c>
      <c r="M89">
        <f t="shared" si="8"/>
        <v>0</v>
      </c>
      <c r="N89" s="119">
        <f t="shared" si="9"/>
        <v>576.27</v>
      </c>
      <c r="O89" s="119">
        <f t="shared" si="10"/>
        <v>0</v>
      </c>
    </row>
    <row r="90" spans="2:15" ht="15" customHeight="1" x14ac:dyDescent="0.25">
      <c r="B90" s="86" t="s">
        <v>165</v>
      </c>
      <c r="C90" s="87" t="s">
        <v>166</v>
      </c>
      <c r="D90" s="82" t="s">
        <v>13</v>
      </c>
      <c r="E90" s="230">
        <v>33.11</v>
      </c>
      <c r="F90" s="88">
        <v>47493</v>
      </c>
      <c r="G90" s="89">
        <f t="shared" si="6"/>
        <v>1572493.23</v>
      </c>
      <c r="H90" s="118" t="str">
        <f t="array" ref="H90:K90">_xlfn.XLOOKUP(B90,'ESAP NEIVA FASE II UNIFICADO'!$B$6:$B$720,'ESAP NEIVA FASE II UNIFICADO'!$C$6:$F$720,"NO ESTA")</f>
        <v>SUMINISTRO E INSTALACION PISO EN VINILO GRIS TARIMA Ref. Planos 09650.1</v>
      </c>
      <c r="I90" t="str">
        <v>M2</v>
      </c>
      <c r="J90">
        <v>11.069999999999999</v>
      </c>
      <c r="K90">
        <v>47066</v>
      </c>
      <c r="L90">
        <f t="shared" si="7"/>
        <v>0</v>
      </c>
      <c r="M90">
        <f t="shared" si="8"/>
        <v>0</v>
      </c>
      <c r="N90" s="119">
        <f t="shared" si="9"/>
        <v>33.11</v>
      </c>
      <c r="O90" s="119">
        <f t="shared" si="10"/>
        <v>0</v>
      </c>
    </row>
    <row r="91" spans="2:15" ht="22.5" customHeight="1" x14ac:dyDescent="0.25">
      <c r="B91" s="86" t="s">
        <v>167</v>
      </c>
      <c r="C91" s="87" t="s">
        <v>168</v>
      </c>
      <c r="D91" s="82" t="s">
        <v>13</v>
      </c>
      <c r="E91" s="230">
        <v>297.04000000000002</v>
      </c>
      <c r="F91" s="88">
        <v>102141</v>
      </c>
      <c r="G91" s="89">
        <f t="shared" si="6"/>
        <v>30339962.640000001</v>
      </c>
      <c r="H91" s="118" t="str">
        <f t="array" ref="H91:K91">_xlfn.XLOOKUP(B91,'ESAP NEIVA FASE II UNIFICADO'!$B$6:$B$720,'ESAP NEIVA FASE II UNIFICADO'!$C$6:$F$720,"NO ESTA")</f>
        <v>SUMINISTRO E INSTALACION PISO EN ALFOMBRA Referencia TRAFICO PESADO Ref. Planos 09680.A1</v>
      </c>
      <c r="I91" t="str">
        <v>M2</v>
      </c>
      <c r="J91">
        <v>12.31</v>
      </c>
      <c r="K91">
        <v>102069</v>
      </c>
      <c r="L91">
        <f t="shared" si="7"/>
        <v>0</v>
      </c>
      <c r="M91">
        <f t="shared" si="8"/>
        <v>0</v>
      </c>
      <c r="N91" s="119">
        <f t="shared" si="9"/>
        <v>297.04000000000002</v>
      </c>
      <c r="O91" s="119">
        <f t="shared" si="10"/>
        <v>0</v>
      </c>
    </row>
    <row r="92" spans="2:15" ht="23.25" customHeight="1" x14ac:dyDescent="0.25">
      <c r="B92" s="86" t="s">
        <v>169</v>
      </c>
      <c r="C92" s="87" t="s">
        <v>159</v>
      </c>
      <c r="D92" s="82" t="s">
        <v>13</v>
      </c>
      <c r="E92" s="230">
        <v>145.79</v>
      </c>
      <c r="F92" s="88">
        <v>93854</v>
      </c>
      <c r="G92" s="89">
        <f t="shared" si="6"/>
        <v>13682974.66</v>
      </c>
      <c r="H92" s="118" t="str">
        <f t="array" ref="H92:K92">_xlfn.XLOOKUP(B92,'ESAP NEIVA FASE II UNIFICADO'!$B$6:$B$720,'ESAP NEIVA FASE II UNIFICADO'!$C$6:$F$720,"NO ESTA")</f>
        <v>SUMINISTRO E INSTALACION JARDIN Ref. Planos A2900 (Incluye material aislante, impermeabilizante, tierra, abonos y plantas ornamentales)</v>
      </c>
      <c r="I92" t="str">
        <v>M2</v>
      </c>
      <c r="J92">
        <v>106.58</v>
      </c>
      <c r="K92">
        <v>92820</v>
      </c>
      <c r="L92">
        <f t="shared" si="7"/>
        <v>0</v>
      </c>
      <c r="M92">
        <f t="shared" si="8"/>
        <v>0</v>
      </c>
      <c r="N92" s="119">
        <f t="shared" si="9"/>
        <v>145.79</v>
      </c>
      <c r="O92" s="119">
        <f t="shared" si="10"/>
        <v>0</v>
      </c>
    </row>
    <row r="93" spans="2:15" ht="15" customHeight="1" x14ac:dyDescent="0.25">
      <c r="B93" s="80" t="s">
        <v>170</v>
      </c>
      <c r="C93" s="81" t="s">
        <v>171</v>
      </c>
      <c r="D93" s="82"/>
      <c r="E93" s="230"/>
      <c r="F93" s="90">
        <v>0</v>
      </c>
      <c r="G93" s="89">
        <f t="shared" si="6"/>
        <v>0</v>
      </c>
      <c r="H93" s="118" t="str">
        <f t="array" ref="H93:K93">_xlfn.XLOOKUP(B93,'ESAP NEIVA FASE II UNIFICADO'!$B$6:$B$720,'ESAP NEIVA FASE II UNIFICADO'!$C$6:$F$720,"NO ESTA")</f>
        <v>SUMINISTRO E INSTALACIÓN DE PISOS PISO 2</v>
      </c>
      <c r="I93">
        <v>0</v>
      </c>
      <c r="J93">
        <v>0</v>
      </c>
      <c r="K93">
        <v>0</v>
      </c>
      <c r="L93">
        <f t="shared" si="7"/>
        <v>1</v>
      </c>
      <c r="M93">
        <f t="shared" si="8"/>
        <v>0</v>
      </c>
      <c r="N93" s="119">
        <f t="shared" si="9"/>
        <v>0</v>
      </c>
      <c r="O93" s="119">
        <f t="shared" si="10"/>
        <v>0</v>
      </c>
    </row>
    <row r="94" spans="2:15" ht="22.5" customHeight="1" x14ac:dyDescent="0.25">
      <c r="B94" s="86" t="s">
        <v>172</v>
      </c>
      <c r="C94" s="147" t="s">
        <v>153</v>
      </c>
      <c r="D94" s="82" t="s">
        <v>13</v>
      </c>
      <c r="E94" s="230">
        <v>1039</v>
      </c>
      <c r="F94" s="88">
        <v>107920</v>
      </c>
      <c r="G94" s="89">
        <f t="shared" si="6"/>
        <v>112128880</v>
      </c>
      <c r="H94" s="118" t="str">
        <f t="array" ref="H94:K94">_xlfn.XLOOKUP(B94,'ESAP NEIVA FASE II UNIFICADO'!$B$6:$B$720,'ESAP NEIVA FASE II UNIFICADO'!$C$6:$F$720,"NO ESTA")</f>
        <v>SUMINISTRO E INSTALACION PISO TABLETA ZONAS COMUNES Incluye ALISTADO Referencia  ALFA 30 X 30 HUILA Ref. Planos 09610.1</v>
      </c>
      <c r="I94" t="str">
        <v>M2</v>
      </c>
      <c r="J94">
        <v>482.95999999999992</v>
      </c>
      <c r="K94">
        <v>108210</v>
      </c>
      <c r="L94">
        <f t="shared" si="7"/>
        <v>0</v>
      </c>
      <c r="M94">
        <f t="shared" si="8"/>
        <v>0</v>
      </c>
      <c r="N94" s="119">
        <f t="shared" si="9"/>
        <v>1039</v>
      </c>
      <c r="O94" s="119">
        <f t="shared" si="10"/>
        <v>0</v>
      </c>
    </row>
    <row r="95" spans="2:15" ht="26.25" customHeight="1" x14ac:dyDescent="0.25">
      <c r="B95" s="86" t="s">
        <v>173</v>
      </c>
      <c r="C95" s="149" t="s">
        <v>164</v>
      </c>
      <c r="D95" s="82" t="s">
        <v>13</v>
      </c>
      <c r="E95" s="230">
        <v>190.12</v>
      </c>
      <c r="F95" s="88">
        <v>70788</v>
      </c>
      <c r="G95" s="89">
        <f t="shared" si="6"/>
        <v>13458214.560000001</v>
      </c>
      <c r="H95" s="118" t="str">
        <f t="array" ref="H95:K95">_xlfn.XLOOKUP(B95,'ESAP NEIVA FASE II UNIFICADO'!$B$6:$B$720,'ESAP NEIVA FASE II UNIFICADO'!$C$6:$F$720,"NO ESTA")</f>
        <v>SUMINISTRO E INSTALACION PISO LOSETA PREFABRICADA GRIS Referencia A30 DE 40X60 - (Especificación Cartilla Andenes IDU-2011)  Ref. Planos 09620.8</v>
      </c>
      <c r="I95" t="str">
        <v>M2</v>
      </c>
      <c r="J95">
        <v>80.070000000000007</v>
      </c>
      <c r="K95">
        <v>70614</v>
      </c>
      <c r="L95">
        <f t="shared" si="7"/>
        <v>0</v>
      </c>
      <c r="M95">
        <f t="shared" si="8"/>
        <v>0</v>
      </c>
      <c r="N95" s="119">
        <f t="shared" si="9"/>
        <v>190.12</v>
      </c>
      <c r="O95" s="119">
        <f t="shared" si="10"/>
        <v>0</v>
      </c>
    </row>
    <row r="96" spans="2:15" ht="26.25" customHeight="1" x14ac:dyDescent="0.25">
      <c r="B96" s="86" t="s">
        <v>174</v>
      </c>
      <c r="C96" s="87" t="s">
        <v>159</v>
      </c>
      <c r="D96" s="82" t="s">
        <v>13</v>
      </c>
      <c r="E96" s="230">
        <v>110.24</v>
      </c>
      <c r="F96" s="88">
        <v>93854</v>
      </c>
      <c r="G96" s="89">
        <f t="shared" si="6"/>
        <v>10346464.960000001</v>
      </c>
      <c r="H96" s="118" t="str">
        <f t="array" ref="H96:K96">_xlfn.XLOOKUP(B96,'ESAP NEIVA FASE II UNIFICADO'!$B$6:$B$720,'ESAP NEIVA FASE II UNIFICADO'!$C$6:$F$720,"NO ESTA")</f>
        <v>SUMINISTRO E INSTALACION JARDIN Ref. Planos A2900 (Incluye material aislante, impermeabilizante, tierra, abonos y plantas ornamentales)</v>
      </c>
      <c r="I96" t="str">
        <v>M2</v>
      </c>
      <c r="J96">
        <v>52.37</v>
      </c>
      <c r="K96">
        <v>92820</v>
      </c>
      <c r="L96">
        <f t="shared" si="7"/>
        <v>0</v>
      </c>
      <c r="M96">
        <f t="shared" si="8"/>
        <v>0</v>
      </c>
      <c r="N96" s="119">
        <f t="shared" si="9"/>
        <v>110.24</v>
      </c>
      <c r="O96" s="119">
        <f t="shared" si="10"/>
        <v>0</v>
      </c>
    </row>
    <row r="97" spans="2:15" ht="16.5" customHeight="1" x14ac:dyDescent="0.25">
      <c r="B97" s="74">
        <v>7</v>
      </c>
      <c r="C97" s="75" t="s">
        <v>175</v>
      </c>
      <c r="D97" s="76"/>
      <c r="E97" s="229"/>
      <c r="F97" s="78">
        <v>0</v>
      </c>
      <c r="G97" s="89">
        <f t="shared" si="6"/>
        <v>0</v>
      </c>
      <c r="H97" s="118" t="str">
        <f t="array" ref="H97:K97">_xlfn.XLOOKUP(B97,'ESAP NEIVA FASE II UNIFICADO'!$B$6:$B$720,'ESAP NEIVA FASE II UNIFICADO'!$C$6:$F$720,"NO ESTA")</f>
        <v>VENTANERIA</v>
      </c>
      <c r="I97">
        <v>0</v>
      </c>
      <c r="J97">
        <v>0</v>
      </c>
      <c r="K97">
        <v>0</v>
      </c>
      <c r="L97">
        <f t="shared" si="7"/>
        <v>1</v>
      </c>
      <c r="M97">
        <f t="shared" si="8"/>
        <v>0</v>
      </c>
      <c r="N97" s="119">
        <f t="shared" si="9"/>
        <v>0</v>
      </c>
      <c r="O97" s="119">
        <f t="shared" si="10"/>
        <v>0</v>
      </c>
    </row>
    <row r="98" spans="2:15" ht="15" customHeight="1" x14ac:dyDescent="0.25">
      <c r="B98" s="80" t="s">
        <v>176</v>
      </c>
      <c r="C98" s="81" t="s">
        <v>177</v>
      </c>
      <c r="D98" s="82"/>
      <c r="E98" s="230"/>
      <c r="F98" s="90">
        <v>0</v>
      </c>
      <c r="G98" s="89">
        <f t="shared" si="6"/>
        <v>0</v>
      </c>
      <c r="H98" s="118" t="str">
        <f t="array" ref="H98:K98">_xlfn.XLOOKUP(B98,'ESAP NEIVA FASE II UNIFICADO'!$B$6:$B$720,'ESAP NEIVA FASE II UNIFICADO'!$C$6:$F$720,"NO ESTA")</f>
        <v>SUMINISTRO E INSTALACION VENTANAS ESPACIO PUBLICO</v>
      </c>
      <c r="I98">
        <v>0</v>
      </c>
      <c r="J98">
        <v>0</v>
      </c>
      <c r="K98">
        <v>0</v>
      </c>
      <c r="L98">
        <f t="shared" si="7"/>
        <v>1</v>
      </c>
      <c r="M98">
        <f t="shared" si="8"/>
        <v>0</v>
      </c>
      <c r="N98" s="119">
        <f t="shared" si="9"/>
        <v>0</v>
      </c>
      <c r="O98" s="119">
        <f t="shared" si="10"/>
        <v>0</v>
      </c>
    </row>
    <row r="99" spans="2:15" ht="27.75" customHeight="1" x14ac:dyDescent="0.25">
      <c r="B99" s="86" t="s">
        <v>178</v>
      </c>
      <c r="C99" s="87" t="s">
        <v>179</v>
      </c>
      <c r="D99" s="82" t="s">
        <v>13</v>
      </c>
      <c r="E99" s="230">
        <v>4.8600000000000003</v>
      </c>
      <c r="F99" s="88">
        <v>260667</v>
      </c>
      <c r="G99" s="89">
        <f t="shared" si="6"/>
        <v>1266841.6200000001</v>
      </c>
      <c r="H99" s="118" t="str">
        <f t="array" ref="H99:K99">_xlfn.XLOOKUP(B99,'ESAP NEIVA FASE II UNIFICADO'!$B$6:$B$720,'ESAP NEIVA FASE II UNIFICADO'!$C$6:$F$720,"NO ESTA")</f>
        <v>SUMINISTRO E INSTALACION VENTANA EN ALUMINIO o similar TIPO V-R Incluye VIDRIO Referencia SOLARBAN Ver NOTAS GENERALES DE PLANCHA</v>
      </c>
      <c r="I99" t="str">
        <v>M2</v>
      </c>
      <c r="J99">
        <v>0</v>
      </c>
      <c r="K99">
        <v>267475</v>
      </c>
      <c r="L99">
        <f t="shared" si="7"/>
        <v>1</v>
      </c>
      <c r="M99">
        <f t="shared" si="8"/>
        <v>260667</v>
      </c>
      <c r="N99" s="119">
        <f t="shared" si="9"/>
        <v>4.8600000000000003</v>
      </c>
      <c r="O99" s="119">
        <f t="shared" si="10"/>
        <v>1266841.6200000001</v>
      </c>
    </row>
    <row r="100" spans="2:15" ht="15" customHeight="1" x14ac:dyDescent="0.25">
      <c r="B100" s="80" t="s">
        <v>180</v>
      </c>
      <c r="C100" s="81" t="s">
        <v>181</v>
      </c>
      <c r="D100" s="82"/>
      <c r="E100" s="230"/>
      <c r="F100" s="90">
        <v>0</v>
      </c>
      <c r="G100" s="89">
        <f t="shared" si="6"/>
        <v>0</v>
      </c>
      <c r="H100" s="118" t="str">
        <f t="array" ref="H100:K100">_xlfn.XLOOKUP(B100,'ESAP NEIVA FASE II UNIFICADO'!$B$6:$B$720,'ESAP NEIVA FASE II UNIFICADO'!$C$6:$F$720,"NO ESTA")</f>
        <v>SUMINISTRO E INSTALACION VENTANAS PISO 1</v>
      </c>
      <c r="I100">
        <v>0</v>
      </c>
      <c r="J100">
        <v>0</v>
      </c>
      <c r="K100">
        <v>0</v>
      </c>
      <c r="L100">
        <f t="shared" si="7"/>
        <v>1</v>
      </c>
      <c r="M100">
        <f t="shared" si="8"/>
        <v>0</v>
      </c>
      <c r="N100" s="119">
        <f t="shared" si="9"/>
        <v>0</v>
      </c>
      <c r="O100" s="119">
        <f t="shared" si="10"/>
        <v>0</v>
      </c>
    </row>
    <row r="101" spans="2:15" ht="25.5" customHeight="1" x14ac:dyDescent="0.25">
      <c r="B101" s="86" t="s">
        <v>182</v>
      </c>
      <c r="C101" s="147" t="s">
        <v>183</v>
      </c>
      <c r="D101" s="82" t="s">
        <v>13</v>
      </c>
      <c r="E101" s="230">
        <v>0.55000000000000004</v>
      </c>
      <c r="F101" s="88">
        <v>260667</v>
      </c>
      <c r="G101" s="89">
        <f t="shared" si="6"/>
        <v>143366.85</v>
      </c>
      <c r="H101" s="118" t="str">
        <f t="array" ref="H101:K101">_xlfn.XLOOKUP(B101,'ESAP NEIVA FASE II UNIFICADO'!$B$6:$B$720,'ESAP NEIVA FASE II UNIFICADO'!$C$6:$F$720,"NO ESTA")</f>
        <v>SUMINISTRO E INSTALACION VENTANA EN ALUMINIO o similar TIPO V3 Incluye VIDRIO Referencia SOLARBAN Ver NOTAS GENERALES DE PLANCHA</v>
      </c>
      <c r="I101" t="str">
        <v>M2</v>
      </c>
      <c r="J101">
        <v>0</v>
      </c>
      <c r="K101">
        <v>267475</v>
      </c>
      <c r="L101">
        <f t="shared" si="7"/>
        <v>1</v>
      </c>
      <c r="M101">
        <f t="shared" si="8"/>
        <v>260667</v>
      </c>
      <c r="N101" s="119">
        <f t="shared" si="9"/>
        <v>0.55000000000000004</v>
      </c>
      <c r="O101" s="119">
        <f t="shared" si="10"/>
        <v>143366.85</v>
      </c>
    </row>
    <row r="102" spans="2:15" ht="25.5" customHeight="1" x14ac:dyDescent="0.25">
      <c r="B102" s="86" t="s">
        <v>184</v>
      </c>
      <c r="C102" s="87" t="s">
        <v>185</v>
      </c>
      <c r="D102" s="82" t="s">
        <v>13</v>
      </c>
      <c r="E102" s="230">
        <v>0.36</v>
      </c>
      <c r="F102" s="88">
        <v>260667</v>
      </c>
      <c r="G102" s="89">
        <f t="shared" si="6"/>
        <v>93840.12</v>
      </c>
      <c r="H102" s="118" t="str">
        <f t="array" ref="H102:K102">_xlfn.XLOOKUP(B102,'ESAP NEIVA FASE II UNIFICADO'!$B$6:$B$720,'ESAP NEIVA FASE II UNIFICADO'!$C$6:$F$720,"NO ESTA")</f>
        <v>SUMINISTRO E INSTALACION VENTANA EN ALUMINIO o similar  TIPO V4 Incluye VIDRIO Referencia SOLARBAN Ver NOTAS GENERALES DE PLANCHA</v>
      </c>
      <c r="I102" t="str">
        <v>M2</v>
      </c>
      <c r="J102">
        <v>0</v>
      </c>
      <c r="K102">
        <v>267475</v>
      </c>
      <c r="L102">
        <f t="shared" si="7"/>
        <v>1</v>
      </c>
      <c r="M102">
        <f t="shared" si="8"/>
        <v>260667</v>
      </c>
      <c r="N102" s="119">
        <f t="shared" si="9"/>
        <v>0.36</v>
      </c>
      <c r="O102" s="119">
        <f t="shared" si="10"/>
        <v>93840.12</v>
      </c>
    </row>
    <row r="103" spans="2:15" ht="15" customHeight="1" x14ac:dyDescent="0.25">
      <c r="B103" s="80" t="s">
        <v>186</v>
      </c>
      <c r="C103" s="81" t="s">
        <v>187</v>
      </c>
      <c r="D103" s="82"/>
      <c r="E103" s="230"/>
      <c r="F103" s="90">
        <v>0</v>
      </c>
      <c r="G103" s="89">
        <f t="shared" si="6"/>
        <v>0</v>
      </c>
      <c r="H103" s="118" t="str">
        <f t="array" ref="H103:K103">_xlfn.XLOOKUP(B103,'ESAP NEIVA FASE II UNIFICADO'!$B$6:$B$720,'ESAP NEIVA FASE II UNIFICADO'!$C$6:$F$720,"NO ESTA")</f>
        <v>SUMINISTRO E INSTALACION VENTANAS PISO 2</v>
      </c>
      <c r="I103">
        <v>0</v>
      </c>
      <c r="J103">
        <v>0</v>
      </c>
      <c r="K103">
        <v>0</v>
      </c>
      <c r="L103">
        <f t="shared" si="7"/>
        <v>1</v>
      </c>
      <c r="M103">
        <f t="shared" si="8"/>
        <v>0</v>
      </c>
      <c r="N103" s="119">
        <f t="shared" si="9"/>
        <v>0</v>
      </c>
      <c r="O103" s="119">
        <f t="shared" si="10"/>
        <v>0</v>
      </c>
    </row>
    <row r="104" spans="2:15" ht="25.5" customHeight="1" x14ac:dyDescent="0.25">
      <c r="B104" s="86" t="s">
        <v>188</v>
      </c>
      <c r="C104" s="147" t="s">
        <v>189</v>
      </c>
      <c r="D104" s="82" t="s">
        <v>13</v>
      </c>
      <c r="E104" s="230">
        <v>0.05</v>
      </c>
      <c r="F104" s="88">
        <v>260667</v>
      </c>
      <c r="G104" s="89">
        <f t="shared" si="6"/>
        <v>13033.35</v>
      </c>
      <c r="H104" s="118" t="str">
        <f t="array" ref="H104:K104">_xlfn.XLOOKUP(B104,'ESAP NEIVA FASE II UNIFICADO'!$B$6:$B$720,'ESAP NEIVA FASE II UNIFICADO'!$C$6:$F$720,"NO ESTA")</f>
        <v>SUMINISTRO E INSTALACION VENTANA EN ALUMINIO o similar TIPO V1 Incluye VIDRIO Referencia SOLARBAN Ver NOTAS GENERALES DE PLANCHA</v>
      </c>
      <c r="I104" t="str">
        <v>M2</v>
      </c>
      <c r="J104">
        <v>0</v>
      </c>
      <c r="K104">
        <v>267475</v>
      </c>
      <c r="L104">
        <f t="shared" si="7"/>
        <v>1</v>
      </c>
      <c r="M104">
        <f t="shared" si="8"/>
        <v>260667</v>
      </c>
      <c r="N104" s="119">
        <f t="shared" si="9"/>
        <v>0.05</v>
      </c>
      <c r="O104" s="119">
        <f t="shared" si="10"/>
        <v>13033.35</v>
      </c>
    </row>
    <row r="105" spans="2:15" ht="25.5" customHeight="1" x14ac:dyDescent="0.25">
      <c r="B105" s="86" t="s">
        <v>190</v>
      </c>
      <c r="C105" s="149" t="s">
        <v>191</v>
      </c>
      <c r="D105" s="82" t="s">
        <v>13</v>
      </c>
      <c r="E105" s="230">
        <v>0.32</v>
      </c>
      <c r="F105" s="88">
        <v>260667</v>
      </c>
      <c r="G105" s="89">
        <f t="shared" si="6"/>
        <v>83413.440000000002</v>
      </c>
      <c r="H105" s="118" t="str">
        <f t="array" ref="H105:K105">_xlfn.XLOOKUP(B105,'ESAP NEIVA FASE II UNIFICADO'!$B$6:$B$720,'ESAP NEIVA FASE II UNIFICADO'!$C$6:$F$720,"NO ESTA")</f>
        <v>SUMINISTRO E INSTALACION VENTANA EN ALUMINIO o similar TIPO V2 Incluye VIDRIO Referencia SOLARBAN Ver NOTAS GENERALES DE PLANCHA</v>
      </c>
      <c r="I105" t="str">
        <v>M2</v>
      </c>
      <c r="J105">
        <v>0</v>
      </c>
      <c r="K105">
        <v>267475</v>
      </c>
      <c r="L105">
        <f t="shared" si="7"/>
        <v>1</v>
      </c>
      <c r="M105">
        <f t="shared" si="8"/>
        <v>260667</v>
      </c>
      <c r="N105" s="119">
        <f t="shared" si="9"/>
        <v>0.32</v>
      </c>
      <c r="O105" s="119">
        <f t="shared" si="10"/>
        <v>83413.440000000002</v>
      </c>
    </row>
    <row r="106" spans="2:15" ht="25.5" customHeight="1" x14ac:dyDescent="0.25">
      <c r="B106" s="86" t="s">
        <v>192</v>
      </c>
      <c r="C106" s="147" t="s">
        <v>183</v>
      </c>
      <c r="D106" s="82" t="s">
        <v>13</v>
      </c>
      <c r="E106" s="230">
        <v>0.48</v>
      </c>
      <c r="F106" s="88">
        <v>260667</v>
      </c>
      <c r="G106" s="89">
        <f t="shared" si="6"/>
        <v>125120.16</v>
      </c>
      <c r="H106" s="118" t="str">
        <f t="array" ref="H106:K106">_xlfn.XLOOKUP(B106,'ESAP NEIVA FASE II UNIFICADO'!$B$6:$B$720,'ESAP NEIVA FASE II UNIFICADO'!$C$6:$F$720,"NO ESTA")</f>
        <v>SUMINISTRO E INSTALACION VENTANA EN ALUMINIO o similar TIPO V3 Incluye VIDRIO Referencia SOLARBAN Ver NOTAS GENERALES DE PLANCHA</v>
      </c>
      <c r="I106" t="str">
        <v>M2</v>
      </c>
      <c r="J106">
        <v>0</v>
      </c>
      <c r="K106">
        <v>267475</v>
      </c>
      <c r="L106">
        <f t="shared" si="7"/>
        <v>1</v>
      </c>
      <c r="M106">
        <f t="shared" si="8"/>
        <v>260667</v>
      </c>
      <c r="N106" s="119">
        <f t="shared" si="9"/>
        <v>0.48</v>
      </c>
      <c r="O106" s="119">
        <f t="shared" si="10"/>
        <v>125120.16</v>
      </c>
    </row>
    <row r="107" spans="2:15" ht="25.5" customHeight="1" x14ac:dyDescent="0.25">
      <c r="B107" s="86" t="s">
        <v>193</v>
      </c>
      <c r="C107" s="87" t="s">
        <v>185</v>
      </c>
      <c r="D107" s="82" t="s">
        <v>13</v>
      </c>
      <c r="E107" s="230">
        <v>0.12</v>
      </c>
      <c r="F107" s="88">
        <v>260667</v>
      </c>
      <c r="G107" s="89">
        <f t="shared" si="6"/>
        <v>31280.04</v>
      </c>
      <c r="H107" s="118" t="str">
        <f t="array" ref="H107:K107">_xlfn.XLOOKUP(B107,'ESAP NEIVA FASE II UNIFICADO'!$B$6:$B$720,'ESAP NEIVA FASE II UNIFICADO'!$C$6:$F$720,"NO ESTA")</f>
        <v>SUMINISTRO E INSTALACION VENTANA EN ALUMINIO o similar TIPO V4 Incluye VIDRIO Referencia SOLARBAN Ver NOTAS GENERALES DE PLANCHA</v>
      </c>
      <c r="I107" t="str">
        <v>M2</v>
      </c>
      <c r="J107">
        <v>0</v>
      </c>
      <c r="K107">
        <v>267475</v>
      </c>
      <c r="L107">
        <f t="shared" si="7"/>
        <v>1</v>
      </c>
      <c r="M107">
        <f t="shared" si="8"/>
        <v>260667</v>
      </c>
      <c r="N107" s="119">
        <f t="shared" si="9"/>
        <v>0.12</v>
      </c>
      <c r="O107" s="119">
        <f t="shared" si="10"/>
        <v>31280.04</v>
      </c>
    </row>
    <row r="108" spans="2:15" ht="25.5" customHeight="1" x14ac:dyDescent="0.25">
      <c r="B108" s="86" t="s">
        <v>194</v>
      </c>
      <c r="C108" s="147" t="s">
        <v>195</v>
      </c>
      <c r="D108" s="82" t="s">
        <v>13</v>
      </c>
      <c r="E108" s="230">
        <v>0.36</v>
      </c>
      <c r="F108" s="88">
        <v>260667</v>
      </c>
      <c r="G108" s="89">
        <f t="shared" si="6"/>
        <v>93840.12</v>
      </c>
      <c r="H108" s="118" t="str">
        <f t="array" ref="H108:K108">_xlfn.XLOOKUP(B108,'ESAP NEIVA FASE II UNIFICADO'!$B$6:$B$720,'ESAP NEIVA FASE II UNIFICADO'!$C$6:$F$720,"NO ESTA")</f>
        <v>SUMINISTRO E INSTALACION VENTANA EN ALUMINIO o similar TIPO V5 Incluye VIDRIO Referencia SOLARBAN Ver NOTAS GENERALES DE PLANCHA</v>
      </c>
      <c r="I108" t="str">
        <v>M2</v>
      </c>
      <c r="J108">
        <v>0</v>
      </c>
      <c r="K108">
        <v>267475</v>
      </c>
      <c r="L108">
        <f t="shared" si="7"/>
        <v>1</v>
      </c>
      <c r="M108">
        <f t="shared" si="8"/>
        <v>260667</v>
      </c>
      <c r="N108" s="119">
        <f t="shared" si="9"/>
        <v>0.36</v>
      </c>
      <c r="O108" s="119">
        <f t="shared" si="10"/>
        <v>93840.12</v>
      </c>
    </row>
    <row r="109" spans="2:15" ht="15" customHeight="1" x14ac:dyDescent="0.25">
      <c r="B109" s="99">
        <v>8</v>
      </c>
      <c r="C109" s="100" t="s">
        <v>196</v>
      </c>
      <c r="D109" s="101"/>
      <c r="E109" s="232"/>
      <c r="F109" s="103">
        <v>0</v>
      </c>
      <c r="G109" s="89">
        <f t="shared" si="6"/>
        <v>0</v>
      </c>
      <c r="H109" s="118" t="str">
        <f t="array" ref="H109:K109">_xlfn.XLOOKUP(B109,'ESAP NEIVA FASE II UNIFICADO'!$B$6:$B$720,'ESAP NEIVA FASE II UNIFICADO'!$C$6:$F$720,"NO ESTA")</f>
        <v>VENTANALES</v>
      </c>
      <c r="I109">
        <v>0</v>
      </c>
      <c r="J109">
        <v>0</v>
      </c>
      <c r="K109">
        <v>0</v>
      </c>
      <c r="L109">
        <f t="shared" si="7"/>
        <v>1</v>
      </c>
      <c r="M109">
        <f t="shared" si="8"/>
        <v>0</v>
      </c>
      <c r="N109" s="119">
        <f t="shared" si="9"/>
        <v>0</v>
      </c>
      <c r="O109" s="119">
        <f t="shared" si="10"/>
        <v>0</v>
      </c>
    </row>
    <row r="110" spans="2:15" ht="15" customHeight="1" x14ac:dyDescent="0.25">
      <c r="B110" s="80" t="s">
        <v>197</v>
      </c>
      <c r="C110" s="81" t="s">
        <v>198</v>
      </c>
      <c r="D110" s="82"/>
      <c r="E110" s="230"/>
      <c r="F110" s="90">
        <v>0</v>
      </c>
      <c r="G110" s="89">
        <f t="shared" si="6"/>
        <v>0</v>
      </c>
      <c r="H110" s="118" t="str">
        <f t="array" ref="H110:K110">_xlfn.XLOOKUP(B110,'ESAP NEIVA FASE II UNIFICADO'!$B$6:$B$720,'ESAP NEIVA FASE II UNIFICADO'!$C$6:$F$720,"NO ESTA")</f>
        <v>SUMINISTRO E INSTALACION VENTANALES PISO 1</v>
      </c>
      <c r="I110">
        <v>0</v>
      </c>
      <c r="J110">
        <v>0</v>
      </c>
      <c r="K110">
        <v>0</v>
      </c>
      <c r="L110">
        <f t="shared" si="7"/>
        <v>1</v>
      </c>
      <c r="M110">
        <f t="shared" si="8"/>
        <v>0</v>
      </c>
      <c r="N110" s="119">
        <f t="shared" si="9"/>
        <v>0</v>
      </c>
      <c r="O110" s="119">
        <f t="shared" si="10"/>
        <v>0</v>
      </c>
    </row>
    <row r="111" spans="2:15" ht="25.5" customHeight="1" x14ac:dyDescent="0.25">
      <c r="B111" s="86" t="s">
        <v>199</v>
      </c>
      <c r="C111" s="87" t="s">
        <v>200</v>
      </c>
      <c r="D111" s="82" t="s">
        <v>13</v>
      </c>
      <c r="E111" s="230">
        <v>16.32</v>
      </c>
      <c r="F111" s="88">
        <v>303948</v>
      </c>
      <c r="G111" s="89">
        <f t="shared" si="6"/>
        <v>4960431.3600000003</v>
      </c>
      <c r="H111" s="118" t="str">
        <f t="array" ref="H111:K111">_xlfn.XLOOKUP(B111,'ESAP NEIVA FASE II UNIFICADO'!$B$6:$B$720,'ESAP NEIVA FASE II UNIFICADO'!$C$6:$F$720,"NO ESTA")</f>
        <v>SUMINISTRO E INSTALACION VENTANAL INTERIOR EN ALUMINIO o similar TIPO V-0 Incluye VIDRIO Referencia TRASLUCIDO TEMPLADO 10MM Ver NOTAS GENERALES DE PLANCHA</v>
      </c>
      <c r="I111" t="str">
        <v>M2</v>
      </c>
      <c r="J111">
        <v>44.879999999999995</v>
      </c>
      <c r="K111">
        <v>311887</v>
      </c>
      <c r="L111">
        <f t="shared" si="7"/>
        <v>0</v>
      </c>
      <c r="M111">
        <f t="shared" si="8"/>
        <v>0</v>
      </c>
      <c r="N111" s="119">
        <f t="shared" si="9"/>
        <v>16.32</v>
      </c>
      <c r="O111" s="119">
        <f t="shared" si="10"/>
        <v>0</v>
      </c>
    </row>
    <row r="112" spans="2:15" ht="25.5" customHeight="1" x14ac:dyDescent="0.25">
      <c r="B112" s="86" t="s">
        <v>201</v>
      </c>
      <c r="C112" s="147" t="s">
        <v>202</v>
      </c>
      <c r="D112" s="82" t="s">
        <v>13</v>
      </c>
      <c r="E112" s="230">
        <v>111.43</v>
      </c>
      <c r="F112" s="88">
        <v>344443</v>
      </c>
      <c r="G112" s="89">
        <f t="shared" si="6"/>
        <v>38381283.490000002</v>
      </c>
      <c r="H112" s="118" t="str">
        <f t="array" ref="H112:K112">_xlfn.XLOOKUP(B112,'ESAP NEIVA FASE II UNIFICADO'!$B$6:$B$720,'ESAP NEIVA FASE II UNIFICADO'!$C$6:$F$720,"NO ESTA")</f>
        <v>SUMINISTRO E INSTALACION VENTANAL PERFIL 12cm EN ALUMINIO o similar TIPO V-1 Incluye VIDRIO Referencia SOLARBAN Ver NOTAS GENERALES DE PLANCHA</v>
      </c>
      <c r="I112" t="str">
        <v>M2</v>
      </c>
      <c r="J112">
        <v>111.41999999999999</v>
      </c>
      <c r="K112">
        <v>353438</v>
      </c>
      <c r="L112">
        <f t="shared" si="7"/>
        <v>0</v>
      </c>
      <c r="M112">
        <f t="shared" si="8"/>
        <v>0</v>
      </c>
      <c r="N112" s="119">
        <f t="shared" si="9"/>
        <v>111.43</v>
      </c>
      <c r="O112" s="119">
        <f t="shared" si="10"/>
        <v>0</v>
      </c>
    </row>
    <row r="113" spans="2:15" ht="25.5" customHeight="1" x14ac:dyDescent="0.25">
      <c r="B113" s="86" t="s">
        <v>203</v>
      </c>
      <c r="C113" s="149" t="s">
        <v>204</v>
      </c>
      <c r="D113" s="82" t="s">
        <v>13</v>
      </c>
      <c r="E113" s="230">
        <v>17.010000000000002</v>
      </c>
      <c r="F113" s="88">
        <v>360365</v>
      </c>
      <c r="G113" s="89">
        <f t="shared" si="6"/>
        <v>6129808.6500000004</v>
      </c>
      <c r="H113" s="118" t="str">
        <f t="array" ref="H113:K113">_xlfn.XLOOKUP(B113,'ESAP NEIVA FASE II UNIFICADO'!$B$6:$B$720,'ESAP NEIVA FASE II UNIFICADO'!$C$6:$F$720,"NO ESTA")</f>
        <v>SUMINISTRO E INSTALACION VENTANAL DOBLE ALTURA EN ALUMINIO o similar TIPO V-4 Incluye VIDRIO Referencia SOLARBAN Ver NOTAS GENERALES DE PLANCHA</v>
      </c>
      <c r="I113" t="str">
        <v>M2</v>
      </c>
      <c r="J113">
        <v>17.010000000000002</v>
      </c>
      <c r="K113">
        <v>369778</v>
      </c>
      <c r="L113">
        <f t="shared" si="7"/>
        <v>0</v>
      </c>
      <c r="M113">
        <f t="shared" si="8"/>
        <v>0</v>
      </c>
      <c r="N113" s="119">
        <f t="shared" si="9"/>
        <v>17.010000000000002</v>
      </c>
      <c r="O113" s="119">
        <f t="shared" si="10"/>
        <v>0</v>
      </c>
    </row>
    <row r="114" spans="2:15" ht="25.5" customHeight="1" x14ac:dyDescent="0.25">
      <c r="B114" s="86" t="s">
        <v>205</v>
      </c>
      <c r="C114" s="149" t="s">
        <v>206</v>
      </c>
      <c r="D114" s="82" t="s">
        <v>13</v>
      </c>
      <c r="E114" s="230">
        <v>13.07</v>
      </c>
      <c r="F114" s="88">
        <v>360365</v>
      </c>
      <c r="G114" s="89">
        <f t="shared" si="6"/>
        <v>4709970.55</v>
      </c>
      <c r="H114" s="118" t="str">
        <f t="array" ref="H114:K114">_xlfn.XLOOKUP(B114,'ESAP NEIVA FASE II UNIFICADO'!$B$6:$B$720,'ESAP NEIVA FASE II UNIFICADO'!$C$6:$F$720,"NO ESTA")</f>
        <v>SUMINISTRO E INSTALACIONVENTANAL DOBLE ALTURA LIBRE EN ALUMINIO o similar TIPO V-5 Incluye VIDRIO Referencia SOLARBAN Ver NOTAS GENERALES DE PLANCHA</v>
      </c>
      <c r="I114" t="str">
        <v>M2</v>
      </c>
      <c r="J114">
        <v>13.059999999999999</v>
      </c>
      <c r="K114">
        <v>369778</v>
      </c>
      <c r="L114">
        <f t="shared" si="7"/>
        <v>0</v>
      </c>
      <c r="M114">
        <f t="shared" si="8"/>
        <v>0</v>
      </c>
      <c r="N114" s="119">
        <f t="shared" si="9"/>
        <v>13.07</v>
      </c>
      <c r="O114" s="119">
        <f t="shared" si="10"/>
        <v>0</v>
      </c>
    </row>
    <row r="115" spans="2:15" ht="15" customHeight="1" x14ac:dyDescent="0.25">
      <c r="B115" s="80" t="s">
        <v>207</v>
      </c>
      <c r="C115" s="81" t="s">
        <v>208</v>
      </c>
      <c r="D115" s="82"/>
      <c r="E115" s="230"/>
      <c r="F115" s="90">
        <v>0</v>
      </c>
      <c r="G115" s="89">
        <f t="shared" si="6"/>
        <v>0</v>
      </c>
      <c r="H115" s="118" t="str">
        <f t="array" ref="H115:K115">_xlfn.XLOOKUP(B115,'ESAP NEIVA FASE II UNIFICADO'!$B$6:$B$720,'ESAP NEIVA FASE II UNIFICADO'!$C$6:$F$720,"NO ESTA")</f>
        <v>SUMINISTRO E INSTALACION VENTANALES PISO 2</v>
      </c>
      <c r="I115">
        <v>0</v>
      </c>
      <c r="J115">
        <v>0</v>
      </c>
      <c r="K115">
        <v>0</v>
      </c>
      <c r="L115">
        <f t="shared" si="7"/>
        <v>1</v>
      </c>
      <c r="M115">
        <f t="shared" si="8"/>
        <v>0</v>
      </c>
      <c r="N115" s="119">
        <f t="shared" si="9"/>
        <v>0</v>
      </c>
      <c r="O115" s="119">
        <f t="shared" si="10"/>
        <v>0</v>
      </c>
    </row>
    <row r="116" spans="2:15" ht="25.5" customHeight="1" x14ac:dyDescent="0.25">
      <c r="B116" s="86" t="s">
        <v>209</v>
      </c>
      <c r="C116" s="87" t="s">
        <v>210</v>
      </c>
      <c r="D116" s="82" t="s">
        <v>13</v>
      </c>
      <c r="E116" s="230">
        <v>21.89</v>
      </c>
      <c r="F116" s="88">
        <v>241010</v>
      </c>
      <c r="G116" s="89">
        <f t="shared" si="6"/>
        <v>5275708.9000000004</v>
      </c>
      <c r="H116" s="118" t="str">
        <f t="array" ref="H116:K116">_xlfn.XLOOKUP(B116,'ESAP NEIVA FASE II UNIFICADO'!$B$6:$B$720,'ESAP NEIVA FASE II UNIFICADO'!$C$6:$F$720,"NO ESTA")</f>
        <v>SUMINISTRO E INSTALACION CORTASOL Referencia 84R TIPO CS-1 Ver NOTAS GENERALES DE PLANCHA</v>
      </c>
      <c r="I116" t="str">
        <v>M2</v>
      </c>
      <c r="J116">
        <v>221.89</v>
      </c>
      <c r="K116">
        <v>247305</v>
      </c>
      <c r="L116">
        <f t="shared" si="7"/>
        <v>0</v>
      </c>
      <c r="M116">
        <f t="shared" si="8"/>
        <v>0</v>
      </c>
      <c r="N116" s="119">
        <f t="shared" si="9"/>
        <v>21.89</v>
      </c>
      <c r="O116" s="119">
        <f t="shared" si="10"/>
        <v>0</v>
      </c>
    </row>
    <row r="117" spans="2:15" ht="25.5" customHeight="1" x14ac:dyDescent="0.25">
      <c r="B117" s="86" t="s">
        <v>211</v>
      </c>
      <c r="C117" s="87" t="s">
        <v>200</v>
      </c>
      <c r="D117" s="82" t="s">
        <v>13</v>
      </c>
      <c r="E117" s="230">
        <v>13.48</v>
      </c>
      <c r="F117" s="88">
        <v>303948</v>
      </c>
      <c r="G117" s="89">
        <f t="shared" si="6"/>
        <v>4097219.04</v>
      </c>
      <c r="H117" s="118" t="str">
        <f t="array" ref="H117:K117">_xlfn.XLOOKUP(B117,'ESAP NEIVA FASE II UNIFICADO'!$B$6:$B$720,'ESAP NEIVA FASE II UNIFICADO'!$C$6:$F$720,"NO ESTA")</f>
        <v>SUMINISTRO E INSTALACION VENTANAL INTERIOR EN ALUMINIO o similar TIPO V-0 Incluye VIDRIO Referencia TRASLUCIDO TEMPLADO 10MM Ver NOTAS GENERALES DE PLANCHA</v>
      </c>
      <c r="I117" t="str">
        <v>M2</v>
      </c>
      <c r="J117">
        <v>13.48</v>
      </c>
      <c r="K117">
        <v>311887</v>
      </c>
      <c r="L117">
        <f t="shared" si="7"/>
        <v>0</v>
      </c>
      <c r="M117">
        <f t="shared" si="8"/>
        <v>0</v>
      </c>
      <c r="N117" s="119">
        <f t="shared" si="9"/>
        <v>13.48</v>
      </c>
      <c r="O117" s="119">
        <f t="shared" si="10"/>
        <v>0</v>
      </c>
    </row>
    <row r="118" spans="2:15" ht="25.5" customHeight="1" x14ac:dyDescent="0.25">
      <c r="B118" s="86" t="s">
        <v>212</v>
      </c>
      <c r="C118" s="147" t="s">
        <v>202</v>
      </c>
      <c r="D118" s="82" t="s">
        <v>13</v>
      </c>
      <c r="E118" s="230">
        <v>30.01</v>
      </c>
      <c r="F118" s="88">
        <v>344443</v>
      </c>
      <c r="G118" s="89">
        <f t="shared" si="6"/>
        <v>10336734.43</v>
      </c>
      <c r="H118" s="118" t="str">
        <f t="array" ref="H118:K118">_xlfn.XLOOKUP(B118,'ESAP NEIVA FASE II UNIFICADO'!$B$6:$B$720,'ESAP NEIVA FASE II UNIFICADO'!$C$6:$F$720,"NO ESTA")</f>
        <v>SUMINISTRO E INSTALACION VENTANAL PERFIL 12cm EN ALUMINIO o similar TIPO V-1 Incluye VIDRIO Referencia SOLARBAN Ver NOTAS GENERALES DE PLANCHA</v>
      </c>
      <c r="I118" t="str">
        <v>M2</v>
      </c>
      <c r="J118">
        <v>29.999999999999996</v>
      </c>
      <c r="K118">
        <v>353438</v>
      </c>
      <c r="L118">
        <f t="shared" si="7"/>
        <v>0</v>
      </c>
      <c r="M118">
        <f t="shared" si="8"/>
        <v>0</v>
      </c>
      <c r="N118" s="119">
        <f t="shared" si="9"/>
        <v>30.01</v>
      </c>
      <c r="O118" s="119">
        <f t="shared" si="10"/>
        <v>0</v>
      </c>
    </row>
    <row r="119" spans="2:15" ht="25.5" customHeight="1" x14ac:dyDescent="0.25">
      <c r="B119" s="86" t="s">
        <v>213</v>
      </c>
      <c r="C119" s="149" t="s">
        <v>214</v>
      </c>
      <c r="D119" s="82" t="s">
        <v>13</v>
      </c>
      <c r="E119" s="230">
        <v>63.83</v>
      </c>
      <c r="F119" s="88">
        <v>344443</v>
      </c>
      <c r="G119" s="89">
        <f t="shared" si="6"/>
        <v>21985796.690000001</v>
      </c>
      <c r="H119" s="118" t="str">
        <f t="array" ref="H119:K119">_xlfn.XLOOKUP(B119,'ESAP NEIVA FASE II UNIFICADO'!$B$6:$B$720,'ESAP NEIVA FASE II UNIFICADO'!$C$6:$F$720,"NO ESTA")</f>
        <v>SUMINISTRO E INSTALACION VENTANAL PERFIL 12cm  AULAS COMPLETO EN ALUMINIO o similar TIPO V-2 Incluye VIDRIO Referencia SOLARBAN Ver NOTAS GENERALES DE PLANCHA</v>
      </c>
      <c r="I119" t="str">
        <v>M2</v>
      </c>
      <c r="J119">
        <v>78.760000000000005</v>
      </c>
      <c r="K119">
        <v>353438</v>
      </c>
      <c r="L119">
        <f t="shared" si="7"/>
        <v>0</v>
      </c>
      <c r="M119">
        <f t="shared" si="8"/>
        <v>0</v>
      </c>
      <c r="N119" s="119">
        <f t="shared" si="9"/>
        <v>63.83</v>
      </c>
      <c r="O119" s="119">
        <f t="shared" si="10"/>
        <v>0</v>
      </c>
    </row>
    <row r="120" spans="2:15" ht="25.5" customHeight="1" x14ac:dyDescent="0.25">
      <c r="B120" s="86" t="s">
        <v>215</v>
      </c>
      <c r="C120" s="149" t="s">
        <v>216</v>
      </c>
      <c r="D120" s="82" t="s">
        <v>13</v>
      </c>
      <c r="E120" s="230">
        <v>7.99</v>
      </c>
      <c r="F120" s="88">
        <v>357587</v>
      </c>
      <c r="G120" s="89">
        <f t="shared" si="6"/>
        <v>2857120.13</v>
      </c>
      <c r="H120" s="118" t="str">
        <f t="array" ref="H120:K120">_xlfn.XLOOKUP(B120,'ESAP NEIVA FASE II UNIFICADO'!$B$6:$B$720,'ESAP NEIVA FASE II UNIFICADO'!$C$6:$F$720,"NO ESTA")</f>
        <v>SUMINISTRO E INSTALACION VENTANAL PERFIL 15cm EN ALUMINIO o similar TIPO V-3 Incluye VIDRIO Referencia SOLARBAN Ver NOTAS GENERALES DE PLANCHA</v>
      </c>
      <c r="I120" t="str">
        <v>M2</v>
      </c>
      <c r="J120">
        <v>78.989999999999995</v>
      </c>
      <c r="K120">
        <v>366927</v>
      </c>
      <c r="L120">
        <f t="shared" si="7"/>
        <v>0</v>
      </c>
      <c r="M120">
        <f t="shared" si="8"/>
        <v>0</v>
      </c>
      <c r="N120" s="119">
        <f t="shared" si="9"/>
        <v>7.99</v>
      </c>
      <c r="O120" s="119">
        <f t="shared" si="10"/>
        <v>0</v>
      </c>
    </row>
    <row r="121" spans="2:15" ht="25.5" customHeight="1" x14ac:dyDescent="0.25">
      <c r="B121" s="86" t="s">
        <v>217</v>
      </c>
      <c r="C121" s="149" t="s">
        <v>218</v>
      </c>
      <c r="D121" s="82" t="s">
        <v>13</v>
      </c>
      <c r="E121" s="230">
        <v>11.76</v>
      </c>
      <c r="F121" s="88">
        <v>360365</v>
      </c>
      <c r="G121" s="89">
        <f t="shared" si="6"/>
        <v>4237892.4000000004</v>
      </c>
      <c r="H121" s="118" t="str">
        <f t="array" ref="H121:K121">_xlfn.XLOOKUP(B121,'ESAP NEIVA FASE II UNIFICADO'!$B$6:$B$720,'ESAP NEIVA FASE II UNIFICADO'!$C$6:$F$720,"NO ESTA")</f>
        <v>SUMINISTRO E INSTALACION VENTANAL DOBLE ALTURA LIBRE EN ALUMINIO o similar TIPO V-5 Incluye VIDRIO Referencia SOLARBAN Ver NOTAS GENERALES DE PLANCHA</v>
      </c>
      <c r="I121" t="str">
        <v>M2</v>
      </c>
      <c r="J121">
        <v>11.76</v>
      </c>
      <c r="K121">
        <v>369778</v>
      </c>
      <c r="L121">
        <f t="shared" si="7"/>
        <v>0</v>
      </c>
      <c r="M121">
        <f t="shared" si="8"/>
        <v>0</v>
      </c>
      <c r="N121" s="119">
        <f t="shared" si="9"/>
        <v>11.76</v>
      </c>
      <c r="O121" s="119">
        <f t="shared" si="10"/>
        <v>0</v>
      </c>
    </row>
    <row r="122" spans="2:15" ht="25.5" customHeight="1" x14ac:dyDescent="0.25">
      <c r="B122" s="86" t="s">
        <v>219</v>
      </c>
      <c r="C122" s="150" t="s">
        <v>220</v>
      </c>
      <c r="D122" s="82" t="s">
        <v>13</v>
      </c>
      <c r="E122" s="230">
        <v>10.72</v>
      </c>
      <c r="F122" s="88">
        <v>401495</v>
      </c>
      <c r="G122" s="89">
        <f t="shared" si="6"/>
        <v>4304026.4000000004</v>
      </c>
      <c r="H122" s="118" t="str">
        <f t="array" ref="H122:K122">_xlfn.XLOOKUP(B122,'ESAP NEIVA FASE II UNIFICADO'!$B$6:$B$720,'ESAP NEIVA FASE II UNIFICADO'!$C$6:$F$720,"NO ESTA")</f>
        <v>SUMINISTRO E INSTALACION VENTANAL INTERIOR PERFIL 15cm SALONES EN ALUMINIO o similar TIPO V-6Incluye VIDRIO Referencia TRASLUCIDO TEMPLADO 10MM Ver NOTAS GENERALES DE PLANCHA</v>
      </c>
      <c r="I122" t="str">
        <v>M2</v>
      </c>
      <c r="J122">
        <v>15.659999999999998</v>
      </c>
      <c r="K122">
        <v>411981</v>
      </c>
      <c r="L122">
        <f t="shared" si="7"/>
        <v>0</v>
      </c>
      <c r="M122">
        <f t="shared" si="8"/>
        <v>0</v>
      </c>
      <c r="N122" s="119">
        <f t="shared" si="9"/>
        <v>10.72</v>
      </c>
      <c r="O122" s="119">
        <f t="shared" si="10"/>
        <v>0</v>
      </c>
    </row>
    <row r="123" spans="2:15" ht="17.25" customHeight="1" x14ac:dyDescent="0.25">
      <c r="B123" s="74">
        <v>9</v>
      </c>
      <c r="C123" s="75" t="s">
        <v>221</v>
      </c>
      <c r="D123" s="76"/>
      <c r="E123" s="229"/>
      <c r="F123" s="78">
        <v>0</v>
      </c>
      <c r="G123" s="89">
        <f t="shared" si="6"/>
        <v>0</v>
      </c>
      <c r="H123" s="118" t="str">
        <f t="array" ref="H123:K123">_xlfn.XLOOKUP(B123,'ESAP NEIVA FASE II UNIFICADO'!$B$6:$B$720,'ESAP NEIVA FASE II UNIFICADO'!$C$6:$F$720,"NO ESTA")</f>
        <v>PUERTAS</v>
      </c>
      <c r="I123">
        <v>0</v>
      </c>
      <c r="J123">
        <v>0</v>
      </c>
      <c r="K123">
        <v>0</v>
      </c>
      <c r="L123">
        <f t="shared" si="7"/>
        <v>1</v>
      </c>
      <c r="M123">
        <f t="shared" si="8"/>
        <v>0</v>
      </c>
      <c r="N123" s="119">
        <f t="shared" si="9"/>
        <v>0</v>
      </c>
      <c r="O123" s="119">
        <f t="shared" si="10"/>
        <v>0</v>
      </c>
    </row>
    <row r="124" spans="2:15" ht="15" customHeight="1" x14ac:dyDescent="0.25">
      <c r="B124" s="80" t="s">
        <v>222</v>
      </c>
      <c r="C124" s="81" t="s">
        <v>223</v>
      </c>
      <c r="D124" s="82"/>
      <c r="E124" s="230"/>
      <c r="F124" s="90">
        <v>0</v>
      </c>
      <c r="G124" s="89">
        <f t="shared" si="6"/>
        <v>0</v>
      </c>
      <c r="H124" s="118" t="str">
        <f t="array" ref="H124:K124">_xlfn.XLOOKUP(B124,'ESAP NEIVA FASE II UNIFICADO'!$B$6:$B$720,'ESAP NEIVA FASE II UNIFICADO'!$C$6:$F$720,"NO ESTA")</f>
        <v>SUMINISTRO E INSTALACIÓN PUERTAS SEMISOTANO</v>
      </c>
      <c r="I124">
        <v>0</v>
      </c>
      <c r="J124">
        <v>0</v>
      </c>
      <c r="K124">
        <v>0</v>
      </c>
      <c r="L124">
        <f t="shared" si="7"/>
        <v>1</v>
      </c>
      <c r="M124">
        <f t="shared" si="8"/>
        <v>0</v>
      </c>
      <c r="N124" s="119">
        <f t="shared" si="9"/>
        <v>0</v>
      </c>
      <c r="O124" s="119">
        <f t="shared" si="10"/>
        <v>0</v>
      </c>
    </row>
    <row r="125" spans="2:15" ht="25.5" customHeight="1" x14ac:dyDescent="0.25">
      <c r="B125" s="86" t="s">
        <v>224</v>
      </c>
      <c r="C125" s="87" t="s">
        <v>225</v>
      </c>
      <c r="D125" s="82" t="s">
        <v>13</v>
      </c>
      <c r="E125" s="230">
        <v>4.4000000000000004</v>
      </c>
      <c r="F125" s="88">
        <v>1346813</v>
      </c>
      <c r="G125" s="89">
        <f t="shared" si="6"/>
        <v>5925977.2000000002</v>
      </c>
      <c r="H125" s="118" t="str">
        <f t="array" ref="H125:K125">_xlfn.XLOOKUP(B125,'ESAP NEIVA FASE II UNIFICADO'!$B$6:$B$720,'ESAP NEIVA FASE II UNIFICADO'!$C$6:$F$720,"NO ESTA")</f>
        <v>SUMINISTRO E INSTALACION PUERTA DE EVACUACIÓN TIPO P-1 Ver NOTAS GENERALES DE PLANCHA</v>
      </c>
      <c r="I125" t="str">
        <v>M2</v>
      </c>
      <c r="J125">
        <v>0</v>
      </c>
      <c r="K125">
        <v>1381990</v>
      </c>
      <c r="L125">
        <f t="shared" si="7"/>
        <v>1</v>
      </c>
      <c r="M125">
        <f t="shared" si="8"/>
        <v>1346813</v>
      </c>
      <c r="N125" s="119">
        <f t="shared" si="9"/>
        <v>4.4000000000000004</v>
      </c>
      <c r="O125" s="119">
        <f t="shared" si="10"/>
        <v>5925977.2000000002</v>
      </c>
    </row>
    <row r="126" spans="2:15" ht="25.5" customHeight="1" x14ac:dyDescent="0.25">
      <c r="B126" s="86" t="s">
        <v>226</v>
      </c>
      <c r="C126" s="87" t="s">
        <v>227</v>
      </c>
      <c r="D126" s="82" t="s">
        <v>13</v>
      </c>
      <c r="E126" s="230">
        <v>15.12</v>
      </c>
      <c r="F126" s="88">
        <v>128200</v>
      </c>
      <c r="G126" s="89">
        <f t="shared" si="6"/>
        <v>1938384</v>
      </c>
      <c r="H126" s="118" t="str">
        <f t="array" ref="H126:K126">_xlfn.XLOOKUP(B126,'ESAP NEIVA FASE II UNIFICADO'!$B$6:$B$720,'ESAP NEIVA FASE II UNIFICADO'!$C$6:$F$720,"NO ESTA")</f>
        <v>SUMINISTRO E INSTALACION PUERTA METALICA DEPOSITOS TIPO P-2 Ver NOTAS GENERALES DE PLANCHA</v>
      </c>
      <c r="I126" t="str">
        <v>M2</v>
      </c>
      <c r="J126">
        <v>0</v>
      </c>
      <c r="K126">
        <v>131548</v>
      </c>
      <c r="L126">
        <f t="shared" si="7"/>
        <v>1</v>
      </c>
      <c r="M126">
        <f t="shared" si="8"/>
        <v>128200</v>
      </c>
      <c r="N126" s="119">
        <f t="shared" si="9"/>
        <v>15.12</v>
      </c>
      <c r="O126" s="119">
        <f t="shared" si="10"/>
        <v>1938384</v>
      </c>
    </row>
    <row r="127" spans="2:15" ht="25.5" customHeight="1" x14ac:dyDescent="0.25">
      <c r="B127" s="86" t="s">
        <v>228</v>
      </c>
      <c r="C127" s="87" t="s">
        <v>229</v>
      </c>
      <c r="D127" s="82" t="s">
        <v>13</v>
      </c>
      <c r="E127" s="230">
        <v>33.6</v>
      </c>
      <c r="F127" s="88">
        <v>150759</v>
      </c>
      <c r="G127" s="89">
        <f t="shared" si="6"/>
        <v>5065502.4000000004</v>
      </c>
      <c r="H127" s="118" t="str">
        <f t="array" ref="H127:K127">_xlfn.XLOOKUP(B127,'ESAP NEIVA FASE II UNIFICADO'!$B$6:$B$720,'ESAP NEIVA FASE II UNIFICADO'!$C$6:$F$720,"NO ESTA")</f>
        <v>SUMINISTRO E INSTALACION PUERTA METALICA DOBLE HOJA TIPO P-7 Ver NOTAS GENERALES DE PLANCHA</v>
      </c>
      <c r="I127" t="str">
        <v>M2</v>
      </c>
      <c r="J127">
        <v>0</v>
      </c>
      <c r="K127">
        <v>154697</v>
      </c>
      <c r="L127">
        <f t="shared" si="7"/>
        <v>1</v>
      </c>
      <c r="M127">
        <f t="shared" si="8"/>
        <v>150759</v>
      </c>
      <c r="N127" s="119">
        <f t="shared" si="9"/>
        <v>33.6</v>
      </c>
      <c r="O127" s="119">
        <f t="shared" si="10"/>
        <v>5065502.4000000004</v>
      </c>
    </row>
    <row r="128" spans="2:15" ht="25.5" customHeight="1" x14ac:dyDescent="0.25">
      <c r="B128" s="86" t="s">
        <v>230</v>
      </c>
      <c r="C128" s="87" t="s">
        <v>231</v>
      </c>
      <c r="D128" s="82" t="s">
        <v>13</v>
      </c>
      <c r="E128" s="230">
        <v>15.84</v>
      </c>
      <c r="F128" s="88">
        <v>245793</v>
      </c>
      <c r="G128" s="89">
        <f t="shared" si="6"/>
        <v>3893361.12</v>
      </c>
      <c r="H128" s="118" t="str">
        <f t="array" ref="H128:K128">_xlfn.XLOOKUP(B128,'ESAP NEIVA FASE II UNIFICADO'!$B$6:$B$720,'ESAP NEIVA FASE II UNIFICADO'!$C$6:$F$720,"NO ESTA")</f>
        <v>SUMINISTRO E INSTALACION PUERTA GARAJE  TIPO P-9 Ver NOTAS GENERALES DE PLANCHA</v>
      </c>
      <c r="I128" t="str">
        <v>M2</v>
      </c>
      <c r="J128">
        <v>0</v>
      </c>
      <c r="K128">
        <v>252212</v>
      </c>
      <c r="L128">
        <f t="shared" si="7"/>
        <v>1</v>
      </c>
      <c r="M128">
        <f t="shared" si="8"/>
        <v>245793</v>
      </c>
      <c r="N128" s="119">
        <f t="shared" si="9"/>
        <v>15.84</v>
      </c>
      <c r="O128" s="119">
        <f t="shared" si="10"/>
        <v>3893361.12</v>
      </c>
    </row>
    <row r="129" spans="2:15" ht="15" customHeight="1" x14ac:dyDescent="0.25">
      <c r="B129" s="80" t="s">
        <v>232</v>
      </c>
      <c r="C129" s="81" t="s">
        <v>233</v>
      </c>
      <c r="D129" s="82"/>
      <c r="E129" s="230"/>
      <c r="F129" s="90">
        <v>0</v>
      </c>
      <c r="G129" s="89">
        <f t="shared" si="6"/>
        <v>0</v>
      </c>
      <c r="H129" s="118" t="str">
        <f t="array" ref="H129:K129">_xlfn.XLOOKUP(B129,'ESAP NEIVA FASE II UNIFICADO'!$B$6:$B$720,'ESAP NEIVA FASE II UNIFICADO'!$C$6:$F$720,"NO ESTA")</f>
        <v>SUMINISTRO E INSTALACIÓN PUERTAS PISO 1</v>
      </c>
      <c r="I129">
        <v>0</v>
      </c>
      <c r="J129">
        <v>0</v>
      </c>
      <c r="K129">
        <v>0</v>
      </c>
      <c r="L129">
        <f t="shared" si="7"/>
        <v>1</v>
      </c>
      <c r="M129">
        <f t="shared" si="8"/>
        <v>0</v>
      </c>
      <c r="N129" s="119">
        <f t="shared" si="9"/>
        <v>0</v>
      </c>
      <c r="O129" s="119">
        <f t="shared" si="10"/>
        <v>0</v>
      </c>
    </row>
    <row r="130" spans="2:15" ht="25.5" customHeight="1" x14ac:dyDescent="0.25">
      <c r="B130" s="86" t="s">
        <v>234</v>
      </c>
      <c r="C130" s="87" t="s">
        <v>225</v>
      </c>
      <c r="D130" s="82" t="s">
        <v>13</v>
      </c>
      <c r="E130" s="230">
        <v>4.4000000000000004</v>
      </c>
      <c r="F130" s="88">
        <v>1346813</v>
      </c>
      <c r="G130" s="89">
        <f t="shared" si="6"/>
        <v>5925977.2000000002</v>
      </c>
      <c r="H130" s="118" t="str">
        <f t="array" ref="H130:K130">_xlfn.XLOOKUP(B130,'ESAP NEIVA FASE II UNIFICADO'!$B$6:$B$720,'ESAP NEIVA FASE II UNIFICADO'!$C$6:$F$720,"NO ESTA")</f>
        <v>SUMINISTRO E INSTALACION PUERTA DE EVACUACIÓN TIPO P-1 Ver NOTAS GENERALES DE PLANCHA</v>
      </c>
      <c r="I130" t="str">
        <v>M2</v>
      </c>
      <c r="J130">
        <v>0</v>
      </c>
      <c r="K130">
        <v>1381990</v>
      </c>
      <c r="L130">
        <f t="shared" si="7"/>
        <v>1</v>
      </c>
      <c r="M130">
        <f t="shared" si="8"/>
        <v>1346813</v>
      </c>
      <c r="N130" s="119">
        <f t="shared" si="9"/>
        <v>4.4000000000000004</v>
      </c>
      <c r="O130" s="119">
        <f t="shared" si="10"/>
        <v>5925977.2000000002</v>
      </c>
    </row>
    <row r="131" spans="2:15" ht="25.5" customHeight="1" x14ac:dyDescent="0.25">
      <c r="B131" s="86" t="s">
        <v>235</v>
      </c>
      <c r="C131" s="87" t="s">
        <v>227</v>
      </c>
      <c r="D131" s="82" t="s">
        <v>13</v>
      </c>
      <c r="E131" s="230">
        <v>12.96</v>
      </c>
      <c r="F131" s="88">
        <v>128200</v>
      </c>
      <c r="G131" s="89">
        <f t="shared" si="6"/>
        <v>1661472</v>
      </c>
      <c r="H131" s="118" t="str">
        <f t="array" ref="H131:K131">_xlfn.XLOOKUP(B131,'ESAP NEIVA FASE II UNIFICADO'!$B$6:$B$720,'ESAP NEIVA FASE II UNIFICADO'!$C$6:$F$720,"NO ESTA")</f>
        <v>SUMINISTRO E INSTALACION PUERTA METALICA DEPOSITOS TIPO P-2 Ver NOTAS GENERALES DE PLANCHA</v>
      </c>
      <c r="I131" t="str">
        <v>M2</v>
      </c>
      <c r="J131">
        <v>0</v>
      </c>
      <c r="K131">
        <v>131548</v>
      </c>
      <c r="L131">
        <f t="shared" si="7"/>
        <v>1</v>
      </c>
      <c r="M131">
        <f t="shared" si="8"/>
        <v>128200</v>
      </c>
      <c r="N131" s="119">
        <f t="shared" si="9"/>
        <v>12.96</v>
      </c>
      <c r="O131" s="119">
        <f t="shared" si="10"/>
        <v>1661472</v>
      </c>
    </row>
    <row r="132" spans="2:15" ht="25.5" customHeight="1" x14ac:dyDescent="0.25">
      <c r="B132" s="86" t="s">
        <v>236</v>
      </c>
      <c r="C132" s="87" t="s">
        <v>237</v>
      </c>
      <c r="D132" s="82" t="s">
        <v>13</v>
      </c>
      <c r="E132" s="230">
        <v>2.4</v>
      </c>
      <c r="F132" s="88">
        <v>712932</v>
      </c>
      <c r="G132" s="89">
        <f t="shared" si="6"/>
        <v>1711036.8</v>
      </c>
      <c r="H132" s="118" t="str">
        <f t="array" ref="H132:K132">_xlfn.XLOOKUP(B132,'ESAP NEIVA FASE II UNIFICADO'!$B$6:$B$720,'ESAP NEIVA FASE II UNIFICADO'!$C$6:$F$720,"NO ESTA")</f>
        <v>SUMINISTRO E INSTALACION PUERTA DIVISORIA DE MADERA TIPO P-3 Ver NOTAS GENERALES DE PLANCHA</v>
      </c>
      <c r="I132" t="str">
        <v>M2</v>
      </c>
      <c r="J132">
        <v>0</v>
      </c>
      <c r="K132">
        <v>731553</v>
      </c>
      <c r="L132">
        <f t="shared" si="7"/>
        <v>1</v>
      </c>
      <c r="M132">
        <f t="shared" si="8"/>
        <v>712932</v>
      </c>
      <c r="N132" s="119">
        <f t="shared" si="9"/>
        <v>2.4</v>
      </c>
      <c r="O132" s="119">
        <f t="shared" si="10"/>
        <v>1711036.8</v>
      </c>
    </row>
    <row r="133" spans="2:15" ht="25.5" customHeight="1" x14ac:dyDescent="0.25">
      <c r="B133" s="86" t="s">
        <v>238</v>
      </c>
      <c r="C133" s="87" t="s">
        <v>239</v>
      </c>
      <c r="D133" s="82" t="s">
        <v>13</v>
      </c>
      <c r="E133" s="230">
        <v>12.96</v>
      </c>
      <c r="F133" s="88">
        <v>712932</v>
      </c>
      <c r="G133" s="89">
        <f t="shared" si="6"/>
        <v>9239598.7200000007</v>
      </c>
      <c r="H133" s="118" t="str">
        <f t="array" ref="H133:K133">_xlfn.XLOOKUP(B133,'ESAP NEIVA FASE II UNIFICADO'!$B$6:$B$720,'ESAP NEIVA FASE II UNIFICADO'!$C$6:$F$720,"NO ESTA")</f>
        <v>SUMINISTRO E INSTALACION PUERTA DIVISORIA DE MADERA TIPO P-4 Ver NOTAS GENERALES DE PLANCHA</v>
      </c>
      <c r="I133" t="str">
        <v>M2</v>
      </c>
      <c r="J133">
        <v>0</v>
      </c>
      <c r="K133">
        <v>731553</v>
      </c>
      <c r="L133">
        <f t="shared" si="7"/>
        <v>1</v>
      </c>
      <c r="M133">
        <f t="shared" si="8"/>
        <v>712932</v>
      </c>
      <c r="N133" s="119">
        <f t="shared" si="9"/>
        <v>12.96</v>
      </c>
      <c r="O133" s="119">
        <f t="shared" si="10"/>
        <v>9239598.7200000007</v>
      </c>
    </row>
    <row r="134" spans="2:15" ht="25.5" customHeight="1" x14ac:dyDescent="0.25">
      <c r="B134" s="86" t="s">
        <v>240</v>
      </c>
      <c r="C134" s="87" t="s">
        <v>241</v>
      </c>
      <c r="D134" s="82" t="s">
        <v>13</v>
      </c>
      <c r="E134" s="230">
        <v>5.76</v>
      </c>
      <c r="F134" s="88">
        <v>712932</v>
      </c>
      <c r="G134" s="89">
        <f t="shared" ref="G134:G197" si="11">ROUND(+F134*E134,2)</f>
        <v>4106488.32</v>
      </c>
      <c r="H134" s="118" t="str">
        <f t="array" ref="H134:K134">_xlfn.XLOOKUP(B134,'ESAP NEIVA FASE II UNIFICADO'!$B$6:$B$720,'ESAP NEIVA FASE II UNIFICADO'!$C$6:$F$720,"NO ESTA")</f>
        <v>SUMINISTRO E INSTALACION PUERTA DIVISORIA DE MADERA TIPO P-5 Ver NOTAS GENERALES DE PLANCHA</v>
      </c>
      <c r="I134" t="str">
        <v>M2</v>
      </c>
      <c r="J134">
        <v>0</v>
      </c>
      <c r="K134">
        <v>731553</v>
      </c>
      <c r="L134">
        <f t="shared" si="7"/>
        <v>1</v>
      </c>
      <c r="M134">
        <f t="shared" si="8"/>
        <v>712932</v>
      </c>
      <c r="N134" s="119">
        <f t="shared" si="9"/>
        <v>5.76</v>
      </c>
      <c r="O134" s="119">
        <f t="shared" si="10"/>
        <v>4106488.32</v>
      </c>
    </row>
    <row r="135" spans="2:15" ht="25.5" customHeight="1" x14ac:dyDescent="0.25">
      <c r="B135" s="86" t="s">
        <v>242</v>
      </c>
      <c r="C135" s="87" t="s">
        <v>229</v>
      </c>
      <c r="D135" s="82" t="s">
        <v>13</v>
      </c>
      <c r="E135" s="230">
        <v>4.8</v>
      </c>
      <c r="F135" s="88">
        <v>150759</v>
      </c>
      <c r="G135" s="89">
        <f t="shared" si="11"/>
        <v>723643.2</v>
      </c>
      <c r="H135" s="118" t="str">
        <f t="array" ref="H135:K135">_xlfn.XLOOKUP(B135,'ESAP NEIVA FASE II UNIFICADO'!$B$6:$B$720,'ESAP NEIVA FASE II UNIFICADO'!$C$6:$F$720,"NO ESTA")</f>
        <v>SUMINISTRO E INSTALACION PUERTA METALICA DOBLE HOJA TIPO P-7 Ver NOTAS GENERALES DE PLANCHA</v>
      </c>
      <c r="I135" t="str">
        <v>M2</v>
      </c>
      <c r="J135">
        <v>0</v>
      </c>
      <c r="K135">
        <v>154697</v>
      </c>
      <c r="L135">
        <f t="shared" si="7"/>
        <v>1</v>
      </c>
      <c r="M135">
        <f t="shared" si="8"/>
        <v>150759</v>
      </c>
      <c r="N135" s="119">
        <f t="shared" si="9"/>
        <v>4.8</v>
      </c>
      <c r="O135" s="119">
        <f t="shared" si="10"/>
        <v>723643.2</v>
      </c>
    </row>
    <row r="136" spans="2:15" ht="25.5" customHeight="1" x14ac:dyDescent="0.25">
      <c r="B136" s="86" t="s">
        <v>243</v>
      </c>
      <c r="C136" s="87" t="s">
        <v>244</v>
      </c>
      <c r="D136" s="82" t="s">
        <v>13</v>
      </c>
      <c r="E136" s="230">
        <v>24.8</v>
      </c>
      <c r="F136" s="88">
        <v>565064</v>
      </c>
      <c r="G136" s="89">
        <f t="shared" si="11"/>
        <v>14013587.199999999</v>
      </c>
      <c r="H136" s="118" t="str">
        <f t="array" ref="H136:K136">_xlfn.XLOOKUP(B136,'ESAP NEIVA FASE II UNIFICADO'!$B$6:$B$720,'ESAP NEIVA FASE II UNIFICADO'!$C$6:$F$720,"NO ESTA")</f>
        <v>SUMINISTRO E INSTALACION PUERTA DIVISORIA EN VIDRIO TIPO PV1 Ver NOTAS GENERALES DE PLANCHA</v>
      </c>
      <c r="I136" t="str">
        <v>M2</v>
      </c>
      <c r="J136">
        <v>0</v>
      </c>
      <c r="K136">
        <v>579822</v>
      </c>
      <c r="L136">
        <f t="shared" si="7"/>
        <v>1</v>
      </c>
      <c r="M136">
        <f t="shared" si="8"/>
        <v>565064</v>
      </c>
      <c r="N136" s="119">
        <f t="shared" si="9"/>
        <v>24.8</v>
      </c>
      <c r="O136" s="119">
        <f t="shared" si="10"/>
        <v>14013587.199999999</v>
      </c>
    </row>
    <row r="137" spans="2:15" ht="15" customHeight="1" x14ac:dyDescent="0.25">
      <c r="B137" s="80" t="s">
        <v>245</v>
      </c>
      <c r="C137" s="81" t="s">
        <v>246</v>
      </c>
      <c r="D137" s="82"/>
      <c r="E137" s="230"/>
      <c r="F137" s="90">
        <v>0</v>
      </c>
      <c r="G137" s="89">
        <f t="shared" si="11"/>
        <v>0</v>
      </c>
      <c r="H137" s="118" t="str">
        <f t="array" ref="H137:K137">_xlfn.XLOOKUP(B137,'ESAP NEIVA FASE II UNIFICADO'!$B$6:$B$720,'ESAP NEIVA FASE II UNIFICADO'!$C$6:$F$720,"NO ESTA")</f>
        <v>SUMINISTRO E INSTALACIÓN PUERTAS PISO 2</v>
      </c>
      <c r="I137">
        <v>0</v>
      </c>
      <c r="J137">
        <v>0</v>
      </c>
      <c r="K137">
        <v>0</v>
      </c>
      <c r="L137">
        <f t="shared" si="7"/>
        <v>1</v>
      </c>
      <c r="M137">
        <f t="shared" si="8"/>
        <v>0</v>
      </c>
      <c r="N137" s="119">
        <f t="shared" si="9"/>
        <v>0</v>
      </c>
      <c r="O137" s="119">
        <f t="shared" si="10"/>
        <v>0</v>
      </c>
    </row>
    <row r="138" spans="2:15" ht="25.5" customHeight="1" x14ac:dyDescent="0.25">
      <c r="B138" s="86" t="s">
        <v>247</v>
      </c>
      <c r="C138" s="87" t="s">
        <v>225</v>
      </c>
      <c r="D138" s="82" t="s">
        <v>13</v>
      </c>
      <c r="E138" s="230">
        <v>2.2000000000000002</v>
      </c>
      <c r="F138" s="88">
        <v>1346813</v>
      </c>
      <c r="G138" s="89">
        <f t="shared" si="11"/>
        <v>2962988.6</v>
      </c>
      <c r="H138" s="118" t="str">
        <f t="array" ref="H138:K138">_xlfn.XLOOKUP(B138,'ESAP NEIVA FASE II UNIFICADO'!$B$6:$B$720,'ESAP NEIVA FASE II UNIFICADO'!$C$6:$F$720,"NO ESTA")</f>
        <v>SUMINISTRO E INSTALACION PUERTA DE EVACUACIÓN TIPO P-1 Ver NOTAS GENERALES DE PLANCHA</v>
      </c>
      <c r="I138" t="str">
        <v>M2</v>
      </c>
      <c r="J138">
        <v>2.2000000000000002</v>
      </c>
      <c r="K138">
        <v>1381990</v>
      </c>
      <c r="L138">
        <f t="shared" ref="L138:L201" si="12">+IF(J138&gt;0,0,1)</f>
        <v>0</v>
      </c>
      <c r="M138">
        <f t="shared" ref="M138:M201" si="13">IF(L138=1,F138,0)</f>
        <v>0</v>
      </c>
      <c r="N138" s="119">
        <f t="shared" ref="N138:N201" si="14">E138</f>
        <v>2.2000000000000002</v>
      </c>
      <c r="O138" s="119">
        <f t="shared" si="10"/>
        <v>0</v>
      </c>
    </row>
    <row r="139" spans="2:15" ht="25.5" customHeight="1" x14ac:dyDescent="0.25">
      <c r="B139" s="86" t="s">
        <v>248</v>
      </c>
      <c r="C139" s="87" t="s">
        <v>227</v>
      </c>
      <c r="D139" s="82" t="s">
        <v>13</v>
      </c>
      <c r="E139" s="230">
        <v>2.16</v>
      </c>
      <c r="F139" s="88">
        <v>128200</v>
      </c>
      <c r="G139" s="89">
        <f t="shared" si="11"/>
        <v>276912</v>
      </c>
      <c r="H139" s="118" t="str">
        <f t="array" ref="H139:K139">_xlfn.XLOOKUP(B139,'ESAP NEIVA FASE II UNIFICADO'!$B$6:$B$720,'ESAP NEIVA FASE II UNIFICADO'!$C$6:$F$720,"NO ESTA")</f>
        <v>SUMINISTRO E INSTALACION PUERTA METALICA DEPOSITOS TIPO P-2 Ver NOTAS GENERALES DE PLANCHA</v>
      </c>
      <c r="I139" t="str">
        <v>M2</v>
      </c>
      <c r="J139">
        <v>2.16</v>
      </c>
      <c r="K139">
        <v>131548</v>
      </c>
      <c r="L139">
        <f t="shared" si="12"/>
        <v>0</v>
      </c>
      <c r="M139">
        <f t="shared" si="13"/>
        <v>0</v>
      </c>
      <c r="N139" s="119">
        <f t="shared" si="14"/>
        <v>2.16</v>
      </c>
      <c r="O139" s="119">
        <f t="shared" ref="O139:O202" si="15">ROUND(M139*N139,2)</f>
        <v>0</v>
      </c>
    </row>
    <row r="140" spans="2:15" ht="25.5" customHeight="1" x14ac:dyDescent="0.25">
      <c r="B140" s="86" t="s">
        <v>249</v>
      </c>
      <c r="C140" s="87" t="s">
        <v>237</v>
      </c>
      <c r="D140" s="82" t="s">
        <v>13</v>
      </c>
      <c r="E140" s="230">
        <v>4.8</v>
      </c>
      <c r="F140" s="88">
        <v>712932</v>
      </c>
      <c r="G140" s="89">
        <f t="shared" si="11"/>
        <v>3422073.6</v>
      </c>
      <c r="H140" s="118" t="str">
        <f t="array" ref="H140:K140">_xlfn.XLOOKUP(B140,'ESAP NEIVA FASE II UNIFICADO'!$B$6:$B$720,'ESAP NEIVA FASE II UNIFICADO'!$C$6:$F$720,"NO ESTA")</f>
        <v>SUMINISTRO E INSTALACION PUERTA DIVISORIA DE MADERA TIPO P-3 Ver NOTAS GENERALES DE PLANCHA</v>
      </c>
      <c r="I140" t="str">
        <v>M2</v>
      </c>
      <c r="J140">
        <v>4.8</v>
      </c>
      <c r="K140">
        <v>731553</v>
      </c>
      <c r="L140">
        <f t="shared" si="12"/>
        <v>0</v>
      </c>
      <c r="M140">
        <f t="shared" si="13"/>
        <v>0</v>
      </c>
      <c r="N140" s="119">
        <f t="shared" si="14"/>
        <v>4.8</v>
      </c>
      <c r="O140" s="119">
        <f t="shared" si="15"/>
        <v>0</v>
      </c>
    </row>
    <row r="141" spans="2:15" ht="25.5" customHeight="1" x14ac:dyDescent="0.25">
      <c r="B141" s="86" t="s">
        <v>250</v>
      </c>
      <c r="C141" s="87" t="s">
        <v>239</v>
      </c>
      <c r="D141" s="82" t="s">
        <v>13</v>
      </c>
      <c r="E141" s="230">
        <v>2.16</v>
      </c>
      <c r="F141" s="88">
        <v>712932</v>
      </c>
      <c r="G141" s="89">
        <f t="shared" si="11"/>
        <v>1539933.12</v>
      </c>
      <c r="H141" s="118" t="str">
        <f t="array" ref="H141:K141">_xlfn.XLOOKUP(B141,'ESAP NEIVA FASE II UNIFICADO'!$B$6:$B$720,'ESAP NEIVA FASE II UNIFICADO'!$C$6:$F$720,"NO ESTA")</f>
        <v>SUMINISTRO E INSTALACION PUERTA DIVISORIA DE MADERA TIPO P-4 Ver NOTAS GENERALES DE PLANCHA</v>
      </c>
      <c r="I141" t="str">
        <v>M2</v>
      </c>
      <c r="J141">
        <v>2.16</v>
      </c>
      <c r="K141">
        <v>731553</v>
      </c>
      <c r="L141">
        <f t="shared" si="12"/>
        <v>0</v>
      </c>
      <c r="M141">
        <f t="shared" si="13"/>
        <v>0</v>
      </c>
      <c r="N141" s="119">
        <f t="shared" si="14"/>
        <v>2.16</v>
      </c>
      <c r="O141" s="119">
        <f t="shared" si="15"/>
        <v>0</v>
      </c>
    </row>
    <row r="142" spans="2:15" ht="25.5" customHeight="1" x14ac:dyDescent="0.25">
      <c r="B142" s="86" t="s">
        <v>251</v>
      </c>
      <c r="C142" s="87" t="s">
        <v>241</v>
      </c>
      <c r="D142" s="82" t="s">
        <v>13</v>
      </c>
      <c r="E142" s="230">
        <v>2.88</v>
      </c>
      <c r="F142" s="88">
        <v>712932</v>
      </c>
      <c r="G142" s="89">
        <f t="shared" si="11"/>
        <v>2053244.16</v>
      </c>
      <c r="H142" s="118" t="str">
        <f t="array" ref="H142:K142">_xlfn.XLOOKUP(B142,'ESAP NEIVA FASE II UNIFICADO'!$B$6:$B$720,'ESAP NEIVA FASE II UNIFICADO'!$C$6:$F$720,"NO ESTA")</f>
        <v>SUMINISTRO E INSTALACION PUERTA DIVISORIA DE MADERA TIPO P-5 Ver NOTAS GENERALES DE PLANCHA</v>
      </c>
      <c r="I142" t="str">
        <v>M2</v>
      </c>
      <c r="J142">
        <v>2.88</v>
      </c>
      <c r="K142">
        <v>731553</v>
      </c>
      <c r="L142">
        <f t="shared" si="12"/>
        <v>0</v>
      </c>
      <c r="M142">
        <f t="shared" si="13"/>
        <v>0</v>
      </c>
      <c r="N142" s="119">
        <f t="shared" si="14"/>
        <v>2.88</v>
      </c>
      <c r="O142" s="119">
        <f t="shared" si="15"/>
        <v>0</v>
      </c>
    </row>
    <row r="143" spans="2:15" ht="25.5" customHeight="1" x14ac:dyDescent="0.25">
      <c r="B143" s="86" t="s">
        <v>252</v>
      </c>
      <c r="C143" s="87" t="s">
        <v>244</v>
      </c>
      <c r="D143" s="82" t="s">
        <v>13</v>
      </c>
      <c r="E143" s="230">
        <v>14.21</v>
      </c>
      <c r="F143" s="88">
        <v>565064</v>
      </c>
      <c r="G143" s="89">
        <f t="shared" si="11"/>
        <v>8029559.4400000004</v>
      </c>
      <c r="H143" s="118" t="str">
        <f t="array" ref="H143:K143">_xlfn.XLOOKUP(B143,'ESAP NEIVA FASE II UNIFICADO'!$B$6:$B$720,'ESAP NEIVA FASE II UNIFICADO'!$C$6:$F$720,"NO ESTA")</f>
        <v>SUMINISTRO E INSTALACION PUERTA DIVISORIA EN VIDRIO TIPO PV1 Ver NOTAS GENERALES DE PLANCHA</v>
      </c>
      <c r="I143" t="str">
        <v>M2</v>
      </c>
      <c r="J143">
        <v>14.3</v>
      </c>
      <c r="K143">
        <v>579822</v>
      </c>
      <c r="L143">
        <f t="shared" si="12"/>
        <v>0</v>
      </c>
      <c r="M143">
        <f t="shared" si="13"/>
        <v>0</v>
      </c>
      <c r="N143" s="119">
        <f t="shared" si="14"/>
        <v>14.21</v>
      </c>
      <c r="O143" s="119">
        <f t="shared" si="15"/>
        <v>0</v>
      </c>
    </row>
    <row r="144" spans="2:15" ht="16.5" customHeight="1" x14ac:dyDescent="0.25">
      <c r="B144" s="74">
        <v>10</v>
      </c>
      <c r="C144" s="75" t="s">
        <v>253</v>
      </c>
      <c r="D144" s="76"/>
      <c r="E144" s="229"/>
      <c r="F144" s="78">
        <v>0</v>
      </c>
      <c r="G144" s="89">
        <f t="shared" si="11"/>
        <v>0</v>
      </c>
      <c r="H144" s="118" t="str">
        <f t="array" ref="H144:K144">_xlfn.XLOOKUP(B144,'ESAP NEIVA FASE II UNIFICADO'!$B$6:$B$720,'ESAP NEIVA FASE II UNIFICADO'!$C$6:$F$720,"NO ESTA")</f>
        <v>OTROS ARQUITECTONICOS</v>
      </c>
      <c r="I144">
        <v>0</v>
      </c>
      <c r="J144">
        <v>0</v>
      </c>
      <c r="K144">
        <v>0</v>
      </c>
      <c r="L144">
        <f t="shared" si="12"/>
        <v>1</v>
      </c>
      <c r="M144">
        <f t="shared" si="13"/>
        <v>0</v>
      </c>
      <c r="N144" s="119">
        <f t="shared" si="14"/>
        <v>0</v>
      </c>
      <c r="O144" s="119">
        <f t="shared" si="15"/>
        <v>0</v>
      </c>
    </row>
    <row r="145" spans="2:15" ht="15" customHeight="1" x14ac:dyDescent="0.25">
      <c r="B145" s="80" t="s">
        <v>254</v>
      </c>
      <c r="C145" s="81" t="s">
        <v>255</v>
      </c>
      <c r="D145" s="82"/>
      <c r="E145" s="230"/>
      <c r="F145" s="90">
        <v>0</v>
      </c>
      <c r="G145" s="89">
        <f t="shared" si="11"/>
        <v>0</v>
      </c>
      <c r="H145" s="118" t="str">
        <f t="array" ref="H145:K145">_xlfn.XLOOKUP(B145,'ESAP NEIVA FASE II UNIFICADO'!$B$6:$B$720,'ESAP NEIVA FASE II UNIFICADO'!$C$6:$F$720,"NO ESTA")</f>
        <v>SUMINISTRO E INSTALACIÓN DE BARANDAS</v>
      </c>
      <c r="I145">
        <v>0</v>
      </c>
      <c r="J145">
        <v>0</v>
      </c>
      <c r="K145">
        <v>0</v>
      </c>
      <c r="L145">
        <f t="shared" si="12"/>
        <v>1</v>
      </c>
      <c r="M145">
        <f t="shared" si="13"/>
        <v>0</v>
      </c>
      <c r="N145" s="119">
        <f t="shared" si="14"/>
        <v>0</v>
      </c>
      <c r="O145" s="119">
        <f t="shared" si="15"/>
        <v>0</v>
      </c>
    </row>
    <row r="146" spans="2:15" ht="25.5" customHeight="1" x14ac:dyDescent="0.25">
      <c r="B146" s="86" t="s">
        <v>256</v>
      </c>
      <c r="C146" s="87" t="s">
        <v>257</v>
      </c>
      <c r="D146" s="82" t="s">
        <v>94</v>
      </c>
      <c r="E146" s="230">
        <v>106</v>
      </c>
      <c r="F146" s="88">
        <v>648864</v>
      </c>
      <c r="G146" s="89">
        <f t="shared" si="11"/>
        <v>68779584</v>
      </c>
      <c r="H146" s="118" t="str">
        <f t="array" ref="H146:K146">_xlfn.XLOOKUP(B146,'ESAP NEIVA FASE II UNIFICADO'!$B$6:$B$720,'ESAP NEIVA FASE II UNIFICADO'!$C$6:$F$720,"NO ESTA")</f>
        <v>SUMINISTRO E INSTALACION BARANDA TIPO B1 EN ACERO INOXIDABLE (Incluye todos los accesorios para su instalación)</v>
      </c>
      <c r="I146" t="str">
        <v>ML</v>
      </c>
      <c r="J146">
        <v>288.39999999999998</v>
      </c>
      <c r="K146">
        <v>592889</v>
      </c>
      <c r="L146">
        <f t="shared" si="12"/>
        <v>0</v>
      </c>
      <c r="M146">
        <f t="shared" si="13"/>
        <v>0</v>
      </c>
      <c r="N146" s="119">
        <f t="shared" si="14"/>
        <v>106</v>
      </c>
      <c r="O146" s="119">
        <f t="shared" si="15"/>
        <v>0</v>
      </c>
    </row>
    <row r="147" spans="2:15" ht="25.5" customHeight="1" x14ac:dyDescent="0.25">
      <c r="B147" s="86" t="s">
        <v>258</v>
      </c>
      <c r="C147" s="87" t="s">
        <v>259</v>
      </c>
      <c r="D147" s="82" t="s">
        <v>94</v>
      </c>
      <c r="E147" s="230">
        <v>16</v>
      </c>
      <c r="F147" s="88">
        <v>247397</v>
      </c>
      <c r="G147" s="89">
        <f t="shared" si="11"/>
        <v>3958352</v>
      </c>
      <c r="H147" s="118" t="str">
        <f t="array" ref="H147:K147">_xlfn.XLOOKUP(B147,'ESAP NEIVA FASE II UNIFICADO'!$B$6:$B$720,'ESAP NEIVA FASE II UNIFICADO'!$C$6:$F$720,"NO ESTA")</f>
        <v>SUMINISTRO E INSTALACION PASAMANOS PUNTO FIJO No. 1 (Incluye todos los accesorios para su instalación)</v>
      </c>
      <c r="I147" t="str">
        <v>ML</v>
      </c>
      <c r="J147">
        <v>44.13</v>
      </c>
      <c r="K147">
        <v>253859</v>
      </c>
      <c r="L147">
        <f t="shared" si="12"/>
        <v>0</v>
      </c>
      <c r="M147">
        <f t="shared" si="13"/>
        <v>0</v>
      </c>
      <c r="N147" s="119">
        <f t="shared" si="14"/>
        <v>16</v>
      </c>
      <c r="O147" s="119">
        <f t="shared" si="15"/>
        <v>0</v>
      </c>
    </row>
    <row r="148" spans="2:15" ht="15" customHeight="1" x14ac:dyDescent="0.25">
      <c r="B148" s="80" t="s">
        <v>260</v>
      </c>
      <c r="C148" s="81" t="s">
        <v>261</v>
      </c>
      <c r="D148" s="82"/>
      <c r="E148" s="230"/>
      <c r="F148" s="90">
        <v>0</v>
      </c>
      <c r="G148" s="89">
        <f t="shared" si="11"/>
        <v>0</v>
      </c>
      <c r="H148" s="118" t="str">
        <f t="array" ref="H148:K148">_xlfn.XLOOKUP(B148,'ESAP NEIVA FASE II UNIFICADO'!$B$6:$B$720,'ESAP NEIVA FASE II UNIFICADO'!$C$6:$F$720,"NO ESTA")</f>
        <v>SUMINISTRO E INSTALACIÓN DE DIVISIONES DE BAÑOS</v>
      </c>
      <c r="I148">
        <v>0</v>
      </c>
      <c r="J148">
        <v>0</v>
      </c>
      <c r="K148">
        <v>0</v>
      </c>
      <c r="L148">
        <f t="shared" si="12"/>
        <v>1</v>
      </c>
      <c r="M148">
        <f t="shared" si="13"/>
        <v>0</v>
      </c>
      <c r="N148" s="119">
        <f t="shared" si="14"/>
        <v>0</v>
      </c>
      <c r="O148" s="119">
        <f t="shared" si="15"/>
        <v>0</v>
      </c>
    </row>
    <row r="149" spans="2:15" ht="25.5" customHeight="1" x14ac:dyDescent="0.25">
      <c r="B149" s="86" t="s">
        <v>262</v>
      </c>
      <c r="C149" s="87" t="s">
        <v>263</v>
      </c>
      <c r="D149" s="82" t="s">
        <v>13</v>
      </c>
      <c r="E149" s="230">
        <v>83.5</v>
      </c>
      <c r="F149" s="88">
        <v>593414</v>
      </c>
      <c r="G149" s="89">
        <f t="shared" si="11"/>
        <v>49550069</v>
      </c>
      <c r="H149" s="118" t="str">
        <f t="array" ref="H149:K149">_xlfn.XLOOKUP(B149,'ESAP NEIVA FASE II UNIFICADO'!$B$6:$B$720,'ESAP NEIVA FASE II UNIFICADO'!$C$6:$F$720,"NO ESTA")</f>
        <v>SUMINISTRO E INSTALACION DIVISION EN ACERO INOXIDABLE BAÑOS (Incluye todos los accesorios para su instalación)</v>
      </c>
      <c r="I149" t="str">
        <v>M2</v>
      </c>
      <c r="J149">
        <v>83.5</v>
      </c>
      <c r="K149">
        <v>608913</v>
      </c>
      <c r="L149">
        <f t="shared" si="12"/>
        <v>0</v>
      </c>
      <c r="M149">
        <f t="shared" si="13"/>
        <v>0</v>
      </c>
      <c r="N149" s="119">
        <f t="shared" si="14"/>
        <v>83.5</v>
      </c>
      <c r="O149" s="119">
        <f t="shared" si="15"/>
        <v>0</v>
      </c>
    </row>
    <row r="150" spans="2:15" ht="14.25" customHeight="1" x14ac:dyDescent="0.25">
      <c r="B150" s="74">
        <v>12</v>
      </c>
      <c r="C150" s="75" t="s">
        <v>264</v>
      </c>
      <c r="D150" s="76"/>
      <c r="E150" s="229"/>
      <c r="F150" s="78">
        <v>0</v>
      </c>
      <c r="G150" s="89">
        <f t="shared" si="11"/>
        <v>0</v>
      </c>
      <c r="H150" s="118" t="str">
        <f t="array" ref="H150:K150">_xlfn.XLOOKUP(B150,'ESAP NEIVA FASE II UNIFICADO'!$B$6:$B$720,'ESAP NEIVA FASE II UNIFICADO'!$C$6:$F$720,"NO ESTA")</f>
        <v xml:space="preserve">RED HIDRÁULICO Y SANITARIO </v>
      </c>
      <c r="I150">
        <v>0</v>
      </c>
      <c r="J150">
        <v>0</v>
      </c>
      <c r="K150">
        <v>0</v>
      </c>
      <c r="L150">
        <f t="shared" si="12"/>
        <v>1</v>
      </c>
      <c r="M150">
        <f t="shared" si="13"/>
        <v>0</v>
      </c>
      <c r="N150" s="119">
        <f t="shared" si="14"/>
        <v>0</v>
      </c>
      <c r="O150" s="119">
        <f t="shared" si="15"/>
        <v>0</v>
      </c>
    </row>
    <row r="151" spans="2:15" ht="15" customHeight="1" x14ac:dyDescent="0.25">
      <c r="B151" s="80" t="s">
        <v>265</v>
      </c>
      <c r="C151" s="81" t="s">
        <v>266</v>
      </c>
      <c r="D151" s="82"/>
      <c r="E151" s="230"/>
      <c r="F151" s="90">
        <v>0</v>
      </c>
      <c r="G151" s="89">
        <f t="shared" si="11"/>
        <v>0</v>
      </c>
      <c r="H151" s="118" t="str">
        <f t="array" ref="H151:K151">_xlfn.XLOOKUP(B151,'ESAP NEIVA FASE II UNIFICADO'!$B$6:$B$720,'ESAP NEIVA FASE II UNIFICADO'!$C$6:$F$720,"NO ESTA")</f>
        <v>SUMINISTRO E INSTALACIÓN RED AGUA POTABLE</v>
      </c>
      <c r="I151">
        <v>0</v>
      </c>
      <c r="J151">
        <v>0</v>
      </c>
      <c r="K151">
        <v>0</v>
      </c>
      <c r="L151">
        <f t="shared" si="12"/>
        <v>1</v>
      </c>
      <c r="M151">
        <f t="shared" si="13"/>
        <v>0</v>
      </c>
      <c r="N151" s="119">
        <f t="shared" si="14"/>
        <v>0</v>
      </c>
      <c r="O151" s="119">
        <f t="shared" si="15"/>
        <v>0</v>
      </c>
    </row>
    <row r="152" spans="2:15" ht="15" customHeight="1" x14ac:dyDescent="0.25">
      <c r="B152" s="86" t="s">
        <v>267</v>
      </c>
      <c r="C152" s="87" t="s">
        <v>268</v>
      </c>
      <c r="D152" s="82" t="s">
        <v>269</v>
      </c>
      <c r="E152" s="230">
        <v>45</v>
      </c>
      <c r="F152" s="88">
        <v>12354</v>
      </c>
      <c r="G152" s="89">
        <f t="shared" si="11"/>
        <v>555930</v>
      </c>
      <c r="H152" s="118" t="str">
        <f t="array" ref="H152:K152">_xlfn.XLOOKUP(B152,'ESAP NEIVA FASE II UNIFICADO'!$B$6:$B$720,'ESAP NEIVA FASE II UNIFICADO'!$C$6:$F$720,"NO ESTA")</f>
        <v>SUMINISTRO E INSTALACIÓN TUBERIA PVC-P DIAMETRO 1/2" RDE 9</v>
      </c>
      <c r="I152" t="str">
        <v xml:space="preserve">ML   </v>
      </c>
      <c r="J152">
        <v>121</v>
      </c>
      <c r="K152">
        <v>12676</v>
      </c>
      <c r="L152">
        <f t="shared" si="12"/>
        <v>0</v>
      </c>
      <c r="M152">
        <f t="shared" si="13"/>
        <v>0</v>
      </c>
      <c r="N152" s="119">
        <f t="shared" si="14"/>
        <v>45</v>
      </c>
      <c r="O152" s="119">
        <f t="shared" si="15"/>
        <v>0</v>
      </c>
    </row>
    <row r="153" spans="2:15" ht="15" customHeight="1" x14ac:dyDescent="0.25">
      <c r="B153" s="86" t="s">
        <v>270</v>
      </c>
      <c r="C153" s="87" t="s">
        <v>271</v>
      </c>
      <c r="D153" s="82" t="s">
        <v>269</v>
      </c>
      <c r="E153" s="230">
        <v>18</v>
      </c>
      <c r="F153" s="88">
        <v>18380</v>
      </c>
      <c r="G153" s="89">
        <f t="shared" si="11"/>
        <v>330840</v>
      </c>
      <c r="H153" s="118" t="str">
        <f t="array" ref="H153:K153">_xlfn.XLOOKUP(B153,'ESAP NEIVA FASE II UNIFICADO'!$B$6:$B$720,'ESAP NEIVA FASE II UNIFICADO'!$C$6:$F$720,"NO ESTA")</f>
        <v>SUMINISTRO E INSTALACIÓN TUBERIA PCV-P DIAMETRO 3/4" RDE 11</v>
      </c>
      <c r="I153" t="str">
        <v xml:space="preserve">ML   </v>
      </c>
      <c r="J153">
        <v>49</v>
      </c>
      <c r="K153">
        <v>18861</v>
      </c>
      <c r="L153">
        <f t="shared" si="12"/>
        <v>0</v>
      </c>
      <c r="M153">
        <f t="shared" si="13"/>
        <v>0</v>
      </c>
      <c r="N153" s="119">
        <f t="shared" si="14"/>
        <v>18</v>
      </c>
      <c r="O153" s="119">
        <f t="shared" si="15"/>
        <v>0</v>
      </c>
    </row>
    <row r="154" spans="2:15" ht="15" customHeight="1" x14ac:dyDescent="0.25">
      <c r="B154" s="86" t="s">
        <v>272</v>
      </c>
      <c r="C154" s="87" t="s">
        <v>273</v>
      </c>
      <c r="D154" s="82" t="s">
        <v>269</v>
      </c>
      <c r="E154" s="230">
        <v>15</v>
      </c>
      <c r="F154" s="88">
        <v>19490</v>
      </c>
      <c r="G154" s="89">
        <f t="shared" si="11"/>
        <v>292350</v>
      </c>
      <c r="H154" s="118" t="str">
        <f t="array" ref="H154:K154">_xlfn.XLOOKUP(B154,'ESAP NEIVA FASE II UNIFICADO'!$B$6:$B$720,'ESAP NEIVA FASE II UNIFICADO'!$C$6:$F$720,"NO ESTA")</f>
        <v>SUMINISTRO E INSTALACIÓN TUBERIA PCV-P DIAMETRO 1" RDE 13,5</v>
      </c>
      <c r="I154" t="str">
        <v xml:space="preserve">ML   </v>
      </c>
      <c r="J154">
        <v>40</v>
      </c>
      <c r="K154">
        <v>19999</v>
      </c>
      <c r="L154">
        <f t="shared" si="12"/>
        <v>0</v>
      </c>
      <c r="M154">
        <f t="shared" si="13"/>
        <v>0</v>
      </c>
      <c r="N154" s="119">
        <f t="shared" si="14"/>
        <v>15</v>
      </c>
      <c r="O154" s="119">
        <f t="shared" si="15"/>
        <v>0</v>
      </c>
    </row>
    <row r="155" spans="2:15" ht="15" customHeight="1" x14ac:dyDescent="0.25">
      <c r="B155" s="86" t="s">
        <v>274</v>
      </c>
      <c r="C155" s="87" t="s">
        <v>275</v>
      </c>
      <c r="D155" s="82" t="s">
        <v>269</v>
      </c>
      <c r="E155" s="230">
        <v>23</v>
      </c>
      <c r="F155" s="88">
        <v>20704</v>
      </c>
      <c r="G155" s="89">
        <f t="shared" si="11"/>
        <v>476192</v>
      </c>
      <c r="H155" s="118" t="str">
        <f t="array" ref="H155:K155">_xlfn.XLOOKUP(B155,'ESAP NEIVA FASE II UNIFICADO'!$B$6:$B$720,'ESAP NEIVA FASE II UNIFICADO'!$C$6:$F$720,"NO ESTA")</f>
        <v>SUMINISTRO E INSTALACIÓN TUBERIA PCV-P DIAMETRO 1 1/4" RDE 21</v>
      </c>
      <c r="I155" t="str">
        <v xml:space="preserve">ML   </v>
      </c>
      <c r="J155">
        <v>64</v>
      </c>
      <c r="K155">
        <v>21245</v>
      </c>
      <c r="L155">
        <f t="shared" si="12"/>
        <v>0</v>
      </c>
      <c r="M155">
        <f t="shared" si="13"/>
        <v>0</v>
      </c>
      <c r="N155" s="119">
        <f t="shared" si="14"/>
        <v>23</v>
      </c>
      <c r="O155" s="119">
        <f t="shared" si="15"/>
        <v>0</v>
      </c>
    </row>
    <row r="156" spans="2:15" ht="15" customHeight="1" x14ac:dyDescent="0.25">
      <c r="B156" s="86" t="s">
        <v>276</v>
      </c>
      <c r="C156" s="87" t="s">
        <v>277</v>
      </c>
      <c r="D156" s="82" t="s">
        <v>269</v>
      </c>
      <c r="E156" s="230">
        <v>21</v>
      </c>
      <c r="F156" s="88">
        <v>26614</v>
      </c>
      <c r="G156" s="89">
        <f t="shared" si="11"/>
        <v>558894</v>
      </c>
      <c r="H156" s="118" t="str">
        <f t="array" ref="H156:K156">_xlfn.XLOOKUP(B156,'ESAP NEIVA FASE II UNIFICADO'!$B$6:$B$720,'ESAP NEIVA FASE II UNIFICADO'!$C$6:$F$720,"NO ESTA")</f>
        <v>SUMINISTRO E INSTALACIÓN TUBERIA PCV-P DIAMETRO 1 1/2" RDE 21</v>
      </c>
      <c r="I156" t="str">
        <v xml:space="preserve">ML   </v>
      </c>
      <c r="J156">
        <v>57</v>
      </c>
      <c r="K156">
        <v>27309</v>
      </c>
      <c r="L156">
        <f t="shared" si="12"/>
        <v>0</v>
      </c>
      <c r="M156">
        <f t="shared" si="13"/>
        <v>0</v>
      </c>
      <c r="N156" s="119">
        <f t="shared" si="14"/>
        <v>21</v>
      </c>
      <c r="O156" s="119">
        <f t="shared" si="15"/>
        <v>0</v>
      </c>
    </row>
    <row r="157" spans="2:15" ht="15" customHeight="1" x14ac:dyDescent="0.25">
      <c r="B157" s="86" t="s">
        <v>278</v>
      </c>
      <c r="C157" s="87" t="s">
        <v>279</v>
      </c>
      <c r="D157" s="82" t="s">
        <v>269</v>
      </c>
      <c r="E157" s="230">
        <v>33</v>
      </c>
      <c r="F157" s="88">
        <v>38103</v>
      </c>
      <c r="G157" s="89">
        <f t="shared" si="11"/>
        <v>1257399</v>
      </c>
      <c r="H157" s="118" t="str">
        <f t="array" ref="H157:K157">_xlfn.XLOOKUP(B157,'ESAP NEIVA FASE II UNIFICADO'!$B$6:$B$720,'ESAP NEIVA FASE II UNIFICADO'!$C$6:$F$720,"NO ESTA")</f>
        <v>SUMINISTRO E INSTALACIÓN TUBERIA PCV-P DIAMETRO 2" RDE 21</v>
      </c>
      <c r="I157" t="str">
        <v xml:space="preserve">ML   </v>
      </c>
      <c r="J157">
        <v>90</v>
      </c>
      <c r="K157">
        <v>39097</v>
      </c>
      <c r="L157">
        <f t="shared" si="12"/>
        <v>0</v>
      </c>
      <c r="M157">
        <f t="shared" si="13"/>
        <v>0</v>
      </c>
      <c r="N157" s="119">
        <f t="shared" si="14"/>
        <v>33</v>
      </c>
      <c r="O157" s="119">
        <f t="shared" si="15"/>
        <v>0</v>
      </c>
    </row>
    <row r="158" spans="2:15" ht="15" customHeight="1" x14ac:dyDescent="0.25">
      <c r="B158" s="86" t="s">
        <v>280</v>
      </c>
      <c r="C158" s="87" t="s">
        <v>281</v>
      </c>
      <c r="D158" s="82" t="s">
        <v>269</v>
      </c>
      <c r="E158" s="230">
        <v>7</v>
      </c>
      <c r="F158" s="88">
        <v>51430</v>
      </c>
      <c r="G158" s="89">
        <f t="shared" si="11"/>
        <v>360010</v>
      </c>
      <c r="H158" s="118" t="str">
        <f t="array" ref="H158:K158">_xlfn.XLOOKUP(B158,'ESAP NEIVA FASE II UNIFICADO'!$B$6:$B$720,'ESAP NEIVA FASE II UNIFICADO'!$C$6:$F$720,"NO ESTA")</f>
        <v>SUMINISTRO E INSTALACIÓN TUBERIA PCV-P DIAMETRO 2 1/2" RDE 21</v>
      </c>
      <c r="I158" t="str">
        <v xml:space="preserve">ML   </v>
      </c>
      <c r="J158">
        <v>18</v>
      </c>
      <c r="K158">
        <v>52773</v>
      </c>
      <c r="L158">
        <f t="shared" si="12"/>
        <v>0</v>
      </c>
      <c r="M158">
        <f t="shared" si="13"/>
        <v>0</v>
      </c>
      <c r="N158" s="119">
        <f t="shared" si="14"/>
        <v>7</v>
      </c>
      <c r="O158" s="119">
        <f t="shared" si="15"/>
        <v>0</v>
      </c>
    </row>
    <row r="159" spans="2:15" ht="15" customHeight="1" x14ac:dyDescent="0.25">
      <c r="B159" s="86" t="s">
        <v>282</v>
      </c>
      <c r="C159" s="87" t="s">
        <v>283</v>
      </c>
      <c r="D159" s="82" t="s">
        <v>284</v>
      </c>
      <c r="E159" s="230">
        <v>39</v>
      </c>
      <c r="F159" s="88">
        <v>3198</v>
      </c>
      <c r="G159" s="89">
        <f t="shared" si="11"/>
        <v>124722</v>
      </c>
      <c r="H159" s="118" t="str">
        <f t="array" ref="H159:K159">_xlfn.XLOOKUP(B159,'ESAP NEIVA FASE II UNIFICADO'!$B$6:$B$720,'ESAP NEIVA FASE II UNIFICADO'!$C$6:$F$720,"NO ESTA")</f>
        <v>SUMINISTRO E INSTALACIÓN ACCESORIOS PVC-P 1/2" SCH 40</v>
      </c>
      <c r="I159" t="str">
        <v xml:space="preserve">UN   </v>
      </c>
      <c r="J159">
        <v>105</v>
      </c>
      <c r="K159">
        <v>3281</v>
      </c>
      <c r="L159">
        <f t="shared" si="12"/>
        <v>0</v>
      </c>
      <c r="M159">
        <f t="shared" si="13"/>
        <v>0</v>
      </c>
      <c r="N159" s="119">
        <f t="shared" si="14"/>
        <v>39</v>
      </c>
      <c r="O159" s="119">
        <f t="shared" si="15"/>
        <v>0</v>
      </c>
    </row>
    <row r="160" spans="2:15" ht="15" customHeight="1" x14ac:dyDescent="0.25">
      <c r="B160" s="86" t="s">
        <v>285</v>
      </c>
      <c r="C160" s="87" t="s">
        <v>286</v>
      </c>
      <c r="D160" s="82" t="s">
        <v>284</v>
      </c>
      <c r="E160" s="230">
        <v>14</v>
      </c>
      <c r="F160" s="88">
        <v>3797</v>
      </c>
      <c r="G160" s="89">
        <f t="shared" si="11"/>
        <v>53158</v>
      </c>
      <c r="H160" s="118" t="str">
        <f t="array" ref="H160:K160">_xlfn.XLOOKUP(B160,'ESAP NEIVA FASE II UNIFICADO'!$B$6:$B$720,'ESAP NEIVA FASE II UNIFICADO'!$C$6:$F$720,"NO ESTA")</f>
        <v>SUMINISTRO E INSTALACIÓN ACCESORIOS PVC-P 3/4" SCH 40</v>
      </c>
      <c r="I160" t="str">
        <v xml:space="preserve">UN   </v>
      </c>
      <c r="J160">
        <v>38</v>
      </c>
      <c r="K160">
        <v>3896</v>
      </c>
      <c r="L160">
        <f t="shared" si="12"/>
        <v>0</v>
      </c>
      <c r="M160">
        <f t="shared" si="13"/>
        <v>0</v>
      </c>
      <c r="N160" s="119">
        <f t="shared" si="14"/>
        <v>14</v>
      </c>
      <c r="O160" s="119">
        <f t="shared" si="15"/>
        <v>0</v>
      </c>
    </row>
    <row r="161" spans="2:15" ht="15" customHeight="1" x14ac:dyDescent="0.25">
      <c r="B161" s="86" t="s">
        <v>287</v>
      </c>
      <c r="C161" s="87" t="s">
        <v>288</v>
      </c>
      <c r="D161" s="82" t="s">
        <v>284</v>
      </c>
      <c r="E161" s="230">
        <v>11</v>
      </c>
      <c r="F161" s="88">
        <v>4486</v>
      </c>
      <c r="G161" s="89">
        <f t="shared" si="11"/>
        <v>49346</v>
      </c>
      <c r="H161" s="118" t="str">
        <f t="array" ref="H161:K161">_xlfn.XLOOKUP(B161,'ESAP NEIVA FASE II UNIFICADO'!$B$6:$B$720,'ESAP NEIVA FASE II UNIFICADO'!$C$6:$F$720,"NO ESTA")</f>
        <v>SUMINISTRO E INSTALACIÓN ACCESORIOS PVC-P 1" SCH 40</v>
      </c>
      <c r="I161" t="str">
        <v xml:space="preserve">UN   </v>
      </c>
      <c r="J161">
        <v>30</v>
      </c>
      <c r="K161">
        <v>4602</v>
      </c>
      <c r="L161">
        <f t="shared" si="12"/>
        <v>0</v>
      </c>
      <c r="M161">
        <f t="shared" si="13"/>
        <v>0</v>
      </c>
      <c r="N161" s="119">
        <f t="shared" si="14"/>
        <v>11</v>
      </c>
      <c r="O161" s="119">
        <f t="shared" si="15"/>
        <v>0</v>
      </c>
    </row>
    <row r="162" spans="2:15" ht="15" customHeight="1" x14ac:dyDescent="0.25">
      <c r="B162" s="86" t="s">
        <v>289</v>
      </c>
      <c r="C162" s="87" t="s">
        <v>290</v>
      </c>
      <c r="D162" s="82" t="s">
        <v>284</v>
      </c>
      <c r="E162" s="230">
        <v>35</v>
      </c>
      <c r="F162" s="88">
        <v>7080</v>
      </c>
      <c r="G162" s="89">
        <f t="shared" si="11"/>
        <v>247800</v>
      </c>
      <c r="H162" s="118" t="str">
        <f t="array" ref="H162:K162">_xlfn.XLOOKUP(B162,'ESAP NEIVA FASE II UNIFICADO'!$B$6:$B$720,'ESAP NEIVA FASE II UNIFICADO'!$C$6:$F$720,"NO ESTA")</f>
        <v>SUMINISTRO E INSTALACIÓN ACCESORIOS PVC-P 1 1/4" SCH 40</v>
      </c>
      <c r="I162" t="str">
        <v xml:space="preserve">UN   </v>
      </c>
      <c r="J162">
        <v>96</v>
      </c>
      <c r="K162">
        <v>7266</v>
      </c>
      <c r="L162">
        <f t="shared" si="12"/>
        <v>0</v>
      </c>
      <c r="M162">
        <f t="shared" si="13"/>
        <v>0</v>
      </c>
      <c r="N162" s="119">
        <f t="shared" si="14"/>
        <v>35</v>
      </c>
      <c r="O162" s="119">
        <f t="shared" si="15"/>
        <v>0</v>
      </c>
    </row>
    <row r="163" spans="2:15" ht="15" customHeight="1" x14ac:dyDescent="0.25">
      <c r="B163" s="86" t="s">
        <v>291</v>
      </c>
      <c r="C163" s="87" t="s">
        <v>292</v>
      </c>
      <c r="D163" s="82" t="s">
        <v>284</v>
      </c>
      <c r="E163" s="230">
        <v>30</v>
      </c>
      <c r="F163" s="88">
        <v>8729</v>
      </c>
      <c r="G163" s="89">
        <f t="shared" si="11"/>
        <v>261870</v>
      </c>
      <c r="H163" s="118" t="str">
        <f t="array" ref="H163:K163">_xlfn.XLOOKUP(B163,'ESAP NEIVA FASE II UNIFICADO'!$B$6:$B$720,'ESAP NEIVA FASE II UNIFICADO'!$C$6:$F$720,"NO ESTA")</f>
        <v xml:space="preserve">SUMINISTRO E INSTALACIÓN ACCESORIOS PVC-P 1 1/2" SCH 40                                                </v>
      </c>
      <c r="I163" t="str">
        <v xml:space="preserve">UN   </v>
      </c>
      <c r="J163">
        <v>82</v>
      </c>
      <c r="K163">
        <v>8958</v>
      </c>
      <c r="L163">
        <f t="shared" si="12"/>
        <v>0</v>
      </c>
      <c r="M163">
        <f t="shared" si="13"/>
        <v>0</v>
      </c>
      <c r="N163" s="119">
        <f t="shared" si="14"/>
        <v>30</v>
      </c>
      <c r="O163" s="119">
        <f t="shared" si="15"/>
        <v>0</v>
      </c>
    </row>
    <row r="164" spans="2:15" ht="15" customHeight="1" x14ac:dyDescent="0.25">
      <c r="B164" s="86" t="s">
        <v>293</v>
      </c>
      <c r="C164" s="87" t="s">
        <v>294</v>
      </c>
      <c r="D164" s="82" t="s">
        <v>284</v>
      </c>
      <c r="E164" s="230">
        <v>21</v>
      </c>
      <c r="F164" s="88">
        <v>11898</v>
      </c>
      <c r="G164" s="89">
        <f t="shared" si="11"/>
        <v>249858</v>
      </c>
      <c r="H164" s="118" t="str">
        <f t="array" ref="H164:K164">_xlfn.XLOOKUP(B164,'ESAP NEIVA FASE II UNIFICADO'!$B$6:$B$720,'ESAP NEIVA FASE II UNIFICADO'!$C$6:$F$720,"NO ESTA")</f>
        <v>SUMINISTRO E INSTALACIÓN ACCESORIOS PVC-P 2" SCH 40</v>
      </c>
      <c r="I164" t="str">
        <v xml:space="preserve">UN   </v>
      </c>
      <c r="J164">
        <v>55</v>
      </c>
      <c r="K164">
        <v>12209</v>
      </c>
      <c r="L164">
        <f t="shared" si="12"/>
        <v>0</v>
      </c>
      <c r="M164">
        <f t="shared" si="13"/>
        <v>0</v>
      </c>
      <c r="N164" s="119">
        <f t="shared" si="14"/>
        <v>21</v>
      </c>
      <c r="O164" s="119">
        <f t="shared" si="15"/>
        <v>0</v>
      </c>
    </row>
    <row r="165" spans="2:15" ht="15" customHeight="1" x14ac:dyDescent="0.25">
      <c r="B165" s="86" t="s">
        <v>295</v>
      </c>
      <c r="C165" s="87" t="s">
        <v>296</v>
      </c>
      <c r="D165" s="82" t="s">
        <v>284</v>
      </c>
      <c r="E165" s="230">
        <v>4</v>
      </c>
      <c r="F165" s="88">
        <v>28954</v>
      </c>
      <c r="G165" s="89">
        <f t="shared" si="11"/>
        <v>115816</v>
      </c>
      <c r="H165" s="118" t="str">
        <f t="array" ref="H165:K165">_xlfn.XLOOKUP(B165,'ESAP NEIVA FASE II UNIFICADO'!$B$6:$B$720,'ESAP NEIVA FASE II UNIFICADO'!$C$6:$F$720,"NO ESTA")</f>
        <v xml:space="preserve">SUMINISTRO E INSTALACIÓN ACCESORIOS PVC-P 2 1/2" SCH 40                                           </v>
      </c>
      <c r="I165" t="str">
        <v xml:space="preserve">UN   </v>
      </c>
      <c r="J165">
        <v>12</v>
      </c>
      <c r="K165">
        <v>29710</v>
      </c>
      <c r="L165">
        <f t="shared" si="12"/>
        <v>0</v>
      </c>
      <c r="M165">
        <f t="shared" si="13"/>
        <v>0</v>
      </c>
      <c r="N165" s="119">
        <f t="shared" si="14"/>
        <v>4</v>
      </c>
      <c r="O165" s="119">
        <f t="shared" si="15"/>
        <v>0</v>
      </c>
    </row>
    <row r="166" spans="2:15" ht="15" customHeight="1" x14ac:dyDescent="0.25">
      <c r="B166" s="86" t="s">
        <v>297</v>
      </c>
      <c r="C166" s="87" t="s">
        <v>298</v>
      </c>
      <c r="D166" s="82" t="s">
        <v>284</v>
      </c>
      <c r="E166" s="230">
        <v>18</v>
      </c>
      <c r="F166" s="88">
        <v>1662</v>
      </c>
      <c r="G166" s="89">
        <f t="shared" si="11"/>
        <v>29916</v>
      </c>
      <c r="H166" s="118" t="str">
        <f t="array" ref="H166:K166">_xlfn.XLOOKUP(B166,'ESAP NEIVA FASE II UNIFICADO'!$B$6:$B$720,'ESAP NEIVA FASE II UNIFICADO'!$C$6:$F$720,"NO ESTA")</f>
        <v xml:space="preserve">SUMINISTRO E INSTALACIÓN SOPORTE DE 1/2"                                                                 </v>
      </c>
      <c r="I166" t="str">
        <v xml:space="preserve">UN   </v>
      </c>
      <c r="J166">
        <v>49</v>
      </c>
      <c r="K166">
        <v>1705</v>
      </c>
      <c r="L166">
        <f t="shared" si="12"/>
        <v>0</v>
      </c>
      <c r="M166">
        <f t="shared" si="13"/>
        <v>0</v>
      </c>
      <c r="N166" s="119">
        <f t="shared" si="14"/>
        <v>18</v>
      </c>
      <c r="O166" s="119">
        <f t="shared" si="15"/>
        <v>0</v>
      </c>
    </row>
    <row r="167" spans="2:15" ht="15" customHeight="1" x14ac:dyDescent="0.25">
      <c r="B167" s="86" t="s">
        <v>299</v>
      </c>
      <c r="C167" s="87" t="s">
        <v>300</v>
      </c>
      <c r="D167" s="82" t="s">
        <v>284</v>
      </c>
      <c r="E167" s="230">
        <v>6</v>
      </c>
      <c r="F167" s="88">
        <v>2232</v>
      </c>
      <c r="G167" s="89">
        <f t="shared" si="11"/>
        <v>13392</v>
      </c>
      <c r="H167" s="118" t="str">
        <f t="array" ref="H167:K167">_xlfn.XLOOKUP(B167,'ESAP NEIVA FASE II UNIFICADO'!$B$6:$B$720,'ESAP NEIVA FASE II UNIFICADO'!$C$6:$F$720,"NO ESTA")</f>
        <v xml:space="preserve">SUMINISTRO E INSTALACIÓN SOPORTE DE 3/4"                                                                 </v>
      </c>
      <c r="I167" t="str">
        <v xml:space="preserve">UN   </v>
      </c>
      <c r="J167">
        <v>18</v>
      </c>
      <c r="K167">
        <v>2289</v>
      </c>
      <c r="L167">
        <f t="shared" si="12"/>
        <v>0</v>
      </c>
      <c r="M167">
        <f t="shared" si="13"/>
        <v>0</v>
      </c>
      <c r="N167" s="119">
        <f t="shared" si="14"/>
        <v>6</v>
      </c>
      <c r="O167" s="119">
        <f t="shared" si="15"/>
        <v>0</v>
      </c>
    </row>
    <row r="168" spans="2:15" ht="15" customHeight="1" x14ac:dyDescent="0.25">
      <c r="B168" s="86" t="s">
        <v>301</v>
      </c>
      <c r="C168" s="87" t="s">
        <v>302</v>
      </c>
      <c r="D168" s="82" t="s">
        <v>284</v>
      </c>
      <c r="E168" s="230">
        <v>6</v>
      </c>
      <c r="F168" s="88">
        <v>2690</v>
      </c>
      <c r="G168" s="89">
        <f t="shared" si="11"/>
        <v>16140</v>
      </c>
      <c r="H168" s="118" t="str">
        <f t="array" ref="H168:K168">_xlfn.XLOOKUP(B168,'ESAP NEIVA FASE II UNIFICADO'!$B$6:$B$720,'ESAP NEIVA FASE II UNIFICADO'!$C$6:$F$720,"NO ESTA")</f>
        <v xml:space="preserve">SUMINISTRO E INSTALACIÓN SOPORTE DE 1"                                                                   </v>
      </c>
      <c r="I168" t="str">
        <v xml:space="preserve">UN   </v>
      </c>
      <c r="J168">
        <v>18</v>
      </c>
      <c r="K168">
        <v>2761</v>
      </c>
      <c r="L168">
        <f t="shared" si="12"/>
        <v>0</v>
      </c>
      <c r="M168">
        <f t="shared" si="13"/>
        <v>0</v>
      </c>
      <c r="N168" s="119">
        <f t="shared" si="14"/>
        <v>6</v>
      </c>
      <c r="O168" s="119">
        <f t="shared" si="15"/>
        <v>0</v>
      </c>
    </row>
    <row r="169" spans="2:15" ht="15" customHeight="1" x14ac:dyDescent="0.25">
      <c r="B169" s="86" t="s">
        <v>303</v>
      </c>
      <c r="C169" s="87" t="s">
        <v>304</v>
      </c>
      <c r="D169" s="82" t="s">
        <v>284</v>
      </c>
      <c r="E169" s="230">
        <v>10</v>
      </c>
      <c r="F169" s="88">
        <v>3052</v>
      </c>
      <c r="G169" s="89">
        <f t="shared" si="11"/>
        <v>30520</v>
      </c>
      <c r="H169" s="118" t="str">
        <f t="array" ref="H169:K169">_xlfn.XLOOKUP(B169,'ESAP NEIVA FASE II UNIFICADO'!$B$6:$B$720,'ESAP NEIVA FASE II UNIFICADO'!$C$6:$F$720,"NO ESTA")</f>
        <v xml:space="preserve">SUMINISTRO E INSTALACIÓN SOPORTE DE 1 1/4"                                                               </v>
      </c>
      <c r="I169" t="str">
        <v xml:space="preserve">UN   </v>
      </c>
      <c r="J169">
        <v>26</v>
      </c>
      <c r="K169">
        <v>3131</v>
      </c>
      <c r="L169">
        <f t="shared" si="12"/>
        <v>0</v>
      </c>
      <c r="M169">
        <f t="shared" si="13"/>
        <v>0</v>
      </c>
      <c r="N169" s="119">
        <f t="shared" si="14"/>
        <v>10</v>
      </c>
      <c r="O169" s="119">
        <f t="shared" si="15"/>
        <v>0</v>
      </c>
    </row>
    <row r="170" spans="2:15" ht="15" customHeight="1" x14ac:dyDescent="0.25">
      <c r="B170" s="86" t="s">
        <v>305</v>
      </c>
      <c r="C170" s="87" t="s">
        <v>306</v>
      </c>
      <c r="D170" s="82" t="s">
        <v>284</v>
      </c>
      <c r="E170" s="230">
        <v>9</v>
      </c>
      <c r="F170" s="88">
        <v>3695</v>
      </c>
      <c r="G170" s="89">
        <f t="shared" si="11"/>
        <v>33255</v>
      </c>
      <c r="H170" s="118" t="str">
        <f t="array" ref="H170:K170">_xlfn.XLOOKUP(B170,'ESAP NEIVA FASE II UNIFICADO'!$B$6:$B$720,'ESAP NEIVA FASE II UNIFICADO'!$C$6:$F$720,"NO ESTA")</f>
        <v xml:space="preserve">SUMINISTRO E INSTALACIÓN SOPORTE DE 1 1/2"                                                               </v>
      </c>
      <c r="I170" t="str">
        <v xml:space="preserve">UN   </v>
      </c>
      <c r="J170">
        <v>24</v>
      </c>
      <c r="K170">
        <v>3791</v>
      </c>
      <c r="L170">
        <f t="shared" si="12"/>
        <v>0</v>
      </c>
      <c r="M170">
        <f t="shared" si="13"/>
        <v>0</v>
      </c>
      <c r="N170" s="119">
        <f t="shared" si="14"/>
        <v>9</v>
      </c>
      <c r="O170" s="119">
        <f t="shared" si="15"/>
        <v>0</v>
      </c>
    </row>
    <row r="171" spans="2:15" ht="15" customHeight="1" x14ac:dyDescent="0.25">
      <c r="B171" s="86" t="s">
        <v>307</v>
      </c>
      <c r="C171" s="87" t="s">
        <v>308</v>
      </c>
      <c r="D171" s="82" t="s">
        <v>284</v>
      </c>
      <c r="E171" s="230">
        <v>11</v>
      </c>
      <c r="F171" s="88">
        <v>4760</v>
      </c>
      <c r="G171" s="89">
        <f t="shared" si="11"/>
        <v>52360</v>
      </c>
      <c r="H171" s="118" t="str">
        <f t="array" ref="H171:K171">_xlfn.XLOOKUP(B171,'ESAP NEIVA FASE II UNIFICADO'!$B$6:$B$720,'ESAP NEIVA FASE II UNIFICADO'!$C$6:$F$720,"NO ESTA")</f>
        <v xml:space="preserve">SUMINISTRO E INSTALACIÓN SOPORTE DE 2"                                                                   </v>
      </c>
      <c r="I171" t="str">
        <v xml:space="preserve">UN   </v>
      </c>
      <c r="J171">
        <v>31</v>
      </c>
      <c r="K171">
        <v>4884</v>
      </c>
      <c r="L171">
        <f t="shared" si="12"/>
        <v>0</v>
      </c>
      <c r="M171">
        <f t="shared" si="13"/>
        <v>0</v>
      </c>
      <c r="N171" s="119">
        <f t="shared" si="14"/>
        <v>11</v>
      </c>
      <c r="O171" s="119">
        <f t="shared" si="15"/>
        <v>0</v>
      </c>
    </row>
    <row r="172" spans="2:15" ht="15" customHeight="1" x14ac:dyDescent="0.25">
      <c r="B172" s="86" t="s">
        <v>309</v>
      </c>
      <c r="C172" s="87" t="s">
        <v>310</v>
      </c>
      <c r="D172" s="82" t="s">
        <v>284</v>
      </c>
      <c r="E172" s="230">
        <v>3</v>
      </c>
      <c r="F172" s="88">
        <v>5500</v>
      </c>
      <c r="G172" s="89">
        <f t="shared" si="11"/>
        <v>16500</v>
      </c>
      <c r="H172" s="118" t="str">
        <f t="array" ref="H172:K172">_xlfn.XLOOKUP(B172,'ESAP NEIVA FASE II UNIFICADO'!$B$6:$B$720,'ESAP NEIVA FASE II UNIFICADO'!$C$6:$F$720,"NO ESTA")</f>
        <v xml:space="preserve">SUMINISTRO E INSTALACIÓN SOPORTE DE 2 1/2"                                                               </v>
      </c>
      <c r="I172" t="str">
        <v xml:space="preserve">UN   </v>
      </c>
      <c r="J172">
        <v>7</v>
      </c>
      <c r="K172">
        <v>5644</v>
      </c>
      <c r="L172">
        <f t="shared" si="12"/>
        <v>0</v>
      </c>
      <c r="M172">
        <f t="shared" si="13"/>
        <v>0</v>
      </c>
      <c r="N172" s="119">
        <f t="shared" si="14"/>
        <v>3</v>
      </c>
      <c r="O172" s="119">
        <f t="shared" si="15"/>
        <v>0</v>
      </c>
    </row>
    <row r="173" spans="2:15" ht="15" customHeight="1" x14ac:dyDescent="0.25">
      <c r="B173" s="86" t="s">
        <v>311</v>
      </c>
      <c r="C173" s="87" t="s">
        <v>312</v>
      </c>
      <c r="D173" s="82" t="s">
        <v>284</v>
      </c>
      <c r="E173" s="230">
        <v>15</v>
      </c>
      <c r="F173" s="88">
        <v>62592</v>
      </c>
      <c r="G173" s="89">
        <f t="shared" si="11"/>
        <v>938880</v>
      </c>
      <c r="H173" s="118" t="str">
        <f t="array" ref="H173:K173">_xlfn.XLOOKUP(B173,'ESAP NEIVA FASE II UNIFICADO'!$B$6:$B$720,'ESAP NEIVA FASE II UNIFICADO'!$C$6:$F$720,"NO ESTA")</f>
        <v xml:space="preserve">SUMINISTRO E INSTALACIÓN PUNTO HIDRÁULICO PVC-P 1/2"                                                      </v>
      </c>
      <c r="I173" t="str">
        <v xml:space="preserve">UN   </v>
      </c>
      <c r="J173">
        <v>41</v>
      </c>
      <c r="K173">
        <v>64227</v>
      </c>
      <c r="L173">
        <f t="shared" si="12"/>
        <v>0</v>
      </c>
      <c r="M173">
        <f t="shared" si="13"/>
        <v>0</v>
      </c>
      <c r="N173" s="119">
        <f t="shared" si="14"/>
        <v>15</v>
      </c>
      <c r="O173" s="119">
        <f t="shared" si="15"/>
        <v>0</v>
      </c>
    </row>
    <row r="174" spans="2:15" ht="15" customHeight="1" x14ac:dyDescent="0.25">
      <c r="B174" s="86" t="s">
        <v>313</v>
      </c>
      <c r="C174" s="87" t="s">
        <v>314</v>
      </c>
      <c r="D174" s="82" t="s">
        <v>284</v>
      </c>
      <c r="E174" s="230">
        <v>5</v>
      </c>
      <c r="F174" s="88">
        <v>66691</v>
      </c>
      <c r="G174" s="89">
        <f t="shared" si="11"/>
        <v>333455</v>
      </c>
      <c r="H174" s="118" t="str">
        <f t="array" ref="H174:K174">_xlfn.XLOOKUP(B174,'ESAP NEIVA FASE II UNIFICADO'!$B$6:$B$720,'ESAP NEIVA FASE II UNIFICADO'!$C$6:$F$720,"NO ESTA")</f>
        <v xml:space="preserve">SUMINISTRO E INSTALACIÓN PUNTO HIDRÁULICO PVC-P 3/4"                                                      </v>
      </c>
      <c r="I174" t="str">
        <v xml:space="preserve">UN   </v>
      </c>
      <c r="J174">
        <v>14</v>
      </c>
      <c r="K174">
        <v>68433</v>
      </c>
      <c r="L174">
        <f t="shared" si="12"/>
        <v>0</v>
      </c>
      <c r="M174">
        <f t="shared" si="13"/>
        <v>0</v>
      </c>
      <c r="N174" s="119">
        <f t="shared" si="14"/>
        <v>5</v>
      </c>
      <c r="O174" s="119">
        <f t="shared" si="15"/>
        <v>0</v>
      </c>
    </row>
    <row r="175" spans="2:15" ht="15" customHeight="1" x14ac:dyDescent="0.25">
      <c r="B175" s="86" t="s">
        <v>315</v>
      </c>
      <c r="C175" s="87" t="s">
        <v>316</v>
      </c>
      <c r="D175" s="82" t="s">
        <v>284</v>
      </c>
      <c r="E175" s="230">
        <v>15</v>
      </c>
      <c r="F175" s="88">
        <v>94960</v>
      </c>
      <c r="G175" s="89">
        <f t="shared" si="11"/>
        <v>1424400</v>
      </c>
      <c r="H175" s="118" t="str">
        <f t="array" ref="H175:K175">_xlfn.XLOOKUP(B175,'ESAP NEIVA FASE II UNIFICADO'!$B$6:$B$720,'ESAP NEIVA FASE II UNIFICADO'!$C$6:$F$720,"NO ESTA")</f>
        <v xml:space="preserve">SUMINISTRO E INSTALACIÓN PUNTO HIDRÁULICO PVC-P 1 1/4"                                                    </v>
      </c>
      <c r="I175" t="str">
        <v xml:space="preserve">UN   </v>
      </c>
      <c r="J175">
        <v>39</v>
      </c>
      <c r="K175">
        <v>97439</v>
      </c>
      <c r="L175">
        <f t="shared" si="12"/>
        <v>0</v>
      </c>
      <c r="M175">
        <f t="shared" si="13"/>
        <v>0</v>
      </c>
      <c r="N175" s="119">
        <f t="shared" si="14"/>
        <v>15</v>
      </c>
      <c r="O175" s="119">
        <f t="shared" si="15"/>
        <v>0</v>
      </c>
    </row>
    <row r="176" spans="2:15" ht="15" customHeight="1" x14ac:dyDescent="0.25">
      <c r="B176" s="86" t="s">
        <v>317</v>
      </c>
      <c r="C176" s="87" t="s">
        <v>318</v>
      </c>
      <c r="D176" s="82" t="s">
        <v>284</v>
      </c>
      <c r="E176" s="230">
        <v>5</v>
      </c>
      <c r="F176" s="88">
        <v>61701</v>
      </c>
      <c r="G176" s="89">
        <f t="shared" si="11"/>
        <v>308505</v>
      </c>
      <c r="H176" s="118" t="str">
        <f t="array" ref="H176:K176">_xlfn.XLOOKUP(B176,'ESAP NEIVA FASE II UNIFICADO'!$B$6:$B$720,'ESAP NEIVA FASE II UNIFICADO'!$C$6:$F$720,"NO ESTA")</f>
        <v xml:space="preserve">SUMINISTRO E INSTALACIÓN REGISTRO CORTINA ROSCAR 1/2"                                                   </v>
      </c>
      <c r="I176" t="str">
        <v xml:space="preserve">UN   </v>
      </c>
      <c r="J176">
        <v>12</v>
      </c>
      <c r="K176">
        <v>63313</v>
      </c>
      <c r="L176">
        <f t="shared" si="12"/>
        <v>0</v>
      </c>
      <c r="M176">
        <f t="shared" si="13"/>
        <v>0</v>
      </c>
      <c r="N176" s="119">
        <f t="shared" si="14"/>
        <v>5</v>
      </c>
      <c r="O176" s="119">
        <f t="shared" si="15"/>
        <v>0</v>
      </c>
    </row>
    <row r="177" spans="2:15" ht="15" customHeight="1" x14ac:dyDescent="0.25">
      <c r="B177" s="86" t="s">
        <v>319</v>
      </c>
      <c r="C177" s="87" t="s">
        <v>320</v>
      </c>
      <c r="D177" s="82" t="s">
        <v>284</v>
      </c>
      <c r="E177" s="230">
        <v>2</v>
      </c>
      <c r="F177" s="88">
        <v>159908</v>
      </c>
      <c r="G177" s="89">
        <f t="shared" si="11"/>
        <v>319816</v>
      </c>
      <c r="H177" s="118" t="str">
        <f t="array" ref="H177:K177">_xlfn.XLOOKUP(B177,'ESAP NEIVA FASE II UNIFICADO'!$B$6:$B$720,'ESAP NEIVA FASE II UNIFICADO'!$C$6:$F$720,"NO ESTA")</f>
        <v xml:space="preserve">SUMINISTRO E INSTALACIÓN REGISTRO CORTINA P/D ROSCAR 1 1/4"                                                 </v>
      </c>
      <c r="I177" t="str">
        <v xml:space="preserve">UN   </v>
      </c>
      <c r="J177">
        <v>6</v>
      </c>
      <c r="K177">
        <v>164084</v>
      </c>
      <c r="L177">
        <f t="shared" si="12"/>
        <v>0</v>
      </c>
      <c r="M177">
        <f t="shared" si="13"/>
        <v>0</v>
      </c>
      <c r="N177" s="119">
        <f t="shared" si="14"/>
        <v>2</v>
      </c>
      <c r="O177" s="119">
        <f t="shared" si="15"/>
        <v>0</v>
      </c>
    </row>
    <row r="178" spans="2:15" ht="15" customHeight="1" x14ac:dyDescent="0.25">
      <c r="B178" s="86" t="s">
        <v>321</v>
      </c>
      <c r="C178" s="87" t="s">
        <v>322</v>
      </c>
      <c r="D178" s="82" t="s">
        <v>284</v>
      </c>
      <c r="E178" s="230">
        <v>2</v>
      </c>
      <c r="F178" s="88">
        <v>217082</v>
      </c>
      <c r="G178" s="89">
        <f t="shared" si="11"/>
        <v>434164</v>
      </c>
      <c r="H178" s="118" t="str">
        <f t="array" ref="H178:K178">_xlfn.XLOOKUP(B178,'ESAP NEIVA FASE II UNIFICADO'!$B$6:$B$720,'ESAP NEIVA FASE II UNIFICADO'!$C$6:$F$720,"NO ESTA")</f>
        <v xml:space="preserve">SUMINISTRO E INSTALACIÓN REGISTRO CORTINA P/D ROSCAR 1 1/2"                                                 </v>
      </c>
      <c r="I178" t="str">
        <v xml:space="preserve">UN   </v>
      </c>
      <c r="J178">
        <v>6</v>
      </c>
      <c r="K178">
        <v>222753</v>
      </c>
      <c r="L178">
        <f t="shared" si="12"/>
        <v>0</v>
      </c>
      <c r="M178">
        <f t="shared" si="13"/>
        <v>0</v>
      </c>
      <c r="N178" s="119">
        <f t="shared" si="14"/>
        <v>2</v>
      </c>
      <c r="O178" s="119">
        <f t="shared" si="15"/>
        <v>0</v>
      </c>
    </row>
    <row r="179" spans="2:15" ht="15" customHeight="1" x14ac:dyDescent="0.25">
      <c r="B179" s="86" t="s">
        <v>323</v>
      </c>
      <c r="C179" s="87" t="s">
        <v>324</v>
      </c>
      <c r="D179" s="82" t="s">
        <v>284</v>
      </c>
      <c r="E179" s="230">
        <v>2</v>
      </c>
      <c r="F179" s="88">
        <v>105676</v>
      </c>
      <c r="G179" s="89">
        <f t="shared" si="11"/>
        <v>211352</v>
      </c>
      <c r="H179" s="118" t="str">
        <f t="array" ref="H179:K179">_xlfn.XLOOKUP(B179,'ESAP NEIVA FASE II UNIFICADO'!$B$6:$B$720,'ESAP NEIVA FASE II UNIFICADO'!$C$6:$F$720,"NO ESTA")</f>
        <v xml:space="preserve">SUMINISTRO E INSTALACIÓN VÁLVULA FLOTADOR 1"                                                           </v>
      </c>
      <c r="I179" t="str">
        <v xml:space="preserve">UN   </v>
      </c>
      <c r="J179">
        <v>0</v>
      </c>
      <c r="K179">
        <v>108436</v>
      </c>
      <c r="L179">
        <f t="shared" si="12"/>
        <v>1</v>
      </c>
      <c r="M179">
        <f t="shared" si="13"/>
        <v>105676</v>
      </c>
      <c r="N179" s="119">
        <f t="shared" si="14"/>
        <v>2</v>
      </c>
      <c r="O179" s="119">
        <f t="shared" si="15"/>
        <v>211352</v>
      </c>
    </row>
    <row r="180" spans="2:15" ht="15" customHeight="1" x14ac:dyDescent="0.25">
      <c r="B180" s="86" t="s">
        <v>325</v>
      </c>
      <c r="C180" s="87" t="s">
        <v>326</v>
      </c>
      <c r="D180" s="82" t="s">
        <v>284</v>
      </c>
      <c r="E180" s="230">
        <v>1</v>
      </c>
      <c r="F180" s="88">
        <v>165249</v>
      </c>
      <c r="G180" s="89">
        <f t="shared" si="11"/>
        <v>165249</v>
      </c>
      <c r="H180" s="118" t="str">
        <f t="array" ref="H180:K180">_xlfn.XLOOKUP(B180,'ESAP NEIVA FASE II UNIFICADO'!$B$6:$B$720,'ESAP NEIVA FASE II UNIFICADO'!$C$6:$F$720,"NO ESTA")</f>
        <v xml:space="preserve">SUMINISTRO E INSTALACIÓN MEDIDOR VELOCIMETRICO  3/4"                                                   </v>
      </c>
      <c r="I180" t="str">
        <v xml:space="preserve">UN   </v>
      </c>
      <c r="J180">
        <v>0</v>
      </c>
      <c r="K180">
        <v>169565</v>
      </c>
      <c r="L180">
        <f t="shared" si="12"/>
        <v>1</v>
      </c>
      <c r="M180">
        <f t="shared" si="13"/>
        <v>165249</v>
      </c>
      <c r="N180" s="119">
        <f t="shared" si="14"/>
        <v>1</v>
      </c>
      <c r="O180" s="119">
        <f t="shared" si="15"/>
        <v>165249</v>
      </c>
    </row>
    <row r="181" spans="2:15" ht="15" customHeight="1" x14ac:dyDescent="0.25">
      <c r="B181" s="80" t="s">
        <v>327</v>
      </c>
      <c r="C181" s="81" t="s">
        <v>328</v>
      </c>
      <c r="D181" s="82"/>
      <c r="E181" s="230"/>
      <c r="F181" s="90">
        <v>0</v>
      </c>
      <c r="G181" s="89">
        <f t="shared" si="11"/>
        <v>0</v>
      </c>
      <c r="H181" s="118" t="str">
        <f t="array" ref="H181:K181">_xlfn.XLOOKUP(B181,'ESAP NEIVA FASE II UNIFICADO'!$B$6:$B$720,'ESAP NEIVA FASE II UNIFICADO'!$C$6:$F$720,"NO ESTA")</f>
        <v xml:space="preserve">SUMINISTRO E INSTALACION RED DESAGÜES AGUAS RESIDUALES                                                                              </v>
      </c>
      <c r="I181">
        <v>0</v>
      </c>
      <c r="J181">
        <v>0</v>
      </c>
      <c r="K181">
        <v>0</v>
      </c>
      <c r="L181">
        <f t="shared" si="12"/>
        <v>1</v>
      </c>
      <c r="M181">
        <f t="shared" si="13"/>
        <v>0</v>
      </c>
      <c r="N181" s="119">
        <f t="shared" si="14"/>
        <v>0</v>
      </c>
      <c r="O181" s="119">
        <f t="shared" si="15"/>
        <v>0</v>
      </c>
    </row>
    <row r="182" spans="2:15" ht="15" customHeight="1" x14ac:dyDescent="0.25">
      <c r="B182" s="86" t="s">
        <v>329</v>
      </c>
      <c r="C182" s="87" t="s">
        <v>330</v>
      </c>
      <c r="D182" s="82" t="s">
        <v>269</v>
      </c>
      <c r="E182" s="230">
        <v>12</v>
      </c>
      <c r="F182" s="88">
        <v>23929</v>
      </c>
      <c r="G182" s="89">
        <f t="shared" si="11"/>
        <v>287148</v>
      </c>
      <c r="H182" s="118" t="str">
        <f t="array" ref="H182:K182">_xlfn.XLOOKUP(B182,'ESAP NEIVA FASE II UNIFICADO'!$B$6:$B$720,'ESAP NEIVA FASE II UNIFICADO'!$C$6:$F$720,"NO ESTA")</f>
        <v xml:space="preserve">SUMINISTRO E INSTALACIÓN TUBERIA PVC-S DIAMETRO 2"                                                                        </v>
      </c>
      <c r="I182" t="str">
        <v xml:space="preserve">ML   </v>
      </c>
      <c r="J182">
        <v>34</v>
      </c>
      <c r="K182">
        <v>24554</v>
      </c>
      <c r="L182">
        <f t="shared" si="12"/>
        <v>0</v>
      </c>
      <c r="M182">
        <f t="shared" si="13"/>
        <v>0</v>
      </c>
      <c r="N182" s="119">
        <f t="shared" si="14"/>
        <v>12</v>
      </c>
      <c r="O182" s="119">
        <f t="shared" si="15"/>
        <v>0</v>
      </c>
    </row>
    <row r="183" spans="2:15" ht="15" customHeight="1" x14ac:dyDescent="0.25">
      <c r="B183" s="86" t="s">
        <v>331</v>
      </c>
      <c r="C183" s="87" t="s">
        <v>332</v>
      </c>
      <c r="D183" s="82" t="s">
        <v>269</v>
      </c>
      <c r="E183" s="230">
        <v>58</v>
      </c>
      <c r="F183" s="88">
        <v>35215</v>
      </c>
      <c r="G183" s="89">
        <f t="shared" si="11"/>
        <v>2042470</v>
      </c>
      <c r="H183" s="118" t="str">
        <f t="array" ref="H183:K183">_xlfn.XLOOKUP(B183,'ESAP NEIVA FASE II UNIFICADO'!$B$6:$B$720,'ESAP NEIVA FASE II UNIFICADO'!$C$6:$F$720,"NO ESTA")</f>
        <v xml:space="preserve">SUMINISTRO E INSTALACIÓN TUBERIA PVC-S DIAMETRO 3"                                                                        </v>
      </c>
      <c r="I183" t="str">
        <v xml:space="preserve">ML   </v>
      </c>
      <c r="J183">
        <v>157</v>
      </c>
      <c r="K183">
        <v>36135</v>
      </c>
      <c r="L183">
        <f t="shared" si="12"/>
        <v>0</v>
      </c>
      <c r="M183">
        <f t="shared" si="13"/>
        <v>0</v>
      </c>
      <c r="N183" s="119">
        <f t="shared" si="14"/>
        <v>58</v>
      </c>
      <c r="O183" s="119">
        <f t="shared" si="15"/>
        <v>0</v>
      </c>
    </row>
    <row r="184" spans="2:15" ht="15" customHeight="1" x14ac:dyDescent="0.25">
      <c r="B184" s="86" t="s">
        <v>333</v>
      </c>
      <c r="C184" s="87" t="s">
        <v>334</v>
      </c>
      <c r="D184" s="82" t="s">
        <v>269</v>
      </c>
      <c r="E184" s="230">
        <v>101</v>
      </c>
      <c r="F184" s="88">
        <v>50238</v>
      </c>
      <c r="G184" s="89">
        <f t="shared" si="11"/>
        <v>5074038</v>
      </c>
      <c r="H184" s="118" t="str">
        <f t="array" ref="H184:K184">_xlfn.XLOOKUP(B184,'ESAP NEIVA FASE II UNIFICADO'!$B$6:$B$720,'ESAP NEIVA FASE II UNIFICADO'!$C$6:$F$720,"NO ESTA")</f>
        <v xml:space="preserve">SUMINISTRO E INSTALACIÓN TUBERÍA PVC-S DIAMETRO 4"                                                                        </v>
      </c>
      <c r="I184" t="str">
        <v xml:space="preserve">ML   </v>
      </c>
      <c r="J184">
        <v>272</v>
      </c>
      <c r="K184">
        <v>51550</v>
      </c>
      <c r="L184">
        <f t="shared" si="12"/>
        <v>0</v>
      </c>
      <c r="M184">
        <f t="shared" si="13"/>
        <v>0</v>
      </c>
      <c r="N184" s="119">
        <f t="shared" si="14"/>
        <v>101</v>
      </c>
      <c r="O184" s="119">
        <f t="shared" si="15"/>
        <v>0</v>
      </c>
    </row>
    <row r="185" spans="2:15" ht="15" customHeight="1" x14ac:dyDescent="0.25">
      <c r="B185" s="86" t="s">
        <v>335</v>
      </c>
      <c r="C185" s="87" t="s">
        <v>336</v>
      </c>
      <c r="D185" s="82" t="s">
        <v>269</v>
      </c>
      <c r="E185" s="230">
        <v>26</v>
      </c>
      <c r="F185" s="88">
        <v>20823</v>
      </c>
      <c r="G185" s="89">
        <f t="shared" si="11"/>
        <v>541398</v>
      </c>
      <c r="H185" s="118" t="str">
        <f t="array" ref="H185:K185">_xlfn.XLOOKUP(B185,'ESAP NEIVA FASE II UNIFICADO'!$B$6:$B$720,'ESAP NEIVA FASE II UNIFICADO'!$C$6:$F$720,"NO ESTA")</f>
        <v xml:space="preserve">SUMINISTRO E INSTALACIÓN TUBERIA PVC-VENT DIAMETRO 2"                                                                     </v>
      </c>
      <c r="I185" t="str">
        <v xml:space="preserve">ML   </v>
      </c>
      <c r="J185">
        <v>72</v>
      </c>
      <c r="K185">
        <v>21367</v>
      </c>
      <c r="L185">
        <f t="shared" si="12"/>
        <v>0</v>
      </c>
      <c r="M185">
        <f t="shared" si="13"/>
        <v>0</v>
      </c>
      <c r="N185" s="119">
        <f t="shared" si="14"/>
        <v>26</v>
      </c>
      <c r="O185" s="119">
        <f t="shared" si="15"/>
        <v>0</v>
      </c>
    </row>
    <row r="186" spans="2:15" ht="15" customHeight="1" x14ac:dyDescent="0.25">
      <c r="B186" s="86" t="s">
        <v>337</v>
      </c>
      <c r="C186" s="87" t="s">
        <v>338</v>
      </c>
      <c r="D186" s="82" t="s">
        <v>269</v>
      </c>
      <c r="E186" s="230">
        <v>36</v>
      </c>
      <c r="F186" s="88">
        <v>30959</v>
      </c>
      <c r="G186" s="89">
        <f t="shared" si="11"/>
        <v>1114524</v>
      </c>
      <c r="H186" s="118" t="str">
        <f t="array" ref="H186:K186">_xlfn.XLOOKUP(B186,'ESAP NEIVA FASE II UNIFICADO'!$B$6:$B$720,'ESAP NEIVA FASE II UNIFICADO'!$C$6:$F$720,"NO ESTA")</f>
        <v xml:space="preserve">SUMINISTRO E INSTALACIÓN TUBERIA PVC-VENT DIAMETRO 3"                                                                     </v>
      </c>
      <c r="I186" t="str">
        <v xml:space="preserve">ML   </v>
      </c>
      <c r="J186">
        <v>97</v>
      </c>
      <c r="K186">
        <v>31767</v>
      </c>
      <c r="L186">
        <f t="shared" si="12"/>
        <v>0</v>
      </c>
      <c r="M186">
        <f t="shared" si="13"/>
        <v>0</v>
      </c>
      <c r="N186" s="119">
        <f t="shared" si="14"/>
        <v>36</v>
      </c>
      <c r="O186" s="119">
        <f t="shared" si="15"/>
        <v>0</v>
      </c>
    </row>
    <row r="187" spans="2:15" ht="15" customHeight="1" x14ac:dyDescent="0.25">
      <c r="B187" s="86" t="s">
        <v>339</v>
      </c>
      <c r="C187" s="87" t="s">
        <v>340</v>
      </c>
      <c r="D187" s="82" t="s">
        <v>284</v>
      </c>
      <c r="E187" s="230">
        <v>45</v>
      </c>
      <c r="F187" s="88">
        <v>7320</v>
      </c>
      <c r="G187" s="89">
        <f t="shared" si="11"/>
        <v>329400</v>
      </c>
      <c r="H187" s="118" t="str">
        <f t="array" ref="H187:K187">_xlfn.XLOOKUP(B187,'ESAP NEIVA FASE II UNIFICADO'!$B$6:$B$720,'ESAP NEIVA FASE II UNIFICADO'!$C$6:$F$720,"NO ESTA")</f>
        <v xml:space="preserve">SUMINISTRO E INSTALACIÓN ACCESORIOS PVC-S DIAMETRO  2"                                                             </v>
      </c>
      <c r="I187" t="str">
        <v xml:space="preserve">UN   </v>
      </c>
      <c r="J187">
        <v>122</v>
      </c>
      <c r="K187">
        <v>7512</v>
      </c>
      <c r="L187">
        <f t="shared" si="12"/>
        <v>0</v>
      </c>
      <c r="M187">
        <f t="shared" si="13"/>
        <v>0</v>
      </c>
      <c r="N187" s="119">
        <f t="shared" si="14"/>
        <v>45</v>
      </c>
      <c r="O187" s="119">
        <f t="shared" si="15"/>
        <v>0</v>
      </c>
    </row>
    <row r="188" spans="2:15" ht="15" customHeight="1" x14ac:dyDescent="0.25">
      <c r="B188" s="86" t="s">
        <v>341</v>
      </c>
      <c r="C188" s="87" t="s">
        <v>342</v>
      </c>
      <c r="D188" s="82" t="s">
        <v>284</v>
      </c>
      <c r="E188" s="230">
        <v>60</v>
      </c>
      <c r="F188" s="88">
        <v>10429</v>
      </c>
      <c r="G188" s="89">
        <f t="shared" si="11"/>
        <v>625740</v>
      </c>
      <c r="H188" s="118" t="str">
        <f t="array" ref="H188:K188">_xlfn.XLOOKUP(B188,'ESAP NEIVA FASE II UNIFICADO'!$B$6:$B$720,'ESAP NEIVA FASE II UNIFICADO'!$C$6:$F$720,"NO ESTA")</f>
        <v xml:space="preserve">SUMINISTRO E INSTALACIÓN ACCESORIOS PVC-S DIAMETRO  3"                                                             </v>
      </c>
      <c r="I188" t="str">
        <v xml:space="preserve">UN   </v>
      </c>
      <c r="J188">
        <v>161</v>
      </c>
      <c r="K188">
        <v>10700</v>
      </c>
      <c r="L188">
        <f t="shared" si="12"/>
        <v>0</v>
      </c>
      <c r="M188">
        <f t="shared" si="13"/>
        <v>0</v>
      </c>
      <c r="N188" s="119">
        <f t="shared" si="14"/>
        <v>60</v>
      </c>
      <c r="O188" s="119">
        <f t="shared" si="15"/>
        <v>0</v>
      </c>
    </row>
    <row r="189" spans="2:15" ht="15" customHeight="1" x14ac:dyDescent="0.25">
      <c r="B189" s="86" t="s">
        <v>343</v>
      </c>
      <c r="C189" s="87" t="s">
        <v>344</v>
      </c>
      <c r="D189" s="82" t="s">
        <v>284</v>
      </c>
      <c r="E189" s="230">
        <v>106</v>
      </c>
      <c r="F189" s="88">
        <v>15324</v>
      </c>
      <c r="G189" s="89">
        <f t="shared" si="11"/>
        <v>1624344</v>
      </c>
      <c r="H189" s="118" t="str">
        <f t="array" ref="H189:K189">_xlfn.XLOOKUP(B189,'ESAP NEIVA FASE II UNIFICADO'!$B$6:$B$720,'ESAP NEIVA FASE II UNIFICADO'!$C$6:$F$720,"NO ESTA")</f>
        <v xml:space="preserve">SUMINISTRO E INSTALACIÓN ACCESORIOS PVC-S DIAMETRO  4"                                                             </v>
      </c>
      <c r="I189" t="str">
        <v xml:space="preserve">UN   </v>
      </c>
      <c r="J189">
        <v>288</v>
      </c>
      <c r="K189">
        <v>15725</v>
      </c>
      <c r="L189">
        <f t="shared" si="12"/>
        <v>0</v>
      </c>
      <c r="M189">
        <f t="shared" si="13"/>
        <v>0</v>
      </c>
      <c r="N189" s="119">
        <f t="shared" si="14"/>
        <v>106</v>
      </c>
      <c r="O189" s="119">
        <f t="shared" si="15"/>
        <v>0</v>
      </c>
    </row>
    <row r="190" spans="2:15" ht="15" customHeight="1" x14ac:dyDescent="0.25">
      <c r="B190" s="86" t="s">
        <v>345</v>
      </c>
      <c r="C190" s="87" t="s">
        <v>346</v>
      </c>
      <c r="D190" s="82" t="s">
        <v>284</v>
      </c>
      <c r="E190" s="230">
        <v>5</v>
      </c>
      <c r="F190" s="88">
        <v>4760</v>
      </c>
      <c r="G190" s="89">
        <f t="shared" si="11"/>
        <v>23800</v>
      </c>
      <c r="H190" s="118" t="str">
        <f t="array" ref="H190:K190">_xlfn.XLOOKUP(B190,'ESAP NEIVA FASE II UNIFICADO'!$B$6:$B$720,'ESAP NEIVA FASE II UNIFICADO'!$C$6:$F$720,"NO ESTA")</f>
        <v xml:space="preserve">SUMINISTRO E INSTALACIÓN SOPORTE 2"                                                                   </v>
      </c>
      <c r="I190" t="str">
        <v xml:space="preserve">UN   </v>
      </c>
      <c r="J190">
        <v>14</v>
      </c>
      <c r="K190">
        <v>4884</v>
      </c>
      <c r="L190">
        <f t="shared" si="12"/>
        <v>0</v>
      </c>
      <c r="M190">
        <f t="shared" si="13"/>
        <v>0</v>
      </c>
      <c r="N190" s="119">
        <f t="shared" si="14"/>
        <v>5</v>
      </c>
      <c r="O190" s="119">
        <f t="shared" si="15"/>
        <v>0</v>
      </c>
    </row>
    <row r="191" spans="2:15" ht="15" customHeight="1" x14ac:dyDescent="0.25">
      <c r="B191" s="86" t="s">
        <v>347</v>
      </c>
      <c r="C191" s="87" t="s">
        <v>348</v>
      </c>
      <c r="D191" s="82" t="s">
        <v>284</v>
      </c>
      <c r="E191" s="230">
        <v>23</v>
      </c>
      <c r="F191" s="88">
        <v>6054</v>
      </c>
      <c r="G191" s="89">
        <f t="shared" si="11"/>
        <v>139242</v>
      </c>
      <c r="H191" s="118" t="str">
        <f t="array" ref="H191:K191">_xlfn.XLOOKUP(B191,'ESAP NEIVA FASE II UNIFICADO'!$B$6:$B$720,'ESAP NEIVA FASE II UNIFICADO'!$C$6:$F$720,"NO ESTA")</f>
        <v xml:space="preserve">SUMINISTRO E INSTALACIÓN SOPORTE 3"                                                                   </v>
      </c>
      <c r="I191" t="str">
        <v xml:space="preserve">UN   </v>
      </c>
      <c r="J191">
        <v>64</v>
      </c>
      <c r="K191">
        <v>6212</v>
      </c>
      <c r="L191">
        <f t="shared" si="12"/>
        <v>0</v>
      </c>
      <c r="M191">
        <f t="shared" si="13"/>
        <v>0</v>
      </c>
      <c r="N191" s="119">
        <f t="shared" si="14"/>
        <v>23</v>
      </c>
      <c r="O191" s="119">
        <f t="shared" si="15"/>
        <v>0</v>
      </c>
    </row>
    <row r="192" spans="2:15" ht="15" customHeight="1" x14ac:dyDescent="0.25">
      <c r="B192" s="86" t="s">
        <v>349</v>
      </c>
      <c r="C192" s="87" t="s">
        <v>350</v>
      </c>
      <c r="D192" s="82" t="s">
        <v>284</v>
      </c>
      <c r="E192" s="230">
        <v>38</v>
      </c>
      <c r="F192" s="88">
        <v>12016</v>
      </c>
      <c r="G192" s="89">
        <f t="shared" si="11"/>
        <v>456608</v>
      </c>
      <c r="H192" s="118" t="str">
        <f t="array" ref="H192:K192">_xlfn.XLOOKUP(B192,'ESAP NEIVA FASE II UNIFICADO'!$B$6:$B$720,'ESAP NEIVA FASE II UNIFICADO'!$C$6:$F$720,"NO ESTA")</f>
        <v xml:space="preserve">SUMINISTRO E INSTALACIÓN SOPORTE 4"                                                                   </v>
      </c>
      <c r="I192" t="str">
        <v xml:space="preserve">UN   </v>
      </c>
      <c r="J192">
        <v>101</v>
      </c>
      <c r="K192">
        <v>12329</v>
      </c>
      <c r="L192">
        <f t="shared" si="12"/>
        <v>0</v>
      </c>
      <c r="M192">
        <f t="shared" si="13"/>
        <v>0</v>
      </c>
      <c r="N192" s="119">
        <f t="shared" si="14"/>
        <v>38</v>
      </c>
      <c r="O192" s="119">
        <f t="shared" si="15"/>
        <v>0</v>
      </c>
    </row>
    <row r="193" spans="2:15" ht="15" customHeight="1" x14ac:dyDescent="0.25">
      <c r="B193" s="86" t="s">
        <v>351</v>
      </c>
      <c r="C193" s="87" t="s">
        <v>352</v>
      </c>
      <c r="D193" s="82" t="s">
        <v>284</v>
      </c>
      <c r="E193" s="230">
        <v>14</v>
      </c>
      <c r="F193" s="88">
        <v>40331</v>
      </c>
      <c r="G193" s="89">
        <f t="shared" si="11"/>
        <v>564634</v>
      </c>
      <c r="H193" s="118" t="str">
        <f t="array" ref="H193:K193">_xlfn.XLOOKUP(B193,'ESAP NEIVA FASE II UNIFICADO'!$B$6:$B$720,'ESAP NEIVA FASE II UNIFICADO'!$C$6:$F$720,"NO ESTA")</f>
        <v xml:space="preserve">SUMINISTRO E INSTALACIÓN SALIDA SANITARIA 2"                                    </v>
      </c>
      <c r="I193" t="str">
        <v xml:space="preserve">UN   </v>
      </c>
      <c r="J193">
        <v>36</v>
      </c>
      <c r="K193">
        <v>41384</v>
      </c>
      <c r="L193">
        <f t="shared" si="12"/>
        <v>0</v>
      </c>
      <c r="M193">
        <f t="shared" si="13"/>
        <v>0</v>
      </c>
      <c r="N193" s="119">
        <f t="shared" si="14"/>
        <v>14</v>
      </c>
      <c r="O193" s="119">
        <f t="shared" si="15"/>
        <v>0</v>
      </c>
    </row>
    <row r="194" spans="2:15" ht="15" customHeight="1" x14ac:dyDescent="0.25">
      <c r="B194" s="86" t="s">
        <v>353</v>
      </c>
      <c r="C194" s="87" t="s">
        <v>354</v>
      </c>
      <c r="D194" s="82" t="s">
        <v>284</v>
      </c>
      <c r="E194" s="230">
        <v>9</v>
      </c>
      <c r="F194" s="88">
        <v>48749</v>
      </c>
      <c r="G194" s="89">
        <f t="shared" si="11"/>
        <v>438741</v>
      </c>
      <c r="H194" s="118" t="str">
        <f t="array" ref="H194:K194">_xlfn.XLOOKUP(B194,'ESAP NEIVA FASE II UNIFICADO'!$B$6:$B$720,'ESAP NEIVA FASE II UNIFICADO'!$C$6:$F$720,"NO ESTA")</f>
        <v xml:space="preserve">SUMINISTRO E INSTALACIÓN SALIDA SANITARIA 3"                                    </v>
      </c>
      <c r="I194" t="str">
        <v xml:space="preserve">UN   </v>
      </c>
      <c r="J194">
        <v>23</v>
      </c>
      <c r="K194">
        <v>50021</v>
      </c>
      <c r="L194">
        <f t="shared" si="12"/>
        <v>0</v>
      </c>
      <c r="M194">
        <f t="shared" si="13"/>
        <v>0</v>
      </c>
      <c r="N194" s="119">
        <f t="shared" si="14"/>
        <v>9</v>
      </c>
      <c r="O194" s="119">
        <f t="shared" si="15"/>
        <v>0</v>
      </c>
    </row>
    <row r="195" spans="2:15" ht="15" customHeight="1" x14ac:dyDescent="0.25">
      <c r="B195" s="86" t="s">
        <v>355</v>
      </c>
      <c r="C195" s="87" t="s">
        <v>356</v>
      </c>
      <c r="D195" s="82" t="s">
        <v>284</v>
      </c>
      <c r="E195" s="230">
        <v>16</v>
      </c>
      <c r="F195" s="88">
        <v>59907</v>
      </c>
      <c r="G195" s="89">
        <f t="shared" si="11"/>
        <v>958512</v>
      </c>
      <c r="H195" s="118" t="str">
        <f t="array" ref="H195:K195">_xlfn.XLOOKUP(B195,'ESAP NEIVA FASE II UNIFICADO'!$B$6:$B$720,'ESAP NEIVA FASE II UNIFICADO'!$C$6:$F$720,"NO ESTA")</f>
        <v xml:space="preserve">SUMINISTRO E INSTALACIÓN SALIDA SANITARIA 4"                                    </v>
      </c>
      <c r="I195" t="str">
        <v xml:space="preserve">UN   </v>
      </c>
      <c r="J195">
        <v>42</v>
      </c>
      <c r="K195">
        <v>61472</v>
      </c>
      <c r="L195">
        <f t="shared" si="12"/>
        <v>0</v>
      </c>
      <c r="M195">
        <f t="shared" si="13"/>
        <v>0</v>
      </c>
      <c r="N195" s="119">
        <f t="shared" si="14"/>
        <v>16</v>
      </c>
      <c r="O195" s="119">
        <f t="shared" si="15"/>
        <v>0</v>
      </c>
    </row>
    <row r="196" spans="2:15" ht="15" customHeight="1" x14ac:dyDescent="0.25">
      <c r="B196" s="86" t="s">
        <v>357</v>
      </c>
      <c r="C196" s="87" t="s">
        <v>358</v>
      </c>
      <c r="D196" s="82" t="s">
        <v>284</v>
      </c>
      <c r="E196" s="230">
        <v>1</v>
      </c>
      <c r="F196" s="88">
        <v>528504</v>
      </c>
      <c r="G196" s="89">
        <f t="shared" si="11"/>
        <v>528504</v>
      </c>
      <c r="H196" s="118" t="str">
        <f t="array" ref="H196:K196">_xlfn.XLOOKUP(B196,'ESAP NEIVA FASE II UNIFICADO'!$B$6:$B$720,'ESAP NEIVA FASE II UNIFICADO'!$C$6:$F$720,"NO ESTA")</f>
        <v xml:space="preserve">SUMINISTRO Y CONSTRUCCIÓN CAJA DE INSPECCIÓN 0.80mX0.80m H mäx:1.0m                                                                    </v>
      </c>
      <c r="I196" t="str">
        <v xml:space="preserve">UN   </v>
      </c>
      <c r="J196">
        <v>1</v>
      </c>
      <c r="K196">
        <v>542308</v>
      </c>
      <c r="L196">
        <f t="shared" si="12"/>
        <v>0</v>
      </c>
      <c r="M196">
        <f t="shared" si="13"/>
        <v>0</v>
      </c>
      <c r="N196" s="119">
        <f t="shared" si="14"/>
        <v>1</v>
      </c>
      <c r="O196" s="119">
        <f t="shared" si="15"/>
        <v>0</v>
      </c>
    </row>
    <row r="197" spans="2:15" ht="15" customHeight="1" x14ac:dyDescent="0.25">
      <c r="B197" s="86" t="s">
        <v>359</v>
      </c>
      <c r="C197" s="87" t="s">
        <v>360</v>
      </c>
      <c r="D197" s="82" t="s">
        <v>269</v>
      </c>
      <c r="E197" s="230">
        <v>11</v>
      </c>
      <c r="F197" s="88">
        <v>44632</v>
      </c>
      <c r="G197" s="89">
        <f t="shared" si="11"/>
        <v>490952</v>
      </c>
      <c r="H197" s="118" t="str">
        <f t="array" ref="H197:K197">_xlfn.XLOOKUP(B197,'ESAP NEIVA FASE II UNIFICADO'!$B$6:$B$720,'ESAP NEIVA FASE II UNIFICADO'!$C$6:$F$720,"NO ESTA")</f>
        <v xml:space="preserve">SUMINISTRO E INSTALACIÓN TUBERIA PVC-ALC DIAMETRO 160mm                                                                   </v>
      </c>
      <c r="I197" t="str">
        <v xml:space="preserve">ML   </v>
      </c>
      <c r="J197">
        <v>29</v>
      </c>
      <c r="K197">
        <v>45798</v>
      </c>
      <c r="L197">
        <f t="shared" si="12"/>
        <v>0</v>
      </c>
      <c r="M197">
        <f t="shared" si="13"/>
        <v>0</v>
      </c>
      <c r="N197" s="119">
        <f t="shared" si="14"/>
        <v>11</v>
      </c>
      <c r="O197" s="119">
        <f t="shared" si="15"/>
        <v>0</v>
      </c>
    </row>
    <row r="198" spans="2:15" ht="15" customHeight="1" x14ac:dyDescent="0.25">
      <c r="B198" s="86" t="s">
        <v>361</v>
      </c>
      <c r="C198" s="87" t="s">
        <v>362</v>
      </c>
      <c r="D198" s="82" t="s">
        <v>269</v>
      </c>
      <c r="E198" s="230">
        <v>3</v>
      </c>
      <c r="F198" s="88">
        <v>62327</v>
      </c>
      <c r="G198" s="89">
        <f t="shared" ref="G198:G261" si="16">ROUND(+F198*E198,2)</f>
        <v>186981</v>
      </c>
      <c r="H198" s="118" t="str">
        <f t="array" ref="H198:K198">_xlfn.XLOOKUP(B198,'ESAP NEIVA FASE II UNIFICADO'!$B$6:$B$720,'ESAP NEIVA FASE II UNIFICADO'!$C$6:$F$720,"NO ESTA")</f>
        <v xml:space="preserve">SUMINISTRO E INSTALACIÓN TUBERIA PVC-ALC DIAMETRO 200mm                                                                   </v>
      </c>
      <c r="I198" t="str">
        <v xml:space="preserve">ML   </v>
      </c>
      <c r="J198">
        <v>7</v>
      </c>
      <c r="K198">
        <v>63955</v>
      </c>
      <c r="L198">
        <f t="shared" si="12"/>
        <v>0</v>
      </c>
      <c r="M198">
        <f t="shared" si="13"/>
        <v>0</v>
      </c>
      <c r="N198" s="119">
        <f t="shared" si="14"/>
        <v>3</v>
      </c>
      <c r="O198" s="119">
        <f t="shared" si="15"/>
        <v>0</v>
      </c>
    </row>
    <row r="199" spans="2:15" ht="15" customHeight="1" x14ac:dyDescent="0.25">
      <c r="B199" s="86" t="s">
        <v>363</v>
      </c>
      <c r="C199" s="87" t="s">
        <v>364</v>
      </c>
      <c r="D199" s="82" t="s">
        <v>269</v>
      </c>
      <c r="E199" s="230">
        <v>11</v>
      </c>
      <c r="F199" s="88">
        <v>94694</v>
      </c>
      <c r="G199" s="89">
        <f t="shared" si="16"/>
        <v>1041634</v>
      </c>
      <c r="H199" s="118" t="str">
        <f t="array" ref="H199:K199">_xlfn.XLOOKUP(B199,'ESAP NEIVA FASE II UNIFICADO'!$B$6:$B$720,'ESAP NEIVA FASE II UNIFICADO'!$C$6:$F$720,"NO ESTA")</f>
        <v xml:space="preserve">SUMINISTRO E INSTALACIÓN TUBERÍA PVC-P DIAMETRO 4"                                                        </v>
      </c>
      <c r="I199" t="str">
        <v xml:space="preserve">ML   </v>
      </c>
      <c r="J199">
        <v>29</v>
      </c>
      <c r="K199">
        <v>97168</v>
      </c>
      <c r="L199">
        <f t="shared" si="12"/>
        <v>0</v>
      </c>
      <c r="M199">
        <f t="shared" si="13"/>
        <v>0</v>
      </c>
      <c r="N199" s="119">
        <f t="shared" si="14"/>
        <v>11</v>
      </c>
      <c r="O199" s="119">
        <f t="shared" si="15"/>
        <v>0</v>
      </c>
    </row>
    <row r="200" spans="2:15" ht="15" customHeight="1" x14ac:dyDescent="0.25">
      <c r="B200" s="86" t="s">
        <v>365</v>
      </c>
      <c r="C200" s="87" t="s">
        <v>366</v>
      </c>
      <c r="D200" s="82" t="s">
        <v>284</v>
      </c>
      <c r="E200" s="230">
        <v>5</v>
      </c>
      <c r="F200" s="88">
        <v>76259</v>
      </c>
      <c r="G200" s="89">
        <f t="shared" si="16"/>
        <v>381295</v>
      </c>
      <c r="H200" s="118" t="str">
        <f t="array" ref="H200:K200">_xlfn.XLOOKUP(B200,'ESAP NEIVA FASE II UNIFICADO'!$B$6:$B$720,'ESAP NEIVA FASE II UNIFICADO'!$C$6:$F$720,"NO ESTA")</f>
        <v xml:space="preserve">SUMINISTRO E INSTALACIÓN ACCESORIOS PVC-P DIAMETRO 4"                                                             </v>
      </c>
      <c r="I200" t="str">
        <v xml:space="preserve">UN   </v>
      </c>
      <c r="J200">
        <v>15</v>
      </c>
      <c r="K200">
        <v>78251</v>
      </c>
      <c r="L200">
        <f t="shared" si="12"/>
        <v>0</v>
      </c>
      <c r="M200">
        <f t="shared" si="13"/>
        <v>0</v>
      </c>
      <c r="N200" s="119">
        <f t="shared" si="14"/>
        <v>5</v>
      </c>
      <c r="O200" s="119">
        <f t="shared" si="15"/>
        <v>0</v>
      </c>
    </row>
    <row r="201" spans="2:15" ht="15" customHeight="1" x14ac:dyDescent="0.25">
      <c r="B201" s="80" t="s">
        <v>367</v>
      </c>
      <c r="C201" s="81" t="s">
        <v>368</v>
      </c>
      <c r="D201" s="82" t="s">
        <v>369</v>
      </c>
      <c r="E201" s="230"/>
      <c r="F201" s="90">
        <v>0</v>
      </c>
      <c r="G201" s="89">
        <f t="shared" si="16"/>
        <v>0</v>
      </c>
      <c r="H201" s="118" t="str">
        <f t="array" ref="H201:K201">_xlfn.XLOOKUP(B201,'ESAP NEIVA FASE II UNIFICADO'!$B$6:$B$720,'ESAP NEIVA FASE II UNIFICADO'!$C$6:$F$720,"NO ESTA")</f>
        <v>SUMINISTRO E INSTALACIÓN DE APARATOS SANITARIOS</v>
      </c>
      <c r="I201" t="str">
        <v xml:space="preserve">     </v>
      </c>
      <c r="J201">
        <v>0</v>
      </c>
      <c r="K201">
        <v>0</v>
      </c>
      <c r="L201">
        <f t="shared" si="12"/>
        <v>1</v>
      </c>
      <c r="M201">
        <f t="shared" si="13"/>
        <v>0</v>
      </c>
      <c r="N201" s="119">
        <f t="shared" si="14"/>
        <v>0</v>
      </c>
      <c r="O201" s="119">
        <f t="shared" si="15"/>
        <v>0</v>
      </c>
    </row>
    <row r="202" spans="2:15" ht="15" customHeight="1" x14ac:dyDescent="0.25">
      <c r="B202" s="86" t="s">
        <v>370</v>
      </c>
      <c r="C202" s="87" t="s">
        <v>371</v>
      </c>
      <c r="D202" s="82" t="s">
        <v>284</v>
      </c>
      <c r="E202" s="230">
        <v>28</v>
      </c>
      <c r="F202" s="88">
        <v>1077676</v>
      </c>
      <c r="G202" s="89">
        <f t="shared" si="16"/>
        <v>30174928</v>
      </c>
      <c r="H202" s="118" t="str">
        <f t="array" ref="H202:K202">_xlfn.XLOOKUP(B202,'ESAP NEIVA FASE II UNIFICADO'!$B$6:$B$720,'ESAP NEIVA FASE II UNIFICADO'!$C$6:$F$720,"NO ESTA")</f>
        <v>SUMINISTRO E INSTALACIÓN SANITARIO INSTITUCIONAL incluye FLUXOMETRO</v>
      </c>
      <c r="I202" t="str">
        <v xml:space="preserve">UN   </v>
      </c>
      <c r="J202">
        <v>24</v>
      </c>
      <c r="K202">
        <v>1105824</v>
      </c>
      <c r="L202">
        <f t="shared" ref="L202:L265" si="17">+IF(J202&gt;0,0,1)</f>
        <v>0</v>
      </c>
      <c r="M202">
        <f t="shared" ref="M202:M265" si="18">IF(L202=1,F202,0)</f>
        <v>0</v>
      </c>
      <c r="N202" s="119">
        <f t="shared" ref="N202:N265" si="19">E202</f>
        <v>28</v>
      </c>
      <c r="O202" s="119">
        <f t="shared" si="15"/>
        <v>0</v>
      </c>
    </row>
    <row r="203" spans="2:15" ht="15" customHeight="1" x14ac:dyDescent="0.25">
      <c r="B203" s="86" t="s">
        <v>372</v>
      </c>
      <c r="C203" s="87" t="s">
        <v>373</v>
      </c>
      <c r="D203" s="82" t="s">
        <v>374</v>
      </c>
      <c r="E203" s="230">
        <v>4</v>
      </c>
      <c r="F203" s="88">
        <v>652986</v>
      </c>
      <c r="G203" s="89">
        <f t="shared" si="16"/>
        <v>2611944</v>
      </c>
      <c r="H203" s="118" t="str">
        <f t="array" ref="H203:K203">_xlfn.XLOOKUP(B203,'ESAP NEIVA FASE II UNIFICADO'!$B$6:$B$720,'ESAP NEIVA FASE II UNIFICADO'!$C$6:$F$720,"NO ESTA")</f>
        <v xml:space="preserve">SUMINISTRO E INSTALACIÓN SANITARIO DE BAJO CONSUMO </v>
      </c>
      <c r="I203" t="str">
        <v>UN</v>
      </c>
      <c r="J203">
        <v>4</v>
      </c>
      <c r="K203">
        <v>670042</v>
      </c>
      <c r="L203">
        <f t="shared" si="17"/>
        <v>0</v>
      </c>
      <c r="M203">
        <f t="shared" si="18"/>
        <v>0</v>
      </c>
      <c r="N203" s="119">
        <f t="shared" si="19"/>
        <v>4</v>
      </c>
      <c r="O203" s="119">
        <f t="shared" ref="O203:O266" si="20">ROUND(M203*N203,2)</f>
        <v>0</v>
      </c>
    </row>
    <row r="204" spans="2:15" ht="15" customHeight="1" x14ac:dyDescent="0.25">
      <c r="B204" s="86" t="s">
        <v>375</v>
      </c>
      <c r="C204" s="87" t="s">
        <v>376</v>
      </c>
      <c r="D204" s="82" t="s">
        <v>284</v>
      </c>
      <c r="E204" s="230">
        <v>12</v>
      </c>
      <c r="F204" s="88">
        <v>738424</v>
      </c>
      <c r="G204" s="89">
        <f t="shared" si="16"/>
        <v>8861088</v>
      </c>
      <c r="H204" s="118" t="str">
        <f t="array" ref="H204:K204">_xlfn.XLOOKUP(B204,'ESAP NEIVA FASE II UNIFICADO'!$B$6:$B$720,'ESAP NEIVA FASE II UNIFICADO'!$C$6:$F$720,"NO ESTA")</f>
        <v>SUMINISTRO E INSTALACIÓN ORINAL</v>
      </c>
      <c r="I204" t="str">
        <v xml:space="preserve">UN   </v>
      </c>
      <c r="J204">
        <v>9</v>
      </c>
      <c r="K204">
        <v>757710</v>
      </c>
      <c r="L204">
        <f t="shared" si="17"/>
        <v>0</v>
      </c>
      <c r="M204">
        <f t="shared" si="18"/>
        <v>0</v>
      </c>
      <c r="N204" s="119">
        <f t="shared" si="19"/>
        <v>12</v>
      </c>
      <c r="O204" s="119">
        <f t="shared" si="20"/>
        <v>0</v>
      </c>
    </row>
    <row r="205" spans="2:15" ht="24.75" customHeight="1" x14ac:dyDescent="0.25">
      <c r="B205" s="86" t="s">
        <v>377</v>
      </c>
      <c r="C205" s="87" t="s">
        <v>378</v>
      </c>
      <c r="D205" s="82" t="s">
        <v>94</v>
      </c>
      <c r="E205" s="230">
        <v>14</v>
      </c>
      <c r="F205" s="88">
        <v>212565</v>
      </c>
      <c r="G205" s="89">
        <f t="shared" si="16"/>
        <v>2975910</v>
      </c>
      <c r="H205" s="118" t="str">
        <f t="array" ref="H205:K205">_xlfn.XLOOKUP(B205,'ESAP NEIVA FASE II UNIFICADO'!$B$6:$B$720,'ESAP NEIVA FASE II UNIFICADO'!$C$6:$F$720,"NO ESTA")</f>
        <v>SUMINISTRO E INSTALACIÓN MESÓN EN GRANITO NEGRO ABSOLUTO o similar, ANCHO 0.60m</v>
      </c>
      <c r="I205" t="str">
        <v>ML</v>
      </c>
      <c r="J205">
        <v>13</v>
      </c>
      <c r="K205">
        <v>218116</v>
      </c>
      <c r="L205">
        <f t="shared" si="17"/>
        <v>0</v>
      </c>
      <c r="M205">
        <f t="shared" si="18"/>
        <v>0</v>
      </c>
      <c r="N205" s="119">
        <f t="shared" si="19"/>
        <v>14</v>
      </c>
      <c r="O205" s="119">
        <f t="shared" si="20"/>
        <v>0</v>
      </c>
    </row>
    <row r="206" spans="2:15" ht="15" customHeight="1" x14ac:dyDescent="0.25">
      <c r="B206" s="86" t="s">
        <v>379</v>
      </c>
      <c r="C206" s="87" t="s">
        <v>380</v>
      </c>
      <c r="D206" s="82" t="s">
        <v>284</v>
      </c>
      <c r="E206" s="230">
        <v>20</v>
      </c>
      <c r="F206" s="88">
        <v>573865</v>
      </c>
      <c r="G206" s="89">
        <f t="shared" si="16"/>
        <v>11477300</v>
      </c>
      <c r="H206" s="118" t="str">
        <f t="array" ref="H206:K206">_xlfn.XLOOKUP(B206,'ESAP NEIVA FASE II UNIFICADO'!$B$6:$B$720,'ESAP NEIVA FASE II UNIFICADO'!$C$6:$F$720,"NO ESTA")</f>
        <v xml:space="preserve">SUMINISTRO E INSTALACIÓN LAVAMANOS SOBREPONER </v>
      </c>
      <c r="I206" t="str">
        <v xml:space="preserve">UN   </v>
      </c>
      <c r="J206">
        <v>18</v>
      </c>
      <c r="K206">
        <v>588854</v>
      </c>
      <c r="L206">
        <f t="shared" si="17"/>
        <v>0</v>
      </c>
      <c r="M206">
        <f t="shared" si="18"/>
        <v>0</v>
      </c>
      <c r="N206" s="119">
        <f t="shared" si="19"/>
        <v>20</v>
      </c>
      <c r="O206" s="119">
        <f t="shared" si="20"/>
        <v>0</v>
      </c>
    </row>
    <row r="207" spans="2:15" ht="15" customHeight="1" x14ac:dyDescent="0.25">
      <c r="B207" s="86" t="s">
        <v>381</v>
      </c>
      <c r="C207" s="87" t="s">
        <v>382</v>
      </c>
      <c r="D207" s="82" t="s">
        <v>284</v>
      </c>
      <c r="E207" s="230">
        <v>3</v>
      </c>
      <c r="F207" s="88">
        <v>542753</v>
      </c>
      <c r="G207" s="89">
        <f t="shared" si="16"/>
        <v>1628259</v>
      </c>
      <c r="H207" s="118" t="str">
        <f t="array" ref="H207:K207">_xlfn.XLOOKUP(B207,'ESAP NEIVA FASE II UNIFICADO'!$B$6:$B$720,'ESAP NEIVA FASE II UNIFICADO'!$C$6:$F$720,"NO ESTA")</f>
        <v>SUMINISTRO E INSTALACIÓN LAVAMANOS PEDESTAL</v>
      </c>
      <c r="I207" t="str">
        <v xml:space="preserve">UN   </v>
      </c>
      <c r="J207">
        <v>3</v>
      </c>
      <c r="K207">
        <v>556929</v>
      </c>
      <c r="L207">
        <f t="shared" si="17"/>
        <v>0</v>
      </c>
      <c r="M207">
        <f t="shared" si="18"/>
        <v>0</v>
      </c>
      <c r="N207" s="119">
        <f t="shared" si="19"/>
        <v>3</v>
      </c>
      <c r="O207" s="119">
        <f t="shared" si="20"/>
        <v>0</v>
      </c>
    </row>
    <row r="208" spans="2:15" ht="24.75" customHeight="1" x14ac:dyDescent="0.25">
      <c r="B208" s="86" t="s">
        <v>383</v>
      </c>
      <c r="C208" s="87" t="s">
        <v>384</v>
      </c>
      <c r="D208" s="82" t="s">
        <v>13</v>
      </c>
      <c r="E208" s="230">
        <v>12</v>
      </c>
      <c r="F208" s="88">
        <v>88538</v>
      </c>
      <c r="G208" s="89">
        <f t="shared" si="16"/>
        <v>1062456</v>
      </c>
      <c r="H208" s="118" t="str">
        <f t="array" ref="H208:K208">_xlfn.XLOOKUP(B208,'ESAP NEIVA FASE II UNIFICADO'!$B$6:$B$720,'ESAP NEIVA FASE II UNIFICADO'!$C$6:$F$720,"NO ESTA")</f>
        <v>SUMINISTRO E INSTALACIÓN ESPEJO e=4MM PEGADO SOBRE BASTIDOR EN ALUMINIO DE 2X1</v>
      </c>
      <c r="I208" t="str">
        <v>M2</v>
      </c>
      <c r="J208">
        <v>11</v>
      </c>
      <c r="K208">
        <v>90851</v>
      </c>
      <c r="L208">
        <f t="shared" si="17"/>
        <v>0</v>
      </c>
      <c r="M208">
        <f t="shared" si="18"/>
        <v>0</v>
      </c>
      <c r="N208" s="119">
        <f t="shared" si="19"/>
        <v>12</v>
      </c>
      <c r="O208" s="119">
        <f t="shared" si="20"/>
        <v>0</v>
      </c>
    </row>
    <row r="209" spans="2:15" ht="15" customHeight="1" x14ac:dyDescent="0.25">
      <c r="B209" s="86" t="s">
        <v>385</v>
      </c>
      <c r="C209" s="87" t="s">
        <v>386</v>
      </c>
      <c r="D209" s="82" t="s">
        <v>284</v>
      </c>
      <c r="E209" s="230">
        <v>2</v>
      </c>
      <c r="F209" s="88">
        <v>43005</v>
      </c>
      <c r="G209" s="89">
        <f t="shared" si="16"/>
        <v>86010</v>
      </c>
      <c r="H209" s="118" t="str">
        <f t="array" ref="H209:K209">_xlfn.XLOOKUP(B209,'ESAP NEIVA FASE II UNIFICADO'!$B$6:$B$720,'ESAP NEIVA FASE II UNIFICADO'!$C$6:$F$720,"NO ESTA")</f>
        <v>SUMINISTRO E INSTALACIÓN LLAVES MANGUERA</v>
      </c>
      <c r="I209" t="str">
        <v xml:space="preserve">UN   </v>
      </c>
      <c r="J209">
        <v>1</v>
      </c>
      <c r="K209">
        <v>44128</v>
      </c>
      <c r="L209">
        <f t="shared" si="17"/>
        <v>0</v>
      </c>
      <c r="M209">
        <f t="shared" si="18"/>
        <v>0</v>
      </c>
      <c r="N209" s="119">
        <f t="shared" si="19"/>
        <v>2</v>
      </c>
      <c r="O209" s="119">
        <f t="shared" si="20"/>
        <v>0</v>
      </c>
    </row>
    <row r="210" spans="2:15" ht="15" customHeight="1" x14ac:dyDescent="0.25">
      <c r="B210" s="80" t="s">
        <v>387</v>
      </c>
      <c r="C210" s="81" t="s">
        <v>388</v>
      </c>
      <c r="D210" s="82"/>
      <c r="E210" s="230"/>
      <c r="F210" s="90">
        <v>0</v>
      </c>
      <c r="G210" s="89">
        <f t="shared" si="16"/>
        <v>0</v>
      </c>
      <c r="H210" s="118" t="str">
        <f t="array" ref="H210:K210">_xlfn.XLOOKUP(B210,'ESAP NEIVA FASE II UNIFICADO'!$B$6:$B$720,'ESAP NEIVA FASE II UNIFICADO'!$C$6:$F$720,"NO ESTA")</f>
        <v xml:space="preserve">SUMINISTRO E INSTALACION RED DESAGÜES AGUAS LLUVIAS                                                                                 </v>
      </c>
      <c r="I210">
        <v>0</v>
      </c>
      <c r="J210">
        <v>0</v>
      </c>
      <c r="K210">
        <v>0</v>
      </c>
      <c r="L210">
        <f t="shared" si="17"/>
        <v>1</v>
      </c>
      <c r="M210">
        <f t="shared" si="18"/>
        <v>0</v>
      </c>
      <c r="N210" s="119">
        <f t="shared" si="19"/>
        <v>0</v>
      </c>
      <c r="O210" s="119">
        <f t="shared" si="20"/>
        <v>0</v>
      </c>
    </row>
    <row r="211" spans="2:15" ht="15" customHeight="1" x14ac:dyDescent="0.25">
      <c r="B211" s="86" t="s">
        <v>389</v>
      </c>
      <c r="C211" s="87" t="s">
        <v>390</v>
      </c>
      <c r="D211" s="82" t="s">
        <v>269</v>
      </c>
      <c r="E211" s="230">
        <v>92</v>
      </c>
      <c r="F211" s="88">
        <v>35215</v>
      </c>
      <c r="G211" s="89">
        <f t="shared" si="16"/>
        <v>3239780</v>
      </c>
      <c r="H211" s="118" t="str">
        <f t="array" ref="H211:K211">_xlfn.XLOOKUP(B211,'ESAP NEIVA FASE II UNIFICADO'!$B$6:$B$720,'ESAP NEIVA FASE II UNIFICADO'!$C$6:$F$720,"NO ESTA")</f>
        <v xml:space="preserve">SUMINISTRO E INSTALACIÓN TUBERIA PVC-S DIAMETRO  3 PUL                                                                 </v>
      </c>
      <c r="I211" t="str">
        <v xml:space="preserve">ML   </v>
      </c>
      <c r="J211">
        <v>248</v>
      </c>
      <c r="K211">
        <v>36135</v>
      </c>
      <c r="L211">
        <f t="shared" si="17"/>
        <v>0</v>
      </c>
      <c r="M211">
        <f t="shared" si="18"/>
        <v>0</v>
      </c>
      <c r="N211" s="119">
        <f t="shared" si="19"/>
        <v>92</v>
      </c>
      <c r="O211" s="119">
        <f t="shared" si="20"/>
        <v>0</v>
      </c>
    </row>
    <row r="212" spans="2:15" ht="15" customHeight="1" x14ac:dyDescent="0.25">
      <c r="B212" s="86" t="s">
        <v>391</v>
      </c>
      <c r="C212" s="87" t="s">
        <v>392</v>
      </c>
      <c r="D212" s="82" t="s">
        <v>269</v>
      </c>
      <c r="E212" s="230">
        <v>45</v>
      </c>
      <c r="F212" s="88">
        <v>50238</v>
      </c>
      <c r="G212" s="89">
        <f t="shared" si="16"/>
        <v>2260710</v>
      </c>
      <c r="H212" s="118" t="str">
        <f t="array" ref="H212:K212">_xlfn.XLOOKUP(B212,'ESAP NEIVA FASE II UNIFICADO'!$B$6:$B$720,'ESAP NEIVA FASE II UNIFICADO'!$C$6:$F$720,"NO ESTA")</f>
        <v xml:space="preserve">SUMINISTRO E INSTALACIÓN TUBERIA PVC-S DIAMETRO 4 PUL                                                                 </v>
      </c>
      <c r="I212" t="str">
        <v xml:space="preserve">ML   </v>
      </c>
      <c r="J212">
        <v>122</v>
      </c>
      <c r="K212">
        <v>51550</v>
      </c>
      <c r="L212">
        <f t="shared" si="17"/>
        <v>0</v>
      </c>
      <c r="M212">
        <f t="shared" si="18"/>
        <v>0</v>
      </c>
      <c r="N212" s="119">
        <f t="shared" si="19"/>
        <v>45</v>
      </c>
      <c r="O212" s="119">
        <f t="shared" si="20"/>
        <v>0</v>
      </c>
    </row>
    <row r="213" spans="2:15" ht="15" customHeight="1" x14ac:dyDescent="0.25">
      <c r="B213" s="86" t="s">
        <v>393</v>
      </c>
      <c r="C213" s="87" t="s">
        <v>394</v>
      </c>
      <c r="D213" s="82" t="s">
        <v>269</v>
      </c>
      <c r="E213" s="230">
        <v>60</v>
      </c>
      <c r="F213" s="88">
        <v>90790</v>
      </c>
      <c r="G213" s="89">
        <f t="shared" si="16"/>
        <v>5447400</v>
      </c>
      <c r="H213" s="118" t="str">
        <f t="array" ref="H213:K213">_xlfn.XLOOKUP(B213,'ESAP NEIVA FASE II UNIFICADO'!$B$6:$B$720,'ESAP NEIVA FASE II UNIFICADO'!$C$6:$F$720,"NO ESTA")</f>
        <v xml:space="preserve">SUMINISTRO E INSTALACIÓN TUBERIA PVC-S DIAMETRO 6 PUL                                                                 </v>
      </c>
      <c r="I213" t="str">
        <v xml:space="preserve">ML   </v>
      </c>
      <c r="J213">
        <v>161</v>
      </c>
      <c r="K213">
        <v>93160</v>
      </c>
      <c r="L213">
        <f t="shared" si="17"/>
        <v>0</v>
      </c>
      <c r="M213">
        <f t="shared" si="18"/>
        <v>0</v>
      </c>
      <c r="N213" s="119">
        <f t="shared" si="19"/>
        <v>60</v>
      </c>
      <c r="O213" s="119">
        <f t="shared" si="20"/>
        <v>0</v>
      </c>
    </row>
    <row r="214" spans="2:15" ht="15" customHeight="1" x14ac:dyDescent="0.25">
      <c r="B214" s="86" t="s">
        <v>395</v>
      </c>
      <c r="C214" s="87" t="s">
        <v>396</v>
      </c>
      <c r="D214" s="82" t="s">
        <v>374</v>
      </c>
      <c r="E214" s="230">
        <v>38</v>
      </c>
      <c r="F214" s="88">
        <v>10429</v>
      </c>
      <c r="G214" s="89">
        <f t="shared" si="16"/>
        <v>396302</v>
      </c>
      <c r="H214" s="118" t="str">
        <f t="array" ref="H214:K214">_xlfn.XLOOKUP(B214,'ESAP NEIVA FASE II UNIFICADO'!$B$6:$B$720,'ESAP NEIVA FASE II UNIFICADO'!$C$6:$F$720,"NO ESTA")</f>
        <v xml:space="preserve">SUMINISTRO E INSTALACIÓN ACCESORIOS PVC-S DIAMETRO 3"                                                             </v>
      </c>
      <c r="I214" t="str">
        <v>UN</v>
      </c>
      <c r="J214">
        <v>101</v>
      </c>
      <c r="K214">
        <v>10700</v>
      </c>
      <c r="L214">
        <f t="shared" si="17"/>
        <v>0</v>
      </c>
      <c r="M214">
        <f t="shared" si="18"/>
        <v>0</v>
      </c>
      <c r="N214" s="119">
        <f t="shared" si="19"/>
        <v>38</v>
      </c>
      <c r="O214" s="119">
        <f t="shared" si="20"/>
        <v>0</v>
      </c>
    </row>
    <row r="215" spans="2:15" ht="15" customHeight="1" x14ac:dyDescent="0.25">
      <c r="B215" s="86" t="s">
        <v>397</v>
      </c>
      <c r="C215" s="87" t="s">
        <v>398</v>
      </c>
      <c r="D215" s="82" t="s">
        <v>374</v>
      </c>
      <c r="E215" s="230">
        <v>21</v>
      </c>
      <c r="F215" s="88">
        <v>15324</v>
      </c>
      <c r="G215" s="89">
        <f t="shared" si="16"/>
        <v>321804</v>
      </c>
      <c r="H215" s="118" t="str">
        <f t="array" ref="H215:K215">_xlfn.XLOOKUP(B215,'ESAP NEIVA FASE II UNIFICADO'!$B$6:$B$720,'ESAP NEIVA FASE II UNIFICADO'!$C$6:$F$720,"NO ESTA")</f>
        <v xml:space="preserve">SUMINISTRO E INSTALACIÓN ACCESORIOS PVC-S DIAMETRO 4"                                                             </v>
      </c>
      <c r="I215" t="str">
        <v>UN</v>
      </c>
      <c r="J215">
        <v>58</v>
      </c>
      <c r="K215">
        <v>15725</v>
      </c>
      <c r="L215">
        <f t="shared" si="17"/>
        <v>0</v>
      </c>
      <c r="M215">
        <f t="shared" si="18"/>
        <v>0</v>
      </c>
      <c r="N215" s="119">
        <f t="shared" si="19"/>
        <v>21</v>
      </c>
      <c r="O215" s="119">
        <f t="shared" si="20"/>
        <v>0</v>
      </c>
    </row>
    <row r="216" spans="2:15" ht="15" customHeight="1" x14ac:dyDescent="0.25">
      <c r="B216" s="86" t="s">
        <v>399</v>
      </c>
      <c r="C216" s="87" t="s">
        <v>400</v>
      </c>
      <c r="D216" s="82" t="s">
        <v>374</v>
      </c>
      <c r="E216" s="230">
        <v>25</v>
      </c>
      <c r="F216" s="88">
        <v>73031</v>
      </c>
      <c r="G216" s="89">
        <f t="shared" si="16"/>
        <v>1825775</v>
      </c>
      <c r="H216" s="118" t="str">
        <f t="array" ref="H216:K216">_xlfn.XLOOKUP(B216,'ESAP NEIVA FASE II UNIFICADO'!$B$6:$B$720,'ESAP NEIVA FASE II UNIFICADO'!$C$6:$F$720,"NO ESTA")</f>
        <v xml:space="preserve">SUMINISTRO E INSTALACIÓN ACCESORIOS PVC-S DIAMETRO 6"                                                             </v>
      </c>
      <c r="I216" t="str">
        <v>UN</v>
      </c>
      <c r="J216">
        <v>68</v>
      </c>
      <c r="K216">
        <v>74938</v>
      </c>
      <c r="L216">
        <f t="shared" si="17"/>
        <v>0</v>
      </c>
      <c r="M216">
        <f t="shared" si="18"/>
        <v>0</v>
      </c>
      <c r="N216" s="119">
        <f t="shared" si="19"/>
        <v>25</v>
      </c>
      <c r="O216" s="119">
        <f t="shared" si="20"/>
        <v>0</v>
      </c>
    </row>
    <row r="217" spans="2:15" ht="15" customHeight="1" x14ac:dyDescent="0.25">
      <c r="B217" s="86" t="s">
        <v>401</v>
      </c>
      <c r="C217" s="87" t="s">
        <v>402</v>
      </c>
      <c r="D217" s="82" t="s">
        <v>269</v>
      </c>
      <c r="E217" s="230">
        <v>12</v>
      </c>
      <c r="F217" s="88">
        <v>48749</v>
      </c>
      <c r="G217" s="89">
        <f t="shared" si="16"/>
        <v>584988</v>
      </c>
      <c r="H217" s="118" t="str">
        <f t="array" ref="H217:K217">_xlfn.XLOOKUP(B217,'ESAP NEIVA FASE II UNIFICADO'!$B$6:$B$720,'ESAP NEIVA FASE II UNIFICADO'!$C$6:$F$720,"NO ESTA")</f>
        <v xml:space="preserve">SUMINISTRO E INSTALACIÓN SALIDA SANITARIA DIAMETRO 3 PULG                                                               </v>
      </c>
      <c r="I217" t="str">
        <v xml:space="preserve">ML   </v>
      </c>
      <c r="J217">
        <v>31</v>
      </c>
      <c r="K217">
        <v>50021</v>
      </c>
      <c r="L217">
        <f t="shared" si="17"/>
        <v>0</v>
      </c>
      <c r="M217">
        <f t="shared" si="18"/>
        <v>0</v>
      </c>
      <c r="N217" s="119">
        <f t="shared" si="19"/>
        <v>12</v>
      </c>
      <c r="O217" s="119">
        <f t="shared" si="20"/>
        <v>0</v>
      </c>
    </row>
    <row r="218" spans="2:15" ht="15" customHeight="1" x14ac:dyDescent="0.25">
      <c r="B218" s="86" t="s">
        <v>403</v>
      </c>
      <c r="C218" s="87" t="s">
        <v>404</v>
      </c>
      <c r="D218" s="82" t="s">
        <v>269</v>
      </c>
      <c r="E218" s="230">
        <v>8</v>
      </c>
      <c r="F218" s="88">
        <v>59907</v>
      </c>
      <c r="G218" s="89">
        <f t="shared" si="16"/>
        <v>479256</v>
      </c>
      <c r="H218" s="118" t="str">
        <f t="array" ref="H218:K218">_xlfn.XLOOKUP(B218,'ESAP NEIVA FASE II UNIFICADO'!$B$6:$B$720,'ESAP NEIVA FASE II UNIFICADO'!$C$6:$F$720,"NO ESTA")</f>
        <v xml:space="preserve">SUMINISTRO E INSTALACIÓN SALIDA SANITARIA DIAMETRO 4 PULG                                                               </v>
      </c>
      <c r="I218" t="str">
        <v xml:space="preserve">ML   </v>
      </c>
      <c r="J218">
        <v>23</v>
      </c>
      <c r="K218">
        <v>61472</v>
      </c>
      <c r="L218">
        <f t="shared" si="17"/>
        <v>0</v>
      </c>
      <c r="M218">
        <f t="shared" si="18"/>
        <v>0</v>
      </c>
      <c r="N218" s="119">
        <f t="shared" si="19"/>
        <v>8</v>
      </c>
      <c r="O218" s="119">
        <f t="shared" si="20"/>
        <v>0</v>
      </c>
    </row>
    <row r="219" spans="2:15" ht="15" customHeight="1" x14ac:dyDescent="0.25">
      <c r="B219" s="86" t="s">
        <v>405</v>
      </c>
      <c r="C219" s="87" t="s">
        <v>406</v>
      </c>
      <c r="D219" s="82" t="s">
        <v>269</v>
      </c>
      <c r="E219" s="230">
        <v>50</v>
      </c>
      <c r="F219" s="88">
        <v>52178</v>
      </c>
      <c r="G219" s="89">
        <f t="shared" si="16"/>
        <v>2608900</v>
      </c>
      <c r="H219" s="118" t="str">
        <f t="array" ref="H219:K219">_xlfn.XLOOKUP(B219,'ESAP NEIVA FASE II UNIFICADO'!$B$6:$B$720,'ESAP NEIVA FASE II UNIFICADO'!$C$6:$F$720,"NO ESTA")</f>
        <v xml:space="preserve">SUMINISTRO E INSTALACIÓN POLIETILENO PEAD PARA FILTRO 90 mm                                                                  </v>
      </c>
      <c r="I219" t="str">
        <v xml:space="preserve">ML   </v>
      </c>
      <c r="J219">
        <v>0</v>
      </c>
      <c r="K219">
        <v>53541</v>
      </c>
      <c r="L219">
        <f t="shared" si="17"/>
        <v>1</v>
      </c>
      <c r="M219">
        <f t="shared" si="18"/>
        <v>52178</v>
      </c>
      <c r="N219" s="119">
        <f t="shared" si="19"/>
        <v>50</v>
      </c>
      <c r="O219" s="119">
        <f t="shared" si="20"/>
        <v>2608900</v>
      </c>
    </row>
    <row r="220" spans="2:15" ht="15" customHeight="1" x14ac:dyDescent="0.25">
      <c r="B220" s="86" t="s">
        <v>407</v>
      </c>
      <c r="C220" s="87" t="s">
        <v>408</v>
      </c>
      <c r="D220" s="82" t="s">
        <v>269</v>
      </c>
      <c r="E220" s="230">
        <v>30</v>
      </c>
      <c r="F220" s="88">
        <v>27202</v>
      </c>
      <c r="G220" s="89">
        <f t="shared" si="16"/>
        <v>816060</v>
      </c>
      <c r="H220" s="118" t="str">
        <f t="array" ref="H220:K220">_xlfn.XLOOKUP(B220,'ESAP NEIVA FASE II UNIFICADO'!$B$6:$B$720,'ESAP NEIVA FASE II UNIFICADO'!$C$6:$F$720,"NO ESTA")</f>
        <v xml:space="preserve">SUMINISTRO E INSTALACIÓN TUBERIA PVC-ALC 90 mm                                                                  </v>
      </c>
      <c r="I220" t="str">
        <v xml:space="preserve">ML   </v>
      </c>
      <c r="J220">
        <v>0</v>
      </c>
      <c r="K220">
        <v>27913</v>
      </c>
      <c r="L220">
        <f t="shared" si="17"/>
        <v>1</v>
      </c>
      <c r="M220">
        <f t="shared" si="18"/>
        <v>27202</v>
      </c>
      <c r="N220" s="119">
        <f t="shared" si="19"/>
        <v>30</v>
      </c>
      <c r="O220" s="119">
        <f t="shared" si="20"/>
        <v>816060</v>
      </c>
    </row>
    <row r="221" spans="2:15" ht="15" customHeight="1" x14ac:dyDescent="0.25">
      <c r="B221" s="86" t="s">
        <v>409</v>
      </c>
      <c r="C221" s="87" t="s">
        <v>410</v>
      </c>
      <c r="D221" s="82" t="s">
        <v>269</v>
      </c>
      <c r="E221" s="230">
        <v>15</v>
      </c>
      <c r="F221" s="88">
        <v>33430</v>
      </c>
      <c r="G221" s="89">
        <f t="shared" si="16"/>
        <v>501450</v>
      </c>
      <c r="H221" s="118" t="str">
        <f t="array" ref="H221:K221">_xlfn.XLOOKUP(B221,'ESAP NEIVA FASE II UNIFICADO'!$B$6:$B$720,'ESAP NEIVA FASE II UNIFICADO'!$C$6:$F$720,"NO ESTA")</f>
        <v xml:space="preserve">SUMINISTRO E INSTALACIÓN TUBERIA PVC-ALC 110 mm                                                                 </v>
      </c>
      <c r="I221" t="str">
        <v xml:space="preserve">ML   </v>
      </c>
      <c r="J221">
        <v>0</v>
      </c>
      <c r="K221">
        <v>34303</v>
      </c>
      <c r="L221">
        <f t="shared" si="17"/>
        <v>1</v>
      </c>
      <c r="M221">
        <f t="shared" si="18"/>
        <v>33430</v>
      </c>
      <c r="N221" s="119">
        <f t="shared" si="19"/>
        <v>15</v>
      </c>
      <c r="O221" s="119">
        <f t="shared" si="20"/>
        <v>501450</v>
      </c>
    </row>
    <row r="222" spans="2:15" ht="15" customHeight="1" x14ac:dyDescent="0.25">
      <c r="B222" s="86" t="s">
        <v>411</v>
      </c>
      <c r="C222" s="87" t="s">
        <v>412</v>
      </c>
      <c r="D222" s="82" t="s">
        <v>269</v>
      </c>
      <c r="E222" s="230">
        <v>70</v>
      </c>
      <c r="F222" s="88">
        <v>44632</v>
      </c>
      <c r="G222" s="89">
        <f t="shared" si="16"/>
        <v>3124240</v>
      </c>
      <c r="H222" s="118" t="str">
        <f t="array" ref="H222:K222">_xlfn.XLOOKUP(B222,'ESAP NEIVA FASE II UNIFICADO'!$B$6:$B$720,'ESAP NEIVA FASE II UNIFICADO'!$C$6:$F$720,"NO ESTA")</f>
        <v xml:space="preserve">SUMINISTRO E INSTALACIÓN TUBERIA PVC-ALC 160 mm                                                                 </v>
      </c>
      <c r="I222" t="str">
        <v xml:space="preserve">ML   </v>
      </c>
      <c r="J222">
        <v>0</v>
      </c>
      <c r="K222">
        <v>45798</v>
      </c>
      <c r="L222">
        <f t="shared" si="17"/>
        <v>1</v>
      </c>
      <c r="M222">
        <f t="shared" si="18"/>
        <v>44632</v>
      </c>
      <c r="N222" s="119">
        <f t="shared" si="19"/>
        <v>70</v>
      </c>
      <c r="O222" s="119">
        <f t="shared" si="20"/>
        <v>3124240</v>
      </c>
    </row>
    <row r="223" spans="2:15" ht="15" customHeight="1" x14ac:dyDescent="0.25">
      <c r="B223" s="86" t="s">
        <v>413</v>
      </c>
      <c r="C223" s="87" t="s">
        <v>414</v>
      </c>
      <c r="D223" s="82" t="s">
        <v>269</v>
      </c>
      <c r="E223" s="230">
        <v>20</v>
      </c>
      <c r="F223" s="88">
        <v>77866</v>
      </c>
      <c r="G223" s="89">
        <f t="shared" si="16"/>
        <v>1557320</v>
      </c>
      <c r="H223" s="118" t="str">
        <f t="array" ref="H223:K223">_xlfn.XLOOKUP(B223,'ESAP NEIVA FASE II UNIFICADO'!$B$6:$B$720,'ESAP NEIVA FASE II UNIFICADO'!$C$6:$F$720,"NO ESTA")</f>
        <v xml:space="preserve">SUMINISTRO E INSTALACIÓN TUBERIA PVC-ALC 250mm                                                                   </v>
      </c>
      <c r="I223" t="str">
        <v xml:space="preserve">ML   </v>
      </c>
      <c r="J223">
        <v>0</v>
      </c>
      <c r="K223">
        <v>79901</v>
      </c>
      <c r="L223">
        <f t="shared" si="17"/>
        <v>1</v>
      </c>
      <c r="M223">
        <f t="shared" si="18"/>
        <v>77866</v>
      </c>
      <c r="N223" s="119">
        <f t="shared" si="19"/>
        <v>20</v>
      </c>
      <c r="O223" s="119">
        <f t="shared" si="20"/>
        <v>1557320</v>
      </c>
    </row>
    <row r="224" spans="2:15" ht="15" customHeight="1" x14ac:dyDescent="0.25">
      <c r="B224" s="86" t="s">
        <v>415</v>
      </c>
      <c r="C224" s="87" t="s">
        <v>358</v>
      </c>
      <c r="D224" s="82" t="s">
        <v>284</v>
      </c>
      <c r="E224" s="230">
        <v>4</v>
      </c>
      <c r="F224" s="88">
        <v>528504</v>
      </c>
      <c r="G224" s="89">
        <f t="shared" si="16"/>
        <v>2114016</v>
      </c>
      <c r="H224" s="118" t="str">
        <f t="array" ref="H224:K224">_xlfn.XLOOKUP(B224,'ESAP NEIVA FASE II UNIFICADO'!$B$6:$B$720,'ESAP NEIVA FASE II UNIFICADO'!$C$6:$F$720,"NO ESTA")</f>
        <v xml:space="preserve">SUMINISTRO Y CONSTRUCCIÓN CAJA DE INSPECCIÓN 0.80mX0.80m H mäx:1.0m                                                                    </v>
      </c>
      <c r="I224" t="str">
        <v xml:space="preserve">UN   </v>
      </c>
      <c r="J224">
        <v>0</v>
      </c>
      <c r="K224">
        <v>542308</v>
      </c>
      <c r="L224">
        <f t="shared" si="17"/>
        <v>1</v>
      </c>
      <c r="M224">
        <f t="shared" si="18"/>
        <v>528504</v>
      </c>
      <c r="N224" s="119">
        <f t="shared" si="19"/>
        <v>4</v>
      </c>
      <c r="O224" s="119">
        <f t="shared" si="20"/>
        <v>2114016</v>
      </c>
    </row>
    <row r="225" spans="2:15" ht="15" customHeight="1" x14ac:dyDescent="0.25">
      <c r="B225" s="80" t="s">
        <v>416</v>
      </c>
      <c r="C225" s="81" t="s">
        <v>417</v>
      </c>
      <c r="D225" s="82"/>
      <c r="E225" s="230"/>
      <c r="F225" s="90">
        <v>0</v>
      </c>
      <c r="G225" s="89">
        <f t="shared" si="16"/>
        <v>0</v>
      </c>
      <c r="H225" s="118" t="str">
        <f t="array" ref="H225:K225">_xlfn.XLOOKUP(B225,'ESAP NEIVA FASE II UNIFICADO'!$B$6:$B$720,'ESAP NEIVA FASE II UNIFICADO'!$C$6:$F$720,"NO ESTA")</f>
        <v xml:space="preserve">EXCAVACIONES Y RELLENOS                                                                                       </v>
      </c>
      <c r="I225" t="str">
        <v xml:space="preserve">     </v>
      </c>
      <c r="J225">
        <v>0</v>
      </c>
      <c r="K225">
        <v>0</v>
      </c>
      <c r="L225">
        <f t="shared" si="17"/>
        <v>1</v>
      </c>
      <c r="M225">
        <f t="shared" si="18"/>
        <v>0</v>
      </c>
      <c r="N225" s="119">
        <f t="shared" si="19"/>
        <v>0</v>
      </c>
      <c r="O225" s="119">
        <f t="shared" si="20"/>
        <v>0</v>
      </c>
    </row>
    <row r="226" spans="2:15" ht="15" customHeight="1" x14ac:dyDescent="0.25">
      <c r="B226" s="86" t="s">
        <v>418</v>
      </c>
      <c r="C226" s="87" t="s">
        <v>419</v>
      </c>
      <c r="D226" s="82" t="s">
        <v>420</v>
      </c>
      <c r="E226" s="230">
        <v>94</v>
      </c>
      <c r="F226" s="88">
        <v>38954</v>
      </c>
      <c r="G226" s="89">
        <f t="shared" si="16"/>
        <v>3661676</v>
      </c>
      <c r="H226" s="118" t="str">
        <f t="array" ref="H226:K226">_xlfn.XLOOKUP(B226,'ESAP NEIVA FASE II UNIFICADO'!$B$6:$B$720,'ESAP NEIVA FASE II UNIFICADO'!$C$6:$F$720,"NO ESTA")</f>
        <v xml:space="preserve">EXCAVACIÓN MANUAL EN MATERIAL COMÚN (Inlcuye cargue y retiro)           </v>
      </c>
      <c r="I226" t="str">
        <v xml:space="preserve">M3   </v>
      </c>
      <c r="J226">
        <v>0</v>
      </c>
      <c r="K226">
        <v>39971</v>
      </c>
      <c r="L226">
        <f t="shared" si="17"/>
        <v>1</v>
      </c>
      <c r="M226">
        <f t="shared" si="18"/>
        <v>38954</v>
      </c>
      <c r="N226" s="119">
        <f t="shared" si="19"/>
        <v>94</v>
      </c>
      <c r="O226" s="119">
        <f t="shared" si="20"/>
        <v>3661676</v>
      </c>
    </row>
    <row r="227" spans="2:15" ht="15" customHeight="1" x14ac:dyDescent="0.25">
      <c r="B227" s="86" t="s">
        <v>421</v>
      </c>
      <c r="C227" s="87" t="s">
        <v>422</v>
      </c>
      <c r="D227" s="82" t="s">
        <v>420</v>
      </c>
      <c r="E227" s="230">
        <v>28</v>
      </c>
      <c r="F227" s="88">
        <v>73664</v>
      </c>
      <c r="G227" s="89">
        <f t="shared" si="16"/>
        <v>2062592</v>
      </c>
      <c r="H227" s="118" t="str">
        <f t="array" ref="H227:K227">_xlfn.XLOOKUP(B227,'ESAP NEIVA FASE II UNIFICADO'!$B$6:$B$720,'ESAP NEIVA FASE II UNIFICADO'!$C$6:$F$720,"NO ESTA")</f>
        <v xml:space="preserve">RELLENO EN ARENA INCLUYE TRANSPORTE Y COLOCACIÓN       </v>
      </c>
      <c r="I227" t="str">
        <v xml:space="preserve">M3   </v>
      </c>
      <c r="J227">
        <v>0</v>
      </c>
      <c r="K227">
        <v>75587</v>
      </c>
      <c r="L227">
        <f t="shared" si="17"/>
        <v>1</v>
      </c>
      <c r="M227">
        <f t="shared" si="18"/>
        <v>73664</v>
      </c>
      <c r="N227" s="119">
        <f t="shared" si="19"/>
        <v>28</v>
      </c>
      <c r="O227" s="119">
        <f t="shared" si="20"/>
        <v>2062592</v>
      </c>
    </row>
    <row r="228" spans="2:15" ht="15" customHeight="1" x14ac:dyDescent="0.25">
      <c r="B228" s="86" t="s">
        <v>423</v>
      </c>
      <c r="C228" s="87" t="s">
        <v>36</v>
      </c>
      <c r="D228" s="82" t="s">
        <v>420</v>
      </c>
      <c r="E228" s="230">
        <v>28</v>
      </c>
      <c r="F228" s="88">
        <v>61330</v>
      </c>
      <c r="G228" s="89">
        <f t="shared" si="16"/>
        <v>1717240</v>
      </c>
      <c r="H228" s="118" t="str">
        <f t="array" ref="H228:K228">_xlfn.XLOOKUP(B228,'ESAP NEIVA FASE II UNIFICADO'!$B$6:$B$720,'ESAP NEIVA FASE II UNIFICADO'!$C$6:$F$720,"NO ESTA")</f>
        <v>RELLENO EN RECEBO COMÚN (Incluye Compactación)</v>
      </c>
      <c r="I228" t="str">
        <v xml:space="preserve">M3   </v>
      </c>
      <c r="J228">
        <v>0</v>
      </c>
      <c r="K228">
        <v>62932</v>
      </c>
      <c r="L228">
        <f t="shared" si="17"/>
        <v>1</v>
      </c>
      <c r="M228">
        <f t="shared" si="18"/>
        <v>61330</v>
      </c>
      <c r="N228" s="119">
        <f t="shared" si="19"/>
        <v>28</v>
      </c>
      <c r="O228" s="119">
        <f t="shared" si="20"/>
        <v>1717240</v>
      </c>
    </row>
    <row r="229" spans="2:15" ht="15" customHeight="1" x14ac:dyDescent="0.25">
      <c r="B229" s="86" t="s">
        <v>424</v>
      </c>
      <c r="C229" s="87" t="s">
        <v>425</v>
      </c>
      <c r="D229" s="82" t="s">
        <v>420</v>
      </c>
      <c r="E229" s="230">
        <v>37</v>
      </c>
      <c r="F229" s="88">
        <v>12182</v>
      </c>
      <c r="G229" s="89">
        <f t="shared" si="16"/>
        <v>450734</v>
      </c>
      <c r="H229" s="118" t="str">
        <f t="array" ref="H229:K229">_xlfn.XLOOKUP(B229,'ESAP NEIVA FASE II UNIFICADO'!$B$6:$B$720,'ESAP NEIVA FASE II UNIFICADO'!$C$6:$F$720,"NO ESTA")</f>
        <v>RELLENO EN MATERIAL COMÚN SELECCIONADO DE OBRA (Incluye Compactación)</v>
      </c>
      <c r="I229" t="str">
        <v xml:space="preserve">M3   </v>
      </c>
      <c r="J229">
        <v>0</v>
      </c>
      <c r="K229">
        <v>12500</v>
      </c>
      <c r="L229">
        <f t="shared" si="17"/>
        <v>1</v>
      </c>
      <c r="M229">
        <f t="shared" si="18"/>
        <v>12182</v>
      </c>
      <c r="N229" s="119">
        <f t="shared" si="19"/>
        <v>37</v>
      </c>
      <c r="O229" s="119">
        <f t="shared" si="20"/>
        <v>450734</v>
      </c>
    </row>
    <row r="230" spans="2:15" ht="15" customHeight="1" x14ac:dyDescent="0.25">
      <c r="B230" s="80" t="s">
        <v>426</v>
      </c>
      <c r="C230" s="81" t="s">
        <v>427</v>
      </c>
      <c r="D230" s="82"/>
      <c r="E230" s="230"/>
      <c r="F230" s="90">
        <v>0</v>
      </c>
      <c r="G230" s="89">
        <f t="shared" si="16"/>
        <v>0</v>
      </c>
      <c r="H230" s="118" t="str">
        <f t="array" ref="H230:K230">_xlfn.XLOOKUP(B230,'ESAP NEIVA FASE II UNIFICADO'!$B$6:$B$720,'ESAP NEIVA FASE II UNIFICADO'!$C$6:$F$720,"NO ESTA")</f>
        <v xml:space="preserve">SUMINISTRO E INSTALACION DE EQUIPOS DE BOMBEO                                                                                             </v>
      </c>
      <c r="I230" t="str">
        <v xml:space="preserve">     </v>
      </c>
      <c r="J230">
        <v>0</v>
      </c>
      <c r="K230">
        <v>0</v>
      </c>
      <c r="L230">
        <f t="shared" si="17"/>
        <v>1</v>
      </c>
      <c r="M230">
        <f t="shared" si="18"/>
        <v>0</v>
      </c>
      <c r="N230" s="119">
        <f t="shared" si="19"/>
        <v>0</v>
      </c>
      <c r="O230" s="119">
        <f t="shared" si="20"/>
        <v>0</v>
      </c>
    </row>
    <row r="231" spans="2:15" ht="25.5" customHeight="1" x14ac:dyDescent="0.25">
      <c r="B231" s="86" t="s">
        <v>428</v>
      </c>
      <c r="C231" s="87" t="s">
        <v>429</v>
      </c>
      <c r="D231" s="82" t="s">
        <v>374</v>
      </c>
      <c r="E231" s="230">
        <v>1</v>
      </c>
      <c r="F231" s="88">
        <v>34078165</v>
      </c>
      <c r="G231" s="89">
        <f t="shared" si="16"/>
        <v>34078165</v>
      </c>
      <c r="H231" s="118" t="str">
        <f t="array" ref="H231:K231">_xlfn.XLOOKUP(B231,'ESAP NEIVA FASE II UNIFICADO'!$B$6:$B$720,'ESAP NEIVA FASE II UNIFICADO'!$C$6:$F$720,"NO ESTA")</f>
        <v xml:space="preserve">SUMINISTRO E INSTALACIÓN  EQUIPO DE BOMBEO AGUA POTABLE 3 BOMBAS. 4.0HP C/U  INCLUYE  VALVULAS, ADITAMENTOS, TUBERIAS. </v>
      </c>
      <c r="I231" t="str">
        <v>UN</v>
      </c>
      <c r="J231">
        <v>0</v>
      </c>
      <c r="K231">
        <v>34968236</v>
      </c>
      <c r="L231">
        <f t="shared" si="17"/>
        <v>1</v>
      </c>
      <c r="M231">
        <f t="shared" si="18"/>
        <v>34078165</v>
      </c>
      <c r="N231" s="119">
        <f t="shared" si="19"/>
        <v>1</v>
      </c>
      <c r="O231" s="119">
        <f t="shared" si="20"/>
        <v>34078165</v>
      </c>
    </row>
    <row r="232" spans="2:15" ht="25.5" customHeight="1" x14ac:dyDescent="0.25">
      <c r="B232" s="86" t="s">
        <v>430</v>
      </c>
      <c r="C232" s="87" t="s">
        <v>431</v>
      </c>
      <c r="D232" s="82" t="s">
        <v>374</v>
      </c>
      <c r="E232" s="230">
        <v>1</v>
      </c>
      <c r="F232" s="88">
        <v>93334794</v>
      </c>
      <c r="G232" s="89">
        <f t="shared" si="16"/>
        <v>93334794</v>
      </c>
      <c r="H232" s="118" t="str">
        <f t="array" ref="H232:K232">_xlfn.XLOOKUP(B232,'ESAP NEIVA FASE II UNIFICADO'!$B$6:$B$720,'ESAP NEIVA FASE II UNIFICADO'!$C$6:$F$720,"NO ESTA")</f>
        <v>SUMINISTRO E INSTALACIÓN DE  EQUIPO PROTECCIÓN CONTRA INCENDIO Ref. AURORA PUMP DE 2 HP, 3500 RPM  o similar completo conformado por bomba, motor, tablero de control y accesorios.</v>
      </c>
      <c r="I232" t="str">
        <v>UN</v>
      </c>
      <c r="J232">
        <v>0</v>
      </c>
      <c r="K232">
        <v>95772561</v>
      </c>
      <c r="L232">
        <f t="shared" si="17"/>
        <v>1</v>
      </c>
      <c r="M232">
        <f t="shared" si="18"/>
        <v>93334794</v>
      </c>
      <c r="N232" s="119">
        <f t="shared" si="19"/>
        <v>1</v>
      </c>
      <c r="O232" s="119">
        <f t="shared" si="20"/>
        <v>93334794</v>
      </c>
    </row>
    <row r="233" spans="2:15" ht="15" customHeight="1" x14ac:dyDescent="0.25">
      <c r="B233" s="86" t="s">
        <v>432</v>
      </c>
      <c r="C233" s="87" t="s">
        <v>433</v>
      </c>
      <c r="D233" s="82" t="s">
        <v>374</v>
      </c>
      <c r="E233" s="230">
        <v>1</v>
      </c>
      <c r="F233" s="88">
        <v>13736935</v>
      </c>
      <c r="G233" s="89">
        <f t="shared" si="16"/>
        <v>13736935</v>
      </c>
      <c r="H233" s="118" t="str">
        <f t="array" ref="H233:K233">_xlfn.XLOOKUP(B233,'ESAP NEIVA FASE II UNIFICADO'!$B$6:$B$720,'ESAP NEIVA FASE II UNIFICADO'!$C$6:$F$720,"NO ESTA")</f>
        <v xml:space="preserve">SUMINISTRO E INSTALACIÓN DE EQUIPO EYECTOR 2 BOMBAS 3HP C/U </v>
      </c>
      <c r="I233" t="str">
        <v>UN</v>
      </c>
      <c r="J233">
        <v>0</v>
      </c>
      <c r="K233">
        <v>14095722</v>
      </c>
      <c r="L233">
        <f t="shared" si="17"/>
        <v>1</v>
      </c>
      <c r="M233">
        <f t="shared" si="18"/>
        <v>13736935</v>
      </c>
      <c r="N233" s="119">
        <f t="shared" si="19"/>
        <v>1</v>
      </c>
      <c r="O233" s="119">
        <f t="shared" si="20"/>
        <v>13736935</v>
      </c>
    </row>
    <row r="234" spans="2:15" ht="18" customHeight="1" x14ac:dyDescent="0.25">
      <c r="B234" s="74">
        <v>13</v>
      </c>
      <c r="C234" s="75" t="s">
        <v>434</v>
      </c>
      <c r="D234" s="76"/>
      <c r="E234" s="229"/>
      <c r="F234" s="78">
        <v>0</v>
      </c>
      <c r="G234" s="89">
        <f t="shared" si="16"/>
        <v>0</v>
      </c>
      <c r="H234" s="118" t="str">
        <f t="array" ref="H234:K234">_xlfn.XLOOKUP(B234,'ESAP NEIVA FASE II UNIFICADO'!$B$6:$B$720,'ESAP NEIVA FASE II UNIFICADO'!$C$6:$F$720,"NO ESTA")</f>
        <v xml:space="preserve">RED DE PROTECCION CONTRA INCENDIO </v>
      </c>
      <c r="I234">
        <v>0</v>
      </c>
      <c r="J234">
        <v>0</v>
      </c>
      <c r="K234">
        <v>0</v>
      </c>
      <c r="L234">
        <f t="shared" si="17"/>
        <v>1</v>
      </c>
      <c r="M234">
        <f t="shared" si="18"/>
        <v>0</v>
      </c>
      <c r="N234" s="119">
        <f t="shared" si="19"/>
        <v>0</v>
      </c>
      <c r="O234" s="119">
        <f t="shared" si="20"/>
        <v>0</v>
      </c>
    </row>
    <row r="235" spans="2:15" ht="15" customHeight="1" x14ac:dyDescent="0.25">
      <c r="B235" s="80" t="s">
        <v>435</v>
      </c>
      <c r="C235" s="81" t="s">
        <v>436</v>
      </c>
      <c r="D235" s="82"/>
      <c r="E235" s="230"/>
      <c r="F235" s="90">
        <v>0</v>
      </c>
      <c r="G235" s="89">
        <f t="shared" si="16"/>
        <v>0</v>
      </c>
      <c r="H235" s="118" t="str">
        <f t="array" ref="H235:K235">_xlfn.XLOOKUP(B235,'ESAP NEIVA FASE II UNIFICADO'!$B$6:$B$720,'ESAP NEIVA FASE II UNIFICADO'!$C$6:$F$720,"NO ESTA")</f>
        <v>SUMINISTRO E INSTALACIÓN RED DE ACERO NEGRO SCH 40</v>
      </c>
      <c r="I235">
        <v>0</v>
      </c>
      <c r="J235">
        <v>0</v>
      </c>
      <c r="K235">
        <v>0</v>
      </c>
      <c r="L235">
        <f t="shared" si="17"/>
        <v>1</v>
      </c>
      <c r="M235">
        <f t="shared" si="18"/>
        <v>0</v>
      </c>
      <c r="N235" s="119">
        <f t="shared" si="19"/>
        <v>0</v>
      </c>
      <c r="O235" s="119">
        <f t="shared" si="20"/>
        <v>0</v>
      </c>
    </row>
    <row r="236" spans="2:15" ht="26.25" customHeight="1" x14ac:dyDescent="0.25">
      <c r="B236" s="86" t="s">
        <v>437</v>
      </c>
      <c r="C236" s="87" t="s">
        <v>438</v>
      </c>
      <c r="D236" s="82" t="s">
        <v>269</v>
      </c>
      <c r="E236" s="230">
        <v>257</v>
      </c>
      <c r="F236" s="88">
        <v>23711</v>
      </c>
      <c r="G236" s="89">
        <f t="shared" si="16"/>
        <v>6093727</v>
      </c>
      <c r="H236" s="118" t="str">
        <f t="array" ref="H236:K236">_xlfn.XLOOKUP(B236,'ESAP NEIVA FASE II UNIFICADO'!$B$6:$B$720,'ESAP NEIVA FASE II UNIFICADO'!$C$6:$F$720,"NO ESTA")</f>
        <v xml:space="preserve">SUMINISTRO E INSTALACIÓN TUBERIA ACERO 1" SCH 40 INCLUYE. SOPORTES Y ADITAMENTOS                                 </v>
      </c>
      <c r="I236" t="str">
        <v xml:space="preserve">ML   </v>
      </c>
      <c r="J236">
        <v>694</v>
      </c>
      <c r="K236">
        <v>24331</v>
      </c>
      <c r="L236">
        <f t="shared" si="17"/>
        <v>0</v>
      </c>
      <c r="M236">
        <f t="shared" si="18"/>
        <v>0</v>
      </c>
      <c r="N236" s="119">
        <f t="shared" si="19"/>
        <v>257</v>
      </c>
      <c r="O236" s="119">
        <f t="shared" si="20"/>
        <v>0</v>
      </c>
    </row>
    <row r="237" spans="2:15" ht="26.25" customHeight="1" x14ac:dyDescent="0.25">
      <c r="B237" s="86" t="s">
        <v>439</v>
      </c>
      <c r="C237" s="87" t="s">
        <v>440</v>
      </c>
      <c r="D237" s="82" t="s">
        <v>269</v>
      </c>
      <c r="E237" s="230">
        <v>129</v>
      </c>
      <c r="F237" s="88">
        <v>50786</v>
      </c>
      <c r="G237" s="89">
        <f t="shared" si="16"/>
        <v>6551394</v>
      </c>
      <c r="H237" s="118" t="str">
        <f t="array" ref="H237:K237">_xlfn.XLOOKUP(B237,'ESAP NEIVA FASE II UNIFICADO'!$B$6:$B$720,'ESAP NEIVA FASE II UNIFICADO'!$C$6:$F$720,"NO ESTA")</f>
        <v xml:space="preserve">SUMINISTRO E INSTALACIÓN TUBERIA ACERO 2" SCH 40 INCLUYE. SOPORTES Y ADITAMENTOS                                 </v>
      </c>
      <c r="I237" t="str">
        <v xml:space="preserve">ML   </v>
      </c>
      <c r="J237">
        <v>350</v>
      </c>
      <c r="K237">
        <v>52113</v>
      </c>
      <c r="L237">
        <f t="shared" si="17"/>
        <v>0</v>
      </c>
      <c r="M237">
        <f t="shared" si="18"/>
        <v>0</v>
      </c>
      <c r="N237" s="119">
        <f t="shared" si="19"/>
        <v>129</v>
      </c>
      <c r="O237" s="119">
        <f t="shared" si="20"/>
        <v>0</v>
      </c>
    </row>
    <row r="238" spans="2:15" ht="26.25" customHeight="1" x14ac:dyDescent="0.25">
      <c r="B238" s="86" t="s">
        <v>441</v>
      </c>
      <c r="C238" s="87" t="s">
        <v>442</v>
      </c>
      <c r="D238" s="82" t="s">
        <v>269</v>
      </c>
      <c r="E238" s="230">
        <v>112</v>
      </c>
      <c r="F238" s="88">
        <v>94625</v>
      </c>
      <c r="G238" s="89">
        <f t="shared" si="16"/>
        <v>10598000</v>
      </c>
      <c r="H238" s="118" t="str">
        <f t="array" ref="H238:K238">_xlfn.XLOOKUP(B238,'ESAP NEIVA FASE II UNIFICADO'!$B$6:$B$720,'ESAP NEIVA FASE II UNIFICADO'!$C$6:$F$720,"NO ESTA")</f>
        <v xml:space="preserve">SUMINISTRO E INSTALACIÓN TUBERIA ACERO 3" SCH 40 INCLUYE. SOPORTES Y ADITAMENTOS                                 </v>
      </c>
      <c r="I238" t="str">
        <v xml:space="preserve">ML   </v>
      </c>
      <c r="J238">
        <v>301</v>
      </c>
      <c r="K238">
        <v>97096</v>
      </c>
      <c r="L238">
        <f t="shared" si="17"/>
        <v>0</v>
      </c>
      <c r="M238">
        <f t="shared" si="18"/>
        <v>0</v>
      </c>
      <c r="N238" s="119">
        <f t="shared" si="19"/>
        <v>112</v>
      </c>
      <c r="O238" s="119">
        <f t="shared" si="20"/>
        <v>0</v>
      </c>
    </row>
    <row r="239" spans="2:15" ht="26.25" customHeight="1" x14ac:dyDescent="0.25">
      <c r="B239" s="86" t="s">
        <v>443</v>
      </c>
      <c r="C239" s="87" t="s">
        <v>444</v>
      </c>
      <c r="D239" s="82" t="s">
        <v>269</v>
      </c>
      <c r="E239" s="230">
        <v>16</v>
      </c>
      <c r="F239" s="88">
        <v>133527</v>
      </c>
      <c r="G239" s="89">
        <f t="shared" si="16"/>
        <v>2136432</v>
      </c>
      <c r="H239" s="118" t="str">
        <f t="array" ref="H239:K239">_xlfn.XLOOKUP(B239,'ESAP NEIVA FASE II UNIFICADO'!$B$6:$B$720,'ESAP NEIVA FASE II UNIFICADO'!$C$6:$F$720,"NO ESTA")</f>
        <v xml:space="preserve">SUMINISTRO E INSTALACIÓN TUBERIA ACERO 4" SCH 40 INCLUYE. SOPORTES Y ADITAMENTOS                                 </v>
      </c>
      <c r="I239" t="str">
        <v xml:space="preserve">ML   </v>
      </c>
      <c r="J239">
        <v>44</v>
      </c>
      <c r="K239">
        <v>137013</v>
      </c>
      <c r="L239">
        <f t="shared" si="17"/>
        <v>0</v>
      </c>
      <c r="M239">
        <f t="shared" si="18"/>
        <v>0</v>
      </c>
      <c r="N239" s="119">
        <f t="shared" si="19"/>
        <v>16</v>
      </c>
      <c r="O239" s="119">
        <f t="shared" si="20"/>
        <v>0</v>
      </c>
    </row>
    <row r="240" spans="2:15" ht="15" customHeight="1" x14ac:dyDescent="0.25">
      <c r="B240" s="86" t="s">
        <v>445</v>
      </c>
      <c r="C240" s="87" t="s">
        <v>446</v>
      </c>
      <c r="D240" s="82" t="s">
        <v>284</v>
      </c>
      <c r="E240" s="230">
        <v>95</v>
      </c>
      <c r="F240" s="88">
        <v>7988</v>
      </c>
      <c r="G240" s="89">
        <f t="shared" si="16"/>
        <v>758860</v>
      </c>
      <c r="H240" s="118" t="str">
        <f t="array" ref="H240:K240">_xlfn.XLOOKUP(B240,'ESAP NEIVA FASE II UNIFICADO'!$B$6:$B$720,'ESAP NEIVA FASE II UNIFICADO'!$C$6:$F$720,"NO ESTA")</f>
        <v xml:space="preserve">SUMINISTRO E INSTALACIÓN ACCESORIOS ACERO NEGRO 1"                                                       </v>
      </c>
      <c r="I240" t="str">
        <v xml:space="preserve">UN   </v>
      </c>
      <c r="J240">
        <v>256</v>
      </c>
      <c r="K240">
        <v>8196</v>
      </c>
      <c r="L240">
        <f t="shared" si="17"/>
        <v>0</v>
      </c>
      <c r="M240">
        <f t="shared" si="18"/>
        <v>0</v>
      </c>
      <c r="N240" s="119">
        <f t="shared" si="19"/>
        <v>95</v>
      </c>
      <c r="O240" s="119">
        <f t="shared" si="20"/>
        <v>0</v>
      </c>
    </row>
    <row r="241" spans="2:15" ht="15" customHeight="1" x14ac:dyDescent="0.25">
      <c r="B241" s="86" t="s">
        <v>447</v>
      </c>
      <c r="C241" s="87" t="s">
        <v>448</v>
      </c>
      <c r="D241" s="82" t="s">
        <v>284</v>
      </c>
      <c r="E241" s="230">
        <v>35</v>
      </c>
      <c r="F241" s="88">
        <v>17379</v>
      </c>
      <c r="G241" s="89">
        <f t="shared" si="16"/>
        <v>608265</v>
      </c>
      <c r="H241" s="118" t="str">
        <f t="array" ref="H241:K241">_xlfn.XLOOKUP(B241,'ESAP NEIVA FASE II UNIFICADO'!$B$6:$B$720,'ESAP NEIVA FASE II UNIFICADO'!$C$6:$F$720,"NO ESTA")</f>
        <v xml:space="preserve">SUMINISTRO E INSTALACIÓN ACCESORIOS ACERO NEGRO 2"                                                       </v>
      </c>
      <c r="I241" t="str">
        <v xml:space="preserve">UN   </v>
      </c>
      <c r="J241">
        <v>95</v>
      </c>
      <c r="K241">
        <v>17833</v>
      </c>
      <c r="L241">
        <f t="shared" si="17"/>
        <v>0</v>
      </c>
      <c r="M241">
        <f t="shared" si="18"/>
        <v>0</v>
      </c>
      <c r="N241" s="119">
        <f t="shared" si="19"/>
        <v>35</v>
      </c>
      <c r="O241" s="119">
        <f t="shared" si="20"/>
        <v>0</v>
      </c>
    </row>
    <row r="242" spans="2:15" ht="15" customHeight="1" x14ac:dyDescent="0.25">
      <c r="B242" s="86" t="s">
        <v>449</v>
      </c>
      <c r="C242" s="87" t="s">
        <v>450</v>
      </c>
      <c r="D242" s="82" t="s">
        <v>284</v>
      </c>
      <c r="E242" s="230">
        <v>48</v>
      </c>
      <c r="F242" s="88">
        <v>26909</v>
      </c>
      <c r="G242" s="89">
        <f t="shared" si="16"/>
        <v>1291632</v>
      </c>
      <c r="H242" s="118" t="str">
        <f t="array" ref="H242:K242">_xlfn.XLOOKUP(B242,'ESAP NEIVA FASE II UNIFICADO'!$B$6:$B$720,'ESAP NEIVA FASE II UNIFICADO'!$C$6:$F$720,"NO ESTA")</f>
        <v xml:space="preserve">SUMINISTRO E INSTALACIÓN ACCESORIOS ACERO NEGRO 3"                                                       </v>
      </c>
      <c r="I242" t="str">
        <v xml:space="preserve">UN   </v>
      </c>
      <c r="J242">
        <v>128</v>
      </c>
      <c r="K242">
        <v>27612</v>
      </c>
      <c r="L242">
        <f t="shared" si="17"/>
        <v>0</v>
      </c>
      <c r="M242">
        <f t="shared" si="18"/>
        <v>0</v>
      </c>
      <c r="N242" s="119">
        <f t="shared" si="19"/>
        <v>48</v>
      </c>
      <c r="O242" s="119">
        <f t="shared" si="20"/>
        <v>0</v>
      </c>
    </row>
    <row r="243" spans="2:15" ht="15" customHeight="1" x14ac:dyDescent="0.25">
      <c r="B243" s="86" t="s">
        <v>451</v>
      </c>
      <c r="C243" s="87" t="s">
        <v>452</v>
      </c>
      <c r="D243" s="82" t="s">
        <v>284</v>
      </c>
      <c r="E243" s="230">
        <v>7</v>
      </c>
      <c r="F243" s="88">
        <v>42049</v>
      </c>
      <c r="G243" s="89">
        <f t="shared" si="16"/>
        <v>294343</v>
      </c>
      <c r="H243" s="118" t="str">
        <f t="array" ref="H243:K243">_xlfn.XLOOKUP(B243,'ESAP NEIVA FASE II UNIFICADO'!$B$6:$B$720,'ESAP NEIVA FASE II UNIFICADO'!$C$6:$F$720,"NO ESTA")</f>
        <v xml:space="preserve">SUMINISTRO E INSTALACIÓN ACCESORIOS ACERO NEGRO 4"                                                       </v>
      </c>
      <c r="I243" t="str">
        <v xml:space="preserve">UN   </v>
      </c>
      <c r="J243">
        <v>19</v>
      </c>
      <c r="K243">
        <v>43148</v>
      </c>
      <c r="L243">
        <f t="shared" si="17"/>
        <v>0</v>
      </c>
      <c r="M243">
        <f t="shared" si="18"/>
        <v>0</v>
      </c>
      <c r="N243" s="119">
        <f t="shared" si="19"/>
        <v>7</v>
      </c>
      <c r="O243" s="119">
        <f t="shared" si="20"/>
        <v>0</v>
      </c>
    </row>
    <row r="244" spans="2:15" ht="15" customHeight="1" x14ac:dyDescent="0.25">
      <c r="B244" s="86" t="s">
        <v>453</v>
      </c>
      <c r="C244" s="87" t="s">
        <v>454</v>
      </c>
      <c r="D244" s="82" t="s">
        <v>284</v>
      </c>
      <c r="E244" s="230">
        <v>21</v>
      </c>
      <c r="F244" s="88">
        <v>8108</v>
      </c>
      <c r="G244" s="89">
        <f t="shared" si="16"/>
        <v>170268</v>
      </c>
      <c r="H244" s="118" t="str">
        <f t="array" ref="H244:K244">_xlfn.XLOOKUP(B244,'ESAP NEIVA FASE II UNIFICADO'!$B$6:$B$720,'ESAP NEIVA FASE II UNIFICADO'!$C$6:$F$720,"NO ESTA")</f>
        <v xml:space="preserve">SUMINISTRO E INSTALACIÓN ACOPLES HIERRO FUNDIDO DIAMETRO 2"                                                      </v>
      </c>
      <c r="I244" t="str">
        <v xml:space="preserve">UN   </v>
      </c>
      <c r="J244">
        <v>55</v>
      </c>
      <c r="K244">
        <v>8320</v>
      </c>
      <c r="L244">
        <f t="shared" si="17"/>
        <v>0</v>
      </c>
      <c r="M244">
        <f t="shared" si="18"/>
        <v>0</v>
      </c>
      <c r="N244" s="119">
        <f t="shared" si="19"/>
        <v>21</v>
      </c>
      <c r="O244" s="119">
        <f t="shared" si="20"/>
        <v>0</v>
      </c>
    </row>
    <row r="245" spans="2:15" ht="15" customHeight="1" x14ac:dyDescent="0.25">
      <c r="B245" s="86" t="s">
        <v>455</v>
      </c>
      <c r="C245" s="87" t="s">
        <v>456</v>
      </c>
      <c r="D245" s="82" t="s">
        <v>284</v>
      </c>
      <c r="E245" s="230">
        <v>22</v>
      </c>
      <c r="F245" s="88">
        <v>10762</v>
      </c>
      <c r="G245" s="89">
        <f t="shared" si="16"/>
        <v>236764</v>
      </c>
      <c r="H245" s="118" t="str">
        <f t="array" ref="H245:K245">_xlfn.XLOOKUP(B245,'ESAP NEIVA FASE II UNIFICADO'!$B$6:$B$720,'ESAP NEIVA FASE II UNIFICADO'!$C$6:$F$720,"NO ESTA")</f>
        <v xml:space="preserve">SUMINISTRO E INSTALACIÓN ACOPLES HIERRO FUNDIDO DIAMETRO 3"                                                       </v>
      </c>
      <c r="I245" t="str">
        <v xml:space="preserve">UN   </v>
      </c>
      <c r="J245">
        <v>58</v>
      </c>
      <c r="K245">
        <v>11043</v>
      </c>
      <c r="L245">
        <f t="shared" si="17"/>
        <v>0</v>
      </c>
      <c r="M245">
        <f t="shared" si="18"/>
        <v>0</v>
      </c>
      <c r="N245" s="119">
        <f t="shared" si="19"/>
        <v>22</v>
      </c>
      <c r="O245" s="119">
        <f t="shared" si="20"/>
        <v>0</v>
      </c>
    </row>
    <row r="246" spans="2:15" ht="15" customHeight="1" x14ac:dyDescent="0.25">
      <c r="B246" s="86" t="s">
        <v>457</v>
      </c>
      <c r="C246" s="87" t="s">
        <v>458</v>
      </c>
      <c r="D246" s="82" t="s">
        <v>284</v>
      </c>
      <c r="E246" s="230">
        <v>3</v>
      </c>
      <c r="F246" s="88">
        <v>13314</v>
      </c>
      <c r="G246" s="89">
        <f t="shared" si="16"/>
        <v>39942</v>
      </c>
      <c r="H246" s="118" t="str">
        <f t="array" ref="H246:K246">_xlfn.XLOOKUP(B246,'ESAP NEIVA FASE II UNIFICADO'!$B$6:$B$720,'ESAP NEIVA FASE II UNIFICADO'!$C$6:$F$720,"NO ESTA")</f>
        <v xml:space="preserve">SUMINISTRO E INSTALACIÓN ACOPLES HIERRO FUNDIDO DIAMETRO 4"                                                       </v>
      </c>
      <c r="I246" t="str">
        <v xml:space="preserve">UN   </v>
      </c>
      <c r="J246">
        <v>9</v>
      </c>
      <c r="K246">
        <v>13663</v>
      </c>
      <c r="L246">
        <f t="shared" si="17"/>
        <v>0</v>
      </c>
      <c r="M246">
        <f t="shared" si="18"/>
        <v>0</v>
      </c>
      <c r="N246" s="119">
        <f t="shared" si="19"/>
        <v>3</v>
      </c>
      <c r="O246" s="119">
        <f t="shared" si="20"/>
        <v>0</v>
      </c>
    </row>
    <row r="247" spans="2:15" ht="15" customHeight="1" x14ac:dyDescent="0.25">
      <c r="B247" s="86" t="s">
        <v>459</v>
      </c>
      <c r="C247" s="87" t="s">
        <v>460</v>
      </c>
      <c r="D247" s="82" t="s">
        <v>269</v>
      </c>
      <c r="E247" s="230">
        <v>222</v>
      </c>
      <c r="F247" s="88">
        <v>5737</v>
      </c>
      <c r="G247" s="89">
        <f t="shared" si="16"/>
        <v>1273614</v>
      </c>
      <c r="H247" s="118" t="str">
        <f t="array" ref="H247:K247">_xlfn.XLOOKUP(B247,'ESAP NEIVA FASE II UNIFICADO'!$B$6:$B$720,'ESAP NEIVA FASE II UNIFICADO'!$C$6:$F$720,"NO ESTA")</f>
        <v xml:space="preserve">SUMINISTRO Y APLICACIÓN PINTURA RED DE INCENDIO DIAMETRO DE 1" A 2"                                                              </v>
      </c>
      <c r="I247" t="str">
        <v xml:space="preserve">ML   </v>
      </c>
      <c r="J247">
        <v>602</v>
      </c>
      <c r="K247">
        <v>5888</v>
      </c>
      <c r="L247">
        <f t="shared" si="17"/>
        <v>0</v>
      </c>
      <c r="M247">
        <f t="shared" si="18"/>
        <v>0</v>
      </c>
      <c r="N247" s="119">
        <f t="shared" si="19"/>
        <v>222</v>
      </c>
      <c r="O247" s="119">
        <f t="shared" si="20"/>
        <v>0</v>
      </c>
    </row>
    <row r="248" spans="2:15" ht="15" customHeight="1" x14ac:dyDescent="0.25">
      <c r="B248" s="86" t="s">
        <v>461</v>
      </c>
      <c r="C248" s="87" t="s">
        <v>462</v>
      </c>
      <c r="D248" s="82" t="s">
        <v>269</v>
      </c>
      <c r="E248" s="230">
        <v>40</v>
      </c>
      <c r="F248" s="88">
        <v>9760</v>
      </c>
      <c r="G248" s="89">
        <f t="shared" si="16"/>
        <v>390400</v>
      </c>
      <c r="H248" s="118" t="str">
        <f t="array" ref="H248:K248">_xlfn.XLOOKUP(B248,'ESAP NEIVA FASE II UNIFICADO'!$B$6:$B$720,'ESAP NEIVA FASE II UNIFICADO'!$C$6:$F$720,"NO ESTA")</f>
        <v xml:space="preserve">SUMINISTRO Y APLICACIÓN PINTURA RED DE INCENDIO DIAMETRO DE  2 1/2" A 4"                                                          </v>
      </c>
      <c r="I248" t="str">
        <v xml:space="preserve">ML   </v>
      </c>
      <c r="J248">
        <v>107</v>
      </c>
      <c r="K248">
        <v>10014</v>
      </c>
      <c r="L248">
        <f t="shared" si="17"/>
        <v>0</v>
      </c>
      <c r="M248">
        <f t="shared" si="18"/>
        <v>0</v>
      </c>
      <c r="N248" s="119">
        <f t="shared" si="19"/>
        <v>40</v>
      </c>
      <c r="O248" s="119">
        <f t="shared" si="20"/>
        <v>0</v>
      </c>
    </row>
    <row r="249" spans="2:15" ht="15" customHeight="1" x14ac:dyDescent="0.25">
      <c r="B249" s="80" t="s">
        <v>463</v>
      </c>
      <c r="C249" s="81" t="s">
        <v>464</v>
      </c>
      <c r="D249" s="82"/>
      <c r="E249" s="230"/>
      <c r="F249" s="90">
        <v>0</v>
      </c>
      <c r="G249" s="89">
        <f t="shared" si="16"/>
        <v>0</v>
      </c>
      <c r="H249" s="118" t="str">
        <f t="array" ref="H249:K249">_xlfn.XLOOKUP(B249,'ESAP NEIVA FASE II UNIFICADO'!$B$6:$B$720,'ESAP NEIVA FASE II UNIFICADO'!$C$6:$F$720,"NO ESTA")</f>
        <v>SUMINISTRO E INSTALACION ELEMENTOS RED CONTRA INCENDIO</v>
      </c>
      <c r="I249">
        <v>0</v>
      </c>
      <c r="J249">
        <v>0</v>
      </c>
      <c r="K249">
        <v>0</v>
      </c>
      <c r="L249">
        <f t="shared" si="17"/>
        <v>1</v>
      </c>
      <c r="M249">
        <f t="shared" si="18"/>
        <v>0</v>
      </c>
      <c r="N249" s="119">
        <f t="shared" si="19"/>
        <v>0</v>
      </c>
      <c r="O249" s="119">
        <f t="shared" si="20"/>
        <v>0</v>
      </c>
    </row>
    <row r="250" spans="2:15" ht="15" customHeight="1" x14ac:dyDescent="0.25">
      <c r="B250" s="86" t="s">
        <v>465</v>
      </c>
      <c r="C250" s="87" t="s">
        <v>466</v>
      </c>
      <c r="D250" s="82" t="s">
        <v>284</v>
      </c>
      <c r="E250" s="230">
        <v>102</v>
      </c>
      <c r="F250" s="88">
        <v>57855</v>
      </c>
      <c r="G250" s="89">
        <f t="shared" si="16"/>
        <v>5901210</v>
      </c>
      <c r="H250" s="118" t="str">
        <f t="array" ref="H250:K250">_xlfn.XLOOKUP(B250,'ESAP NEIVA FASE II UNIFICADO'!$B$6:$B$720,'ESAP NEIVA FASE II UNIFICADO'!$C$6:$F$720,"NO ESTA")</f>
        <v xml:space="preserve">SUMINISTRO E INSTALACIÓN ROCIADOR PENDENT K:5.6                                                          </v>
      </c>
      <c r="I250" t="str">
        <v xml:space="preserve">UN   </v>
      </c>
      <c r="J250">
        <v>276</v>
      </c>
      <c r="K250">
        <v>59366</v>
      </c>
      <c r="L250">
        <f t="shared" si="17"/>
        <v>0</v>
      </c>
      <c r="M250">
        <f t="shared" si="18"/>
        <v>0</v>
      </c>
      <c r="N250" s="119">
        <f t="shared" si="19"/>
        <v>102</v>
      </c>
      <c r="O250" s="119">
        <f t="shared" si="20"/>
        <v>0</v>
      </c>
    </row>
    <row r="251" spans="2:15" ht="15" customHeight="1" x14ac:dyDescent="0.25">
      <c r="B251" s="86" t="s">
        <v>467</v>
      </c>
      <c r="C251" s="87" t="s">
        <v>468</v>
      </c>
      <c r="D251" s="82" t="s">
        <v>284</v>
      </c>
      <c r="E251" s="230">
        <v>14</v>
      </c>
      <c r="F251" s="88">
        <v>37910</v>
      </c>
      <c r="G251" s="89">
        <f t="shared" si="16"/>
        <v>530740</v>
      </c>
      <c r="H251" s="118" t="str">
        <f t="array" ref="H251:K251">_xlfn.XLOOKUP(B251,'ESAP NEIVA FASE II UNIFICADO'!$B$6:$B$720,'ESAP NEIVA FASE II UNIFICADO'!$C$6:$F$720,"NO ESTA")</f>
        <v xml:space="preserve">SUMINISTRO E INSTALACIÓN ROCIADOR MONTANTE K:5.6                                                          </v>
      </c>
      <c r="I251" t="str">
        <v xml:space="preserve">UN   </v>
      </c>
      <c r="J251">
        <v>38</v>
      </c>
      <c r="K251">
        <v>38899</v>
      </c>
      <c r="L251">
        <f t="shared" si="17"/>
        <v>0</v>
      </c>
      <c r="M251">
        <f t="shared" si="18"/>
        <v>0</v>
      </c>
      <c r="N251" s="119">
        <f t="shared" si="19"/>
        <v>14</v>
      </c>
      <c r="O251" s="119">
        <f t="shared" si="20"/>
        <v>0</v>
      </c>
    </row>
    <row r="252" spans="2:15" ht="15" customHeight="1" x14ac:dyDescent="0.25">
      <c r="B252" s="86" t="s">
        <v>469</v>
      </c>
      <c r="C252" s="87" t="s">
        <v>470</v>
      </c>
      <c r="D252" s="82" t="s">
        <v>284</v>
      </c>
      <c r="E252" s="230">
        <v>10</v>
      </c>
      <c r="F252" s="88">
        <v>125097</v>
      </c>
      <c r="G252" s="89">
        <f t="shared" si="16"/>
        <v>1250970</v>
      </c>
      <c r="H252" s="118" t="str">
        <f t="array" ref="H252:K252">_xlfn.XLOOKUP(B252,'ESAP NEIVA FASE II UNIFICADO'!$B$6:$B$720,'ESAP NEIVA FASE II UNIFICADO'!$C$6:$F$720,"NO ESTA")</f>
        <v xml:space="preserve">SUMINISTRO E INSTALACIÓN ROCIADOR PENDENT K:11.2                                                          </v>
      </c>
      <c r="I252" t="str">
        <v xml:space="preserve">UN   </v>
      </c>
      <c r="J252">
        <v>27</v>
      </c>
      <c r="K252">
        <v>128366</v>
      </c>
      <c r="L252">
        <f t="shared" si="17"/>
        <v>0</v>
      </c>
      <c r="M252">
        <f t="shared" si="18"/>
        <v>0</v>
      </c>
      <c r="N252" s="119">
        <f t="shared" si="19"/>
        <v>10</v>
      </c>
      <c r="O252" s="119">
        <f t="shared" si="20"/>
        <v>0</v>
      </c>
    </row>
    <row r="253" spans="2:15" ht="15" customHeight="1" x14ac:dyDescent="0.25">
      <c r="B253" s="86" t="s">
        <v>471</v>
      </c>
      <c r="C253" s="87" t="s">
        <v>472</v>
      </c>
      <c r="D253" s="82" t="s">
        <v>284</v>
      </c>
      <c r="E253" s="230">
        <v>126</v>
      </c>
      <c r="F253" s="88">
        <v>45662</v>
      </c>
      <c r="G253" s="89">
        <f t="shared" si="16"/>
        <v>5753412</v>
      </c>
      <c r="H253" s="118" t="str">
        <f t="array" ref="H253:K253">_xlfn.XLOOKUP(B253,'ESAP NEIVA FASE II UNIFICADO'!$B$6:$B$720,'ESAP NEIVA FASE II UNIFICADO'!$C$6:$F$720,"NO ESTA")</f>
        <v xml:space="preserve">SUMINISTRO E INSTALACIÓN PUNTO HIDRÁULICO PARA ROCIADOR                                                  </v>
      </c>
      <c r="I253" t="str">
        <v xml:space="preserve">UN   </v>
      </c>
      <c r="J253">
        <v>341</v>
      </c>
      <c r="K253">
        <v>46856</v>
      </c>
      <c r="L253">
        <f t="shared" si="17"/>
        <v>0</v>
      </c>
      <c r="M253">
        <f t="shared" si="18"/>
        <v>0</v>
      </c>
      <c r="N253" s="119">
        <f t="shared" si="19"/>
        <v>126</v>
      </c>
      <c r="O253" s="119">
        <f t="shared" si="20"/>
        <v>0</v>
      </c>
    </row>
    <row r="254" spans="2:15" ht="15" customHeight="1" x14ac:dyDescent="0.25">
      <c r="B254" s="86" t="s">
        <v>473</v>
      </c>
      <c r="C254" s="87" t="s">
        <v>474</v>
      </c>
      <c r="D254" s="82" t="s">
        <v>284</v>
      </c>
      <c r="E254" s="230">
        <v>3</v>
      </c>
      <c r="F254" s="88">
        <v>4078038</v>
      </c>
      <c r="G254" s="89">
        <f t="shared" si="16"/>
        <v>12234114</v>
      </c>
      <c r="H254" s="118" t="str">
        <f t="array" ref="H254:K254">_xlfn.XLOOKUP(B254,'ESAP NEIVA FASE II UNIFICADO'!$B$6:$B$720,'ESAP NEIVA FASE II UNIFICADO'!$C$6:$F$720,"NO ESTA")</f>
        <v xml:space="preserve">SUMINISTRO E INSTALACIÓN ESTACIÓN DE CONTROL, PRUEBA Y DRENAJE 3"                                        </v>
      </c>
      <c r="I254" t="str">
        <v xml:space="preserve">UN   </v>
      </c>
      <c r="J254">
        <v>2</v>
      </c>
      <c r="K254">
        <v>4184551</v>
      </c>
      <c r="L254">
        <f t="shared" si="17"/>
        <v>0</v>
      </c>
      <c r="M254">
        <f t="shared" si="18"/>
        <v>0</v>
      </c>
      <c r="N254" s="119">
        <f t="shared" si="19"/>
        <v>3</v>
      </c>
      <c r="O254" s="119">
        <f t="shared" si="20"/>
        <v>0</v>
      </c>
    </row>
    <row r="255" spans="2:15" ht="15" customHeight="1" x14ac:dyDescent="0.25">
      <c r="B255" s="86" t="s">
        <v>475</v>
      </c>
      <c r="C255" s="87" t="s">
        <v>476</v>
      </c>
      <c r="D255" s="82" t="s">
        <v>284</v>
      </c>
      <c r="E255" s="230">
        <v>3</v>
      </c>
      <c r="F255" s="88">
        <v>78069</v>
      </c>
      <c r="G255" s="89">
        <f t="shared" si="16"/>
        <v>234207</v>
      </c>
      <c r="H255" s="118" t="str">
        <f t="array" ref="H255:K255">_xlfn.XLOOKUP(B255,'ESAP NEIVA FASE II UNIFICADO'!$B$6:$B$720,'ESAP NEIVA FASE II UNIFICADO'!$C$6:$F$720,"NO ESTA")</f>
        <v xml:space="preserve">SUMINISTRO E INSTALACIÓN VÁLVULA TOMA Y DESC. AIRE 1" INCENDIO                                           </v>
      </c>
      <c r="I255" t="str">
        <v xml:space="preserve">UN   </v>
      </c>
      <c r="J255">
        <v>7</v>
      </c>
      <c r="K255">
        <v>80107</v>
      </c>
      <c r="L255">
        <f t="shared" si="17"/>
        <v>0</v>
      </c>
      <c r="M255">
        <f t="shared" si="18"/>
        <v>0</v>
      </c>
      <c r="N255" s="119">
        <f t="shared" si="19"/>
        <v>3</v>
      </c>
      <c r="O255" s="119">
        <f t="shared" si="20"/>
        <v>0</v>
      </c>
    </row>
    <row r="256" spans="2:15" ht="15" customHeight="1" x14ac:dyDescent="0.25">
      <c r="B256" s="86" t="s">
        <v>477</v>
      </c>
      <c r="C256" s="87" t="s">
        <v>478</v>
      </c>
      <c r="D256" s="82" t="s">
        <v>284</v>
      </c>
      <c r="E256" s="230">
        <v>1</v>
      </c>
      <c r="F256" s="88">
        <v>1448552</v>
      </c>
      <c r="G256" s="89">
        <f t="shared" si="16"/>
        <v>1448552</v>
      </c>
      <c r="H256" s="118" t="str">
        <f t="array" ref="H256:K256">_xlfn.XLOOKUP(B256,'ESAP NEIVA FASE II UNIFICADO'!$B$6:$B$720,'ESAP NEIVA FASE II UNIFICADO'!$C$6:$F$720,"NO ESTA")</f>
        <v xml:space="preserve">SUMINISTRO E INSTALACIÓN SIAMESA DE INYECCIÓN                                                            </v>
      </c>
      <c r="I256" t="str">
        <v xml:space="preserve">UN   </v>
      </c>
      <c r="J256">
        <v>1</v>
      </c>
      <c r="K256">
        <v>1486386</v>
      </c>
      <c r="L256">
        <f t="shared" si="17"/>
        <v>0</v>
      </c>
      <c r="M256">
        <f t="shared" si="18"/>
        <v>0</v>
      </c>
      <c r="N256" s="119">
        <f t="shared" si="19"/>
        <v>1</v>
      </c>
      <c r="O256" s="119">
        <f t="shared" si="20"/>
        <v>0</v>
      </c>
    </row>
    <row r="257" spans="2:15" ht="15" customHeight="1" x14ac:dyDescent="0.25">
      <c r="B257" s="86" t="s">
        <v>479</v>
      </c>
      <c r="C257" s="87" t="s">
        <v>480</v>
      </c>
      <c r="D257" s="82" t="s">
        <v>284</v>
      </c>
      <c r="E257" s="230">
        <v>1</v>
      </c>
      <c r="F257" s="88">
        <v>5238807</v>
      </c>
      <c r="G257" s="89">
        <f t="shared" si="16"/>
        <v>5238807</v>
      </c>
      <c r="H257" s="118" t="str">
        <f t="array" ref="H257:K257">_xlfn.XLOOKUP(B257,'ESAP NEIVA FASE II UNIFICADO'!$B$6:$B$720,'ESAP NEIVA FASE II UNIFICADO'!$C$6:$F$720,"NO ESTA")</f>
        <v xml:space="preserve">SUMINISTRO E INSTALACIÓN CABEZAL DE PRUEBAS                                                         </v>
      </c>
      <c r="I257" t="str">
        <v xml:space="preserve">UN   </v>
      </c>
      <c r="J257">
        <v>0</v>
      </c>
      <c r="K257">
        <v>5375637</v>
      </c>
      <c r="L257">
        <f t="shared" si="17"/>
        <v>1</v>
      </c>
      <c r="M257">
        <f t="shared" si="18"/>
        <v>5238807</v>
      </c>
      <c r="N257" s="119">
        <f t="shared" si="19"/>
        <v>1</v>
      </c>
      <c r="O257" s="119">
        <f t="shared" si="20"/>
        <v>5238807</v>
      </c>
    </row>
    <row r="258" spans="2:15" ht="15" customHeight="1" x14ac:dyDescent="0.25">
      <c r="B258" s="86" t="s">
        <v>481</v>
      </c>
      <c r="C258" s="87" t="s">
        <v>482</v>
      </c>
      <c r="D258" s="82" t="s">
        <v>284</v>
      </c>
      <c r="E258" s="230">
        <v>1</v>
      </c>
      <c r="F258" s="88">
        <v>418527</v>
      </c>
      <c r="G258" s="89">
        <f t="shared" si="16"/>
        <v>418527</v>
      </c>
      <c r="H258" s="118" t="str">
        <f t="array" ref="H258:K258">_xlfn.XLOOKUP(B258,'ESAP NEIVA FASE II UNIFICADO'!$B$6:$B$720,'ESAP NEIVA FASE II UNIFICADO'!$C$6:$F$720,"NO ESTA")</f>
        <v xml:space="preserve">SUMINISTRO E INSTALACIÓN CHEQUE RANURADO 4"                                                              </v>
      </c>
      <c r="I258" t="str">
        <v xml:space="preserve">UN   </v>
      </c>
      <c r="J258">
        <v>0</v>
      </c>
      <c r="K258">
        <v>429459</v>
      </c>
      <c r="L258">
        <f t="shared" si="17"/>
        <v>1</v>
      </c>
      <c r="M258">
        <f t="shared" si="18"/>
        <v>418527</v>
      </c>
      <c r="N258" s="119">
        <f t="shared" si="19"/>
        <v>1</v>
      </c>
      <c r="O258" s="119">
        <f t="shared" si="20"/>
        <v>418527</v>
      </c>
    </row>
    <row r="259" spans="2:15" ht="15" customHeight="1" x14ac:dyDescent="0.25">
      <c r="B259" s="86" t="s">
        <v>483</v>
      </c>
      <c r="C259" s="87" t="s">
        <v>484</v>
      </c>
      <c r="D259" s="82" t="s">
        <v>284</v>
      </c>
      <c r="E259" s="230">
        <v>1</v>
      </c>
      <c r="F259" s="88">
        <v>1505643</v>
      </c>
      <c r="G259" s="89">
        <f t="shared" si="16"/>
        <v>1505643</v>
      </c>
      <c r="H259" s="118" t="str">
        <f t="array" ref="H259:K259">_xlfn.XLOOKUP(B259,'ESAP NEIVA FASE II UNIFICADO'!$B$6:$B$720,'ESAP NEIVA FASE II UNIFICADO'!$C$6:$F$720,"NO ESTA")</f>
        <v xml:space="preserve">SUMINISTRO E INSTALACIÓN VÁLVULA OS&amp;Y 4"                                                                 </v>
      </c>
      <c r="I259" t="str">
        <v xml:space="preserve">UN   </v>
      </c>
      <c r="J259">
        <v>0</v>
      </c>
      <c r="K259">
        <v>1544969</v>
      </c>
      <c r="L259">
        <f t="shared" si="17"/>
        <v>1</v>
      </c>
      <c r="M259">
        <f t="shared" si="18"/>
        <v>1505643</v>
      </c>
      <c r="N259" s="119">
        <f t="shared" si="19"/>
        <v>1</v>
      </c>
      <c r="O259" s="119">
        <f t="shared" si="20"/>
        <v>1505643</v>
      </c>
    </row>
    <row r="260" spans="2:15" ht="15" customHeight="1" x14ac:dyDescent="0.25">
      <c r="B260" s="86" t="s">
        <v>485</v>
      </c>
      <c r="C260" s="87" t="s">
        <v>486</v>
      </c>
      <c r="D260" s="82" t="s">
        <v>284</v>
      </c>
      <c r="E260" s="230">
        <v>5</v>
      </c>
      <c r="F260" s="88">
        <v>136196</v>
      </c>
      <c r="G260" s="89">
        <f t="shared" si="16"/>
        <v>680980</v>
      </c>
      <c r="H260" s="118" t="str">
        <f t="array" ref="H260:K260">_xlfn.XLOOKUP(B260,'ESAP NEIVA FASE II UNIFICADO'!$B$6:$B$720,'ESAP NEIVA FASE II UNIFICADO'!$C$6:$F$720,"NO ESTA")</f>
        <v xml:space="preserve">SUMINISTRO E INSTALACIÓN SOPORTE LONGITUDINAL 4 VÍAS 3"                                                               </v>
      </c>
      <c r="I260" t="str">
        <v xml:space="preserve">UN   </v>
      </c>
      <c r="J260">
        <v>15</v>
      </c>
      <c r="K260">
        <v>139754</v>
      </c>
      <c r="L260">
        <f t="shared" si="17"/>
        <v>0</v>
      </c>
      <c r="M260">
        <f t="shared" si="18"/>
        <v>0</v>
      </c>
      <c r="N260" s="119">
        <f t="shared" si="19"/>
        <v>5</v>
      </c>
      <c r="O260" s="119">
        <f t="shared" si="20"/>
        <v>0</v>
      </c>
    </row>
    <row r="261" spans="2:15" ht="15" customHeight="1" x14ac:dyDescent="0.25">
      <c r="B261" s="86" t="s">
        <v>487</v>
      </c>
      <c r="C261" s="87" t="s">
        <v>488</v>
      </c>
      <c r="D261" s="82" t="s">
        <v>284</v>
      </c>
      <c r="E261" s="230">
        <v>1</v>
      </c>
      <c r="F261" s="88">
        <v>273917</v>
      </c>
      <c r="G261" s="89">
        <f t="shared" si="16"/>
        <v>273917</v>
      </c>
      <c r="H261" s="118" t="str">
        <f t="array" ref="H261:K261">_xlfn.XLOOKUP(B261,'ESAP NEIVA FASE II UNIFICADO'!$B$6:$B$720,'ESAP NEIVA FASE II UNIFICADO'!$C$6:$F$720,"NO ESTA")</f>
        <v xml:space="preserve">SUMINISTRO E INSTALACIÓN SOPORTE LONGITUDINAL 4 VÍAS 4"                                                               </v>
      </c>
      <c r="I261" t="str">
        <v xml:space="preserve">UN   </v>
      </c>
      <c r="J261">
        <v>2</v>
      </c>
      <c r="K261">
        <v>281071</v>
      </c>
      <c r="L261">
        <f t="shared" si="17"/>
        <v>0</v>
      </c>
      <c r="M261">
        <f t="shared" si="18"/>
        <v>0</v>
      </c>
      <c r="N261" s="119">
        <f t="shared" si="19"/>
        <v>1</v>
      </c>
      <c r="O261" s="119">
        <f t="shared" si="20"/>
        <v>0</v>
      </c>
    </row>
    <row r="262" spans="2:15" ht="15" customHeight="1" x14ac:dyDescent="0.25">
      <c r="B262" s="86" t="s">
        <v>489</v>
      </c>
      <c r="C262" s="87" t="s">
        <v>490</v>
      </c>
      <c r="D262" s="82" t="s">
        <v>284</v>
      </c>
      <c r="E262" s="230">
        <v>12</v>
      </c>
      <c r="F262" s="88">
        <v>117136</v>
      </c>
      <c r="G262" s="89">
        <f t="shared" ref="G262:G325" si="21">ROUND(+F262*E262,2)</f>
        <v>1405632</v>
      </c>
      <c r="H262" s="118" t="str">
        <f t="array" ref="H262:K262">_xlfn.XLOOKUP(B262,'ESAP NEIVA FASE II UNIFICADO'!$B$6:$B$720,'ESAP NEIVA FASE II UNIFICADO'!$C$6:$F$720,"NO ESTA")</f>
        <v xml:space="preserve">SUMINISTRO E INSTALACIÓN SOPORTE LATERAL 2 VÍAS 2"                                                       </v>
      </c>
      <c r="I262" t="str">
        <v xml:space="preserve">UN   </v>
      </c>
      <c r="J262">
        <v>32</v>
      </c>
      <c r="K262">
        <v>120195</v>
      </c>
      <c r="L262">
        <f t="shared" si="17"/>
        <v>0</v>
      </c>
      <c r="M262">
        <f t="shared" si="18"/>
        <v>0</v>
      </c>
      <c r="N262" s="119">
        <f t="shared" si="19"/>
        <v>12</v>
      </c>
      <c r="O262" s="119">
        <f t="shared" si="20"/>
        <v>0</v>
      </c>
    </row>
    <row r="263" spans="2:15" ht="15" customHeight="1" x14ac:dyDescent="0.25">
      <c r="B263" s="86" t="s">
        <v>491</v>
      </c>
      <c r="C263" s="87" t="s">
        <v>492</v>
      </c>
      <c r="D263" s="82" t="s">
        <v>284</v>
      </c>
      <c r="E263" s="230">
        <v>10</v>
      </c>
      <c r="F263" s="88">
        <v>123396</v>
      </c>
      <c r="G263" s="89">
        <f t="shared" si="21"/>
        <v>1233960</v>
      </c>
      <c r="H263" s="118" t="str">
        <f t="array" ref="H263:K263">_xlfn.XLOOKUP(B263,'ESAP NEIVA FASE II UNIFICADO'!$B$6:$B$720,'ESAP NEIVA FASE II UNIFICADO'!$C$6:$F$720,"NO ESTA")</f>
        <v xml:space="preserve">SUMINISTRO E INSTALACIÓN SOPORTE LATERAL 2 VÍAS 3"                                                       </v>
      </c>
      <c r="I263" t="str">
        <v xml:space="preserve">UN   </v>
      </c>
      <c r="J263">
        <v>27</v>
      </c>
      <c r="K263">
        <v>126619</v>
      </c>
      <c r="L263">
        <f t="shared" si="17"/>
        <v>0</v>
      </c>
      <c r="M263">
        <f t="shared" si="18"/>
        <v>0</v>
      </c>
      <c r="N263" s="119">
        <f t="shared" si="19"/>
        <v>10</v>
      </c>
      <c r="O263" s="119">
        <f t="shared" si="20"/>
        <v>0</v>
      </c>
    </row>
    <row r="264" spans="2:15" ht="15" customHeight="1" x14ac:dyDescent="0.25">
      <c r="B264" s="86" t="s">
        <v>493</v>
      </c>
      <c r="C264" s="87" t="s">
        <v>494</v>
      </c>
      <c r="D264" s="82" t="s">
        <v>284</v>
      </c>
      <c r="E264" s="230">
        <v>2</v>
      </c>
      <c r="F264" s="88">
        <v>1565081</v>
      </c>
      <c r="G264" s="89">
        <f t="shared" si="21"/>
        <v>3130162</v>
      </c>
      <c r="H264" s="118" t="str">
        <f t="array" ref="H264:K264">_xlfn.XLOOKUP(B264,'ESAP NEIVA FASE II UNIFICADO'!$B$6:$B$720,'ESAP NEIVA FASE II UNIFICADO'!$C$6:$F$720,"NO ESTA")</f>
        <v xml:space="preserve">SUMINISTRO E INSTALACIÓN GABINETE TIPO II </v>
      </c>
      <c r="I264" t="str">
        <v xml:space="preserve">UN   </v>
      </c>
      <c r="J264">
        <v>6</v>
      </c>
      <c r="K264">
        <v>1605959</v>
      </c>
      <c r="L264">
        <f t="shared" si="17"/>
        <v>0</v>
      </c>
      <c r="M264">
        <f t="shared" si="18"/>
        <v>0</v>
      </c>
      <c r="N264" s="119">
        <f t="shared" si="19"/>
        <v>2</v>
      </c>
      <c r="O264" s="119">
        <f t="shared" si="20"/>
        <v>0</v>
      </c>
    </row>
    <row r="265" spans="2:15" ht="15.75" customHeight="1" x14ac:dyDescent="0.25">
      <c r="B265" s="74">
        <v>14</v>
      </c>
      <c r="C265" s="75" t="s">
        <v>495</v>
      </c>
      <c r="D265" s="76"/>
      <c r="E265" s="229"/>
      <c r="F265" s="78">
        <v>0</v>
      </c>
      <c r="G265" s="89">
        <f t="shared" si="21"/>
        <v>0</v>
      </c>
      <c r="H265" s="118" t="str">
        <f t="array" ref="H265:K265">_xlfn.XLOOKUP(B265,'ESAP NEIVA FASE II UNIFICADO'!$B$6:$B$720,'ESAP NEIVA FASE II UNIFICADO'!$C$6:$F$720,"NO ESTA")</f>
        <v>SALIDAS DE ALUMBRADO Y TOMACORRIENTES ELÉCTRICOS</v>
      </c>
      <c r="I265">
        <v>0</v>
      </c>
      <c r="J265">
        <v>0</v>
      </c>
      <c r="K265">
        <v>0</v>
      </c>
      <c r="L265">
        <f t="shared" si="17"/>
        <v>1</v>
      </c>
      <c r="M265">
        <f t="shared" si="18"/>
        <v>0</v>
      </c>
      <c r="N265" s="119">
        <f t="shared" si="19"/>
        <v>0</v>
      </c>
      <c r="O265" s="119">
        <f t="shared" si="20"/>
        <v>0</v>
      </c>
    </row>
    <row r="266" spans="2:15" ht="26.25" customHeight="1" x14ac:dyDescent="0.25">
      <c r="B266" s="80" t="s">
        <v>496</v>
      </c>
      <c r="C266" s="81" t="s">
        <v>497</v>
      </c>
      <c r="D266" s="82"/>
      <c r="E266" s="230"/>
      <c r="F266" s="90">
        <v>0</v>
      </c>
      <c r="G266" s="89">
        <f t="shared" si="21"/>
        <v>0</v>
      </c>
      <c r="H266" s="118" t="str">
        <f t="array" ref="H266:K266">_xlfn.XLOOKUP(B266,'ESAP NEIVA FASE II UNIFICADO'!$B$6:$B$720,'ESAP NEIVA FASE II UNIFICADO'!$C$6:$F$720,"NO ESTA")</f>
        <v>SUMINISTRO E INSTALACIÓN SALIDAS DE ALUMBRADO EN TUBERIA PVC INCRUSTRADA (NO SE INCLUYE LAS LUMINARIAS)</v>
      </c>
      <c r="I266">
        <v>0</v>
      </c>
      <c r="J266">
        <v>0</v>
      </c>
      <c r="K266">
        <v>0</v>
      </c>
      <c r="L266">
        <f t="shared" ref="L266:L329" si="22">+IF(J266&gt;0,0,1)</f>
        <v>1</v>
      </c>
      <c r="M266">
        <f t="shared" ref="M266:M329" si="23">IF(L266=1,F266,0)</f>
        <v>0</v>
      </c>
      <c r="N266" s="119">
        <f t="shared" ref="N266:N329" si="24">E266</f>
        <v>0</v>
      </c>
      <c r="O266" s="119">
        <f t="shared" si="20"/>
        <v>0</v>
      </c>
    </row>
    <row r="267" spans="2:15" ht="15" customHeight="1" x14ac:dyDescent="0.25">
      <c r="B267" s="86" t="s">
        <v>498</v>
      </c>
      <c r="C267" s="87" t="s">
        <v>499</v>
      </c>
      <c r="D267" s="82" t="s">
        <v>374</v>
      </c>
      <c r="E267" s="230">
        <v>57</v>
      </c>
      <c r="F267" s="88">
        <v>80964</v>
      </c>
      <c r="G267" s="89">
        <f t="shared" si="21"/>
        <v>4614948</v>
      </c>
      <c r="H267" s="118" t="str">
        <f t="array" ref="H267:K267">_xlfn.XLOOKUP(B267,'ESAP NEIVA FASE II UNIFICADO'!$B$6:$B$720,'ESAP NEIVA FASE II UNIFICADO'!$C$6:$F$720,"NO ESTA")</f>
        <v>SUMINISTRO E INSTALACIÓN SALIDA PARA LAMPARA LED DE 1x28 W</v>
      </c>
      <c r="I267" t="str">
        <v>UN</v>
      </c>
      <c r="J267">
        <v>153</v>
      </c>
      <c r="K267">
        <v>83078</v>
      </c>
      <c r="L267">
        <f t="shared" si="22"/>
        <v>0</v>
      </c>
      <c r="M267">
        <f t="shared" si="23"/>
        <v>0</v>
      </c>
      <c r="N267" s="119">
        <f t="shared" si="24"/>
        <v>57</v>
      </c>
      <c r="O267" s="119">
        <f t="shared" ref="O267:O330" si="25">ROUND(M267*N267,2)</f>
        <v>0</v>
      </c>
    </row>
    <row r="268" spans="2:15" ht="15" customHeight="1" x14ac:dyDescent="0.25">
      <c r="B268" s="86" t="s">
        <v>500</v>
      </c>
      <c r="C268" s="87" t="s">
        <v>501</v>
      </c>
      <c r="D268" s="82" t="s">
        <v>374</v>
      </c>
      <c r="E268" s="230">
        <v>30</v>
      </c>
      <c r="F268" s="88">
        <v>73244</v>
      </c>
      <c r="G268" s="89">
        <f t="shared" si="21"/>
        <v>2197320</v>
      </c>
      <c r="H268" s="118" t="str">
        <f t="array" ref="H268:K268">_xlfn.XLOOKUP(B268,'ESAP NEIVA FASE II UNIFICADO'!$B$6:$B$720,'ESAP NEIVA FASE II UNIFICADO'!$C$6:$F$720,"NO ESTA")</f>
        <v>SUMINISTRO E INSTALACIÓN SALIDA PARA LAMPARA LED DE 2x54 W</v>
      </c>
      <c r="I268" t="str">
        <v>UN</v>
      </c>
      <c r="J268">
        <v>82</v>
      </c>
      <c r="K268">
        <v>75156</v>
      </c>
      <c r="L268">
        <f t="shared" si="22"/>
        <v>0</v>
      </c>
      <c r="M268">
        <f t="shared" si="23"/>
        <v>0</v>
      </c>
      <c r="N268" s="119">
        <f t="shared" si="24"/>
        <v>30</v>
      </c>
      <c r="O268" s="119">
        <f t="shared" si="25"/>
        <v>0</v>
      </c>
    </row>
    <row r="269" spans="2:15" ht="15" customHeight="1" x14ac:dyDescent="0.25">
      <c r="B269" s="86" t="s">
        <v>502</v>
      </c>
      <c r="C269" s="87" t="s">
        <v>503</v>
      </c>
      <c r="D269" s="82" t="s">
        <v>374</v>
      </c>
      <c r="E269" s="230">
        <v>45</v>
      </c>
      <c r="F269" s="88">
        <v>68674</v>
      </c>
      <c r="G269" s="89">
        <f t="shared" si="21"/>
        <v>3090330</v>
      </c>
      <c r="H269" s="118" t="str">
        <f t="array" ref="H269:K269">_xlfn.XLOOKUP(B269,'ESAP NEIVA FASE II UNIFICADO'!$B$6:$B$720,'ESAP NEIVA FASE II UNIFICADO'!$C$6:$F$720,"NO ESTA")</f>
        <v>SUMINISTRO E INSTALACIÓN SALIDA PARA BALA DE LED 35W 120V</v>
      </c>
      <c r="I269" t="str">
        <v>UN</v>
      </c>
      <c r="J269">
        <v>121</v>
      </c>
      <c r="K269">
        <v>70467</v>
      </c>
      <c r="L269">
        <f t="shared" si="22"/>
        <v>0</v>
      </c>
      <c r="M269">
        <f t="shared" si="23"/>
        <v>0</v>
      </c>
      <c r="N269" s="119">
        <f t="shared" si="24"/>
        <v>45</v>
      </c>
      <c r="O269" s="119">
        <f t="shared" si="25"/>
        <v>0</v>
      </c>
    </row>
    <row r="270" spans="2:15" ht="15" customHeight="1" x14ac:dyDescent="0.25">
      <c r="B270" s="86" t="s">
        <v>504</v>
      </c>
      <c r="C270" s="87" t="s">
        <v>505</v>
      </c>
      <c r="D270" s="82" t="s">
        <v>374</v>
      </c>
      <c r="E270" s="230">
        <v>19</v>
      </c>
      <c r="F270" s="88">
        <v>68674</v>
      </c>
      <c r="G270" s="89">
        <f t="shared" si="21"/>
        <v>1304806</v>
      </c>
      <c r="H270" s="118" t="str">
        <f t="array" ref="H270:K270">_xlfn.XLOOKUP(B270,'ESAP NEIVA FASE II UNIFICADO'!$B$6:$B$720,'ESAP NEIVA FASE II UNIFICADO'!$C$6:$F$720,"NO ESTA")</f>
        <v>SUMINISTRO E INSTALACIÓN SALIDA PARA BALA RECESADA LED 10W 120V</v>
      </c>
      <c r="I270" t="str">
        <v>UN</v>
      </c>
      <c r="J270">
        <v>50</v>
      </c>
      <c r="K270">
        <v>70467</v>
      </c>
      <c r="L270">
        <f t="shared" si="22"/>
        <v>0</v>
      </c>
      <c r="M270">
        <f t="shared" si="23"/>
        <v>0</v>
      </c>
      <c r="N270" s="119">
        <f t="shared" si="24"/>
        <v>19</v>
      </c>
      <c r="O270" s="119">
        <f t="shared" si="25"/>
        <v>0</v>
      </c>
    </row>
    <row r="271" spans="2:15" ht="15" customHeight="1" x14ac:dyDescent="0.25">
      <c r="B271" s="86" t="s">
        <v>506</v>
      </c>
      <c r="C271" s="87" t="s">
        <v>507</v>
      </c>
      <c r="D271" s="82" t="s">
        <v>374</v>
      </c>
      <c r="E271" s="230">
        <v>68</v>
      </c>
      <c r="F271" s="88">
        <v>68674</v>
      </c>
      <c r="G271" s="89">
        <f t="shared" si="21"/>
        <v>4669832</v>
      </c>
      <c r="H271" s="118" t="str">
        <f t="array" ref="H271:K271">_xlfn.XLOOKUP(B271,'ESAP NEIVA FASE II UNIFICADO'!$B$6:$B$720,'ESAP NEIVA FASE II UNIFICADO'!$C$6:$F$720,"NO ESTA")</f>
        <v>SUMINISTRO E INSTALACIÓN SALIDA PARA LUMINARIA LED 2x26W 120V</v>
      </c>
      <c r="I271" t="str">
        <v>UN</v>
      </c>
      <c r="J271">
        <v>184</v>
      </c>
      <c r="K271">
        <v>70467</v>
      </c>
      <c r="L271">
        <f t="shared" si="22"/>
        <v>0</v>
      </c>
      <c r="M271">
        <f t="shared" si="23"/>
        <v>0</v>
      </c>
      <c r="N271" s="119">
        <f t="shared" si="24"/>
        <v>68</v>
      </c>
      <c r="O271" s="119">
        <f t="shared" si="25"/>
        <v>0</v>
      </c>
    </row>
    <row r="272" spans="2:15" ht="15" customHeight="1" x14ac:dyDescent="0.25">
      <c r="B272" s="86" t="s">
        <v>508</v>
      </c>
      <c r="C272" s="87" t="s">
        <v>509</v>
      </c>
      <c r="D272" s="82" t="s">
        <v>374</v>
      </c>
      <c r="E272" s="230">
        <v>2</v>
      </c>
      <c r="F272" s="88">
        <v>66507</v>
      </c>
      <c r="G272" s="89">
        <f t="shared" si="21"/>
        <v>133014</v>
      </c>
      <c r="H272" s="118" t="str">
        <f t="array" ref="H272:K272">_xlfn.XLOOKUP(B272,'ESAP NEIVA FASE II UNIFICADO'!$B$6:$B$720,'ESAP NEIVA FASE II UNIFICADO'!$C$6:$F$720,"NO ESTA")</f>
        <v>SUMINISTRO E INSTALACIÓN SALIDA PARA REFLECTOR DE LUZ DIRECTA</v>
      </c>
      <c r="I272" t="str">
        <v>UN</v>
      </c>
      <c r="J272">
        <v>6</v>
      </c>
      <c r="K272">
        <v>68243</v>
      </c>
      <c r="L272">
        <f t="shared" si="22"/>
        <v>0</v>
      </c>
      <c r="M272">
        <f t="shared" si="23"/>
        <v>0</v>
      </c>
      <c r="N272" s="119">
        <f t="shared" si="24"/>
        <v>2</v>
      </c>
      <c r="O272" s="119">
        <f t="shared" si="25"/>
        <v>0</v>
      </c>
    </row>
    <row r="273" spans="2:15" ht="15" customHeight="1" x14ac:dyDescent="0.25">
      <c r="B273" s="86" t="s">
        <v>510</v>
      </c>
      <c r="C273" s="87" t="s">
        <v>511</v>
      </c>
      <c r="D273" s="82" t="s">
        <v>374</v>
      </c>
      <c r="E273" s="230">
        <v>2</v>
      </c>
      <c r="F273" s="88">
        <v>72910</v>
      </c>
      <c r="G273" s="89">
        <f t="shared" si="21"/>
        <v>145820</v>
      </c>
      <c r="H273" s="118" t="str">
        <f t="array" ref="H273:K273">_xlfn.XLOOKUP(B273,'ESAP NEIVA FASE II UNIFICADO'!$B$6:$B$720,'ESAP NEIVA FASE II UNIFICADO'!$C$6:$F$720,"NO ESTA")</f>
        <v>SUMINISTRO E INSTALACIÓN SALIDA PARA APLIQUE DE ESCALERA 1000W 120V</v>
      </c>
      <c r="I273" t="str">
        <v>UN</v>
      </c>
      <c r="J273">
        <v>6</v>
      </c>
      <c r="K273">
        <v>74815</v>
      </c>
      <c r="L273">
        <f t="shared" si="22"/>
        <v>0</v>
      </c>
      <c r="M273">
        <f t="shared" si="23"/>
        <v>0</v>
      </c>
      <c r="N273" s="119">
        <f t="shared" si="24"/>
        <v>2</v>
      </c>
      <c r="O273" s="119">
        <f t="shared" si="25"/>
        <v>0</v>
      </c>
    </row>
    <row r="274" spans="2:15" ht="15" customHeight="1" x14ac:dyDescent="0.25">
      <c r="B274" s="86" t="s">
        <v>512</v>
      </c>
      <c r="C274" s="87" t="s">
        <v>513</v>
      </c>
      <c r="D274" s="82" t="s">
        <v>374</v>
      </c>
      <c r="E274" s="230">
        <v>25</v>
      </c>
      <c r="F274" s="88">
        <v>72910</v>
      </c>
      <c r="G274" s="89">
        <f t="shared" si="21"/>
        <v>1822750</v>
      </c>
      <c r="H274" s="118" t="str">
        <f t="array" ref="H274:K274">_xlfn.XLOOKUP(B274,'ESAP NEIVA FASE II UNIFICADO'!$B$6:$B$720,'ESAP NEIVA FASE II UNIFICADO'!$C$6:$F$720,"NO ESTA")</f>
        <v>SUMINISTRO E INSTALACIÓN SALIDA PARA BALAS LED DE PISO 3W 120V</v>
      </c>
      <c r="I274" t="str">
        <v>UN</v>
      </c>
      <c r="J274">
        <v>67</v>
      </c>
      <c r="K274">
        <v>74815</v>
      </c>
      <c r="L274">
        <f t="shared" si="22"/>
        <v>0</v>
      </c>
      <c r="M274">
        <f t="shared" si="23"/>
        <v>0</v>
      </c>
      <c r="N274" s="119">
        <f t="shared" si="24"/>
        <v>25</v>
      </c>
      <c r="O274" s="119">
        <f t="shared" si="25"/>
        <v>0</v>
      </c>
    </row>
    <row r="275" spans="2:15" ht="15" customHeight="1" x14ac:dyDescent="0.25">
      <c r="B275" s="86" t="s">
        <v>514</v>
      </c>
      <c r="C275" s="87" t="s">
        <v>515</v>
      </c>
      <c r="D275" s="82" t="s">
        <v>374</v>
      </c>
      <c r="E275" s="230">
        <v>4</v>
      </c>
      <c r="F275" s="88">
        <v>72910</v>
      </c>
      <c r="G275" s="89">
        <f t="shared" si="21"/>
        <v>291640</v>
      </c>
      <c r="H275" s="118" t="str">
        <f t="array" ref="H275:K275">_xlfn.XLOOKUP(B275,'ESAP NEIVA FASE II UNIFICADO'!$B$6:$B$720,'ESAP NEIVA FASE II UNIFICADO'!$C$6:$F$720,"NO ESTA")</f>
        <v>SUMINISTRO E INSTALACIÓN SALIDA PARA BALAS DE PISO 50W 120V</v>
      </c>
      <c r="I275" t="str">
        <v>UN</v>
      </c>
      <c r="J275">
        <v>10</v>
      </c>
      <c r="K275">
        <v>74815</v>
      </c>
      <c r="L275">
        <f t="shared" si="22"/>
        <v>0</v>
      </c>
      <c r="M275">
        <f t="shared" si="23"/>
        <v>0</v>
      </c>
      <c r="N275" s="119">
        <f t="shared" si="24"/>
        <v>4</v>
      </c>
      <c r="O275" s="119">
        <f t="shared" si="25"/>
        <v>0</v>
      </c>
    </row>
    <row r="276" spans="2:15" ht="15" customHeight="1" x14ac:dyDescent="0.25">
      <c r="B276" s="86" t="s">
        <v>516</v>
      </c>
      <c r="C276" s="87" t="s">
        <v>517</v>
      </c>
      <c r="D276" s="82" t="s">
        <v>374</v>
      </c>
      <c r="E276" s="230">
        <v>16</v>
      </c>
      <c r="F276" s="88">
        <v>77975</v>
      </c>
      <c r="G276" s="89">
        <f t="shared" si="21"/>
        <v>1247600</v>
      </c>
      <c r="H276" s="118" t="str">
        <f t="array" ref="H276:K276">_xlfn.XLOOKUP(B276,'ESAP NEIVA FASE II UNIFICADO'!$B$6:$B$720,'ESAP NEIVA FASE II UNIFICADO'!$C$6:$F$720,"NO ESTA")</f>
        <v>SUMINISTRO E INSTALACIÓN SALIDA PARA INTERRUPTOR SENCILLO COLOR BLANCO</v>
      </c>
      <c r="I276" t="str">
        <v>UN</v>
      </c>
      <c r="J276">
        <v>42</v>
      </c>
      <c r="K276">
        <v>80011</v>
      </c>
      <c r="L276">
        <f t="shared" si="22"/>
        <v>0</v>
      </c>
      <c r="M276">
        <f t="shared" si="23"/>
        <v>0</v>
      </c>
      <c r="N276" s="119">
        <f t="shared" si="24"/>
        <v>16</v>
      </c>
      <c r="O276" s="119">
        <f t="shared" si="25"/>
        <v>0</v>
      </c>
    </row>
    <row r="277" spans="2:15" ht="15" customHeight="1" x14ac:dyDescent="0.25">
      <c r="B277" s="86" t="s">
        <v>518</v>
      </c>
      <c r="C277" s="87" t="s">
        <v>519</v>
      </c>
      <c r="D277" s="82" t="s">
        <v>374</v>
      </c>
      <c r="E277" s="230">
        <v>6</v>
      </c>
      <c r="F277" s="88">
        <v>84546</v>
      </c>
      <c r="G277" s="89">
        <f t="shared" si="21"/>
        <v>507276</v>
      </c>
      <c r="H277" s="118" t="str">
        <f t="array" ref="H277:K277">_xlfn.XLOOKUP(B277,'ESAP NEIVA FASE II UNIFICADO'!$B$6:$B$720,'ESAP NEIVA FASE II UNIFICADO'!$C$6:$F$720,"NO ESTA")</f>
        <v>SUMINISTRO E INSTALACIÓN SALIDA PARA INTERRUPTOR DOBLE COLOR BLANCO</v>
      </c>
      <c r="I277" t="str">
        <v>UN</v>
      </c>
      <c r="J277">
        <v>18</v>
      </c>
      <c r="K277">
        <v>86756</v>
      </c>
      <c r="L277">
        <f t="shared" si="22"/>
        <v>0</v>
      </c>
      <c r="M277">
        <f t="shared" si="23"/>
        <v>0</v>
      </c>
      <c r="N277" s="119">
        <f t="shared" si="24"/>
        <v>6</v>
      </c>
      <c r="O277" s="119">
        <f t="shared" si="25"/>
        <v>0</v>
      </c>
    </row>
    <row r="278" spans="2:15" ht="27" customHeight="1" x14ac:dyDescent="0.25">
      <c r="B278" s="86" t="s">
        <v>520</v>
      </c>
      <c r="C278" s="87" t="s">
        <v>521</v>
      </c>
      <c r="D278" s="82" t="s">
        <v>374</v>
      </c>
      <c r="E278" s="230">
        <v>2</v>
      </c>
      <c r="F278" s="88">
        <v>86318</v>
      </c>
      <c r="G278" s="89">
        <f t="shared" si="21"/>
        <v>172636</v>
      </c>
      <c r="H278" s="118" t="str">
        <f t="array" ref="H278:K278">_xlfn.XLOOKUP(B278,'ESAP NEIVA FASE II UNIFICADO'!$B$6:$B$720,'ESAP NEIVA FASE II UNIFICADO'!$C$6:$F$720,"NO ESTA")</f>
        <v>SUMINISTRO E INSTALACIÓN SALIDA PARA INTERRUPTOR SENCILLO CONMUTABLE COLOR BLANCO</v>
      </c>
      <c r="I278" t="str">
        <v>UN</v>
      </c>
      <c r="J278">
        <v>6</v>
      </c>
      <c r="K278">
        <v>88571</v>
      </c>
      <c r="L278">
        <f t="shared" si="22"/>
        <v>0</v>
      </c>
      <c r="M278">
        <f t="shared" si="23"/>
        <v>0</v>
      </c>
      <c r="N278" s="119">
        <f t="shared" si="24"/>
        <v>2</v>
      </c>
      <c r="O278" s="119">
        <f t="shared" si="25"/>
        <v>0</v>
      </c>
    </row>
    <row r="279" spans="2:15" ht="27" customHeight="1" x14ac:dyDescent="0.25">
      <c r="B279" s="86" t="s">
        <v>522</v>
      </c>
      <c r="C279" s="87" t="s">
        <v>523</v>
      </c>
      <c r="D279" s="82" t="s">
        <v>374</v>
      </c>
      <c r="E279" s="230">
        <v>2</v>
      </c>
      <c r="F279" s="88">
        <v>94316</v>
      </c>
      <c r="G279" s="89">
        <f t="shared" si="21"/>
        <v>188632</v>
      </c>
      <c r="H279" s="118" t="str">
        <f t="array" ref="H279:K279">_xlfn.XLOOKUP(B279,'ESAP NEIVA FASE II UNIFICADO'!$B$6:$B$720,'ESAP NEIVA FASE II UNIFICADO'!$C$6:$F$720,"NO ESTA")</f>
        <v>SUMINISTRO E INSTALACIÓN SALIDA PARA INTERRUPTOR DOBLE CONMUTABLE COLOR BLANCO</v>
      </c>
      <c r="I279" t="str">
        <v>UN</v>
      </c>
      <c r="J279">
        <v>4</v>
      </c>
      <c r="K279">
        <v>96779</v>
      </c>
      <c r="L279">
        <f t="shared" si="22"/>
        <v>0</v>
      </c>
      <c r="M279">
        <f t="shared" si="23"/>
        <v>0</v>
      </c>
      <c r="N279" s="119">
        <f t="shared" si="24"/>
        <v>2</v>
      </c>
      <c r="O279" s="119">
        <f t="shared" si="25"/>
        <v>0</v>
      </c>
    </row>
    <row r="280" spans="2:15" ht="15" customHeight="1" x14ac:dyDescent="0.25">
      <c r="B280" s="86" t="s">
        <v>524</v>
      </c>
      <c r="C280" s="87" t="s">
        <v>525</v>
      </c>
      <c r="D280" s="82" t="s">
        <v>374</v>
      </c>
      <c r="E280" s="230">
        <v>5</v>
      </c>
      <c r="F280" s="88">
        <v>88516</v>
      </c>
      <c r="G280" s="89">
        <f t="shared" si="21"/>
        <v>442580</v>
      </c>
      <c r="H280" s="118" t="str">
        <f t="array" ref="H280:K280">_xlfn.XLOOKUP(B280,'ESAP NEIVA FASE II UNIFICADO'!$B$6:$B$720,'ESAP NEIVA FASE II UNIFICADO'!$C$6:$F$720,"NO ESTA")</f>
        <v>SUMINISTRO E INSTALACIÓN SALIDA PARA INTERRUPTOR DE SENSOR DE PRESENCIA</v>
      </c>
      <c r="I280" t="str">
        <v>UN</v>
      </c>
      <c r="J280">
        <v>12</v>
      </c>
      <c r="K280">
        <v>90828</v>
      </c>
      <c r="L280">
        <f t="shared" si="22"/>
        <v>0</v>
      </c>
      <c r="M280">
        <f t="shared" si="23"/>
        <v>0</v>
      </c>
      <c r="N280" s="119">
        <f t="shared" si="24"/>
        <v>5</v>
      </c>
      <c r="O280" s="119">
        <f t="shared" si="25"/>
        <v>0</v>
      </c>
    </row>
    <row r="281" spans="2:15" ht="15" customHeight="1" x14ac:dyDescent="0.25">
      <c r="B281" s="86" t="s">
        <v>526</v>
      </c>
      <c r="C281" s="87" t="s">
        <v>527</v>
      </c>
      <c r="D281" s="82" t="s">
        <v>374</v>
      </c>
      <c r="E281" s="230">
        <v>1</v>
      </c>
      <c r="F281" s="88">
        <v>99806</v>
      </c>
      <c r="G281" s="89">
        <f t="shared" si="21"/>
        <v>99806</v>
      </c>
      <c r="H281" s="118" t="str">
        <f t="array" ref="H281:K281">_xlfn.XLOOKUP(B281,'ESAP NEIVA FASE II UNIFICADO'!$B$6:$B$720,'ESAP NEIVA FASE II UNIFICADO'!$C$6:$F$720,"NO ESTA")</f>
        <v>SUMINISTRO E INSTALACIÓN SALIDA PARA SENSOR DE MOVIEMIENTO DE TECHO</v>
      </c>
      <c r="I281" t="str">
        <v>UN</v>
      </c>
      <c r="J281">
        <v>4</v>
      </c>
      <c r="K281">
        <v>102414</v>
      </c>
      <c r="L281">
        <f t="shared" si="22"/>
        <v>0</v>
      </c>
      <c r="M281">
        <f t="shared" si="23"/>
        <v>0</v>
      </c>
      <c r="N281" s="119">
        <f t="shared" si="24"/>
        <v>1</v>
      </c>
      <c r="O281" s="119">
        <f t="shared" si="25"/>
        <v>0</v>
      </c>
    </row>
    <row r="282" spans="2:15" ht="55.5" customHeight="1" x14ac:dyDescent="0.25">
      <c r="B282" s="86" t="s">
        <v>528</v>
      </c>
      <c r="C282" s="87" t="s">
        <v>529</v>
      </c>
      <c r="D282" s="82" t="s">
        <v>269</v>
      </c>
      <c r="E282" s="230">
        <v>176</v>
      </c>
      <c r="F282" s="88">
        <v>1662</v>
      </c>
      <c r="G282" s="89">
        <f t="shared" si="21"/>
        <v>292512</v>
      </c>
      <c r="H282" s="118" t="str">
        <f t="array" ref="H282:K282">_xlfn.XLOOKUP(B282,'ESAP NEIVA FASE II UNIFICADO'!$B$6:$B$720,'ESAP NEIVA FASE II UNIFICADO'!$C$6:$F$720,"NO ESTA")</f>
        <v xml:space="preserve">SUMINISTRO E INSTALACIÓN SALIDAS PARCIALES DE CIRCUITO PARA SALIDAS DE ALUMBRADO Y TOMACORIRIENTE DE USO NORMAL EN CABLE #12 AWG THHN/THWN, DESDE EL TABLERO DE AUTOMATICOS POR EL DUCTO PORTACABLES HASTA LOS PRIMEROS PUNTOS DE DERIVACIÓN. </v>
      </c>
      <c r="I282" t="str">
        <v xml:space="preserve">ML   </v>
      </c>
      <c r="J282">
        <v>474</v>
      </c>
      <c r="K282">
        <v>1705</v>
      </c>
      <c r="L282">
        <f t="shared" si="22"/>
        <v>0</v>
      </c>
      <c r="M282">
        <f t="shared" si="23"/>
        <v>0</v>
      </c>
      <c r="N282" s="119">
        <f t="shared" si="24"/>
        <v>176</v>
      </c>
      <c r="O282" s="119">
        <f t="shared" si="25"/>
        <v>0</v>
      </c>
    </row>
    <row r="283" spans="2:15" ht="26.25" customHeight="1" x14ac:dyDescent="0.25">
      <c r="B283" s="80" t="s">
        <v>530</v>
      </c>
      <c r="C283" s="81" t="s">
        <v>531</v>
      </c>
      <c r="D283" s="82"/>
      <c r="E283" s="230"/>
      <c r="F283" s="104">
        <v>0</v>
      </c>
      <c r="G283" s="89">
        <f t="shared" si="21"/>
        <v>0</v>
      </c>
      <c r="H283" s="118" t="str">
        <f t="array" ref="H283:K283">_xlfn.XLOOKUP(B283,'ESAP NEIVA FASE II UNIFICADO'!$B$6:$B$720,'ESAP NEIVA FASE II UNIFICADO'!$C$6:$F$720,"NO ESTA")</f>
        <v xml:space="preserve">SUMINISTRO E INSTALACIÓN SALIDAS PARA TOMACORRIENTES USO NORMAL EN TUBERIA PVC INCRUSTRADA </v>
      </c>
      <c r="I283">
        <v>0</v>
      </c>
      <c r="J283">
        <v>0</v>
      </c>
      <c r="K283">
        <v>0</v>
      </c>
      <c r="L283">
        <f t="shared" si="22"/>
        <v>1</v>
      </c>
      <c r="M283">
        <f t="shared" si="23"/>
        <v>0</v>
      </c>
      <c r="N283" s="119">
        <f t="shared" si="24"/>
        <v>0</v>
      </c>
      <c r="O283" s="119">
        <f t="shared" si="25"/>
        <v>0</v>
      </c>
    </row>
    <row r="284" spans="2:15" ht="26.25" customHeight="1" x14ac:dyDescent="0.25">
      <c r="B284" s="86" t="s">
        <v>532</v>
      </c>
      <c r="C284" s="87" t="s">
        <v>533</v>
      </c>
      <c r="D284" s="82" t="s">
        <v>284</v>
      </c>
      <c r="E284" s="230">
        <v>97</v>
      </c>
      <c r="F284" s="88">
        <v>80427</v>
      </c>
      <c r="G284" s="89">
        <f t="shared" si="21"/>
        <v>7801419</v>
      </c>
      <c r="H284" s="118" t="str">
        <f t="array" ref="H284:K284">_xlfn.XLOOKUP(B284,'ESAP NEIVA FASE II UNIFICADO'!$B$6:$B$720,'ESAP NEIVA FASE II UNIFICADO'!$C$6:$F$720,"NO ESTA")</f>
        <v>SUMINISTRO E INSTALACIÓN SALIDA PARA TOMACORRIENTE DOBLE MONOFÁSICO CON POLO A TIERRA</v>
      </c>
      <c r="I284" t="str">
        <v xml:space="preserve">UN   </v>
      </c>
      <c r="J284">
        <v>264</v>
      </c>
      <c r="K284">
        <v>82527</v>
      </c>
      <c r="L284">
        <f t="shared" si="22"/>
        <v>0</v>
      </c>
      <c r="M284">
        <f t="shared" si="23"/>
        <v>0</v>
      </c>
      <c r="N284" s="119">
        <f t="shared" si="24"/>
        <v>97</v>
      </c>
      <c r="O284" s="119">
        <f t="shared" si="25"/>
        <v>0</v>
      </c>
    </row>
    <row r="285" spans="2:15" ht="26.25" customHeight="1" x14ac:dyDescent="0.25">
      <c r="B285" s="86" t="s">
        <v>534</v>
      </c>
      <c r="C285" s="87" t="s">
        <v>535</v>
      </c>
      <c r="D285" s="82" t="s">
        <v>284</v>
      </c>
      <c r="E285" s="230">
        <v>2</v>
      </c>
      <c r="F285" s="88">
        <v>108723</v>
      </c>
      <c r="G285" s="89">
        <f t="shared" si="21"/>
        <v>217446</v>
      </c>
      <c r="H285" s="118" t="str">
        <f t="array" ref="H285:K285">_xlfn.XLOOKUP(B285,'ESAP NEIVA FASE II UNIFICADO'!$B$6:$B$720,'ESAP NEIVA FASE II UNIFICADO'!$C$6:$F$720,"NO ESTA")</f>
        <v>SUMINISTRO E INSTALACIÓN SALIDA PARA TOMACORRIENTE DOBLE TIPO GFCI COLOR BLANCO MONOFÁSICODE MURO CON POLO A TIERRA</v>
      </c>
      <c r="I285" t="str">
        <v xml:space="preserve">UN   </v>
      </c>
      <c r="J285">
        <v>5</v>
      </c>
      <c r="K285">
        <v>111563</v>
      </c>
      <c r="L285">
        <f t="shared" si="22"/>
        <v>0</v>
      </c>
      <c r="M285">
        <f t="shared" si="23"/>
        <v>0</v>
      </c>
      <c r="N285" s="119">
        <f t="shared" si="24"/>
        <v>2</v>
      </c>
      <c r="O285" s="119">
        <f t="shared" si="25"/>
        <v>0</v>
      </c>
    </row>
    <row r="286" spans="2:15" ht="26.25" customHeight="1" x14ac:dyDescent="0.25">
      <c r="B286" s="86" t="s">
        <v>536</v>
      </c>
      <c r="C286" s="87" t="s">
        <v>537</v>
      </c>
      <c r="D286" s="82" t="s">
        <v>284</v>
      </c>
      <c r="E286" s="230">
        <v>7</v>
      </c>
      <c r="F286" s="88">
        <v>81390</v>
      </c>
      <c r="G286" s="89">
        <f t="shared" si="21"/>
        <v>569730</v>
      </c>
      <c r="H286" s="118" t="str">
        <f t="array" ref="H286:K286">_xlfn.XLOOKUP(B286,'ESAP NEIVA FASE II UNIFICADO'!$B$6:$B$720,'ESAP NEIVA FASE II UNIFICADO'!$C$6:$F$720,"NO ESTA")</f>
        <v>SUMINISTRO E INSTALACIÓN SALIDA PARA SECADOR 20A-120V a 1.2 METROS DE ALTURA</v>
      </c>
      <c r="I286" t="str">
        <v xml:space="preserve">UN   </v>
      </c>
      <c r="J286">
        <v>18</v>
      </c>
      <c r="K286">
        <v>83516</v>
      </c>
      <c r="L286">
        <f t="shared" si="22"/>
        <v>0</v>
      </c>
      <c r="M286">
        <f t="shared" si="23"/>
        <v>0</v>
      </c>
      <c r="N286" s="119">
        <f t="shared" si="24"/>
        <v>7</v>
      </c>
      <c r="O286" s="119">
        <f t="shared" si="25"/>
        <v>0</v>
      </c>
    </row>
    <row r="287" spans="2:15" ht="26.25" customHeight="1" x14ac:dyDescent="0.25">
      <c r="B287" s="86" t="s">
        <v>538</v>
      </c>
      <c r="C287" s="87" t="s">
        <v>539</v>
      </c>
      <c r="D287" s="82" t="s">
        <v>284</v>
      </c>
      <c r="E287" s="230">
        <v>1</v>
      </c>
      <c r="F287" s="88">
        <v>98621</v>
      </c>
      <c r="G287" s="89">
        <f t="shared" si="21"/>
        <v>98621</v>
      </c>
      <c r="H287" s="118" t="str">
        <f t="array" ref="H287:K287">_xlfn.XLOOKUP(B287,'ESAP NEIVA FASE II UNIFICADO'!$B$6:$B$720,'ESAP NEIVA FASE II UNIFICADO'!$C$6:$F$720,"NO ESTA")</f>
        <v>SUMINISTRO E INSTALACIÓN SALIDA PARA TOMA TRIFÁSICA 208v 3FASES EN CAFETERIA</v>
      </c>
      <c r="I287" t="str">
        <v xml:space="preserve">UN   </v>
      </c>
      <c r="J287">
        <v>3</v>
      </c>
      <c r="K287">
        <v>101196</v>
      </c>
      <c r="L287">
        <f t="shared" si="22"/>
        <v>0</v>
      </c>
      <c r="M287">
        <f t="shared" si="23"/>
        <v>0</v>
      </c>
      <c r="N287" s="119">
        <f t="shared" si="24"/>
        <v>1</v>
      </c>
      <c r="O287" s="119">
        <f t="shared" si="25"/>
        <v>0</v>
      </c>
    </row>
    <row r="288" spans="2:15" ht="51" customHeight="1" x14ac:dyDescent="0.25">
      <c r="B288" s="86" t="s">
        <v>540</v>
      </c>
      <c r="C288" s="87" t="s">
        <v>541</v>
      </c>
      <c r="D288" s="82" t="s">
        <v>269</v>
      </c>
      <c r="E288" s="230">
        <v>365</v>
      </c>
      <c r="F288" s="88">
        <v>1662</v>
      </c>
      <c r="G288" s="89">
        <f t="shared" si="21"/>
        <v>606630</v>
      </c>
      <c r="H288" s="118" t="str">
        <f t="array" ref="H288:K288">_xlfn.XLOOKUP(B288,'ESAP NEIVA FASE II UNIFICADO'!$B$6:$B$720,'ESAP NEIVA FASE II UNIFICADO'!$C$6:$F$720,"NO ESTA")</f>
        <v xml:space="preserve">SUMINISTRO E INSTALACIÓN SALIDAS PARCIALES DE CIRCUITO PARA TOMACORIRIENTE DE USO NORMAL EN CABLE #12 AWG THHN/THWN, DESDE EL TABLERO DE AUTOMATICOS POR EL DUCTO PORTACABLES HASTA LOS PRIMEROS PUNTOS DE DERIVACIÓN. </v>
      </c>
      <c r="I288" t="str">
        <v xml:space="preserve">ML   </v>
      </c>
      <c r="J288">
        <v>985</v>
      </c>
      <c r="K288">
        <v>1705</v>
      </c>
      <c r="L288">
        <f t="shared" si="22"/>
        <v>0</v>
      </c>
      <c r="M288">
        <f t="shared" si="23"/>
        <v>0</v>
      </c>
      <c r="N288" s="119">
        <f t="shared" si="24"/>
        <v>365</v>
      </c>
      <c r="O288" s="119">
        <f t="shared" si="25"/>
        <v>0</v>
      </c>
    </row>
    <row r="289" spans="2:15" ht="26.25" customHeight="1" x14ac:dyDescent="0.25">
      <c r="B289" s="80" t="s">
        <v>542</v>
      </c>
      <c r="C289" s="81" t="s">
        <v>543</v>
      </c>
      <c r="D289" s="82"/>
      <c r="E289" s="230"/>
      <c r="F289" s="104">
        <v>0</v>
      </c>
      <c r="G289" s="89">
        <f t="shared" si="21"/>
        <v>0</v>
      </c>
      <c r="H289" s="118" t="str">
        <f t="array" ref="H289:K289">_xlfn.XLOOKUP(B289,'ESAP NEIVA FASE II UNIFICADO'!$B$6:$B$720,'ESAP NEIVA FASE II UNIFICADO'!$C$6:$F$720,"NO ESTA")</f>
        <v xml:space="preserve">SUMINISTRO E INSTALACIÓN SALIDAS PARA TOMACORRIENTES USO REGULADO EN TUBERIA PVC INCRUSTRADA </v>
      </c>
      <c r="I289">
        <v>0</v>
      </c>
      <c r="J289">
        <v>0</v>
      </c>
      <c r="K289">
        <v>0</v>
      </c>
      <c r="L289">
        <f t="shared" si="22"/>
        <v>1</v>
      </c>
      <c r="M289">
        <f t="shared" si="23"/>
        <v>0</v>
      </c>
      <c r="N289" s="119">
        <f t="shared" si="24"/>
        <v>0</v>
      </c>
      <c r="O289" s="119">
        <f t="shared" si="25"/>
        <v>0</v>
      </c>
    </row>
    <row r="290" spans="2:15" ht="26.25" customHeight="1" x14ac:dyDescent="0.25">
      <c r="B290" s="86" t="s">
        <v>544</v>
      </c>
      <c r="C290" s="87" t="s">
        <v>545</v>
      </c>
      <c r="D290" s="82" t="s">
        <v>374</v>
      </c>
      <c r="E290" s="230">
        <v>15</v>
      </c>
      <c r="F290" s="88">
        <v>118969</v>
      </c>
      <c r="G290" s="89">
        <f t="shared" si="21"/>
        <v>1784535</v>
      </c>
      <c r="H290" s="118" t="str">
        <f t="array" ref="H290:K290">_xlfn.XLOOKUP(B290,'ESAP NEIVA FASE II UNIFICADO'!$B$6:$B$720,'ESAP NEIVA FASE II UNIFICADO'!$C$6:$F$720,"NO ESTA")</f>
        <v>SUMINISTRO E INSTALACIÓN SALIDA PARA TOMACORRIENTE DOBLE DE COLOR NARAJA, PARA INSTALAR EN MURO</v>
      </c>
      <c r="I290" t="str">
        <v>UN</v>
      </c>
      <c r="J290">
        <v>39</v>
      </c>
      <c r="K290">
        <v>122076</v>
      </c>
      <c r="L290">
        <f t="shared" si="22"/>
        <v>0</v>
      </c>
      <c r="M290">
        <f t="shared" si="23"/>
        <v>0</v>
      </c>
      <c r="N290" s="119">
        <f t="shared" si="24"/>
        <v>15</v>
      </c>
      <c r="O290" s="119">
        <f t="shared" si="25"/>
        <v>0</v>
      </c>
    </row>
    <row r="291" spans="2:15" ht="26.25" customHeight="1" x14ac:dyDescent="0.25">
      <c r="B291" s="86" t="s">
        <v>546</v>
      </c>
      <c r="C291" s="87" t="s">
        <v>547</v>
      </c>
      <c r="D291" s="82" t="s">
        <v>374</v>
      </c>
      <c r="E291" s="230">
        <v>29</v>
      </c>
      <c r="F291" s="88">
        <v>109659</v>
      </c>
      <c r="G291" s="89">
        <f t="shared" si="21"/>
        <v>3180111</v>
      </c>
      <c r="H291" s="118" t="str">
        <f t="array" ref="H291:K291">_xlfn.XLOOKUP(B291,'ESAP NEIVA FASE II UNIFICADO'!$B$6:$B$720,'ESAP NEIVA FASE II UNIFICADO'!$C$6:$F$720,"NO ESTA")</f>
        <v xml:space="preserve">SUMINISTRO E INSTALACIÓN SALIDA PARA TOMACORRIENTE DOBLE DE COLOR NARAJA, PARA INSTALAR EN CANALETA PERIMETRAL </v>
      </c>
      <c r="I291" t="str">
        <v>UN</v>
      </c>
      <c r="J291">
        <v>80</v>
      </c>
      <c r="K291">
        <v>112524</v>
      </c>
      <c r="L291">
        <f t="shared" si="22"/>
        <v>0</v>
      </c>
      <c r="M291">
        <f t="shared" si="23"/>
        <v>0</v>
      </c>
      <c r="N291" s="119">
        <f t="shared" si="24"/>
        <v>29</v>
      </c>
      <c r="O291" s="119">
        <f t="shared" si="25"/>
        <v>0</v>
      </c>
    </row>
    <row r="292" spans="2:15" ht="26.25" customHeight="1" x14ac:dyDescent="0.25">
      <c r="B292" s="86" t="s">
        <v>548</v>
      </c>
      <c r="C292" s="87" t="s">
        <v>549</v>
      </c>
      <c r="D292" s="82" t="s">
        <v>269</v>
      </c>
      <c r="E292" s="230">
        <v>14</v>
      </c>
      <c r="F292" s="88">
        <v>11140</v>
      </c>
      <c r="G292" s="89">
        <f t="shared" si="21"/>
        <v>155960</v>
      </c>
      <c r="H292" s="118" t="str">
        <f t="array" ref="H292:K292">_xlfn.XLOOKUP(B292,'ESAP NEIVA FASE II UNIFICADO'!$B$6:$B$720,'ESAP NEIVA FASE II UNIFICADO'!$C$6:$F$720,"NO ESTA")</f>
        <v>SUMINISTRO E INSTALACIÓN INTERCONEXIÓN ENTRE EL DUCTO PORTACABLES Y LA CANALETA PERIMETRAL EN ø 1 1/2" CON 4#12 AWG THHN/THWN</v>
      </c>
      <c r="I292" t="str">
        <v xml:space="preserve">ML   </v>
      </c>
      <c r="J292">
        <v>36</v>
      </c>
      <c r="K292">
        <v>11430</v>
      </c>
      <c r="L292">
        <f t="shared" si="22"/>
        <v>0</v>
      </c>
      <c r="M292">
        <f t="shared" si="23"/>
        <v>0</v>
      </c>
      <c r="N292" s="119">
        <f t="shared" si="24"/>
        <v>14</v>
      </c>
      <c r="O292" s="119">
        <f t="shared" si="25"/>
        <v>0</v>
      </c>
    </row>
    <row r="293" spans="2:15" ht="49.5" customHeight="1" x14ac:dyDescent="0.25">
      <c r="B293" s="86" t="s">
        <v>550</v>
      </c>
      <c r="C293" s="87" t="s">
        <v>551</v>
      </c>
      <c r="D293" s="82" t="s">
        <v>269</v>
      </c>
      <c r="E293" s="230">
        <v>554</v>
      </c>
      <c r="F293" s="88">
        <v>1662</v>
      </c>
      <c r="G293" s="89">
        <f t="shared" si="21"/>
        <v>920748</v>
      </c>
      <c r="H293" s="118" t="str">
        <f t="array" ref="H293:K293">_xlfn.XLOOKUP(B293,'ESAP NEIVA FASE II UNIFICADO'!$B$6:$B$720,'ESAP NEIVA FASE II UNIFICADO'!$C$6:$F$720,"NO ESTA")</f>
        <v xml:space="preserve">SUMINISTRO E INSTALACIÓN SALIDAS PARCIALES DE CIRCUITO PARA TOMACORIRIENTE DE USO REGULADO EN CABLE #12 AWG THHN/THWN, DESDE EL TABLERO DE AUTOMATICOS POR EL DUCTO PORTACABLES HASTA LOS PRIMEROS PUNTOS DE DERIVACIÓN. </v>
      </c>
      <c r="I293" t="str">
        <v xml:space="preserve">ML   </v>
      </c>
      <c r="J293">
        <v>1496</v>
      </c>
      <c r="K293">
        <v>1705</v>
      </c>
      <c r="L293">
        <f t="shared" si="22"/>
        <v>0</v>
      </c>
      <c r="M293">
        <f t="shared" si="23"/>
        <v>0</v>
      </c>
      <c r="N293" s="119">
        <f t="shared" si="24"/>
        <v>554</v>
      </c>
      <c r="O293" s="119">
        <f t="shared" si="25"/>
        <v>0</v>
      </c>
    </row>
    <row r="294" spans="2:15" ht="21" customHeight="1" x14ac:dyDescent="0.25">
      <c r="B294" s="74">
        <v>15</v>
      </c>
      <c r="C294" s="75" t="s">
        <v>552</v>
      </c>
      <c r="D294" s="76"/>
      <c r="E294" s="229"/>
      <c r="F294" s="105">
        <v>0</v>
      </c>
      <c r="G294" s="89">
        <f t="shared" si="21"/>
        <v>0</v>
      </c>
      <c r="H294" s="118" t="str">
        <f t="array" ref="H294:K294">_xlfn.XLOOKUP(B294,'ESAP NEIVA FASE II UNIFICADO'!$B$6:$B$720,'ESAP NEIVA FASE II UNIFICADO'!$C$6:$F$720,"NO ESTA")</f>
        <v>DUCTOS, ACOMETIDAS, TABLEROS, PUESTA A TIERRA, PARARRAYOS Y PLANTA ELÉCTRICA</v>
      </c>
      <c r="I294">
        <v>0</v>
      </c>
      <c r="J294">
        <v>0</v>
      </c>
      <c r="K294">
        <v>0</v>
      </c>
      <c r="L294">
        <f t="shared" si="22"/>
        <v>1</v>
      </c>
      <c r="M294">
        <f t="shared" si="23"/>
        <v>0</v>
      </c>
      <c r="N294" s="119">
        <f t="shared" si="24"/>
        <v>0</v>
      </c>
      <c r="O294" s="119">
        <f t="shared" si="25"/>
        <v>0</v>
      </c>
    </row>
    <row r="295" spans="2:15" ht="15" customHeight="1" x14ac:dyDescent="0.25">
      <c r="B295" s="80" t="s">
        <v>553</v>
      </c>
      <c r="C295" s="81" t="s">
        <v>554</v>
      </c>
      <c r="D295" s="82"/>
      <c r="E295" s="230"/>
      <c r="F295" s="90">
        <v>0</v>
      </c>
      <c r="G295" s="89">
        <f t="shared" si="21"/>
        <v>0</v>
      </c>
      <c r="H295" s="118" t="str">
        <f t="array" ref="H295:K295">_xlfn.XLOOKUP(B295,'ESAP NEIVA FASE II UNIFICADO'!$B$6:$B$720,'ESAP NEIVA FASE II UNIFICADO'!$C$6:$F$720,"NO ESTA")</f>
        <v>SUMINISTRO E INSTALACIÓN DE DUCTOS PORTACABLES</v>
      </c>
      <c r="I295">
        <v>0</v>
      </c>
      <c r="J295">
        <v>0</v>
      </c>
      <c r="K295">
        <v>0</v>
      </c>
      <c r="L295">
        <f t="shared" si="22"/>
        <v>1</v>
      </c>
      <c r="M295">
        <f t="shared" si="23"/>
        <v>0</v>
      </c>
      <c r="N295" s="119">
        <f t="shared" si="24"/>
        <v>0</v>
      </c>
      <c r="O295" s="119">
        <f t="shared" si="25"/>
        <v>0</v>
      </c>
    </row>
    <row r="296" spans="2:15" ht="24" customHeight="1" x14ac:dyDescent="0.25">
      <c r="B296" s="86" t="s">
        <v>555</v>
      </c>
      <c r="C296" s="87" t="s">
        <v>556</v>
      </c>
      <c r="D296" s="82" t="s">
        <v>269</v>
      </c>
      <c r="E296" s="230">
        <v>72</v>
      </c>
      <c r="F296" s="88">
        <v>102614</v>
      </c>
      <c r="G296" s="89">
        <f t="shared" si="21"/>
        <v>7388208</v>
      </c>
      <c r="H296" s="118" t="str">
        <f t="array" ref="H296:K296">_xlfn.XLOOKUP(B296,'ESAP NEIVA FASE II UNIFICADO'!$B$6:$B$720,'ESAP NEIVA FASE II UNIFICADO'!$C$6:$F$720,"NO ESTA")</f>
        <v>SUMINISTRO E INSTALACIÓN DUCTO PORTACABLES CERRADO PREVISTO PARA LA ALIMENTACIÓN DE CIRCUITOS ELÉCTRICOS DE ALUMBRADO, TOMACORRIENTES NORMALES Y REGULADOS CON DIVISIÓN PARA DATOS EN LÁMINA COLD ROLLED CAL. 18 DE SECCIÓN 30x10 cm CON TAPA CLIP T ACABADO ELECTROSTÁTICO GRIS NOPAL TEXTURIZADO</v>
      </c>
      <c r="I296" t="str">
        <v xml:space="preserve">ML   </v>
      </c>
      <c r="J296">
        <v>194</v>
      </c>
      <c r="K296">
        <v>105294</v>
      </c>
      <c r="L296">
        <f t="shared" si="22"/>
        <v>0</v>
      </c>
      <c r="M296">
        <f t="shared" si="23"/>
        <v>0</v>
      </c>
      <c r="N296" s="119">
        <f t="shared" si="24"/>
        <v>72</v>
      </c>
      <c r="O296" s="119">
        <f t="shared" si="25"/>
        <v>0</v>
      </c>
    </row>
    <row r="297" spans="2:15" ht="24" customHeight="1" x14ac:dyDescent="0.25">
      <c r="B297" s="86" t="s">
        <v>557</v>
      </c>
      <c r="C297" s="87" t="s">
        <v>558</v>
      </c>
      <c r="D297" s="82" t="s">
        <v>284</v>
      </c>
      <c r="E297" s="230">
        <v>3</v>
      </c>
      <c r="F297" s="88">
        <v>131764</v>
      </c>
      <c r="G297" s="89">
        <f t="shared" si="21"/>
        <v>395292</v>
      </c>
      <c r="H297" s="118" t="str">
        <f t="array" ref="H297:K297">_xlfn.XLOOKUP(B297,'ESAP NEIVA FASE II UNIFICADO'!$B$6:$B$720,'ESAP NEIVA FASE II UNIFICADO'!$C$6:$F$720,"NO ESTA")</f>
        <v>SUMINISTRO E INSTALACIÓN TÉE PARA DUCTO PORTACABLES TROQUELADO DE 30x10 cm</v>
      </c>
      <c r="I297" t="str">
        <v xml:space="preserve">UN   </v>
      </c>
      <c r="J297">
        <v>8</v>
      </c>
      <c r="K297">
        <v>135206</v>
      </c>
      <c r="L297">
        <f t="shared" si="22"/>
        <v>0</v>
      </c>
      <c r="M297">
        <f t="shared" si="23"/>
        <v>0</v>
      </c>
      <c r="N297" s="119">
        <f t="shared" si="24"/>
        <v>3</v>
      </c>
      <c r="O297" s="119">
        <f t="shared" si="25"/>
        <v>0</v>
      </c>
    </row>
    <row r="298" spans="2:15" ht="24" customHeight="1" x14ac:dyDescent="0.25">
      <c r="B298" s="86" t="s">
        <v>559</v>
      </c>
      <c r="C298" s="87" t="s">
        <v>560</v>
      </c>
      <c r="D298" s="82" t="s">
        <v>284</v>
      </c>
      <c r="E298" s="230">
        <v>34</v>
      </c>
      <c r="F298" s="88">
        <v>29224</v>
      </c>
      <c r="G298" s="89">
        <f t="shared" si="21"/>
        <v>993616</v>
      </c>
      <c r="H298" s="118" t="str">
        <f t="array" ref="H298:K298">_xlfn.XLOOKUP(B298,'ESAP NEIVA FASE II UNIFICADO'!$B$6:$B$720,'ESAP NEIVA FASE II UNIFICADO'!$C$6:$F$720,"NO ESTA")</f>
        <v>SUMINISTRO E INSTALACIÓN SOPORTES DE FIJACIÓN TIPO PELDAÑO DESCOLGADO PARA DUCTOS PORTACABLES TROQUELADO</v>
      </c>
      <c r="I298" t="str">
        <v xml:space="preserve">UN   </v>
      </c>
      <c r="J298">
        <v>91</v>
      </c>
      <c r="K298">
        <v>29987</v>
      </c>
      <c r="L298">
        <f t="shared" si="22"/>
        <v>0</v>
      </c>
      <c r="M298">
        <f t="shared" si="23"/>
        <v>0</v>
      </c>
      <c r="N298" s="119">
        <f t="shared" si="24"/>
        <v>34</v>
      </c>
      <c r="O298" s="119">
        <f t="shared" si="25"/>
        <v>0</v>
      </c>
    </row>
    <row r="299" spans="2:15" ht="24" customHeight="1" x14ac:dyDescent="0.25">
      <c r="B299" s="86" t="s">
        <v>561</v>
      </c>
      <c r="C299" s="87" t="s">
        <v>562</v>
      </c>
      <c r="D299" s="82" t="s">
        <v>269</v>
      </c>
      <c r="E299" s="230">
        <v>25</v>
      </c>
      <c r="F299" s="88">
        <v>191017</v>
      </c>
      <c r="G299" s="89">
        <f t="shared" si="21"/>
        <v>4775425</v>
      </c>
      <c r="H299" s="118" t="str">
        <f t="array" ref="H299:K299">_xlfn.XLOOKUP(B299,'ESAP NEIVA FASE II UNIFICADO'!$B$6:$B$720,'ESAP NEIVA FASE II UNIFICADO'!$C$6:$F$720,"NO ESTA")</f>
        <v>SUMINISTRO E INSTALACIÓN DUCTO PORTACABLES CERRADO PREVISTO PARA LA ALIMENTACIÓN DE TABLEROS ELÉCTRICOS POR MEDIO DE ACOMETIDAS, CON DIVISIÓN PARA DATOS EN LÁMINA COLD ROLLED CAL. 18 DE SECCIÓN 100x30 cm CON TAPA CLIP T ACABADO ELECTROSTÁTICO GRIS NOPAL TEXTURIZADO</v>
      </c>
      <c r="I299" t="str">
        <v xml:space="preserve">ML   </v>
      </c>
      <c r="J299">
        <v>67</v>
      </c>
      <c r="K299">
        <v>196007</v>
      </c>
      <c r="L299">
        <f t="shared" si="22"/>
        <v>0</v>
      </c>
      <c r="M299">
        <f t="shared" si="23"/>
        <v>0</v>
      </c>
      <c r="N299" s="119">
        <f t="shared" si="24"/>
        <v>25</v>
      </c>
      <c r="O299" s="119">
        <f t="shared" si="25"/>
        <v>0</v>
      </c>
    </row>
    <row r="300" spans="2:15" ht="24" customHeight="1" x14ac:dyDescent="0.25">
      <c r="B300" s="86" t="s">
        <v>563</v>
      </c>
      <c r="C300" s="87" t="s">
        <v>564</v>
      </c>
      <c r="D300" s="82" t="s">
        <v>284</v>
      </c>
      <c r="E300" s="230">
        <v>1</v>
      </c>
      <c r="F300" s="88">
        <v>158115</v>
      </c>
      <c r="G300" s="89">
        <f t="shared" si="21"/>
        <v>158115</v>
      </c>
      <c r="H300" s="118" t="str">
        <f t="array" ref="H300:K300">_xlfn.XLOOKUP(B300,'ESAP NEIVA FASE II UNIFICADO'!$B$6:$B$720,'ESAP NEIVA FASE II UNIFICADO'!$C$6:$F$720,"NO ESTA")</f>
        <v>SUMINISTRO E INSTALACIÓN TÉE PARA DUCTO PORTACABLES TROQUELADO DE 100x30 cm</v>
      </c>
      <c r="I300" t="str">
        <v xml:space="preserve">UN   </v>
      </c>
      <c r="J300">
        <v>2</v>
      </c>
      <c r="K300">
        <v>162245</v>
      </c>
      <c r="L300">
        <f t="shared" si="22"/>
        <v>0</v>
      </c>
      <c r="M300">
        <f t="shared" si="23"/>
        <v>0</v>
      </c>
      <c r="N300" s="119">
        <f t="shared" si="24"/>
        <v>1</v>
      </c>
      <c r="O300" s="119">
        <f t="shared" si="25"/>
        <v>0</v>
      </c>
    </row>
    <row r="301" spans="2:15" ht="24" customHeight="1" x14ac:dyDescent="0.25">
      <c r="B301" s="86" t="s">
        <v>565</v>
      </c>
      <c r="C301" s="87" t="s">
        <v>566</v>
      </c>
      <c r="D301" s="82" t="s">
        <v>284</v>
      </c>
      <c r="E301" s="230">
        <v>12</v>
      </c>
      <c r="F301" s="88">
        <v>29224</v>
      </c>
      <c r="G301" s="89">
        <f t="shared" si="21"/>
        <v>350688</v>
      </c>
      <c r="H301" s="118" t="str">
        <f t="array" ref="H301:K301">_xlfn.XLOOKUP(B301,'ESAP NEIVA FASE II UNIFICADO'!$B$6:$B$720,'ESAP NEIVA FASE II UNIFICADO'!$C$6:$F$720,"NO ESTA")</f>
        <v>SUMINISTRO E INSTALACIÓN SOPORTES DE FIJACIÓN TIPO PELDAÑO DESCOLGADO PARA DUCTO PORTACABLES TROQUELADO</v>
      </c>
      <c r="I301" t="str">
        <v xml:space="preserve">UN   </v>
      </c>
      <c r="J301">
        <v>34</v>
      </c>
      <c r="K301">
        <v>29987</v>
      </c>
      <c r="L301">
        <f t="shared" si="22"/>
        <v>0</v>
      </c>
      <c r="M301">
        <f t="shared" si="23"/>
        <v>0</v>
      </c>
      <c r="N301" s="119">
        <f t="shared" si="24"/>
        <v>12</v>
      </c>
      <c r="O301" s="119">
        <f t="shared" si="25"/>
        <v>0</v>
      </c>
    </row>
    <row r="302" spans="2:15" ht="15" customHeight="1" x14ac:dyDescent="0.25">
      <c r="B302" s="80" t="s">
        <v>567</v>
      </c>
      <c r="C302" s="81" t="s">
        <v>568</v>
      </c>
      <c r="D302" s="82"/>
      <c r="E302" s="230"/>
      <c r="F302" s="104">
        <v>0</v>
      </c>
      <c r="G302" s="89">
        <f t="shared" si="21"/>
        <v>0</v>
      </c>
      <c r="H302" s="118" t="str">
        <f t="array" ref="H302:K302">_xlfn.XLOOKUP(B302,'ESAP NEIVA FASE II UNIFICADO'!$B$6:$B$720,'ESAP NEIVA FASE II UNIFICADO'!$C$6:$F$720,"NO ESTA")</f>
        <v>CANALETA PERIMETRAL MULTITOMA</v>
      </c>
      <c r="I302">
        <v>0</v>
      </c>
      <c r="J302">
        <v>0</v>
      </c>
      <c r="K302">
        <v>0</v>
      </c>
      <c r="L302">
        <f t="shared" si="22"/>
        <v>1</v>
      </c>
      <c r="M302">
        <f t="shared" si="23"/>
        <v>0</v>
      </c>
      <c r="N302" s="119">
        <f t="shared" si="24"/>
        <v>0</v>
      </c>
      <c r="O302" s="119">
        <f t="shared" si="25"/>
        <v>0</v>
      </c>
    </row>
    <row r="303" spans="2:15" ht="22.5" customHeight="1" x14ac:dyDescent="0.25">
      <c r="B303" s="86" t="s">
        <v>569</v>
      </c>
      <c r="C303" s="87" t="s">
        <v>570</v>
      </c>
      <c r="D303" s="82" t="s">
        <v>269</v>
      </c>
      <c r="E303" s="230">
        <v>68</v>
      </c>
      <c r="F303" s="88">
        <v>29082</v>
      </c>
      <c r="G303" s="89">
        <f t="shared" si="21"/>
        <v>1977576</v>
      </c>
      <c r="H303" s="118" t="str">
        <f t="array" ref="H303:K303">_xlfn.XLOOKUP(B303,'ESAP NEIVA FASE II UNIFICADO'!$B$6:$B$720,'ESAP NEIVA FASE II UNIFICADO'!$C$6:$F$720,"NO ESTA")</f>
        <v>SUMINISTRO E INSTALACIÓN CANALETA MULTITOMA DE DOS COMPARTIMIENTOS EN LÁMINA COLD ROLLED CAL. 18 DE SECCIÓN 10x4 cm CON TAPA CLIP Y ACABADO ELECTROESTÁTICO GRIS NOPAL TEXTURIZADO</v>
      </c>
      <c r="I303" t="str">
        <v xml:space="preserve">ML   </v>
      </c>
      <c r="J303">
        <v>182</v>
      </c>
      <c r="K303">
        <v>29842</v>
      </c>
      <c r="L303">
        <f t="shared" si="22"/>
        <v>0</v>
      </c>
      <c r="M303">
        <f t="shared" si="23"/>
        <v>0</v>
      </c>
      <c r="N303" s="119">
        <f t="shared" si="24"/>
        <v>68</v>
      </c>
      <c r="O303" s="119">
        <f t="shared" si="25"/>
        <v>0</v>
      </c>
    </row>
    <row r="304" spans="2:15" ht="42" customHeight="1" x14ac:dyDescent="0.25">
      <c r="B304" s="86" t="s">
        <v>571</v>
      </c>
      <c r="C304" s="87" t="s">
        <v>572</v>
      </c>
      <c r="D304" s="82" t="s">
        <v>374</v>
      </c>
      <c r="E304" s="230">
        <v>29</v>
      </c>
      <c r="F304" s="88">
        <v>22690</v>
      </c>
      <c r="G304" s="89">
        <f t="shared" si="21"/>
        <v>658010</v>
      </c>
      <c r="H304" s="118" t="str">
        <f t="array" ref="H304:K304">_xlfn.XLOOKUP(B304,'ESAP NEIVA FASE II UNIFICADO'!$B$6:$B$720,'ESAP NEIVA FASE II UNIFICADO'!$C$6:$F$720,"NO ESTA")</f>
        <v>SUMINISTRO E INSTALACIÓN PLACA TOMA TROQUELADA PARA CANALETA 10x4 cm, CON PERFORACIONES PARA UNA (1) TOMA DOBLE COLOR BLANCO, UNA (1) TOMA DOBLE COLOR NARANJA Y UNA (1) TOMA RJ-45</v>
      </c>
      <c r="I304" t="str">
        <v>UN</v>
      </c>
      <c r="J304">
        <v>80</v>
      </c>
      <c r="K304">
        <v>23284</v>
      </c>
      <c r="L304">
        <f t="shared" si="22"/>
        <v>0</v>
      </c>
      <c r="M304">
        <f t="shared" si="23"/>
        <v>0</v>
      </c>
      <c r="N304" s="119">
        <f t="shared" si="24"/>
        <v>29</v>
      </c>
      <c r="O304" s="119">
        <f t="shared" si="25"/>
        <v>0</v>
      </c>
    </row>
    <row r="305" spans="2:15" ht="22.5" customHeight="1" x14ac:dyDescent="0.25">
      <c r="B305" s="80" t="s">
        <v>573</v>
      </c>
      <c r="C305" s="81" t="s">
        <v>574</v>
      </c>
      <c r="D305" s="82"/>
      <c r="E305" s="230"/>
      <c r="F305" s="104">
        <v>0</v>
      </c>
      <c r="G305" s="89">
        <f t="shared" si="21"/>
        <v>0</v>
      </c>
      <c r="H305" s="118" t="str">
        <f t="array" ref="H305:K305">_xlfn.XLOOKUP(B305,'ESAP NEIVA FASE II UNIFICADO'!$B$6:$B$720,'ESAP NEIVA FASE II UNIFICADO'!$C$6:$F$720,"NO ESTA")</f>
        <v>SUMINISTRO E INSTALACIÓN COMETIDA RED MEDIA TENSIÓN (SEGÚN NORMAS CODENSA SA ESP)</v>
      </c>
      <c r="I305">
        <v>0</v>
      </c>
      <c r="J305">
        <v>0</v>
      </c>
      <c r="K305">
        <v>0</v>
      </c>
      <c r="L305">
        <f t="shared" si="22"/>
        <v>1</v>
      </c>
      <c r="M305">
        <f t="shared" si="23"/>
        <v>0</v>
      </c>
      <c r="N305" s="119">
        <f t="shared" si="24"/>
        <v>0</v>
      </c>
      <c r="O305" s="119">
        <f t="shared" si="25"/>
        <v>0</v>
      </c>
    </row>
    <row r="306" spans="2:15" ht="48" customHeight="1" x14ac:dyDescent="0.25">
      <c r="B306" s="86" t="s">
        <v>575</v>
      </c>
      <c r="C306" s="87" t="s">
        <v>576</v>
      </c>
      <c r="D306" s="82" t="s">
        <v>374</v>
      </c>
      <c r="E306" s="230">
        <v>1</v>
      </c>
      <c r="F306" s="88">
        <v>69872853</v>
      </c>
      <c r="G306" s="89">
        <f t="shared" si="21"/>
        <v>69872853</v>
      </c>
      <c r="H306" s="118" t="str">
        <f t="array" ref="H306:K306">_xlfn.XLOOKUP(B306,'ESAP NEIVA FASE II UNIFICADO'!$B$6:$B$720,'ESAP NEIVA FASE II UNIFICADO'!$C$6:$F$720,"NO ESTA")</f>
        <v>SUMINISTRO E INSTALACIÓN TRANSFORMADOR DE DISTRIBUCIÓN DE 500 Kva, NIVEL DE TENSIÓN PRIMARIO 13.200 VOLTIOS, NIVEL DE TENSIÓN SECUNDARIO 208/120 VOLTIOS. INCLUYE: RIEL DE SOPORTE PARA TRANSFORMADOR (PATIN), RUEDAS PARA RIEL CON FRENO MECANICO</v>
      </c>
      <c r="I306" t="str">
        <v>UN</v>
      </c>
      <c r="J306">
        <v>0</v>
      </c>
      <c r="K306">
        <v>71697829</v>
      </c>
      <c r="L306">
        <f t="shared" si="22"/>
        <v>1</v>
      </c>
      <c r="M306">
        <f t="shared" si="23"/>
        <v>69872853</v>
      </c>
      <c r="N306" s="119">
        <f t="shared" si="24"/>
        <v>1</v>
      </c>
      <c r="O306" s="119">
        <f t="shared" si="25"/>
        <v>69872853</v>
      </c>
    </row>
    <row r="307" spans="2:15" ht="22.5" customHeight="1" x14ac:dyDescent="0.25">
      <c r="B307" s="86" t="s">
        <v>577</v>
      </c>
      <c r="C307" s="87" t="s">
        <v>578</v>
      </c>
      <c r="D307" s="82" t="s">
        <v>374</v>
      </c>
      <c r="E307" s="230">
        <v>1</v>
      </c>
      <c r="F307" s="88">
        <v>5173395</v>
      </c>
      <c r="G307" s="89">
        <f t="shared" si="21"/>
        <v>5173395</v>
      </c>
      <c r="H307" s="118" t="str">
        <f t="array" ref="H307:K307">_xlfn.XLOOKUP(B307,'ESAP NEIVA FASE II UNIFICADO'!$B$6:$B$720,'ESAP NEIVA FASE II UNIFICADO'!$C$6:$F$720,"NO ESTA")</f>
        <v>SUMINISTRO E INSTALACIÓN PUERTA CORTAFUEGO PINTURA ELECTROESTÁTICA Y SEÑALES DE RIESGO ELÉCTRICO. INCLUYE ACCESORIOS PARA ENCLAVAMIENTO</v>
      </c>
      <c r="I307" t="str">
        <v>UN</v>
      </c>
      <c r="J307">
        <v>0</v>
      </c>
      <c r="K307">
        <v>5308517</v>
      </c>
      <c r="L307">
        <f t="shared" si="22"/>
        <v>1</v>
      </c>
      <c r="M307">
        <f t="shared" si="23"/>
        <v>5173395</v>
      </c>
      <c r="N307" s="119">
        <f t="shared" si="24"/>
        <v>1</v>
      </c>
      <c r="O307" s="119">
        <f t="shared" si="25"/>
        <v>5173395</v>
      </c>
    </row>
    <row r="308" spans="2:15" ht="37.5" customHeight="1" x14ac:dyDescent="0.25">
      <c r="B308" s="86" t="s">
        <v>579</v>
      </c>
      <c r="C308" s="87" t="s">
        <v>580</v>
      </c>
      <c r="D308" s="82" t="s">
        <v>374</v>
      </c>
      <c r="E308" s="230">
        <v>1</v>
      </c>
      <c r="F308" s="88">
        <v>192537</v>
      </c>
      <c r="G308" s="89">
        <f t="shared" si="21"/>
        <v>192537</v>
      </c>
      <c r="H308" s="118" t="str">
        <f t="array" ref="H308:K308">_xlfn.XLOOKUP(B308,'ESAP NEIVA FASE II UNIFICADO'!$B$6:$B$720,'ESAP NEIVA FASE II UNIFICADO'!$C$6:$F$720,"NO ESTA")</f>
        <v>SUMINISTRO E INSTALACIÓN BARRERA DE PROTECCIÓN PARA EVITAR CONTACTO DIRECTO CON TRANSFORMADOR. INCLUYE INDUMENTARIA PARA ASEGURAR LA BARRERA A LA DISTANCIA ADECUADA DEL TRANSFORMADOR</v>
      </c>
      <c r="I308" t="str">
        <v>UN</v>
      </c>
      <c r="J308">
        <v>0</v>
      </c>
      <c r="K308">
        <v>197566</v>
      </c>
      <c r="L308">
        <f t="shared" si="22"/>
        <v>1</v>
      </c>
      <c r="M308">
        <f t="shared" si="23"/>
        <v>192537</v>
      </c>
      <c r="N308" s="119">
        <f t="shared" si="24"/>
        <v>1</v>
      </c>
      <c r="O308" s="119">
        <f t="shared" si="25"/>
        <v>192537</v>
      </c>
    </row>
    <row r="309" spans="2:15" ht="22.5" customHeight="1" x14ac:dyDescent="0.25">
      <c r="B309" s="86" t="s">
        <v>581</v>
      </c>
      <c r="C309" s="87" t="s">
        <v>582</v>
      </c>
      <c r="D309" s="82" t="s">
        <v>374</v>
      </c>
      <c r="E309" s="230">
        <v>1</v>
      </c>
      <c r="F309" s="88">
        <v>156913</v>
      </c>
      <c r="G309" s="89">
        <f t="shared" si="21"/>
        <v>156913</v>
      </c>
      <c r="H309" s="118" t="str">
        <f t="array" ref="H309:K309">_xlfn.XLOOKUP(B309,'ESAP NEIVA FASE II UNIFICADO'!$B$6:$B$720,'ESAP NEIVA FASE II UNIFICADO'!$C$6:$F$720,"NO ESTA")</f>
        <v>SUMINISTRO E INSTALACIÓN ENCLAVAMIENTO EN MURO PARA SOPORTE DE ACOMETIDA DE MEDIA TENSIÓN  EN ENTRADA DE TRANSFORMADOR</v>
      </c>
      <c r="I309" t="str">
        <v>UN</v>
      </c>
      <c r="J309">
        <v>0</v>
      </c>
      <c r="K309">
        <v>161010</v>
      </c>
      <c r="L309">
        <f t="shared" si="22"/>
        <v>1</v>
      </c>
      <c r="M309">
        <f t="shared" si="23"/>
        <v>156913</v>
      </c>
      <c r="N309" s="119">
        <f t="shared" si="24"/>
        <v>1</v>
      </c>
      <c r="O309" s="119">
        <f t="shared" si="25"/>
        <v>156913</v>
      </c>
    </row>
    <row r="310" spans="2:15" ht="22.5" customHeight="1" x14ac:dyDescent="0.25">
      <c r="B310" s="86" t="s">
        <v>583</v>
      </c>
      <c r="C310" s="87" t="s">
        <v>584</v>
      </c>
      <c r="D310" s="82" t="s">
        <v>374</v>
      </c>
      <c r="E310" s="230">
        <v>1</v>
      </c>
      <c r="F310" s="88">
        <v>316281</v>
      </c>
      <c r="G310" s="89">
        <f t="shared" si="21"/>
        <v>316281</v>
      </c>
      <c r="H310" s="118" t="str">
        <f t="array" ref="H310:K310">_xlfn.XLOOKUP(B310,'ESAP NEIVA FASE II UNIFICADO'!$B$6:$B$720,'ESAP NEIVA FASE II UNIFICADO'!$C$6:$F$720,"NO ESTA")</f>
        <v>SUMINISTRO E INSTALACIÓN PASAMUROS DE MEDIA TENSIÓN, PASA MUROS EN PVC INCLUYE OBRAS NECESARIAS PARA LA INSTALACIÓN DE LAS MISMAS (JUEGO)</v>
      </c>
      <c r="I310" t="str">
        <v>UN</v>
      </c>
      <c r="J310">
        <v>0</v>
      </c>
      <c r="K310">
        <v>324542</v>
      </c>
      <c r="L310">
        <f t="shared" si="22"/>
        <v>1</v>
      </c>
      <c r="M310">
        <f t="shared" si="23"/>
        <v>316281</v>
      </c>
      <c r="N310" s="119">
        <f t="shared" si="24"/>
        <v>1</v>
      </c>
      <c r="O310" s="119">
        <f t="shared" si="25"/>
        <v>316281</v>
      </c>
    </row>
    <row r="311" spans="2:15" ht="22.5" customHeight="1" x14ac:dyDescent="0.25">
      <c r="B311" s="86" t="s">
        <v>585</v>
      </c>
      <c r="C311" s="87" t="s">
        <v>586</v>
      </c>
      <c r="D311" s="82" t="s">
        <v>374</v>
      </c>
      <c r="E311" s="230">
        <v>1</v>
      </c>
      <c r="F311" s="88">
        <v>385590</v>
      </c>
      <c r="G311" s="89">
        <f t="shared" si="21"/>
        <v>385590</v>
      </c>
      <c r="H311" s="118" t="str">
        <f t="array" ref="H311:K311">_xlfn.XLOOKUP(B311,'ESAP NEIVA FASE II UNIFICADO'!$B$6:$B$720,'ESAP NEIVA FASE II UNIFICADO'!$C$6:$F$720,"NO ESTA")</f>
        <v>SUMINISTRO E INSTALACIÓN DUCTO DE VENTILACIÓN CON DÁMPER FIRE, INCLUYE REJILLA DAMPER PARA EMERGENCIA</v>
      </c>
      <c r="I311" t="str">
        <v>UN</v>
      </c>
      <c r="J311">
        <v>0</v>
      </c>
      <c r="K311">
        <v>395661</v>
      </c>
      <c r="L311">
        <f t="shared" si="22"/>
        <v>1</v>
      </c>
      <c r="M311">
        <f t="shared" si="23"/>
        <v>385590</v>
      </c>
      <c r="N311" s="119">
        <f t="shared" si="24"/>
        <v>1</v>
      </c>
      <c r="O311" s="119">
        <f t="shared" si="25"/>
        <v>385590</v>
      </c>
    </row>
    <row r="312" spans="2:15" ht="35.25" customHeight="1" x14ac:dyDescent="0.25">
      <c r="B312" s="86" t="s">
        <v>587</v>
      </c>
      <c r="C312" s="87" t="s">
        <v>588</v>
      </c>
      <c r="D312" s="82" t="s">
        <v>374</v>
      </c>
      <c r="E312" s="230">
        <v>1</v>
      </c>
      <c r="F312" s="88">
        <v>282282</v>
      </c>
      <c r="G312" s="89">
        <f t="shared" si="21"/>
        <v>282282</v>
      </c>
      <c r="H312" s="118" t="str">
        <f t="array" ref="H312:K312">_xlfn.XLOOKUP(B312,'ESAP NEIVA FASE II UNIFICADO'!$B$6:$B$720,'ESAP NEIVA FASE II UNIFICADO'!$C$6:$F$720,"NO ESTA")</f>
        <v xml:space="preserve">SUMINISTRO E INSTALACIÓN PUESTA A TIERRA DE TODAS LAS PARTES METALICAS DE EQUIPOS Y ELEMENTOS QUE SE ENCUENTREN DENTRO DEL CUARTO DEL TRANSFORMADOR . INCLUYE: 10m DE CABLE DESNUDO #2/0 PARA PUESTA A TIERRA, SOLDADURA EXOTERMICA 115gr, MOLDE PARA SOLDADURA VARILLA CABLE, MOLDE PARA SOLDADURA CABLE CABLE. </v>
      </c>
      <c r="I312" t="str">
        <v>UN</v>
      </c>
      <c r="J312">
        <v>0</v>
      </c>
      <c r="K312">
        <v>289655</v>
      </c>
      <c r="L312">
        <f t="shared" si="22"/>
        <v>1</v>
      </c>
      <c r="M312">
        <f t="shared" si="23"/>
        <v>282282</v>
      </c>
      <c r="N312" s="119">
        <f t="shared" si="24"/>
        <v>1</v>
      </c>
      <c r="O312" s="119">
        <f t="shared" si="25"/>
        <v>282282</v>
      </c>
    </row>
    <row r="313" spans="2:15" ht="22.5" customHeight="1" x14ac:dyDescent="0.25">
      <c r="B313" s="86" t="s">
        <v>589</v>
      </c>
      <c r="C313" s="87" t="s">
        <v>590</v>
      </c>
      <c r="D313" s="82" t="s">
        <v>374</v>
      </c>
      <c r="E313" s="230">
        <v>1</v>
      </c>
      <c r="F313" s="88">
        <v>569258</v>
      </c>
      <c r="G313" s="89">
        <f t="shared" si="21"/>
        <v>569258</v>
      </c>
      <c r="H313" s="118" t="str">
        <f t="array" ref="H313:K313">_xlfn.XLOOKUP(B313,'ESAP NEIVA FASE II UNIFICADO'!$B$6:$B$720,'ESAP NEIVA FASE II UNIFICADO'!$C$6:$F$720,"NO ESTA")</f>
        <v>SUMINISTRO E INSTALACIÓN DE DPS (DISPOSITIVO DE PROTECCIÓN CONTRA SOBRETENSIONES)</v>
      </c>
      <c r="I313" t="str">
        <v>UN</v>
      </c>
      <c r="J313">
        <v>1</v>
      </c>
      <c r="K313">
        <v>584126</v>
      </c>
      <c r="L313">
        <f t="shared" si="22"/>
        <v>0</v>
      </c>
      <c r="M313">
        <f t="shared" si="23"/>
        <v>0</v>
      </c>
      <c r="N313" s="119">
        <f t="shared" si="24"/>
        <v>1</v>
      </c>
      <c r="O313" s="119">
        <f t="shared" si="25"/>
        <v>0</v>
      </c>
    </row>
    <row r="314" spans="2:15" ht="37.5" customHeight="1" x14ac:dyDescent="0.25">
      <c r="B314" s="86" t="s">
        <v>591</v>
      </c>
      <c r="C314" s="87" t="s">
        <v>592</v>
      </c>
      <c r="D314" s="82" t="s">
        <v>374</v>
      </c>
      <c r="E314" s="230">
        <v>1</v>
      </c>
      <c r="F314" s="88">
        <v>18270199</v>
      </c>
      <c r="G314" s="89">
        <f t="shared" si="21"/>
        <v>18270199</v>
      </c>
      <c r="H314" s="118" t="str">
        <f t="array" ref="H314:K314">_xlfn.XLOOKUP(B314,'ESAP NEIVA FASE II UNIFICADO'!$B$6:$B$720,'ESAP NEIVA FASE II UNIFICADO'!$C$6:$F$720,"NO ESTA")</f>
        <v>SUMINISTRO E INSTALACIÓN CELDA DE PROTECCIÓN TRIPLEX PARA SUBESTACIÓN, INCLUYE 3 JUEGOS DE SECCIONADORES CON SUS RESPECTIVOS FUSIBLES Y TERMINALES PRO MOLDEADOS</v>
      </c>
      <c r="I314" t="str">
        <v>UN</v>
      </c>
      <c r="J314">
        <v>0</v>
      </c>
      <c r="K314">
        <v>18747389</v>
      </c>
      <c r="L314">
        <f t="shared" si="22"/>
        <v>1</v>
      </c>
      <c r="M314">
        <f t="shared" si="23"/>
        <v>18270199</v>
      </c>
      <c r="N314" s="119">
        <f t="shared" si="24"/>
        <v>1</v>
      </c>
      <c r="O314" s="119">
        <f t="shared" si="25"/>
        <v>18270199</v>
      </c>
    </row>
    <row r="315" spans="2:15" ht="40.5" customHeight="1" x14ac:dyDescent="0.25">
      <c r="B315" s="86" t="s">
        <v>593</v>
      </c>
      <c r="C315" s="87" t="s">
        <v>594</v>
      </c>
      <c r="D315" s="82" t="s">
        <v>374</v>
      </c>
      <c r="E315" s="230">
        <v>1</v>
      </c>
      <c r="F315" s="88">
        <v>1452107</v>
      </c>
      <c r="G315" s="89">
        <f t="shared" si="21"/>
        <v>1452107</v>
      </c>
      <c r="H315" s="118" t="str">
        <f t="array" ref="H315:K315">_xlfn.XLOOKUP(B315,'ESAP NEIVA FASE II UNIFICADO'!$B$6:$B$720,'ESAP NEIVA FASE II UNIFICADO'!$C$6:$F$720,"NO ESTA")</f>
        <v xml:space="preserve">SUMINISTRO E INSTALACIÓN CAJA DE INSPECCIÓN SENCILLA CON TAPA EN CONCRETO SEGÚN NORMA CS-276 CODENSA S.A. ESP PARA RED DE MEDIA Y BAJA TENSIÓN. </v>
      </c>
      <c r="I315" t="str">
        <v>UN</v>
      </c>
      <c r="J315">
        <v>2</v>
      </c>
      <c r="K315">
        <v>1490034</v>
      </c>
      <c r="L315">
        <f t="shared" si="22"/>
        <v>0</v>
      </c>
      <c r="M315">
        <f t="shared" si="23"/>
        <v>0</v>
      </c>
      <c r="N315" s="119">
        <f t="shared" si="24"/>
        <v>1</v>
      </c>
      <c r="O315" s="119">
        <f t="shared" si="25"/>
        <v>0</v>
      </c>
    </row>
    <row r="316" spans="2:15" ht="15" customHeight="1" x14ac:dyDescent="0.25">
      <c r="B316" s="80" t="s">
        <v>595</v>
      </c>
      <c r="C316" s="81" t="s">
        <v>596</v>
      </c>
      <c r="D316" s="82"/>
      <c r="E316" s="230"/>
      <c r="F316" s="104">
        <v>0</v>
      </c>
      <c r="G316" s="89">
        <f t="shared" si="21"/>
        <v>0</v>
      </c>
      <c r="H316" s="118" t="str">
        <f t="array" ref="H316:K316">_xlfn.XLOOKUP(B316,'ESAP NEIVA FASE II UNIFICADO'!$B$6:$B$720,'ESAP NEIVA FASE II UNIFICADO'!$C$6:$F$720,"NO ESTA")</f>
        <v>SUMINISTRO E INSTALACIÓN ALIMENTADORES ELÉCTRICOS PRINCIPALES</v>
      </c>
      <c r="I316">
        <v>0</v>
      </c>
      <c r="J316">
        <v>0</v>
      </c>
      <c r="K316">
        <v>0</v>
      </c>
      <c r="L316">
        <f t="shared" si="22"/>
        <v>1</v>
      </c>
      <c r="M316">
        <f t="shared" si="23"/>
        <v>0</v>
      </c>
      <c r="N316" s="119">
        <f t="shared" si="24"/>
        <v>0</v>
      </c>
      <c r="O316" s="119">
        <f t="shared" si="25"/>
        <v>0</v>
      </c>
    </row>
    <row r="317" spans="2:15" ht="25.5" customHeight="1" x14ac:dyDescent="0.25">
      <c r="B317" s="86" t="s">
        <v>597</v>
      </c>
      <c r="C317" s="87" t="s">
        <v>598</v>
      </c>
      <c r="D317" s="82" t="s">
        <v>269</v>
      </c>
      <c r="E317" s="230">
        <v>20</v>
      </c>
      <c r="F317" s="88">
        <v>306841</v>
      </c>
      <c r="G317" s="89">
        <f t="shared" si="21"/>
        <v>6136820</v>
      </c>
      <c r="H317" s="118" t="str">
        <f t="array" ref="H317:K317">_xlfn.XLOOKUP(B317,'ESAP NEIVA FASE II UNIFICADO'!$B$6:$B$720,'ESAP NEIVA FASE II UNIFICADO'!$C$6:$F$720,"NO ESTA")</f>
        <v>SUMINISTRO E INSTALACIÓN INTERCONEXIÓN ENTRE CAJA CS-276 Y CELDA DE MEDIDA CABLE XLPE 15KV T AWG EN TUBERÍA PVC 6".</v>
      </c>
      <c r="I317" t="str">
        <v xml:space="preserve">ML   </v>
      </c>
      <c r="J317">
        <v>0</v>
      </c>
      <c r="K317">
        <v>314854</v>
      </c>
      <c r="L317">
        <f t="shared" si="22"/>
        <v>1</v>
      </c>
      <c r="M317">
        <f t="shared" si="23"/>
        <v>306841</v>
      </c>
      <c r="N317" s="119">
        <f t="shared" si="24"/>
        <v>20</v>
      </c>
      <c r="O317" s="119">
        <f t="shared" si="25"/>
        <v>6136820</v>
      </c>
    </row>
    <row r="318" spans="2:15" ht="39.75" customHeight="1" x14ac:dyDescent="0.25">
      <c r="B318" s="86" t="s">
        <v>599</v>
      </c>
      <c r="C318" s="87" t="s">
        <v>600</v>
      </c>
      <c r="D318" s="82" t="s">
        <v>269</v>
      </c>
      <c r="E318" s="230">
        <v>6</v>
      </c>
      <c r="F318" s="88">
        <v>1132493</v>
      </c>
      <c r="G318" s="89">
        <f t="shared" si="21"/>
        <v>6794958</v>
      </c>
      <c r="H318" s="118" t="str">
        <f t="array" ref="H318:K318">_xlfn.XLOOKUP(B318,'ESAP NEIVA FASE II UNIFICADO'!$B$6:$B$720,'ESAP NEIVA FASE II UNIFICADO'!$C$6:$F$720,"NO ESTA")</f>
        <v>SUMINISTRO E INSTALACIÓN ALIMENTADOR DESDE CELDA DE MEDIDA HASTA EL TABLERO DE DISTRIBUCIÓN Y TRANSFERENCIA TD-GENERAL EN 3(3x500)+3(400)+3/0 T AWG INCLUYENDO TERMINALES DE CONEXIÓN.</v>
      </c>
      <c r="I318" t="str">
        <v xml:space="preserve">ML   </v>
      </c>
      <c r="J318">
        <v>0</v>
      </c>
      <c r="K318">
        <v>1162072</v>
      </c>
      <c r="L318">
        <f t="shared" si="22"/>
        <v>1</v>
      </c>
      <c r="M318">
        <f t="shared" si="23"/>
        <v>1132493</v>
      </c>
      <c r="N318" s="119">
        <f t="shared" si="24"/>
        <v>6</v>
      </c>
      <c r="O318" s="119">
        <f t="shared" si="25"/>
        <v>6794958</v>
      </c>
    </row>
    <row r="319" spans="2:15" ht="40.5" customHeight="1" x14ac:dyDescent="0.25">
      <c r="B319" s="86" t="s">
        <v>601</v>
      </c>
      <c r="C319" s="87" t="s">
        <v>602</v>
      </c>
      <c r="D319" s="82" t="s">
        <v>269</v>
      </c>
      <c r="E319" s="230">
        <v>5</v>
      </c>
      <c r="F319" s="88">
        <v>1191440</v>
      </c>
      <c r="G319" s="89">
        <f t="shared" si="21"/>
        <v>5957200</v>
      </c>
      <c r="H319" s="118" t="str">
        <f t="array" ref="H319:K319">_xlfn.XLOOKUP(B319,'ESAP NEIVA FASE II UNIFICADO'!$B$6:$B$720,'ESAP NEIVA FASE II UNIFICADO'!$C$6:$F$720,"NO ESTA")</f>
        <v>SUMINISTRO E INSTALACIÓN INTERCONEXION ENTRE BORNES DEL GENERADOR Y CELDA DE TRANSFERENCIA PLANTA RED DE LA BOMBA CONTRA INCENDIO EN 3(3x500)+3(400)+3/0 T AWG EN TUBERÍA PVC 6"</v>
      </c>
      <c r="I319" t="str">
        <v xml:space="preserve">ML   </v>
      </c>
      <c r="J319">
        <v>0</v>
      </c>
      <c r="K319">
        <v>1222558</v>
      </c>
      <c r="L319">
        <f t="shared" si="22"/>
        <v>1</v>
      </c>
      <c r="M319">
        <f t="shared" si="23"/>
        <v>1191440</v>
      </c>
      <c r="N319" s="119">
        <f t="shared" si="24"/>
        <v>5</v>
      </c>
      <c r="O319" s="119">
        <f t="shared" si="25"/>
        <v>5957200</v>
      </c>
    </row>
    <row r="320" spans="2:15" ht="15" customHeight="1" x14ac:dyDescent="0.25">
      <c r="B320" s="80" t="s">
        <v>603</v>
      </c>
      <c r="C320" s="81" t="s">
        <v>596</v>
      </c>
      <c r="D320" s="82"/>
      <c r="E320" s="230"/>
      <c r="F320" s="104">
        <v>0</v>
      </c>
      <c r="G320" s="89">
        <f t="shared" si="21"/>
        <v>0</v>
      </c>
      <c r="H320" s="118" t="str">
        <f t="array" ref="H320:K320">_xlfn.XLOOKUP(B320,'ESAP NEIVA FASE II UNIFICADO'!$B$6:$B$720,'ESAP NEIVA FASE II UNIFICADO'!$C$6:$F$720,"NO ESTA")</f>
        <v>SUMINISTRO E INSTALACIÓN ALIMENTADORES ELÉCTRICOS PRINCIPALES</v>
      </c>
      <c r="I320">
        <v>0</v>
      </c>
      <c r="J320">
        <v>0</v>
      </c>
      <c r="K320">
        <v>0</v>
      </c>
      <c r="L320">
        <f t="shared" si="22"/>
        <v>1</v>
      </c>
      <c r="M320">
        <f t="shared" si="23"/>
        <v>0</v>
      </c>
      <c r="N320" s="119">
        <f t="shared" si="24"/>
        <v>0</v>
      </c>
      <c r="O320" s="119">
        <f t="shared" si="25"/>
        <v>0</v>
      </c>
    </row>
    <row r="321" spans="2:15" ht="24.75" customHeight="1" x14ac:dyDescent="0.25">
      <c r="B321" s="86" t="s">
        <v>604</v>
      </c>
      <c r="C321" s="87" t="s">
        <v>605</v>
      </c>
      <c r="D321" s="82" t="s">
        <v>269</v>
      </c>
      <c r="E321" s="230">
        <v>8</v>
      </c>
      <c r="F321" s="88">
        <v>186035</v>
      </c>
      <c r="G321" s="89">
        <f t="shared" si="21"/>
        <v>1488280</v>
      </c>
      <c r="H321" s="118" t="str">
        <f t="array" ref="H321:K321">_xlfn.XLOOKUP(B321,'ESAP NEIVA FASE II UNIFICADO'!$B$6:$B$720,'ESAP NEIVA FASE II UNIFICADO'!$C$6:$F$720,"NO ESTA")</f>
        <v>SUMINISTRO E INSTALACIÓN ALIMENTADOR DESDE TRANSFERENCIA HASTA TABLERO GENERAL DE MAQUINAS EN 3#4/0+1#4/0N+1#2T AWG EN BANDEJA PORTA CABLES</v>
      </c>
      <c r="I321" t="str">
        <v xml:space="preserve">ML   </v>
      </c>
      <c r="J321">
        <v>0</v>
      </c>
      <c r="K321">
        <v>190892</v>
      </c>
      <c r="L321">
        <f t="shared" si="22"/>
        <v>1</v>
      </c>
      <c r="M321">
        <f t="shared" si="23"/>
        <v>186035</v>
      </c>
      <c r="N321" s="119">
        <f t="shared" si="24"/>
        <v>8</v>
      </c>
      <c r="O321" s="119">
        <f t="shared" si="25"/>
        <v>1488280</v>
      </c>
    </row>
    <row r="322" spans="2:15" ht="42" customHeight="1" x14ac:dyDescent="0.25">
      <c r="B322" s="86" t="s">
        <v>606</v>
      </c>
      <c r="C322" s="87" t="s">
        <v>607</v>
      </c>
      <c r="D322" s="82" t="s">
        <v>269</v>
      </c>
      <c r="E322" s="230">
        <v>52</v>
      </c>
      <c r="F322" s="88">
        <v>59752</v>
      </c>
      <c r="G322" s="89">
        <f t="shared" si="21"/>
        <v>3107104</v>
      </c>
      <c r="H322" s="118" t="str">
        <f t="array" ref="H322:K322">_xlfn.XLOOKUP(B322,'ESAP NEIVA FASE II UNIFICADO'!$B$6:$B$720,'ESAP NEIVA FASE II UNIFICADO'!$C$6:$F$720,"NO ESTA")</f>
        <v>SUMINISTRO E INSTALACIÓN ALIMENTADOR DESDE EL TABLERO GENERAL MAQUINAS HASTA EL TABLERO DE ASCENSOR EN 3#6+1#6N+1#8T AWG EN TUBERIA PVC ø 1 1/2" INCLUYENDO DE TERMINALES DE CONEXIÓN</v>
      </c>
      <c r="I322" t="str">
        <v xml:space="preserve">ML   </v>
      </c>
      <c r="J322">
        <v>0</v>
      </c>
      <c r="K322">
        <v>61314</v>
      </c>
      <c r="L322">
        <f t="shared" si="22"/>
        <v>1</v>
      </c>
      <c r="M322">
        <f t="shared" si="23"/>
        <v>59752</v>
      </c>
      <c r="N322" s="119">
        <f t="shared" si="24"/>
        <v>52</v>
      </c>
      <c r="O322" s="119">
        <f t="shared" si="25"/>
        <v>3107104</v>
      </c>
    </row>
    <row r="323" spans="2:15" ht="42" customHeight="1" x14ac:dyDescent="0.25">
      <c r="B323" s="86" t="s">
        <v>608</v>
      </c>
      <c r="C323" s="87" t="s">
        <v>609</v>
      </c>
      <c r="D323" s="82" t="s">
        <v>269</v>
      </c>
      <c r="E323" s="230">
        <v>106</v>
      </c>
      <c r="F323" s="88">
        <v>59752</v>
      </c>
      <c r="G323" s="89">
        <f t="shared" si="21"/>
        <v>6333712</v>
      </c>
      <c r="H323" s="118" t="str">
        <f t="array" ref="H323:K323">_xlfn.XLOOKUP(B323,'ESAP NEIVA FASE II UNIFICADO'!$B$6:$B$720,'ESAP NEIVA FASE II UNIFICADO'!$C$6:$F$720,"NO ESTA")</f>
        <v>SUMINISTRO E INSTALACIÓN ALIMENTADOR DESDE EL TABLERO GENERAL MAQUINAS HASTA EL TABLERO NORMAL BOMBAS EN 3#6+1#6N+1#8T AWG EN TUBERIA PVC 1 ø 1 1/2" INCLUYENDO DE TERMINALES DE CONEXIÓN</v>
      </c>
      <c r="I323" t="str">
        <v xml:space="preserve">ML   </v>
      </c>
      <c r="J323">
        <v>0</v>
      </c>
      <c r="K323">
        <v>61314</v>
      </c>
      <c r="L323">
        <f t="shared" si="22"/>
        <v>1</v>
      </c>
      <c r="M323">
        <f t="shared" si="23"/>
        <v>59752</v>
      </c>
      <c r="N323" s="119">
        <f t="shared" si="24"/>
        <v>106</v>
      </c>
      <c r="O323" s="119">
        <f t="shared" si="25"/>
        <v>6333712</v>
      </c>
    </row>
    <row r="324" spans="2:15" ht="42" customHeight="1" x14ac:dyDescent="0.25">
      <c r="B324" s="86" t="s">
        <v>610</v>
      </c>
      <c r="C324" s="87" t="s">
        <v>611</v>
      </c>
      <c r="D324" s="82" t="s">
        <v>269</v>
      </c>
      <c r="E324" s="230">
        <v>5</v>
      </c>
      <c r="F324" s="88">
        <v>349335</v>
      </c>
      <c r="G324" s="89">
        <f t="shared" si="21"/>
        <v>1746675</v>
      </c>
      <c r="H324" s="118" t="str">
        <f t="array" ref="H324:K324">_xlfn.XLOOKUP(B324,'ESAP NEIVA FASE II UNIFICADO'!$B$6:$B$720,'ESAP NEIVA FASE II UNIFICADO'!$C$6:$F$720,"NO ESTA")</f>
        <v>SUMINISTRO E INSTALACIÓN ALIMENTADOR DESDE TRANSFERENCIA HASTA EL TABLERO GENERAL DE DISTRIBUCIÓN EN 6#4/0+2#4/0N+1#4T EN BANDEJA PORTACABLES</v>
      </c>
      <c r="I324" t="str">
        <v xml:space="preserve">ML   </v>
      </c>
      <c r="J324">
        <v>0</v>
      </c>
      <c r="K324">
        <v>358460</v>
      </c>
      <c r="L324">
        <f t="shared" si="22"/>
        <v>1</v>
      </c>
      <c r="M324">
        <f t="shared" si="23"/>
        <v>349335</v>
      </c>
      <c r="N324" s="119">
        <f t="shared" si="24"/>
        <v>5</v>
      </c>
      <c r="O324" s="119">
        <f t="shared" si="25"/>
        <v>1746675</v>
      </c>
    </row>
    <row r="325" spans="2:15" ht="42" customHeight="1" x14ac:dyDescent="0.25">
      <c r="B325" s="86" t="s">
        <v>612</v>
      </c>
      <c r="C325" s="87" t="s">
        <v>613</v>
      </c>
      <c r="D325" s="82" t="s">
        <v>269</v>
      </c>
      <c r="E325" s="230">
        <v>6</v>
      </c>
      <c r="F325" s="88">
        <v>59752</v>
      </c>
      <c r="G325" s="89">
        <f t="shared" si="21"/>
        <v>358512</v>
      </c>
      <c r="H325" s="118" t="str">
        <f t="array" ref="H325:K325">_xlfn.XLOOKUP(B325,'ESAP NEIVA FASE II UNIFICADO'!$B$6:$B$720,'ESAP NEIVA FASE II UNIFICADO'!$C$6:$F$720,"NO ESTA")</f>
        <v>SUMINISTRO E INSTALACIÓN ALIMENTADOR DESDE EL TABLERO GENERAL DE DISTRIBUCIÓN HASTA EL TNS SOTANO POR CARCAMO CON 3#6+1#6N+1#8T AWG INCLUYE TERMINALES DE CONEXIÓN</v>
      </c>
      <c r="I325" t="str">
        <v xml:space="preserve">ML   </v>
      </c>
      <c r="J325">
        <v>0</v>
      </c>
      <c r="K325">
        <v>61314</v>
      </c>
      <c r="L325">
        <f t="shared" si="22"/>
        <v>1</v>
      </c>
      <c r="M325">
        <f t="shared" si="23"/>
        <v>59752</v>
      </c>
      <c r="N325" s="119">
        <f t="shared" si="24"/>
        <v>6</v>
      </c>
      <c r="O325" s="119">
        <f t="shared" si="25"/>
        <v>358512</v>
      </c>
    </row>
    <row r="326" spans="2:15" ht="42" customHeight="1" x14ac:dyDescent="0.25">
      <c r="B326" s="86" t="s">
        <v>614</v>
      </c>
      <c r="C326" s="87" t="s">
        <v>615</v>
      </c>
      <c r="D326" s="82" t="s">
        <v>269</v>
      </c>
      <c r="E326" s="230">
        <v>60</v>
      </c>
      <c r="F326" s="88">
        <v>125491</v>
      </c>
      <c r="G326" s="89">
        <f t="shared" ref="G326:G389" si="26">ROUND(+F326*E326,2)</f>
        <v>7529460</v>
      </c>
      <c r="H326" s="118" t="str">
        <f t="array" ref="H326:K326">_xlfn.XLOOKUP(B326,'ESAP NEIVA FASE II UNIFICADO'!$B$6:$B$720,'ESAP NEIVA FASE II UNIFICADO'!$C$6:$F$720,"NO ESTA")</f>
        <v>SUMINISTRO E INSTALACIÓN ALIMENTADOR DESDE EL TABLERO GENERAL DE DISTRIBUCIÓN HASTA EL TNP1 PISO 1 EN 1 ø 2" CON 3#2/0+1#2/0N+1#4T AWG INCLUYE TERMINALES DE CONEXIÓN</v>
      </c>
      <c r="I326" t="str">
        <v xml:space="preserve">ML   </v>
      </c>
      <c r="J326">
        <v>0</v>
      </c>
      <c r="K326">
        <v>128769</v>
      </c>
      <c r="L326">
        <f t="shared" si="22"/>
        <v>1</v>
      </c>
      <c r="M326">
        <f t="shared" si="23"/>
        <v>125491</v>
      </c>
      <c r="N326" s="119">
        <f t="shared" si="24"/>
        <v>60</v>
      </c>
      <c r="O326" s="119">
        <f t="shared" si="25"/>
        <v>7529460</v>
      </c>
    </row>
    <row r="327" spans="2:15" ht="42" customHeight="1" x14ac:dyDescent="0.25">
      <c r="B327" s="86" t="s">
        <v>616</v>
      </c>
      <c r="C327" s="87" t="s">
        <v>617</v>
      </c>
      <c r="D327" s="82" t="s">
        <v>269</v>
      </c>
      <c r="E327" s="230">
        <v>64</v>
      </c>
      <c r="F327" s="88">
        <v>185726</v>
      </c>
      <c r="G327" s="89">
        <f t="shared" si="26"/>
        <v>11886464</v>
      </c>
      <c r="H327" s="118" t="str">
        <f t="array" ref="H327:K327">_xlfn.XLOOKUP(B327,'ESAP NEIVA FASE II UNIFICADO'!$B$6:$B$720,'ESAP NEIVA FASE II UNIFICADO'!$C$6:$F$720,"NO ESTA")</f>
        <v>SUMINISTRO E INSTALACIÓN ALIMENTADOR DESDE EL TABLERO GENERAL DE DISTRIBUCIÓN HASTA EL TNP2 PISO 2 EN 1 ø 3" CON 3#4/0+1#2/0N+1#4T AWG INCLUYE TERMINALES DE CONEXIÓN</v>
      </c>
      <c r="I327" t="str">
        <v xml:space="preserve">ML   </v>
      </c>
      <c r="J327">
        <v>0</v>
      </c>
      <c r="K327">
        <v>190576</v>
      </c>
      <c r="L327">
        <f t="shared" si="22"/>
        <v>1</v>
      </c>
      <c r="M327">
        <f t="shared" si="23"/>
        <v>185726</v>
      </c>
      <c r="N327" s="119">
        <f t="shared" si="24"/>
        <v>64</v>
      </c>
      <c r="O327" s="119">
        <f t="shared" si="25"/>
        <v>11886464</v>
      </c>
    </row>
    <row r="328" spans="2:15" ht="42" customHeight="1" x14ac:dyDescent="0.25">
      <c r="B328" s="86" t="s">
        <v>618</v>
      </c>
      <c r="C328" s="87" t="s">
        <v>619</v>
      </c>
      <c r="D328" s="82" t="s">
        <v>269</v>
      </c>
      <c r="E328" s="230">
        <v>68</v>
      </c>
      <c r="F328" s="88">
        <v>185726</v>
      </c>
      <c r="G328" s="89">
        <f t="shared" si="26"/>
        <v>12629368</v>
      </c>
      <c r="H328" s="118" t="str">
        <f t="array" ref="H328:K328">_xlfn.XLOOKUP(B328,'ESAP NEIVA FASE II UNIFICADO'!$B$6:$B$720,'ESAP NEIVA FASE II UNIFICADO'!$C$6:$F$720,"NO ESTA")</f>
        <v>SUMINISTRO E INSTALACIÓN ALIMENTADOR DESDE EL TABLERO GENERAL DE DISTRIBUCIÓN HASTA EL TNP3 PISO 3 EN 1 ø 3" CON 3#4/0+1#2/0N+1#4T AWG INCLUYE TERMINALES DE CONEXIÓN</v>
      </c>
      <c r="I328" t="str">
        <v xml:space="preserve">ML   </v>
      </c>
      <c r="J328">
        <v>0</v>
      </c>
      <c r="K328">
        <v>190576</v>
      </c>
      <c r="L328">
        <f t="shared" si="22"/>
        <v>1</v>
      </c>
      <c r="M328">
        <f t="shared" si="23"/>
        <v>185726</v>
      </c>
      <c r="N328" s="119">
        <f t="shared" si="24"/>
        <v>68</v>
      </c>
      <c r="O328" s="119">
        <f t="shared" si="25"/>
        <v>12629368</v>
      </c>
    </row>
    <row r="329" spans="2:15" ht="42" customHeight="1" x14ac:dyDescent="0.25">
      <c r="B329" s="86" t="s">
        <v>620</v>
      </c>
      <c r="C329" s="87" t="s">
        <v>621</v>
      </c>
      <c r="D329" s="82" t="s">
        <v>269</v>
      </c>
      <c r="E329" s="230">
        <v>72</v>
      </c>
      <c r="F329" s="88">
        <v>185726</v>
      </c>
      <c r="G329" s="89">
        <f t="shared" si="26"/>
        <v>13372272</v>
      </c>
      <c r="H329" s="118" t="str">
        <f t="array" ref="H329:K329">_xlfn.XLOOKUP(B329,'ESAP NEIVA FASE II UNIFICADO'!$B$6:$B$720,'ESAP NEIVA FASE II UNIFICADO'!$C$6:$F$720,"NO ESTA")</f>
        <v>SUMINISTRO E INSTALACIÓN ALIMENTADOR DESDE EL TABLERO GENERAL DE DISTRIBUCIÓN HASTA EL TNP3 PISO 4 EN 1 Ø 3" CON 3#4/0+1#2/0N+1#4T AWG INCLUYE TERMINALES DE CONEXIÓN</v>
      </c>
      <c r="I329" t="str">
        <v xml:space="preserve">ML   </v>
      </c>
      <c r="J329">
        <v>0</v>
      </c>
      <c r="K329">
        <v>190576</v>
      </c>
      <c r="L329">
        <f t="shared" si="22"/>
        <v>1</v>
      </c>
      <c r="M329">
        <f t="shared" si="23"/>
        <v>185726</v>
      </c>
      <c r="N329" s="119">
        <f t="shared" si="24"/>
        <v>72</v>
      </c>
      <c r="O329" s="119">
        <f t="shared" si="25"/>
        <v>13372272</v>
      </c>
    </row>
    <row r="330" spans="2:15" ht="42" customHeight="1" x14ac:dyDescent="0.25">
      <c r="B330" s="86" t="s">
        <v>622</v>
      </c>
      <c r="C330" s="87" t="s">
        <v>623</v>
      </c>
      <c r="D330" s="82" t="s">
        <v>269</v>
      </c>
      <c r="E330" s="230">
        <v>60</v>
      </c>
      <c r="F330" s="88">
        <v>166558</v>
      </c>
      <c r="G330" s="89">
        <f t="shared" si="26"/>
        <v>9993480</v>
      </c>
      <c r="H330" s="118" t="str">
        <f t="array" ref="H330:K330">_xlfn.XLOOKUP(B330,'ESAP NEIVA FASE II UNIFICADO'!$B$6:$B$720,'ESAP NEIVA FASE II UNIFICADO'!$C$6:$F$720,"NO ESTA")</f>
        <v xml:space="preserve">SUMINISTRO E INSTALACIÓNALIMENTADOR DESDE EL TABLERO GENERAL DE DISTRIBUCIÓN HASTA LA UPS1 PISO 1 EN 1 Ø 2" con 3#3/0+1#2/0N+1#2/OT AWG INCLUYENDO TERMINALES DE CONEXIÓN </v>
      </c>
      <c r="I330" t="str">
        <v xml:space="preserve">ML   </v>
      </c>
      <c r="J330">
        <v>0</v>
      </c>
      <c r="K330">
        <v>170907</v>
      </c>
      <c r="L330">
        <f t="shared" ref="L330:L393" si="27">+IF(J330&gt;0,0,1)</f>
        <v>1</v>
      </c>
      <c r="M330">
        <f t="shared" ref="M330:M393" si="28">IF(L330=1,F330,0)</f>
        <v>166558</v>
      </c>
      <c r="N330" s="119">
        <f t="shared" ref="N330:N393" si="29">E330</f>
        <v>60</v>
      </c>
      <c r="O330" s="119">
        <f t="shared" si="25"/>
        <v>9993480</v>
      </c>
    </row>
    <row r="331" spans="2:15" ht="42" customHeight="1" x14ac:dyDescent="0.25">
      <c r="B331" s="86" t="s">
        <v>624</v>
      </c>
      <c r="C331" s="87" t="s">
        <v>625</v>
      </c>
      <c r="D331" s="82" t="s">
        <v>269</v>
      </c>
      <c r="E331" s="230">
        <v>7</v>
      </c>
      <c r="F331" s="88">
        <v>97183</v>
      </c>
      <c r="G331" s="89">
        <f t="shared" si="26"/>
        <v>680281</v>
      </c>
      <c r="H331" s="118" t="str">
        <f t="array" ref="H331:K331">_xlfn.XLOOKUP(B331,'ESAP NEIVA FASE II UNIFICADO'!$B$6:$B$720,'ESAP NEIVA FASE II UNIFICADO'!$C$6:$F$720,"NO ESTA")</f>
        <v xml:space="preserve">SUMINISTRO E INSTALACIÓN ALIMENTADOR DESDE UPS1 HASTA EL TABLERO REGULADO 1 PISO 1 EN 1 Ø 2" con 3#2+1#2N+1#8T AWG INCLUYENDO TERMINALES DE CONEXIÓN </v>
      </c>
      <c r="I331" t="str">
        <v xml:space="preserve">ML   </v>
      </c>
      <c r="J331">
        <v>0</v>
      </c>
      <c r="K331">
        <v>99722</v>
      </c>
      <c r="L331">
        <f t="shared" si="27"/>
        <v>1</v>
      </c>
      <c r="M331">
        <f t="shared" si="28"/>
        <v>97183</v>
      </c>
      <c r="N331" s="119">
        <f t="shared" si="29"/>
        <v>7</v>
      </c>
      <c r="O331" s="119">
        <f t="shared" ref="O331:O394" si="30">ROUND(M331*N331,2)</f>
        <v>680281</v>
      </c>
    </row>
    <row r="332" spans="2:15" ht="42" customHeight="1" x14ac:dyDescent="0.25">
      <c r="B332" s="86" t="s">
        <v>626</v>
      </c>
      <c r="C332" s="87" t="s">
        <v>627</v>
      </c>
      <c r="D332" s="82" t="s">
        <v>269</v>
      </c>
      <c r="E332" s="230">
        <v>102</v>
      </c>
      <c r="F332" s="88">
        <v>158300</v>
      </c>
      <c r="G332" s="89">
        <f t="shared" si="26"/>
        <v>16146600</v>
      </c>
      <c r="H332" s="118" t="str">
        <f t="array" ref="H332:K332">_xlfn.XLOOKUP(B332,'ESAP NEIVA FASE II UNIFICADO'!$B$6:$B$720,'ESAP NEIVA FASE II UNIFICADO'!$C$6:$F$720,"NO ESTA")</f>
        <v>SUMINISTRO E INSTALACIÓN ALIMENTADOR DESDE TRANSFERENCIA HASTA BOMBA CONTRA INCENDIOS  EN 1Ø3" CON  3#4/0+1#2/0N+1#4T AWG INCLUYENDO TERMINALES DE CONEXIÓN.</v>
      </c>
      <c r="I332" t="str">
        <v xml:space="preserve">ML   </v>
      </c>
      <c r="J332">
        <v>0</v>
      </c>
      <c r="K332">
        <v>162435</v>
      </c>
      <c r="L332">
        <f t="shared" si="27"/>
        <v>1</v>
      </c>
      <c r="M332">
        <f t="shared" si="28"/>
        <v>158300</v>
      </c>
      <c r="N332" s="119">
        <f t="shared" si="29"/>
        <v>102</v>
      </c>
      <c r="O332" s="119">
        <f t="shared" si="30"/>
        <v>16146600</v>
      </c>
    </row>
    <row r="333" spans="2:15" ht="15" customHeight="1" x14ac:dyDescent="0.25">
      <c r="B333" s="80" t="s">
        <v>628</v>
      </c>
      <c r="C333" s="81" t="s">
        <v>629</v>
      </c>
      <c r="D333" s="82"/>
      <c r="E333" s="230"/>
      <c r="F333" s="104">
        <v>0</v>
      </c>
      <c r="G333" s="89">
        <f t="shared" si="26"/>
        <v>0</v>
      </c>
      <c r="H333" s="118" t="str">
        <f t="array" ref="H333:K333">_xlfn.XLOOKUP(B333,'ESAP NEIVA FASE II UNIFICADO'!$B$6:$B$720,'ESAP NEIVA FASE II UNIFICADO'!$C$6:$F$720,"NO ESTA")</f>
        <v xml:space="preserve">SUMINISTRO E INSTALACIÓN DE CANALIZACIONES </v>
      </c>
      <c r="I333">
        <v>0</v>
      </c>
      <c r="J333">
        <v>0</v>
      </c>
      <c r="K333">
        <v>0</v>
      </c>
      <c r="L333">
        <f t="shared" si="27"/>
        <v>1</v>
      </c>
      <c r="M333">
        <f t="shared" si="28"/>
        <v>0</v>
      </c>
      <c r="N333" s="119">
        <f t="shared" si="29"/>
        <v>0</v>
      </c>
      <c r="O333" s="119">
        <f t="shared" si="30"/>
        <v>0</v>
      </c>
    </row>
    <row r="334" spans="2:15" ht="15" customHeight="1" x14ac:dyDescent="0.25">
      <c r="B334" s="86" t="s">
        <v>630</v>
      </c>
      <c r="C334" s="87" t="s">
        <v>631</v>
      </c>
      <c r="D334" s="82" t="s">
        <v>269</v>
      </c>
      <c r="E334" s="230">
        <v>50</v>
      </c>
      <c r="F334" s="88">
        <v>35427</v>
      </c>
      <c r="G334" s="89">
        <f t="shared" si="26"/>
        <v>1771350</v>
      </c>
      <c r="H334" s="118" t="str">
        <f t="array" ref="H334:K334">_xlfn.XLOOKUP(B334,'ESAP NEIVA FASE II UNIFICADO'!$B$6:$B$720,'ESAP NEIVA FASE II UNIFICADO'!$C$6:$F$720,"NO ESTA")</f>
        <v>SUMINISTRO E INSTALACIÓN TUBERÍA PVC Ø 4" (Incluye todos los materiales para su instalación)</v>
      </c>
      <c r="I334" t="str">
        <v xml:space="preserve">ML   </v>
      </c>
      <c r="J334">
        <v>0</v>
      </c>
      <c r="K334">
        <v>36352</v>
      </c>
      <c r="L334">
        <f t="shared" si="27"/>
        <v>1</v>
      </c>
      <c r="M334">
        <f t="shared" si="28"/>
        <v>35427</v>
      </c>
      <c r="N334" s="119">
        <f t="shared" si="29"/>
        <v>50</v>
      </c>
      <c r="O334" s="119">
        <f t="shared" si="30"/>
        <v>1771350</v>
      </c>
    </row>
    <row r="335" spans="2:15" ht="15" customHeight="1" x14ac:dyDescent="0.25">
      <c r="B335" s="86" t="s">
        <v>632</v>
      </c>
      <c r="C335" s="87" t="s">
        <v>633</v>
      </c>
      <c r="D335" s="82" t="s">
        <v>269</v>
      </c>
      <c r="E335" s="230">
        <v>100</v>
      </c>
      <c r="F335" s="88">
        <v>64159</v>
      </c>
      <c r="G335" s="89">
        <f t="shared" si="26"/>
        <v>6415900</v>
      </c>
      <c r="H335" s="118" t="str">
        <f t="array" ref="H335:K335">_xlfn.XLOOKUP(B335,'ESAP NEIVA FASE II UNIFICADO'!$B$6:$B$720,'ESAP NEIVA FASE II UNIFICADO'!$C$6:$F$720,"NO ESTA")</f>
        <v>SUMINISTRO E INSTALACIÓN TUBERÍA PVC Ø 6"  (Incluye todos los materiales para su instalación)</v>
      </c>
      <c r="I335" t="str">
        <v xml:space="preserve">ML   </v>
      </c>
      <c r="J335">
        <v>0</v>
      </c>
      <c r="K335">
        <v>65836</v>
      </c>
      <c r="L335">
        <f t="shared" si="27"/>
        <v>1</v>
      </c>
      <c r="M335">
        <f t="shared" si="28"/>
        <v>64159</v>
      </c>
      <c r="N335" s="119">
        <f t="shared" si="29"/>
        <v>100</v>
      </c>
      <c r="O335" s="119">
        <f t="shared" si="30"/>
        <v>6415900</v>
      </c>
    </row>
    <row r="336" spans="2:15" ht="15" customHeight="1" x14ac:dyDescent="0.25">
      <c r="B336" s="80" t="s">
        <v>634</v>
      </c>
      <c r="C336" s="81" t="s">
        <v>635</v>
      </c>
      <c r="D336" s="82"/>
      <c r="E336" s="230"/>
      <c r="F336" s="88">
        <v>0</v>
      </c>
      <c r="G336" s="89">
        <f t="shared" si="26"/>
        <v>0</v>
      </c>
      <c r="H336" s="118" t="str">
        <f t="array" ref="H336:K336">_xlfn.XLOOKUP(B336,'ESAP NEIVA FASE II UNIFICADO'!$B$6:$B$720,'ESAP NEIVA FASE II UNIFICADO'!$C$6:$F$720,"NO ESTA")</f>
        <v>SUMINISTRO E INSTALACIÓN DE TABLEROS E INTERRUPTORES</v>
      </c>
      <c r="I336">
        <v>0</v>
      </c>
      <c r="J336">
        <v>0</v>
      </c>
      <c r="K336">
        <v>0</v>
      </c>
      <c r="L336">
        <f t="shared" si="27"/>
        <v>1</v>
      </c>
      <c r="M336">
        <f t="shared" si="28"/>
        <v>0</v>
      </c>
      <c r="N336" s="119">
        <f t="shared" si="29"/>
        <v>0</v>
      </c>
      <c r="O336" s="119">
        <f t="shared" si="30"/>
        <v>0</v>
      </c>
    </row>
    <row r="337" spans="2:15" ht="42" customHeight="1" x14ac:dyDescent="0.25">
      <c r="B337" s="86" t="s">
        <v>636</v>
      </c>
      <c r="C337" s="87" t="s">
        <v>637</v>
      </c>
      <c r="D337" s="82" t="s">
        <v>374</v>
      </c>
      <c r="E337" s="230">
        <v>1</v>
      </c>
      <c r="F337" s="88">
        <v>828556</v>
      </c>
      <c r="G337" s="89">
        <f t="shared" si="26"/>
        <v>828556</v>
      </c>
      <c r="H337" s="118" t="str">
        <f t="array" ref="H337:K337">_xlfn.XLOOKUP(B337,'ESAP NEIVA FASE II UNIFICADO'!$B$6:$B$720,'ESAP NEIVA FASE II UNIFICADO'!$C$6:$F$720,"NO ESTA")</f>
        <v>SUMINISTRO E INSTALACIÓN TABLERO AUTOMATICO DE 38 CIRCUITOS TIPO PESADO CON PUERTA Y CERRRADURA DE CIERRE, CERRADURA Y ESPACIO TOTALIZADOR INDUSTRIAL (TNP4)</v>
      </c>
      <c r="I337" t="str">
        <v>UN</v>
      </c>
      <c r="J337">
        <v>0</v>
      </c>
      <c r="K337">
        <v>850198</v>
      </c>
      <c r="L337">
        <f t="shared" si="27"/>
        <v>1</v>
      </c>
      <c r="M337">
        <f t="shared" si="28"/>
        <v>828556</v>
      </c>
      <c r="N337" s="119">
        <f t="shared" si="29"/>
        <v>1</v>
      </c>
      <c r="O337" s="119">
        <f t="shared" si="30"/>
        <v>828556</v>
      </c>
    </row>
    <row r="338" spans="2:15" ht="42" customHeight="1" x14ac:dyDescent="0.25">
      <c r="B338" s="86" t="s">
        <v>638</v>
      </c>
      <c r="C338" s="87" t="s">
        <v>639</v>
      </c>
      <c r="D338" s="82" t="s">
        <v>374</v>
      </c>
      <c r="E338" s="230">
        <v>1</v>
      </c>
      <c r="F338" s="88">
        <v>665537</v>
      </c>
      <c r="G338" s="89">
        <f t="shared" si="26"/>
        <v>665537</v>
      </c>
      <c r="H338" s="118" t="str">
        <f t="array" ref="H338:K338">_xlfn.XLOOKUP(B338,'ESAP NEIVA FASE II UNIFICADO'!$B$6:$B$720,'ESAP NEIVA FASE II UNIFICADO'!$C$6:$F$720,"NO ESTA")</f>
        <v xml:space="preserve">SUMINISTRO E INSTALACIÓN TABLERO AUTOMATICO DE 18 CIRCUITOS TIPO PESADO CON PUERTA Y CERRRADURA DE CIERRE, CERRADURA Y ESPACIO TOTALIZADOR INDUSTRIAL CON BARRAJE DE TIERRA AISLADA. </v>
      </c>
      <c r="I338" t="str">
        <v>UN</v>
      </c>
      <c r="J338">
        <v>0</v>
      </c>
      <c r="K338">
        <v>682920</v>
      </c>
      <c r="L338">
        <f t="shared" si="27"/>
        <v>1</v>
      </c>
      <c r="M338">
        <f t="shared" si="28"/>
        <v>665537</v>
      </c>
      <c r="N338" s="119">
        <f t="shared" si="29"/>
        <v>1</v>
      </c>
      <c r="O338" s="119">
        <f t="shared" si="30"/>
        <v>665537</v>
      </c>
    </row>
    <row r="339" spans="2:15" ht="42" customHeight="1" x14ac:dyDescent="0.25">
      <c r="B339" s="86" t="s">
        <v>640</v>
      </c>
      <c r="C339" s="87" t="s">
        <v>641</v>
      </c>
      <c r="D339" s="82" t="s">
        <v>374</v>
      </c>
      <c r="E339" s="230">
        <v>3</v>
      </c>
      <c r="F339" s="88">
        <v>668770</v>
      </c>
      <c r="G339" s="89">
        <f t="shared" si="26"/>
        <v>2006310</v>
      </c>
      <c r="H339" s="118" t="str">
        <f t="array" ref="H339:K339">_xlfn.XLOOKUP(B339,'ESAP NEIVA FASE II UNIFICADO'!$B$6:$B$720,'ESAP NEIVA FASE II UNIFICADO'!$C$6:$F$720,"NO ESTA")</f>
        <v>SUMINISTRO E INSTALACIÓN TABLERO AUTOMATICO DE 24 CIRCUITOS TIPO PESADO CON PUERTA Y CERRRADURA DE CIERRE, CERRADURA Y ESPACIO TOTALIZADOR INDUSTRIAL CON BARRAJE DE TIERRA AISLADA (TNS, TR1, TR2)</v>
      </c>
      <c r="I339" t="str">
        <v>UN</v>
      </c>
      <c r="J339">
        <v>0</v>
      </c>
      <c r="K339">
        <v>686237</v>
      </c>
      <c r="L339">
        <f t="shared" si="27"/>
        <v>1</v>
      </c>
      <c r="M339">
        <f t="shared" si="28"/>
        <v>668770</v>
      </c>
      <c r="N339" s="119">
        <f t="shared" si="29"/>
        <v>3</v>
      </c>
      <c r="O339" s="119">
        <f t="shared" si="30"/>
        <v>2006310</v>
      </c>
    </row>
    <row r="340" spans="2:15" ht="42" customHeight="1" x14ac:dyDescent="0.25">
      <c r="B340" s="86" t="s">
        <v>642</v>
      </c>
      <c r="C340" s="87" t="s">
        <v>643</v>
      </c>
      <c r="D340" s="82" t="s">
        <v>374</v>
      </c>
      <c r="E340" s="230">
        <v>3</v>
      </c>
      <c r="F340" s="88">
        <v>938774</v>
      </c>
      <c r="G340" s="89">
        <f t="shared" si="26"/>
        <v>2816322</v>
      </c>
      <c r="H340" s="118" t="str">
        <f t="array" ref="H340:K340">_xlfn.XLOOKUP(B340,'ESAP NEIVA FASE II UNIFICADO'!$B$6:$B$720,'ESAP NEIVA FASE II UNIFICADO'!$C$6:$F$720,"NO ESTA")</f>
        <v>SUMINISTRO E INSTALACIÓN TABLERO AUTOMATICO DE 42 CIRCUITOS TIPO PESADO CON PUERTA Y CERRRADURA DE CIERRE, CERRADURA Y ESPACIO TOTALIZADOR INDUSTRIAL (TNP1, TNP2, TNP3)</v>
      </c>
      <c r="I340" t="str">
        <v>UN</v>
      </c>
      <c r="J340">
        <v>0</v>
      </c>
      <c r="K340">
        <v>963294</v>
      </c>
      <c r="L340">
        <f t="shared" si="27"/>
        <v>1</v>
      </c>
      <c r="M340">
        <f t="shared" si="28"/>
        <v>938774</v>
      </c>
      <c r="N340" s="119">
        <f t="shared" si="29"/>
        <v>3</v>
      </c>
      <c r="O340" s="119">
        <f t="shared" si="30"/>
        <v>2816322</v>
      </c>
    </row>
    <row r="341" spans="2:15" ht="27" customHeight="1" x14ac:dyDescent="0.25">
      <c r="B341" s="86" t="s">
        <v>644</v>
      </c>
      <c r="C341" s="87" t="s">
        <v>645</v>
      </c>
      <c r="D341" s="82" t="s">
        <v>374</v>
      </c>
      <c r="E341" s="230">
        <v>19</v>
      </c>
      <c r="F341" s="88">
        <v>20032</v>
      </c>
      <c r="G341" s="89">
        <f t="shared" si="26"/>
        <v>380608</v>
      </c>
      <c r="H341" s="118" t="str">
        <f t="array" ref="H341:K341">_xlfn.XLOOKUP(B341,'ESAP NEIVA FASE II UNIFICADO'!$B$6:$B$720,'ESAP NEIVA FASE II UNIFICADO'!$C$6:$F$720,"NO ESTA")</f>
        <v>SUMINISTRO E INSTALACIÓN INTERRUPTORES AUTOMÁTICOS ENCHUFABLES 240 V. 10kA 1x20 AMPS. TIPO ENCHUFABLE 10 Ka 240V.</v>
      </c>
      <c r="I341" t="str">
        <v>UN</v>
      </c>
      <c r="J341">
        <v>51</v>
      </c>
      <c r="K341">
        <v>20555</v>
      </c>
      <c r="L341">
        <f t="shared" si="27"/>
        <v>0</v>
      </c>
      <c r="M341">
        <f t="shared" si="28"/>
        <v>0</v>
      </c>
      <c r="N341" s="119">
        <f t="shared" si="29"/>
        <v>19</v>
      </c>
      <c r="O341" s="119">
        <f t="shared" si="30"/>
        <v>0</v>
      </c>
    </row>
    <row r="342" spans="2:15" ht="27.75" customHeight="1" x14ac:dyDescent="0.25">
      <c r="B342" s="86" t="s">
        <v>646</v>
      </c>
      <c r="C342" s="87" t="s">
        <v>647</v>
      </c>
      <c r="D342" s="82" t="s">
        <v>374</v>
      </c>
      <c r="E342" s="230">
        <v>14</v>
      </c>
      <c r="F342" s="88">
        <v>20032</v>
      </c>
      <c r="G342" s="89">
        <f t="shared" si="26"/>
        <v>280448</v>
      </c>
      <c r="H342" s="118" t="str">
        <f t="array" ref="H342:K342">_xlfn.XLOOKUP(B342,'ESAP NEIVA FASE II UNIFICADO'!$B$6:$B$720,'ESAP NEIVA FASE II UNIFICADO'!$C$6:$F$720,"NO ESTA")</f>
        <v>SUMINISTRO E INSTALACIÓN INTERRUPTORES AUTOMÁTICOS ENCHUFABLES 240 V. 10kA 1x30 AMPS. TIPO ENCHUFABLE 10 Ka 240V.</v>
      </c>
      <c r="I342" t="str">
        <v>UN</v>
      </c>
      <c r="J342">
        <v>36</v>
      </c>
      <c r="K342">
        <v>20555</v>
      </c>
      <c r="L342">
        <f t="shared" si="27"/>
        <v>0</v>
      </c>
      <c r="M342">
        <f t="shared" si="28"/>
        <v>0</v>
      </c>
      <c r="N342" s="119">
        <f t="shared" si="29"/>
        <v>14</v>
      </c>
      <c r="O342" s="119">
        <f t="shared" si="30"/>
        <v>0</v>
      </c>
    </row>
    <row r="343" spans="2:15" ht="30.75" customHeight="1" x14ac:dyDescent="0.25">
      <c r="B343" s="86" t="s">
        <v>648</v>
      </c>
      <c r="C343" s="87" t="s">
        <v>649</v>
      </c>
      <c r="D343" s="82" t="s">
        <v>374</v>
      </c>
      <c r="E343" s="230">
        <v>2</v>
      </c>
      <c r="F343" s="88">
        <v>56563</v>
      </c>
      <c r="G343" s="89">
        <f t="shared" si="26"/>
        <v>113126</v>
      </c>
      <c r="H343" s="118" t="str">
        <f t="array" ref="H343:K343">_xlfn.XLOOKUP(B343,'ESAP NEIVA FASE II UNIFICADO'!$B$6:$B$720,'ESAP NEIVA FASE II UNIFICADO'!$C$6:$F$720,"NO ESTA")</f>
        <v>SUMINISTRO E INSTALACIÓN INTERRUPTORES AUTOMÁTICOS ENCHUFABLES 240 V. 10kA 3x30 AMPS. TIPO ENCHUFABLE 10 Ka 240V.</v>
      </c>
      <c r="I343" t="str">
        <v>UN</v>
      </c>
      <c r="J343">
        <v>4</v>
      </c>
      <c r="K343">
        <v>58041</v>
      </c>
      <c r="L343">
        <f t="shared" si="27"/>
        <v>0</v>
      </c>
      <c r="M343">
        <f t="shared" si="28"/>
        <v>0</v>
      </c>
      <c r="N343" s="119">
        <f t="shared" si="29"/>
        <v>2</v>
      </c>
      <c r="O343" s="119">
        <f t="shared" si="30"/>
        <v>0</v>
      </c>
    </row>
    <row r="344" spans="2:15" ht="27.75" customHeight="1" x14ac:dyDescent="0.25">
      <c r="B344" s="80" t="s">
        <v>650</v>
      </c>
      <c r="C344" s="81" t="s">
        <v>651</v>
      </c>
      <c r="D344" s="82"/>
      <c r="E344" s="230"/>
      <c r="F344" s="104">
        <v>0</v>
      </c>
      <c r="G344" s="89">
        <f t="shared" si="26"/>
        <v>0</v>
      </c>
      <c r="H344" s="118" t="str">
        <f t="array" ref="H344:K344">_xlfn.XLOOKUP(B344,'ESAP NEIVA FASE II UNIFICADO'!$B$6:$B$720,'ESAP NEIVA FASE II UNIFICADO'!$C$6:$F$720,"NO ESTA")</f>
        <v>SUMINISTRO E INSTALACIÓN CONSOLA DE CONTROL REMOTO ALUMBRADO ZONAS COMUNES Y EXTERIOR UBICADA EN RECEPCIÓN</v>
      </c>
      <c r="I344">
        <v>0</v>
      </c>
      <c r="J344">
        <v>0</v>
      </c>
      <c r="K344">
        <v>0</v>
      </c>
      <c r="L344">
        <f t="shared" si="27"/>
        <v>1</v>
      </c>
      <c r="M344">
        <f t="shared" si="28"/>
        <v>0</v>
      </c>
      <c r="N344" s="119">
        <f t="shared" si="29"/>
        <v>0</v>
      </c>
      <c r="O344" s="119">
        <f t="shared" si="30"/>
        <v>0</v>
      </c>
    </row>
    <row r="345" spans="2:15" ht="66" customHeight="1" x14ac:dyDescent="0.25">
      <c r="B345" s="86" t="s">
        <v>652</v>
      </c>
      <c r="C345" s="87" t="s">
        <v>653</v>
      </c>
      <c r="D345" s="82" t="s">
        <v>374</v>
      </c>
      <c r="E345" s="230">
        <v>1</v>
      </c>
      <c r="F345" s="88">
        <v>567387</v>
      </c>
      <c r="G345" s="89">
        <f t="shared" si="26"/>
        <v>567387</v>
      </c>
      <c r="H345" s="118" t="str">
        <f t="array" ref="H345:K345">_xlfn.XLOOKUP(B345,'ESAP NEIVA FASE II UNIFICADO'!$B$6:$B$720,'ESAP NEIVA FASE II UNIFICADO'!$C$6:$F$720,"NO ESTA")</f>
        <v>SUMINISTRO E INSTALACIÓN GABINETE DE 30x30x15 cm, CONSTRUIDO EN LÁMINA CALIBRE 18 QUE INCLUYA: SEIS (6) CONMUTADORES DE MULETILLA CONTACTO MANTENIDO 2 POSICIONES, BORNERAS, CANALETAS DE CABLEADO Y TERMINALES DE IDENTIFICACIÓN  Y SEIS (6) BOMBILLOS DE NEON QUE INDICAN EL ENCENDIDO DE LOS CONTACTORES  (13 ÚTILES)</v>
      </c>
      <c r="I345" t="str">
        <v>UN</v>
      </c>
      <c r="J345">
        <v>0</v>
      </c>
      <c r="K345">
        <v>582207</v>
      </c>
      <c r="L345">
        <f t="shared" si="27"/>
        <v>1</v>
      </c>
      <c r="M345">
        <f t="shared" si="28"/>
        <v>567387</v>
      </c>
      <c r="N345" s="119">
        <f t="shared" si="29"/>
        <v>1</v>
      </c>
      <c r="O345" s="119">
        <f t="shared" si="30"/>
        <v>567387</v>
      </c>
    </row>
    <row r="346" spans="2:15" ht="15" customHeight="1" x14ac:dyDescent="0.25">
      <c r="B346" s="80" t="s">
        <v>654</v>
      </c>
      <c r="C346" s="81" t="s">
        <v>655</v>
      </c>
      <c r="D346" s="82"/>
      <c r="E346" s="230"/>
      <c r="F346" s="104">
        <v>0</v>
      </c>
      <c r="G346" s="89">
        <f t="shared" si="26"/>
        <v>0</v>
      </c>
      <c r="H346" s="118" t="str">
        <f t="array" ref="H346:K346">_xlfn.XLOOKUP(B346,'ESAP NEIVA FASE II UNIFICADO'!$B$6:$B$720,'ESAP NEIVA FASE II UNIFICADO'!$C$6:$F$720,"NO ESTA")</f>
        <v>SUMINISTRO E INSTALACIÓN TABLEROS DE DISTRIBUCIÓN GENERAL</v>
      </c>
      <c r="I346">
        <v>0</v>
      </c>
      <c r="J346">
        <v>0</v>
      </c>
      <c r="K346">
        <v>0</v>
      </c>
      <c r="L346">
        <f t="shared" si="27"/>
        <v>1</v>
      </c>
      <c r="M346">
        <f t="shared" si="28"/>
        <v>0</v>
      </c>
      <c r="N346" s="119">
        <f t="shared" si="29"/>
        <v>0</v>
      </c>
      <c r="O346" s="119">
        <f t="shared" si="30"/>
        <v>0</v>
      </c>
    </row>
    <row r="347" spans="2:15" ht="81" customHeight="1" x14ac:dyDescent="0.25">
      <c r="B347" s="86" t="s">
        <v>656</v>
      </c>
      <c r="C347" s="87" t="s">
        <v>657</v>
      </c>
      <c r="D347" s="82" t="s">
        <v>374</v>
      </c>
      <c r="E347" s="230">
        <v>1</v>
      </c>
      <c r="F347" s="88">
        <v>15376244</v>
      </c>
      <c r="G347" s="89">
        <f t="shared" si="26"/>
        <v>15376244</v>
      </c>
      <c r="H347" s="118" t="str">
        <f t="array" ref="H347:K347">_xlfn.XLOOKUP(B347,'ESAP NEIVA FASE II UNIFICADO'!$B$6:$B$720,'ESAP NEIVA FASE II UNIFICADO'!$C$6:$F$720,"NO ESTA")</f>
        <v>SUMINISTRO E INSTALACIÓN GABINETE METÁLICO CONSTRUIDO EN LÁMINA COLD ROLLED CALIBRE 16 TIPO AUTOSOPORTADO, CON TRATAMIENTO SUPERFICIAL PARA PROTEGERLO DE LA OXIDACIÓN Y FOSFATADO), CON ACABADO FINAL PINTURA EN POLVO ELECTROSTÁTICA EN RAAL 7030. DIMENSIONES: ANCHO = 1.00 M. ALTO = 2.00 M Y PROF. = 0.40 M.
ESPACIO PARA ALOJAR UNA TRANSFERENCIA SUMINISTRADA POR EL PROPIETARIO VER ESPECIFICACIÓN PARA ESTE ÍTEM,.</v>
      </c>
      <c r="I347" t="str">
        <v>UN</v>
      </c>
      <c r="J347">
        <v>0</v>
      </c>
      <c r="K347">
        <v>15777849</v>
      </c>
      <c r="L347">
        <f t="shared" si="27"/>
        <v>1</v>
      </c>
      <c r="M347">
        <f t="shared" si="28"/>
        <v>15376244</v>
      </c>
      <c r="N347" s="119">
        <f t="shared" si="29"/>
        <v>1</v>
      </c>
      <c r="O347" s="119">
        <f t="shared" si="30"/>
        <v>15376244</v>
      </c>
    </row>
    <row r="348" spans="2:15" ht="72" customHeight="1" x14ac:dyDescent="0.25">
      <c r="B348" s="86" t="s">
        <v>658</v>
      </c>
      <c r="C348" s="87" t="s">
        <v>659</v>
      </c>
      <c r="D348" s="82" t="s">
        <v>374</v>
      </c>
      <c r="E348" s="230">
        <v>1</v>
      </c>
      <c r="F348" s="88">
        <v>11620247</v>
      </c>
      <c r="G348" s="89">
        <f t="shared" si="26"/>
        <v>11620247</v>
      </c>
      <c r="H348" s="118" t="str">
        <f t="array" ref="H348:K348">_xlfn.XLOOKUP(B348,'ESAP NEIVA FASE II UNIFICADO'!$B$6:$B$720,'ESAP NEIVA FASE II UNIFICADO'!$C$6:$F$720,"NO ESTA")</f>
        <v>SUMINISTRO E INSTALACIÓN GABINETE METÁLICO CONSTRUIDO EN LÁMINA COLD ROLLED CALIBRE 16 TIPO AUTOSOPORTADO, CON TRATAMIENTO SUPERFICIAL PARA PROTEGERLO DE LA OXIDACIÓN Y FOSFATADO), CON ACABADO FINAL PINTURA EN POLVO ELECTROSTÁTICA EN RAAL 7030. DIMENSIONES: ANCHO = 0.60 M. ALTO = 1,20 M Y PROF. = 0.30 M. VER ESPECIFICACIÓN PARA ESTE ÍTEM.</v>
      </c>
      <c r="I348" t="str">
        <v>UN</v>
      </c>
      <c r="J348">
        <v>1</v>
      </c>
      <c r="K348">
        <v>11923749</v>
      </c>
      <c r="L348">
        <f t="shared" si="27"/>
        <v>0</v>
      </c>
      <c r="M348">
        <f t="shared" si="28"/>
        <v>0</v>
      </c>
      <c r="N348" s="119">
        <f t="shared" si="29"/>
        <v>1</v>
      </c>
      <c r="O348" s="119">
        <f t="shared" si="30"/>
        <v>0</v>
      </c>
    </row>
    <row r="349" spans="2:15" ht="69" customHeight="1" x14ac:dyDescent="0.25">
      <c r="B349" s="86" t="s">
        <v>660</v>
      </c>
      <c r="C349" s="87" t="s">
        <v>661</v>
      </c>
      <c r="D349" s="82" t="s">
        <v>374</v>
      </c>
      <c r="E349" s="230">
        <v>1</v>
      </c>
      <c r="F349" s="88">
        <v>13498246</v>
      </c>
      <c r="G349" s="89">
        <f t="shared" si="26"/>
        <v>13498246</v>
      </c>
      <c r="H349" s="118" t="str">
        <f t="array" ref="H349:K349">_xlfn.XLOOKUP(B349,'ESAP NEIVA FASE II UNIFICADO'!$B$6:$B$720,'ESAP NEIVA FASE II UNIFICADO'!$C$6:$F$720,"NO ESTA")</f>
        <v>SUMINISTRO E INSTALACIÓN GABINETE METÁLICO CONSTRUIDO SEGÚN NORMAS AE-319 DE CODENSA EN LÁMINA COLD ROLLED CALIBRE 16, CON TRATAMIENTO SUPERFICIAL CON DESENGRASANTE, FOSFATIZADO Y ACABADO FINAL EN PINTURA ELECTROSTÁTICA HORNEABLE RAAL 7032. DIMENSIONES: ANCHO = 0.80 M. ALTO = 2,00 M Y PROF. = 0.40 M.
VER ESPECIFICACIÓN PARA ESTE ÍTEM.</v>
      </c>
      <c r="I349" t="str">
        <v>UN</v>
      </c>
      <c r="J349">
        <v>0</v>
      </c>
      <c r="K349">
        <v>13850799</v>
      </c>
      <c r="L349">
        <f t="shared" si="27"/>
        <v>1</v>
      </c>
      <c r="M349">
        <f t="shared" si="28"/>
        <v>13498246</v>
      </c>
      <c r="N349" s="119">
        <f t="shared" si="29"/>
        <v>1</v>
      </c>
      <c r="O349" s="119">
        <f t="shared" si="30"/>
        <v>13498246</v>
      </c>
    </row>
    <row r="350" spans="2:15" ht="39" customHeight="1" x14ac:dyDescent="0.25">
      <c r="B350" s="80" t="s">
        <v>662</v>
      </c>
      <c r="C350" s="81" t="s">
        <v>663</v>
      </c>
      <c r="D350" s="82"/>
      <c r="E350" s="230"/>
      <c r="F350" s="104">
        <v>0</v>
      </c>
      <c r="G350" s="89">
        <f t="shared" si="26"/>
        <v>0</v>
      </c>
      <c r="H350" s="118" t="str">
        <f t="array" ref="H350:K350">_xlfn.XLOOKUP(B350,'ESAP NEIVA FASE II UNIFICADO'!$B$6:$B$720,'ESAP NEIVA FASE II UNIFICADO'!$C$6:$F$720,"NO ESTA")</f>
        <v xml:space="preserve">SUMINISTRO E INSTALACIÓN PUESTA A TIERRA TRANSFORMADOR Y SUBESTACIÓN (Incluye preparación de tierra con la solución Sanick Gel para obtener una elevada conductividad eléctrica (ver especificaciones técnicas de diseño anexas) </v>
      </c>
      <c r="I350">
        <v>0</v>
      </c>
      <c r="J350">
        <v>0</v>
      </c>
      <c r="K350">
        <v>0</v>
      </c>
      <c r="L350">
        <f t="shared" si="27"/>
        <v>1</v>
      </c>
      <c r="M350">
        <f t="shared" si="28"/>
        <v>0</v>
      </c>
      <c r="N350" s="119">
        <f t="shared" si="29"/>
        <v>0</v>
      </c>
      <c r="O350" s="119">
        <f t="shared" si="30"/>
        <v>0</v>
      </c>
    </row>
    <row r="351" spans="2:15" ht="15" customHeight="1" x14ac:dyDescent="0.25">
      <c r="B351" s="86" t="s">
        <v>664</v>
      </c>
      <c r="C351" s="87" t="s">
        <v>665</v>
      </c>
      <c r="D351" s="82" t="s">
        <v>269</v>
      </c>
      <c r="E351" s="230">
        <v>35</v>
      </c>
      <c r="F351" s="88">
        <v>23788</v>
      </c>
      <c r="G351" s="89">
        <f t="shared" si="26"/>
        <v>832580</v>
      </c>
      <c r="H351" s="118" t="str">
        <f t="array" ref="H351:K351">_xlfn.XLOOKUP(B351,'ESAP NEIVA FASE II UNIFICADO'!$B$6:$B$720,'ESAP NEIVA FASE II UNIFICADO'!$C$6:$F$720,"NO ESTA")</f>
        <v>SUMINISTRO E INSTALACIÓN CONDUCTOR 2/0 Cu. TEMPLE DURO</v>
      </c>
      <c r="I351" t="str">
        <v xml:space="preserve">ML   </v>
      </c>
      <c r="J351">
        <v>0</v>
      </c>
      <c r="K351">
        <v>24409</v>
      </c>
      <c r="L351">
        <f t="shared" si="27"/>
        <v>1</v>
      </c>
      <c r="M351">
        <f t="shared" si="28"/>
        <v>23788</v>
      </c>
      <c r="N351" s="119">
        <f t="shared" si="29"/>
        <v>35</v>
      </c>
      <c r="O351" s="119">
        <f t="shared" si="30"/>
        <v>832580</v>
      </c>
    </row>
    <row r="352" spans="2:15" ht="28.5" customHeight="1" x14ac:dyDescent="0.25">
      <c r="B352" s="86" t="s">
        <v>666</v>
      </c>
      <c r="C352" s="87" t="s">
        <v>667</v>
      </c>
      <c r="D352" s="82" t="s">
        <v>374</v>
      </c>
      <c r="E352" s="230">
        <v>6</v>
      </c>
      <c r="F352" s="88">
        <v>124386</v>
      </c>
      <c r="G352" s="89">
        <f t="shared" si="26"/>
        <v>746316</v>
      </c>
      <c r="H352" s="118" t="str">
        <f t="array" ref="H352:K352">_xlfn.XLOOKUP(B352,'ESAP NEIVA FASE II UNIFICADO'!$B$6:$B$720,'ESAP NEIVA FASE II UNIFICADO'!$C$6:$F$720,"NO ESTA")</f>
        <v>SUMINISTRO E INSTALACIÓN ELECTROSOLDADA DE PUESTA A TIERRA EN VARILLA DE COBRE  DE 5/8" x 2.40m</v>
      </c>
      <c r="I352" t="str">
        <v>UN</v>
      </c>
      <c r="J352">
        <v>0</v>
      </c>
      <c r="K352">
        <v>127634</v>
      </c>
      <c r="L352">
        <f t="shared" si="27"/>
        <v>1</v>
      </c>
      <c r="M352">
        <f t="shared" si="28"/>
        <v>124386</v>
      </c>
      <c r="N352" s="119">
        <f t="shared" si="29"/>
        <v>6</v>
      </c>
      <c r="O352" s="119">
        <f t="shared" si="30"/>
        <v>746316</v>
      </c>
    </row>
    <row r="353" spans="2:15" ht="38.25" customHeight="1" x14ac:dyDescent="0.25">
      <c r="B353" s="86" t="s">
        <v>668</v>
      </c>
      <c r="C353" s="87" t="s">
        <v>669</v>
      </c>
      <c r="D353" s="82" t="s">
        <v>374</v>
      </c>
      <c r="E353" s="230">
        <v>6</v>
      </c>
      <c r="F353" s="88">
        <v>128763</v>
      </c>
      <c r="G353" s="89">
        <f t="shared" si="26"/>
        <v>772578</v>
      </c>
      <c r="H353" s="118" t="str">
        <f t="array" ref="H353:K353">_xlfn.XLOOKUP(B353,'ESAP NEIVA FASE II UNIFICADO'!$B$6:$B$720,'ESAP NEIVA FASE II UNIFICADO'!$C$6:$F$720,"NO ESTA")</f>
        <v>SUMINISTRO E INSTALACIÓN CONEXIÓN TERMOSOLDADA DE VARILLA A CABLE DE COBRE DESNUDO # 2/0 AWG ,INCLUYE SUMINISTRO DE MOLDE, FÚNDENTE Y DEMÁS ACCESORIOS.</v>
      </c>
      <c r="I353" t="str">
        <v>UN</v>
      </c>
      <c r="J353">
        <v>0</v>
      </c>
      <c r="K353">
        <v>132126</v>
      </c>
      <c r="L353">
        <f t="shared" si="27"/>
        <v>1</v>
      </c>
      <c r="M353">
        <f t="shared" si="28"/>
        <v>128763</v>
      </c>
      <c r="N353" s="119">
        <f t="shared" si="29"/>
        <v>6</v>
      </c>
      <c r="O353" s="119">
        <f t="shared" si="30"/>
        <v>772578</v>
      </c>
    </row>
    <row r="354" spans="2:15" ht="42.75" customHeight="1" x14ac:dyDescent="0.25">
      <c r="B354" s="86" t="s">
        <v>670</v>
      </c>
      <c r="C354" s="87" t="s">
        <v>671</v>
      </c>
      <c r="D354" s="82" t="s">
        <v>374</v>
      </c>
      <c r="E354" s="230">
        <v>2</v>
      </c>
      <c r="F354" s="88">
        <v>128763</v>
      </c>
      <c r="G354" s="89">
        <f t="shared" si="26"/>
        <v>257526</v>
      </c>
      <c r="H354" s="118" t="str">
        <f t="array" ref="H354:K354">_xlfn.XLOOKUP(B354,'ESAP NEIVA FASE II UNIFICADO'!$B$6:$B$720,'ESAP NEIVA FASE II UNIFICADO'!$C$6:$F$720,"NO ESTA")</f>
        <v>SUMINISTRO E INSTALACIÓN CONEXIÓN TERMOSOLDADA DE CABLE A CABLE EN “T” DE COBRE DESNUDO # 2/0 AWG ,INCLUYE SUMINISTRO DE MOLDE, FÚNDENTE Y DEMÁS ACCESORIOS.</v>
      </c>
      <c r="I354" t="str">
        <v>UN</v>
      </c>
      <c r="J354">
        <v>0</v>
      </c>
      <c r="K354">
        <v>132126</v>
      </c>
      <c r="L354">
        <f t="shared" si="27"/>
        <v>1</v>
      </c>
      <c r="M354">
        <f t="shared" si="28"/>
        <v>128763</v>
      </c>
      <c r="N354" s="119">
        <f t="shared" si="29"/>
        <v>2</v>
      </c>
      <c r="O354" s="119">
        <f t="shared" si="30"/>
        <v>257526</v>
      </c>
    </row>
    <row r="355" spans="2:15" ht="79.5" customHeight="1" x14ac:dyDescent="0.25">
      <c r="B355" s="86" t="s">
        <v>672</v>
      </c>
      <c r="C355" s="87" t="s">
        <v>673</v>
      </c>
      <c r="D355" s="82" t="s">
        <v>16</v>
      </c>
      <c r="E355" s="230">
        <v>6</v>
      </c>
      <c r="F355" s="88">
        <v>162630</v>
      </c>
      <c r="G355" s="89">
        <f t="shared" si="26"/>
        <v>975780</v>
      </c>
      <c r="H355" s="118" t="str">
        <f t="array" ref="H355:K355">_xlfn.XLOOKUP(B355,'ESAP NEIVA FASE II UNIFICADO'!$B$6:$B$720,'ESAP NEIVA FASE II UNIFICADO'!$C$6:$F$720,"NO ESTA")</f>
        <v>SUMINISTRO E INSTALACIÓN POZO CONSTRUIDO EN CEFIPLAST CONCRETO PARA ALBERGAR UN ELECTRODO  DE PUESTA A TIERRA EN CU DE 5/8” X 8' COMPUESTO DE TUBO Y TAPA DE INSPECCIÓN. EL TUBO TENDRÁ LAS SIGUIENTES DIMENSIONES : 80 CM. DE ALTO, DIÁMETRO EXTERIOR SUPERIOR E 25 CM., DIÁMETRO EXTERIOR INFERIOR DE 32 CM. LA TAPA TENDRÁ LAS SIGUIENTES DIMENSIONES : 30 CM. DE DIÁMETRO EXTERIOR.</v>
      </c>
      <c r="I355" t="str">
        <v>UND</v>
      </c>
      <c r="J355">
        <v>0</v>
      </c>
      <c r="K355">
        <v>166876</v>
      </c>
      <c r="L355">
        <f t="shared" si="27"/>
        <v>1</v>
      </c>
      <c r="M355">
        <f t="shared" si="28"/>
        <v>162630</v>
      </c>
      <c r="N355" s="119">
        <f t="shared" si="29"/>
        <v>6</v>
      </c>
      <c r="O355" s="119">
        <f t="shared" si="30"/>
        <v>975780</v>
      </c>
    </row>
    <row r="356" spans="2:15" ht="41.25" customHeight="1" x14ac:dyDescent="0.25">
      <c r="B356" s="80" t="s">
        <v>674</v>
      </c>
      <c r="C356" s="81" t="s">
        <v>675</v>
      </c>
      <c r="D356" s="82"/>
      <c r="E356" s="230"/>
      <c r="F356" s="104">
        <v>0</v>
      </c>
      <c r="G356" s="89">
        <f t="shared" si="26"/>
        <v>0</v>
      </c>
      <c r="H356" s="118" t="str">
        <f t="array" ref="H356:K356">_xlfn.XLOOKUP(B356,'ESAP NEIVA FASE II UNIFICADO'!$B$6:$B$720,'ESAP NEIVA FASE II UNIFICADO'!$C$6:$F$720,"NO ESTA")</f>
        <v xml:space="preserve">SUMINISTRO E INSTALACIÓN PUESTA A TIERRA TABLERO DE DISTRIBUCIÓN Y GENERAL (Incluye preparación de tierra con la solución Sanick Gel para obtener una elevada conductividad eléctrica (ver especificaciones técnicas de diseño anexas) </v>
      </c>
      <c r="I356">
        <v>0</v>
      </c>
      <c r="J356">
        <v>0</v>
      </c>
      <c r="K356">
        <v>0</v>
      </c>
      <c r="L356">
        <f t="shared" si="27"/>
        <v>1</v>
      </c>
      <c r="M356">
        <f t="shared" si="28"/>
        <v>0</v>
      </c>
      <c r="N356" s="119">
        <f t="shared" si="29"/>
        <v>0</v>
      </c>
      <c r="O356" s="119">
        <f t="shared" si="30"/>
        <v>0</v>
      </c>
    </row>
    <row r="357" spans="2:15" ht="15" customHeight="1" x14ac:dyDescent="0.25">
      <c r="B357" s="86" t="s">
        <v>676</v>
      </c>
      <c r="C357" s="87" t="s">
        <v>677</v>
      </c>
      <c r="D357" s="82" t="s">
        <v>269</v>
      </c>
      <c r="E357" s="230">
        <v>10</v>
      </c>
      <c r="F357" s="88">
        <v>7012</v>
      </c>
      <c r="G357" s="89">
        <f t="shared" si="26"/>
        <v>70120</v>
      </c>
      <c r="H357" s="118" t="str">
        <f t="array" ref="H357:K357">_xlfn.XLOOKUP(B357,'ESAP NEIVA FASE II UNIFICADO'!$B$6:$B$720,'ESAP NEIVA FASE II UNIFICADO'!$C$6:$F$720,"NO ESTA")</f>
        <v>SUMINISTRO E INSTALACIÓN CONDUCTOR 6 Cu TEMPLE DURO</v>
      </c>
      <c r="I357" t="str">
        <v xml:space="preserve">ML   </v>
      </c>
      <c r="J357">
        <v>0</v>
      </c>
      <c r="K357">
        <v>7194</v>
      </c>
      <c r="L357">
        <f t="shared" si="27"/>
        <v>1</v>
      </c>
      <c r="M357">
        <f t="shared" si="28"/>
        <v>7012</v>
      </c>
      <c r="N357" s="119">
        <f t="shared" si="29"/>
        <v>10</v>
      </c>
      <c r="O357" s="119">
        <f t="shared" si="30"/>
        <v>70120</v>
      </c>
    </row>
    <row r="358" spans="2:15" ht="25.5" customHeight="1" x14ac:dyDescent="0.25">
      <c r="B358" s="86" t="s">
        <v>678</v>
      </c>
      <c r="C358" s="87" t="s">
        <v>679</v>
      </c>
      <c r="D358" s="82" t="s">
        <v>374</v>
      </c>
      <c r="E358" s="230">
        <v>1</v>
      </c>
      <c r="F358" s="88">
        <v>124386</v>
      </c>
      <c r="G358" s="89">
        <f t="shared" si="26"/>
        <v>124386</v>
      </c>
      <c r="H358" s="118" t="str">
        <f t="array" ref="H358:K358">_xlfn.XLOOKUP(B358,'ESAP NEIVA FASE II UNIFICADO'!$B$6:$B$720,'ESAP NEIVA FASE II UNIFICADO'!$C$6:$F$720,"NO ESTA")</f>
        <v>SUMINISTRO E INSTALACIÓN ELECTRODO DE PUESTA A TIERRA EN VARILLA DE COBRE DE 5/8" X 2.40 M</v>
      </c>
      <c r="I358" t="str">
        <v>UN</v>
      </c>
      <c r="J358">
        <v>0</v>
      </c>
      <c r="K358">
        <v>127634</v>
      </c>
      <c r="L358">
        <f t="shared" si="27"/>
        <v>1</v>
      </c>
      <c r="M358">
        <f t="shared" si="28"/>
        <v>124386</v>
      </c>
      <c r="N358" s="119">
        <f t="shared" si="29"/>
        <v>1</v>
      </c>
      <c r="O358" s="119">
        <f t="shared" si="30"/>
        <v>124386</v>
      </c>
    </row>
    <row r="359" spans="2:15" ht="40.5" customHeight="1" x14ac:dyDescent="0.25">
      <c r="B359" s="86" t="s">
        <v>680</v>
      </c>
      <c r="C359" s="87" t="s">
        <v>681</v>
      </c>
      <c r="D359" s="82" t="s">
        <v>374</v>
      </c>
      <c r="E359" s="230">
        <v>1</v>
      </c>
      <c r="F359" s="88">
        <v>128763</v>
      </c>
      <c r="G359" s="89">
        <f t="shared" si="26"/>
        <v>128763</v>
      </c>
      <c r="H359" s="118" t="str">
        <f t="array" ref="H359:K359">_xlfn.XLOOKUP(B359,'ESAP NEIVA FASE II UNIFICADO'!$B$6:$B$720,'ESAP NEIVA FASE II UNIFICADO'!$C$6:$F$720,"NO ESTA")</f>
        <v>SUMINISTRO E INSTALACIÓN CONEXIÓN TERMOSOLDADA DE VARILLA A CABLE DE COBRE DESNUDO # 6 AWG, INCLUYE SUMINISTRO DE MOLDE, FÚNDENTE Y DEMÁS ACCESORIOS.</v>
      </c>
      <c r="I359" t="str">
        <v>UN</v>
      </c>
      <c r="J359">
        <v>0</v>
      </c>
      <c r="K359">
        <v>132126</v>
      </c>
      <c r="L359">
        <f t="shared" si="27"/>
        <v>1</v>
      </c>
      <c r="M359">
        <f t="shared" si="28"/>
        <v>128763</v>
      </c>
      <c r="N359" s="119">
        <f t="shared" si="29"/>
        <v>1</v>
      </c>
      <c r="O359" s="119">
        <f t="shared" si="30"/>
        <v>128763</v>
      </c>
    </row>
    <row r="360" spans="2:15" ht="43.5" customHeight="1" x14ac:dyDescent="0.25">
      <c r="B360" s="86" t="s">
        <v>682</v>
      </c>
      <c r="C360" s="87" t="s">
        <v>683</v>
      </c>
      <c r="D360" s="82" t="s">
        <v>374</v>
      </c>
      <c r="E360" s="230">
        <v>2</v>
      </c>
      <c r="F360" s="88">
        <v>128763</v>
      </c>
      <c r="G360" s="89">
        <f t="shared" si="26"/>
        <v>257526</v>
      </c>
      <c r="H360" s="118" t="str">
        <f t="array" ref="H360:K360">_xlfn.XLOOKUP(B360,'ESAP NEIVA FASE II UNIFICADO'!$B$6:$B$720,'ESAP NEIVA FASE II UNIFICADO'!$C$6:$F$720,"NO ESTA")</f>
        <v>SUMINISTRO E INSTALACIÓN CONEXIÓN TERMOSOLDADA DE CABLE A CABLE EN “T” DE COBRE DESNUDO # 6 AWG ,INCLUYE SUMINISTRO DE MOLDE, FÚNDENTE Y DEMÁS ACCESORIOS.</v>
      </c>
      <c r="I360" t="str">
        <v>UN</v>
      </c>
      <c r="J360">
        <v>0</v>
      </c>
      <c r="K360">
        <v>132126</v>
      </c>
      <c r="L360">
        <f t="shared" si="27"/>
        <v>1</v>
      </c>
      <c r="M360">
        <f t="shared" si="28"/>
        <v>128763</v>
      </c>
      <c r="N360" s="119">
        <f t="shared" si="29"/>
        <v>2</v>
      </c>
      <c r="O360" s="119">
        <f t="shared" si="30"/>
        <v>257526</v>
      </c>
    </row>
    <row r="361" spans="2:15" ht="79.5" customHeight="1" x14ac:dyDescent="0.25">
      <c r="B361" s="86" t="s">
        <v>684</v>
      </c>
      <c r="C361" s="87" t="s">
        <v>673</v>
      </c>
      <c r="D361" s="82" t="s">
        <v>374</v>
      </c>
      <c r="E361" s="230">
        <v>1</v>
      </c>
      <c r="F361" s="88">
        <v>162630</v>
      </c>
      <c r="G361" s="89">
        <f t="shared" si="26"/>
        <v>162630</v>
      </c>
      <c r="H361" s="118" t="str">
        <f t="array" ref="H361:K361">_xlfn.XLOOKUP(B361,'ESAP NEIVA FASE II UNIFICADO'!$B$6:$B$720,'ESAP NEIVA FASE II UNIFICADO'!$C$6:$F$720,"NO ESTA")</f>
        <v>SUMINISTRO E INSTALACIÓN POZO CONSTRUIDO EN CEFIPLAST CONCRETO PARA ALBERGAR UN ELECTRODO  DE PUESTA A TIERRA EN CU DE 5/8” X 8' COMPUESTO DE TUBO Y TAPA DE INSPECCIÓN. EL TUBO TENDRÁ LAS SIGUIENTES DIMENSIONES : 80 CM. DE ALTO, DIÁMETRO EXTERIOR SUPERIOR E 25 CM., DIÁMETRO EXTERIOR INFERIOR DE 32 CM. LA TAPA TENDRÁ LAS SIGUIENTES DIMENSIONES : 30 CM. DE DIÁMETRO EXTERIOR.</v>
      </c>
      <c r="I361" t="str">
        <v>UN</v>
      </c>
      <c r="J361">
        <v>0</v>
      </c>
      <c r="K361">
        <v>166876</v>
      </c>
      <c r="L361">
        <f t="shared" si="27"/>
        <v>1</v>
      </c>
      <c r="M361">
        <f t="shared" si="28"/>
        <v>162630</v>
      </c>
      <c r="N361" s="119">
        <f t="shared" si="29"/>
        <v>1</v>
      </c>
      <c r="O361" s="119">
        <f t="shared" si="30"/>
        <v>162630</v>
      </c>
    </row>
    <row r="362" spans="2:15" ht="40.5" customHeight="1" x14ac:dyDescent="0.25">
      <c r="B362" s="80" t="s">
        <v>685</v>
      </c>
      <c r="C362" s="81" t="s">
        <v>686</v>
      </c>
      <c r="D362" s="82"/>
      <c r="E362" s="230"/>
      <c r="F362" s="104">
        <v>0</v>
      </c>
      <c r="G362" s="89">
        <f t="shared" si="26"/>
        <v>0</v>
      </c>
      <c r="H362" s="118" t="str">
        <f t="array" ref="H362:K362">_xlfn.XLOOKUP(B362,'ESAP NEIVA FASE II UNIFICADO'!$B$6:$B$720,'ESAP NEIVA FASE II UNIFICADO'!$C$6:$F$720,"NO ESTA")</f>
        <v xml:space="preserve">SUMINISTRO E INSTALACIÓN PUESTA A TIERRA PLANTA GENERADORA (Incluye preparación de tierra con la solución Sanick Gel para obtener una elevada conductividad eléctrica (ver especificaciones técnicas de diseño anexas) </v>
      </c>
      <c r="I362">
        <v>0</v>
      </c>
      <c r="J362">
        <v>0</v>
      </c>
      <c r="K362">
        <v>0</v>
      </c>
      <c r="L362">
        <f t="shared" si="27"/>
        <v>1</v>
      </c>
      <c r="M362">
        <f t="shared" si="28"/>
        <v>0</v>
      </c>
      <c r="N362" s="119">
        <f t="shared" si="29"/>
        <v>0</v>
      </c>
      <c r="O362" s="119">
        <f t="shared" si="30"/>
        <v>0</v>
      </c>
    </row>
    <row r="363" spans="2:15" ht="15" customHeight="1" x14ac:dyDescent="0.25">
      <c r="B363" s="86" t="s">
        <v>687</v>
      </c>
      <c r="C363" s="87" t="s">
        <v>665</v>
      </c>
      <c r="D363" s="82" t="s">
        <v>269</v>
      </c>
      <c r="E363" s="230">
        <v>8</v>
      </c>
      <c r="F363" s="88">
        <v>23788</v>
      </c>
      <c r="G363" s="89">
        <f t="shared" si="26"/>
        <v>190304</v>
      </c>
      <c r="H363" s="118" t="str">
        <f t="array" ref="H363:K363">_xlfn.XLOOKUP(B363,'ESAP NEIVA FASE II UNIFICADO'!$B$6:$B$720,'ESAP NEIVA FASE II UNIFICADO'!$C$6:$F$720,"NO ESTA")</f>
        <v>SUMINISTRO E INSTALACIÓN CONDUCTOR 2/0 Cu. TEMPLE DURO</v>
      </c>
      <c r="I363" t="str">
        <v xml:space="preserve">ML   </v>
      </c>
      <c r="J363">
        <v>0</v>
      </c>
      <c r="K363">
        <v>24409</v>
      </c>
      <c r="L363">
        <f t="shared" si="27"/>
        <v>1</v>
      </c>
      <c r="M363">
        <f t="shared" si="28"/>
        <v>23788</v>
      </c>
      <c r="N363" s="119">
        <f t="shared" si="29"/>
        <v>8</v>
      </c>
      <c r="O363" s="119">
        <f t="shared" si="30"/>
        <v>190304</v>
      </c>
    </row>
    <row r="364" spans="2:15" ht="68.25" customHeight="1" x14ac:dyDescent="0.25">
      <c r="B364" s="86" t="s">
        <v>688</v>
      </c>
      <c r="C364" s="87" t="s">
        <v>689</v>
      </c>
      <c r="D364" s="82" t="s">
        <v>374</v>
      </c>
      <c r="E364" s="230">
        <v>1</v>
      </c>
      <c r="F364" s="88">
        <v>689792</v>
      </c>
      <c r="G364" s="89">
        <f t="shared" si="26"/>
        <v>689792</v>
      </c>
      <c r="H364" s="118" t="str">
        <f t="array" ref="H364:K364">_xlfn.XLOOKUP(B364,'ESAP NEIVA FASE II UNIFICADO'!$B$6:$B$720,'ESAP NEIVA FASE II UNIFICADO'!$C$6:$F$720,"NO ESTA")</f>
        <v>SUMINISTRO E INSTALACIÓN DE UNA VÍA DE CHISPAS DE SEPARACIÓN PARA INTERCONECTAR LA PUESTA A TIERRA DE PARARRAYOS Y LA PUESTA A TIERRA DEL SISTEMA ELÉCTRICO, DE LAS SIGUIENTES CARACTERÍSTICAS:  TENSIÓN ALTERNA DE RESPUESTA: 2.5 KV, TENSIÓN DE RESPUESTA A CHOQUE DE RAYO: 5.0 KV, INTENSIDAD NOMINAL DE DESCARGA: 100 KA</v>
      </c>
      <c r="I364" t="str">
        <v>UN</v>
      </c>
      <c r="J364">
        <v>0</v>
      </c>
      <c r="K364">
        <v>707808</v>
      </c>
      <c r="L364">
        <f t="shared" si="27"/>
        <v>1</v>
      </c>
      <c r="M364">
        <f t="shared" si="28"/>
        <v>689792</v>
      </c>
      <c r="N364" s="119">
        <f t="shared" si="29"/>
        <v>1</v>
      </c>
      <c r="O364" s="119">
        <f t="shared" si="30"/>
        <v>689792</v>
      </c>
    </row>
    <row r="365" spans="2:15" ht="34.5" customHeight="1" x14ac:dyDescent="0.25">
      <c r="B365" s="80" t="s">
        <v>690</v>
      </c>
      <c r="C365" s="81" t="s">
        <v>691</v>
      </c>
      <c r="D365" s="82"/>
      <c r="E365" s="230"/>
      <c r="F365" s="104">
        <v>0</v>
      </c>
      <c r="G365" s="89">
        <f t="shared" si="26"/>
        <v>0</v>
      </c>
      <c r="H365" s="118" t="str">
        <f t="array" ref="H365:K365">_xlfn.XLOOKUP(B365,'ESAP NEIVA FASE II UNIFICADO'!$B$6:$B$720,'ESAP NEIVA FASE II UNIFICADO'!$C$6:$F$720,"NO ESTA")</f>
        <v>SISTEMA DE PROTECCIÓN EXTERNA CONTRA DESCARGAS ATMOSFÉRICAS BAJANTES DE PARARRAYOS DESDE CUBIERTA A TERRENO</v>
      </c>
      <c r="I365">
        <v>0</v>
      </c>
      <c r="J365">
        <v>0</v>
      </c>
      <c r="K365">
        <v>0</v>
      </c>
      <c r="L365">
        <f t="shared" si="27"/>
        <v>1</v>
      </c>
      <c r="M365">
        <f t="shared" si="28"/>
        <v>0</v>
      </c>
      <c r="N365" s="119">
        <f t="shared" si="29"/>
        <v>0</v>
      </c>
      <c r="O365" s="119">
        <f t="shared" si="30"/>
        <v>0</v>
      </c>
    </row>
    <row r="366" spans="2:15" ht="30" customHeight="1" x14ac:dyDescent="0.25">
      <c r="B366" s="86" t="s">
        <v>692</v>
      </c>
      <c r="C366" s="87" t="s">
        <v>693</v>
      </c>
      <c r="D366" s="82" t="s">
        <v>269</v>
      </c>
      <c r="E366" s="230">
        <v>65</v>
      </c>
      <c r="F366" s="88">
        <v>4633</v>
      </c>
      <c r="G366" s="89">
        <f t="shared" si="26"/>
        <v>301145</v>
      </c>
      <c r="H366" s="118" t="str">
        <f t="array" ref="H366:K366">_xlfn.XLOOKUP(B366,'ESAP NEIVA FASE II UNIFICADO'!$B$6:$B$720,'ESAP NEIVA FASE II UNIFICADO'!$C$6:$F$720,"NO ESTA")</f>
        <v>SUMINISTRO E INSTALACIÓN TENDIDO DE TUBERÍA Ø 3/4” PVC EMBEBIDO EN LAS COLUMNAS DE CONCRETO, DESDE LA CUBIERTA HASTA EL TERRENO.</v>
      </c>
      <c r="I366" t="str">
        <v xml:space="preserve">ML   </v>
      </c>
      <c r="J366">
        <v>0</v>
      </c>
      <c r="K366">
        <v>4755</v>
      </c>
      <c r="L366">
        <f t="shared" si="27"/>
        <v>1</v>
      </c>
      <c r="M366">
        <f t="shared" si="28"/>
        <v>4633</v>
      </c>
      <c r="N366" s="119">
        <f t="shared" si="29"/>
        <v>65</v>
      </c>
      <c r="O366" s="119">
        <f t="shared" si="30"/>
        <v>301145</v>
      </c>
    </row>
    <row r="367" spans="2:15" ht="30" customHeight="1" x14ac:dyDescent="0.25">
      <c r="B367" s="86" t="s">
        <v>694</v>
      </c>
      <c r="C367" s="87" t="s">
        <v>695</v>
      </c>
      <c r="D367" s="82" t="s">
        <v>269</v>
      </c>
      <c r="E367" s="230">
        <v>69</v>
      </c>
      <c r="F367" s="88">
        <v>14398</v>
      </c>
      <c r="G367" s="89">
        <f t="shared" si="26"/>
        <v>993462</v>
      </c>
      <c r="H367" s="118" t="str">
        <f t="array" ref="H367:K367">_xlfn.XLOOKUP(B367,'ESAP NEIVA FASE II UNIFICADO'!$B$6:$B$720,'ESAP NEIVA FASE II UNIFICADO'!$C$6:$F$720,"NO ESTA")</f>
        <v>SUMINISTRO E INSTALACIÓN TENDIDO DE CONDUCTOR DE COBRE DESNUDO # 2 AWG, DESDE LA CUBIERTA HASTA EL TERRENO POR LAS BAJANTES.</v>
      </c>
      <c r="I367" t="str">
        <v xml:space="preserve">ML   </v>
      </c>
      <c r="J367">
        <v>0</v>
      </c>
      <c r="K367">
        <v>14774</v>
      </c>
      <c r="L367">
        <f t="shared" si="27"/>
        <v>1</v>
      </c>
      <c r="M367">
        <f t="shared" si="28"/>
        <v>14398</v>
      </c>
      <c r="N367" s="119">
        <f t="shared" si="29"/>
        <v>69</v>
      </c>
      <c r="O367" s="119">
        <f t="shared" si="30"/>
        <v>993462</v>
      </c>
    </row>
    <row r="368" spans="2:15" ht="45" customHeight="1" x14ac:dyDescent="0.25">
      <c r="B368" s="86" t="s">
        <v>696</v>
      </c>
      <c r="C368" s="87" t="s">
        <v>697</v>
      </c>
      <c r="D368" s="82" t="s">
        <v>269</v>
      </c>
      <c r="E368" s="230">
        <v>244</v>
      </c>
      <c r="F368" s="88">
        <v>5259</v>
      </c>
      <c r="G368" s="89">
        <f t="shared" si="26"/>
        <v>1283196</v>
      </c>
      <c r="H368" s="118" t="str">
        <f t="array" ref="H368:K368">_xlfn.XLOOKUP(B368,'ESAP NEIVA FASE II UNIFICADO'!$B$6:$B$720,'ESAP NEIVA FASE II UNIFICADO'!$C$6:$F$720,"NO ESTA")</f>
        <v>SUMINISTRO E INSTALACIÓN TENDIDO DE ALAMBRON 8MM SOBREPUESTO EN LOS BORDES DE LA CUBIERTA PARA INTERCONEXIÓN DE PUNTAS CAPTADORAS Y BAJANTES A MALLA A TIERRA.</v>
      </c>
      <c r="I368" t="str">
        <v xml:space="preserve">ML   </v>
      </c>
      <c r="J368">
        <v>0</v>
      </c>
      <c r="K368">
        <v>5396</v>
      </c>
      <c r="L368">
        <f t="shared" si="27"/>
        <v>1</v>
      </c>
      <c r="M368">
        <f t="shared" si="28"/>
        <v>5259</v>
      </c>
      <c r="N368" s="119">
        <f t="shared" si="29"/>
        <v>244</v>
      </c>
      <c r="O368" s="119">
        <f t="shared" si="30"/>
        <v>1283196</v>
      </c>
    </row>
    <row r="369" spans="2:15" ht="45" customHeight="1" x14ac:dyDescent="0.25">
      <c r="B369" s="86" t="s">
        <v>698</v>
      </c>
      <c r="C369" s="87" t="s">
        <v>699</v>
      </c>
      <c r="D369" s="82" t="s">
        <v>269</v>
      </c>
      <c r="E369" s="230">
        <v>190</v>
      </c>
      <c r="F369" s="88">
        <v>14398</v>
      </c>
      <c r="G369" s="89">
        <f t="shared" si="26"/>
        <v>2735620</v>
      </c>
      <c r="H369" s="118" t="str">
        <f t="array" ref="H369:K369">_xlfn.XLOOKUP(B369,'ESAP NEIVA FASE II UNIFICADO'!$B$6:$B$720,'ESAP NEIVA FASE II UNIFICADO'!$C$6:$F$720,"NO ESTA")</f>
        <v>SUMINISTRO E INSTALACIÓN TENDIDO DE ALAMBRE SÓLIDO DE COBRE ESTAÑADO # 2 AWG  DESNUDO SUBTERRÁNEO DESDE BAJANTES, INTERCONECTANDO CON MALLA DE TIERRA DE SUBESTACION.</v>
      </c>
      <c r="I369" t="str">
        <v xml:space="preserve">ML   </v>
      </c>
      <c r="J369">
        <v>0</v>
      </c>
      <c r="K369">
        <v>14774</v>
      </c>
      <c r="L369">
        <f t="shared" si="27"/>
        <v>1</v>
      </c>
      <c r="M369">
        <f t="shared" si="28"/>
        <v>14398</v>
      </c>
      <c r="N369" s="119">
        <f t="shared" si="29"/>
        <v>190</v>
      </c>
      <c r="O369" s="119">
        <f t="shared" si="30"/>
        <v>2735620</v>
      </c>
    </row>
    <row r="370" spans="2:15" ht="68.25" customHeight="1" x14ac:dyDescent="0.25">
      <c r="B370" s="86" t="s">
        <v>700</v>
      </c>
      <c r="C370" s="87" t="s">
        <v>701</v>
      </c>
      <c r="D370" s="82" t="s">
        <v>374</v>
      </c>
      <c r="E370" s="230">
        <v>14</v>
      </c>
      <c r="F370" s="88">
        <v>208455</v>
      </c>
      <c r="G370" s="89">
        <f t="shared" si="26"/>
        <v>2918370</v>
      </c>
      <c r="H370" s="118" t="str">
        <f t="array" ref="H370:K370">_xlfn.XLOOKUP(B370,'ESAP NEIVA FASE II UNIFICADO'!$B$6:$B$720,'ESAP NEIVA FASE II UNIFICADO'!$C$6:$F$720,"NO ESTA")</f>
        <v>SUMINISTRO E INSTALACIÓN DE UN KIT DE MONTAJE PARA PUNTA CAPTADORA COMPUESTO DE LOS SIGUIENTES ELEMENTOS: BASE EN BRONCE CON TORNILLOS DE FIJACIÓN A LA SUPERFICIE DE CONCRETO. PUNTA CAPTADORA FRANKLIN DE 0.60 M. DE ALTURA. EN ACERO INOXIDABLE DE Ø 3/8 “ TIPO 1. ABRAZADERA PARA FIJACIÓN DE CABLE</v>
      </c>
      <c r="I370" t="str">
        <v>UN</v>
      </c>
      <c r="J370">
        <v>0</v>
      </c>
      <c r="K370">
        <v>213900</v>
      </c>
      <c r="L370">
        <f t="shared" si="27"/>
        <v>1</v>
      </c>
      <c r="M370">
        <f t="shared" si="28"/>
        <v>208455</v>
      </c>
      <c r="N370" s="119">
        <f t="shared" si="29"/>
        <v>14</v>
      </c>
      <c r="O370" s="119">
        <f t="shared" si="30"/>
        <v>2918370</v>
      </c>
    </row>
    <row r="371" spans="2:15" ht="35.25" customHeight="1" x14ac:dyDescent="0.25">
      <c r="B371" s="86" t="s">
        <v>702</v>
      </c>
      <c r="C371" s="87" t="s">
        <v>703</v>
      </c>
      <c r="D371" s="82" t="s">
        <v>374</v>
      </c>
      <c r="E371" s="230">
        <v>86</v>
      </c>
      <c r="F371" s="88">
        <v>20574</v>
      </c>
      <c r="G371" s="89">
        <f t="shared" si="26"/>
        <v>1769364</v>
      </c>
      <c r="H371" s="118" t="str">
        <f t="array" ref="H371:K371">_xlfn.XLOOKUP(B371,'ESAP NEIVA FASE II UNIFICADO'!$B$6:$B$720,'ESAP NEIVA FASE II UNIFICADO'!$C$6:$F$720,"NO ESTA")</f>
        <v>SUMINISTRO E INSTALACIÓN ABRAZADERAS DE BRONCE PARA SOPORTAR EL CABLE AL MURO DE CONCRETO APROBADAS PARA INTEMPERIE.</v>
      </c>
      <c r="I371" t="str">
        <v>UN</v>
      </c>
      <c r="J371">
        <v>0</v>
      </c>
      <c r="K371">
        <v>21111</v>
      </c>
      <c r="L371">
        <f t="shared" si="27"/>
        <v>1</v>
      </c>
      <c r="M371">
        <f t="shared" si="28"/>
        <v>20574</v>
      </c>
      <c r="N371" s="119">
        <f t="shared" si="29"/>
        <v>86</v>
      </c>
      <c r="O371" s="119">
        <f t="shared" si="30"/>
        <v>1769364</v>
      </c>
    </row>
    <row r="372" spans="2:15" ht="35.25" customHeight="1" x14ac:dyDescent="0.25">
      <c r="B372" s="86" t="s">
        <v>704</v>
      </c>
      <c r="C372" s="87" t="s">
        <v>705</v>
      </c>
      <c r="D372" s="82" t="s">
        <v>374</v>
      </c>
      <c r="E372" s="230">
        <v>4</v>
      </c>
      <c r="F372" s="88">
        <v>25530</v>
      </c>
      <c r="G372" s="89">
        <f t="shared" si="26"/>
        <v>102120</v>
      </c>
      <c r="H372" s="118" t="str">
        <f t="array" ref="H372:K372">_xlfn.XLOOKUP(B372,'ESAP NEIVA FASE II UNIFICADO'!$B$6:$B$720,'ESAP NEIVA FASE II UNIFICADO'!$C$6:$F$720,"NO ESTA")</f>
        <v>SUMINISTRO E INSTALACIÓN GRAPA DERIVACIÓN EN T DE BRONCE PARA SOPORTAR EL CABLE AL MURO DE CONCRETO APROBADAS PARA INTEMPERIE.</v>
      </c>
      <c r="I372" t="str">
        <v>UN</v>
      </c>
      <c r="J372">
        <v>0</v>
      </c>
      <c r="K372">
        <v>26196</v>
      </c>
      <c r="L372">
        <f t="shared" si="27"/>
        <v>1</v>
      </c>
      <c r="M372">
        <f t="shared" si="28"/>
        <v>25530</v>
      </c>
      <c r="N372" s="119">
        <f t="shared" si="29"/>
        <v>4</v>
      </c>
      <c r="O372" s="119">
        <f t="shared" si="30"/>
        <v>102120</v>
      </c>
    </row>
    <row r="373" spans="2:15" ht="35.25" customHeight="1" x14ac:dyDescent="0.25">
      <c r="B373" s="86" t="s">
        <v>706</v>
      </c>
      <c r="C373" s="87" t="s">
        <v>707</v>
      </c>
      <c r="D373" s="82" t="s">
        <v>374</v>
      </c>
      <c r="E373" s="230">
        <v>4</v>
      </c>
      <c r="F373" s="88">
        <v>209505</v>
      </c>
      <c r="G373" s="89">
        <f t="shared" si="26"/>
        <v>838020</v>
      </c>
      <c r="H373" s="118" t="str">
        <f t="array" ref="H373:K373">_xlfn.XLOOKUP(B373,'ESAP NEIVA FASE II UNIFICADO'!$B$6:$B$720,'ESAP NEIVA FASE II UNIFICADO'!$C$6:$F$720,"NO ESTA")</f>
        <v>SUMINISTRO E INSTALACIÓN ELECTRODO DE PUESTA A TIERRA EN CU DE 5/8"X 8' + CONECTOR</v>
      </c>
      <c r="I373" t="str">
        <v>UN</v>
      </c>
      <c r="J373">
        <v>0</v>
      </c>
      <c r="K373">
        <v>214977</v>
      </c>
      <c r="L373">
        <f t="shared" si="27"/>
        <v>1</v>
      </c>
      <c r="M373">
        <f t="shared" si="28"/>
        <v>209505</v>
      </c>
      <c r="N373" s="119">
        <f t="shared" si="29"/>
        <v>4</v>
      </c>
      <c r="O373" s="119">
        <f t="shared" si="30"/>
        <v>838020</v>
      </c>
    </row>
    <row r="374" spans="2:15" ht="35.25" customHeight="1" x14ac:dyDescent="0.25">
      <c r="B374" s="86" t="s">
        <v>708</v>
      </c>
      <c r="C374" s="87" t="s">
        <v>709</v>
      </c>
      <c r="D374" s="82" t="s">
        <v>374</v>
      </c>
      <c r="E374" s="230">
        <v>4</v>
      </c>
      <c r="F374" s="88">
        <v>128763</v>
      </c>
      <c r="G374" s="89">
        <f t="shared" si="26"/>
        <v>515052</v>
      </c>
      <c r="H374" s="118" t="str">
        <f t="array" ref="H374:K374">_xlfn.XLOOKUP(B374,'ESAP NEIVA FASE II UNIFICADO'!$B$6:$B$720,'ESAP NEIVA FASE II UNIFICADO'!$C$6:$F$720,"NO ESTA")</f>
        <v>SUMINISTRO E INSTALACIÓN CONEXIÓN EXOTÉRMICA VARILLA-CABLE CALIBRE #2 AWG. INCLUYE SUMINISTRO DE MOLDE FÚNDENTE Y DEMÁS ACCESORIOS.</v>
      </c>
      <c r="I374" t="str">
        <v>UN</v>
      </c>
      <c r="J374">
        <v>0</v>
      </c>
      <c r="K374">
        <v>132126</v>
      </c>
      <c r="L374">
        <f t="shared" si="27"/>
        <v>1</v>
      </c>
      <c r="M374">
        <f t="shared" si="28"/>
        <v>128763</v>
      </c>
      <c r="N374" s="119">
        <f t="shared" si="29"/>
        <v>4</v>
      </c>
      <c r="O374" s="119">
        <f t="shared" si="30"/>
        <v>515052</v>
      </c>
    </row>
    <row r="375" spans="2:15" ht="44.25" customHeight="1" x14ac:dyDescent="0.25">
      <c r="B375" s="86" t="s">
        <v>710</v>
      </c>
      <c r="C375" s="87" t="s">
        <v>711</v>
      </c>
      <c r="D375" s="82" t="s">
        <v>374</v>
      </c>
      <c r="E375" s="230">
        <v>4</v>
      </c>
      <c r="F375" s="88">
        <v>256047</v>
      </c>
      <c r="G375" s="89">
        <f t="shared" si="26"/>
        <v>1024188</v>
      </c>
      <c r="H375" s="118" t="str">
        <f t="array" ref="H375:K375">_xlfn.XLOOKUP(B375,'ESAP NEIVA FASE II UNIFICADO'!$B$6:$B$720,'ESAP NEIVA FASE II UNIFICADO'!$C$6:$F$720,"NO ESTA")</f>
        <v>SUMINISTRO E INSTALACIÓN CAJA DE 30 CM X 30 CM, COMPUESTA DE TAPA DE INSPECCIÓN EN CONCRETO DE 2500 PSI Y MANIJA, PARA ALBERGAR UN ELECTRODO  DE PUESTA A TIERRA EN CU DE 5/8” X 8' .</v>
      </c>
      <c r="I375" t="str">
        <v>UN</v>
      </c>
      <c r="J375">
        <v>0</v>
      </c>
      <c r="K375">
        <v>262735</v>
      </c>
      <c r="L375">
        <f t="shared" si="27"/>
        <v>1</v>
      </c>
      <c r="M375">
        <f t="shared" si="28"/>
        <v>256047</v>
      </c>
      <c r="N375" s="119">
        <f t="shared" si="29"/>
        <v>4</v>
      </c>
      <c r="O375" s="119">
        <f t="shared" si="30"/>
        <v>1024188</v>
      </c>
    </row>
    <row r="376" spans="2:15" ht="15" customHeight="1" x14ac:dyDescent="0.25">
      <c r="B376" s="74">
        <v>16</v>
      </c>
      <c r="C376" s="75" t="s">
        <v>712</v>
      </c>
      <c r="D376" s="76"/>
      <c r="E376" s="229"/>
      <c r="F376" s="78">
        <v>0</v>
      </c>
      <c r="G376" s="89">
        <f t="shared" si="26"/>
        <v>0</v>
      </c>
      <c r="H376" s="118" t="str">
        <f t="array" ref="H376:K376">_xlfn.XLOOKUP(B376,'ESAP NEIVA FASE II UNIFICADO'!$B$6:$B$720,'ESAP NEIVA FASE II UNIFICADO'!$C$6:$F$720,"NO ESTA")</f>
        <v>LUMINARIAS Y LAMPARAS</v>
      </c>
      <c r="I376">
        <v>0</v>
      </c>
      <c r="J376">
        <v>0</v>
      </c>
      <c r="K376">
        <v>0</v>
      </c>
      <c r="L376">
        <f t="shared" si="27"/>
        <v>1</v>
      </c>
      <c r="M376">
        <f t="shared" si="28"/>
        <v>0</v>
      </c>
      <c r="N376" s="119">
        <f t="shared" si="29"/>
        <v>0</v>
      </c>
      <c r="O376" s="119">
        <f t="shared" si="30"/>
        <v>0</v>
      </c>
    </row>
    <row r="377" spans="2:15" ht="15" customHeight="1" x14ac:dyDescent="0.25">
      <c r="B377" s="80" t="s">
        <v>713</v>
      </c>
      <c r="C377" s="81" t="s">
        <v>714</v>
      </c>
      <c r="D377" s="82"/>
      <c r="E377" s="230"/>
      <c r="F377" s="90">
        <v>0</v>
      </c>
      <c r="G377" s="89">
        <f t="shared" si="26"/>
        <v>0</v>
      </c>
      <c r="H377" s="118" t="str">
        <f t="array" ref="H377:K377">_xlfn.XLOOKUP(B377,'ESAP NEIVA FASE II UNIFICADO'!$B$6:$B$720,'ESAP NEIVA FASE II UNIFICADO'!$C$6:$F$720,"NO ESTA")</f>
        <v xml:space="preserve">SUMINISTRO E INSTALACIÓN DE LÁMPARAS FLUORESCENTES </v>
      </c>
      <c r="I377">
        <v>0</v>
      </c>
      <c r="J377">
        <v>0</v>
      </c>
      <c r="K377">
        <v>0</v>
      </c>
      <c r="L377">
        <f t="shared" si="27"/>
        <v>1</v>
      </c>
      <c r="M377">
        <f t="shared" si="28"/>
        <v>0</v>
      </c>
      <c r="N377" s="119">
        <f t="shared" si="29"/>
        <v>0</v>
      </c>
      <c r="O377" s="119">
        <f t="shared" si="30"/>
        <v>0</v>
      </c>
    </row>
    <row r="378" spans="2:15" ht="15" customHeight="1" x14ac:dyDescent="0.25">
      <c r="B378" s="86" t="s">
        <v>715</v>
      </c>
      <c r="C378" s="87" t="s">
        <v>716</v>
      </c>
      <c r="D378" s="82" t="s">
        <v>374</v>
      </c>
      <c r="E378" s="230">
        <v>57</v>
      </c>
      <c r="F378" s="88">
        <v>132419</v>
      </c>
      <c r="G378" s="89">
        <f t="shared" si="26"/>
        <v>7547883</v>
      </c>
      <c r="H378" s="118" t="str">
        <f t="array" ref="H378:K378">_xlfn.XLOOKUP(B378,'ESAP NEIVA FASE II UNIFICADO'!$B$6:$B$720,'ESAP NEIVA FASE II UNIFICADO'!$C$6:$F$720,"NO ESTA")</f>
        <v>SUMINISTRO E INSTALACIÓN LÁMPARA LED 1x28 W</v>
      </c>
      <c r="I378" t="str">
        <v>UN</v>
      </c>
      <c r="J378">
        <v>153</v>
      </c>
      <c r="K378">
        <v>97894</v>
      </c>
      <c r="L378">
        <f t="shared" si="27"/>
        <v>0</v>
      </c>
      <c r="M378">
        <f t="shared" si="28"/>
        <v>0</v>
      </c>
      <c r="N378" s="119">
        <f t="shared" si="29"/>
        <v>57</v>
      </c>
      <c r="O378" s="119">
        <f t="shared" si="30"/>
        <v>0</v>
      </c>
    </row>
    <row r="379" spans="2:15" ht="15" customHeight="1" x14ac:dyDescent="0.25">
      <c r="B379" s="86" t="s">
        <v>717</v>
      </c>
      <c r="C379" s="87" t="s">
        <v>718</v>
      </c>
      <c r="D379" s="82" t="s">
        <v>374</v>
      </c>
      <c r="E379" s="230">
        <v>30</v>
      </c>
      <c r="F379" s="88">
        <v>214137</v>
      </c>
      <c r="G379" s="89">
        <f t="shared" si="26"/>
        <v>6424110</v>
      </c>
      <c r="H379" s="118" t="str">
        <f t="array" ref="H379:K379">_xlfn.XLOOKUP(B379,'ESAP NEIVA FASE II UNIFICADO'!$B$6:$B$720,'ESAP NEIVA FASE II UNIFICADO'!$C$6:$F$720,"NO ESTA")</f>
        <v>SUMINISTRO E INSTALACIÓN LÁMPARA LED 2x54 W</v>
      </c>
      <c r="I379" t="str">
        <v>UN</v>
      </c>
      <c r="J379">
        <v>82</v>
      </c>
      <c r="K379">
        <v>178068</v>
      </c>
      <c r="L379">
        <f t="shared" si="27"/>
        <v>0</v>
      </c>
      <c r="M379">
        <f t="shared" si="28"/>
        <v>0</v>
      </c>
      <c r="N379" s="119">
        <f t="shared" si="29"/>
        <v>30</v>
      </c>
      <c r="O379" s="119">
        <f t="shared" si="30"/>
        <v>0</v>
      </c>
    </row>
    <row r="380" spans="2:15" ht="15" customHeight="1" x14ac:dyDescent="0.25">
      <c r="B380" s="86" t="s">
        <v>719</v>
      </c>
      <c r="C380" s="87" t="s">
        <v>720</v>
      </c>
      <c r="D380" s="82" t="s">
        <v>374</v>
      </c>
      <c r="E380" s="230">
        <v>45</v>
      </c>
      <c r="F380" s="88">
        <v>186084</v>
      </c>
      <c r="G380" s="89">
        <f t="shared" si="26"/>
        <v>8373780</v>
      </c>
      <c r="H380" s="118" t="str">
        <f t="array" ref="H380:K380">_xlfn.XLOOKUP(B380,'ESAP NEIVA FASE II UNIFICADO'!$B$6:$B$720,'ESAP NEIVA FASE II UNIFICADO'!$C$6:$F$720,"NO ESTA")</f>
        <v>SUMINISTRO E INSTALACIÓN BALA LED 35W 120 V</v>
      </c>
      <c r="I380" t="str">
        <v>UN</v>
      </c>
      <c r="J380">
        <v>121</v>
      </c>
      <c r="K380">
        <v>190945</v>
      </c>
      <c r="L380">
        <f t="shared" si="27"/>
        <v>0</v>
      </c>
      <c r="M380">
        <f t="shared" si="28"/>
        <v>0</v>
      </c>
      <c r="N380" s="119">
        <f t="shared" si="29"/>
        <v>45</v>
      </c>
      <c r="O380" s="119">
        <f t="shared" si="30"/>
        <v>0</v>
      </c>
    </row>
    <row r="381" spans="2:15" ht="15" customHeight="1" x14ac:dyDescent="0.25">
      <c r="B381" s="86" t="s">
        <v>721</v>
      </c>
      <c r="C381" s="87" t="s">
        <v>722</v>
      </c>
      <c r="D381" s="82" t="s">
        <v>374</v>
      </c>
      <c r="E381" s="230">
        <v>19</v>
      </c>
      <c r="F381" s="88">
        <v>137257</v>
      </c>
      <c r="G381" s="89">
        <f t="shared" si="26"/>
        <v>2607883</v>
      </c>
      <c r="H381" s="118" t="str">
        <f t="array" ref="H381:K381">_xlfn.XLOOKUP(B381,'ESAP NEIVA FASE II UNIFICADO'!$B$6:$B$720,'ESAP NEIVA FASE II UNIFICADO'!$C$6:$F$720,"NO ESTA")</f>
        <v>SUMINISTRO E INSTALACIÓN BALA RECESADA LED 10W 120 V</v>
      </c>
      <c r="I381" t="str">
        <v>UN</v>
      </c>
      <c r="J381">
        <v>50</v>
      </c>
      <c r="K381">
        <v>140842</v>
      </c>
      <c r="L381">
        <f t="shared" si="27"/>
        <v>0</v>
      </c>
      <c r="M381">
        <f t="shared" si="28"/>
        <v>0</v>
      </c>
      <c r="N381" s="119">
        <f t="shared" si="29"/>
        <v>19</v>
      </c>
      <c r="O381" s="119">
        <f t="shared" si="30"/>
        <v>0</v>
      </c>
    </row>
    <row r="382" spans="2:15" ht="15" customHeight="1" x14ac:dyDescent="0.25">
      <c r="B382" s="86" t="s">
        <v>723</v>
      </c>
      <c r="C382" s="87" t="s">
        <v>724</v>
      </c>
      <c r="D382" s="82" t="s">
        <v>374</v>
      </c>
      <c r="E382" s="230">
        <v>68</v>
      </c>
      <c r="F382" s="88">
        <v>221141</v>
      </c>
      <c r="G382" s="89">
        <f t="shared" si="26"/>
        <v>15037588</v>
      </c>
      <c r="H382" s="118" t="str">
        <f t="array" ref="H382:K382">_xlfn.XLOOKUP(B382,'ESAP NEIVA FASE II UNIFICADO'!$B$6:$B$720,'ESAP NEIVA FASE II UNIFICADO'!$C$6:$F$720,"NO ESTA")</f>
        <v>SUMINISTRO E INSTALACIÓN LUMINARIA LED 2x26W 120V</v>
      </c>
      <c r="I382" t="str">
        <v>UN</v>
      </c>
      <c r="J382">
        <v>184</v>
      </c>
      <c r="K382">
        <v>226917</v>
      </c>
      <c r="L382">
        <f t="shared" si="27"/>
        <v>0</v>
      </c>
      <c r="M382">
        <f t="shared" si="28"/>
        <v>0</v>
      </c>
      <c r="N382" s="119">
        <f t="shared" si="29"/>
        <v>68</v>
      </c>
      <c r="O382" s="119">
        <f t="shared" si="30"/>
        <v>0</v>
      </c>
    </row>
    <row r="383" spans="2:15" ht="15" customHeight="1" x14ac:dyDescent="0.25">
      <c r="B383" s="86" t="s">
        <v>725</v>
      </c>
      <c r="C383" s="87" t="s">
        <v>726</v>
      </c>
      <c r="D383" s="82" t="s">
        <v>374</v>
      </c>
      <c r="E383" s="230">
        <v>2</v>
      </c>
      <c r="F383" s="88">
        <v>263680</v>
      </c>
      <c r="G383" s="89">
        <f t="shared" si="26"/>
        <v>527360</v>
      </c>
      <c r="H383" s="118" t="str">
        <f t="array" ref="H383:K383">_xlfn.XLOOKUP(B383,'ESAP NEIVA FASE II UNIFICADO'!$B$6:$B$720,'ESAP NEIVA FASE II UNIFICADO'!$C$6:$F$720,"NO ESTA")</f>
        <v>SUMINISTRO E INSTALACIÓN REFLECTOR DE LUZ INDIRECTA</v>
      </c>
      <c r="I383" t="str">
        <v>UN</v>
      </c>
      <c r="J383">
        <v>6</v>
      </c>
      <c r="K383">
        <v>270567</v>
      </c>
      <c r="L383">
        <f t="shared" si="27"/>
        <v>0</v>
      </c>
      <c r="M383">
        <f t="shared" si="28"/>
        <v>0</v>
      </c>
      <c r="N383" s="119">
        <f t="shared" si="29"/>
        <v>2</v>
      </c>
      <c r="O383" s="119">
        <f t="shared" si="30"/>
        <v>0</v>
      </c>
    </row>
    <row r="384" spans="2:15" ht="15" customHeight="1" x14ac:dyDescent="0.25">
      <c r="B384" s="86" t="s">
        <v>727</v>
      </c>
      <c r="C384" s="87" t="s">
        <v>728</v>
      </c>
      <c r="D384" s="82" t="s">
        <v>374</v>
      </c>
      <c r="E384" s="230">
        <v>2</v>
      </c>
      <c r="F384" s="88">
        <v>194820</v>
      </c>
      <c r="G384" s="89">
        <f t="shared" si="26"/>
        <v>389640</v>
      </c>
      <c r="H384" s="118" t="str">
        <f t="array" ref="H384:K384">_xlfn.XLOOKUP(B384,'ESAP NEIVA FASE II UNIFICADO'!$B$6:$B$720,'ESAP NEIVA FASE II UNIFICADO'!$C$6:$F$720,"NO ESTA")</f>
        <v>SUMINISTRO E INSTALACIÓN APLIQUE DE ESCALERA 1000W 120V</v>
      </c>
      <c r="I384" t="str">
        <v>UN</v>
      </c>
      <c r="J384">
        <v>6</v>
      </c>
      <c r="K384">
        <v>199908</v>
      </c>
      <c r="L384">
        <f t="shared" si="27"/>
        <v>0</v>
      </c>
      <c r="M384">
        <f t="shared" si="28"/>
        <v>0</v>
      </c>
      <c r="N384" s="119">
        <f t="shared" si="29"/>
        <v>2</v>
      </c>
      <c r="O384" s="119">
        <f t="shared" si="30"/>
        <v>0</v>
      </c>
    </row>
    <row r="385" spans="2:15" ht="15" customHeight="1" x14ac:dyDescent="0.25">
      <c r="B385" s="86" t="s">
        <v>729</v>
      </c>
      <c r="C385" s="87" t="s">
        <v>730</v>
      </c>
      <c r="D385" s="82" t="s">
        <v>374</v>
      </c>
      <c r="E385" s="230">
        <v>25</v>
      </c>
      <c r="F385" s="88">
        <v>94659</v>
      </c>
      <c r="G385" s="89">
        <f t="shared" si="26"/>
        <v>2366475</v>
      </c>
      <c r="H385" s="118" t="str">
        <f t="array" ref="H385:K385">_xlfn.XLOOKUP(B385,'ESAP NEIVA FASE II UNIFICADO'!$B$6:$B$720,'ESAP NEIVA FASE II UNIFICADO'!$C$6:$F$720,"NO ESTA")</f>
        <v>SUMINISTRO E INSTALACIÓN BALAS LED DE PISO 3W 120V</v>
      </c>
      <c r="I385" t="str">
        <v>UN</v>
      </c>
      <c r="J385">
        <v>67</v>
      </c>
      <c r="K385">
        <v>97132</v>
      </c>
      <c r="L385">
        <f t="shared" si="27"/>
        <v>0</v>
      </c>
      <c r="M385">
        <f t="shared" si="28"/>
        <v>0</v>
      </c>
      <c r="N385" s="119">
        <f t="shared" si="29"/>
        <v>25</v>
      </c>
      <c r="O385" s="119">
        <f t="shared" si="30"/>
        <v>0</v>
      </c>
    </row>
    <row r="386" spans="2:15" ht="15" customHeight="1" x14ac:dyDescent="0.25">
      <c r="B386" s="86" t="s">
        <v>731</v>
      </c>
      <c r="C386" s="87" t="s">
        <v>732</v>
      </c>
      <c r="D386" s="82" t="s">
        <v>374</v>
      </c>
      <c r="E386" s="230">
        <v>4</v>
      </c>
      <c r="F386" s="88">
        <v>75880</v>
      </c>
      <c r="G386" s="89">
        <f t="shared" si="26"/>
        <v>303520</v>
      </c>
      <c r="H386" s="118" t="str">
        <f t="array" ref="H386:K386">_xlfn.XLOOKUP(B386,'ESAP NEIVA FASE II UNIFICADO'!$B$6:$B$720,'ESAP NEIVA FASE II UNIFICADO'!$C$6:$F$720,"NO ESTA")</f>
        <v>SUMINISTRO E INSTALACIÓN BALAS DE PISO 50W 120 V</v>
      </c>
      <c r="I386" t="str">
        <v>UN</v>
      </c>
      <c r="J386">
        <v>10</v>
      </c>
      <c r="K386">
        <v>77862</v>
      </c>
      <c r="L386">
        <f t="shared" si="27"/>
        <v>0</v>
      </c>
      <c r="M386">
        <f t="shared" si="28"/>
        <v>0</v>
      </c>
      <c r="N386" s="119">
        <f t="shared" si="29"/>
        <v>4</v>
      </c>
      <c r="O386" s="119">
        <f t="shared" si="30"/>
        <v>0</v>
      </c>
    </row>
    <row r="387" spans="2:15" ht="15" customHeight="1" x14ac:dyDescent="0.25">
      <c r="B387" s="74">
        <v>17</v>
      </c>
      <c r="C387" s="75" t="s">
        <v>733</v>
      </c>
      <c r="D387" s="76"/>
      <c r="E387" s="229"/>
      <c r="F387" s="78">
        <v>0</v>
      </c>
      <c r="G387" s="89">
        <f t="shared" si="26"/>
        <v>0</v>
      </c>
      <c r="H387" s="118" t="str">
        <f t="array" ref="H387:K387">_xlfn.XLOOKUP(B387,'ESAP NEIVA FASE II UNIFICADO'!$B$6:$B$720,'ESAP NEIVA FASE II UNIFICADO'!$C$6:$F$720,"NO ESTA")</f>
        <v>AIRE ACONDICIONADO</v>
      </c>
      <c r="I387">
        <v>0</v>
      </c>
      <c r="J387">
        <v>0</v>
      </c>
      <c r="K387">
        <v>0</v>
      </c>
      <c r="L387">
        <f t="shared" si="27"/>
        <v>1</v>
      </c>
      <c r="M387">
        <f t="shared" si="28"/>
        <v>0</v>
      </c>
      <c r="N387" s="119">
        <f t="shared" si="29"/>
        <v>0</v>
      </c>
      <c r="O387" s="119">
        <f t="shared" si="30"/>
        <v>0</v>
      </c>
    </row>
    <row r="388" spans="2:15" ht="15" customHeight="1" x14ac:dyDescent="0.25">
      <c r="B388" s="80" t="s">
        <v>734</v>
      </c>
      <c r="C388" s="81" t="s">
        <v>735</v>
      </c>
      <c r="D388" s="82"/>
      <c r="E388" s="230"/>
      <c r="F388" s="90">
        <v>0</v>
      </c>
      <c r="G388" s="89">
        <f t="shared" si="26"/>
        <v>0</v>
      </c>
      <c r="H388" s="118" t="str">
        <f t="array" ref="H388:K388">_xlfn.XLOOKUP(B388,'ESAP NEIVA FASE II UNIFICADO'!$B$6:$B$720,'ESAP NEIVA FASE II UNIFICADO'!$C$6:$F$720,"NO ESTA")</f>
        <v>SUMINISTRO E INSTALACION DE TUBERIA AGUA FRIA PVC</v>
      </c>
      <c r="I388">
        <v>0</v>
      </c>
      <c r="J388">
        <v>0</v>
      </c>
      <c r="K388">
        <v>0</v>
      </c>
      <c r="L388">
        <f t="shared" si="27"/>
        <v>1</v>
      </c>
      <c r="M388">
        <f t="shared" si="28"/>
        <v>0</v>
      </c>
      <c r="N388" s="119">
        <f t="shared" si="29"/>
        <v>0</v>
      </c>
      <c r="O388" s="119">
        <f t="shared" si="30"/>
        <v>0</v>
      </c>
    </row>
    <row r="389" spans="2:15" ht="15" customHeight="1" x14ac:dyDescent="0.25">
      <c r="B389" s="86" t="s">
        <v>736</v>
      </c>
      <c r="C389" s="87" t="s">
        <v>737</v>
      </c>
      <c r="D389" s="82" t="s">
        <v>94</v>
      </c>
      <c r="E389" s="230">
        <v>17</v>
      </c>
      <c r="F389" s="88">
        <v>69855</v>
      </c>
      <c r="G389" s="89">
        <f t="shared" si="26"/>
        <v>1187535</v>
      </c>
      <c r="H389" s="118" t="str">
        <f t="array" ref="H389:K389">_xlfn.XLOOKUP(B389,'ESAP NEIVA FASE II UNIFICADO'!$B$6:$B$720,'ESAP NEIVA FASE II UNIFICADO'!$C$6:$F$720,"NO ESTA")</f>
        <v>SUMINISTRO E INSTALACION TUBERIA Y ACCESORIOS RDE 21 Ø DIAMETRO  4"</v>
      </c>
      <c r="I389" t="str">
        <v>ML</v>
      </c>
      <c r="J389">
        <v>45</v>
      </c>
      <c r="K389">
        <v>71680</v>
      </c>
      <c r="L389">
        <f t="shared" si="27"/>
        <v>0</v>
      </c>
      <c r="M389">
        <f t="shared" si="28"/>
        <v>0</v>
      </c>
      <c r="N389" s="119">
        <f t="shared" si="29"/>
        <v>17</v>
      </c>
      <c r="O389" s="119">
        <f t="shared" si="30"/>
        <v>0</v>
      </c>
    </row>
    <row r="390" spans="2:15" ht="15" customHeight="1" x14ac:dyDescent="0.25">
      <c r="B390" s="86" t="s">
        <v>738</v>
      </c>
      <c r="C390" s="87" t="s">
        <v>739</v>
      </c>
      <c r="D390" s="82" t="s">
        <v>94</v>
      </c>
      <c r="E390" s="230">
        <v>9</v>
      </c>
      <c r="F390" s="88">
        <v>45421</v>
      </c>
      <c r="G390" s="89">
        <f t="shared" ref="G390:G453" si="31">ROUND(+F390*E390,2)</f>
        <v>408789</v>
      </c>
      <c r="H390" s="118" t="str">
        <f t="array" ref="H390:K390">_xlfn.XLOOKUP(B390,'ESAP NEIVA FASE II UNIFICADO'!$B$6:$B$720,'ESAP NEIVA FASE II UNIFICADO'!$C$6:$F$720,"NO ESTA")</f>
        <v>SUMINISTRO E INSTALACION TUBERIA Y ACCESORIOS RDE 21 Ø DIAMETRO  3"</v>
      </c>
      <c r="I390" t="str">
        <v>ML</v>
      </c>
      <c r="J390">
        <v>24</v>
      </c>
      <c r="K390">
        <v>46609</v>
      </c>
      <c r="L390">
        <f t="shared" si="27"/>
        <v>0</v>
      </c>
      <c r="M390">
        <f t="shared" si="28"/>
        <v>0</v>
      </c>
      <c r="N390" s="119">
        <f t="shared" si="29"/>
        <v>9</v>
      </c>
      <c r="O390" s="119">
        <f t="shared" si="30"/>
        <v>0</v>
      </c>
    </row>
    <row r="391" spans="2:15" ht="15" customHeight="1" x14ac:dyDescent="0.25">
      <c r="B391" s="86" t="s">
        <v>740</v>
      </c>
      <c r="C391" s="87" t="s">
        <v>741</v>
      </c>
      <c r="D391" s="82" t="s">
        <v>94</v>
      </c>
      <c r="E391" s="230">
        <v>24</v>
      </c>
      <c r="F391" s="88">
        <v>33851</v>
      </c>
      <c r="G391" s="89">
        <f t="shared" si="31"/>
        <v>812424</v>
      </c>
      <c r="H391" s="118" t="str">
        <f t="array" ref="H391:K391">_xlfn.XLOOKUP(B391,'ESAP NEIVA FASE II UNIFICADO'!$B$6:$B$720,'ESAP NEIVA FASE II UNIFICADO'!$C$6:$F$720,"NO ESTA")</f>
        <v>SUMINISTRO E INSTALACION TUBERIA Y ACCESORIOS RDE 21 Ø DIAMETRO  2 1/2"</v>
      </c>
      <c r="I391" t="str">
        <v>ML</v>
      </c>
      <c r="J391">
        <v>64</v>
      </c>
      <c r="K391">
        <v>34736</v>
      </c>
      <c r="L391">
        <f t="shared" si="27"/>
        <v>0</v>
      </c>
      <c r="M391">
        <f t="shared" si="28"/>
        <v>0</v>
      </c>
      <c r="N391" s="119">
        <f t="shared" si="29"/>
        <v>24</v>
      </c>
      <c r="O391" s="119">
        <f t="shared" si="30"/>
        <v>0</v>
      </c>
    </row>
    <row r="392" spans="2:15" ht="15" customHeight="1" x14ac:dyDescent="0.25">
      <c r="B392" s="86" t="s">
        <v>742</v>
      </c>
      <c r="C392" s="87" t="s">
        <v>743</v>
      </c>
      <c r="D392" s="82" t="s">
        <v>94</v>
      </c>
      <c r="E392" s="230">
        <v>68</v>
      </c>
      <c r="F392" s="88">
        <v>23046</v>
      </c>
      <c r="G392" s="89">
        <f t="shared" si="31"/>
        <v>1567128</v>
      </c>
      <c r="H392" s="118" t="str">
        <f t="array" ref="H392:K392">_xlfn.XLOOKUP(B392,'ESAP NEIVA FASE II UNIFICADO'!$B$6:$B$720,'ESAP NEIVA FASE II UNIFICADO'!$C$6:$F$720,"NO ESTA")</f>
        <v>SUMINISTRO E INSTALACION TUBERIA Y ACCESORIOS RDE 21 Ø DIAMETRO  2"</v>
      </c>
      <c r="I392" t="str">
        <v>ML</v>
      </c>
      <c r="J392">
        <v>185.4</v>
      </c>
      <c r="K392">
        <v>23647</v>
      </c>
      <c r="L392">
        <f t="shared" si="27"/>
        <v>0</v>
      </c>
      <c r="M392">
        <f t="shared" si="28"/>
        <v>0</v>
      </c>
      <c r="N392" s="119">
        <f t="shared" si="29"/>
        <v>68</v>
      </c>
      <c r="O392" s="119">
        <f t="shared" si="30"/>
        <v>0</v>
      </c>
    </row>
    <row r="393" spans="2:15" ht="15" customHeight="1" x14ac:dyDescent="0.25">
      <c r="B393" s="86" t="s">
        <v>744</v>
      </c>
      <c r="C393" s="87" t="s">
        <v>745</v>
      </c>
      <c r="D393" s="82" t="s">
        <v>94</v>
      </c>
      <c r="E393" s="230">
        <v>40</v>
      </c>
      <c r="F393" s="88">
        <v>16792</v>
      </c>
      <c r="G393" s="89">
        <f t="shared" si="31"/>
        <v>671680</v>
      </c>
      <c r="H393" s="118" t="str">
        <f t="array" ref="H393:K393">_xlfn.XLOOKUP(B393,'ESAP NEIVA FASE II UNIFICADO'!$B$6:$B$720,'ESAP NEIVA FASE II UNIFICADO'!$C$6:$F$720,"NO ESTA")</f>
        <v>SUMINISTRO E INSTALACION TUBERIA Y ACCESORIOS RDE 21 Ø DIAMETRO  1 1/2"</v>
      </c>
      <c r="I393" t="str">
        <v>ML</v>
      </c>
      <c r="J393">
        <v>106.80000000000001</v>
      </c>
      <c r="K393">
        <v>17230</v>
      </c>
      <c r="L393">
        <f t="shared" si="27"/>
        <v>0</v>
      </c>
      <c r="M393">
        <f t="shared" si="28"/>
        <v>0</v>
      </c>
      <c r="N393" s="119">
        <f t="shared" si="29"/>
        <v>40</v>
      </c>
      <c r="O393" s="119">
        <f t="shared" si="30"/>
        <v>0</v>
      </c>
    </row>
    <row r="394" spans="2:15" ht="15" customHeight="1" x14ac:dyDescent="0.25">
      <c r="B394" s="86" t="s">
        <v>746</v>
      </c>
      <c r="C394" s="87" t="s">
        <v>747</v>
      </c>
      <c r="D394" s="82" t="s">
        <v>94</v>
      </c>
      <c r="E394" s="230">
        <v>61</v>
      </c>
      <c r="F394" s="88">
        <v>14285</v>
      </c>
      <c r="G394" s="89">
        <f t="shared" si="31"/>
        <v>871385</v>
      </c>
      <c r="H394" s="118" t="str">
        <f t="array" ref="H394:K394">_xlfn.XLOOKUP(B394,'ESAP NEIVA FASE II UNIFICADO'!$B$6:$B$720,'ESAP NEIVA FASE II UNIFICADO'!$C$6:$F$720,"NO ESTA")</f>
        <v>SUMINISTRO E INSTALACION TUBERIA Y ACCESORIOS RDE 21 Ø DIAMETRO  1 1/4"</v>
      </c>
      <c r="I394" t="str">
        <v>ML</v>
      </c>
      <c r="J394">
        <v>165.6</v>
      </c>
      <c r="K394">
        <v>14658</v>
      </c>
      <c r="L394">
        <f t="shared" ref="L394:L457" si="32">+IF(J394&gt;0,0,1)</f>
        <v>0</v>
      </c>
      <c r="M394">
        <f t="shared" ref="M394:M457" si="33">IF(L394=1,F394,0)</f>
        <v>0</v>
      </c>
      <c r="N394" s="119">
        <f t="shared" ref="N394:N457" si="34">E394</f>
        <v>61</v>
      </c>
      <c r="O394" s="119">
        <f t="shared" si="30"/>
        <v>0</v>
      </c>
    </row>
    <row r="395" spans="2:15" ht="15" customHeight="1" x14ac:dyDescent="0.25">
      <c r="B395" s="86" t="s">
        <v>748</v>
      </c>
      <c r="C395" s="87" t="s">
        <v>749</v>
      </c>
      <c r="D395" s="82" t="s">
        <v>94</v>
      </c>
      <c r="E395" s="230">
        <v>10</v>
      </c>
      <c r="F395" s="88">
        <v>10451</v>
      </c>
      <c r="G395" s="89">
        <f t="shared" si="31"/>
        <v>104510</v>
      </c>
      <c r="H395" s="118" t="str">
        <f t="array" ref="H395:K395">_xlfn.XLOOKUP(B395,'ESAP NEIVA FASE II UNIFICADO'!$B$6:$B$720,'ESAP NEIVA FASE II UNIFICADO'!$C$6:$F$720,"NO ESTA")</f>
        <v>SUMINISTRO E INSTALACION TUBERIA Y ACCESORIOS RDE 21 Ø DIAMETRO  1"</v>
      </c>
      <c r="I395" t="str">
        <v>ML</v>
      </c>
      <c r="J395">
        <v>28.799999999999997</v>
      </c>
      <c r="K395">
        <v>10725</v>
      </c>
      <c r="L395">
        <f t="shared" si="32"/>
        <v>0</v>
      </c>
      <c r="M395">
        <f t="shared" si="33"/>
        <v>0</v>
      </c>
      <c r="N395" s="119">
        <f t="shared" si="34"/>
        <v>10</v>
      </c>
      <c r="O395" s="119">
        <f t="shared" ref="O395:O458" si="35">ROUND(M395*N395,2)</f>
        <v>0</v>
      </c>
    </row>
    <row r="396" spans="2:15" ht="15" customHeight="1" x14ac:dyDescent="0.25">
      <c r="B396" s="86" t="s">
        <v>750</v>
      </c>
      <c r="C396" s="87" t="s">
        <v>751</v>
      </c>
      <c r="D396" s="82" t="s">
        <v>94</v>
      </c>
      <c r="E396" s="230">
        <v>12</v>
      </c>
      <c r="F396" s="88">
        <v>9181</v>
      </c>
      <c r="G396" s="89">
        <f t="shared" si="31"/>
        <v>110172</v>
      </c>
      <c r="H396" s="118" t="str">
        <f t="array" ref="H396:K396">_xlfn.XLOOKUP(B396,'ESAP NEIVA FASE II UNIFICADO'!$B$6:$B$720,'ESAP NEIVA FASE II UNIFICADO'!$C$6:$F$720,"NO ESTA")</f>
        <v>SUMINISTRO E INSTALACION TUBERIA Y ACCESORIOS RDE 21 Ø DIAMETRO  3/4"</v>
      </c>
      <c r="I396" t="str">
        <v>ML</v>
      </c>
      <c r="J396">
        <v>32</v>
      </c>
      <c r="K396">
        <v>9421</v>
      </c>
      <c r="L396">
        <f t="shared" si="32"/>
        <v>0</v>
      </c>
      <c r="M396">
        <f t="shared" si="33"/>
        <v>0</v>
      </c>
      <c r="N396" s="119">
        <f t="shared" si="34"/>
        <v>12</v>
      </c>
      <c r="O396" s="119">
        <f t="shared" si="35"/>
        <v>0</v>
      </c>
    </row>
    <row r="397" spans="2:15" ht="26.25" customHeight="1" x14ac:dyDescent="0.25">
      <c r="B397" s="80" t="s">
        <v>752</v>
      </c>
      <c r="C397" s="81" t="s">
        <v>753</v>
      </c>
      <c r="D397" s="82"/>
      <c r="E397" s="230"/>
      <c r="F397" s="90">
        <v>0</v>
      </c>
      <c r="G397" s="89">
        <f t="shared" si="31"/>
        <v>0</v>
      </c>
      <c r="H397" s="118" t="str">
        <f t="array" ref="H397:K397">_xlfn.XLOOKUP(B397,'ESAP NEIVA FASE II UNIFICADO'!$B$6:$B$720,'ESAP NEIVA FASE II UNIFICADO'!$C$6:$F$720,"NO ESTA")</f>
        <v>SUMINISTRO, MONTAJE E INSTALACIÓN  DE AISLAMIENTO TERMICO  RED DE AGUA FRIA</v>
      </c>
      <c r="I397">
        <v>0</v>
      </c>
      <c r="J397">
        <v>0</v>
      </c>
      <c r="K397">
        <v>0</v>
      </c>
      <c r="L397">
        <f t="shared" si="32"/>
        <v>1</v>
      </c>
      <c r="M397">
        <f t="shared" si="33"/>
        <v>0</v>
      </c>
      <c r="N397" s="119">
        <f t="shared" si="34"/>
        <v>0</v>
      </c>
      <c r="O397" s="119">
        <f t="shared" si="35"/>
        <v>0</v>
      </c>
    </row>
    <row r="398" spans="2:15" ht="26.25" customHeight="1" x14ac:dyDescent="0.25">
      <c r="B398" s="86" t="s">
        <v>754</v>
      </c>
      <c r="C398" s="87" t="s">
        <v>755</v>
      </c>
      <c r="D398" s="82" t="s">
        <v>94</v>
      </c>
      <c r="E398" s="230">
        <v>17</v>
      </c>
      <c r="F398" s="88">
        <v>40331</v>
      </c>
      <c r="G398" s="89">
        <f t="shared" si="31"/>
        <v>685627</v>
      </c>
      <c r="H398" s="118" t="str">
        <f t="array" ref="H398:K398">_xlfn.XLOOKUP(B398,'ESAP NEIVA FASE II UNIFICADO'!$B$6:$B$720,'ESAP NEIVA FASE II UNIFICADO'!$C$6:$F$720,"NO ESTA")</f>
        <v>SUMINISTRO E INSTALACION DE AISLAMIENTO TERMICO TUBERIA Y ACCESORIOS RDE 21 Ø DIAMETRO  4"</v>
      </c>
      <c r="I398" t="str">
        <v>ML</v>
      </c>
      <c r="J398">
        <v>45</v>
      </c>
      <c r="K398">
        <v>41384</v>
      </c>
      <c r="L398">
        <f t="shared" si="32"/>
        <v>0</v>
      </c>
      <c r="M398">
        <f t="shared" si="33"/>
        <v>0</v>
      </c>
      <c r="N398" s="119">
        <f t="shared" si="34"/>
        <v>17</v>
      </c>
      <c r="O398" s="119">
        <f t="shared" si="35"/>
        <v>0</v>
      </c>
    </row>
    <row r="399" spans="2:15" ht="26.25" customHeight="1" x14ac:dyDescent="0.25">
      <c r="B399" s="86" t="s">
        <v>756</v>
      </c>
      <c r="C399" s="87" t="s">
        <v>757</v>
      </c>
      <c r="D399" s="82" t="s">
        <v>94</v>
      </c>
      <c r="E399" s="230">
        <v>9</v>
      </c>
      <c r="F399" s="88">
        <v>36230</v>
      </c>
      <c r="G399" s="89">
        <f t="shared" si="31"/>
        <v>326070</v>
      </c>
      <c r="H399" s="118" t="str">
        <f t="array" ref="H399:K399">_xlfn.XLOOKUP(B399,'ESAP NEIVA FASE II UNIFICADO'!$B$6:$B$720,'ESAP NEIVA FASE II UNIFICADO'!$C$6:$F$720,"NO ESTA")</f>
        <v>SUMINISTRO E INSTALACION DE AISLAMIENTO TERMICO TUBERIA Y ACCESORIOS RDE 21 Ø DIAMETRO  3"</v>
      </c>
      <c r="I399" t="str">
        <v>ML</v>
      </c>
      <c r="J399">
        <v>24</v>
      </c>
      <c r="K399">
        <v>37175</v>
      </c>
      <c r="L399">
        <f t="shared" si="32"/>
        <v>0</v>
      </c>
      <c r="M399">
        <f t="shared" si="33"/>
        <v>0</v>
      </c>
      <c r="N399" s="119">
        <f t="shared" si="34"/>
        <v>9</v>
      </c>
      <c r="O399" s="119">
        <f t="shared" si="35"/>
        <v>0</v>
      </c>
    </row>
    <row r="400" spans="2:15" ht="26.25" customHeight="1" x14ac:dyDescent="0.25">
      <c r="B400" s="86" t="s">
        <v>758</v>
      </c>
      <c r="C400" s="87" t="s">
        <v>759</v>
      </c>
      <c r="D400" s="82" t="s">
        <v>94</v>
      </c>
      <c r="E400" s="230">
        <v>24</v>
      </c>
      <c r="F400" s="88">
        <v>27779</v>
      </c>
      <c r="G400" s="89">
        <f t="shared" si="31"/>
        <v>666696</v>
      </c>
      <c r="H400" s="118" t="str">
        <f t="array" ref="H400:K400">_xlfn.XLOOKUP(B400,'ESAP NEIVA FASE II UNIFICADO'!$B$6:$B$720,'ESAP NEIVA FASE II UNIFICADO'!$C$6:$F$720,"NO ESTA")</f>
        <v>SUMINISTRO E INSTALACION DE AISLAMIENTO TERMICO TUBERIA Y ACCESORIOS RDE 21 Ø DIAMETRO  2 1/2"</v>
      </c>
      <c r="I400" t="str">
        <v>ML</v>
      </c>
      <c r="J400">
        <v>64</v>
      </c>
      <c r="K400">
        <v>28505</v>
      </c>
      <c r="L400">
        <f t="shared" si="32"/>
        <v>0</v>
      </c>
      <c r="M400">
        <f t="shared" si="33"/>
        <v>0</v>
      </c>
      <c r="N400" s="119">
        <f t="shared" si="34"/>
        <v>24</v>
      </c>
      <c r="O400" s="119">
        <f t="shared" si="35"/>
        <v>0</v>
      </c>
    </row>
    <row r="401" spans="2:15" ht="26.25" customHeight="1" x14ac:dyDescent="0.25">
      <c r="B401" s="86" t="s">
        <v>760</v>
      </c>
      <c r="C401" s="87" t="s">
        <v>761</v>
      </c>
      <c r="D401" s="82" t="s">
        <v>94</v>
      </c>
      <c r="E401" s="230">
        <v>68</v>
      </c>
      <c r="F401" s="88">
        <v>21912</v>
      </c>
      <c r="G401" s="89">
        <f t="shared" si="31"/>
        <v>1490016</v>
      </c>
      <c r="H401" s="118" t="str">
        <f t="array" ref="H401:K401">_xlfn.XLOOKUP(B401,'ESAP NEIVA FASE II UNIFICADO'!$B$6:$B$720,'ESAP NEIVA FASE II UNIFICADO'!$C$6:$F$720,"NO ESTA")</f>
        <v>SUMINISTRO E INSTALACION DE AISLAMIENTO TERMICO TUBERIA Y ACCESORIOS RDE 21 Ø DIAMETRO  2"</v>
      </c>
      <c r="I401" t="str">
        <v>ML</v>
      </c>
      <c r="J401">
        <v>185.4</v>
      </c>
      <c r="K401">
        <v>22485</v>
      </c>
      <c r="L401">
        <f t="shared" si="32"/>
        <v>0</v>
      </c>
      <c r="M401">
        <f t="shared" si="33"/>
        <v>0</v>
      </c>
      <c r="N401" s="119">
        <f t="shared" si="34"/>
        <v>68</v>
      </c>
      <c r="O401" s="119">
        <f t="shared" si="35"/>
        <v>0</v>
      </c>
    </row>
    <row r="402" spans="2:15" ht="26.25" customHeight="1" x14ac:dyDescent="0.25">
      <c r="B402" s="86" t="s">
        <v>762</v>
      </c>
      <c r="C402" s="87" t="s">
        <v>763</v>
      </c>
      <c r="D402" s="82" t="s">
        <v>94</v>
      </c>
      <c r="E402" s="230">
        <v>40</v>
      </c>
      <c r="F402" s="88">
        <v>16527</v>
      </c>
      <c r="G402" s="89">
        <f t="shared" si="31"/>
        <v>661080</v>
      </c>
      <c r="H402" s="118" t="str">
        <f t="array" ref="H402:K402">_xlfn.XLOOKUP(B402,'ESAP NEIVA FASE II UNIFICADO'!$B$6:$B$720,'ESAP NEIVA FASE II UNIFICADO'!$C$6:$F$720,"NO ESTA")</f>
        <v>SUMINISTRO E INSTALACION DE AISLAMIENTO TERMICO TUBERIA Y ACCESORIOS RDE 21 Ø DIAMETRO  1 1/2"</v>
      </c>
      <c r="I402" t="str">
        <v>ML</v>
      </c>
      <c r="J402">
        <v>106.80000000000001</v>
      </c>
      <c r="K402">
        <v>16958</v>
      </c>
      <c r="L402">
        <f t="shared" si="32"/>
        <v>0</v>
      </c>
      <c r="M402">
        <f t="shared" si="33"/>
        <v>0</v>
      </c>
      <c r="N402" s="119">
        <f t="shared" si="34"/>
        <v>40</v>
      </c>
      <c r="O402" s="119">
        <f t="shared" si="35"/>
        <v>0</v>
      </c>
    </row>
    <row r="403" spans="2:15" ht="26.25" customHeight="1" x14ac:dyDescent="0.25">
      <c r="B403" s="86" t="s">
        <v>764</v>
      </c>
      <c r="C403" s="87" t="s">
        <v>765</v>
      </c>
      <c r="D403" s="82" t="s">
        <v>94</v>
      </c>
      <c r="E403" s="230">
        <v>61</v>
      </c>
      <c r="F403" s="88">
        <v>14173</v>
      </c>
      <c r="G403" s="89">
        <f t="shared" si="31"/>
        <v>864553</v>
      </c>
      <c r="H403" s="118" t="str">
        <f t="array" ref="H403:K403">_xlfn.XLOOKUP(B403,'ESAP NEIVA FASE II UNIFICADO'!$B$6:$B$720,'ESAP NEIVA FASE II UNIFICADO'!$C$6:$F$720,"NO ESTA")</f>
        <v>SUMINISTRO E INSTALACION DE AISLAMIENTO TERMICO TUBERIA Y ACCESORIOS RDE 21 Ø DIAMETRO  1 1/4"</v>
      </c>
      <c r="I403" t="str">
        <v>ML</v>
      </c>
      <c r="J403">
        <v>165.6</v>
      </c>
      <c r="K403">
        <v>14543</v>
      </c>
      <c r="L403">
        <f t="shared" si="32"/>
        <v>0</v>
      </c>
      <c r="M403">
        <f t="shared" si="33"/>
        <v>0</v>
      </c>
      <c r="N403" s="119">
        <f t="shared" si="34"/>
        <v>61</v>
      </c>
      <c r="O403" s="119">
        <f t="shared" si="35"/>
        <v>0</v>
      </c>
    </row>
    <row r="404" spans="2:15" ht="26.25" customHeight="1" x14ac:dyDescent="0.25">
      <c r="B404" s="86" t="s">
        <v>766</v>
      </c>
      <c r="C404" s="87" t="s">
        <v>767</v>
      </c>
      <c r="D404" s="82" t="s">
        <v>94</v>
      </c>
      <c r="E404" s="230">
        <v>10</v>
      </c>
      <c r="F404" s="88">
        <v>10329</v>
      </c>
      <c r="G404" s="89">
        <f t="shared" si="31"/>
        <v>103290</v>
      </c>
      <c r="H404" s="118" t="str">
        <f t="array" ref="H404:K404">_xlfn.XLOOKUP(B404,'ESAP NEIVA FASE II UNIFICADO'!$B$6:$B$720,'ESAP NEIVA FASE II UNIFICADO'!$C$6:$F$720,"NO ESTA")</f>
        <v>SUMINISTRO E INSTALACION DE AISLAMIENTO TERMICO TUBERIA Y ACCESORIOS RDE 21 Ø DIAMETRO  1"</v>
      </c>
      <c r="I404" t="str">
        <v>ML</v>
      </c>
      <c r="J404">
        <v>28.799999999999997</v>
      </c>
      <c r="K404">
        <v>10599</v>
      </c>
      <c r="L404">
        <f t="shared" si="32"/>
        <v>0</v>
      </c>
      <c r="M404">
        <f t="shared" si="33"/>
        <v>0</v>
      </c>
      <c r="N404" s="119">
        <f t="shared" si="34"/>
        <v>10</v>
      </c>
      <c r="O404" s="119">
        <f t="shared" si="35"/>
        <v>0</v>
      </c>
    </row>
    <row r="405" spans="2:15" ht="26.25" customHeight="1" x14ac:dyDescent="0.25">
      <c r="B405" s="86" t="s">
        <v>768</v>
      </c>
      <c r="C405" s="87" t="s">
        <v>769</v>
      </c>
      <c r="D405" s="82" t="s">
        <v>94</v>
      </c>
      <c r="E405" s="230">
        <v>12</v>
      </c>
      <c r="F405" s="88">
        <v>9015</v>
      </c>
      <c r="G405" s="89">
        <f t="shared" si="31"/>
        <v>108180</v>
      </c>
      <c r="H405" s="118" t="str">
        <f t="array" ref="H405:K405">_xlfn.XLOOKUP(B405,'ESAP NEIVA FASE II UNIFICADO'!$B$6:$B$720,'ESAP NEIVA FASE II UNIFICADO'!$C$6:$F$720,"NO ESTA")</f>
        <v>SUMINISTRO E INSTALACION DE AISLAMIENTO TERMICO TUBERIA Y ACCESORIOS RDE 21 Ø DIAMETRO  3/4"</v>
      </c>
      <c r="I405" t="str">
        <v>ML</v>
      </c>
      <c r="J405">
        <v>32</v>
      </c>
      <c r="K405">
        <v>9250</v>
      </c>
      <c r="L405">
        <f t="shared" si="32"/>
        <v>0</v>
      </c>
      <c r="M405">
        <f t="shared" si="33"/>
        <v>0</v>
      </c>
      <c r="N405" s="119">
        <f t="shared" si="34"/>
        <v>12</v>
      </c>
      <c r="O405" s="119">
        <f t="shared" si="35"/>
        <v>0</v>
      </c>
    </row>
    <row r="406" spans="2:15" ht="15" customHeight="1" x14ac:dyDescent="0.25">
      <c r="B406" s="80" t="s">
        <v>770</v>
      </c>
      <c r="C406" s="81" t="s">
        <v>771</v>
      </c>
      <c r="D406" s="82"/>
      <c r="E406" s="230"/>
      <c r="F406" s="90">
        <v>0</v>
      </c>
      <c r="G406" s="89">
        <f t="shared" si="31"/>
        <v>0</v>
      </c>
      <c r="H406" s="118" t="str">
        <f t="array" ref="H406:K406">_xlfn.XLOOKUP(B406,'ESAP NEIVA FASE II UNIFICADO'!$B$6:$B$720,'ESAP NEIVA FASE II UNIFICADO'!$C$6:$F$720,"NO ESTA")</f>
        <v>SUMINISTRO, MONTAJE E INSTALACIÓN  DE ACCESORIOS RED DE AGUA</v>
      </c>
      <c r="I406">
        <v>0</v>
      </c>
      <c r="J406">
        <v>0</v>
      </c>
      <c r="K406">
        <v>0</v>
      </c>
      <c r="L406">
        <f t="shared" si="32"/>
        <v>1</v>
      </c>
      <c r="M406">
        <f t="shared" si="33"/>
        <v>0</v>
      </c>
      <c r="N406" s="119">
        <f t="shared" si="34"/>
        <v>0</v>
      </c>
      <c r="O406" s="119">
        <f t="shared" si="35"/>
        <v>0</v>
      </c>
    </row>
    <row r="407" spans="2:15" ht="27" customHeight="1" x14ac:dyDescent="0.25">
      <c r="B407" s="86" t="s">
        <v>772</v>
      </c>
      <c r="C407" s="87" t="s">
        <v>773</v>
      </c>
      <c r="D407" s="82" t="s">
        <v>16</v>
      </c>
      <c r="E407" s="230">
        <v>1</v>
      </c>
      <c r="F407" s="88">
        <v>281188</v>
      </c>
      <c r="G407" s="89">
        <f t="shared" si="31"/>
        <v>281188</v>
      </c>
      <c r="H407" s="118" t="str">
        <f t="array" ref="H407:K407">_xlfn.XLOOKUP(B407,'ESAP NEIVA FASE II UNIFICADO'!$B$6:$B$720,'ESAP NEIVA FASE II UNIFICADO'!$C$6:$F$720,"NO ESTA")</f>
        <v>SUMINISTRO E INSTALACION MANOMETROS 4", INCLUYE GRIFOS DE PRUEBA Y ACCESORIOS</v>
      </c>
      <c r="I407" t="str">
        <v>UND</v>
      </c>
      <c r="J407">
        <v>3</v>
      </c>
      <c r="K407">
        <v>288532</v>
      </c>
      <c r="L407">
        <f t="shared" si="32"/>
        <v>0</v>
      </c>
      <c r="M407">
        <f t="shared" si="33"/>
        <v>0</v>
      </c>
      <c r="N407" s="119">
        <f t="shared" si="34"/>
        <v>1</v>
      </c>
      <c r="O407" s="119">
        <f t="shared" si="35"/>
        <v>0</v>
      </c>
    </row>
    <row r="408" spans="2:15" ht="15" customHeight="1" x14ac:dyDescent="0.25">
      <c r="B408" s="86" t="s">
        <v>774</v>
      </c>
      <c r="C408" s="87" t="s">
        <v>775</v>
      </c>
      <c r="D408" s="82" t="s">
        <v>16</v>
      </c>
      <c r="E408" s="230">
        <v>1</v>
      </c>
      <c r="F408" s="88">
        <v>541061</v>
      </c>
      <c r="G408" s="89">
        <f t="shared" si="31"/>
        <v>541061</v>
      </c>
      <c r="H408" s="118" t="str">
        <f t="array" ref="H408:K408">_xlfn.XLOOKUP(B408,'ESAP NEIVA FASE II UNIFICADO'!$B$6:$B$720,'ESAP NEIVA FASE II UNIFICADO'!$C$6:$F$720,"NO ESTA")</f>
        <v>SUMINISTRO E INSTALACION TERMOMETROS 0-100F DE COLUMNA 7"</v>
      </c>
      <c r="I408" t="str">
        <v>UND</v>
      </c>
      <c r="J408">
        <v>3</v>
      </c>
      <c r="K408">
        <v>555192</v>
      </c>
      <c r="L408">
        <f t="shared" si="32"/>
        <v>0</v>
      </c>
      <c r="M408">
        <f t="shared" si="33"/>
        <v>0</v>
      </c>
      <c r="N408" s="119">
        <f t="shared" si="34"/>
        <v>1</v>
      </c>
      <c r="O408" s="119">
        <f t="shared" si="35"/>
        <v>0</v>
      </c>
    </row>
    <row r="409" spans="2:15" ht="15" customHeight="1" x14ac:dyDescent="0.25">
      <c r="B409" s="86" t="s">
        <v>776</v>
      </c>
      <c r="C409" s="87" t="s">
        <v>777</v>
      </c>
      <c r="D409" s="82" t="s">
        <v>16</v>
      </c>
      <c r="E409" s="230">
        <v>1</v>
      </c>
      <c r="F409" s="88">
        <v>190501</v>
      </c>
      <c r="G409" s="89">
        <f t="shared" si="31"/>
        <v>190501</v>
      </c>
      <c r="H409" s="118" t="str">
        <f t="array" ref="H409:K409">_xlfn.XLOOKUP(B409,'ESAP NEIVA FASE II UNIFICADO'!$B$6:$B$720,'ESAP NEIVA FASE II UNIFICADO'!$C$6:$F$720,"NO ESTA")</f>
        <v>SUMINISTRO E INSTALACION ELIMINADORES DE AIRE</v>
      </c>
      <c r="I409" t="str">
        <v>UND</v>
      </c>
      <c r="J409">
        <v>3</v>
      </c>
      <c r="K409">
        <v>195476</v>
      </c>
      <c r="L409">
        <f t="shared" si="32"/>
        <v>0</v>
      </c>
      <c r="M409">
        <f t="shared" si="33"/>
        <v>0</v>
      </c>
      <c r="N409" s="119">
        <f t="shared" si="34"/>
        <v>1</v>
      </c>
      <c r="O409" s="119">
        <f t="shared" si="35"/>
        <v>0</v>
      </c>
    </row>
    <row r="410" spans="2:15" ht="15" customHeight="1" x14ac:dyDescent="0.25">
      <c r="B410" s="86" t="s">
        <v>778</v>
      </c>
      <c r="C410" s="87" t="s">
        <v>779</v>
      </c>
      <c r="D410" s="82" t="s">
        <v>16</v>
      </c>
      <c r="E410" s="230">
        <v>1</v>
      </c>
      <c r="F410" s="88">
        <v>440902</v>
      </c>
      <c r="G410" s="89">
        <f t="shared" si="31"/>
        <v>440902</v>
      </c>
      <c r="H410" s="118" t="str">
        <f t="array" ref="H410:K410">_xlfn.XLOOKUP(B410,'ESAP NEIVA FASE II UNIFICADO'!$B$6:$B$720,'ESAP NEIVA FASE II UNIFICADO'!$C$6:$F$720,"NO ESTA")</f>
        <v xml:space="preserve">SUMINISTRO E INSTALACION TANQUE DE EXPANSIÓN PVC CON VALVULA DE NIVEL </v>
      </c>
      <c r="I410" t="str">
        <v>UND</v>
      </c>
      <c r="J410">
        <v>1</v>
      </c>
      <c r="K410">
        <v>452416</v>
      </c>
      <c r="L410">
        <f t="shared" si="32"/>
        <v>0</v>
      </c>
      <c r="M410">
        <f t="shared" si="33"/>
        <v>0</v>
      </c>
      <c r="N410" s="119">
        <f t="shared" si="34"/>
        <v>1</v>
      </c>
      <c r="O410" s="119">
        <f t="shared" si="35"/>
        <v>0</v>
      </c>
    </row>
    <row r="411" spans="2:15" ht="15" customHeight="1" x14ac:dyDescent="0.25">
      <c r="B411" s="86" t="s">
        <v>780</v>
      </c>
      <c r="C411" s="87" t="s">
        <v>781</v>
      </c>
      <c r="D411" s="82" t="s">
        <v>16</v>
      </c>
      <c r="E411" s="230">
        <v>1</v>
      </c>
      <c r="F411" s="88">
        <v>2274950</v>
      </c>
      <c r="G411" s="89">
        <f t="shared" si="31"/>
        <v>2274950</v>
      </c>
      <c r="H411" s="118" t="str">
        <f t="array" ref="H411:K411">_xlfn.XLOOKUP(B411,'ESAP NEIVA FASE II UNIFICADO'!$B$6:$B$720,'ESAP NEIVA FASE II UNIFICADO'!$C$6:$F$720,"NO ESTA")</f>
        <v>SUMINISTRO E INSTALACION VALVULAS MARIPOSA DE 4" SUCCIÓN DE BOMBA</v>
      </c>
      <c r="I411" t="str">
        <v>UND</v>
      </c>
      <c r="J411">
        <v>3</v>
      </c>
      <c r="K411">
        <v>2334368</v>
      </c>
      <c r="L411">
        <f t="shared" si="32"/>
        <v>0</v>
      </c>
      <c r="M411">
        <f t="shared" si="33"/>
        <v>0</v>
      </c>
      <c r="N411" s="119">
        <f t="shared" si="34"/>
        <v>1</v>
      </c>
      <c r="O411" s="119">
        <f t="shared" si="35"/>
        <v>0</v>
      </c>
    </row>
    <row r="412" spans="2:15" ht="15" customHeight="1" x14ac:dyDescent="0.25">
      <c r="B412" s="86" t="s">
        <v>782</v>
      </c>
      <c r="C412" s="87" t="s">
        <v>783</v>
      </c>
      <c r="D412" s="82" t="s">
        <v>16</v>
      </c>
      <c r="E412" s="230">
        <v>1</v>
      </c>
      <c r="F412" s="88">
        <v>2274950</v>
      </c>
      <c r="G412" s="89">
        <f t="shared" si="31"/>
        <v>2274950</v>
      </c>
      <c r="H412" s="118" t="str">
        <f t="array" ref="H412:K412">_xlfn.XLOOKUP(B412,'ESAP NEIVA FASE II UNIFICADO'!$B$6:$B$720,'ESAP NEIVA FASE II UNIFICADO'!$C$6:$F$720,"NO ESTA")</f>
        <v>SUMINISTRO E INSTALACION VALVULAS MARIPOSA DE 4" DESCARGA DE BOMBA</v>
      </c>
      <c r="I412" t="str">
        <v>UND</v>
      </c>
      <c r="J412">
        <v>3</v>
      </c>
      <c r="K412">
        <v>2334368</v>
      </c>
      <c r="L412">
        <f t="shared" si="32"/>
        <v>0</v>
      </c>
      <c r="M412">
        <f t="shared" si="33"/>
        <v>0</v>
      </c>
      <c r="N412" s="119">
        <f t="shared" si="34"/>
        <v>1</v>
      </c>
      <c r="O412" s="119">
        <f t="shared" si="35"/>
        <v>0</v>
      </c>
    </row>
    <row r="413" spans="2:15" ht="15" customHeight="1" x14ac:dyDescent="0.25">
      <c r="B413" s="86" t="s">
        <v>784</v>
      </c>
      <c r="C413" s="87" t="s">
        <v>785</v>
      </c>
      <c r="D413" s="82" t="s">
        <v>16</v>
      </c>
      <c r="E413" s="230">
        <v>1</v>
      </c>
      <c r="F413" s="88">
        <v>1201991</v>
      </c>
      <c r="G413" s="89">
        <f t="shared" si="31"/>
        <v>1201991</v>
      </c>
      <c r="H413" s="118" t="str">
        <f t="array" ref="H413:K413">_xlfn.XLOOKUP(B413,'ESAP NEIVA FASE II UNIFICADO'!$B$6:$B$720,'ESAP NEIVA FASE II UNIFICADO'!$C$6:$F$720,"NO ESTA")</f>
        <v>SUMINISTRO E INSTALACION VALVULA TRIPLE - FLOTREX</v>
      </c>
      <c r="I413" t="str">
        <v>UND</v>
      </c>
      <c r="J413">
        <v>1</v>
      </c>
      <c r="K413">
        <v>1233385</v>
      </c>
      <c r="L413">
        <f t="shared" si="32"/>
        <v>0</v>
      </c>
      <c r="M413">
        <f t="shared" si="33"/>
        <v>0</v>
      </c>
      <c r="N413" s="119">
        <f t="shared" si="34"/>
        <v>1</v>
      </c>
      <c r="O413" s="119">
        <f t="shared" si="35"/>
        <v>0</v>
      </c>
    </row>
    <row r="414" spans="2:15" ht="15" customHeight="1" x14ac:dyDescent="0.25">
      <c r="B414" s="86" t="s">
        <v>786</v>
      </c>
      <c r="C414" s="87" t="s">
        <v>787</v>
      </c>
      <c r="D414" s="82" t="s">
        <v>16</v>
      </c>
      <c r="E414" s="230">
        <v>1</v>
      </c>
      <c r="F414" s="88">
        <v>353927</v>
      </c>
      <c r="G414" s="89">
        <f t="shared" si="31"/>
        <v>353927</v>
      </c>
      <c r="H414" s="118" t="str">
        <f t="array" ref="H414:K414">_xlfn.XLOOKUP(B414,'ESAP NEIVA FASE II UNIFICADO'!$B$6:$B$720,'ESAP NEIVA FASE II UNIFICADO'!$C$6:$F$720,"NO ESTA")</f>
        <v>SUMINISTRO E INSTALACION VALVULA CORTINA 3" 125PSI - PISO 3</v>
      </c>
      <c r="I414" t="str">
        <v>UND</v>
      </c>
      <c r="J414">
        <v>0</v>
      </c>
      <c r="K414">
        <v>363171</v>
      </c>
      <c r="L414">
        <f t="shared" si="32"/>
        <v>1</v>
      </c>
      <c r="M414">
        <f t="shared" si="33"/>
        <v>353927</v>
      </c>
      <c r="N414" s="119">
        <f t="shared" si="34"/>
        <v>1</v>
      </c>
      <c r="O414" s="119">
        <f t="shared" si="35"/>
        <v>353927</v>
      </c>
    </row>
    <row r="415" spans="2:15" ht="15" customHeight="1" x14ac:dyDescent="0.25">
      <c r="B415" s="86" t="s">
        <v>788</v>
      </c>
      <c r="C415" s="87" t="s">
        <v>789</v>
      </c>
      <c r="D415" s="82" t="s">
        <v>16</v>
      </c>
      <c r="E415" s="230">
        <v>1</v>
      </c>
      <c r="F415" s="88">
        <v>494776</v>
      </c>
      <c r="G415" s="89">
        <f t="shared" si="31"/>
        <v>494776</v>
      </c>
      <c r="H415" s="118" t="str">
        <f t="array" ref="H415:K415">_xlfn.XLOOKUP(B415,'ESAP NEIVA FASE II UNIFICADO'!$B$6:$B$720,'ESAP NEIVA FASE II UNIFICADO'!$C$6:$F$720,"NO ESTA")</f>
        <v>SUMINISTRO E INSTALACION VALVULA GLOBO 3" 125PSI - PISO 3</v>
      </c>
      <c r="I415" t="str">
        <v>UND</v>
      </c>
      <c r="J415">
        <v>0</v>
      </c>
      <c r="K415">
        <v>507699</v>
      </c>
      <c r="L415">
        <f t="shared" si="32"/>
        <v>1</v>
      </c>
      <c r="M415">
        <f t="shared" si="33"/>
        <v>494776</v>
      </c>
      <c r="N415" s="119">
        <f t="shared" si="34"/>
        <v>1</v>
      </c>
      <c r="O415" s="119">
        <f t="shared" si="35"/>
        <v>494776</v>
      </c>
    </row>
    <row r="416" spans="2:15" ht="15" customHeight="1" x14ac:dyDescent="0.25">
      <c r="B416" s="86" t="s">
        <v>790</v>
      </c>
      <c r="C416" s="87" t="s">
        <v>791</v>
      </c>
      <c r="D416" s="82" t="s">
        <v>16</v>
      </c>
      <c r="E416" s="230">
        <v>2</v>
      </c>
      <c r="F416" s="88">
        <v>314488</v>
      </c>
      <c r="G416" s="89">
        <f t="shared" si="31"/>
        <v>628976</v>
      </c>
      <c r="H416" s="118" t="str">
        <f t="array" ref="H416:K416">_xlfn.XLOOKUP(B416,'ESAP NEIVA FASE II UNIFICADO'!$B$6:$B$720,'ESAP NEIVA FASE II UNIFICADO'!$C$6:$F$720,"NO ESTA")</f>
        <v>SUMINISTRO E INSTALACION VALVULAS CORTINA 2 1/2" 125PSI - PISOS 2,3,4</v>
      </c>
      <c r="I416" t="str">
        <v>UND</v>
      </c>
      <c r="J416">
        <v>5</v>
      </c>
      <c r="K416">
        <v>322703</v>
      </c>
      <c r="L416">
        <f t="shared" si="32"/>
        <v>0</v>
      </c>
      <c r="M416">
        <f t="shared" si="33"/>
        <v>0</v>
      </c>
      <c r="N416" s="119">
        <f t="shared" si="34"/>
        <v>2</v>
      </c>
      <c r="O416" s="119">
        <f t="shared" si="35"/>
        <v>0</v>
      </c>
    </row>
    <row r="417" spans="2:15" ht="15" customHeight="1" x14ac:dyDescent="0.25">
      <c r="B417" s="86" t="s">
        <v>792</v>
      </c>
      <c r="C417" s="87" t="s">
        <v>793</v>
      </c>
      <c r="D417" s="82" t="s">
        <v>16</v>
      </c>
      <c r="E417" s="230">
        <v>2</v>
      </c>
      <c r="F417" s="88">
        <v>443695</v>
      </c>
      <c r="G417" s="89">
        <f t="shared" si="31"/>
        <v>887390</v>
      </c>
      <c r="H417" s="118" t="str">
        <f t="array" ref="H417:K417">_xlfn.XLOOKUP(B417,'ESAP NEIVA FASE II UNIFICADO'!$B$6:$B$720,'ESAP NEIVA FASE II UNIFICADO'!$C$6:$F$720,"NO ESTA")</f>
        <v>SUMINISTRO E INSTALACION VALVULAS GLOBO 2 1/2" 125PSI - PISOS 2,3,4</v>
      </c>
      <c r="I417" t="str">
        <v>UND</v>
      </c>
      <c r="J417">
        <v>5</v>
      </c>
      <c r="K417">
        <v>455284</v>
      </c>
      <c r="L417">
        <f t="shared" si="32"/>
        <v>0</v>
      </c>
      <c r="M417">
        <f t="shared" si="33"/>
        <v>0</v>
      </c>
      <c r="N417" s="119">
        <f t="shared" si="34"/>
        <v>2</v>
      </c>
      <c r="O417" s="119">
        <f t="shared" si="35"/>
        <v>0</v>
      </c>
    </row>
    <row r="418" spans="2:15" ht="15" customHeight="1" x14ac:dyDescent="0.25">
      <c r="B418" s="86" t="s">
        <v>794</v>
      </c>
      <c r="C418" s="87" t="s">
        <v>795</v>
      </c>
      <c r="D418" s="82" t="s">
        <v>16</v>
      </c>
      <c r="E418" s="230">
        <v>1</v>
      </c>
      <c r="F418" s="88">
        <v>232608</v>
      </c>
      <c r="G418" s="89">
        <f t="shared" si="31"/>
        <v>232608</v>
      </c>
      <c r="H418" s="118" t="str">
        <f t="array" ref="H418:K418">_xlfn.XLOOKUP(B418,'ESAP NEIVA FASE II UNIFICADO'!$B$6:$B$720,'ESAP NEIVA FASE II UNIFICADO'!$C$6:$F$720,"NO ESTA")</f>
        <v>SUMINISTRO E INSTALACION VALVULAS CORTINA 2" 125PSI - PISO 1,4</v>
      </c>
      <c r="I418" t="str">
        <v>UND</v>
      </c>
      <c r="J418">
        <v>1</v>
      </c>
      <c r="K418">
        <v>238683</v>
      </c>
      <c r="L418">
        <f t="shared" si="32"/>
        <v>0</v>
      </c>
      <c r="M418">
        <f t="shared" si="33"/>
        <v>0</v>
      </c>
      <c r="N418" s="119">
        <f t="shared" si="34"/>
        <v>1</v>
      </c>
      <c r="O418" s="119">
        <f t="shared" si="35"/>
        <v>0</v>
      </c>
    </row>
    <row r="419" spans="2:15" ht="15" customHeight="1" x14ac:dyDescent="0.25">
      <c r="B419" s="86" t="s">
        <v>796</v>
      </c>
      <c r="C419" s="87" t="s">
        <v>797</v>
      </c>
      <c r="D419" s="82" t="s">
        <v>16</v>
      </c>
      <c r="E419" s="230">
        <v>1</v>
      </c>
      <c r="F419" s="88">
        <v>253530</v>
      </c>
      <c r="G419" s="89">
        <f t="shared" si="31"/>
        <v>253530</v>
      </c>
      <c r="H419" s="118" t="str">
        <f t="array" ref="H419:K419">_xlfn.XLOOKUP(B419,'ESAP NEIVA FASE II UNIFICADO'!$B$6:$B$720,'ESAP NEIVA FASE II UNIFICADO'!$C$6:$F$720,"NO ESTA")</f>
        <v>SUMINISTRO E INSTALACION VALVULAS GLOBO 2" 125PSI - PISO 1,4</v>
      </c>
      <c r="I419" t="str">
        <v>UND</v>
      </c>
      <c r="J419">
        <v>1</v>
      </c>
      <c r="K419">
        <v>260152</v>
      </c>
      <c r="L419">
        <f t="shared" si="32"/>
        <v>0</v>
      </c>
      <c r="M419">
        <f t="shared" si="33"/>
        <v>0</v>
      </c>
      <c r="N419" s="119">
        <f t="shared" si="34"/>
        <v>1</v>
      </c>
      <c r="O419" s="119">
        <f t="shared" si="35"/>
        <v>0</v>
      </c>
    </row>
    <row r="420" spans="2:15" ht="15" customHeight="1" x14ac:dyDescent="0.25">
      <c r="B420" s="86" t="s">
        <v>798</v>
      </c>
      <c r="C420" s="87" t="s">
        <v>799</v>
      </c>
      <c r="D420" s="82" t="s">
        <v>16</v>
      </c>
      <c r="E420" s="230">
        <v>1</v>
      </c>
      <c r="F420" s="88">
        <v>569896</v>
      </c>
      <c r="G420" s="89">
        <f t="shared" si="31"/>
        <v>569896</v>
      </c>
      <c r="H420" s="118" t="str">
        <f t="array" ref="H420:K420">_xlfn.XLOOKUP(B420,'ESAP NEIVA FASE II UNIFICADO'!$B$6:$B$720,'ESAP NEIVA FASE II UNIFICADO'!$C$6:$F$720,"NO ESTA")</f>
        <v>SUMINISTRO E INSTALACION FILTRO / STRAINER incluye SOPORTERIA</v>
      </c>
      <c r="I420" t="str">
        <v>UND</v>
      </c>
      <c r="J420">
        <v>1</v>
      </c>
      <c r="K420">
        <v>584781</v>
      </c>
      <c r="L420">
        <f t="shared" si="32"/>
        <v>0</v>
      </c>
      <c r="M420">
        <f t="shared" si="33"/>
        <v>0</v>
      </c>
      <c r="N420" s="119">
        <f t="shared" si="34"/>
        <v>1</v>
      </c>
      <c r="O420" s="119">
        <f t="shared" si="35"/>
        <v>0</v>
      </c>
    </row>
    <row r="421" spans="2:15" ht="24" customHeight="1" x14ac:dyDescent="0.25">
      <c r="B421" s="86" t="s">
        <v>800</v>
      </c>
      <c r="C421" s="87" t="s">
        <v>801</v>
      </c>
      <c r="D421" s="82" t="s">
        <v>16</v>
      </c>
      <c r="E421" s="230">
        <v>1</v>
      </c>
      <c r="F421" s="88">
        <v>3131428</v>
      </c>
      <c r="G421" s="89">
        <f t="shared" si="31"/>
        <v>3131428</v>
      </c>
      <c r="H421" s="118" t="str">
        <f t="array" ref="H421:K421">_xlfn.XLOOKUP(B421,'ESAP NEIVA FASE II UNIFICADO'!$B$6:$B$720,'ESAP NEIVA FASE II UNIFICADO'!$C$6:$F$720,"NO ESTA")</f>
        <v>SUMINISTRO E INSTALACION FLANCHES, CABEZALES Y ACCESORIOS VARIOS ASOCIADOS</v>
      </c>
      <c r="I421" t="str">
        <v>UND</v>
      </c>
      <c r="J421">
        <v>1</v>
      </c>
      <c r="K421">
        <v>3213217</v>
      </c>
      <c r="L421">
        <f t="shared" si="32"/>
        <v>0</v>
      </c>
      <c r="M421">
        <f t="shared" si="33"/>
        <v>0</v>
      </c>
      <c r="N421" s="119">
        <f t="shared" si="34"/>
        <v>1</v>
      </c>
      <c r="O421" s="119">
        <f t="shared" si="35"/>
        <v>0</v>
      </c>
    </row>
    <row r="422" spans="2:15" ht="15" customHeight="1" x14ac:dyDescent="0.25">
      <c r="B422" s="86" t="s">
        <v>802</v>
      </c>
      <c r="C422" s="87" t="s">
        <v>803</v>
      </c>
      <c r="D422" s="82" t="s">
        <v>16</v>
      </c>
      <c r="E422" s="230">
        <v>2</v>
      </c>
      <c r="F422" s="88">
        <v>980458</v>
      </c>
      <c r="G422" s="89">
        <f t="shared" si="31"/>
        <v>1960916</v>
      </c>
      <c r="H422" s="118" t="str">
        <f t="array" ref="H422:K422">_xlfn.XLOOKUP(B422,'ESAP NEIVA FASE II UNIFICADO'!$B$6:$B$720,'ESAP NEIVA FASE II UNIFICADO'!$C$6:$F$720,"NO ESTA")</f>
        <v>SUMINISTRO E INSTALACION JUNTAS FLEXIBLES CHILLER 4"</v>
      </c>
      <c r="I422" t="str">
        <v>UND</v>
      </c>
      <c r="J422">
        <v>2</v>
      </c>
      <c r="K422">
        <v>1006067</v>
      </c>
      <c r="L422">
        <f t="shared" si="32"/>
        <v>0</v>
      </c>
      <c r="M422">
        <f t="shared" si="33"/>
        <v>0</v>
      </c>
      <c r="N422" s="119">
        <f t="shared" si="34"/>
        <v>2</v>
      </c>
      <c r="O422" s="119">
        <f t="shared" si="35"/>
        <v>0</v>
      </c>
    </row>
    <row r="423" spans="2:15" ht="15" customHeight="1" x14ac:dyDescent="0.25">
      <c r="B423" s="86" t="s">
        <v>804</v>
      </c>
      <c r="C423" s="87" t="s">
        <v>805</v>
      </c>
      <c r="D423" s="82" t="s">
        <v>16</v>
      </c>
      <c r="E423" s="230">
        <v>2</v>
      </c>
      <c r="F423" s="88">
        <v>936475</v>
      </c>
      <c r="G423" s="89">
        <f t="shared" si="31"/>
        <v>1872950</v>
      </c>
      <c r="H423" s="118" t="str">
        <f t="array" ref="H423:K423">_xlfn.XLOOKUP(B423,'ESAP NEIVA FASE II UNIFICADO'!$B$6:$B$720,'ESAP NEIVA FASE II UNIFICADO'!$C$6:$F$720,"NO ESTA")</f>
        <v>SUMINISTRO E INSTALACION JUNTAS FLEXIBLES BOMBA VERTICAL 3"</v>
      </c>
      <c r="I423" t="str">
        <v>UND</v>
      </c>
      <c r="J423">
        <v>2</v>
      </c>
      <c r="K423">
        <v>960934</v>
      </c>
      <c r="L423">
        <f t="shared" si="32"/>
        <v>0</v>
      </c>
      <c r="M423">
        <f t="shared" si="33"/>
        <v>0</v>
      </c>
      <c r="N423" s="119">
        <f t="shared" si="34"/>
        <v>2</v>
      </c>
      <c r="O423" s="119">
        <f t="shared" si="35"/>
        <v>0</v>
      </c>
    </row>
    <row r="424" spans="2:15" ht="15" customHeight="1" x14ac:dyDescent="0.25">
      <c r="B424" s="86" t="s">
        <v>806</v>
      </c>
      <c r="C424" s="87" t="s">
        <v>807</v>
      </c>
      <c r="D424" s="82" t="s">
        <v>16</v>
      </c>
      <c r="E424" s="230">
        <v>1</v>
      </c>
      <c r="F424" s="88">
        <v>247647</v>
      </c>
      <c r="G424" s="89">
        <f t="shared" si="31"/>
        <v>247647</v>
      </c>
      <c r="H424" s="118" t="str">
        <f t="array" ref="H424:K424">_xlfn.XLOOKUP(B424,'ESAP NEIVA FASE II UNIFICADO'!$B$6:$B$720,'ESAP NEIVA FASE II UNIFICADO'!$C$6:$F$720,"NO ESTA")</f>
        <v>SUMINISTRO E INSTALACION VALVULA DE CORTINA 2" FC 150 PSI</v>
      </c>
      <c r="I424" t="str">
        <v>UND</v>
      </c>
      <c r="J424">
        <v>0</v>
      </c>
      <c r="K424">
        <v>254114</v>
      </c>
      <c r="L424">
        <f t="shared" si="32"/>
        <v>1</v>
      </c>
      <c r="M424">
        <f t="shared" si="33"/>
        <v>247647</v>
      </c>
      <c r="N424" s="119">
        <f t="shared" si="34"/>
        <v>1</v>
      </c>
      <c r="O424" s="119">
        <f t="shared" si="35"/>
        <v>247647</v>
      </c>
    </row>
    <row r="425" spans="2:15" ht="15" customHeight="1" x14ac:dyDescent="0.25">
      <c r="B425" s="86" t="s">
        <v>808</v>
      </c>
      <c r="C425" s="87" t="s">
        <v>809</v>
      </c>
      <c r="D425" s="82" t="s">
        <v>16</v>
      </c>
      <c r="E425" s="230">
        <v>1</v>
      </c>
      <c r="F425" s="88">
        <v>275628</v>
      </c>
      <c r="G425" s="89">
        <f t="shared" si="31"/>
        <v>275628</v>
      </c>
      <c r="H425" s="118" t="str">
        <f t="array" ref="H425:K425">_xlfn.XLOOKUP(B425,'ESAP NEIVA FASE II UNIFICADO'!$B$6:$B$720,'ESAP NEIVA FASE II UNIFICADO'!$C$6:$F$720,"NO ESTA")</f>
        <v>SUMINISTRO E INSTALACION VALVULA DE GLOBO 2" FC 150 PSI</v>
      </c>
      <c r="I425" t="str">
        <v>UND</v>
      </c>
      <c r="J425">
        <v>0</v>
      </c>
      <c r="K425">
        <v>282827</v>
      </c>
      <c r="L425">
        <f t="shared" si="32"/>
        <v>1</v>
      </c>
      <c r="M425">
        <f t="shared" si="33"/>
        <v>275628</v>
      </c>
      <c r="N425" s="119">
        <f t="shared" si="34"/>
        <v>1</v>
      </c>
      <c r="O425" s="119">
        <f t="shared" si="35"/>
        <v>275628</v>
      </c>
    </row>
    <row r="426" spans="2:15" ht="15" customHeight="1" x14ac:dyDescent="0.25">
      <c r="B426" s="86" t="s">
        <v>810</v>
      </c>
      <c r="C426" s="87" t="s">
        <v>811</v>
      </c>
      <c r="D426" s="82" t="s">
        <v>16</v>
      </c>
      <c r="E426" s="230">
        <v>6</v>
      </c>
      <c r="F426" s="88">
        <v>209281</v>
      </c>
      <c r="G426" s="89">
        <f t="shared" si="31"/>
        <v>1255686</v>
      </c>
      <c r="H426" s="118" t="str">
        <f t="array" ref="H426:K426">_xlfn.XLOOKUP(B426,'ESAP NEIVA FASE II UNIFICADO'!$B$6:$B$720,'ESAP NEIVA FASE II UNIFICADO'!$C$6:$F$720,"NO ESTA")</f>
        <v>SUMINISTRO E INSTALACION VALVULAS DE CORTINA 1 1/4" FC 125 PSI</v>
      </c>
      <c r="I426" t="str">
        <v>UND</v>
      </c>
      <c r="J426">
        <v>17</v>
      </c>
      <c r="K426">
        <v>214747</v>
      </c>
      <c r="L426">
        <f t="shared" si="32"/>
        <v>0</v>
      </c>
      <c r="M426">
        <f t="shared" si="33"/>
        <v>0</v>
      </c>
      <c r="N426" s="119">
        <f t="shared" si="34"/>
        <v>6</v>
      </c>
      <c r="O426" s="119">
        <f t="shared" si="35"/>
        <v>0</v>
      </c>
    </row>
    <row r="427" spans="2:15" ht="15" customHeight="1" x14ac:dyDescent="0.25">
      <c r="B427" s="86" t="s">
        <v>812</v>
      </c>
      <c r="C427" s="87" t="s">
        <v>813</v>
      </c>
      <c r="D427" s="82" t="s">
        <v>16</v>
      </c>
      <c r="E427" s="230">
        <v>6</v>
      </c>
      <c r="F427" s="88">
        <v>315952</v>
      </c>
      <c r="G427" s="89">
        <f t="shared" si="31"/>
        <v>1895712</v>
      </c>
      <c r="H427" s="118" t="str">
        <f t="array" ref="H427:K427">_xlfn.XLOOKUP(B427,'ESAP NEIVA FASE II UNIFICADO'!$B$6:$B$720,'ESAP NEIVA FASE II UNIFICADO'!$C$6:$F$720,"NO ESTA")</f>
        <v>SUMINISTRO E INSTALACION VALVULAS DE GLOBO 1 1/4" FC 125 PSI</v>
      </c>
      <c r="I427" t="str">
        <v>UND</v>
      </c>
      <c r="J427">
        <v>17</v>
      </c>
      <c r="K427">
        <v>324203</v>
      </c>
      <c r="L427">
        <f t="shared" si="32"/>
        <v>0</v>
      </c>
      <c r="M427">
        <f t="shared" si="33"/>
        <v>0</v>
      </c>
      <c r="N427" s="119">
        <f t="shared" si="34"/>
        <v>6</v>
      </c>
      <c r="O427" s="119">
        <f t="shared" si="35"/>
        <v>0</v>
      </c>
    </row>
    <row r="428" spans="2:15" ht="15" customHeight="1" x14ac:dyDescent="0.25">
      <c r="B428" s="86" t="s">
        <v>814</v>
      </c>
      <c r="C428" s="87" t="s">
        <v>815</v>
      </c>
      <c r="D428" s="82" t="s">
        <v>16</v>
      </c>
      <c r="E428" s="230">
        <v>1</v>
      </c>
      <c r="F428" s="88">
        <v>228061</v>
      </c>
      <c r="G428" s="89">
        <f t="shared" si="31"/>
        <v>228061</v>
      </c>
      <c r="H428" s="118" t="str">
        <f t="array" ref="H428:K428">_xlfn.XLOOKUP(B428,'ESAP NEIVA FASE II UNIFICADO'!$B$6:$B$720,'ESAP NEIVA FASE II UNIFICADO'!$C$6:$F$720,"NO ESTA")</f>
        <v>SUMINISTRO E INSTALACION VALVULAS DE CORTINA 1 1/2" FC 125-150 PSI</v>
      </c>
      <c r="I428" t="str">
        <v>UND</v>
      </c>
      <c r="J428">
        <v>1</v>
      </c>
      <c r="K428">
        <v>234017</v>
      </c>
      <c r="L428">
        <f t="shared" si="32"/>
        <v>0</v>
      </c>
      <c r="M428">
        <f t="shared" si="33"/>
        <v>0</v>
      </c>
      <c r="N428" s="119">
        <f t="shared" si="34"/>
        <v>1</v>
      </c>
      <c r="O428" s="119">
        <f t="shared" si="35"/>
        <v>0</v>
      </c>
    </row>
    <row r="429" spans="2:15" ht="15" customHeight="1" x14ac:dyDescent="0.25">
      <c r="B429" s="86" t="s">
        <v>816</v>
      </c>
      <c r="C429" s="87" t="s">
        <v>817</v>
      </c>
      <c r="D429" s="82" t="s">
        <v>16</v>
      </c>
      <c r="E429" s="230">
        <v>1</v>
      </c>
      <c r="F429" s="88">
        <v>328221</v>
      </c>
      <c r="G429" s="89">
        <f t="shared" si="31"/>
        <v>328221</v>
      </c>
      <c r="H429" s="118" t="str">
        <f t="array" ref="H429:K429">_xlfn.XLOOKUP(B429,'ESAP NEIVA FASE II UNIFICADO'!$B$6:$B$720,'ESAP NEIVA FASE II UNIFICADO'!$C$6:$F$720,"NO ESTA")</f>
        <v>SUMINISTRO E INSTALACIONVALVULAS DE GLOBO 1   1/2" FC 125-150 PSI</v>
      </c>
      <c r="I429" t="str">
        <v>UND</v>
      </c>
      <c r="J429">
        <v>1</v>
      </c>
      <c r="K429">
        <v>336793</v>
      </c>
      <c r="L429">
        <f t="shared" si="32"/>
        <v>0</v>
      </c>
      <c r="M429">
        <f t="shared" si="33"/>
        <v>0</v>
      </c>
      <c r="N429" s="119">
        <f t="shared" si="34"/>
        <v>1</v>
      </c>
      <c r="O429" s="119">
        <f t="shared" si="35"/>
        <v>0</v>
      </c>
    </row>
    <row r="430" spans="2:15" ht="15" customHeight="1" x14ac:dyDescent="0.25">
      <c r="B430" s="86" t="s">
        <v>818</v>
      </c>
      <c r="C430" s="87" t="s">
        <v>819</v>
      </c>
      <c r="D430" s="82" t="s">
        <v>16</v>
      </c>
      <c r="E430" s="230">
        <v>2</v>
      </c>
      <c r="F430" s="88">
        <v>152941</v>
      </c>
      <c r="G430" s="89">
        <f t="shared" si="31"/>
        <v>305882</v>
      </c>
      <c r="H430" s="118" t="str">
        <f t="array" ref="H430:K430">_xlfn.XLOOKUP(B430,'ESAP NEIVA FASE II UNIFICADO'!$B$6:$B$720,'ESAP NEIVA FASE II UNIFICADO'!$C$6:$F$720,"NO ESTA")</f>
        <v>SUMINISTRO E INSTALACION VALVULAS DE CORTINA 1" FC 125 PSI</v>
      </c>
      <c r="I430" t="str">
        <v>UND</v>
      </c>
      <c r="J430">
        <v>2</v>
      </c>
      <c r="K430">
        <v>156935</v>
      </c>
      <c r="L430">
        <f t="shared" si="32"/>
        <v>0</v>
      </c>
      <c r="M430">
        <f t="shared" si="33"/>
        <v>0</v>
      </c>
      <c r="N430" s="119">
        <f t="shared" si="34"/>
        <v>2</v>
      </c>
      <c r="O430" s="119">
        <f t="shared" si="35"/>
        <v>0</v>
      </c>
    </row>
    <row r="431" spans="2:15" ht="15" customHeight="1" x14ac:dyDescent="0.25">
      <c r="B431" s="86" t="s">
        <v>820</v>
      </c>
      <c r="C431" s="87" t="s">
        <v>821</v>
      </c>
      <c r="D431" s="82" t="s">
        <v>16</v>
      </c>
      <c r="E431" s="230">
        <v>2</v>
      </c>
      <c r="F431" s="88">
        <v>190501</v>
      </c>
      <c r="G431" s="89">
        <f t="shared" si="31"/>
        <v>381002</v>
      </c>
      <c r="H431" s="118" t="str">
        <f t="array" ref="H431:K431">_xlfn.XLOOKUP(B431,'ESAP NEIVA FASE II UNIFICADO'!$B$6:$B$720,'ESAP NEIVA FASE II UNIFICADO'!$C$6:$F$720,"NO ESTA")</f>
        <v>SUMINISTRO E INSTALACION VALVULAS DE GLOBO 1" FC 125 PSI</v>
      </c>
      <c r="I431" t="str">
        <v>UND</v>
      </c>
      <c r="J431">
        <v>2</v>
      </c>
      <c r="K431">
        <v>195476</v>
      </c>
      <c r="L431">
        <f t="shared" si="32"/>
        <v>0</v>
      </c>
      <c r="M431">
        <f t="shared" si="33"/>
        <v>0</v>
      </c>
      <c r="N431" s="119">
        <f t="shared" si="34"/>
        <v>2</v>
      </c>
      <c r="O431" s="119">
        <f t="shared" si="35"/>
        <v>0</v>
      </c>
    </row>
    <row r="432" spans="2:15" ht="15" customHeight="1" x14ac:dyDescent="0.25">
      <c r="B432" s="86" t="s">
        <v>822</v>
      </c>
      <c r="C432" s="87" t="s">
        <v>823</v>
      </c>
      <c r="D432" s="82" t="s">
        <v>16</v>
      </c>
      <c r="E432" s="230">
        <v>4</v>
      </c>
      <c r="F432" s="88">
        <v>122306</v>
      </c>
      <c r="G432" s="89">
        <f t="shared" si="31"/>
        <v>489224</v>
      </c>
      <c r="H432" s="118" t="str">
        <f t="array" ref="H432:K432">_xlfn.XLOOKUP(B432,'ESAP NEIVA FASE II UNIFICADO'!$B$6:$B$720,'ESAP NEIVA FASE II UNIFICADO'!$C$6:$F$720,"NO ESTA")</f>
        <v>SUMINISTRO E INSTALACION VALVULAS DE CORTINA 3/4" FC 125 PSI</v>
      </c>
      <c r="I432" t="str">
        <v>UND</v>
      </c>
      <c r="J432">
        <v>4</v>
      </c>
      <c r="K432">
        <v>125501</v>
      </c>
      <c r="L432">
        <f t="shared" si="32"/>
        <v>0</v>
      </c>
      <c r="M432">
        <f t="shared" si="33"/>
        <v>0</v>
      </c>
      <c r="N432" s="119">
        <f t="shared" si="34"/>
        <v>4</v>
      </c>
      <c r="O432" s="119">
        <f t="shared" si="35"/>
        <v>0</v>
      </c>
    </row>
    <row r="433" spans="2:15" ht="15" customHeight="1" x14ac:dyDescent="0.25">
      <c r="B433" s="86" t="s">
        <v>824</v>
      </c>
      <c r="C433" s="87" t="s">
        <v>825</v>
      </c>
      <c r="D433" s="82" t="s">
        <v>16</v>
      </c>
      <c r="E433" s="230">
        <v>4</v>
      </c>
      <c r="F433" s="88">
        <v>156737</v>
      </c>
      <c r="G433" s="89">
        <f t="shared" si="31"/>
        <v>626948</v>
      </c>
      <c r="H433" s="118" t="str">
        <f t="array" ref="H433:K433">_xlfn.XLOOKUP(B433,'ESAP NEIVA FASE II UNIFICADO'!$B$6:$B$720,'ESAP NEIVA FASE II UNIFICADO'!$C$6:$F$720,"NO ESTA")</f>
        <v>SUMINISTRO E INSTALACION VALVULAS DE GLOBO 3/4" FC 125 PSI</v>
      </c>
      <c r="I433" t="str">
        <v>UND</v>
      </c>
      <c r="J433">
        <v>4</v>
      </c>
      <c r="K433">
        <v>160830</v>
      </c>
      <c r="L433">
        <f t="shared" si="32"/>
        <v>0</v>
      </c>
      <c r="M433">
        <f t="shared" si="33"/>
        <v>0</v>
      </c>
      <c r="N433" s="119">
        <f t="shared" si="34"/>
        <v>4</v>
      </c>
      <c r="O433" s="119">
        <f t="shared" si="35"/>
        <v>0</v>
      </c>
    </row>
    <row r="434" spans="2:15" ht="15" customHeight="1" x14ac:dyDescent="0.25">
      <c r="B434" s="86" t="s">
        <v>826</v>
      </c>
      <c r="C434" s="87" t="s">
        <v>827</v>
      </c>
      <c r="D434" s="82" t="s">
        <v>16</v>
      </c>
      <c r="E434" s="230">
        <v>2</v>
      </c>
      <c r="F434" s="88">
        <v>190501</v>
      </c>
      <c r="G434" s="89">
        <f t="shared" si="31"/>
        <v>381002</v>
      </c>
      <c r="H434" s="118" t="str">
        <f t="array" ref="H434:K434">_xlfn.XLOOKUP(B434,'ESAP NEIVA FASE II UNIFICADO'!$B$6:$B$720,'ESAP NEIVA FASE II UNIFICADO'!$C$6:$F$720,"NO ESTA")</f>
        <v>SUMINISTRO E INSTALACION TERMOTATOS DIGITALES NO PROGRAMABLES FC</v>
      </c>
      <c r="I434" t="str">
        <v>UND</v>
      </c>
      <c r="J434">
        <v>6</v>
      </c>
      <c r="K434">
        <v>195476</v>
      </c>
      <c r="L434">
        <f t="shared" si="32"/>
        <v>0</v>
      </c>
      <c r="M434">
        <f t="shared" si="33"/>
        <v>0</v>
      </c>
      <c r="N434" s="119">
        <f t="shared" si="34"/>
        <v>2</v>
      </c>
      <c r="O434" s="119">
        <f t="shared" si="35"/>
        <v>0</v>
      </c>
    </row>
    <row r="435" spans="2:15" ht="15" customHeight="1" x14ac:dyDescent="0.25">
      <c r="B435" s="86" t="s">
        <v>828</v>
      </c>
      <c r="C435" s="87" t="s">
        <v>829</v>
      </c>
      <c r="D435" s="82" t="s">
        <v>16</v>
      </c>
      <c r="E435" s="230">
        <v>8</v>
      </c>
      <c r="F435" s="88">
        <v>315701</v>
      </c>
      <c r="G435" s="89">
        <f t="shared" si="31"/>
        <v>2525608</v>
      </c>
      <c r="H435" s="118" t="str">
        <f t="array" ref="H435:K435">_xlfn.XLOOKUP(B435,'ESAP NEIVA FASE II UNIFICADO'!$B$6:$B$720,'ESAP NEIVA FASE II UNIFICADO'!$C$6:$F$720,"NO ESTA")</f>
        <v xml:space="preserve">SUMINISTRO E INSTALACION TERMOSTATOS PROPORCIONALES DIGITALES </v>
      </c>
      <c r="I435" t="str">
        <v>UND</v>
      </c>
      <c r="J435">
        <v>22</v>
      </c>
      <c r="K435">
        <v>323946</v>
      </c>
      <c r="L435">
        <f t="shared" si="32"/>
        <v>0</v>
      </c>
      <c r="M435">
        <f t="shared" si="33"/>
        <v>0</v>
      </c>
      <c r="N435" s="119">
        <f t="shared" si="34"/>
        <v>8</v>
      </c>
      <c r="O435" s="119">
        <f t="shared" si="35"/>
        <v>0</v>
      </c>
    </row>
    <row r="436" spans="2:15" ht="15" customHeight="1" x14ac:dyDescent="0.25">
      <c r="B436" s="86" t="s">
        <v>830</v>
      </c>
      <c r="C436" s="87" t="s">
        <v>831</v>
      </c>
      <c r="D436" s="82" t="s">
        <v>16</v>
      </c>
      <c r="E436" s="230">
        <v>2</v>
      </c>
      <c r="F436" s="88">
        <v>240581</v>
      </c>
      <c r="G436" s="89">
        <f t="shared" si="31"/>
        <v>481162</v>
      </c>
      <c r="H436" s="118" t="str">
        <f t="array" ref="H436:K436">_xlfn.XLOOKUP(B436,'ESAP NEIVA FASE II UNIFICADO'!$B$6:$B$720,'ESAP NEIVA FASE II UNIFICADO'!$C$6:$F$720,"NO ESTA")</f>
        <v>SUMINISTRO E INSTALACION ELECTROVALVULAS ON-OFF  110V</v>
      </c>
      <c r="I436" t="str">
        <v>UND</v>
      </c>
      <c r="J436">
        <v>6</v>
      </c>
      <c r="K436">
        <v>246864</v>
      </c>
      <c r="L436">
        <f t="shared" si="32"/>
        <v>0</v>
      </c>
      <c r="M436">
        <f t="shared" si="33"/>
        <v>0</v>
      </c>
      <c r="N436" s="119">
        <f t="shared" si="34"/>
        <v>2</v>
      </c>
      <c r="O436" s="119">
        <f t="shared" si="35"/>
        <v>0</v>
      </c>
    </row>
    <row r="437" spans="2:15" ht="15" customHeight="1" x14ac:dyDescent="0.25">
      <c r="B437" s="86" t="s">
        <v>832</v>
      </c>
      <c r="C437" s="87" t="s">
        <v>833</v>
      </c>
      <c r="D437" s="82" t="s">
        <v>16</v>
      </c>
      <c r="E437" s="230">
        <v>1</v>
      </c>
      <c r="F437" s="88">
        <v>797720</v>
      </c>
      <c r="G437" s="89">
        <f t="shared" si="31"/>
        <v>797720</v>
      </c>
      <c r="H437" s="118" t="str">
        <f t="array" ref="H437:K437">_xlfn.XLOOKUP(B437,'ESAP NEIVA FASE II UNIFICADO'!$B$6:$B$720,'ESAP NEIVA FASE II UNIFICADO'!$C$6:$F$720,"NO ESTA")</f>
        <v>SUMINISTRO E INSTALACION ELECTROVALVULAS PROPORCIONALES 2 " - 2 VIAS - 24V</v>
      </c>
      <c r="I437" t="str">
        <v>UND</v>
      </c>
      <c r="J437">
        <v>0</v>
      </c>
      <c r="K437">
        <v>818556</v>
      </c>
      <c r="L437">
        <f t="shared" si="32"/>
        <v>1</v>
      </c>
      <c r="M437">
        <f t="shared" si="33"/>
        <v>797720</v>
      </c>
      <c r="N437" s="119">
        <f t="shared" si="34"/>
        <v>1</v>
      </c>
      <c r="O437" s="119">
        <f t="shared" si="35"/>
        <v>797720</v>
      </c>
    </row>
    <row r="438" spans="2:15" ht="27.75" customHeight="1" x14ac:dyDescent="0.25">
      <c r="B438" s="86" t="s">
        <v>834</v>
      </c>
      <c r="C438" s="87" t="s">
        <v>835</v>
      </c>
      <c r="D438" s="82" t="s">
        <v>16</v>
      </c>
      <c r="E438" s="230">
        <v>1</v>
      </c>
      <c r="F438" s="88">
        <v>797720</v>
      </c>
      <c r="G438" s="89">
        <f t="shared" si="31"/>
        <v>797720</v>
      </c>
      <c r="H438" s="118" t="str">
        <f t="array" ref="H438:K438">_xlfn.XLOOKUP(B438,'ESAP NEIVA FASE II UNIFICADO'!$B$6:$B$720,'ESAP NEIVA FASE II UNIFICADO'!$C$6:$F$720,"NO ESTA")</f>
        <v>SUMINISTRO E INSTALACION ELECTROVALVULAS PROPORCIONALES  1 1/2 " - 2 VIAS - 24V</v>
      </c>
      <c r="I438" t="str">
        <v>UND</v>
      </c>
      <c r="J438">
        <v>2</v>
      </c>
      <c r="K438">
        <v>818556</v>
      </c>
      <c r="L438">
        <f t="shared" si="32"/>
        <v>0</v>
      </c>
      <c r="M438">
        <f t="shared" si="33"/>
        <v>0</v>
      </c>
      <c r="N438" s="119">
        <f t="shared" si="34"/>
        <v>1</v>
      </c>
      <c r="O438" s="119">
        <f t="shared" si="35"/>
        <v>0</v>
      </c>
    </row>
    <row r="439" spans="2:15" ht="27.75" customHeight="1" x14ac:dyDescent="0.25">
      <c r="B439" s="86" t="s">
        <v>836</v>
      </c>
      <c r="C439" s="87" t="s">
        <v>837</v>
      </c>
      <c r="D439" s="82" t="s">
        <v>16</v>
      </c>
      <c r="E439" s="230">
        <v>1</v>
      </c>
      <c r="F439" s="88">
        <v>797720</v>
      </c>
      <c r="G439" s="89">
        <f t="shared" si="31"/>
        <v>797720</v>
      </c>
      <c r="H439" s="118" t="str">
        <f t="array" ref="H439:K439">_xlfn.XLOOKUP(B439,'ESAP NEIVA FASE II UNIFICADO'!$B$6:$B$720,'ESAP NEIVA FASE II UNIFICADO'!$C$6:$F$720,"NO ESTA")</f>
        <v>SUMINISTRO E INSTALACION ELECTROVALVULAS PROPORCIONALES  1 1/2 " - 3 VIAS - 24V</v>
      </c>
      <c r="I439" t="str">
        <v>UND</v>
      </c>
      <c r="J439">
        <v>0</v>
      </c>
      <c r="K439">
        <v>818556</v>
      </c>
      <c r="L439">
        <f t="shared" si="32"/>
        <v>1</v>
      </c>
      <c r="M439">
        <f t="shared" si="33"/>
        <v>797720</v>
      </c>
      <c r="N439" s="119">
        <f t="shared" si="34"/>
        <v>1</v>
      </c>
      <c r="O439" s="119">
        <f t="shared" si="35"/>
        <v>797720</v>
      </c>
    </row>
    <row r="440" spans="2:15" ht="15" customHeight="1" x14ac:dyDescent="0.25">
      <c r="B440" s="86" t="s">
        <v>838</v>
      </c>
      <c r="C440" s="87" t="s">
        <v>839</v>
      </c>
      <c r="D440" s="82" t="s">
        <v>16</v>
      </c>
      <c r="E440" s="230">
        <v>5</v>
      </c>
      <c r="F440" s="88">
        <v>703821</v>
      </c>
      <c r="G440" s="89">
        <f t="shared" si="31"/>
        <v>3519105</v>
      </c>
      <c r="H440" s="118" t="str">
        <f t="array" ref="H440:K440">_xlfn.XLOOKUP(B440,'ESAP NEIVA FASE II UNIFICADO'!$B$6:$B$720,'ESAP NEIVA FASE II UNIFICADO'!$C$6:$F$720,"NO ESTA")</f>
        <v>SUMINISTRO E INSTALACION ELECTROVALVULAS PROPORCIONALES 1 1/4 " - 24V</v>
      </c>
      <c r="I440" t="str">
        <v>UND</v>
      </c>
      <c r="J440">
        <v>15</v>
      </c>
      <c r="K440">
        <v>722203</v>
      </c>
      <c r="L440">
        <f t="shared" si="32"/>
        <v>0</v>
      </c>
      <c r="M440">
        <f t="shared" si="33"/>
        <v>0</v>
      </c>
      <c r="N440" s="119">
        <f t="shared" si="34"/>
        <v>5</v>
      </c>
      <c r="O440" s="119">
        <f t="shared" si="35"/>
        <v>0</v>
      </c>
    </row>
    <row r="441" spans="2:15" ht="15" customHeight="1" x14ac:dyDescent="0.25">
      <c r="B441" s="86" t="s">
        <v>840</v>
      </c>
      <c r="C441" s="87" t="s">
        <v>841</v>
      </c>
      <c r="D441" s="82" t="s">
        <v>16</v>
      </c>
      <c r="E441" s="230">
        <v>1</v>
      </c>
      <c r="F441" s="88">
        <v>567603</v>
      </c>
      <c r="G441" s="89">
        <f t="shared" si="31"/>
        <v>567603</v>
      </c>
      <c r="H441" s="118" t="str">
        <f t="array" ref="H441:K441">_xlfn.XLOOKUP(B441,'ESAP NEIVA FASE II UNIFICADO'!$B$6:$B$720,'ESAP NEIVA FASE II UNIFICADO'!$C$6:$F$720,"NO ESTA")</f>
        <v>SUMINISTRO E INSTALACION ELECTROVALVULAS PROPORCIONALES 1 " - 24V</v>
      </c>
      <c r="I441" t="str">
        <v>UND</v>
      </c>
      <c r="J441">
        <v>0</v>
      </c>
      <c r="K441">
        <v>582428</v>
      </c>
      <c r="L441">
        <f t="shared" si="32"/>
        <v>1</v>
      </c>
      <c r="M441">
        <f t="shared" si="33"/>
        <v>567603</v>
      </c>
      <c r="N441" s="119">
        <f t="shared" si="34"/>
        <v>1</v>
      </c>
      <c r="O441" s="119">
        <f t="shared" si="35"/>
        <v>567603</v>
      </c>
    </row>
    <row r="442" spans="2:15" ht="15" customHeight="1" x14ac:dyDescent="0.25">
      <c r="B442" s="80" t="s">
        <v>842</v>
      </c>
      <c r="C442" s="81" t="s">
        <v>843</v>
      </c>
      <c r="D442" s="82"/>
      <c r="E442" s="230"/>
      <c r="F442" s="90">
        <v>0</v>
      </c>
      <c r="G442" s="89">
        <f t="shared" si="31"/>
        <v>0</v>
      </c>
      <c r="H442" s="118" t="str">
        <f t="array" ref="H442:K442">_xlfn.XLOOKUP(B442,'ESAP NEIVA FASE II UNIFICADO'!$B$6:$B$720,'ESAP NEIVA FASE II UNIFICADO'!$C$6:$F$720,"NO ESTA")</f>
        <v>SUMINISTRO, MONTAJE E INSTALACIÓN DE DUCTOS DE AIRE ACONDICIONADO</v>
      </c>
      <c r="I442">
        <v>0</v>
      </c>
      <c r="J442">
        <v>0</v>
      </c>
      <c r="K442">
        <v>0</v>
      </c>
      <c r="L442">
        <f t="shared" si="32"/>
        <v>1</v>
      </c>
      <c r="M442">
        <f t="shared" si="33"/>
        <v>0</v>
      </c>
      <c r="N442" s="119">
        <f t="shared" si="34"/>
        <v>0</v>
      </c>
      <c r="O442" s="119">
        <f t="shared" si="35"/>
        <v>0</v>
      </c>
    </row>
    <row r="443" spans="2:15" ht="15" customHeight="1" x14ac:dyDescent="0.25">
      <c r="B443" s="86" t="s">
        <v>844</v>
      </c>
      <c r="C443" s="87" t="s">
        <v>845</v>
      </c>
      <c r="D443" s="82" t="s">
        <v>13</v>
      </c>
      <c r="E443" s="230">
        <v>28</v>
      </c>
      <c r="F443" s="88">
        <v>62181</v>
      </c>
      <c r="G443" s="89">
        <f t="shared" si="31"/>
        <v>1741068</v>
      </c>
      <c r="H443" s="118" t="str">
        <f t="array" ref="H443:K443">_xlfn.XLOOKUP(B443,'ESAP NEIVA FASE II UNIFICADO'!$B$6:$B$720,'ESAP NEIVA FASE II UNIFICADO'!$C$6:$F$720,"NO ESTA")</f>
        <v>SUMINISTRO E INSTALACION DUCTOS EN LAMINA GALVANIZADA CAL. 24 Wrap FC</v>
      </c>
      <c r="I443" t="str">
        <v>M2</v>
      </c>
      <c r="J443">
        <v>77</v>
      </c>
      <c r="K443">
        <v>63805</v>
      </c>
      <c r="L443">
        <f t="shared" si="32"/>
        <v>0</v>
      </c>
      <c r="M443">
        <f t="shared" si="33"/>
        <v>0</v>
      </c>
      <c r="N443" s="119">
        <f t="shared" si="34"/>
        <v>28</v>
      </c>
      <c r="O443" s="119">
        <f t="shared" si="35"/>
        <v>0</v>
      </c>
    </row>
    <row r="444" spans="2:15" ht="15" customHeight="1" x14ac:dyDescent="0.25">
      <c r="B444" s="86" t="s">
        <v>846</v>
      </c>
      <c r="C444" s="87" t="s">
        <v>847</v>
      </c>
      <c r="D444" s="82" t="s">
        <v>13</v>
      </c>
      <c r="E444" s="230">
        <v>200</v>
      </c>
      <c r="F444" s="88">
        <v>68392</v>
      </c>
      <c r="G444" s="89">
        <f t="shared" si="31"/>
        <v>13678400</v>
      </c>
      <c r="H444" s="118" t="str">
        <f t="array" ref="H444:K444">_xlfn.XLOOKUP(B444,'ESAP NEIVA FASE II UNIFICADO'!$B$6:$B$720,'ESAP NEIVA FASE II UNIFICADO'!$C$6:$F$720,"NO ESTA")</f>
        <v>SUMINISTRO E INSTALACION DUCTOS EN LAMINA GALVANIZADA CAL. 22 Wrap FC</v>
      </c>
      <c r="I444" t="str">
        <v>M2</v>
      </c>
      <c r="J444">
        <v>540</v>
      </c>
      <c r="K444">
        <v>70179</v>
      </c>
      <c r="L444">
        <f t="shared" si="32"/>
        <v>0</v>
      </c>
      <c r="M444">
        <f t="shared" si="33"/>
        <v>0</v>
      </c>
      <c r="N444" s="119">
        <f t="shared" si="34"/>
        <v>200</v>
      </c>
      <c r="O444" s="119">
        <f t="shared" si="35"/>
        <v>0</v>
      </c>
    </row>
    <row r="445" spans="2:15" ht="15" customHeight="1" x14ac:dyDescent="0.25">
      <c r="B445" s="86" t="s">
        <v>848</v>
      </c>
      <c r="C445" s="87" t="s">
        <v>849</v>
      </c>
      <c r="D445" s="82" t="s">
        <v>13</v>
      </c>
      <c r="E445" s="230">
        <v>228</v>
      </c>
      <c r="F445" s="88">
        <v>18961</v>
      </c>
      <c r="G445" s="89">
        <f t="shared" si="31"/>
        <v>4323108</v>
      </c>
      <c r="H445" s="118" t="str">
        <f t="array" ref="H445:K445">_xlfn.XLOOKUP(B445,'ESAP NEIVA FASE II UNIFICADO'!$B$6:$B$720,'ESAP NEIVA FASE II UNIFICADO'!$C$6:$F$720,"NO ESTA")</f>
        <v>SUMINISTRO E INSTALACION AISLAMIENTO DUCTOS EN JUMBOLON FC</v>
      </c>
      <c r="I445" t="str">
        <v>M2</v>
      </c>
      <c r="J445">
        <v>617</v>
      </c>
      <c r="K445">
        <v>19457</v>
      </c>
      <c r="L445">
        <f t="shared" si="32"/>
        <v>0</v>
      </c>
      <c r="M445">
        <f t="shared" si="33"/>
        <v>0</v>
      </c>
      <c r="N445" s="119">
        <f t="shared" si="34"/>
        <v>228</v>
      </c>
      <c r="O445" s="119">
        <f t="shared" si="35"/>
        <v>0</v>
      </c>
    </row>
    <row r="446" spans="2:15" ht="15" customHeight="1" x14ac:dyDescent="0.25">
      <c r="B446" s="86" t="s">
        <v>850</v>
      </c>
      <c r="C446" s="87" t="s">
        <v>851</v>
      </c>
      <c r="D446" s="82" t="s">
        <v>13</v>
      </c>
      <c r="E446" s="230">
        <v>55</v>
      </c>
      <c r="F446" s="88">
        <v>74652</v>
      </c>
      <c r="G446" s="89">
        <f t="shared" si="31"/>
        <v>4105860</v>
      </c>
      <c r="H446" s="118" t="str">
        <f t="array" ref="H446:K446">_xlfn.XLOOKUP(B446,'ESAP NEIVA FASE II UNIFICADO'!$B$6:$B$720,'ESAP NEIVA FASE II UNIFICADO'!$C$6:$F$720,"NO ESTA")</f>
        <v>SUMINISTRO E INSTALACION DUCTOS EN LAMINA GALVANIZADA CAL. 20 Wrap UMAS</v>
      </c>
      <c r="I446" t="str">
        <v>M2</v>
      </c>
      <c r="J446">
        <v>150</v>
      </c>
      <c r="K446">
        <v>76603</v>
      </c>
      <c r="L446">
        <f t="shared" si="32"/>
        <v>0</v>
      </c>
      <c r="M446">
        <f t="shared" si="33"/>
        <v>0</v>
      </c>
      <c r="N446" s="119">
        <f t="shared" si="34"/>
        <v>55</v>
      </c>
      <c r="O446" s="119">
        <f t="shared" si="35"/>
        <v>0</v>
      </c>
    </row>
    <row r="447" spans="2:15" ht="15" customHeight="1" x14ac:dyDescent="0.25">
      <c r="B447" s="86" t="s">
        <v>852</v>
      </c>
      <c r="C447" s="87" t="s">
        <v>853</v>
      </c>
      <c r="D447" s="82" t="s">
        <v>13</v>
      </c>
      <c r="E447" s="230">
        <v>55</v>
      </c>
      <c r="F447" s="88">
        <v>18961</v>
      </c>
      <c r="G447" s="89">
        <f t="shared" si="31"/>
        <v>1042855</v>
      </c>
      <c r="H447" s="118" t="str">
        <f t="array" ref="H447:K447">_xlfn.XLOOKUP(B447,'ESAP NEIVA FASE II UNIFICADO'!$B$6:$B$720,'ESAP NEIVA FASE II UNIFICADO'!$C$6:$F$720,"NO ESTA")</f>
        <v>SUMINISTRO E INSTALACION AISLAMIENTO DUCTOS EN DUCT WRAP UMAS</v>
      </c>
      <c r="I447" t="str">
        <v>M2</v>
      </c>
      <c r="J447">
        <v>150</v>
      </c>
      <c r="K447">
        <v>19457</v>
      </c>
      <c r="L447">
        <f t="shared" si="32"/>
        <v>0</v>
      </c>
      <c r="M447">
        <f t="shared" si="33"/>
        <v>0</v>
      </c>
      <c r="N447" s="119">
        <f t="shared" si="34"/>
        <v>55</v>
      </c>
      <c r="O447" s="119">
        <f t="shared" si="35"/>
        <v>0</v>
      </c>
    </row>
    <row r="448" spans="2:15" ht="15" customHeight="1" x14ac:dyDescent="0.25">
      <c r="B448" s="86" t="s">
        <v>854</v>
      </c>
      <c r="C448" s="87" t="s">
        <v>855</v>
      </c>
      <c r="D448" s="82" t="s">
        <v>16</v>
      </c>
      <c r="E448" s="230">
        <v>9</v>
      </c>
      <c r="F448" s="88">
        <v>32544</v>
      </c>
      <c r="G448" s="89">
        <f t="shared" si="31"/>
        <v>292896</v>
      </c>
      <c r="H448" s="118" t="str">
        <f t="array" ref="H448:K448">_xlfn.XLOOKUP(B448,'ESAP NEIVA FASE II UNIFICADO'!$B$6:$B$720,'ESAP NEIVA FASE II UNIFICADO'!$C$6:$F$720,"NO ESTA")</f>
        <v>SUMINISTRO E INSTALACION ACOPLE FLEXIBLE DUCTOS - EQUIPOS</v>
      </c>
      <c r="I448" t="str">
        <v>UND</v>
      </c>
      <c r="J448">
        <v>24</v>
      </c>
      <c r="K448">
        <v>33394</v>
      </c>
      <c r="L448">
        <f t="shared" si="32"/>
        <v>0</v>
      </c>
      <c r="M448">
        <f t="shared" si="33"/>
        <v>0</v>
      </c>
      <c r="N448" s="119">
        <f t="shared" si="34"/>
        <v>9</v>
      </c>
      <c r="O448" s="119">
        <f t="shared" si="35"/>
        <v>0</v>
      </c>
    </row>
    <row r="449" spans="2:15" ht="15" customHeight="1" x14ac:dyDescent="0.25">
      <c r="B449" s="80" t="s">
        <v>856</v>
      </c>
      <c r="C449" s="81" t="s">
        <v>857</v>
      </c>
      <c r="D449" s="82"/>
      <c r="E449" s="230"/>
      <c r="F449" s="90">
        <v>0</v>
      </c>
      <c r="G449" s="89">
        <f t="shared" si="31"/>
        <v>0</v>
      </c>
      <c r="H449" s="118" t="str">
        <f t="array" ref="H449:K449">_xlfn.XLOOKUP(B449,'ESAP NEIVA FASE II UNIFICADO'!$B$6:$B$720,'ESAP NEIVA FASE II UNIFICADO'!$C$6:$F$720,"NO ESTA")</f>
        <v>SUMINISTRO E INSTALACIÓN DIFUSORES Y REJILLAS</v>
      </c>
      <c r="I449">
        <v>0</v>
      </c>
      <c r="J449">
        <v>0</v>
      </c>
      <c r="K449">
        <v>0</v>
      </c>
      <c r="L449">
        <f t="shared" si="32"/>
        <v>1</v>
      </c>
      <c r="M449">
        <f t="shared" si="33"/>
        <v>0</v>
      </c>
      <c r="N449" s="119">
        <f t="shared" si="34"/>
        <v>0</v>
      </c>
      <c r="O449" s="119">
        <f t="shared" si="35"/>
        <v>0</v>
      </c>
    </row>
    <row r="450" spans="2:15" ht="26.25" customHeight="1" x14ac:dyDescent="0.25">
      <c r="B450" s="86" t="s">
        <v>858</v>
      </c>
      <c r="C450" s="87" t="s">
        <v>859</v>
      </c>
      <c r="D450" s="82" t="s">
        <v>16</v>
      </c>
      <c r="E450" s="230">
        <v>30</v>
      </c>
      <c r="F450" s="88">
        <v>153283</v>
      </c>
      <c r="G450" s="89">
        <f t="shared" si="31"/>
        <v>4598490</v>
      </c>
      <c r="H450" s="118" t="str">
        <f t="array" ref="H450:K450">_xlfn.XLOOKUP(B450,'ESAP NEIVA FASE II UNIFICADO'!$B$6:$B$720,'ESAP NEIVA FASE II UNIFICADO'!$C$6:$F$720,"NO ESTA")</f>
        <v>SUMINISTRO E INSTALACION DIFUSORES SUMINISTRO DE 12" x 12" 4V (Tipo Descolgado) con Damper OB</v>
      </c>
      <c r="I450" t="str">
        <v>UND</v>
      </c>
      <c r="J450">
        <v>82</v>
      </c>
      <c r="K450">
        <v>157287</v>
      </c>
      <c r="L450">
        <f t="shared" si="32"/>
        <v>0</v>
      </c>
      <c r="M450">
        <f t="shared" si="33"/>
        <v>0</v>
      </c>
      <c r="N450" s="119">
        <f t="shared" si="34"/>
        <v>30</v>
      </c>
      <c r="O450" s="119">
        <f t="shared" si="35"/>
        <v>0</v>
      </c>
    </row>
    <row r="451" spans="2:15" ht="26.25" customHeight="1" x14ac:dyDescent="0.25">
      <c r="B451" s="86" t="s">
        <v>860</v>
      </c>
      <c r="C451" s="87" t="s">
        <v>861</v>
      </c>
      <c r="D451" s="82" t="s">
        <v>16</v>
      </c>
      <c r="E451" s="230">
        <v>2</v>
      </c>
      <c r="F451" s="88">
        <v>106960</v>
      </c>
      <c r="G451" s="89">
        <f t="shared" si="31"/>
        <v>213920</v>
      </c>
      <c r="H451" s="118" t="str">
        <f t="array" ref="H451:K451">_xlfn.XLOOKUP(B451,'ESAP NEIVA FASE II UNIFICADO'!$B$6:$B$720,'ESAP NEIVA FASE II UNIFICADO'!$C$6:$F$720,"NO ESTA")</f>
        <v>SUMINISTRO E INSTALACION DIFUSORES SUMINISTRO DE 9" x 9" 4V (Tipo Descolgado) con Damper OB</v>
      </c>
      <c r="I451" t="str">
        <v>UND</v>
      </c>
      <c r="J451">
        <v>4</v>
      </c>
      <c r="K451">
        <v>109753</v>
      </c>
      <c r="L451">
        <f t="shared" si="32"/>
        <v>0</v>
      </c>
      <c r="M451">
        <f t="shared" si="33"/>
        <v>0</v>
      </c>
      <c r="N451" s="119">
        <f t="shared" si="34"/>
        <v>2</v>
      </c>
      <c r="O451" s="119">
        <f t="shared" si="35"/>
        <v>0</v>
      </c>
    </row>
    <row r="452" spans="2:15" ht="26.25" customHeight="1" x14ac:dyDescent="0.25">
      <c r="B452" s="86" t="s">
        <v>862</v>
      </c>
      <c r="C452" s="87" t="s">
        <v>863</v>
      </c>
      <c r="D452" s="82" t="s">
        <v>16</v>
      </c>
      <c r="E452" s="230">
        <v>1</v>
      </c>
      <c r="F452" s="88">
        <v>225899</v>
      </c>
      <c r="G452" s="89">
        <f t="shared" si="31"/>
        <v>225899</v>
      </c>
      <c r="H452" s="118" t="str">
        <f t="array" ref="H452:K452">_xlfn.XLOOKUP(B452,'ESAP NEIVA FASE II UNIFICADO'!$B$6:$B$720,'ESAP NEIVA FASE II UNIFICADO'!$C$6:$F$720,"NO ESTA")</f>
        <v>SUMINISTRO E INSTALACION REJILLAS SUMINISTRO DE 48" X 12" (TIPO DOBLE ALETA) con Damper incluye EXTRACTORES DE AIRE</v>
      </c>
      <c r="I452" t="str">
        <v>UND</v>
      </c>
      <c r="J452">
        <v>4</v>
      </c>
      <c r="K452">
        <v>231800</v>
      </c>
      <c r="L452">
        <f t="shared" si="32"/>
        <v>0</v>
      </c>
      <c r="M452">
        <f t="shared" si="33"/>
        <v>0</v>
      </c>
      <c r="N452" s="119">
        <f t="shared" si="34"/>
        <v>1</v>
      </c>
      <c r="O452" s="119">
        <f t="shared" si="35"/>
        <v>0</v>
      </c>
    </row>
    <row r="453" spans="2:15" ht="26.25" customHeight="1" x14ac:dyDescent="0.25">
      <c r="B453" s="86" t="s">
        <v>864</v>
      </c>
      <c r="C453" s="87" t="s">
        <v>865</v>
      </c>
      <c r="D453" s="82" t="s">
        <v>16</v>
      </c>
      <c r="E453" s="230">
        <v>1</v>
      </c>
      <c r="F453" s="88">
        <v>56880</v>
      </c>
      <c r="G453" s="89">
        <f t="shared" si="31"/>
        <v>56880</v>
      </c>
      <c r="H453" s="118" t="str">
        <f t="array" ref="H453:K453">_xlfn.XLOOKUP(B453,'ESAP NEIVA FASE II UNIFICADO'!$B$6:$B$720,'ESAP NEIVA FASE II UNIFICADO'!$C$6:$F$720,"NO ESTA")</f>
        <v>SUMINISTRO E INSTALACION REJILLAS DE ACCESO/ RETORNO A FC DE 18" x 8" 160 CFM</v>
      </c>
      <c r="I453" t="str">
        <v>UND</v>
      </c>
      <c r="J453">
        <v>2</v>
      </c>
      <c r="K453">
        <v>58365</v>
      </c>
      <c r="L453">
        <f t="shared" si="32"/>
        <v>0</v>
      </c>
      <c r="M453">
        <f t="shared" si="33"/>
        <v>0</v>
      </c>
      <c r="N453" s="119">
        <f t="shared" si="34"/>
        <v>1</v>
      </c>
      <c r="O453" s="119">
        <f t="shared" si="35"/>
        <v>0</v>
      </c>
    </row>
    <row r="454" spans="2:15" ht="26.25" customHeight="1" x14ac:dyDescent="0.25">
      <c r="B454" s="86" t="s">
        <v>866</v>
      </c>
      <c r="C454" s="87" t="s">
        <v>867</v>
      </c>
      <c r="D454" s="82" t="s">
        <v>16</v>
      </c>
      <c r="E454" s="230">
        <v>4</v>
      </c>
      <c r="F454" s="88">
        <v>213380</v>
      </c>
      <c r="G454" s="89">
        <f t="shared" ref="G454:G517" si="36">ROUND(+F454*E454,2)</f>
        <v>853520</v>
      </c>
      <c r="H454" s="118" t="str">
        <f t="array" ref="H454:K454">_xlfn.XLOOKUP(B454,'ESAP NEIVA FASE II UNIFICADO'!$B$6:$B$720,'ESAP NEIVA FASE II UNIFICADO'!$C$6:$F$720,"NO ESTA")</f>
        <v>SUMINISTRO E INSTALACION REJILLAS DE ACCESO/ RETORNO A FC DE 40" x 8"   320 CFM</v>
      </c>
      <c r="I454" t="str">
        <v>UND</v>
      </c>
      <c r="J454">
        <v>12</v>
      </c>
      <c r="K454">
        <v>218953</v>
      </c>
      <c r="L454">
        <f t="shared" si="32"/>
        <v>0</v>
      </c>
      <c r="M454">
        <f t="shared" si="33"/>
        <v>0</v>
      </c>
      <c r="N454" s="119">
        <f t="shared" si="34"/>
        <v>4</v>
      </c>
      <c r="O454" s="119">
        <f t="shared" si="35"/>
        <v>0</v>
      </c>
    </row>
    <row r="455" spans="2:15" ht="26.25" customHeight="1" x14ac:dyDescent="0.25">
      <c r="B455" s="86" t="s">
        <v>868</v>
      </c>
      <c r="C455" s="87" t="s">
        <v>869</v>
      </c>
      <c r="D455" s="82" t="s">
        <v>16</v>
      </c>
      <c r="E455" s="230">
        <v>3</v>
      </c>
      <c r="F455" s="88">
        <v>225899</v>
      </c>
      <c r="G455" s="89">
        <f t="shared" si="36"/>
        <v>677697</v>
      </c>
      <c r="H455" s="118" t="str">
        <f t="array" ref="H455:K455">_xlfn.XLOOKUP(B455,'ESAP NEIVA FASE II UNIFICADO'!$B$6:$B$720,'ESAP NEIVA FASE II UNIFICADO'!$C$6:$F$720,"NO ESTA")</f>
        <v>SUMINISTRO E INSTALACION REJILLAS DE ACCESO/ RETORNO A FC DE 48" x 12" 400 CFM</v>
      </c>
      <c r="I455" t="str">
        <v>UND</v>
      </c>
      <c r="J455">
        <v>8</v>
      </c>
      <c r="K455">
        <v>231800</v>
      </c>
      <c r="L455">
        <f t="shared" si="32"/>
        <v>0</v>
      </c>
      <c r="M455">
        <f t="shared" si="33"/>
        <v>0</v>
      </c>
      <c r="N455" s="119">
        <f t="shared" si="34"/>
        <v>3</v>
      </c>
      <c r="O455" s="119">
        <f t="shared" si="35"/>
        <v>0</v>
      </c>
    </row>
    <row r="456" spans="2:15" ht="26.25" customHeight="1" x14ac:dyDescent="0.25">
      <c r="B456" s="86" t="s">
        <v>870</v>
      </c>
      <c r="C456" s="87" t="s">
        <v>871</v>
      </c>
      <c r="D456" s="82" t="s">
        <v>16</v>
      </c>
      <c r="E456" s="230">
        <v>1</v>
      </c>
      <c r="F456" s="88">
        <v>486315</v>
      </c>
      <c r="G456" s="89">
        <f t="shared" si="36"/>
        <v>486315</v>
      </c>
      <c r="H456" s="118" t="str">
        <f t="array" ref="H456:K456">_xlfn.XLOOKUP(B456,'ESAP NEIVA FASE II UNIFICADO'!$B$6:$B$720,'ESAP NEIVA FASE II UNIFICADO'!$C$6:$F$720,"NO ESTA")</f>
        <v>SUMINISTRO E INSTALACION REJILLAS DE ACCESO/ RETORNO A FC DE 48" x 20" 2400 CFM</v>
      </c>
      <c r="I456" t="str">
        <v>UND</v>
      </c>
      <c r="J456">
        <v>1</v>
      </c>
      <c r="K456">
        <v>499017</v>
      </c>
      <c r="L456">
        <f t="shared" si="32"/>
        <v>0</v>
      </c>
      <c r="M456">
        <f t="shared" si="33"/>
        <v>0</v>
      </c>
      <c r="N456" s="119">
        <f t="shared" si="34"/>
        <v>1</v>
      </c>
      <c r="O456" s="119">
        <f t="shared" si="35"/>
        <v>0</v>
      </c>
    </row>
    <row r="457" spans="2:15" ht="26.25" customHeight="1" x14ac:dyDescent="0.25">
      <c r="B457" s="86" t="s">
        <v>872</v>
      </c>
      <c r="C457" s="87" t="s">
        <v>873</v>
      </c>
      <c r="D457" s="82" t="s">
        <v>16</v>
      </c>
      <c r="E457" s="230">
        <v>1</v>
      </c>
      <c r="F457" s="88">
        <v>432480</v>
      </c>
      <c r="G457" s="89">
        <f t="shared" si="36"/>
        <v>432480</v>
      </c>
      <c r="H457" s="118" t="str">
        <f t="array" ref="H457:K457">_xlfn.XLOOKUP(B457,'ESAP NEIVA FASE II UNIFICADO'!$B$6:$B$720,'ESAP NEIVA FASE II UNIFICADO'!$C$6:$F$720,"NO ESTA")</f>
        <v>SUMINISTRO E INSTALACION REJILLAS DE ACCESO/ RETORNO A FC DE 48" x 24" 3600 CFM</v>
      </c>
      <c r="I457" t="str">
        <v>UND</v>
      </c>
      <c r="J457">
        <v>3</v>
      </c>
      <c r="K457">
        <v>443775</v>
      </c>
      <c r="L457">
        <f t="shared" si="32"/>
        <v>0</v>
      </c>
      <c r="M457">
        <f t="shared" si="33"/>
        <v>0</v>
      </c>
      <c r="N457" s="119">
        <f t="shared" si="34"/>
        <v>1</v>
      </c>
      <c r="O457" s="119">
        <f t="shared" si="35"/>
        <v>0</v>
      </c>
    </row>
    <row r="458" spans="2:15" ht="15" customHeight="1" x14ac:dyDescent="0.25">
      <c r="B458" s="86" t="s">
        <v>874</v>
      </c>
      <c r="C458" s="87" t="s">
        <v>875</v>
      </c>
      <c r="D458" s="82" t="s">
        <v>16</v>
      </c>
      <c r="E458" s="230">
        <v>1</v>
      </c>
      <c r="F458" s="88">
        <v>23075</v>
      </c>
      <c r="G458" s="89">
        <f t="shared" si="36"/>
        <v>23075</v>
      </c>
      <c r="H458" s="118" t="str">
        <f t="array" ref="H458:K458">_xlfn.XLOOKUP(B458,'ESAP NEIVA FASE II UNIFICADO'!$B$6:$B$720,'ESAP NEIVA FASE II UNIFICADO'!$C$6:$F$720,"NO ESTA")</f>
        <v>SUMINISTRO E INSTALACION REJILLAS DE TOMA AIRE EXTERNO TAE 6" x 6"</v>
      </c>
      <c r="I458" t="str">
        <v>UND</v>
      </c>
      <c r="J458">
        <v>0</v>
      </c>
      <c r="K458">
        <v>23678</v>
      </c>
      <c r="L458">
        <f t="shared" ref="L458:L521" si="37">+IF(J458&gt;0,0,1)</f>
        <v>1</v>
      </c>
      <c r="M458">
        <f t="shared" ref="M458:M521" si="38">IF(L458=1,F458,0)</f>
        <v>23075</v>
      </c>
      <c r="N458" s="119">
        <f t="shared" ref="N458:N521" si="39">E458</f>
        <v>1</v>
      </c>
      <c r="O458" s="119">
        <f t="shared" si="35"/>
        <v>23075</v>
      </c>
    </row>
    <row r="459" spans="2:15" ht="15" customHeight="1" x14ac:dyDescent="0.25">
      <c r="B459" s="86" t="s">
        <v>876</v>
      </c>
      <c r="C459" s="87" t="s">
        <v>877</v>
      </c>
      <c r="D459" s="82" t="s">
        <v>16</v>
      </c>
      <c r="E459" s="230">
        <v>1</v>
      </c>
      <c r="F459" s="88">
        <v>31839</v>
      </c>
      <c r="G459" s="89">
        <f t="shared" si="36"/>
        <v>31839</v>
      </c>
      <c r="H459" s="118" t="str">
        <f t="array" ref="H459:K459">_xlfn.XLOOKUP(B459,'ESAP NEIVA FASE II UNIFICADO'!$B$6:$B$720,'ESAP NEIVA FASE II UNIFICADO'!$C$6:$F$720,"NO ESTA")</f>
        <v>SUMINISTRO E INSTALACION REJILLAS DE TOMA AIRE EXTERNO TAE 10" x 8"</v>
      </c>
      <c r="I459" t="str">
        <v>UND</v>
      </c>
      <c r="J459">
        <v>0</v>
      </c>
      <c r="K459">
        <v>32671</v>
      </c>
      <c r="L459">
        <f t="shared" si="37"/>
        <v>1</v>
      </c>
      <c r="M459">
        <f t="shared" si="38"/>
        <v>31839</v>
      </c>
      <c r="N459" s="119">
        <f t="shared" si="39"/>
        <v>1</v>
      </c>
      <c r="O459" s="119">
        <f t="shared" ref="O459:O522" si="40">ROUND(M459*N459,2)</f>
        <v>31839</v>
      </c>
    </row>
    <row r="460" spans="2:15" ht="15" customHeight="1" x14ac:dyDescent="0.25">
      <c r="B460" s="86" t="s">
        <v>878</v>
      </c>
      <c r="C460" s="87" t="s">
        <v>879</v>
      </c>
      <c r="D460" s="82" t="s">
        <v>16</v>
      </c>
      <c r="E460" s="230">
        <v>6</v>
      </c>
      <c r="F460" s="88">
        <v>44360</v>
      </c>
      <c r="G460" s="89">
        <f t="shared" si="36"/>
        <v>266160</v>
      </c>
      <c r="H460" s="118" t="str">
        <f t="array" ref="H460:K460">_xlfn.XLOOKUP(B460,'ESAP NEIVA FASE II UNIFICADO'!$B$6:$B$720,'ESAP NEIVA FASE II UNIFICADO'!$C$6:$F$720,"NO ESTA")</f>
        <v>SUMINISTRO E INSTALACION REJILLAS DE TOMA AIRE EXTERNO TAE 12" x 8"</v>
      </c>
      <c r="I460" t="str">
        <v>UND</v>
      </c>
      <c r="J460">
        <v>16</v>
      </c>
      <c r="K460">
        <v>45518</v>
      </c>
      <c r="L460">
        <f t="shared" si="37"/>
        <v>0</v>
      </c>
      <c r="M460">
        <f t="shared" si="38"/>
        <v>0</v>
      </c>
      <c r="N460" s="119">
        <f t="shared" si="39"/>
        <v>6</v>
      </c>
      <c r="O460" s="119">
        <f t="shared" si="40"/>
        <v>0</v>
      </c>
    </row>
    <row r="461" spans="2:15" ht="15" customHeight="1" x14ac:dyDescent="0.25">
      <c r="B461" s="86" t="s">
        <v>880</v>
      </c>
      <c r="C461" s="87" t="s">
        <v>881</v>
      </c>
      <c r="D461" s="82" t="s">
        <v>16</v>
      </c>
      <c r="E461" s="230">
        <v>1</v>
      </c>
      <c r="F461" s="88">
        <v>56880</v>
      </c>
      <c r="G461" s="89">
        <f t="shared" si="36"/>
        <v>56880</v>
      </c>
      <c r="H461" s="118" t="str">
        <f t="array" ref="H461:K461">_xlfn.XLOOKUP(B461,'ESAP NEIVA FASE II UNIFICADO'!$B$6:$B$720,'ESAP NEIVA FASE II UNIFICADO'!$C$6:$F$720,"NO ESTA")</f>
        <v>SUMINISTRO E INSTALACION REJILLAS DE TOMA AIRE EXTERNO TAE 18" x 8"</v>
      </c>
      <c r="I461" t="str">
        <v>UND</v>
      </c>
      <c r="J461">
        <v>2</v>
      </c>
      <c r="K461">
        <v>58365</v>
      </c>
      <c r="L461">
        <f t="shared" si="37"/>
        <v>0</v>
      </c>
      <c r="M461">
        <f t="shared" si="38"/>
        <v>0</v>
      </c>
      <c r="N461" s="119">
        <f t="shared" si="39"/>
        <v>1</v>
      </c>
      <c r="O461" s="119">
        <f t="shared" si="40"/>
        <v>0</v>
      </c>
    </row>
    <row r="462" spans="2:15" ht="25.5" customHeight="1" x14ac:dyDescent="0.25">
      <c r="B462" s="86" t="s">
        <v>882</v>
      </c>
      <c r="C462" s="87" t="s">
        <v>883</v>
      </c>
      <c r="D462" s="82" t="s">
        <v>16</v>
      </c>
      <c r="E462" s="230">
        <v>1</v>
      </c>
      <c r="F462" s="88">
        <v>563939</v>
      </c>
      <c r="G462" s="89">
        <f t="shared" si="36"/>
        <v>563939</v>
      </c>
      <c r="H462" s="118" t="str">
        <f t="array" ref="H462:K462">_xlfn.XLOOKUP(B462,'ESAP NEIVA FASE II UNIFICADO'!$B$6:$B$720,'ESAP NEIVA FASE II UNIFICADO'!$C$6:$F$720,"NO ESTA")</f>
        <v>SUMINISTRO E INSTALACION REJILLA DE TOMA AIRE EXTERNO TAE 30" x  12" CN DAMPER MOTORIZADO</v>
      </c>
      <c r="I462" t="str">
        <v>UND</v>
      </c>
      <c r="J462">
        <v>0</v>
      </c>
      <c r="K462">
        <v>578669</v>
      </c>
      <c r="L462">
        <f t="shared" si="37"/>
        <v>1</v>
      </c>
      <c r="M462">
        <f t="shared" si="38"/>
        <v>563939</v>
      </c>
      <c r="N462" s="119">
        <f t="shared" si="39"/>
        <v>1</v>
      </c>
      <c r="O462" s="119">
        <f t="shared" si="40"/>
        <v>563939</v>
      </c>
    </row>
    <row r="463" spans="2:15" ht="25.5" customHeight="1" x14ac:dyDescent="0.25">
      <c r="B463" s="86" t="s">
        <v>884</v>
      </c>
      <c r="C463" s="87" t="s">
        <v>885</v>
      </c>
      <c r="D463" s="82" t="s">
        <v>16</v>
      </c>
      <c r="E463" s="230">
        <v>1</v>
      </c>
      <c r="F463" s="88">
        <v>651039</v>
      </c>
      <c r="G463" s="89">
        <f t="shared" si="36"/>
        <v>651039</v>
      </c>
      <c r="H463" s="118" t="str">
        <f t="array" ref="H463:K463">_xlfn.XLOOKUP(B463,'ESAP NEIVA FASE II UNIFICADO'!$B$6:$B$720,'ESAP NEIVA FASE II UNIFICADO'!$C$6:$F$720,"NO ESTA")</f>
        <v>SUMINISTRO E INSTALACION REJILLA DE TOMA AIRE EXTERNO TAE 30" x  18" CN DAMPER MOTORIZADO</v>
      </c>
      <c r="I463" t="str">
        <v>UND</v>
      </c>
      <c r="J463">
        <v>0</v>
      </c>
      <c r="K463">
        <v>668044</v>
      </c>
      <c r="L463">
        <f t="shared" si="37"/>
        <v>1</v>
      </c>
      <c r="M463">
        <f t="shared" si="38"/>
        <v>651039</v>
      </c>
      <c r="N463" s="119">
        <f t="shared" si="39"/>
        <v>1</v>
      </c>
      <c r="O463" s="119">
        <f t="shared" si="40"/>
        <v>651039</v>
      </c>
    </row>
    <row r="464" spans="2:15" ht="15" customHeight="1" x14ac:dyDescent="0.25">
      <c r="B464" s="80" t="s">
        <v>886</v>
      </c>
      <c r="C464" s="81" t="s">
        <v>887</v>
      </c>
      <c r="D464" s="82"/>
      <c r="E464" s="230"/>
      <c r="F464" s="90">
        <v>0</v>
      </c>
      <c r="G464" s="89">
        <f t="shared" si="36"/>
        <v>0</v>
      </c>
      <c r="H464" s="118" t="str">
        <f t="array" ref="H464:K464">_xlfn.XLOOKUP(B464,'ESAP NEIVA FASE II UNIFICADO'!$B$6:$B$720,'ESAP NEIVA FASE II UNIFICADO'!$C$6:$F$720,"NO ESTA")</f>
        <v>SUMINSITRO, MONTAJE E INSTALACIÓN DE VENTILACIÓN MECANICA</v>
      </c>
      <c r="I464">
        <v>0</v>
      </c>
      <c r="J464">
        <v>0</v>
      </c>
      <c r="K464">
        <v>0</v>
      </c>
      <c r="L464">
        <f t="shared" si="37"/>
        <v>1</v>
      </c>
      <c r="M464">
        <f t="shared" si="38"/>
        <v>0</v>
      </c>
      <c r="N464" s="119">
        <f t="shared" si="39"/>
        <v>0</v>
      </c>
      <c r="O464" s="119">
        <f t="shared" si="40"/>
        <v>0</v>
      </c>
    </row>
    <row r="465" spans="2:15" ht="15" customHeight="1" x14ac:dyDescent="0.25">
      <c r="B465" s="86" t="s">
        <v>888</v>
      </c>
      <c r="C465" s="87" t="s">
        <v>851</v>
      </c>
      <c r="D465" s="82" t="s">
        <v>13</v>
      </c>
      <c r="E465" s="230">
        <v>32</v>
      </c>
      <c r="F465" s="88">
        <v>87724</v>
      </c>
      <c r="G465" s="89">
        <f t="shared" si="36"/>
        <v>2807168</v>
      </c>
      <c r="H465" s="118" t="str">
        <f t="array" ref="H465:K465">_xlfn.XLOOKUP(B465,'ESAP NEIVA FASE II UNIFICADO'!$B$6:$B$720,'ESAP NEIVA FASE II UNIFICADO'!$C$6:$F$720,"NO ESTA")</f>
        <v>SUMINISTRO E INSTALACION DUCTOS EN LAMINA GALVANIZADA CAL. 20 Wrap UMAS</v>
      </c>
      <c r="I465" t="str">
        <v>M2</v>
      </c>
      <c r="J465">
        <v>88</v>
      </c>
      <c r="K465">
        <v>90015</v>
      </c>
      <c r="L465">
        <f t="shared" si="37"/>
        <v>0</v>
      </c>
      <c r="M465">
        <f t="shared" si="38"/>
        <v>0</v>
      </c>
      <c r="N465" s="119">
        <f t="shared" si="39"/>
        <v>32</v>
      </c>
      <c r="O465" s="119">
        <f t="shared" si="40"/>
        <v>0</v>
      </c>
    </row>
    <row r="466" spans="2:15" ht="15" customHeight="1" x14ac:dyDescent="0.25">
      <c r="B466" s="86" t="s">
        <v>889</v>
      </c>
      <c r="C466" s="87" t="s">
        <v>890</v>
      </c>
      <c r="D466" s="82" t="s">
        <v>13</v>
      </c>
      <c r="E466" s="230">
        <v>71</v>
      </c>
      <c r="F466" s="88">
        <v>81464</v>
      </c>
      <c r="G466" s="89">
        <f t="shared" si="36"/>
        <v>5783944</v>
      </c>
      <c r="H466" s="118" t="str">
        <f t="array" ref="H466:K466">_xlfn.XLOOKUP(B466,'ESAP NEIVA FASE II UNIFICADO'!$B$6:$B$720,'ESAP NEIVA FASE II UNIFICADO'!$C$6:$F$720,"NO ESTA")</f>
        <v>SUMINISTRO E INSTALACION DUCTOS EN LAMINA GALVANIZADA CAL. 22 Wrap UMAS</v>
      </c>
      <c r="I466" t="str">
        <v>M2</v>
      </c>
      <c r="J466">
        <v>191</v>
      </c>
      <c r="K466">
        <v>83592</v>
      </c>
      <c r="L466">
        <f t="shared" si="37"/>
        <v>0</v>
      </c>
      <c r="M466">
        <f t="shared" si="38"/>
        <v>0</v>
      </c>
      <c r="N466" s="119">
        <f t="shared" si="39"/>
        <v>71</v>
      </c>
      <c r="O466" s="119">
        <f t="shared" si="40"/>
        <v>0</v>
      </c>
    </row>
    <row r="467" spans="2:15" ht="15" customHeight="1" x14ac:dyDescent="0.25">
      <c r="B467" s="86" t="s">
        <v>891</v>
      </c>
      <c r="C467" s="87" t="s">
        <v>892</v>
      </c>
      <c r="D467" s="82" t="s">
        <v>16</v>
      </c>
      <c r="E467" s="230">
        <v>1</v>
      </c>
      <c r="F467" s="88">
        <v>485756</v>
      </c>
      <c r="G467" s="89">
        <f t="shared" si="36"/>
        <v>485756</v>
      </c>
      <c r="H467" s="118" t="str">
        <f t="array" ref="H467:K467">_xlfn.XLOOKUP(B467,'ESAP NEIVA FASE II UNIFICADO'!$B$6:$B$720,'ESAP NEIVA FASE II UNIFICADO'!$C$6:$F$720,"NO ESTA")</f>
        <v>SUMINISTRO E INSTALACION BANCO DE FILTROS</v>
      </c>
      <c r="I467" t="str">
        <v>UND</v>
      </c>
      <c r="J467">
        <v>2</v>
      </c>
      <c r="K467">
        <v>498443</v>
      </c>
      <c r="L467">
        <f t="shared" si="37"/>
        <v>0</v>
      </c>
      <c r="M467">
        <f t="shared" si="38"/>
        <v>0</v>
      </c>
      <c r="N467" s="119">
        <f t="shared" si="39"/>
        <v>1</v>
      </c>
      <c r="O467" s="119">
        <f t="shared" si="40"/>
        <v>0</v>
      </c>
    </row>
    <row r="468" spans="2:15" ht="15" customHeight="1" x14ac:dyDescent="0.25">
      <c r="B468" s="80" t="s">
        <v>893</v>
      </c>
      <c r="C468" s="81" t="s">
        <v>894</v>
      </c>
      <c r="D468" s="82"/>
      <c r="E468" s="230"/>
      <c r="F468" s="90">
        <v>0</v>
      </c>
      <c r="G468" s="89">
        <f t="shared" si="36"/>
        <v>0</v>
      </c>
      <c r="H468" s="118" t="str">
        <f t="array" ref="H468:K468">_xlfn.XLOOKUP(B468,'ESAP NEIVA FASE II UNIFICADO'!$B$6:$B$720,'ESAP NEIVA FASE II UNIFICADO'!$C$6:$F$720,"NO ESTA")</f>
        <v>SUMNISTRO, INSTALACION Y MONTAJE CONTROL</v>
      </c>
      <c r="I468">
        <v>0</v>
      </c>
      <c r="J468">
        <v>0</v>
      </c>
      <c r="K468">
        <v>0</v>
      </c>
      <c r="L468">
        <f t="shared" si="37"/>
        <v>1</v>
      </c>
      <c r="M468">
        <f t="shared" si="38"/>
        <v>0</v>
      </c>
      <c r="N468" s="119">
        <f t="shared" si="39"/>
        <v>0</v>
      </c>
      <c r="O468" s="119">
        <f t="shared" si="40"/>
        <v>0</v>
      </c>
    </row>
    <row r="469" spans="2:15" ht="15" customHeight="1" x14ac:dyDescent="0.25">
      <c r="B469" s="86" t="s">
        <v>895</v>
      </c>
      <c r="C469" s="87" t="s">
        <v>896</v>
      </c>
      <c r="D469" s="82" t="s">
        <v>16</v>
      </c>
      <c r="E469" s="230">
        <v>1</v>
      </c>
      <c r="F469" s="88">
        <v>1927980</v>
      </c>
      <c r="G469" s="89">
        <f t="shared" si="36"/>
        <v>1927980</v>
      </c>
      <c r="H469" s="118" t="str">
        <f t="array" ref="H469:K469">_xlfn.XLOOKUP(B469,'ESAP NEIVA FASE II UNIFICADO'!$B$6:$B$720,'ESAP NEIVA FASE II UNIFICADO'!$C$6:$F$720,"NO ESTA")</f>
        <v>SUMINISTRO E INSTALACION VALVULA BYPASS 2"</v>
      </c>
      <c r="I469" t="str">
        <v>UND</v>
      </c>
      <c r="J469">
        <v>1</v>
      </c>
      <c r="K469">
        <v>1978337</v>
      </c>
      <c r="L469">
        <f t="shared" si="37"/>
        <v>0</v>
      </c>
      <c r="M469">
        <f t="shared" si="38"/>
        <v>0</v>
      </c>
      <c r="N469" s="119">
        <f t="shared" si="39"/>
        <v>1</v>
      </c>
      <c r="O469" s="119">
        <f t="shared" si="40"/>
        <v>0</v>
      </c>
    </row>
    <row r="470" spans="2:15" ht="15" customHeight="1" x14ac:dyDescent="0.25">
      <c r="B470" s="86" t="s">
        <v>897</v>
      </c>
      <c r="C470" s="87" t="s">
        <v>898</v>
      </c>
      <c r="D470" s="82" t="s">
        <v>16</v>
      </c>
      <c r="E470" s="230">
        <v>2</v>
      </c>
      <c r="F470" s="88">
        <v>1176830</v>
      </c>
      <c r="G470" s="89">
        <f t="shared" si="36"/>
        <v>2353660</v>
      </c>
      <c r="H470" s="118" t="str">
        <f t="array" ref="H470:K470">_xlfn.XLOOKUP(B470,'ESAP NEIVA FASE II UNIFICADO'!$B$6:$B$720,'ESAP NEIVA FASE II UNIFICADO'!$C$6:$F$720,"NO ESTA")</f>
        <v>SUMINISTRO E INSTALACION SENSOR DIFERENCIAL DE PRESIÓN SISTEMA AGUA FRIA</v>
      </c>
      <c r="I470" t="str">
        <v>UND</v>
      </c>
      <c r="J470">
        <v>2</v>
      </c>
      <c r="K470">
        <v>1207567</v>
      </c>
      <c r="L470">
        <f t="shared" si="37"/>
        <v>0</v>
      </c>
      <c r="M470">
        <f t="shared" si="38"/>
        <v>0</v>
      </c>
      <c r="N470" s="119">
        <f t="shared" si="39"/>
        <v>2</v>
      </c>
      <c r="O470" s="119">
        <f t="shared" si="40"/>
        <v>0</v>
      </c>
    </row>
    <row r="471" spans="2:15" ht="15" customHeight="1" x14ac:dyDescent="0.25">
      <c r="B471" s="86" t="s">
        <v>899</v>
      </c>
      <c r="C471" s="87" t="s">
        <v>900</v>
      </c>
      <c r="D471" s="82" t="s">
        <v>16</v>
      </c>
      <c r="E471" s="230">
        <v>1</v>
      </c>
      <c r="F471" s="88">
        <v>845675</v>
      </c>
      <c r="G471" s="89">
        <f t="shared" si="36"/>
        <v>845675</v>
      </c>
      <c r="H471" s="118" t="str">
        <f t="array" ref="H471:K471">_xlfn.XLOOKUP(B471,'ESAP NEIVA FASE II UNIFICADO'!$B$6:$B$720,'ESAP NEIVA FASE II UNIFICADO'!$C$6:$F$720,"NO ESTA")</f>
        <v>SUMINISTRO E INSTALACION SENSOR DIFERENCIAL DE PRESIÓN SISTEMA AIRE UMAS</v>
      </c>
      <c r="I471" t="str">
        <v>UND</v>
      </c>
      <c r="J471">
        <v>1</v>
      </c>
      <c r="K471">
        <v>867763</v>
      </c>
      <c r="L471">
        <f t="shared" si="37"/>
        <v>0</v>
      </c>
      <c r="M471">
        <f t="shared" si="38"/>
        <v>0</v>
      </c>
      <c r="N471" s="119">
        <f t="shared" si="39"/>
        <v>1</v>
      </c>
      <c r="O471" s="119">
        <f t="shared" si="40"/>
        <v>0</v>
      </c>
    </row>
    <row r="472" spans="2:15" ht="15" customHeight="1" x14ac:dyDescent="0.25">
      <c r="B472" s="86" t="s">
        <v>901</v>
      </c>
      <c r="C472" s="87" t="s">
        <v>902</v>
      </c>
      <c r="D472" s="82" t="s">
        <v>16</v>
      </c>
      <c r="E472" s="230">
        <v>1</v>
      </c>
      <c r="F472" s="88">
        <v>845675</v>
      </c>
      <c r="G472" s="89">
        <f t="shared" si="36"/>
        <v>845675</v>
      </c>
      <c r="H472" s="118" t="str">
        <f t="array" ref="H472:K472">_xlfn.XLOOKUP(B472,'ESAP NEIVA FASE II UNIFICADO'!$B$6:$B$720,'ESAP NEIVA FASE II UNIFICADO'!$C$6:$F$720,"NO ESTA")</f>
        <v>SUMINISTRO E INSTALACION SENSOR DE FLUJO AIRE UMAS</v>
      </c>
      <c r="I472" t="str">
        <v>UND</v>
      </c>
      <c r="J472">
        <v>2</v>
      </c>
      <c r="K472">
        <v>867763</v>
      </c>
      <c r="L472">
        <f t="shared" si="37"/>
        <v>0</v>
      </c>
      <c r="M472">
        <f t="shared" si="38"/>
        <v>0</v>
      </c>
      <c r="N472" s="119">
        <f t="shared" si="39"/>
        <v>1</v>
      </c>
      <c r="O472" s="119">
        <f t="shared" si="40"/>
        <v>0</v>
      </c>
    </row>
    <row r="473" spans="2:15" ht="15" customHeight="1" x14ac:dyDescent="0.25">
      <c r="B473" s="86" t="s">
        <v>903</v>
      </c>
      <c r="C473" s="87" t="s">
        <v>904</v>
      </c>
      <c r="D473" s="82" t="s">
        <v>16</v>
      </c>
      <c r="E473" s="230">
        <v>2</v>
      </c>
      <c r="F473" s="88">
        <v>1076654</v>
      </c>
      <c r="G473" s="89">
        <f t="shared" si="36"/>
        <v>2153308</v>
      </c>
      <c r="H473" s="118" t="str">
        <f t="array" ref="H473:K473">_xlfn.XLOOKUP(B473,'ESAP NEIVA FASE II UNIFICADO'!$B$6:$B$720,'ESAP NEIVA FASE II UNIFICADO'!$C$6:$F$720,"NO ESTA")</f>
        <v>SUMINISTRO E INSTALACION SENSOR CO</v>
      </c>
      <c r="I473" t="str">
        <v>UND</v>
      </c>
      <c r="J473">
        <v>3</v>
      </c>
      <c r="K473">
        <v>1104774</v>
      </c>
      <c r="L473">
        <f t="shared" si="37"/>
        <v>0</v>
      </c>
      <c r="M473">
        <f t="shared" si="38"/>
        <v>0</v>
      </c>
      <c r="N473" s="119">
        <f t="shared" si="39"/>
        <v>2</v>
      </c>
      <c r="O473" s="119">
        <f t="shared" si="40"/>
        <v>0</v>
      </c>
    </row>
    <row r="474" spans="2:15" ht="15" customHeight="1" x14ac:dyDescent="0.25">
      <c r="B474" s="86" t="s">
        <v>905</v>
      </c>
      <c r="C474" s="87" t="s">
        <v>906</v>
      </c>
      <c r="D474" s="82" t="s">
        <v>16</v>
      </c>
      <c r="E474" s="230">
        <v>2</v>
      </c>
      <c r="F474" s="88">
        <v>322996</v>
      </c>
      <c r="G474" s="89">
        <f t="shared" si="36"/>
        <v>645992</v>
      </c>
      <c r="H474" s="118" t="str">
        <f t="array" ref="H474:K474">_xlfn.XLOOKUP(B474,'ESAP NEIVA FASE II UNIFICADO'!$B$6:$B$720,'ESAP NEIVA FASE II UNIFICADO'!$C$6:$F$720,"NO ESTA")</f>
        <v>SUMINISTRO E INSTALACION SENSOR CONTROL CO2 UMAS</v>
      </c>
      <c r="I474" t="str">
        <v>UND</v>
      </c>
      <c r="J474">
        <v>2</v>
      </c>
      <c r="K474">
        <v>331432</v>
      </c>
      <c r="L474">
        <f t="shared" si="37"/>
        <v>0</v>
      </c>
      <c r="M474">
        <f t="shared" si="38"/>
        <v>0</v>
      </c>
      <c r="N474" s="119">
        <f t="shared" si="39"/>
        <v>2</v>
      </c>
      <c r="O474" s="119">
        <f t="shared" si="40"/>
        <v>0</v>
      </c>
    </row>
    <row r="475" spans="2:15" ht="15" customHeight="1" x14ac:dyDescent="0.25">
      <c r="B475" s="74">
        <v>18</v>
      </c>
      <c r="C475" s="75" t="s">
        <v>907</v>
      </c>
      <c r="D475" s="76"/>
      <c r="E475" s="229"/>
      <c r="F475" s="78">
        <v>0</v>
      </c>
      <c r="G475" s="89">
        <f t="shared" si="36"/>
        <v>0</v>
      </c>
      <c r="H475" s="118" t="str">
        <f t="array" ref="H475:K475">_xlfn.XLOOKUP(B475,'ESAP NEIVA FASE II UNIFICADO'!$B$6:$B$720,'ESAP NEIVA FASE II UNIFICADO'!$C$6:$F$720,"NO ESTA")</f>
        <v>RED DE VOZ Y DATOS Cat. 6A BLINDADO LSZH (Low Smoke Zero Halogen)</v>
      </c>
      <c r="I475">
        <v>0</v>
      </c>
      <c r="J475">
        <v>0</v>
      </c>
      <c r="K475">
        <v>0</v>
      </c>
      <c r="L475">
        <f t="shared" si="37"/>
        <v>1</v>
      </c>
      <c r="M475">
        <f t="shared" si="38"/>
        <v>0</v>
      </c>
      <c r="N475" s="119">
        <f t="shared" si="39"/>
        <v>0</v>
      </c>
      <c r="O475" s="119">
        <f t="shared" si="40"/>
        <v>0</v>
      </c>
    </row>
    <row r="476" spans="2:15" ht="15" customHeight="1" x14ac:dyDescent="0.25">
      <c r="B476" s="80" t="s">
        <v>908</v>
      </c>
      <c r="C476" s="81" t="s">
        <v>909</v>
      </c>
      <c r="D476" s="82"/>
      <c r="E476" s="230"/>
      <c r="F476" s="90">
        <v>0</v>
      </c>
      <c r="G476" s="89">
        <f t="shared" si="36"/>
        <v>0</v>
      </c>
      <c r="H476" s="118" t="str">
        <f t="array" ref="H476:K476">_xlfn.XLOOKUP(B476,'ESAP NEIVA FASE II UNIFICADO'!$B$6:$B$720,'ESAP NEIVA FASE II UNIFICADO'!$C$6:$F$720,"NO ESTA")</f>
        <v>SUMINISTRO E INSTALACION DE TOMAS PUESTOS DE TRABAJO</v>
      </c>
      <c r="I476">
        <v>0</v>
      </c>
      <c r="J476">
        <v>0</v>
      </c>
      <c r="K476">
        <v>0</v>
      </c>
      <c r="L476">
        <f t="shared" si="37"/>
        <v>1</v>
      </c>
      <c r="M476">
        <f t="shared" si="38"/>
        <v>0</v>
      </c>
      <c r="N476" s="119">
        <f t="shared" si="39"/>
        <v>0</v>
      </c>
      <c r="O476" s="119">
        <f t="shared" si="40"/>
        <v>0</v>
      </c>
    </row>
    <row r="477" spans="2:15" ht="26.25" customHeight="1" x14ac:dyDescent="0.25">
      <c r="B477" s="86" t="s">
        <v>910</v>
      </c>
      <c r="C477" s="87" t="s">
        <v>911</v>
      </c>
      <c r="D477" s="82" t="s">
        <v>16</v>
      </c>
      <c r="E477" s="230">
        <v>64</v>
      </c>
      <c r="F477" s="88">
        <v>36636</v>
      </c>
      <c r="G477" s="89">
        <f t="shared" si="36"/>
        <v>2344704</v>
      </c>
      <c r="H477" s="118" t="str">
        <f t="array" ref="H477:K477">_xlfn.XLOOKUP(B477,'ESAP NEIVA FASE II UNIFICADO'!$B$6:$B$720,'ESAP NEIVA FASE II UNIFICADO'!$C$6:$F$720,"NO ESTA")</f>
        <v xml:space="preserve">SUMINISTRO E INSTALACION TOMAS SENCILLA RJ45 Cat. 6A DATOS BLINDADO INCLUYE MARQUILLAS </v>
      </c>
      <c r="I477" t="str">
        <v>UND</v>
      </c>
      <c r="J477">
        <v>172</v>
      </c>
      <c r="K477">
        <v>37593</v>
      </c>
      <c r="L477">
        <f t="shared" si="37"/>
        <v>0</v>
      </c>
      <c r="M477">
        <f t="shared" si="38"/>
        <v>0</v>
      </c>
      <c r="N477" s="119">
        <f t="shared" si="39"/>
        <v>64</v>
      </c>
      <c r="O477" s="119">
        <f t="shared" si="40"/>
        <v>0</v>
      </c>
    </row>
    <row r="478" spans="2:15" ht="26.25" customHeight="1" x14ac:dyDescent="0.25">
      <c r="B478" s="86" t="s">
        <v>912</v>
      </c>
      <c r="C478" s="87" t="s">
        <v>913</v>
      </c>
      <c r="D478" s="82" t="s">
        <v>16</v>
      </c>
      <c r="E478" s="230">
        <v>14</v>
      </c>
      <c r="F478" s="88">
        <v>36636</v>
      </c>
      <c r="G478" s="89">
        <f t="shared" si="36"/>
        <v>512904</v>
      </c>
      <c r="H478" s="118" t="str">
        <f t="array" ref="H478:K478">_xlfn.XLOOKUP(B478,'ESAP NEIVA FASE II UNIFICADO'!$B$6:$B$720,'ESAP NEIVA FASE II UNIFICADO'!$C$6:$F$720,"NO ESTA")</f>
        <v>SUMINISTRO E INSTALACION TOMAS SENCILLA RJ45 Cat. 6A VOZ BLINDADO INCLUYE MARQUILLAS</v>
      </c>
      <c r="I478" t="str">
        <v>UND</v>
      </c>
      <c r="J478">
        <v>38</v>
      </c>
      <c r="K478">
        <v>37593</v>
      </c>
      <c r="L478">
        <f t="shared" si="37"/>
        <v>0</v>
      </c>
      <c r="M478">
        <f t="shared" si="38"/>
        <v>0</v>
      </c>
      <c r="N478" s="119">
        <f t="shared" si="39"/>
        <v>14</v>
      </c>
      <c r="O478" s="119">
        <f t="shared" si="40"/>
        <v>0</v>
      </c>
    </row>
    <row r="479" spans="2:15" ht="15" customHeight="1" x14ac:dyDescent="0.25">
      <c r="B479" s="86" t="s">
        <v>914</v>
      </c>
      <c r="C479" s="87" t="s">
        <v>915</v>
      </c>
      <c r="D479" s="82" t="s">
        <v>16</v>
      </c>
      <c r="E479" s="230">
        <v>64</v>
      </c>
      <c r="F479" s="88">
        <v>9671</v>
      </c>
      <c r="G479" s="89">
        <f t="shared" si="36"/>
        <v>618944</v>
      </c>
      <c r="H479" s="118" t="str">
        <f t="array" ref="H479:K479">_xlfn.XLOOKUP(B479,'ESAP NEIVA FASE II UNIFICADO'!$B$6:$B$720,'ESAP NEIVA FASE II UNIFICADO'!$C$6:$F$720,"NO ESTA")</f>
        <v>SUMINISTRO E INSTALACION FACE PLATE DOBLE PARA TOMA RJ45</v>
      </c>
      <c r="I479" t="str">
        <v>UND</v>
      </c>
      <c r="J479">
        <v>172</v>
      </c>
      <c r="K479">
        <v>9923</v>
      </c>
      <c r="L479">
        <f t="shared" si="37"/>
        <v>0</v>
      </c>
      <c r="M479">
        <f t="shared" si="38"/>
        <v>0</v>
      </c>
      <c r="N479" s="119">
        <f t="shared" si="39"/>
        <v>64</v>
      </c>
      <c r="O479" s="119">
        <f t="shared" si="40"/>
        <v>0</v>
      </c>
    </row>
    <row r="480" spans="2:15" ht="15" customHeight="1" x14ac:dyDescent="0.25">
      <c r="B480" s="86" t="s">
        <v>916</v>
      </c>
      <c r="C480" s="87" t="s">
        <v>917</v>
      </c>
      <c r="D480" s="82" t="s">
        <v>16</v>
      </c>
      <c r="E480" s="230">
        <v>64</v>
      </c>
      <c r="F480" s="88">
        <v>44070</v>
      </c>
      <c r="G480" s="89">
        <f t="shared" si="36"/>
        <v>2820480</v>
      </c>
      <c r="H480" s="118" t="str">
        <f t="array" ref="H480:K480">_xlfn.XLOOKUP(B480,'ESAP NEIVA FASE II UNIFICADO'!$B$6:$B$720,'ESAP NEIVA FASE II UNIFICADO'!$C$6:$F$720,"NO ESTA")</f>
        <v>SUMINISTRO E INSTALACION PATCH CORD. RJ45-RJ45 1,5 m Cat. 6A BLINDADO</v>
      </c>
      <c r="I480" t="str">
        <v>UND</v>
      </c>
      <c r="J480">
        <v>172</v>
      </c>
      <c r="K480">
        <v>45221</v>
      </c>
      <c r="L480">
        <f t="shared" si="37"/>
        <v>0</v>
      </c>
      <c r="M480">
        <f t="shared" si="38"/>
        <v>0</v>
      </c>
      <c r="N480" s="119">
        <f t="shared" si="39"/>
        <v>64</v>
      </c>
      <c r="O480" s="119">
        <f t="shared" si="40"/>
        <v>0</v>
      </c>
    </row>
    <row r="481" spans="2:15" ht="15" customHeight="1" x14ac:dyDescent="0.25">
      <c r="B481" s="80" t="s">
        <v>918</v>
      </c>
      <c r="C481" s="81" t="s">
        <v>919</v>
      </c>
      <c r="D481" s="82"/>
      <c r="E481" s="230"/>
      <c r="F481" s="104">
        <v>0</v>
      </c>
      <c r="G481" s="89">
        <f t="shared" si="36"/>
        <v>0</v>
      </c>
      <c r="H481" s="118" t="str">
        <f t="array" ref="H481:K481">_xlfn.XLOOKUP(B481,'ESAP NEIVA FASE II UNIFICADO'!$B$6:$B$720,'ESAP NEIVA FASE II UNIFICADO'!$C$6:$F$720,"NO ESTA")</f>
        <v>SUMINISTRO E INSTALACION DE CABLES</v>
      </c>
      <c r="I481">
        <v>0</v>
      </c>
      <c r="J481">
        <v>0</v>
      </c>
      <c r="K481">
        <v>0</v>
      </c>
      <c r="L481">
        <f t="shared" si="37"/>
        <v>1</v>
      </c>
      <c r="M481">
        <f t="shared" si="38"/>
        <v>0</v>
      </c>
      <c r="N481" s="119">
        <f t="shared" si="39"/>
        <v>0</v>
      </c>
      <c r="O481" s="119">
        <f t="shared" si="40"/>
        <v>0</v>
      </c>
    </row>
    <row r="482" spans="2:15" ht="24.75" customHeight="1" x14ac:dyDescent="0.25">
      <c r="B482" s="86" t="s">
        <v>920</v>
      </c>
      <c r="C482" s="87" t="s">
        <v>921</v>
      </c>
      <c r="D482" s="82" t="s">
        <v>94</v>
      </c>
      <c r="E482" s="230">
        <v>1765</v>
      </c>
      <c r="F482" s="88">
        <v>4389</v>
      </c>
      <c r="G482" s="89">
        <f t="shared" si="36"/>
        <v>7746585</v>
      </c>
      <c r="H482" s="118" t="str">
        <f t="array" ref="H482:K482">_xlfn.XLOOKUP(B482,'ESAP NEIVA FASE II UNIFICADO'!$B$6:$B$720,'ESAP NEIVA FASE II UNIFICADO'!$C$6:$F$720,"NO ESTA")</f>
        <v>SUMINISTRO E INSTALACION CABLE 10 G F/UTP Cat. 6A CON CHAQUETA LSZH (LOW SMOKE ZERO HALOGEN)</v>
      </c>
      <c r="I482" t="str">
        <v>ML</v>
      </c>
      <c r="J482">
        <v>11247</v>
      </c>
      <c r="K482">
        <v>4503</v>
      </c>
      <c r="L482">
        <f t="shared" si="37"/>
        <v>0</v>
      </c>
      <c r="M482">
        <f t="shared" si="38"/>
        <v>0</v>
      </c>
      <c r="N482" s="119">
        <f t="shared" si="39"/>
        <v>1765</v>
      </c>
      <c r="O482" s="119">
        <f t="shared" si="40"/>
        <v>0</v>
      </c>
    </row>
    <row r="483" spans="2:15" ht="15" customHeight="1" x14ac:dyDescent="0.25">
      <c r="B483" s="80" t="s">
        <v>922</v>
      </c>
      <c r="C483" s="81" t="s">
        <v>923</v>
      </c>
      <c r="D483" s="82"/>
      <c r="E483" s="230"/>
      <c r="F483" s="104">
        <v>0</v>
      </c>
      <c r="G483" s="89">
        <f t="shared" si="36"/>
        <v>0</v>
      </c>
      <c r="H483" s="118" t="str">
        <f t="array" ref="H483:K483">_xlfn.XLOOKUP(B483,'ESAP NEIVA FASE II UNIFICADO'!$B$6:$B$720,'ESAP NEIVA FASE II UNIFICADO'!$C$6:$F$720,"NO ESTA")</f>
        <v xml:space="preserve">SUMINISTRO E INSTALACION DE ELEMENTOS DE ADMINISTRACIÓN </v>
      </c>
      <c r="I483">
        <v>0</v>
      </c>
      <c r="J483">
        <v>0</v>
      </c>
      <c r="K483">
        <v>0</v>
      </c>
      <c r="L483">
        <f t="shared" si="37"/>
        <v>1</v>
      </c>
      <c r="M483">
        <f t="shared" si="38"/>
        <v>0</v>
      </c>
      <c r="N483" s="119">
        <f t="shared" si="39"/>
        <v>0</v>
      </c>
      <c r="O483" s="119">
        <f t="shared" si="40"/>
        <v>0</v>
      </c>
    </row>
    <row r="484" spans="2:15" ht="15" customHeight="1" x14ac:dyDescent="0.25">
      <c r="B484" s="86" t="s">
        <v>924</v>
      </c>
      <c r="C484" s="87" t="s">
        <v>925</v>
      </c>
      <c r="D484" s="82" t="s">
        <v>16</v>
      </c>
      <c r="E484" s="230">
        <v>4</v>
      </c>
      <c r="F484" s="88">
        <v>261791</v>
      </c>
      <c r="G484" s="89">
        <f t="shared" si="36"/>
        <v>1047164</v>
      </c>
      <c r="H484" s="118" t="str">
        <f t="array" ref="H484:K484">_xlfn.XLOOKUP(B484,'ESAP NEIVA FASE II UNIFICADO'!$B$6:$B$720,'ESAP NEIVA FASE II UNIFICADO'!$C$6:$F$720,"NO ESTA")</f>
        <v>SUMINISTRO E INSTALACION HERRAJE PATVH PANEL 24 Pts Cat. 6A BLINDADO</v>
      </c>
      <c r="I484" t="str">
        <v>UND</v>
      </c>
      <c r="J484">
        <v>9</v>
      </c>
      <c r="K484">
        <v>268628</v>
      </c>
      <c r="L484">
        <f t="shared" si="37"/>
        <v>0</v>
      </c>
      <c r="M484">
        <f t="shared" si="38"/>
        <v>0</v>
      </c>
      <c r="N484" s="119">
        <f t="shared" si="39"/>
        <v>4</v>
      </c>
      <c r="O484" s="119">
        <f t="shared" si="40"/>
        <v>0</v>
      </c>
    </row>
    <row r="485" spans="2:15" ht="26.25" customHeight="1" x14ac:dyDescent="0.25">
      <c r="B485" s="86" t="s">
        <v>926</v>
      </c>
      <c r="C485" s="87" t="s">
        <v>927</v>
      </c>
      <c r="D485" s="82" t="s">
        <v>16</v>
      </c>
      <c r="E485" s="230">
        <v>64</v>
      </c>
      <c r="F485" s="88">
        <v>36638</v>
      </c>
      <c r="G485" s="89">
        <f t="shared" si="36"/>
        <v>2344832</v>
      </c>
      <c r="H485" s="118" t="str">
        <f t="array" ref="H485:K485">_xlfn.XLOOKUP(B485,'ESAP NEIVA FASE II UNIFICADO'!$B$6:$B$720,'ESAP NEIVA FASE II UNIFICADO'!$C$6:$F$720,"NO ESTA")</f>
        <v>SUMINISTRO E INSTALACION TOMA SENCILLA RJ45 Cat. 6A AZUL DATOS BLINDADO INCLUYE MARQUILLAS</v>
      </c>
      <c r="I485" t="str">
        <v>UND</v>
      </c>
      <c r="J485">
        <v>172</v>
      </c>
      <c r="K485">
        <v>37595</v>
      </c>
      <c r="L485">
        <f t="shared" si="37"/>
        <v>0</v>
      </c>
      <c r="M485">
        <f t="shared" si="38"/>
        <v>0</v>
      </c>
      <c r="N485" s="119">
        <f t="shared" si="39"/>
        <v>64</v>
      </c>
      <c r="O485" s="119">
        <f t="shared" si="40"/>
        <v>0</v>
      </c>
    </row>
    <row r="486" spans="2:15" ht="26.25" customHeight="1" x14ac:dyDescent="0.25">
      <c r="B486" s="86" t="s">
        <v>928</v>
      </c>
      <c r="C486" s="87" t="s">
        <v>929</v>
      </c>
      <c r="D486" s="82" t="s">
        <v>16</v>
      </c>
      <c r="E486" s="230">
        <v>14</v>
      </c>
      <c r="F486" s="88">
        <v>36638</v>
      </c>
      <c r="G486" s="89">
        <f t="shared" si="36"/>
        <v>512932</v>
      </c>
      <c r="H486" s="118" t="str">
        <f t="array" ref="H486:K486">_xlfn.XLOOKUP(B486,'ESAP NEIVA FASE II UNIFICADO'!$B$6:$B$720,'ESAP NEIVA FASE II UNIFICADO'!$C$6:$F$720,"NO ESTA")</f>
        <v>SUMINISTRO E INSTALACION TOMA SENCILLA RJ45 Cat. 6A ROJO VOZ BLINDADO INCLUYE MARQUILLAS</v>
      </c>
      <c r="I486" t="str">
        <v>UND</v>
      </c>
      <c r="J486">
        <v>38</v>
      </c>
      <c r="K486">
        <v>37595</v>
      </c>
      <c r="L486">
        <f t="shared" si="37"/>
        <v>0</v>
      </c>
      <c r="M486">
        <f t="shared" si="38"/>
        <v>0</v>
      </c>
      <c r="N486" s="119">
        <f t="shared" si="39"/>
        <v>14</v>
      </c>
      <c r="O486" s="119">
        <f t="shared" si="40"/>
        <v>0</v>
      </c>
    </row>
    <row r="487" spans="2:15" ht="15" customHeight="1" x14ac:dyDescent="0.25">
      <c r="B487" s="86" t="s">
        <v>930</v>
      </c>
      <c r="C487" s="87" t="s">
        <v>931</v>
      </c>
      <c r="D487" s="82" t="s">
        <v>16</v>
      </c>
      <c r="E487" s="230">
        <v>64</v>
      </c>
      <c r="F487" s="88">
        <v>46993</v>
      </c>
      <c r="G487" s="89">
        <f t="shared" si="36"/>
        <v>3007552</v>
      </c>
      <c r="H487" s="118" t="str">
        <f t="array" ref="H487:K487">_xlfn.XLOOKUP(B487,'ESAP NEIVA FASE II UNIFICADO'!$B$6:$B$720,'ESAP NEIVA FASE II UNIFICADO'!$C$6:$F$720,"NO ESTA")</f>
        <v>SUMINISTRO E INSTALACION PATCH CORD. RJ45-RJ45 3 m Cat. 6A DATOS BLINDADO</v>
      </c>
      <c r="I487" t="str">
        <v>UND</v>
      </c>
      <c r="J487">
        <v>172</v>
      </c>
      <c r="K487">
        <v>48221</v>
      </c>
      <c r="L487">
        <f t="shared" si="37"/>
        <v>0</v>
      </c>
      <c r="M487">
        <f t="shared" si="38"/>
        <v>0</v>
      </c>
      <c r="N487" s="119">
        <f t="shared" si="39"/>
        <v>64</v>
      </c>
      <c r="O487" s="119">
        <f t="shared" si="40"/>
        <v>0</v>
      </c>
    </row>
    <row r="488" spans="2:15" ht="15" customHeight="1" x14ac:dyDescent="0.25">
      <c r="B488" s="86" t="s">
        <v>932</v>
      </c>
      <c r="C488" s="87" t="s">
        <v>933</v>
      </c>
      <c r="D488" s="82" t="s">
        <v>16</v>
      </c>
      <c r="E488" s="230">
        <v>14</v>
      </c>
      <c r="F488" s="88">
        <v>46993</v>
      </c>
      <c r="G488" s="89">
        <f t="shared" si="36"/>
        <v>657902</v>
      </c>
      <c r="H488" s="118" t="str">
        <f t="array" ref="H488:K488">_xlfn.XLOOKUP(B488,'ESAP NEIVA FASE II UNIFICADO'!$B$6:$B$720,'ESAP NEIVA FASE II UNIFICADO'!$C$6:$F$720,"NO ESTA")</f>
        <v>SUMINISTRO E INSTALACION PATCH CORD. RJ45-RJ45 3 m Cat. 6A VOZ BLINDADO</v>
      </c>
      <c r="I488" t="str">
        <v>UND</v>
      </c>
      <c r="J488">
        <v>38</v>
      </c>
      <c r="K488">
        <v>48221</v>
      </c>
      <c r="L488">
        <f t="shared" si="37"/>
        <v>0</v>
      </c>
      <c r="M488">
        <f t="shared" si="38"/>
        <v>0</v>
      </c>
      <c r="N488" s="119">
        <f t="shared" si="39"/>
        <v>14</v>
      </c>
      <c r="O488" s="119">
        <f t="shared" si="40"/>
        <v>0</v>
      </c>
    </row>
    <row r="489" spans="2:15" ht="15" customHeight="1" x14ac:dyDescent="0.25">
      <c r="B489" s="86" t="s">
        <v>934</v>
      </c>
      <c r="C489" s="87" t="s">
        <v>935</v>
      </c>
      <c r="D489" s="82" t="s">
        <v>16</v>
      </c>
      <c r="E489" s="230">
        <v>4</v>
      </c>
      <c r="F489" s="88">
        <v>244338</v>
      </c>
      <c r="G489" s="89">
        <f t="shared" si="36"/>
        <v>977352</v>
      </c>
      <c r="H489" s="118" t="str">
        <f t="array" ref="H489:K489">_xlfn.XLOOKUP(B489,'ESAP NEIVA FASE II UNIFICADO'!$B$6:$B$720,'ESAP NEIVA FASE II UNIFICADO'!$C$6:$F$720,"NO ESTA")</f>
        <v>SUMINISTRO E INSTALACION ORGANIZADOR HORIZONTAL 2U</v>
      </c>
      <c r="I489" t="str">
        <v>UND</v>
      </c>
      <c r="J489">
        <v>9</v>
      </c>
      <c r="K489">
        <v>250719</v>
      </c>
      <c r="L489">
        <f t="shared" si="37"/>
        <v>0</v>
      </c>
      <c r="M489">
        <f t="shared" si="38"/>
        <v>0</v>
      </c>
      <c r="N489" s="119">
        <f t="shared" si="39"/>
        <v>4</v>
      </c>
      <c r="O489" s="119">
        <f t="shared" si="40"/>
        <v>0</v>
      </c>
    </row>
    <row r="490" spans="2:15" ht="15" customHeight="1" x14ac:dyDescent="0.25">
      <c r="B490" s="80" t="s">
        <v>936</v>
      </c>
      <c r="C490" s="81" t="s">
        <v>937</v>
      </c>
      <c r="D490" s="82"/>
      <c r="E490" s="230"/>
      <c r="F490" s="104">
        <v>0</v>
      </c>
      <c r="G490" s="89">
        <f t="shared" si="36"/>
        <v>0</v>
      </c>
      <c r="H490" s="118" t="str">
        <f t="array" ref="H490:K490">_xlfn.XLOOKUP(B490,'ESAP NEIVA FASE II UNIFICADO'!$B$6:$B$720,'ESAP NEIVA FASE II UNIFICADO'!$C$6:$F$720,"NO ESTA")</f>
        <v>SUMINISTRO E INSTALACIÓN INTEGRACIÓN TELEFÓNICA</v>
      </c>
      <c r="I490">
        <v>0</v>
      </c>
      <c r="J490">
        <v>0</v>
      </c>
      <c r="K490">
        <v>0</v>
      </c>
      <c r="L490">
        <f t="shared" si="37"/>
        <v>1</v>
      </c>
      <c r="M490">
        <f t="shared" si="38"/>
        <v>0</v>
      </c>
      <c r="N490" s="119">
        <f t="shared" si="39"/>
        <v>0</v>
      </c>
      <c r="O490" s="119">
        <f t="shared" si="40"/>
        <v>0</v>
      </c>
    </row>
    <row r="491" spans="2:15" ht="24.75" customHeight="1" x14ac:dyDescent="0.25">
      <c r="B491" s="86" t="s">
        <v>938</v>
      </c>
      <c r="C491" s="87" t="s">
        <v>939</v>
      </c>
      <c r="D491" s="82" t="s">
        <v>16</v>
      </c>
      <c r="E491" s="230">
        <v>1</v>
      </c>
      <c r="F491" s="88">
        <v>566952</v>
      </c>
      <c r="G491" s="89">
        <f t="shared" si="36"/>
        <v>566952</v>
      </c>
      <c r="H491" s="118" t="str">
        <f t="array" ref="H491:K491">_xlfn.XLOOKUP(B491,'ESAP NEIVA FASE II UNIFICADO'!$B$6:$B$720,'ESAP NEIVA FASE II UNIFICADO'!$C$6:$F$720,"NO ESTA")</f>
        <v>SUMINISTRO E INSTALACION PATCH PANEL 24 Pts Cat. 5E BLINDADO PARA INTEGRACIÓN TELEFONICA</v>
      </c>
      <c r="I491" t="str">
        <v>UND</v>
      </c>
      <c r="J491">
        <v>1</v>
      </c>
      <c r="K491">
        <v>581760</v>
      </c>
      <c r="L491">
        <f t="shared" si="37"/>
        <v>0</v>
      </c>
      <c r="M491">
        <f t="shared" si="38"/>
        <v>0</v>
      </c>
      <c r="N491" s="119">
        <f t="shared" si="39"/>
        <v>1</v>
      </c>
      <c r="O491" s="119">
        <f t="shared" si="40"/>
        <v>0</v>
      </c>
    </row>
    <row r="492" spans="2:15" ht="24.75" customHeight="1" x14ac:dyDescent="0.25">
      <c r="B492" s="86" t="s">
        <v>940</v>
      </c>
      <c r="C492" s="87" t="s">
        <v>941</v>
      </c>
      <c r="D492" s="82" t="s">
        <v>16</v>
      </c>
      <c r="E492" s="230">
        <v>14</v>
      </c>
      <c r="F492" s="88">
        <v>34436</v>
      </c>
      <c r="G492" s="89">
        <f t="shared" si="36"/>
        <v>482104</v>
      </c>
      <c r="H492" s="118" t="str">
        <f t="array" ref="H492:K492">_xlfn.XLOOKUP(B492,'ESAP NEIVA FASE II UNIFICADO'!$B$6:$B$720,'ESAP NEIVA FASE II UNIFICADO'!$C$6:$F$720,"NO ESTA")</f>
        <v>SUMINISTRO E INSTALACION PATCH CORD RJ45-RJ45 1m Cat 5E INTEGRACIÓN TELEFÓNICA INCLUYE MARQUILLAS</v>
      </c>
      <c r="I492" t="str">
        <v>UND</v>
      </c>
      <c r="J492">
        <v>38</v>
      </c>
      <c r="K492">
        <v>35336</v>
      </c>
      <c r="L492">
        <f t="shared" si="37"/>
        <v>0</v>
      </c>
      <c r="M492">
        <f t="shared" si="38"/>
        <v>0</v>
      </c>
      <c r="N492" s="119">
        <f t="shared" si="39"/>
        <v>14</v>
      </c>
      <c r="O492" s="119">
        <f t="shared" si="40"/>
        <v>0</v>
      </c>
    </row>
    <row r="493" spans="2:15" ht="15" customHeight="1" x14ac:dyDescent="0.25">
      <c r="B493" s="86" t="s">
        <v>942</v>
      </c>
      <c r="C493" s="87" t="s">
        <v>935</v>
      </c>
      <c r="D493" s="82" t="s">
        <v>16</v>
      </c>
      <c r="E493" s="230">
        <v>1</v>
      </c>
      <c r="F493" s="88">
        <v>244338</v>
      </c>
      <c r="G493" s="89">
        <f t="shared" si="36"/>
        <v>244338</v>
      </c>
      <c r="H493" s="118" t="str">
        <f t="array" ref="H493:K493">_xlfn.XLOOKUP(B493,'ESAP NEIVA FASE II UNIFICADO'!$B$6:$B$720,'ESAP NEIVA FASE II UNIFICADO'!$C$6:$F$720,"NO ESTA")</f>
        <v>SUMINISTRO E INSTALACION ORGANIZADOR HORIZONTAL 2U</v>
      </c>
      <c r="I493" t="str">
        <v>UND</v>
      </c>
      <c r="J493">
        <v>1</v>
      </c>
      <c r="K493">
        <v>250719</v>
      </c>
      <c r="L493">
        <f t="shared" si="37"/>
        <v>0</v>
      </c>
      <c r="M493">
        <f t="shared" si="38"/>
        <v>0</v>
      </c>
      <c r="N493" s="119">
        <f t="shared" si="39"/>
        <v>1</v>
      </c>
      <c r="O493" s="119">
        <f t="shared" si="40"/>
        <v>0</v>
      </c>
    </row>
    <row r="494" spans="2:15" ht="15" customHeight="1" x14ac:dyDescent="0.25">
      <c r="B494" s="80" t="s">
        <v>943</v>
      </c>
      <c r="C494" s="81" t="s">
        <v>944</v>
      </c>
      <c r="D494" s="82"/>
      <c r="E494" s="230"/>
      <c r="F494" s="104">
        <v>0</v>
      </c>
      <c r="G494" s="89">
        <f t="shared" si="36"/>
        <v>0</v>
      </c>
      <c r="H494" s="118" t="str">
        <f t="array" ref="H494:K494">_xlfn.XLOOKUP(B494,'ESAP NEIVA FASE II UNIFICADO'!$B$6:$B$720,'ESAP NEIVA FASE II UNIFICADO'!$C$6:$F$720,"NO ESTA")</f>
        <v>SUMINISTRO E INSTALACIÓN DE BACKBONE</v>
      </c>
      <c r="I494">
        <v>0</v>
      </c>
      <c r="J494">
        <v>0</v>
      </c>
      <c r="K494">
        <v>0</v>
      </c>
      <c r="L494">
        <f t="shared" si="37"/>
        <v>1</v>
      </c>
      <c r="M494">
        <f t="shared" si="38"/>
        <v>0</v>
      </c>
      <c r="N494" s="119">
        <f t="shared" si="39"/>
        <v>0</v>
      </c>
      <c r="O494" s="119">
        <f t="shared" si="40"/>
        <v>0</v>
      </c>
    </row>
    <row r="495" spans="2:15" ht="15" customHeight="1" x14ac:dyDescent="0.25">
      <c r="B495" s="86" t="s">
        <v>945</v>
      </c>
      <c r="C495" s="87" t="s">
        <v>946</v>
      </c>
      <c r="D495" s="82" t="s">
        <v>94</v>
      </c>
      <c r="E495" s="230">
        <v>12</v>
      </c>
      <c r="F495" s="88">
        <v>19104</v>
      </c>
      <c r="G495" s="89">
        <f t="shared" si="36"/>
        <v>229248</v>
      </c>
      <c r="H495" s="118" t="str">
        <f t="array" ref="H495:K495">_xlfn.XLOOKUP(B495,'ESAP NEIVA FASE II UNIFICADO'!$B$6:$B$720,'ESAP NEIVA FASE II UNIFICADO'!$C$6:$F$720,"NO ESTA")</f>
        <v>SUMINISTRO E INSTALACION FIBRA OPTICA 6 HILOS MULTIMODO 50/125 u.</v>
      </c>
      <c r="I495" t="str">
        <v>ML</v>
      </c>
      <c r="J495">
        <v>32</v>
      </c>
      <c r="K495">
        <v>19602</v>
      </c>
      <c r="L495">
        <f t="shared" si="37"/>
        <v>0</v>
      </c>
      <c r="M495">
        <f t="shared" si="38"/>
        <v>0</v>
      </c>
      <c r="N495" s="119">
        <f t="shared" si="39"/>
        <v>12</v>
      </c>
      <c r="O495" s="119">
        <f t="shared" si="40"/>
        <v>0</v>
      </c>
    </row>
    <row r="496" spans="2:15" ht="15" customHeight="1" x14ac:dyDescent="0.25">
      <c r="B496" s="86" t="s">
        <v>947</v>
      </c>
      <c r="C496" s="87" t="s">
        <v>948</v>
      </c>
      <c r="D496" s="82" t="s">
        <v>16</v>
      </c>
      <c r="E496" s="230">
        <v>2</v>
      </c>
      <c r="F496" s="88">
        <v>688690</v>
      </c>
      <c r="G496" s="89">
        <f t="shared" si="36"/>
        <v>1377380</v>
      </c>
      <c r="H496" s="118" t="str">
        <f t="array" ref="H496:K496">_xlfn.XLOOKUP(B496,'ESAP NEIVA FASE II UNIFICADO'!$B$6:$B$720,'ESAP NEIVA FASE II UNIFICADO'!$C$6:$F$720,"NO ESTA")</f>
        <v>SUMINISTRO E INSTALACION BANDEJA DE FIBRA OPTICA DE 24 PUERTOS</v>
      </c>
      <c r="I496" t="str">
        <v>UND</v>
      </c>
      <c r="J496">
        <v>2</v>
      </c>
      <c r="K496">
        <v>706677</v>
      </c>
      <c r="L496">
        <f t="shared" si="37"/>
        <v>0</v>
      </c>
      <c r="M496">
        <f t="shared" si="38"/>
        <v>0</v>
      </c>
      <c r="N496" s="119">
        <f t="shared" si="39"/>
        <v>2</v>
      </c>
      <c r="O496" s="119">
        <f t="shared" si="40"/>
        <v>0</v>
      </c>
    </row>
    <row r="497" spans="2:15" ht="15" customHeight="1" x14ac:dyDescent="0.25">
      <c r="B497" s="86" t="s">
        <v>949</v>
      </c>
      <c r="C497" s="87" t="s">
        <v>950</v>
      </c>
      <c r="D497" s="82" t="s">
        <v>16</v>
      </c>
      <c r="E497" s="230">
        <v>2</v>
      </c>
      <c r="F497" s="88">
        <v>244338</v>
      </c>
      <c r="G497" s="89">
        <f t="shared" si="36"/>
        <v>488676</v>
      </c>
      <c r="H497" s="118" t="str">
        <f t="array" ref="H497:K497">_xlfn.XLOOKUP(B497,'ESAP NEIVA FASE II UNIFICADO'!$B$6:$B$720,'ESAP NEIVA FASE II UNIFICADO'!$C$6:$F$720,"NO ESTA")</f>
        <v>SUMINISTRO E INSTALACION ORGANIZADOR HORIZONTAL 1U</v>
      </c>
      <c r="I497" t="str">
        <v>UND</v>
      </c>
      <c r="J497">
        <v>2</v>
      </c>
      <c r="K497">
        <v>250719</v>
      </c>
      <c r="L497">
        <f t="shared" si="37"/>
        <v>0</v>
      </c>
      <c r="M497">
        <f t="shared" si="38"/>
        <v>0</v>
      </c>
      <c r="N497" s="119">
        <f t="shared" si="39"/>
        <v>2</v>
      </c>
      <c r="O497" s="119">
        <f t="shared" si="40"/>
        <v>0</v>
      </c>
    </row>
    <row r="498" spans="2:15" ht="15" customHeight="1" x14ac:dyDescent="0.25">
      <c r="B498" s="80" t="s">
        <v>951</v>
      </c>
      <c r="C498" s="81" t="s">
        <v>952</v>
      </c>
      <c r="D498" s="82"/>
      <c r="E498" s="230"/>
      <c r="F498" s="104">
        <v>0</v>
      </c>
      <c r="G498" s="89">
        <f t="shared" si="36"/>
        <v>0</v>
      </c>
      <c r="H498" s="118" t="str">
        <f t="array" ref="H498:K498">_xlfn.XLOOKUP(B498,'ESAP NEIVA FASE II UNIFICADO'!$B$6:$B$720,'ESAP NEIVA FASE II UNIFICADO'!$C$6:$F$720,"NO ESTA")</f>
        <v xml:space="preserve">SUMINISTRO E INSTALACIÓN DE OTROS </v>
      </c>
      <c r="I498">
        <v>0</v>
      </c>
      <c r="J498">
        <v>0</v>
      </c>
      <c r="K498">
        <v>0</v>
      </c>
      <c r="L498">
        <f t="shared" si="37"/>
        <v>1</v>
      </c>
      <c r="M498">
        <f t="shared" si="38"/>
        <v>0</v>
      </c>
      <c r="N498" s="119">
        <f t="shared" si="39"/>
        <v>0</v>
      </c>
      <c r="O498" s="119">
        <f t="shared" si="40"/>
        <v>0</v>
      </c>
    </row>
    <row r="499" spans="2:15" ht="25.5" customHeight="1" x14ac:dyDescent="0.25">
      <c r="B499" s="86" t="s">
        <v>953</v>
      </c>
      <c r="C499" s="87" t="s">
        <v>954</v>
      </c>
      <c r="D499" s="82" t="s">
        <v>16</v>
      </c>
      <c r="E499" s="230">
        <v>1</v>
      </c>
      <c r="F499" s="88">
        <v>4390063</v>
      </c>
      <c r="G499" s="89">
        <f t="shared" si="36"/>
        <v>4390063</v>
      </c>
      <c r="H499" s="118" t="str">
        <f t="array" ref="H499:K499">_xlfn.XLOOKUP(B499,'ESAP NEIVA FASE II UNIFICADO'!$B$6:$B$720,'ESAP NEIVA FASE II UNIFICADO'!$C$6:$F$720,"NO ESTA")</f>
        <v>SUMINISTRO E INSTALACION GABINETE 2,10 m ALTO X 0,71 m PROFUNDO Y 0,81 m DE ANCHO</v>
      </c>
      <c r="I499" t="str">
        <v>UND</v>
      </c>
      <c r="J499">
        <v>3</v>
      </c>
      <c r="K499">
        <v>4504726</v>
      </c>
      <c r="L499">
        <f t="shared" si="37"/>
        <v>0</v>
      </c>
      <c r="M499">
        <f t="shared" si="38"/>
        <v>0</v>
      </c>
      <c r="N499" s="119">
        <f t="shared" si="39"/>
        <v>1</v>
      </c>
      <c r="O499" s="119">
        <f t="shared" si="40"/>
        <v>0</v>
      </c>
    </row>
    <row r="500" spans="2:15" ht="15" customHeight="1" x14ac:dyDescent="0.25">
      <c r="B500" s="86" t="s">
        <v>955</v>
      </c>
      <c r="C500" s="87" t="s">
        <v>956</v>
      </c>
      <c r="D500" s="82" t="s">
        <v>16</v>
      </c>
      <c r="E500" s="230">
        <v>2</v>
      </c>
      <c r="F500" s="88">
        <v>564171</v>
      </c>
      <c r="G500" s="89">
        <f t="shared" si="36"/>
        <v>1128342</v>
      </c>
      <c r="H500" s="118" t="str">
        <f t="array" ref="H500:K500">_xlfn.XLOOKUP(B500,'ESAP NEIVA FASE II UNIFICADO'!$B$6:$B$720,'ESAP NEIVA FASE II UNIFICADO'!$C$6:$F$720,"NO ESTA")</f>
        <v>SUMINISTRO E INSTALACION ORGANIZADOR VERTICAL</v>
      </c>
      <c r="I500" t="str">
        <v>UND</v>
      </c>
      <c r="J500">
        <v>6</v>
      </c>
      <c r="K500">
        <v>578906</v>
      </c>
      <c r="L500">
        <f t="shared" si="37"/>
        <v>0</v>
      </c>
      <c r="M500">
        <f t="shared" si="38"/>
        <v>0</v>
      </c>
      <c r="N500" s="119">
        <f t="shared" si="39"/>
        <v>2</v>
      </c>
      <c r="O500" s="119">
        <f t="shared" si="40"/>
        <v>0</v>
      </c>
    </row>
    <row r="501" spans="2:15" ht="26.25" customHeight="1" x14ac:dyDescent="0.25">
      <c r="B501" s="86" t="s">
        <v>957</v>
      </c>
      <c r="C501" s="87" t="s">
        <v>958</v>
      </c>
      <c r="D501" s="82" t="s">
        <v>16</v>
      </c>
      <c r="E501" s="230">
        <v>1</v>
      </c>
      <c r="F501" s="88">
        <v>488570</v>
      </c>
      <c r="G501" s="89">
        <f t="shared" si="36"/>
        <v>488570</v>
      </c>
      <c r="H501" s="118" t="str">
        <f t="array" ref="H501:K501">_xlfn.XLOOKUP(B501,'ESAP NEIVA FASE II UNIFICADO'!$B$6:$B$720,'ESAP NEIVA FASE II UNIFICADO'!$C$6:$F$720,"NO ESTA")</f>
        <v>SUMINISTRO E INSTALACION MULTITOMA CON 5 SALIDAS ELECTRICAS GRADO HOSPITALARIO</v>
      </c>
      <c r="I501" t="str">
        <v>UND</v>
      </c>
      <c r="J501">
        <v>3</v>
      </c>
      <c r="K501">
        <v>501331</v>
      </c>
      <c r="L501">
        <f t="shared" si="37"/>
        <v>0</v>
      </c>
      <c r="M501">
        <f t="shared" si="38"/>
        <v>0</v>
      </c>
      <c r="N501" s="119">
        <f t="shared" si="39"/>
        <v>1</v>
      </c>
      <c r="O501" s="119">
        <f t="shared" si="40"/>
        <v>0</v>
      </c>
    </row>
    <row r="502" spans="2:15" ht="26.25" customHeight="1" x14ac:dyDescent="0.25">
      <c r="B502" s="86" t="s">
        <v>959</v>
      </c>
      <c r="C502" s="87" t="s">
        <v>960</v>
      </c>
      <c r="D502" s="82" t="s">
        <v>94</v>
      </c>
      <c r="E502" s="230">
        <v>11</v>
      </c>
      <c r="F502" s="88">
        <v>4514</v>
      </c>
      <c r="G502" s="89">
        <f t="shared" si="36"/>
        <v>49654</v>
      </c>
      <c r="H502" s="118" t="str">
        <f t="array" ref="H502:K502">_xlfn.XLOOKUP(B502,'ESAP NEIVA FASE II UNIFICADO'!$B$6:$B$720,'ESAP NEIVA FASE II UNIFICADO'!$C$6:$F$720,"NO ESTA")</f>
        <v>SUMINISTRO E INSTALACION CABLE THHN No. 6 AWG VERDE. PARA ATERRIZAJE DE ELEMENTOS Y GABINATE</v>
      </c>
      <c r="I502" t="str">
        <v>ML</v>
      </c>
      <c r="J502">
        <v>29</v>
      </c>
      <c r="K502">
        <v>4631</v>
      </c>
      <c r="L502">
        <f t="shared" si="37"/>
        <v>0</v>
      </c>
      <c r="M502">
        <f t="shared" si="38"/>
        <v>0</v>
      </c>
      <c r="N502" s="119">
        <f t="shared" si="39"/>
        <v>11</v>
      </c>
      <c r="O502" s="119">
        <f t="shared" si="40"/>
        <v>0</v>
      </c>
    </row>
    <row r="503" spans="2:15" ht="15" customHeight="1" x14ac:dyDescent="0.25">
      <c r="B503" s="86" t="s">
        <v>961</v>
      </c>
      <c r="C503" s="87" t="s">
        <v>962</v>
      </c>
      <c r="D503" s="82" t="s">
        <v>94</v>
      </c>
      <c r="E503" s="230">
        <v>230</v>
      </c>
      <c r="F503" s="88">
        <v>150309</v>
      </c>
      <c r="G503" s="89">
        <f t="shared" si="36"/>
        <v>34571070</v>
      </c>
      <c r="H503" s="118" t="str">
        <f t="array" ref="H503:K503">_xlfn.XLOOKUP(B503,'ESAP NEIVA FASE II UNIFICADO'!$B$6:$B$720,'ESAP NEIVA FASE II UNIFICADO'!$C$6:$F$720,"NO ESTA")</f>
        <v>SUMINISTRO E INSTALACION BANDEJA TIPO MALLA DE 40 x 8 cm CON ACCESORIOS</v>
      </c>
      <c r="I503" t="str">
        <v>ML</v>
      </c>
      <c r="J503">
        <v>316</v>
      </c>
      <c r="K503">
        <v>154235</v>
      </c>
      <c r="L503">
        <f t="shared" si="37"/>
        <v>0</v>
      </c>
      <c r="M503">
        <f t="shared" si="38"/>
        <v>0</v>
      </c>
      <c r="N503" s="119">
        <f t="shared" si="39"/>
        <v>230</v>
      </c>
      <c r="O503" s="119">
        <f t="shared" si="40"/>
        <v>0</v>
      </c>
    </row>
    <row r="504" spans="2:15" ht="15" customHeight="1" x14ac:dyDescent="0.25">
      <c r="B504" s="86" t="s">
        <v>963</v>
      </c>
      <c r="C504" s="87" t="s">
        <v>964</v>
      </c>
      <c r="D504" s="82" t="s">
        <v>94</v>
      </c>
      <c r="E504" s="230">
        <v>91</v>
      </c>
      <c r="F504" s="88">
        <v>35614</v>
      </c>
      <c r="G504" s="89">
        <f t="shared" si="36"/>
        <v>3240874</v>
      </c>
      <c r="H504" s="118" t="str">
        <f t="array" ref="H504:K504">_xlfn.XLOOKUP(B504,'ESAP NEIVA FASE II UNIFICADO'!$B$6:$B$720,'ESAP NEIVA FASE II UNIFICADO'!$C$6:$F$720,"NO ESTA")</f>
        <v>SUMINISTRO E INSTALACION CANALETA METÁLICA DE 12 x 5 cm.</v>
      </c>
      <c r="I504" t="str">
        <v>ML</v>
      </c>
      <c r="J504">
        <v>245</v>
      </c>
      <c r="K504">
        <v>36543</v>
      </c>
      <c r="L504">
        <f t="shared" si="37"/>
        <v>0</v>
      </c>
      <c r="M504">
        <f t="shared" si="38"/>
        <v>0</v>
      </c>
      <c r="N504" s="119">
        <f t="shared" si="39"/>
        <v>91</v>
      </c>
      <c r="O504" s="119">
        <f t="shared" si="40"/>
        <v>0</v>
      </c>
    </row>
    <row r="505" spans="2:15" ht="15" customHeight="1" x14ac:dyDescent="0.25">
      <c r="B505" s="86" t="s">
        <v>965</v>
      </c>
      <c r="C505" s="87" t="s">
        <v>966</v>
      </c>
      <c r="D505" s="82" t="s">
        <v>94</v>
      </c>
      <c r="E505" s="230">
        <v>23</v>
      </c>
      <c r="F505" s="88">
        <v>19668</v>
      </c>
      <c r="G505" s="89">
        <f t="shared" si="36"/>
        <v>452364</v>
      </c>
      <c r="H505" s="118" t="str">
        <f t="array" ref="H505:K505">_xlfn.XLOOKUP(B505,'ESAP NEIVA FASE II UNIFICADO'!$B$6:$B$720,'ESAP NEIVA FASE II UNIFICADO'!$C$6:$F$720,"NO ESTA")</f>
        <v>SUMINISTRO E INSTALACION TUBERÍA EMT DE 1" INCLUYE ACCESORIOS</v>
      </c>
      <c r="I505" t="str">
        <v>ML</v>
      </c>
      <c r="J505">
        <v>64</v>
      </c>
      <c r="K505">
        <v>20181</v>
      </c>
      <c r="L505">
        <f t="shared" si="37"/>
        <v>0</v>
      </c>
      <c r="M505">
        <f t="shared" si="38"/>
        <v>0</v>
      </c>
      <c r="N505" s="119">
        <f t="shared" si="39"/>
        <v>23</v>
      </c>
      <c r="O505" s="119">
        <f t="shared" si="40"/>
        <v>0</v>
      </c>
    </row>
    <row r="506" spans="2:15" ht="15" customHeight="1" x14ac:dyDescent="0.25">
      <c r="B506" s="86" t="s">
        <v>967</v>
      </c>
      <c r="C506" s="87" t="s">
        <v>968</v>
      </c>
      <c r="D506" s="82" t="s">
        <v>94</v>
      </c>
      <c r="E506" s="230">
        <v>61</v>
      </c>
      <c r="F506" s="88">
        <v>15631</v>
      </c>
      <c r="G506" s="89">
        <f t="shared" si="36"/>
        <v>953491</v>
      </c>
      <c r="H506" s="118" t="str">
        <f t="array" ref="H506:K506">_xlfn.XLOOKUP(B506,'ESAP NEIVA FASE II UNIFICADO'!$B$6:$B$720,'ESAP NEIVA FASE II UNIFICADO'!$C$6:$F$720,"NO ESTA")</f>
        <v>SUMINISTRO E INSTALACION TUBERÍA EMT DE 3/4" INCLUYE ACCESORIOS</v>
      </c>
      <c r="I506" t="str">
        <v>ML</v>
      </c>
      <c r="J506">
        <v>166</v>
      </c>
      <c r="K506">
        <v>16039</v>
      </c>
      <c r="L506">
        <f t="shared" si="37"/>
        <v>0</v>
      </c>
      <c r="M506">
        <f t="shared" si="38"/>
        <v>0</v>
      </c>
      <c r="N506" s="119">
        <f t="shared" si="39"/>
        <v>61</v>
      </c>
      <c r="O506" s="119">
        <f t="shared" si="40"/>
        <v>0</v>
      </c>
    </row>
    <row r="507" spans="2:15" ht="15" customHeight="1" x14ac:dyDescent="0.25">
      <c r="B507" s="86" t="s">
        <v>969</v>
      </c>
      <c r="C507" s="87" t="s">
        <v>970</v>
      </c>
      <c r="D507" s="82" t="s">
        <v>94</v>
      </c>
      <c r="E507" s="230">
        <v>8</v>
      </c>
      <c r="F507" s="88">
        <v>5759</v>
      </c>
      <c r="G507" s="89">
        <f t="shared" si="36"/>
        <v>46072</v>
      </c>
      <c r="H507" s="118" t="str">
        <f t="array" ref="H507:K507">_xlfn.XLOOKUP(B507,'ESAP NEIVA FASE II UNIFICADO'!$B$6:$B$720,'ESAP NEIVA FASE II UNIFICADO'!$C$6:$F$720,"NO ESTA")</f>
        <v>SUMINISTRO E INSTALACION TUBERÍA PVC DE 1" INCLUYE ACCESORIOS</v>
      </c>
      <c r="I507" t="str">
        <v>ML</v>
      </c>
      <c r="J507">
        <v>22</v>
      </c>
      <c r="K507">
        <v>5910</v>
      </c>
      <c r="L507">
        <f t="shared" si="37"/>
        <v>0</v>
      </c>
      <c r="M507">
        <f t="shared" si="38"/>
        <v>0</v>
      </c>
      <c r="N507" s="119">
        <f t="shared" si="39"/>
        <v>8</v>
      </c>
      <c r="O507" s="119">
        <f t="shared" si="40"/>
        <v>0</v>
      </c>
    </row>
    <row r="508" spans="2:15" ht="15" customHeight="1" x14ac:dyDescent="0.25">
      <c r="B508" s="86" t="s">
        <v>971</v>
      </c>
      <c r="C508" s="87" t="s">
        <v>972</v>
      </c>
      <c r="D508" s="82" t="s">
        <v>94</v>
      </c>
      <c r="E508" s="230">
        <v>31</v>
      </c>
      <c r="F508" s="88">
        <v>4633</v>
      </c>
      <c r="G508" s="89">
        <f t="shared" si="36"/>
        <v>143623</v>
      </c>
      <c r="H508" s="118" t="str">
        <f t="array" ref="H508:K508">_xlfn.XLOOKUP(B508,'ESAP NEIVA FASE II UNIFICADO'!$B$6:$B$720,'ESAP NEIVA FASE II UNIFICADO'!$C$6:$F$720,"NO ESTA")</f>
        <v>SUMINISTRO E INSTALACION TUBERÍA PVC DE 3/4" INCLUYE ACCESORIOS</v>
      </c>
      <c r="I508" t="str">
        <v>ML</v>
      </c>
      <c r="J508">
        <v>84</v>
      </c>
      <c r="K508">
        <v>4755</v>
      </c>
      <c r="L508">
        <f t="shared" si="37"/>
        <v>0</v>
      </c>
      <c r="M508">
        <f t="shared" si="38"/>
        <v>0</v>
      </c>
      <c r="N508" s="119">
        <f t="shared" si="39"/>
        <v>31</v>
      </c>
      <c r="O508" s="119">
        <f t="shared" si="40"/>
        <v>0</v>
      </c>
    </row>
    <row r="509" spans="2:15" ht="15" customHeight="1" x14ac:dyDescent="0.25">
      <c r="B509" s="86" t="s">
        <v>973</v>
      </c>
      <c r="C509" s="87" t="s">
        <v>974</v>
      </c>
      <c r="D509" s="82" t="s">
        <v>16</v>
      </c>
      <c r="E509" s="230">
        <v>4</v>
      </c>
      <c r="F509" s="88">
        <v>751513</v>
      </c>
      <c r="G509" s="89">
        <f t="shared" si="36"/>
        <v>3006052</v>
      </c>
      <c r="H509" s="118" t="str">
        <f t="array" ref="H509:K509">_xlfn.XLOOKUP(B509,'ESAP NEIVA FASE II UNIFICADO'!$B$6:$B$720,'ESAP NEIVA FASE II UNIFICADO'!$C$6:$F$720,"NO ESTA")</f>
        <v>SUMINISTRO E INSTALACION PARRILLA ORGANIZADORA DE CABLES DE 1,20 x 0,6 m</v>
      </c>
      <c r="I509" t="str">
        <v>UND</v>
      </c>
      <c r="J509">
        <v>2</v>
      </c>
      <c r="K509">
        <v>771142</v>
      </c>
      <c r="L509">
        <f t="shared" si="37"/>
        <v>0</v>
      </c>
      <c r="M509">
        <f t="shared" si="38"/>
        <v>0</v>
      </c>
      <c r="N509" s="119">
        <f t="shared" si="39"/>
        <v>4</v>
      </c>
      <c r="O509" s="119">
        <f t="shared" si="40"/>
        <v>0</v>
      </c>
    </row>
    <row r="510" spans="2:15" ht="15" customHeight="1" x14ac:dyDescent="0.25">
      <c r="B510" s="86" t="s">
        <v>975</v>
      </c>
      <c r="C510" s="87" t="s">
        <v>976</v>
      </c>
      <c r="D510" s="82" t="s">
        <v>16</v>
      </c>
      <c r="E510" s="230">
        <v>4</v>
      </c>
      <c r="F510" s="88">
        <v>12598</v>
      </c>
      <c r="G510" s="89">
        <f t="shared" si="36"/>
        <v>50392</v>
      </c>
      <c r="H510" s="118" t="str">
        <f t="array" ref="H510:K510">_xlfn.XLOOKUP(B510,'ESAP NEIVA FASE II UNIFICADO'!$B$6:$B$720,'ESAP NEIVA FASE II UNIFICADO'!$C$6:$F$720,"NO ESTA")</f>
        <v>SUMINISTRO E INSTALACION CAJA DE PASO 10 x 10 m DOBLE FONDO</v>
      </c>
      <c r="I510" t="str">
        <v>UND</v>
      </c>
      <c r="J510">
        <v>4</v>
      </c>
      <c r="K510">
        <v>12928</v>
      </c>
      <c r="L510">
        <f t="shared" si="37"/>
        <v>0</v>
      </c>
      <c r="M510">
        <f t="shared" si="38"/>
        <v>0</v>
      </c>
      <c r="N510" s="119">
        <f t="shared" si="39"/>
        <v>4</v>
      </c>
      <c r="O510" s="119">
        <f t="shared" si="40"/>
        <v>0</v>
      </c>
    </row>
    <row r="511" spans="2:15" ht="15" customHeight="1" x14ac:dyDescent="0.25">
      <c r="B511" s="80" t="s">
        <v>977</v>
      </c>
      <c r="C511" s="81" t="s">
        <v>978</v>
      </c>
      <c r="D511" s="82"/>
      <c r="E511" s="230"/>
      <c r="F511" s="106">
        <v>0</v>
      </c>
      <c r="G511" s="89">
        <f t="shared" si="36"/>
        <v>0</v>
      </c>
      <c r="H511" s="118" t="str">
        <f t="array" ref="H511:K511">_xlfn.XLOOKUP(B511,'ESAP NEIVA FASE II UNIFICADO'!$B$6:$B$720,'ESAP NEIVA FASE II UNIFICADO'!$C$6:$F$720,"NO ESTA")</f>
        <v xml:space="preserve">SUMINISTRO E INSTALACIÓN DE REDES ELECTRICAS ESPECIALES </v>
      </c>
      <c r="I511">
        <v>0</v>
      </c>
      <c r="J511">
        <v>0</v>
      </c>
      <c r="K511">
        <v>0</v>
      </c>
      <c r="L511">
        <f t="shared" si="37"/>
        <v>1</v>
      </c>
      <c r="M511">
        <f t="shared" si="38"/>
        <v>0</v>
      </c>
      <c r="N511" s="119">
        <f t="shared" si="39"/>
        <v>0</v>
      </c>
      <c r="O511" s="119">
        <f t="shared" si="40"/>
        <v>0</v>
      </c>
    </row>
    <row r="512" spans="2:15" ht="15" customHeight="1" x14ac:dyDescent="0.25">
      <c r="B512" s="86" t="s">
        <v>979</v>
      </c>
      <c r="C512" s="87" t="s">
        <v>980</v>
      </c>
      <c r="D512" s="82" t="s">
        <v>16</v>
      </c>
      <c r="E512" s="230">
        <v>2</v>
      </c>
      <c r="F512" s="88">
        <v>62600</v>
      </c>
      <c r="G512" s="89">
        <f t="shared" si="36"/>
        <v>125200</v>
      </c>
      <c r="H512" s="118" t="str">
        <f t="array" ref="H512:K512">_xlfn.XLOOKUP(B512,'ESAP NEIVA FASE II UNIFICADO'!$B$6:$B$720,'ESAP NEIVA FASE II UNIFICADO'!$C$6:$F$720,"NO ESTA")</f>
        <v>SUMINISTRO E INSTALACION SALIDA TOMA NEMA L5-30 RAWELT</v>
      </c>
      <c r="I512" t="str">
        <v>UND</v>
      </c>
      <c r="J512">
        <v>2</v>
      </c>
      <c r="K512">
        <v>64235</v>
      </c>
      <c r="L512">
        <f t="shared" si="37"/>
        <v>0</v>
      </c>
      <c r="M512">
        <f t="shared" si="38"/>
        <v>0</v>
      </c>
      <c r="N512" s="119">
        <f t="shared" si="39"/>
        <v>2</v>
      </c>
      <c r="O512" s="119">
        <f t="shared" si="40"/>
        <v>0</v>
      </c>
    </row>
    <row r="513" spans="2:15" ht="29.25" customHeight="1" x14ac:dyDescent="0.25">
      <c r="B513" s="86" t="s">
        <v>981</v>
      </c>
      <c r="C513" s="87" t="s">
        <v>982</v>
      </c>
      <c r="D513" s="82" t="s">
        <v>94</v>
      </c>
      <c r="E513" s="230">
        <v>2</v>
      </c>
      <c r="F513" s="88">
        <v>6306</v>
      </c>
      <c r="G513" s="89">
        <f t="shared" si="36"/>
        <v>12612</v>
      </c>
      <c r="H513" s="118" t="str">
        <f t="array" ref="H513:K513">_xlfn.XLOOKUP(B513,'ESAP NEIVA FASE II UNIFICADO'!$B$6:$B$720,'ESAP NEIVA FASE II UNIFICADO'!$C$6:$F$720,"NO ESTA")</f>
        <v>SUMINISTRO E INSTALACION CIRCUITO PREENSAMBLADO AZUL MONOFÁSICO NORMAL PARA RACK</v>
      </c>
      <c r="I513" t="str">
        <v>ML</v>
      </c>
      <c r="J513">
        <v>2</v>
      </c>
      <c r="K513">
        <v>6470</v>
      </c>
      <c r="L513">
        <f t="shared" si="37"/>
        <v>0</v>
      </c>
      <c r="M513">
        <f t="shared" si="38"/>
        <v>0</v>
      </c>
      <c r="N513" s="119">
        <f t="shared" si="39"/>
        <v>2</v>
      </c>
      <c r="O513" s="119">
        <f t="shared" si="40"/>
        <v>0</v>
      </c>
    </row>
    <row r="514" spans="2:15" ht="29.25" customHeight="1" x14ac:dyDescent="0.25">
      <c r="B514" s="86" t="s">
        <v>983</v>
      </c>
      <c r="C514" s="87" t="s">
        <v>984</v>
      </c>
      <c r="D514" s="82" t="s">
        <v>94</v>
      </c>
      <c r="E514" s="230">
        <v>2</v>
      </c>
      <c r="F514" s="88">
        <v>6306</v>
      </c>
      <c r="G514" s="89">
        <f t="shared" si="36"/>
        <v>12612</v>
      </c>
      <c r="H514" s="118" t="str">
        <f t="array" ref="H514:K514">_xlfn.XLOOKUP(B514,'ESAP NEIVA FASE II UNIFICADO'!$B$6:$B$720,'ESAP NEIVA FASE II UNIFICADO'!$C$6:$F$720,"NO ESTA")</f>
        <v>SUMINISTRO E INSTALACION CIRCUITO PREENSAMBLADO ROJO MONOFÁSICO REGULADO PARA RACK</v>
      </c>
      <c r="I514" t="str">
        <v>ML</v>
      </c>
      <c r="J514">
        <v>2</v>
      </c>
      <c r="K514">
        <v>6470</v>
      </c>
      <c r="L514">
        <f t="shared" si="37"/>
        <v>0</v>
      </c>
      <c r="M514">
        <f t="shared" si="38"/>
        <v>0</v>
      </c>
      <c r="N514" s="119">
        <f t="shared" si="39"/>
        <v>2</v>
      </c>
      <c r="O514" s="119">
        <f t="shared" si="40"/>
        <v>0</v>
      </c>
    </row>
    <row r="515" spans="2:15" ht="15" customHeight="1" x14ac:dyDescent="0.25">
      <c r="B515" s="86" t="s">
        <v>985</v>
      </c>
      <c r="C515" s="87" t="s">
        <v>986</v>
      </c>
      <c r="D515" s="82" t="s">
        <v>16</v>
      </c>
      <c r="E515" s="230">
        <v>2</v>
      </c>
      <c r="F515" s="88">
        <v>616802</v>
      </c>
      <c r="G515" s="89">
        <f t="shared" si="36"/>
        <v>1233604</v>
      </c>
      <c r="H515" s="118" t="str">
        <f t="array" ref="H515:K515">_xlfn.XLOOKUP(B515,'ESAP NEIVA FASE II UNIFICADO'!$B$6:$B$720,'ESAP NEIVA FASE II UNIFICADO'!$C$6:$F$720,"NO ESTA")</f>
        <v>SUMINISTRO E INSTALACION BARRAJE DE PUESTA A TIERRA PARA RACK TGB</v>
      </c>
      <c r="I515" t="str">
        <v>UND</v>
      </c>
      <c r="J515">
        <v>2</v>
      </c>
      <c r="K515">
        <v>632913</v>
      </c>
      <c r="L515">
        <f t="shared" si="37"/>
        <v>0</v>
      </c>
      <c r="M515">
        <f t="shared" si="38"/>
        <v>0</v>
      </c>
      <c r="N515" s="119">
        <f t="shared" si="39"/>
        <v>2</v>
      </c>
      <c r="O515" s="119">
        <f t="shared" si="40"/>
        <v>0</v>
      </c>
    </row>
    <row r="516" spans="2:15" ht="15" customHeight="1" x14ac:dyDescent="0.25">
      <c r="B516" s="80" t="s">
        <v>987</v>
      </c>
      <c r="C516" s="81" t="s">
        <v>988</v>
      </c>
      <c r="D516" s="82"/>
      <c r="E516" s="230"/>
      <c r="F516" s="104">
        <v>0</v>
      </c>
      <c r="G516" s="89">
        <f t="shared" si="36"/>
        <v>0</v>
      </c>
      <c r="H516" s="118" t="str">
        <f t="array" ref="H516:K516">_xlfn.XLOOKUP(B516,'ESAP NEIVA FASE II UNIFICADO'!$B$6:$B$720,'ESAP NEIVA FASE II UNIFICADO'!$C$6:$F$720,"NO ESTA")</f>
        <v>SUMINISTRO E INSTALACION DE EQUIPOS ACTIVOS</v>
      </c>
      <c r="I516">
        <v>0</v>
      </c>
      <c r="J516">
        <v>0</v>
      </c>
      <c r="K516">
        <v>0</v>
      </c>
      <c r="L516">
        <f t="shared" si="37"/>
        <v>1</v>
      </c>
      <c r="M516">
        <f t="shared" si="38"/>
        <v>0</v>
      </c>
      <c r="N516" s="119">
        <f t="shared" si="39"/>
        <v>0</v>
      </c>
      <c r="O516" s="119">
        <f t="shared" si="40"/>
        <v>0</v>
      </c>
    </row>
    <row r="517" spans="2:15" ht="25.5" customHeight="1" x14ac:dyDescent="0.25">
      <c r="B517" s="86" t="s">
        <v>989</v>
      </c>
      <c r="C517" s="87" t="s">
        <v>990</v>
      </c>
      <c r="D517" s="82" t="s">
        <v>16</v>
      </c>
      <c r="E517" s="230">
        <v>1</v>
      </c>
      <c r="F517" s="88">
        <v>7157462</v>
      </c>
      <c r="G517" s="89">
        <f t="shared" si="36"/>
        <v>7157462</v>
      </c>
      <c r="H517" s="118" t="str">
        <f t="array" ref="H517:K517">_xlfn.XLOOKUP(B517,'ESAP NEIVA FASE II UNIFICADO'!$B$6:$B$720,'ESAP NEIVA FASE II UNIFICADO'!$C$6:$F$720,"NO ESTA")</f>
        <v xml:space="preserve">SUMINISTRO E INSTALACION SWITCHE DE BORDE DE 24 PoE PUERTOS GIGABIT ETHERNET 10/100/1000 Gbps CON PUERTO DE ADMINSITRACION POR CONSOLA </v>
      </c>
      <c r="I517" t="str">
        <v>UND</v>
      </c>
      <c r="J517">
        <v>13</v>
      </c>
      <c r="K517">
        <v>7344406</v>
      </c>
      <c r="L517">
        <f t="shared" si="37"/>
        <v>0</v>
      </c>
      <c r="M517">
        <f t="shared" si="38"/>
        <v>0</v>
      </c>
      <c r="N517" s="119">
        <f t="shared" si="39"/>
        <v>1</v>
      </c>
      <c r="O517" s="119">
        <f t="shared" si="40"/>
        <v>0</v>
      </c>
    </row>
    <row r="518" spans="2:15" ht="15" customHeight="1" x14ac:dyDescent="0.25">
      <c r="B518" s="86" t="s">
        <v>991</v>
      </c>
      <c r="C518" s="87" t="s">
        <v>992</v>
      </c>
      <c r="D518" s="82" t="s">
        <v>16</v>
      </c>
      <c r="E518" s="230">
        <v>1</v>
      </c>
      <c r="F518" s="88">
        <v>820212</v>
      </c>
      <c r="G518" s="89">
        <f t="shared" ref="G518:G540" si="41">ROUND(+F518*E518,2)</f>
        <v>820212</v>
      </c>
      <c r="H518" s="118" t="str">
        <f t="array" ref="H518:K518">_xlfn.XLOOKUP(B518,'ESAP NEIVA FASE II UNIFICADO'!$B$6:$B$720,'ESAP NEIVA FASE II UNIFICADO'!$C$6:$F$720,"NO ESTA")</f>
        <v>SUMINISTRO E INSTALACION MODULO SFP 10G</v>
      </c>
      <c r="I518" t="str">
        <v>UND</v>
      </c>
      <c r="J518">
        <v>0</v>
      </c>
      <c r="K518">
        <v>841635</v>
      </c>
      <c r="L518">
        <f t="shared" si="37"/>
        <v>1</v>
      </c>
      <c r="M518">
        <f t="shared" si="38"/>
        <v>820212</v>
      </c>
      <c r="N518" s="119">
        <f t="shared" si="39"/>
        <v>1</v>
      </c>
      <c r="O518" s="119">
        <f t="shared" si="40"/>
        <v>820212</v>
      </c>
    </row>
    <row r="519" spans="2:15" ht="24.75" customHeight="1" x14ac:dyDescent="0.25">
      <c r="B519" s="74">
        <v>19</v>
      </c>
      <c r="C519" s="75" t="s">
        <v>993</v>
      </c>
      <c r="D519" s="76"/>
      <c r="E519" s="229"/>
      <c r="F519" s="78">
        <v>0</v>
      </c>
      <c r="G519" s="89">
        <f t="shared" si="41"/>
        <v>0</v>
      </c>
      <c r="H519" s="118" t="str">
        <f t="array" ref="H519:K519">_xlfn.XLOOKUP(B519,'ESAP NEIVA FASE II UNIFICADO'!$B$6:$B$720,'ESAP NEIVA FASE II UNIFICADO'!$C$6:$F$720,"NO ESTA")</f>
        <v>SEGURIDAD ELÉCTRONICA (CCTV, CONTROL ACCESOS, DETECCION INCENDIOS Y SONIDO)</v>
      </c>
      <c r="I519">
        <v>0</v>
      </c>
      <c r="J519">
        <v>0</v>
      </c>
      <c r="K519">
        <v>0</v>
      </c>
      <c r="L519">
        <f t="shared" si="37"/>
        <v>1</v>
      </c>
      <c r="M519">
        <f t="shared" si="38"/>
        <v>0</v>
      </c>
      <c r="N519" s="119">
        <f t="shared" si="39"/>
        <v>0</v>
      </c>
      <c r="O519" s="119">
        <f t="shared" si="40"/>
        <v>0</v>
      </c>
    </row>
    <row r="520" spans="2:15" ht="15" customHeight="1" x14ac:dyDescent="0.25">
      <c r="B520" s="80" t="s">
        <v>994</v>
      </c>
      <c r="C520" s="81" t="s">
        <v>995</v>
      </c>
      <c r="D520" s="82"/>
      <c r="E520" s="230"/>
      <c r="F520" s="90">
        <v>0</v>
      </c>
      <c r="G520" s="89">
        <f t="shared" si="41"/>
        <v>0</v>
      </c>
      <c r="H520" s="118" t="str">
        <f t="array" ref="H520:K520">_xlfn.XLOOKUP(B520,'ESAP NEIVA FASE II UNIFICADO'!$B$6:$B$720,'ESAP NEIVA FASE II UNIFICADO'!$C$6:$F$720,"NO ESTA")</f>
        <v>SUMINISTRO E INSTALACION DE DETECCIÓN DE INDENDIO</v>
      </c>
      <c r="I520">
        <v>0</v>
      </c>
      <c r="J520">
        <v>0</v>
      </c>
      <c r="K520">
        <v>0</v>
      </c>
      <c r="L520">
        <f t="shared" si="37"/>
        <v>1</v>
      </c>
      <c r="M520">
        <f t="shared" si="38"/>
        <v>0</v>
      </c>
      <c r="N520" s="119">
        <f t="shared" si="39"/>
        <v>0</v>
      </c>
      <c r="O520" s="119">
        <f t="shared" si="40"/>
        <v>0</v>
      </c>
    </row>
    <row r="521" spans="2:15" ht="22.5" customHeight="1" x14ac:dyDescent="0.25">
      <c r="B521" s="86" t="s">
        <v>996</v>
      </c>
      <c r="C521" s="87" t="s">
        <v>997</v>
      </c>
      <c r="D521" s="82" t="s">
        <v>16</v>
      </c>
      <c r="E521" s="230">
        <v>3</v>
      </c>
      <c r="F521" s="88">
        <v>497032</v>
      </c>
      <c r="G521" s="89">
        <f t="shared" si="41"/>
        <v>1491096</v>
      </c>
      <c r="H521" s="118" t="str">
        <f t="array" ref="H521:K521">_xlfn.XLOOKUP(B521,'ESAP NEIVA FASE II UNIFICADO'!$B$6:$B$720,'ESAP NEIVA FASE II UNIFICADO'!$C$6:$F$720,"NO ESTA")</f>
        <v>SUMINISTRO E INSTALACION ESTACION MANUAL DIRECCIONABLE DE AVISO, CON CUBIERTA ACRILICA</v>
      </c>
      <c r="I521" t="str">
        <v>UND</v>
      </c>
      <c r="J521">
        <v>8</v>
      </c>
      <c r="K521">
        <v>503198</v>
      </c>
      <c r="L521">
        <f t="shared" si="37"/>
        <v>0</v>
      </c>
      <c r="M521">
        <f t="shared" si="38"/>
        <v>0</v>
      </c>
      <c r="N521" s="119">
        <f t="shared" si="39"/>
        <v>3</v>
      </c>
      <c r="O521" s="119">
        <f t="shared" si="40"/>
        <v>0</v>
      </c>
    </row>
    <row r="522" spans="2:15" ht="15" customHeight="1" x14ac:dyDescent="0.25">
      <c r="B522" s="86" t="s">
        <v>998</v>
      </c>
      <c r="C522" s="87" t="s">
        <v>999</v>
      </c>
      <c r="D522" s="82" t="s">
        <v>16</v>
      </c>
      <c r="E522" s="230">
        <v>3</v>
      </c>
      <c r="F522" s="88">
        <v>355685</v>
      </c>
      <c r="G522" s="89">
        <f t="shared" si="41"/>
        <v>1067055</v>
      </c>
      <c r="H522" s="118" t="str">
        <f t="array" ref="H522:K522">_xlfn.XLOOKUP(B522,'ESAP NEIVA FASE II UNIFICADO'!$B$6:$B$720,'ESAP NEIVA FASE II UNIFICADO'!$C$6:$F$720,"NO ESTA")</f>
        <v>SUMINISTRO E INSTALACION SIRENA / ESTROBO CON SUS MODULOS DE CONTROL</v>
      </c>
      <c r="I522" t="str">
        <v>UND</v>
      </c>
      <c r="J522">
        <v>8</v>
      </c>
      <c r="K522">
        <v>360098</v>
      </c>
      <c r="L522">
        <f t="shared" ref="L522:L540" si="42">+IF(J522&gt;0,0,1)</f>
        <v>0</v>
      </c>
      <c r="M522">
        <f t="shared" ref="M522:M540" si="43">IF(L522=1,F522,0)</f>
        <v>0</v>
      </c>
      <c r="N522" s="119">
        <f t="shared" ref="N522:N540" si="44">E522</f>
        <v>3</v>
      </c>
      <c r="O522" s="119">
        <f t="shared" si="40"/>
        <v>0</v>
      </c>
    </row>
    <row r="523" spans="2:15" ht="15" customHeight="1" x14ac:dyDescent="0.25">
      <c r="B523" s="86" t="s">
        <v>1000</v>
      </c>
      <c r="C523" s="87" t="s">
        <v>1001</v>
      </c>
      <c r="D523" s="82" t="s">
        <v>16</v>
      </c>
      <c r="E523" s="230">
        <v>46</v>
      </c>
      <c r="F523" s="88">
        <v>400099</v>
      </c>
      <c r="G523" s="89">
        <f t="shared" si="41"/>
        <v>18404554</v>
      </c>
      <c r="H523" s="118" t="str">
        <f t="array" ref="H523:K523">_xlfn.XLOOKUP(B523,'ESAP NEIVA FASE II UNIFICADO'!$B$6:$B$720,'ESAP NEIVA FASE II UNIFICADO'!$C$6:$F$720,"NO ESTA")</f>
        <v>SUMINISTRO E INSTALACION DETECTOR DE HUMO DIRECCIONABLE CON BASE</v>
      </c>
      <c r="I523" t="str">
        <v>UND</v>
      </c>
      <c r="J523">
        <v>96</v>
      </c>
      <c r="K523">
        <v>405062</v>
      </c>
      <c r="L523">
        <f t="shared" si="42"/>
        <v>0</v>
      </c>
      <c r="M523">
        <f t="shared" si="43"/>
        <v>0</v>
      </c>
      <c r="N523" s="119">
        <f t="shared" si="44"/>
        <v>46</v>
      </c>
      <c r="O523" s="119">
        <f t="shared" ref="O523:O540" si="45">ROUND(M523*N523,2)</f>
        <v>0</v>
      </c>
    </row>
    <row r="524" spans="2:15" ht="15" customHeight="1" x14ac:dyDescent="0.25">
      <c r="B524" s="86" t="s">
        <v>1002</v>
      </c>
      <c r="C524" s="87" t="s">
        <v>1003</v>
      </c>
      <c r="D524" s="82" t="s">
        <v>16</v>
      </c>
      <c r="E524" s="230">
        <v>2</v>
      </c>
      <c r="F524" s="88">
        <v>374720</v>
      </c>
      <c r="G524" s="89">
        <f t="shared" si="41"/>
        <v>749440</v>
      </c>
      <c r="H524" s="118" t="str">
        <f t="array" ref="H524:K524">_xlfn.XLOOKUP(B524,'ESAP NEIVA FASE II UNIFICADO'!$B$6:$B$720,'ESAP NEIVA FASE II UNIFICADO'!$C$6:$F$720,"NO ESTA")</f>
        <v>SUMINISTRO E INSTALACION DETECTOR DE MONOXIDO DIRECCIONABLE CON BASE</v>
      </c>
      <c r="I524" t="str">
        <v>UND</v>
      </c>
      <c r="J524">
        <v>6</v>
      </c>
      <c r="K524">
        <v>379368</v>
      </c>
      <c r="L524">
        <f t="shared" si="42"/>
        <v>0</v>
      </c>
      <c r="M524">
        <f t="shared" si="43"/>
        <v>0</v>
      </c>
      <c r="N524" s="119">
        <f t="shared" si="44"/>
        <v>2</v>
      </c>
      <c r="O524" s="119">
        <f t="shared" si="45"/>
        <v>0</v>
      </c>
    </row>
    <row r="525" spans="2:15" ht="15" customHeight="1" x14ac:dyDescent="0.25">
      <c r="B525" s="86" t="s">
        <v>1004</v>
      </c>
      <c r="C525" s="87" t="s">
        <v>1005</v>
      </c>
      <c r="D525" s="82" t="s">
        <v>16</v>
      </c>
      <c r="E525" s="230">
        <v>2</v>
      </c>
      <c r="F525" s="88">
        <v>395570</v>
      </c>
      <c r="G525" s="89">
        <f t="shared" si="41"/>
        <v>791140</v>
      </c>
      <c r="H525" s="118" t="str">
        <f t="array" ref="H525:K525">_xlfn.XLOOKUP(B525,'ESAP NEIVA FASE II UNIFICADO'!$B$6:$B$720,'ESAP NEIVA FASE II UNIFICADO'!$C$6:$F$720,"NO ESTA")</f>
        <v>SUMINISTRO E INSTALACION CITOFONO DE EMERGENCIA</v>
      </c>
      <c r="I525" t="str">
        <v>UND</v>
      </c>
      <c r="J525">
        <v>5</v>
      </c>
      <c r="K525">
        <v>400477</v>
      </c>
      <c r="L525">
        <f t="shared" si="42"/>
        <v>0</v>
      </c>
      <c r="M525">
        <f t="shared" si="43"/>
        <v>0</v>
      </c>
      <c r="N525" s="119">
        <f t="shared" si="44"/>
        <v>2</v>
      </c>
      <c r="O525" s="119">
        <f t="shared" si="45"/>
        <v>0</v>
      </c>
    </row>
    <row r="526" spans="2:15" ht="23.25" customHeight="1" x14ac:dyDescent="0.25">
      <c r="B526" s="86" t="s">
        <v>1006</v>
      </c>
      <c r="C526" s="87" t="s">
        <v>1007</v>
      </c>
      <c r="D526" s="82" t="s">
        <v>16</v>
      </c>
      <c r="E526" s="230">
        <v>1</v>
      </c>
      <c r="F526" s="88">
        <v>8308139</v>
      </c>
      <c r="G526" s="89">
        <f t="shared" si="41"/>
        <v>8308139</v>
      </c>
      <c r="H526" s="118" t="str">
        <f t="array" ref="H526:K526">_xlfn.XLOOKUP(B526,'ESAP NEIVA FASE II UNIFICADO'!$B$6:$B$720,'ESAP NEIVA FASE II UNIFICADO'!$C$6:$F$720,"NO ESTA")</f>
        <v xml:space="preserve">SUMINISTRO E INSTALACION CENTRAL DE DETECCION DE INCENDIO E INTRUSIÓN, CONSU GABINETE, FUENTE, CPU, DISPLAY Y TECLEDO, CON UN 30% DE RESERVA PARA AMPLIACIÓN. </v>
      </c>
      <c r="I526" t="str">
        <v>UND</v>
      </c>
      <c r="J526">
        <v>1</v>
      </c>
      <c r="K526">
        <v>8411205</v>
      </c>
      <c r="L526">
        <f t="shared" si="42"/>
        <v>0</v>
      </c>
      <c r="M526">
        <f t="shared" si="43"/>
        <v>0</v>
      </c>
      <c r="N526" s="119">
        <f t="shared" si="44"/>
        <v>1</v>
      </c>
      <c r="O526" s="119">
        <f t="shared" si="45"/>
        <v>0</v>
      </c>
    </row>
    <row r="527" spans="2:15" ht="15" customHeight="1" x14ac:dyDescent="0.25">
      <c r="B527" s="86" t="s">
        <v>1008</v>
      </c>
      <c r="C527" s="87" t="s">
        <v>1009</v>
      </c>
      <c r="D527" s="82" t="s">
        <v>94</v>
      </c>
      <c r="E527" s="230">
        <v>496</v>
      </c>
      <c r="F527" s="88">
        <v>5202</v>
      </c>
      <c r="G527" s="89">
        <f t="shared" si="41"/>
        <v>2580192</v>
      </c>
      <c r="H527" s="118" t="str">
        <f t="array" ref="H527:K527">_xlfn.XLOOKUP(B527,'ESAP NEIVA FASE II UNIFICADO'!$B$6:$B$720,'ESAP NEIVA FASE II UNIFICADO'!$C$6:$F$720,"NO ESTA")</f>
        <v>SUMINISTRO E INSTALACION CABLE BLINDADO 2 x 16 AWG FPL</v>
      </c>
      <c r="I527" t="str">
        <v>ML</v>
      </c>
      <c r="J527">
        <v>1277</v>
      </c>
      <c r="K527">
        <v>5267</v>
      </c>
      <c r="L527">
        <f t="shared" si="42"/>
        <v>0</v>
      </c>
      <c r="M527">
        <f t="shared" si="43"/>
        <v>0</v>
      </c>
      <c r="N527" s="119">
        <f t="shared" si="44"/>
        <v>496</v>
      </c>
      <c r="O527" s="119">
        <f t="shared" si="45"/>
        <v>0</v>
      </c>
    </row>
    <row r="528" spans="2:15" ht="15" customHeight="1" x14ac:dyDescent="0.25">
      <c r="B528" s="86" t="s">
        <v>1010</v>
      </c>
      <c r="C528" s="87" t="s">
        <v>968</v>
      </c>
      <c r="D528" s="82" t="s">
        <v>94</v>
      </c>
      <c r="E528" s="230">
        <v>456</v>
      </c>
      <c r="F528" s="88">
        <v>15842</v>
      </c>
      <c r="G528" s="89">
        <f t="shared" si="41"/>
        <v>7223952</v>
      </c>
      <c r="H528" s="118" t="str">
        <f t="array" ref="H528:K528">_xlfn.XLOOKUP(B528,'ESAP NEIVA FASE II UNIFICADO'!$B$6:$B$720,'ESAP NEIVA FASE II UNIFICADO'!$C$6:$F$720,"NO ESTA")</f>
        <v>SUMINISTRO E INSTALACION TUBERÍA EMT DE 3/4" INCLUYE ACCESORIOS</v>
      </c>
      <c r="I528" t="str">
        <v>ML</v>
      </c>
      <c r="J528">
        <v>854</v>
      </c>
      <c r="K528">
        <v>16039</v>
      </c>
      <c r="L528">
        <f t="shared" si="42"/>
        <v>0</v>
      </c>
      <c r="M528">
        <f t="shared" si="43"/>
        <v>0</v>
      </c>
      <c r="N528" s="119">
        <f t="shared" si="44"/>
        <v>456</v>
      </c>
      <c r="O528" s="119">
        <f t="shared" si="45"/>
        <v>0</v>
      </c>
    </row>
    <row r="529" spans="2:15" ht="15" customHeight="1" x14ac:dyDescent="0.25">
      <c r="B529" s="86" t="s">
        <v>1011</v>
      </c>
      <c r="C529" s="87" t="s">
        <v>972</v>
      </c>
      <c r="D529" s="82" t="s">
        <v>94</v>
      </c>
      <c r="E529" s="230">
        <v>7</v>
      </c>
      <c r="F529" s="88">
        <v>4696</v>
      </c>
      <c r="G529" s="89">
        <f t="shared" si="41"/>
        <v>32872</v>
      </c>
      <c r="H529" s="118" t="str">
        <f t="array" ref="H529:K529">_xlfn.XLOOKUP(B529,'ESAP NEIVA FASE II UNIFICADO'!$B$6:$B$720,'ESAP NEIVA FASE II UNIFICADO'!$C$6:$F$720,"NO ESTA")</f>
        <v>SUMINISTRO E INSTALACION TUBERÍA PVC DE 3/4" INCLUYE ACCESORIOS</v>
      </c>
      <c r="I529" t="str">
        <v>ML</v>
      </c>
      <c r="J529">
        <v>15</v>
      </c>
      <c r="K529">
        <v>4755</v>
      </c>
      <c r="L529">
        <f t="shared" si="42"/>
        <v>0</v>
      </c>
      <c r="M529">
        <f t="shared" si="43"/>
        <v>0</v>
      </c>
      <c r="N529" s="119">
        <f t="shared" si="44"/>
        <v>7</v>
      </c>
      <c r="O529" s="119">
        <f t="shared" si="45"/>
        <v>0</v>
      </c>
    </row>
    <row r="530" spans="2:15" ht="15" customHeight="1" x14ac:dyDescent="0.25">
      <c r="B530" s="86" t="s">
        <v>1012</v>
      </c>
      <c r="C530" s="87" t="s">
        <v>976</v>
      </c>
      <c r="D530" s="82" t="s">
        <v>16</v>
      </c>
      <c r="E530" s="230">
        <v>9</v>
      </c>
      <c r="F530" s="88">
        <v>12769</v>
      </c>
      <c r="G530" s="89">
        <f t="shared" si="41"/>
        <v>114921</v>
      </c>
      <c r="H530" s="118" t="str">
        <f t="array" ref="H530:K530">_xlfn.XLOOKUP(B530,'ESAP NEIVA FASE II UNIFICADO'!$B$6:$B$720,'ESAP NEIVA FASE II UNIFICADO'!$C$6:$F$720,"NO ESTA")</f>
        <v>SUMINISTRO E INSTALACION CAJA DE PASO 10 x 10 m DOBLE FONDO</v>
      </c>
      <c r="I530" t="str">
        <v>UND</v>
      </c>
      <c r="J530">
        <v>23</v>
      </c>
      <c r="K530">
        <v>12928</v>
      </c>
      <c r="L530">
        <f t="shared" si="42"/>
        <v>0</v>
      </c>
      <c r="M530">
        <f t="shared" si="43"/>
        <v>0</v>
      </c>
      <c r="N530" s="119">
        <f t="shared" si="44"/>
        <v>9</v>
      </c>
      <c r="O530" s="119">
        <f t="shared" si="45"/>
        <v>0</v>
      </c>
    </row>
    <row r="531" spans="2:15" ht="15" customHeight="1" x14ac:dyDescent="0.25">
      <c r="B531" s="74">
        <v>20</v>
      </c>
      <c r="C531" s="75" t="s">
        <v>1013</v>
      </c>
      <c r="D531" s="76"/>
      <c r="E531" s="229"/>
      <c r="F531" s="78">
        <v>0</v>
      </c>
      <c r="G531" s="89">
        <f t="shared" si="41"/>
        <v>0</v>
      </c>
      <c r="H531" s="118" t="str">
        <f t="array" ref="H531">_xlfn.XLOOKUP(B531,'ESAP NEIVA FASE II UNIFICADO'!$B$6:$B$720,'ESAP NEIVA FASE II UNIFICADO'!$C$6:$F$720,"NO ESTA")</f>
        <v>NO ESTA</v>
      </c>
      <c r="L531">
        <f t="shared" si="42"/>
        <v>1</v>
      </c>
      <c r="M531">
        <f t="shared" si="43"/>
        <v>0</v>
      </c>
      <c r="N531" s="119">
        <f t="shared" si="44"/>
        <v>0</v>
      </c>
      <c r="O531" s="119">
        <f t="shared" si="45"/>
        <v>0</v>
      </c>
    </row>
    <row r="532" spans="2:15" ht="23.25" customHeight="1" x14ac:dyDescent="0.25">
      <c r="B532" s="86" t="s">
        <v>1014</v>
      </c>
      <c r="C532" s="87" t="s">
        <v>1015</v>
      </c>
      <c r="D532" s="82" t="s">
        <v>13</v>
      </c>
      <c r="E532" s="230">
        <v>600</v>
      </c>
      <c r="F532" s="88">
        <v>23602</v>
      </c>
      <c r="G532" s="89">
        <f t="shared" si="41"/>
        <v>14161200</v>
      </c>
      <c r="H532" s="118" t="str">
        <f t="array" ref="H532">_xlfn.XLOOKUP(B532,'ESAP NEIVA FASE II UNIFICADO'!$B$6:$B$720,'ESAP NEIVA FASE II UNIFICADO'!$C$6:$F$720,"NO ESTA")</f>
        <v>NO ESTA</v>
      </c>
      <c r="L532">
        <f t="shared" si="42"/>
        <v>1</v>
      </c>
      <c r="M532">
        <f t="shared" si="43"/>
        <v>23602</v>
      </c>
      <c r="N532" s="119">
        <f t="shared" si="44"/>
        <v>600</v>
      </c>
      <c r="O532" s="119">
        <f t="shared" si="45"/>
        <v>14161200</v>
      </c>
    </row>
    <row r="533" spans="2:15" ht="23.25" customHeight="1" x14ac:dyDescent="0.25">
      <c r="B533" s="86" t="s">
        <v>1016</v>
      </c>
      <c r="C533" s="87" t="s">
        <v>1017</v>
      </c>
      <c r="D533" s="82" t="s">
        <v>13</v>
      </c>
      <c r="E533" s="230">
        <v>600</v>
      </c>
      <c r="F533" s="88">
        <v>20123</v>
      </c>
      <c r="G533" s="89">
        <f t="shared" si="41"/>
        <v>12073800</v>
      </c>
      <c r="H533" s="118" t="str">
        <f t="array" ref="H533">_xlfn.XLOOKUP(B533,'ESAP NEIVA FASE II UNIFICADO'!$B$6:$B$720,'ESAP NEIVA FASE II UNIFICADO'!$C$6:$F$720,"NO ESTA")</f>
        <v>NO ESTA</v>
      </c>
      <c r="L533">
        <f t="shared" si="42"/>
        <v>1</v>
      </c>
      <c r="M533">
        <f t="shared" si="43"/>
        <v>20123</v>
      </c>
      <c r="N533" s="119">
        <f t="shared" si="44"/>
        <v>600</v>
      </c>
      <c r="O533" s="119">
        <f t="shared" si="45"/>
        <v>12073800</v>
      </c>
    </row>
    <row r="534" spans="2:15" ht="15" customHeight="1" x14ac:dyDescent="0.25">
      <c r="B534" s="86" t="s">
        <v>1018</v>
      </c>
      <c r="C534" s="87" t="s">
        <v>1019</v>
      </c>
      <c r="D534" s="82" t="s">
        <v>94</v>
      </c>
      <c r="E534" s="230">
        <v>1500</v>
      </c>
      <c r="F534" s="88">
        <v>7269</v>
      </c>
      <c r="G534" s="89">
        <f t="shared" si="41"/>
        <v>10903500</v>
      </c>
      <c r="H534" s="118" t="str">
        <f t="array" ref="H534">_xlfn.XLOOKUP(B534,'ESAP NEIVA FASE II UNIFICADO'!$B$6:$B$720,'ESAP NEIVA FASE II UNIFICADO'!$C$6:$F$720,"NO ESTA")</f>
        <v>NO ESTA</v>
      </c>
      <c r="L534">
        <f t="shared" si="42"/>
        <v>1</v>
      </c>
      <c r="M534">
        <f t="shared" si="43"/>
        <v>7269</v>
      </c>
      <c r="N534" s="119">
        <f t="shared" si="44"/>
        <v>1500</v>
      </c>
      <c r="O534" s="119">
        <f t="shared" si="45"/>
        <v>10903500</v>
      </c>
    </row>
    <row r="535" spans="2:15" ht="27" customHeight="1" x14ac:dyDescent="0.25">
      <c r="B535" s="86" t="s">
        <v>1020</v>
      </c>
      <c r="C535" s="87" t="s">
        <v>1021</v>
      </c>
      <c r="D535" s="82" t="s">
        <v>13</v>
      </c>
      <c r="E535" s="230">
        <v>100</v>
      </c>
      <c r="F535" s="88">
        <v>153417</v>
      </c>
      <c r="G535" s="89">
        <f t="shared" si="41"/>
        <v>15341700</v>
      </c>
      <c r="H535" s="118" t="str">
        <f t="array" ref="H535">_xlfn.XLOOKUP(B535,'ESAP NEIVA FASE II UNIFICADO'!$B$6:$B$720,'ESAP NEIVA FASE II UNIFICADO'!$C$6:$F$720,"NO ESTA")</f>
        <v>NO ESTA</v>
      </c>
      <c r="L535">
        <f t="shared" si="42"/>
        <v>1</v>
      </c>
      <c r="M535">
        <f t="shared" si="43"/>
        <v>153417</v>
      </c>
      <c r="N535" s="119">
        <f t="shared" si="44"/>
        <v>100</v>
      </c>
      <c r="O535" s="119">
        <f t="shared" si="45"/>
        <v>15341700</v>
      </c>
    </row>
    <row r="536" spans="2:15" ht="15" customHeight="1" x14ac:dyDescent="0.25">
      <c r="B536" s="86" t="s">
        <v>1022</v>
      </c>
      <c r="C536" s="87" t="s">
        <v>1023</v>
      </c>
      <c r="D536" s="82" t="s">
        <v>55</v>
      </c>
      <c r="E536" s="230">
        <v>1072.0999999999999</v>
      </c>
      <c r="F536" s="88">
        <v>12766</v>
      </c>
      <c r="G536" s="89">
        <f t="shared" si="41"/>
        <v>13686428.6</v>
      </c>
      <c r="H536" s="118" t="str">
        <f t="array" ref="H536">_xlfn.XLOOKUP(B536,'ESAP NEIVA FASE II UNIFICADO'!$B$6:$B$720,'ESAP NEIVA FASE II UNIFICADO'!$C$6:$F$720,"NO ESTA")</f>
        <v>NO ESTA</v>
      </c>
      <c r="L536">
        <f t="shared" si="42"/>
        <v>1</v>
      </c>
      <c r="M536">
        <f t="shared" si="43"/>
        <v>12766</v>
      </c>
      <c r="N536" s="119">
        <f t="shared" si="44"/>
        <v>1072.0999999999999</v>
      </c>
      <c r="O536" s="119">
        <f t="shared" si="45"/>
        <v>13686428.6</v>
      </c>
    </row>
    <row r="537" spans="2:15" ht="38.25" customHeight="1" x14ac:dyDescent="0.25">
      <c r="B537" s="86" t="s">
        <v>1024</v>
      </c>
      <c r="C537" s="87" t="s">
        <v>1025</v>
      </c>
      <c r="D537" s="82" t="s">
        <v>16</v>
      </c>
      <c r="E537" s="230">
        <v>793</v>
      </c>
      <c r="F537" s="88">
        <v>16726</v>
      </c>
      <c r="G537" s="89">
        <f t="shared" si="41"/>
        <v>13263718</v>
      </c>
      <c r="H537" s="118" t="str">
        <f t="array" ref="H537">_xlfn.XLOOKUP(B537,'ESAP NEIVA FASE II UNIFICADO'!$B$6:$B$720,'ESAP NEIVA FASE II UNIFICADO'!$C$6:$F$720,"NO ESTA")</f>
        <v>NO ESTA</v>
      </c>
      <c r="L537">
        <f t="shared" si="42"/>
        <v>1</v>
      </c>
      <c r="M537">
        <f t="shared" si="43"/>
        <v>16726</v>
      </c>
      <c r="N537" s="119">
        <f t="shared" si="44"/>
        <v>793</v>
      </c>
      <c r="O537" s="119">
        <f t="shared" si="45"/>
        <v>13263718</v>
      </c>
    </row>
    <row r="538" spans="2:15" ht="38.25" customHeight="1" x14ac:dyDescent="0.25">
      <c r="B538" s="86" t="s">
        <v>1026</v>
      </c>
      <c r="C538" s="87" t="s">
        <v>1027</v>
      </c>
      <c r="D538" s="82" t="s">
        <v>13</v>
      </c>
      <c r="E538" s="230">
        <v>40</v>
      </c>
      <c r="F538" s="88">
        <v>106605</v>
      </c>
      <c r="G538" s="89">
        <f t="shared" si="41"/>
        <v>4264200</v>
      </c>
      <c r="H538" s="118" t="str">
        <f t="array" ref="H538">_xlfn.XLOOKUP(B538,'ESAP NEIVA FASE II UNIFICADO'!$B$6:$B$720,'ESAP NEIVA FASE II UNIFICADO'!$C$6:$F$720,"NO ESTA")</f>
        <v>NO ESTA</v>
      </c>
      <c r="L538">
        <f t="shared" si="42"/>
        <v>1</v>
      </c>
      <c r="M538">
        <f t="shared" si="43"/>
        <v>106605</v>
      </c>
      <c r="N538" s="119">
        <f t="shared" si="44"/>
        <v>40</v>
      </c>
      <c r="O538" s="119">
        <f t="shared" si="45"/>
        <v>4264200</v>
      </c>
    </row>
    <row r="539" spans="2:15" ht="37.15" customHeight="1" x14ac:dyDescent="0.25">
      <c r="B539" s="86" t="s">
        <v>1028</v>
      </c>
      <c r="C539" s="87" t="s">
        <v>1029</v>
      </c>
      <c r="D539" s="82" t="s">
        <v>13</v>
      </c>
      <c r="E539" s="230">
        <v>1316</v>
      </c>
      <c r="F539" s="88">
        <v>162722</v>
      </c>
      <c r="G539" s="89">
        <f t="shared" si="41"/>
        <v>214142152</v>
      </c>
      <c r="H539" s="118" t="str">
        <f t="array" ref="H539">_xlfn.XLOOKUP(B539,'ESAP NEIVA FASE II UNIFICADO'!$B$6:$B$720,'ESAP NEIVA FASE II UNIFICADO'!$C$6:$F$720,"NO ESTA")</f>
        <v>NO ESTA</v>
      </c>
      <c r="L539">
        <f t="shared" si="42"/>
        <v>1</v>
      </c>
      <c r="M539">
        <f t="shared" si="43"/>
        <v>162722</v>
      </c>
      <c r="N539" s="119">
        <f t="shared" si="44"/>
        <v>1316</v>
      </c>
      <c r="O539" s="119">
        <f t="shared" si="45"/>
        <v>214142152</v>
      </c>
    </row>
    <row r="540" spans="2:15" ht="18" x14ac:dyDescent="0.25">
      <c r="B540" s="86" t="s">
        <v>1030</v>
      </c>
      <c r="C540" s="87" t="s">
        <v>1031</v>
      </c>
      <c r="D540" s="82" t="s">
        <v>13</v>
      </c>
      <c r="E540" s="230">
        <v>700</v>
      </c>
      <c r="F540" s="88">
        <v>36898</v>
      </c>
      <c r="G540" s="89">
        <f t="shared" si="41"/>
        <v>25828600</v>
      </c>
      <c r="H540" s="118" t="str">
        <f t="array" ref="H540">_xlfn.XLOOKUP(B540,'ESAP NEIVA FASE II UNIFICADO'!$B$6:$B$720,'ESAP NEIVA FASE II UNIFICADO'!$C$6:$F$720,"NO ESTA")</f>
        <v>NO ESTA</v>
      </c>
      <c r="L540">
        <f t="shared" si="42"/>
        <v>1</v>
      </c>
      <c r="M540">
        <f t="shared" si="43"/>
        <v>36898</v>
      </c>
      <c r="N540" s="119">
        <f t="shared" si="44"/>
        <v>700</v>
      </c>
      <c r="O540" s="119">
        <f t="shared" si="45"/>
        <v>25828600</v>
      </c>
    </row>
    <row r="541" spans="2:15" ht="16.5" x14ac:dyDescent="0.25">
      <c r="B541" s="419" t="s">
        <v>1032</v>
      </c>
      <c r="C541" s="419"/>
      <c r="D541" s="419"/>
      <c r="E541" s="419"/>
      <c r="F541" s="107"/>
      <c r="G541" s="108">
        <f>+SUM(G6:G540)</f>
        <v>5936368268.3199978</v>
      </c>
      <c r="I541" s="108">
        <v>5830808778</v>
      </c>
      <c r="O541" s="108">
        <f>SUM(O1:O540)</f>
        <v>2518937660.0699992</v>
      </c>
    </row>
    <row r="542" spans="2:15" ht="16.5" x14ac:dyDescent="0.25">
      <c r="B542" s="419" t="s">
        <v>1033</v>
      </c>
      <c r="C542" s="419"/>
      <c r="D542" s="419"/>
      <c r="E542" s="419"/>
      <c r="F542" s="109"/>
      <c r="G542" s="110">
        <f>+G543+G544+G545</f>
        <v>1545236660.2400002</v>
      </c>
      <c r="I542" s="95">
        <f>+I541-G541</f>
        <v>-105559490.31999779</v>
      </c>
      <c r="K542" s="95" t="e">
        <f>+I30-I542</f>
        <v>#VALUE!</v>
      </c>
    </row>
    <row r="543" spans="2:15" ht="16.5" x14ac:dyDescent="0.25">
      <c r="B543" s="420" t="s">
        <v>1034</v>
      </c>
      <c r="C543" s="420"/>
      <c r="D543" s="420"/>
      <c r="E543" s="420"/>
      <c r="F543" s="111">
        <v>0.20030000000000001</v>
      </c>
      <c r="G543" s="112">
        <f>ROUND(+$G$541*F543,2)</f>
        <v>1189054564.1400001</v>
      </c>
    </row>
    <row r="544" spans="2:15" ht="16.5" x14ac:dyDescent="0.25">
      <c r="B544" s="420" t="s">
        <v>1035</v>
      </c>
      <c r="C544" s="420"/>
      <c r="D544" s="420"/>
      <c r="E544" s="420"/>
      <c r="F544" s="113">
        <v>0.01</v>
      </c>
      <c r="G544" s="112">
        <f>ROUND(+$G$541*F544,2)</f>
        <v>59363682.68</v>
      </c>
    </row>
    <row r="545" spans="2:9" ht="16.5" x14ac:dyDescent="0.25">
      <c r="B545" s="420" t="s">
        <v>1036</v>
      </c>
      <c r="C545" s="420"/>
      <c r="D545" s="420"/>
      <c r="E545" s="420"/>
      <c r="F545" s="111">
        <v>0.05</v>
      </c>
      <c r="G545" s="112">
        <f>ROUND(+$G$541*F545,2)</f>
        <v>296818413.42000002</v>
      </c>
    </row>
    <row r="546" spans="2:9" ht="16.5" x14ac:dyDescent="0.3">
      <c r="B546" s="419" t="s">
        <v>1037</v>
      </c>
      <c r="C546" s="419"/>
      <c r="D546" s="419"/>
      <c r="E546" s="419"/>
      <c r="F546" s="114"/>
      <c r="G546" s="110">
        <f>+G541+G542</f>
        <v>7481604928.5599976</v>
      </c>
      <c r="I546" s="115">
        <f>'[3]Nieva 2021 trabajando 4'!K554-'Neiva 2022 FASE I ACTUAL (6)'!G548+50000000</f>
        <v>-66557706.109997749</v>
      </c>
    </row>
    <row r="547" spans="2:9" ht="16.5" x14ac:dyDescent="0.25">
      <c r="B547" s="420" t="s">
        <v>1038</v>
      </c>
      <c r="C547" s="420"/>
      <c r="D547" s="420"/>
      <c r="E547" s="420"/>
      <c r="F547" s="111">
        <v>0.19</v>
      </c>
      <c r="G547" s="112">
        <f>ROUND(+G545*F547,2)</f>
        <v>56395498.549999997</v>
      </c>
      <c r="I547" s="95"/>
    </row>
    <row r="548" spans="2:9" ht="16.5" x14ac:dyDescent="0.25">
      <c r="B548" s="419" t="s">
        <v>1039</v>
      </c>
      <c r="C548" s="419"/>
      <c r="D548" s="419"/>
      <c r="E548" s="419"/>
      <c r="F548" s="116"/>
      <c r="G548" s="108">
        <f>+G546+G547</f>
        <v>7538000427.1099977</v>
      </c>
      <c r="I548" s="108">
        <f>7403747930</f>
        <v>7403747930</v>
      </c>
    </row>
    <row r="549" spans="2:9" x14ac:dyDescent="0.3">
      <c r="G549" s="115"/>
    </row>
    <row r="550" spans="2:9" x14ac:dyDescent="0.3">
      <c r="G550" s="120"/>
    </row>
    <row r="551" spans="2:9" x14ac:dyDescent="0.3">
      <c r="G551" s="121"/>
      <c r="I551" s="121">
        <f>492000000/G548</f>
        <v>6.5269298503957296E-2</v>
      </c>
    </row>
    <row r="552" spans="2:9" x14ac:dyDescent="0.3">
      <c r="G552" s="121"/>
    </row>
    <row r="553" spans="2:9" x14ac:dyDescent="0.3">
      <c r="G553" s="115"/>
    </row>
    <row r="554" spans="2:9" x14ac:dyDescent="0.3">
      <c r="G554" s="122"/>
    </row>
    <row r="555" spans="2:9" x14ac:dyDescent="0.3">
      <c r="G555" s="115"/>
    </row>
  </sheetData>
  <mergeCells count="9">
    <mergeCell ref="B546:E546"/>
    <mergeCell ref="B547:E547"/>
    <mergeCell ref="B548:E548"/>
    <mergeCell ref="B1:G2"/>
    <mergeCell ref="B541:E541"/>
    <mergeCell ref="B542:E542"/>
    <mergeCell ref="B543:E543"/>
    <mergeCell ref="B544:E544"/>
    <mergeCell ref="B545:E545"/>
  </mergeCells>
  <conditionalFormatting sqref="H1:H1048576">
    <cfRule type="containsText" dxfId="62" priority="1" operator="containsText" text="NO ESTA">
      <formula>NOT(ISERROR(SEARCH("NO ESTA",H1)))</formula>
    </cfRule>
  </conditionalFormatting>
  <pageMargins left="0.70866141732283472" right="0.70866141732283472" top="0.74803149606299213" bottom="0.74803149606299213" header="0.31496062992125984" footer="0.31496062992125984"/>
  <pageSetup scale="6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1:O555"/>
  <sheetViews>
    <sheetView showZeros="0" view="pageBreakPreview" zoomScale="87" zoomScaleNormal="90" zoomScaleSheetLayoutView="87" workbookViewId="0">
      <selection activeCell="M553" sqref="M553"/>
    </sheetView>
  </sheetViews>
  <sheetFormatPr baseColWidth="10" defaultColWidth="11.5703125" defaultRowHeight="18.75" x14ac:dyDescent="0.3"/>
  <cols>
    <col min="1" max="1" width="3.5703125" customWidth="1"/>
    <col min="3" max="3" width="58.140625" style="117" customWidth="1"/>
    <col min="4" max="4" width="11.5703125" style="118" customWidth="1"/>
    <col min="5" max="5" width="11.5703125" style="233" customWidth="1"/>
    <col min="6" max="6" width="17.7109375" customWidth="1"/>
    <col min="7" max="7" width="19.5703125" hidden="1" customWidth="1"/>
    <col min="8" max="8" width="48.85546875" style="118" customWidth="1"/>
    <col min="9" max="9" width="20.28515625" customWidth="1"/>
    <col min="10" max="10" width="11.5703125" customWidth="1"/>
    <col min="11" max="11" width="17.85546875" customWidth="1"/>
    <col min="15" max="15" width="24.5703125" style="119" customWidth="1"/>
  </cols>
  <sheetData>
    <row r="1" spans="2:15" ht="14.45" customHeight="1" x14ac:dyDescent="0.25">
      <c r="B1" s="421" t="s">
        <v>0</v>
      </c>
      <c r="C1" s="422"/>
      <c r="D1" s="422"/>
      <c r="E1" s="422"/>
      <c r="F1" s="422"/>
      <c r="G1" s="422"/>
      <c r="O1" s="119">
        <f t="shared" ref="O1:O10" si="0">M1*N1</f>
        <v>0</v>
      </c>
    </row>
    <row r="2" spans="2:15" ht="15" x14ac:dyDescent="0.25">
      <c r="B2" s="423"/>
      <c r="C2" s="424"/>
      <c r="D2" s="424"/>
      <c r="E2" s="424"/>
      <c r="F2" s="424"/>
      <c r="G2" s="424"/>
      <c r="O2" s="119">
        <f t="shared" si="0"/>
        <v>0</v>
      </c>
    </row>
    <row r="3" spans="2:15" ht="36" x14ac:dyDescent="0.25">
      <c r="B3" s="70" t="s">
        <v>1</v>
      </c>
      <c r="C3" s="71" t="s">
        <v>2</v>
      </c>
      <c r="D3" s="70" t="s">
        <v>3</v>
      </c>
      <c r="E3" s="228" t="s">
        <v>4</v>
      </c>
      <c r="F3" s="73" t="s">
        <v>5</v>
      </c>
      <c r="G3" s="70" t="s">
        <v>6</v>
      </c>
      <c r="H3" s="118" t="s">
        <v>7</v>
      </c>
      <c r="O3" s="119">
        <f t="shared" si="0"/>
        <v>0</v>
      </c>
    </row>
    <row r="4" spans="2:15" ht="18" x14ac:dyDescent="0.25">
      <c r="B4" s="74">
        <v>1</v>
      </c>
      <c r="C4" s="75" t="s">
        <v>8</v>
      </c>
      <c r="D4" s="76"/>
      <c r="E4" s="229"/>
      <c r="F4" s="78"/>
      <c r="G4" s="79"/>
      <c r="O4" s="119">
        <f t="shared" si="0"/>
        <v>0</v>
      </c>
    </row>
    <row r="5" spans="2:15" ht="18" customHeight="1" x14ac:dyDescent="0.25">
      <c r="B5" s="80" t="s">
        <v>9</v>
      </c>
      <c r="C5" s="81" t="s">
        <v>10</v>
      </c>
      <c r="D5" s="82"/>
      <c r="E5" s="230"/>
      <c r="F5" s="84"/>
      <c r="G5" s="85"/>
      <c r="O5" s="119">
        <f t="shared" si="0"/>
        <v>0</v>
      </c>
    </row>
    <row r="6" spans="2:15" ht="15" customHeight="1" x14ac:dyDescent="0.25">
      <c r="B6" s="86" t="s">
        <v>11</v>
      </c>
      <c r="C6" s="87" t="s">
        <v>12</v>
      </c>
      <c r="D6" s="82" t="s">
        <v>13</v>
      </c>
      <c r="E6" s="230">
        <v>250</v>
      </c>
      <c r="F6" s="88">
        <v>27093</v>
      </c>
      <c r="G6" s="89">
        <f>ROUND(+F6*E6,2)</f>
        <v>6773250</v>
      </c>
      <c r="H6" s="118" t="str">
        <f t="array" ref="H6:K6">_xlfn.XLOOKUP(C6,'ESAP NEIVA FASE II UNIFICADO'!$C$6:$C$720,'ESAP NEIVA FASE II UNIFICADO'!$C$6:$F$720,"NO ESTA")</f>
        <v>DESCAPOTE A MAQUINA (INCLUYE RETIRO)</v>
      </c>
      <c r="I6" t="str">
        <v>M2</v>
      </c>
      <c r="J6">
        <v>295</v>
      </c>
      <c r="K6">
        <v>23484</v>
      </c>
      <c r="L6">
        <f>+IF(J6&gt;0,0,1)</f>
        <v>0</v>
      </c>
      <c r="O6" s="119">
        <f t="shared" si="0"/>
        <v>0</v>
      </c>
    </row>
    <row r="7" spans="2:15" ht="15" customHeight="1" x14ac:dyDescent="0.25">
      <c r="B7" s="86" t="s">
        <v>14</v>
      </c>
      <c r="C7" s="87" t="s">
        <v>15</v>
      </c>
      <c r="D7" s="82" t="s">
        <v>16</v>
      </c>
      <c r="E7" s="230">
        <v>8</v>
      </c>
      <c r="F7" s="88">
        <v>34164</v>
      </c>
      <c r="G7" s="89">
        <f t="shared" ref="G7:G70" si="1">ROUND(+F7*E7,2)</f>
        <v>273312</v>
      </c>
      <c r="H7" s="118" t="str">
        <f t="array" ref="H7:K7">_xlfn.XLOOKUP(C7,'ESAP NEIVA FASE II UNIFICADO'!$C$6:$C$720,'ESAP NEIVA FASE II UNIFICADO'!$C$6:$F$720,"NO ESTA")</f>
        <v>BARRERA DE PROTECCIÓN PARA ARBOLES EXISTENTES</v>
      </c>
      <c r="I7" t="str">
        <v>UND</v>
      </c>
      <c r="J7">
        <v>0</v>
      </c>
      <c r="K7">
        <v>35057</v>
      </c>
      <c r="O7" s="119">
        <f t="shared" si="0"/>
        <v>0</v>
      </c>
    </row>
    <row r="8" spans="2:15" ht="18" customHeight="1" x14ac:dyDescent="0.25">
      <c r="B8" s="80" t="s">
        <v>17</v>
      </c>
      <c r="C8" s="81" t="s">
        <v>18</v>
      </c>
      <c r="D8" s="82"/>
      <c r="E8" s="230"/>
      <c r="F8" s="90">
        <v>0</v>
      </c>
      <c r="G8" s="89">
        <f t="shared" si="1"/>
        <v>0</v>
      </c>
      <c r="O8" s="119">
        <f t="shared" si="0"/>
        <v>0</v>
      </c>
    </row>
    <row r="9" spans="2:15" ht="12" customHeight="1" x14ac:dyDescent="0.25">
      <c r="B9" s="80" t="s">
        <v>19</v>
      </c>
      <c r="C9" s="81" t="s">
        <v>20</v>
      </c>
      <c r="D9" s="82"/>
      <c r="E9" s="230"/>
      <c r="F9" s="90">
        <v>0</v>
      </c>
      <c r="G9" s="89">
        <f t="shared" si="1"/>
        <v>0</v>
      </c>
      <c r="O9" s="119">
        <f t="shared" si="0"/>
        <v>0</v>
      </c>
    </row>
    <row r="10" spans="2:15" ht="30" customHeight="1" x14ac:dyDescent="0.25">
      <c r="B10" s="86" t="s">
        <v>21</v>
      </c>
      <c r="C10" s="87" t="s">
        <v>22</v>
      </c>
      <c r="D10" s="82" t="s">
        <v>13</v>
      </c>
      <c r="E10" s="230">
        <v>0</v>
      </c>
      <c r="F10" s="88">
        <v>23053</v>
      </c>
      <c r="G10" s="89">
        <f t="shared" si="1"/>
        <v>0</v>
      </c>
      <c r="H10" s="118" t="str">
        <f t="array" ref="H10">_xlfn.XLOOKUP(C10,'ESAP NEIVA FASE II UNIFICADO'!$C$6:$C$720,'ESAP NEIVA FASE II UNIFICADO'!$C$6:$F$720,"NO ESTA")</f>
        <v>NO ESTA</v>
      </c>
      <c r="L10">
        <f t="shared" ref="L10:L73" si="2">+IF(J10&gt;0,0,1)</f>
        <v>1</v>
      </c>
      <c r="M10">
        <f t="shared" ref="M10:M73" si="3">IF(L10=1,F10,0)</f>
        <v>23053</v>
      </c>
      <c r="N10" s="119">
        <f t="shared" ref="N10:N73" si="4">E10</f>
        <v>0</v>
      </c>
      <c r="O10" s="119">
        <f t="shared" si="0"/>
        <v>0</v>
      </c>
    </row>
    <row r="11" spans="2:15" ht="30" customHeight="1" x14ac:dyDescent="0.25">
      <c r="B11" s="86" t="s">
        <v>23</v>
      </c>
      <c r="C11" s="87" t="s">
        <v>24</v>
      </c>
      <c r="D11" s="82" t="s">
        <v>13</v>
      </c>
      <c r="E11" s="230">
        <v>151</v>
      </c>
      <c r="F11" s="88">
        <v>30048</v>
      </c>
      <c r="G11" s="89">
        <f t="shared" si="1"/>
        <v>4537248</v>
      </c>
      <c r="H11" s="118" t="str">
        <f t="array" ref="H11">_xlfn.XLOOKUP(C11,'ESAP NEIVA FASE II UNIFICADO'!$C$6:$C$720,'ESAP NEIVA FASE II UNIFICADO'!$C$6:$F$720,"NO ESTA")</f>
        <v>NO ESTA</v>
      </c>
      <c r="L11">
        <f t="shared" si="2"/>
        <v>1</v>
      </c>
      <c r="M11">
        <f t="shared" si="3"/>
        <v>30048</v>
      </c>
      <c r="N11" s="119">
        <f t="shared" si="4"/>
        <v>151</v>
      </c>
      <c r="O11" s="119">
        <f>ROUND(M11*N11,2)</f>
        <v>4537248</v>
      </c>
    </row>
    <row r="12" spans="2:15" ht="13.5" customHeight="1" x14ac:dyDescent="0.25">
      <c r="B12" s="74">
        <v>2</v>
      </c>
      <c r="C12" s="75" t="s">
        <v>25</v>
      </c>
      <c r="D12" s="76"/>
      <c r="E12" s="229"/>
      <c r="F12" s="78">
        <v>0</v>
      </c>
      <c r="G12" s="89">
        <f t="shared" si="1"/>
        <v>0</v>
      </c>
      <c r="L12">
        <f t="shared" si="2"/>
        <v>1</v>
      </c>
      <c r="M12">
        <f t="shared" si="3"/>
        <v>0</v>
      </c>
      <c r="N12" s="119">
        <f t="shared" si="4"/>
        <v>0</v>
      </c>
      <c r="O12" s="119">
        <f t="shared" ref="O12:O75" si="5">ROUND(M12*N12,2)</f>
        <v>0</v>
      </c>
    </row>
    <row r="13" spans="2:15" ht="18" customHeight="1" x14ac:dyDescent="0.25">
      <c r="B13" s="80" t="s">
        <v>26</v>
      </c>
      <c r="C13" s="81" t="s">
        <v>27</v>
      </c>
      <c r="D13" s="82"/>
      <c r="E13" s="230"/>
      <c r="F13" s="84">
        <v>0</v>
      </c>
      <c r="G13" s="89">
        <f t="shared" si="1"/>
        <v>0</v>
      </c>
      <c r="L13">
        <f t="shared" si="2"/>
        <v>1</v>
      </c>
      <c r="M13">
        <f t="shared" si="3"/>
        <v>0</v>
      </c>
      <c r="N13" s="119">
        <f t="shared" si="4"/>
        <v>0</v>
      </c>
      <c r="O13" s="119">
        <f t="shared" si="5"/>
        <v>0</v>
      </c>
    </row>
    <row r="14" spans="2:15" ht="19.5" customHeight="1" x14ac:dyDescent="0.25">
      <c r="B14" s="86" t="s">
        <v>28</v>
      </c>
      <c r="C14" s="87" t="s">
        <v>29</v>
      </c>
      <c r="D14" s="82" t="s">
        <v>30</v>
      </c>
      <c r="E14" s="230">
        <v>0</v>
      </c>
      <c r="F14" s="88">
        <v>30837</v>
      </c>
      <c r="G14" s="89">
        <f t="shared" si="1"/>
        <v>0</v>
      </c>
      <c r="H14" s="118" t="str">
        <f t="array" ref="H14:K14">_xlfn.XLOOKUP(C14,'ESAP NEIVA FASE II UNIFICADO'!$C$6:$C$720,'ESAP NEIVA FASE II UNIFICADO'!$C$6:$F$720,"NO ESTA")</f>
        <v>EXCAVACIÓN MECÁNICA EN MATERIAL COMÚN (incluye cargue y retiro)</v>
      </c>
      <c r="I14" t="str">
        <v>M3</v>
      </c>
      <c r="J14">
        <v>400</v>
      </c>
      <c r="K14">
        <v>31642</v>
      </c>
      <c r="L14">
        <f t="shared" si="2"/>
        <v>0</v>
      </c>
      <c r="M14">
        <f t="shared" si="3"/>
        <v>0</v>
      </c>
      <c r="N14" s="119">
        <f t="shared" si="4"/>
        <v>0</v>
      </c>
      <c r="O14" s="119">
        <f t="shared" si="5"/>
        <v>0</v>
      </c>
    </row>
    <row r="15" spans="2:15" ht="18.75" customHeight="1" x14ac:dyDescent="0.25">
      <c r="B15" s="86" t="s">
        <v>31</v>
      </c>
      <c r="C15" s="87" t="s">
        <v>32</v>
      </c>
      <c r="D15" s="82" t="s">
        <v>30</v>
      </c>
      <c r="E15" s="230">
        <v>299.45</v>
      </c>
      <c r="F15" s="88">
        <v>38954</v>
      </c>
      <c r="G15" s="89">
        <f t="shared" si="1"/>
        <v>11664775.300000001</v>
      </c>
      <c r="H15" s="118" t="str">
        <f t="array" ref="H15:K15">_xlfn.XLOOKUP(C15,'ESAP NEIVA FASE II UNIFICADO'!$C$6:$C$720,'ESAP NEIVA FASE II UNIFICADO'!$C$6:$F$720,"NO ESTA")</f>
        <v>EXCAVACIÓN MANUAL EN MATERIAL COMÚN (incluye cargue y retiro)</v>
      </c>
      <c r="I15" t="str">
        <v>M3</v>
      </c>
      <c r="J15">
        <v>57.945499999999981</v>
      </c>
      <c r="K15">
        <v>39971</v>
      </c>
      <c r="L15">
        <f t="shared" si="2"/>
        <v>0</v>
      </c>
      <c r="M15">
        <f t="shared" si="3"/>
        <v>0</v>
      </c>
      <c r="N15" s="119">
        <f t="shared" si="4"/>
        <v>299.45</v>
      </c>
      <c r="O15" s="119">
        <f t="shared" si="5"/>
        <v>0</v>
      </c>
    </row>
    <row r="16" spans="2:15" ht="30" customHeight="1" x14ac:dyDescent="0.25">
      <c r="B16" s="86" t="s">
        <v>33</v>
      </c>
      <c r="C16" s="147" t="s">
        <v>34</v>
      </c>
      <c r="D16" s="82" t="s">
        <v>30</v>
      </c>
      <c r="E16" s="230">
        <v>524.07000000000005</v>
      </c>
      <c r="F16" s="88">
        <v>12182</v>
      </c>
      <c r="G16" s="89">
        <f t="shared" si="1"/>
        <v>6384220.7400000002</v>
      </c>
      <c r="H16" s="118" t="str">
        <f t="array" ref="H16:K16">_xlfn.XLOOKUP(C16,'ESAP NEIVA FASE II UNIFICADO'!$C$6:$C$720,'ESAP NEIVA FASE II UNIFICADO'!$C$6:$F$720,"NO ESTA")</f>
        <v>RELLENOS EN MATERIAL COMÚN, SELECCIONADO DE OBRA (Incluye Compactación)</v>
      </c>
      <c r="I16" t="str">
        <v>M3</v>
      </c>
      <c r="J16">
        <v>56.107679999999959</v>
      </c>
      <c r="K16">
        <v>12500</v>
      </c>
      <c r="L16">
        <f t="shared" si="2"/>
        <v>0</v>
      </c>
      <c r="M16">
        <f t="shared" si="3"/>
        <v>0</v>
      </c>
      <c r="N16" s="119">
        <f t="shared" si="4"/>
        <v>524.07000000000005</v>
      </c>
      <c r="O16" s="119">
        <f t="shared" si="5"/>
        <v>0</v>
      </c>
    </row>
    <row r="17" spans="2:15" ht="17.25" customHeight="1" x14ac:dyDescent="0.25">
      <c r="B17" s="86" t="s">
        <v>35</v>
      </c>
      <c r="C17" s="87" t="s">
        <v>36</v>
      </c>
      <c r="D17" s="82" t="s">
        <v>30</v>
      </c>
      <c r="E17" s="230">
        <v>122.54</v>
      </c>
      <c r="F17" s="88">
        <v>61330</v>
      </c>
      <c r="G17" s="89">
        <f t="shared" si="1"/>
        <v>7515378.2000000002</v>
      </c>
      <c r="H17" s="118" t="str">
        <f t="array" ref="H17:K17">_xlfn.XLOOKUP(C17,'ESAP NEIVA FASE II UNIFICADO'!$C$6:$C$720,'ESAP NEIVA FASE II UNIFICADO'!$C$6:$F$720,"NO ESTA")</f>
        <v>RELLENO EN RECEBO COMÚN (Incluye Compactación)</v>
      </c>
      <c r="I17" t="str">
        <v>M3</v>
      </c>
      <c r="J17">
        <v>70.485000000000014</v>
      </c>
      <c r="K17">
        <v>62932</v>
      </c>
      <c r="L17">
        <f t="shared" si="2"/>
        <v>0</v>
      </c>
      <c r="M17">
        <f t="shared" si="3"/>
        <v>0</v>
      </c>
      <c r="N17" s="119">
        <f t="shared" si="4"/>
        <v>122.54</v>
      </c>
      <c r="O17" s="119">
        <f t="shared" si="5"/>
        <v>0</v>
      </c>
    </row>
    <row r="18" spans="2:15" ht="18.75" customHeight="1" x14ac:dyDescent="0.25">
      <c r="B18" s="80" t="s">
        <v>37</v>
      </c>
      <c r="C18" s="81" t="s">
        <v>38</v>
      </c>
      <c r="D18" s="82"/>
      <c r="E18" s="230"/>
      <c r="F18" s="90">
        <v>0</v>
      </c>
      <c r="G18" s="89">
        <f t="shared" si="1"/>
        <v>0</v>
      </c>
      <c r="H18" s="118" t="str">
        <f t="array" ref="H18:K18">_xlfn.XLOOKUP(C18,'ESAP NEIVA FASE II UNIFICADO'!$C$6:$C$720,'ESAP NEIVA FASE II UNIFICADO'!$C$6:$F$720,"NO ESTA")</f>
        <v xml:space="preserve">CONCRETOS DE CIMENTACIÓN </v>
      </c>
      <c r="I18">
        <v>0</v>
      </c>
      <c r="J18">
        <v>0</v>
      </c>
      <c r="K18">
        <v>0</v>
      </c>
      <c r="L18">
        <f t="shared" si="2"/>
        <v>1</v>
      </c>
      <c r="M18">
        <f t="shared" si="3"/>
        <v>0</v>
      </c>
      <c r="N18" s="119">
        <f t="shared" si="4"/>
        <v>0</v>
      </c>
      <c r="O18" s="119">
        <f t="shared" si="5"/>
        <v>0</v>
      </c>
    </row>
    <row r="19" spans="2:15" ht="14.25" customHeight="1" x14ac:dyDescent="0.25">
      <c r="B19" s="86" t="s">
        <v>39</v>
      </c>
      <c r="C19" s="147" t="s">
        <v>40</v>
      </c>
      <c r="D19" s="82" t="s">
        <v>13</v>
      </c>
      <c r="E19" s="230">
        <v>1111.51</v>
      </c>
      <c r="F19" s="88">
        <v>23864</v>
      </c>
      <c r="G19" s="89">
        <f t="shared" si="1"/>
        <v>26525074.640000001</v>
      </c>
      <c r="H19" s="118" t="str">
        <f t="array" ref="H19:K19">_xlfn.XLOOKUP(C19,'ESAP NEIVA FASE II UNIFICADO'!$C$6:$C$720,'ESAP NEIVA FASE II UNIFICADO'!$C$6:$F$720,"NO ESTA")</f>
        <v>CONCRETO POBRE DE LIMPIEZA  e=0.05 m</v>
      </c>
      <c r="I19" t="str">
        <v>M2</v>
      </c>
      <c r="J19">
        <v>72.123000000000047</v>
      </c>
      <c r="K19">
        <v>25442</v>
      </c>
      <c r="L19">
        <f t="shared" si="2"/>
        <v>0</v>
      </c>
      <c r="M19">
        <f t="shared" si="3"/>
        <v>0</v>
      </c>
      <c r="N19" s="119">
        <f t="shared" si="4"/>
        <v>1111.51</v>
      </c>
      <c r="O19" s="119">
        <f t="shared" si="5"/>
        <v>0</v>
      </c>
    </row>
    <row r="20" spans="2:15" ht="18.75" customHeight="1" x14ac:dyDescent="0.25">
      <c r="B20" s="86" t="s">
        <v>41</v>
      </c>
      <c r="C20" s="87" t="s">
        <v>42</v>
      </c>
      <c r="D20" s="82" t="s">
        <v>30</v>
      </c>
      <c r="E20" s="230">
        <v>46.48</v>
      </c>
      <c r="F20" s="88">
        <v>705830</v>
      </c>
      <c r="G20" s="89">
        <f t="shared" si="1"/>
        <v>32806978.399999999</v>
      </c>
      <c r="H20" s="118" t="str">
        <f t="array" ref="H20:K20">_xlfn.XLOOKUP(C20,'ESAP NEIVA FASE II UNIFICADO'!$C$6:$C$720,'ESAP NEIVA FASE II UNIFICADO'!$C$6:$F$720,"NO ESTA")</f>
        <v>CONCRETO PARA ZAPATAS DE 4000 psi</v>
      </c>
      <c r="I20" t="str">
        <v>M3</v>
      </c>
      <c r="J20">
        <v>36</v>
      </c>
      <c r="K20">
        <v>652838</v>
      </c>
      <c r="L20">
        <f t="shared" si="2"/>
        <v>0</v>
      </c>
      <c r="M20">
        <f t="shared" si="3"/>
        <v>0</v>
      </c>
      <c r="N20" s="119">
        <f t="shared" si="4"/>
        <v>46.48</v>
      </c>
      <c r="O20" s="119">
        <f t="shared" si="5"/>
        <v>0</v>
      </c>
    </row>
    <row r="21" spans="2:15" ht="15" customHeight="1" x14ac:dyDescent="0.25">
      <c r="B21" s="86" t="s">
        <v>43</v>
      </c>
      <c r="C21" s="87" t="s">
        <v>44</v>
      </c>
      <c r="D21" s="82" t="s">
        <v>30</v>
      </c>
      <c r="E21" s="231">
        <v>45.04</v>
      </c>
      <c r="F21" s="88">
        <v>705830</v>
      </c>
      <c r="G21" s="89">
        <f t="shared" si="1"/>
        <v>31790583.199999999</v>
      </c>
      <c r="H21" s="118" t="str">
        <f t="array" ref="H21:K21">_xlfn.XLOOKUP(C21,'ESAP NEIVA FASE II UNIFICADO'!$C$6:$C$720,'ESAP NEIVA FASE II UNIFICADO'!$C$6:$F$720,"NO ESTA")</f>
        <v>VIGAS DE CIMENTACIÓN DE 4000 psi</v>
      </c>
      <c r="I21" t="str">
        <v>M3</v>
      </c>
      <c r="J21">
        <v>36.5</v>
      </c>
      <c r="K21">
        <v>652838</v>
      </c>
      <c r="L21">
        <f t="shared" si="2"/>
        <v>0</v>
      </c>
      <c r="M21">
        <f t="shared" si="3"/>
        <v>0</v>
      </c>
      <c r="N21" s="119">
        <f t="shared" si="4"/>
        <v>45.04</v>
      </c>
      <c r="O21" s="119">
        <f t="shared" si="5"/>
        <v>0</v>
      </c>
    </row>
    <row r="22" spans="2:15" ht="18.75" customHeight="1" x14ac:dyDescent="0.25">
      <c r="B22" s="86" t="s">
        <v>45</v>
      </c>
      <c r="C22" s="87" t="s">
        <v>46</v>
      </c>
      <c r="D22" s="82" t="s">
        <v>30</v>
      </c>
      <c r="E22" s="230">
        <v>34.93</v>
      </c>
      <c r="F22" s="88">
        <v>782307</v>
      </c>
      <c r="G22" s="89">
        <f t="shared" si="1"/>
        <v>27325983.510000002</v>
      </c>
      <c r="H22" s="118" t="str">
        <f t="array" ref="H22:K22">_xlfn.XLOOKUP(C22,'ESAP NEIVA FASE II UNIFICADO'!$C$6:$C$720,'ESAP NEIVA FASE II UNIFICADO'!$C$6:$F$720,"NO ESTA")</f>
        <v>MURO DE CONTENCIÓN SOTANO EN CONCRETO DE 4000 PSI</v>
      </c>
      <c r="I22" t="str">
        <v>M3</v>
      </c>
      <c r="J22">
        <v>13</v>
      </c>
      <c r="K22">
        <v>795025</v>
      </c>
      <c r="L22">
        <f t="shared" si="2"/>
        <v>0</v>
      </c>
      <c r="M22">
        <f t="shared" si="3"/>
        <v>0</v>
      </c>
      <c r="N22" s="119">
        <f t="shared" si="4"/>
        <v>34.93</v>
      </c>
      <c r="O22" s="119">
        <f t="shared" si="5"/>
        <v>0</v>
      </c>
    </row>
    <row r="23" spans="2:15" ht="15.75" customHeight="1" x14ac:dyDescent="0.25">
      <c r="B23" s="80" t="s">
        <v>47</v>
      </c>
      <c r="C23" s="81" t="s">
        <v>48</v>
      </c>
      <c r="D23" s="82"/>
      <c r="E23" s="230"/>
      <c r="F23" s="90">
        <v>0</v>
      </c>
      <c r="G23" s="89">
        <f t="shared" si="1"/>
        <v>0</v>
      </c>
      <c r="H23" s="118" t="str">
        <f t="array" ref="H23:K23">_xlfn.XLOOKUP(C23,'ESAP NEIVA FASE II UNIFICADO'!$C$6:$C$720,'ESAP NEIVA FASE II UNIFICADO'!$C$6:$F$720,"NO ESTA")</f>
        <v xml:space="preserve">CONSTRUCCIÓN VARIOS EN CONCRETO </v>
      </c>
      <c r="I23">
        <v>0</v>
      </c>
      <c r="J23">
        <v>0</v>
      </c>
      <c r="K23">
        <v>0</v>
      </c>
      <c r="L23">
        <f t="shared" si="2"/>
        <v>1</v>
      </c>
      <c r="M23">
        <f t="shared" si="3"/>
        <v>0</v>
      </c>
      <c r="N23" s="119">
        <f t="shared" si="4"/>
        <v>0</v>
      </c>
      <c r="O23" s="119">
        <f t="shared" si="5"/>
        <v>0</v>
      </c>
    </row>
    <row r="24" spans="2:15" ht="19.5" customHeight="1" x14ac:dyDescent="0.25">
      <c r="B24" s="86" t="s">
        <v>49</v>
      </c>
      <c r="C24" s="87" t="s">
        <v>50</v>
      </c>
      <c r="D24" s="82" t="s">
        <v>30</v>
      </c>
      <c r="E24" s="230">
        <v>50.62</v>
      </c>
      <c r="F24" s="88">
        <v>782307</v>
      </c>
      <c r="G24" s="89">
        <f t="shared" si="1"/>
        <v>39600380.340000004</v>
      </c>
      <c r="H24" s="118" t="str">
        <f t="array" ref="H24:K24">_xlfn.XLOOKUP(C24,'ESAP NEIVA FASE II UNIFICADO'!$C$6:$C$720,'ESAP NEIVA FASE II UNIFICADO'!$C$6:$F$720,"NO ESTA")</f>
        <v>TANQUE DE ALMACENAMIENTO Y RESERVA EN CONCRETO DE 4000 PSI</v>
      </c>
      <c r="I24" t="str">
        <v>M3</v>
      </c>
      <c r="J24">
        <v>13.700000000000003</v>
      </c>
      <c r="K24">
        <v>821235</v>
      </c>
      <c r="L24">
        <f t="shared" si="2"/>
        <v>0</v>
      </c>
      <c r="M24">
        <f t="shared" si="3"/>
        <v>0</v>
      </c>
      <c r="N24" s="119">
        <f t="shared" si="4"/>
        <v>50.62</v>
      </c>
      <c r="O24" s="119">
        <f t="shared" si="5"/>
        <v>0</v>
      </c>
    </row>
    <row r="25" spans="2:15" ht="18" customHeight="1" x14ac:dyDescent="0.25">
      <c r="B25" s="80" t="s">
        <v>51</v>
      </c>
      <c r="C25" s="81" t="s">
        <v>52</v>
      </c>
      <c r="D25" s="82"/>
      <c r="E25" s="230"/>
      <c r="F25" s="90">
        <v>0</v>
      </c>
      <c r="G25" s="89">
        <f t="shared" si="1"/>
        <v>0</v>
      </c>
      <c r="H25" s="118" t="str">
        <f t="array" ref="H25:K25">_xlfn.XLOOKUP(C25,'ESAP NEIVA FASE II UNIFICADO'!$C$6:$C$720,'ESAP NEIVA FASE II UNIFICADO'!$C$6:$F$720,"NO ESTA")</f>
        <v>SUMINISTRO E INSTALACIÓN ACERO DE REFUERZO CIMENTACIÓN</v>
      </c>
      <c r="I25">
        <v>0</v>
      </c>
      <c r="J25">
        <v>0</v>
      </c>
      <c r="K25">
        <v>0</v>
      </c>
      <c r="L25">
        <f t="shared" si="2"/>
        <v>1</v>
      </c>
      <c r="M25">
        <f t="shared" si="3"/>
        <v>0</v>
      </c>
      <c r="N25" s="119">
        <f t="shared" si="4"/>
        <v>0</v>
      </c>
      <c r="O25" s="119">
        <f t="shared" si="5"/>
        <v>0</v>
      </c>
    </row>
    <row r="26" spans="2:15" ht="16.5" customHeight="1" x14ac:dyDescent="0.25">
      <c r="B26" s="92" t="s">
        <v>53</v>
      </c>
      <c r="C26" s="93" t="s">
        <v>54</v>
      </c>
      <c r="D26" s="92" t="s">
        <v>55</v>
      </c>
      <c r="E26" s="230">
        <v>16621.25</v>
      </c>
      <c r="F26" s="94">
        <v>5265</v>
      </c>
      <c r="G26" s="89">
        <f t="shared" si="1"/>
        <v>87510881.25</v>
      </c>
      <c r="H26" s="118" t="str">
        <f t="array" ref="H26:K26">_xlfn.XLOOKUP(C26,'ESAP NEIVA FASE II UNIFICADO'!$C$6:$C$720,'ESAP NEIVA FASE II UNIFICADO'!$C$6:$F$720,"NO ESTA",0,)</f>
        <v>ACERO DE REFUERZO 60000 psi Incluye ALAMBRE DE AMARRE</v>
      </c>
      <c r="I26" s="95" t="str">
        <v>KG</v>
      </c>
      <c r="J26">
        <v>8230.6999999999971</v>
      </c>
      <c r="K26">
        <v>5000</v>
      </c>
      <c r="L26">
        <f t="shared" si="2"/>
        <v>0</v>
      </c>
      <c r="M26">
        <f t="shared" si="3"/>
        <v>0</v>
      </c>
      <c r="N26" s="119">
        <f t="shared" si="4"/>
        <v>16621.25</v>
      </c>
      <c r="O26" s="119">
        <f t="shared" si="5"/>
        <v>0</v>
      </c>
    </row>
    <row r="27" spans="2:15" ht="25.9" customHeight="1" x14ac:dyDescent="0.25">
      <c r="B27" s="86" t="s">
        <v>56</v>
      </c>
      <c r="C27" s="93" t="s">
        <v>57</v>
      </c>
      <c r="D27" s="82" t="s">
        <v>13</v>
      </c>
      <c r="E27" s="230">
        <v>1871.1</v>
      </c>
      <c r="F27" s="94">
        <v>7898</v>
      </c>
      <c r="G27" s="89">
        <f t="shared" si="1"/>
        <v>14777947.800000001</v>
      </c>
      <c r="H27" s="118" t="str">
        <f t="array" ref="H27:K27">_xlfn.XLOOKUP(C27,'ESAP NEIVA FASE II UNIFICADO'!$C$6:$C$720,'ESAP NEIVA FASE II UNIFICADO'!$C$6:$F$720,"NO ESTA")</f>
        <v>MALLA ELECTROSOLDADA PLACA CONTRAPISO Q84 Ø4 mm separación 15x15 cm o similar</v>
      </c>
      <c r="I27" t="str">
        <v>M2</v>
      </c>
      <c r="J27">
        <v>242.5</v>
      </c>
      <c r="K27">
        <v>7500</v>
      </c>
      <c r="L27">
        <f t="shared" si="2"/>
        <v>0</v>
      </c>
      <c r="M27">
        <f t="shared" si="3"/>
        <v>0</v>
      </c>
      <c r="N27" s="119">
        <f t="shared" si="4"/>
        <v>1871.1</v>
      </c>
      <c r="O27" s="119">
        <f t="shared" si="5"/>
        <v>0</v>
      </c>
    </row>
    <row r="28" spans="2:15" ht="16.5" customHeight="1" x14ac:dyDescent="0.25">
      <c r="B28" s="74">
        <v>3</v>
      </c>
      <c r="C28" s="75" t="s">
        <v>58</v>
      </c>
      <c r="D28" s="76"/>
      <c r="E28" s="229"/>
      <c r="F28" s="78">
        <v>0</v>
      </c>
      <c r="G28" s="89">
        <f t="shared" si="1"/>
        <v>0</v>
      </c>
      <c r="H28" s="118" t="str">
        <f t="array" ref="H28:K28">_xlfn.XLOOKUP(C28,'ESAP NEIVA FASE II UNIFICADO'!$C$6:$C$720,'ESAP NEIVA FASE II UNIFICADO'!$C$6:$F$720,"NO ESTA")</f>
        <v>ESTRUCTURAS EN CONCRETO Y METALICAS</v>
      </c>
      <c r="I28" s="96">
        <v>0</v>
      </c>
      <c r="J28">
        <v>0</v>
      </c>
      <c r="K28">
        <v>0</v>
      </c>
      <c r="L28">
        <f t="shared" si="2"/>
        <v>1</v>
      </c>
      <c r="M28">
        <f t="shared" si="3"/>
        <v>0</v>
      </c>
      <c r="N28" s="119">
        <f t="shared" si="4"/>
        <v>0</v>
      </c>
      <c r="O28" s="119">
        <f t="shared" si="5"/>
        <v>0</v>
      </c>
    </row>
    <row r="29" spans="2:15" ht="16.5" customHeight="1" x14ac:dyDescent="0.25">
      <c r="B29" s="80" t="s">
        <v>59</v>
      </c>
      <c r="C29" s="81" t="s">
        <v>60</v>
      </c>
      <c r="D29" s="82"/>
      <c r="E29" s="230"/>
      <c r="F29" s="84">
        <v>0</v>
      </c>
      <c r="G29" s="89">
        <f t="shared" si="1"/>
        <v>0</v>
      </c>
      <c r="H29" s="118" t="str">
        <f t="array" ref="H29:K29">_xlfn.XLOOKUP(C29,'ESAP NEIVA FASE II UNIFICADO'!$C$6:$C$720,'ESAP NEIVA FASE II UNIFICADO'!$C$6:$F$720,"NO ESTA")</f>
        <v>ELEMENTOS ESTRUCTURALES</v>
      </c>
      <c r="I29" s="96">
        <v>0</v>
      </c>
      <c r="J29">
        <v>0</v>
      </c>
      <c r="K29">
        <v>0</v>
      </c>
      <c r="L29">
        <f t="shared" si="2"/>
        <v>1</v>
      </c>
      <c r="M29">
        <f t="shared" si="3"/>
        <v>0</v>
      </c>
      <c r="N29" s="119">
        <f t="shared" si="4"/>
        <v>0</v>
      </c>
      <c r="O29" s="119">
        <f t="shared" si="5"/>
        <v>0</v>
      </c>
    </row>
    <row r="30" spans="2:15" ht="20.25" customHeight="1" x14ac:dyDescent="0.25">
      <c r="B30" s="86" t="s">
        <v>61</v>
      </c>
      <c r="C30" s="87" t="s">
        <v>62</v>
      </c>
      <c r="D30" s="82" t="s">
        <v>30</v>
      </c>
      <c r="E30" s="230">
        <v>247.78</v>
      </c>
      <c r="F30" s="88">
        <v>831289</v>
      </c>
      <c r="G30" s="89">
        <f t="shared" si="1"/>
        <v>205976788.41999999</v>
      </c>
      <c r="H30" s="118" t="str">
        <f t="array" ref="H30:K30">_xlfn.XLOOKUP(C30,'ESAP NEIVA FASE II UNIFICADO'!$C$6:$C$720,'ESAP NEIVA FASE II UNIFICADO'!$C$6:$F$720,"NO ESTA")</f>
        <v>COLUMNAS EN CONCRETO DE 4000 psi</v>
      </c>
      <c r="I30" s="96" t="str">
        <v>M3</v>
      </c>
      <c r="J30">
        <v>24.939999999999998</v>
      </c>
      <c r="K30">
        <v>789448</v>
      </c>
      <c r="L30">
        <f t="shared" si="2"/>
        <v>0</v>
      </c>
      <c r="M30">
        <f t="shared" si="3"/>
        <v>0</v>
      </c>
      <c r="N30" s="119">
        <f t="shared" si="4"/>
        <v>247.78</v>
      </c>
      <c r="O30" s="119">
        <f t="shared" si="5"/>
        <v>0</v>
      </c>
    </row>
    <row r="31" spans="2:15" ht="30" customHeight="1" x14ac:dyDescent="0.25">
      <c r="B31" s="86" t="s">
        <v>63</v>
      </c>
      <c r="C31" s="87" t="s">
        <v>64</v>
      </c>
      <c r="D31" s="82" t="s">
        <v>30</v>
      </c>
      <c r="E31" s="230">
        <v>152.63999999999999</v>
      </c>
      <c r="F31" s="88">
        <v>831289</v>
      </c>
      <c r="G31" s="89">
        <f t="shared" si="1"/>
        <v>126887952.95999999</v>
      </c>
      <c r="H31" s="118" t="str">
        <f t="array" ref="H31:K31">_xlfn.XLOOKUP(C31,'ESAP NEIVA FASE II UNIFICADO'!$C$6:$C$720,'ESAP NEIVA FASE II UNIFICADO'!$C$6:$F$720,"NO ESTA")</f>
        <v>PANTALLAS ASCENSORES Y ESCALERA EJES F2 Y K2 EN CONCRETO DE 4000 PSI</v>
      </c>
      <c r="I31" t="str">
        <v>M3</v>
      </c>
      <c r="J31">
        <v>15.569999999999993</v>
      </c>
      <c r="K31">
        <v>789448</v>
      </c>
      <c r="L31">
        <f t="shared" si="2"/>
        <v>0</v>
      </c>
      <c r="M31">
        <f t="shared" si="3"/>
        <v>0</v>
      </c>
      <c r="N31" s="119">
        <f t="shared" si="4"/>
        <v>152.63999999999999</v>
      </c>
      <c r="O31" s="119">
        <f t="shared" si="5"/>
        <v>0</v>
      </c>
    </row>
    <row r="32" spans="2:15" ht="13.5" customHeight="1" x14ac:dyDescent="0.25">
      <c r="B32" s="80" t="s">
        <v>65</v>
      </c>
      <c r="C32" s="81" t="s">
        <v>66</v>
      </c>
      <c r="D32" s="82"/>
      <c r="E32" s="230"/>
      <c r="F32" s="90">
        <v>0</v>
      </c>
      <c r="G32" s="89">
        <f t="shared" si="1"/>
        <v>0</v>
      </c>
      <c r="H32" s="118" t="str">
        <f t="array" ref="H32:K32">_xlfn.XLOOKUP(C32,'ESAP NEIVA FASE II UNIFICADO'!$C$6:$C$720,'ESAP NEIVA FASE II UNIFICADO'!$C$6:$F$720,"NO ESTA")</f>
        <v>PLACAS Y LOSAS DE ENTREPISO</v>
      </c>
      <c r="I32" s="95">
        <v>0</v>
      </c>
      <c r="J32">
        <v>0</v>
      </c>
      <c r="K32">
        <v>0</v>
      </c>
      <c r="L32">
        <f t="shared" si="2"/>
        <v>1</v>
      </c>
      <c r="M32">
        <f t="shared" si="3"/>
        <v>0</v>
      </c>
      <c r="N32" s="119">
        <f t="shared" si="4"/>
        <v>0</v>
      </c>
      <c r="O32" s="119">
        <f t="shared" si="5"/>
        <v>0</v>
      </c>
    </row>
    <row r="33" spans="2:15" ht="30" customHeight="1" x14ac:dyDescent="0.25">
      <c r="B33" s="86" t="s">
        <v>67</v>
      </c>
      <c r="C33" s="87" t="s">
        <v>68</v>
      </c>
      <c r="D33" s="82" t="s">
        <v>30</v>
      </c>
      <c r="E33" s="230">
        <v>2128.8200000000002</v>
      </c>
      <c r="F33" s="88">
        <v>740030</v>
      </c>
      <c r="G33" s="89">
        <f t="shared" si="1"/>
        <v>1575390664.5999999</v>
      </c>
      <c r="H33" s="118" t="str">
        <f t="array" ref="H33">_xlfn.XLOOKUP(C33,'ESAP NEIVA FASE II UNIFICADO'!$C$6:$C$720,'ESAP NEIVA FASE II UNIFICADO'!$C$6:$F$720,"NO ESTA")</f>
        <v>NO ESTA</v>
      </c>
      <c r="L33">
        <f t="shared" si="2"/>
        <v>1</v>
      </c>
      <c r="M33">
        <f t="shared" si="3"/>
        <v>740030</v>
      </c>
      <c r="N33" s="119">
        <f t="shared" si="4"/>
        <v>2128.8200000000002</v>
      </c>
      <c r="O33" s="119">
        <f t="shared" si="5"/>
        <v>1575390664.5999999</v>
      </c>
    </row>
    <row r="34" spans="2:15" ht="16.5" customHeight="1" x14ac:dyDescent="0.25">
      <c r="B34" s="86" t="s">
        <v>69</v>
      </c>
      <c r="C34" s="148" t="s">
        <v>70</v>
      </c>
      <c r="D34" s="82" t="s">
        <v>13</v>
      </c>
      <c r="E34" s="230">
        <v>1581</v>
      </c>
      <c r="F34" s="88">
        <v>100365</v>
      </c>
      <c r="G34" s="89">
        <f t="shared" si="1"/>
        <v>158677065</v>
      </c>
      <c r="H34" s="118" t="str">
        <f t="array" ref="H34:K34">_xlfn.XLOOKUP(C34,'ESAP NEIVA FASE II UNIFICADO'!$C$6:$C$720,'ESAP NEIVA FASE II UNIFICADO'!$C$6:$F$720,"NO ESTA")</f>
        <v>PLACA MACIZA CONTRAPISO CIMENTACION E: 15 cms</v>
      </c>
      <c r="I34" t="str">
        <v>M2</v>
      </c>
      <c r="J34">
        <v>235.59999999999991</v>
      </c>
      <c r="K34">
        <v>95123</v>
      </c>
      <c r="L34">
        <f t="shared" si="2"/>
        <v>0</v>
      </c>
      <c r="M34">
        <f t="shared" si="3"/>
        <v>0</v>
      </c>
      <c r="N34" s="119">
        <f t="shared" si="4"/>
        <v>1581</v>
      </c>
      <c r="O34" s="119">
        <f t="shared" si="5"/>
        <v>0</v>
      </c>
    </row>
    <row r="35" spans="2:15" ht="19.5" customHeight="1" x14ac:dyDescent="0.25">
      <c r="B35" s="86" t="s">
        <v>71</v>
      </c>
      <c r="C35" s="87" t="s">
        <v>72</v>
      </c>
      <c r="D35" s="82" t="s">
        <v>30</v>
      </c>
      <c r="E35" s="230">
        <v>8.9</v>
      </c>
      <c r="F35" s="88">
        <v>743087</v>
      </c>
      <c r="G35" s="89">
        <f t="shared" si="1"/>
        <v>6613474.2999999998</v>
      </c>
      <c r="H35" s="118" t="str">
        <f t="array" ref="H35:K35">_xlfn.XLOOKUP(C35,'ESAP NEIVA FASE II UNIFICADO'!$C$6:$C$720,'ESAP NEIVA FASE II UNIFICADO'!$C$6:$F$720,"NO ESTA")</f>
        <v xml:space="preserve">PLACA MACIZA ZONA ASCENSOR 2DA PLANTA </v>
      </c>
      <c r="I35" t="str">
        <v>M3</v>
      </c>
      <c r="J35">
        <v>0</v>
      </c>
      <c r="K35">
        <v>789448</v>
      </c>
      <c r="L35">
        <f t="shared" si="2"/>
        <v>1</v>
      </c>
      <c r="M35">
        <f t="shared" si="3"/>
        <v>743087</v>
      </c>
      <c r="N35" s="119">
        <f t="shared" si="4"/>
        <v>8.9</v>
      </c>
      <c r="O35" s="119">
        <f t="shared" si="5"/>
        <v>6613474.2999999998</v>
      </c>
    </row>
    <row r="36" spans="2:15" ht="15" customHeight="1" x14ac:dyDescent="0.25">
      <c r="B36" s="80" t="s">
        <v>73</v>
      </c>
      <c r="C36" s="81" t="s">
        <v>74</v>
      </c>
      <c r="D36" s="82"/>
      <c r="E36" s="230"/>
      <c r="F36" s="90">
        <v>0</v>
      </c>
      <c r="G36" s="89">
        <f t="shared" si="1"/>
        <v>0</v>
      </c>
      <c r="H36" s="118" t="str">
        <f t="array" ref="H36:K36">_xlfn.XLOOKUP(C36,'ESAP NEIVA FASE II UNIFICADO'!$C$6:$C$720,'ESAP NEIVA FASE II UNIFICADO'!$C$6:$F$720,"NO ESTA")</f>
        <v>CONSTRUCCIONES VARIAS EN CONCRETO</v>
      </c>
      <c r="I36">
        <v>0</v>
      </c>
      <c r="J36">
        <v>0</v>
      </c>
      <c r="K36">
        <v>0</v>
      </c>
      <c r="L36">
        <f t="shared" si="2"/>
        <v>1</v>
      </c>
      <c r="M36">
        <f t="shared" si="3"/>
        <v>0</v>
      </c>
      <c r="N36" s="119">
        <f t="shared" si="4"/>
        <v>0</v>
      </c>
      <c r="O36" s="119">
        <f t="shared" si="5"/>
        <v>0</v>
      </c>
    </row>
    <row r="37" spans="2:15" ht="17.25" customHeight="1" x14ac:dyDescent="0.25">
      <c r="B37" s="86" t="s">
        <v>75</v>
      </c>
      <c r="C37" s="87" t="s">
        <v>76</v>
      </c>
      <c r="D37" s="82" t="s">
        <v>30</v>
      </c>
      <c r="E37" s="230">
        <v>73</v>
      </c>
      <c r="F37" s="88">
        <v>724119</v>
      </c>
      <c r="G37" s="89">
        <f t="shared" si="1"/>
        <v>52860687</v>
      </c>
      <c r="H37" s="118" t="str">
        <f t="array" ref="H37:K37">_xlfn.XLOOKUP(C37,'ESAP NEIVA FASE II UNIFICADO'!$C$6:$C$720,'ESAP NEIVA FASE II UNIFICADO'!$C$6:$F$720,"NO ESTA")</f>
        <v>MURO EN CONCRETO DE 4000 PSI DESCOLGADO VIGA 00C 30x120</v>
      </c>
      <c r="I37" t="str">
        <v>M3</v>
      </c>
      <c r="J37">
        <v>11.299999999999997</v>
      </c>
      <c r="K37">
        <v>795025</v>
      </c>
      <c r="L37">
        <f t="shared" si="2"/>
        <v>0</v>
      </c>
      <c r="M37">
        <f t="shared" si="3"/>
        <v>0</v>
      </c>
      <c r="N37" s="119">
        <f t="shared" si="4"/>
        <v>73</v>
      </c>
      <c r="O37" s="119">
        <f t="shared" si="5"/>
        <v>0</v>
      </c>
    </row>
    <row r="38" spans="2:15" ht="19.5" customHeight="1" x14ac:dyDescent="0.25">
      <c r="B38" s="86" t="s">
        <v>77</v>
      </c>
      <c r="C38" s="87" t="s">
        <v>78</v>
      </c>
      <c r="D38" s="82" t="s">
        <v>30</v>
      </c>
      <c r="E38" s="230">
        <v>109</v>
      </c>
      <c r="F38" s="88">
        <v>724119</v>
      </c>
      <c r="G38" s="89">
        <f t="shared" si="1"/>
        <v>78928971</v>
      </c>
      <c r="H38" s="118" t="str">
        <f t="array" ref="H38:K38">_xlfn.XLOOKUP(C38,'ESAP NEIVA FASE II UNIFICADO'!$C$6:$C$720,'ESAP NEIVA FASE II UNIFICADO'!$C$6:$F$720,"NO ESTA")</f>
        <v>MURO ESTRUCTURAL EN CONCRETO DE 4000 PSI FACHADA EXTERIOR</v>
      </c>
      <c r="I38" t="str">
        <v>M3</v>
      </c>
      <c r="J38">
        <v>15.900000000000006</v>
      </c>
      <c r="K38">
        <v>766762</v>
      </c>
      <c r="L38">
        <f t="shared" si="2"/>
        <v>0</v>
      </c>
      <c r="M38">
        <f t="shared" si="3"/>
        <v>0</v>
      </c>
      <c r="N38" s="119">
        <f t="shared" si="4"/>
        <v>109</v>
      </c>
      <c r="O38" s="119">
        <f t="shared" si="5"/>
        <v>0</v>
      </c>
    </row>
    <row r="39" spans="2:15" ht="17.25" customHeight="1" x14ac:dyDescent="0.25">
      <c r="B39" s="86" t="s">
        <v>79</v>
      </c>
      <c r="C39" s="87" t="s">
        <v>80</v>
      </c>
      <c r="D39" s="82" t="s">
        <v>30</v>
      </c>
      <c r="E39" s="230">
        <v>30</v>
      </c>
      <c r="F39" s="88">
        <v>743087</v>
      </c>
      <c r="G39" s="89">
        <f t="shared" si="1"/>
        <v>22292610</v>
      </c>
      <c r="H39" s="118" t="str">
        <f t="array" ref="H39:K39">_xlfn.XLOOKUP(C39,'ESAP NEIVA FASE II UNIFICADO'!$C$6:$C$720,'ESAP NEIVA FASE II UNIFICADO'!$C$6:$F$720,"NO ESTA")</f>
        <v>ESCALERAS INTERNAS</v>
      </c>
      <c r="I39" t="str">
        <v>M3</v>
      </c>
      <c r="J39">
        <v>4.7000000000000028</v>
      </c>
      <c r="K39">
        <v>910627</v>
      </c>
      <c r="L39">
        <f t="shared" si="2"/>
        <v>0</v>
      </c>
      <c r="M39">
        <f t="shared" si="3"/>
        <v>0</v>
      </c>
      <c r="N39" s="119">
        <f t="shared" si="4"/>
        <v>30</v>
      </c>
      <c r="O39" s="119">
        <f t="shared" si="5"/>
        <v>0</v>
      </c>
    </row>
    <row r="40" spans="2:15" ht="18" customHeight="1" x14ac:dyDescent="0.25">
      <c r="B40" s="86" t="s">
        <v>81</v>
      </c>
      <c r="C40" s="87" t="s">
        <v>82</v>
      </c>
      <c r="D40" s="82" t="s">
        <v>30</v>
      </c>
      <c r="E40" s="230">
        <v>17</v>
      </c>
      <c r="F40" s="88">
        <v>743087</v>
      </c>
      <c r="G40" s="89">
        <f t="shared" si="1"/>
        <v>12632479</v>
      </c>
      <c r="H40" s="118" t="str">
        <f t="array" ref="H40:K40">_xlfn.XLOOKUP(C40,'ESAP NEIVA FASE II UNIFICADO'!$C$6:$C$720,'ESAP NEIVA FASE II UNIFICADO'!$C$6:$F$720,"NO ESTA")</f>
        <v>ESCALERA ACCESO SEGUNDO (2DO) Y TERCER (3ER) PISO EJES 1 Y 4'</v>
      </c>
      <c r="I40" t="str">
        <v>M3</v>
      </c>
      <c r="J40">
        <v>2</v>
      </c>
      <c r="K40">
        <v>910627</v>
      </c>
      <c r="L40">
        <f t="shared" si="2"/>
        <v>0</v>
      </c>
      <c r="M40">
        <f t="shared" si="3"/>
        <v>0</v>
      </c>
      <c r="N40" s="119">
        <f t="shared" si="4"/>
        <v>17</v>
      </c>
      <c r="O40" s="119">
        <f t="shared" si="5"/>
        <v>0</v>
      </c>
    </row>
    <row r="41" spans="2:15" ht="15.75" customHeight="1" x14ac:dyDescent="0.25">
      <c r="B41" s="86" t="s">
        <v>83</v>
      </c>
      <c r="C41" s="87" t="s">
        <v>84</v>
      </c>
      <c r="D41" s="82" t="s">
        <v>30</v>
      </c>
      <c r="E41" s="230">
        <v>63</v>
      </c>
      <c r="F41" s="88">
        <v>761561</v>
      </c>
      <c r="G41" s="89">
        <f t="shared" si="1"/>
        <v>47978343</v>
      </c>
      <c r="H41" s="118" t="str">
        <f t="array" ref="H41:K41">_xlfn.XLOOKUP(C41,'ESAP NEIVA FASE II UNIFICADO'!$C$6:$C$720,'ESAP NEIVA FASE II UNIFICADO'!$C$6:$F$720,"NO ESTA")</f>
        <v>RAMPAS DE ACCESO Incluye ACERO DE REFUERZO</v>
      </c>
      <c r="I41" t="str">
        <v>M3</v>
      </c>
      <c r="J41">
        <v>9</v>
      </c>
      <c r="K41">
        <v>852120</v>
      </c>
      <c r="L41">
        <f t="shared" si="2"/>
        <v>0</v>
      </c>
      <c r="M41">
        <f t="shared" si="3"/>
        <v>0</v>
      </c>
      <c r="N41" s="119">
        <f t="shared" si="4"/>
        <v>63</v>
      </c>
      <c r="O41" s="119">
        <f t="shared" si="5"/>
        <v>0</v>
      </c>
    </row>
    <row r="42" spans="2:15" ht="39.75" customHeight="1" x14ac:dyDescent="0.25">
      <c r="B42" s="80" t="s">
        <v>85</v>
      </c>
      <c r="C42" s="81" t="s">
        <v>86</v>
      </c>
      <c r="D42" s="82"/>
      <c r="E42" s="230"/>
      <c r="F42" s="90">
        <v>0</v>
      </c>
      <c r="G42" s="89">
        <f t="shared" si="1"/>
        <v>0</v>
      </c>
      <c r="H42" s="118" t="str">
        <f t="array" ref="H42:K42">_xlfn.XLOOKUP(C42,'ESAP NEIVA FASE II UNIFICADO'!$C$6:$C$720,'ESAP NEIVA FASE II UNIFICADO'!$C$6:$F$720,"NO ESTA")</f>
        <v>SUMINISTRO E INSTALACIÓN ACERO DE REFUERZO ELEMENTOS ESTRUCTURALES, PLACAS MACIZAS, CONSTRUCCIONES VARIAS EN CONCRETOS</v>
      </c>
      <c r="I42">
        <v>0</v>
      </c>
      <c r="J42">
        <v>0</v>
      </c>
      <c r="K42">
        <v>0</v>
      </c>
      <c r="L42">
        <f t="shared" si="2"/>
        <v>1</v>
      </c>
      <c r="M42">
        <f t="shared" si="3"/>
        <v>0</v>
      </c>
      <c r="N42" s="119">
        <f t="shared" si="4"/>
        <v>0</v>
      </c>
      <c r="O42" s="119">
        <f t="shared" si="5"/>
        <v>0</v>
      </c>
    </row>
    <row r="43" spans="2:15" ht="18" customHeight="1" x14ac:dyDescent="0.25">
      <c r="B43" s="86" t="s">
        <v>87</v>
      </c>
      <c r="C43" s="93" t="s">
        <v>54</v>
      </c>
      <c r="D43" s="82" t="s">
        <v>55</v>
      </c>
      <c r="E43" s="230">
        <v>134615.48000000001</v>
      </c>
      <c r="F43" s="94">
        <v>5265</v>
      </c>
      <c r="G43" s="89">
        <f t="shared" si="1"/>
        <v>708750502.20000005</v>
      </c>
      <c r="H43" s="118" t="str">
        <f t="array" ref="H43:K43">_xlfn.XLOOKUP(C43,'ESAP NEIVA FASE II UNIFICADO'!$C$6:$C$720,'ESAP NEIVA FASE II UNIFICADO'!$C$6:$F$720,"NO ESTA")</f>
        <v>ACERO DE REFUERZO 60000 psi Incluye ALAMBRE DE AMARRE</v>
      </c>
      <c r="I43" t="str">
        <v>KG</v>
      </c>
      <c r="J43">
        <v>8230.6999999999971</v>
      </c>
      <c r="K43">
        <v>5000</v>
      </c>
      <c r="L43">
        <f t="shared" si="2"/>
        <v>0</v>
      </c>
      <c r="M43">
        <f t="shared" si="3"/>
        <v>0</v>
      </c>
      <c r="N43" s="119">
        <f t="shared" si="4"/>
        <v>134615.48000000001</v>
      </c>
      <c r="O43" s="119">
        <f t="shared" si="5"/>
        <v>0</v>
      </c>
    </row>
    <row r="44" spans="2:15" ht="30" customHeight="1" x14ac:dyDescent="0.25">
      <c r="B44" s="86" t="s">
        <v>88</v>
      </c>
      <c r="C44" s="93" t="s">
        <v>89</v>
      </c>
      <c r="D44" s="82" t="s">
        <v>13</v>
      </c>
      <c r="E44" s="230">
        <v>6220.01</v>
      </c>
      <c r="F44" s="94">
        <v>7898</v>
      </c>
      <c r="G44" s="89">
        <f t="shared" si="1"/>
        <v>49125638.979999997</v>
      </c>
      <c r="H44" s="118" t="str">
        <f t="array" ref="H44:K44">_xlfn.XLOOKUP(C44,'ESAP NEIVA FASE II UNIFICADO'!$C$6:$C$720,'ESAP NEIVA FASE II UNIFICADO'!$C$6:$F$720,"NO ESTA")</f>
        <v>MALLA ELECTROSOLDADA PLACA ENTREPISO Q85 Ø4 mm separación 15x15 cm o similar</v>
      </c>
      <c r="I44" t="str">
        <v>M2</v>
      </c>
      <c r="J44">
        <v>938.19999999999982</v>
      </c>
      <c r="K44">
        <v>7500</v>
      </c>
      <c r="L44">
        <f t="shared" si="2"/>
        <v>0</v>
      </c>
      <c r="M44">
        <f t="shared" si="3"/>
        <v>0</v>
      </c>
      <c r="N44" s="119">
        <f t="shared" si="4"/>
        <v>6220.01</v>
      </c>
      <c r="O44" s="119">
        <f t="shared" si="5"/>
        <v>0</v>
      </c>
    </row>
    <row r="45" spans="2:15" ht="30" customHeight="1" x14ac:dyDescent="0.25">
      <c r="B45" s="80" t="s">
        <v>90</v>
      </c>
      <c r="C45" s="81" t="s">
        <v>91</v>
      </c>
      <c r="D45" s="82"/>
      <c r="E45" s="230"/>
      <c r="F45" s="90">
        <v>0</v>
      </c>
      <c r="G45" s="89">
        <f t="shared" si="1"/>
        <v>0</v>
      </c>
      <c r="H45" s="118" t="str">
        <f t="array" ref="H45:K45">_xlfn.XLOOKUP(C45,'ESAP NEIVA FASE II UNIFICADO'!$C$6:$C$720,'ESAP NEIVA FASE II UNIFICADO'!$C$6:$F$720,"NO ESTA")</f>
        <v>SUMINISTRO E INSTALACION DE ESTRUCTURA METALICA CUBIERTA</v>
      </c>
      <c r="I45">
        <v>0</v>
      </c>
      <c r="J45">
        <v>0</v>
      </c>
      <c r="K45">
        <v>0</v>
      </c>
      <c r="L45">
        <f t="shared" si="2"/>
        <v>1</v>
      </c>
      <c r="M45">
        <f t="shared" si="3"/>
        <v>0</v>
      </c>
      <c r="N45" s="119">
        <f t="shared" si="4"/>
        <v>0</v>
      </c>
      <c r="O45" s="119">
        <f t="shared" si="5"/>
        <v>0</v>
      </c>
    </row>
    <row r="46" spans="2:15" ht="15" customHeight="1" x14ac:dyDescent="0.25">
      <c r="B46" s="86" t="s">
        <v>92</v>
      </c>
      <c r="C46" s="87" t="s">
        <v>93</v>
      </c>
      <c r="D46" s="82" t="s">
        <v>94</v>
      </c>
      <c r="E46" s="230">
        <v>194</v>
      </c>
      <c r="F46" s="88">
        <v>107633</v>
      </c>
      <c r="G46" s="89">
        <f t="shared" si="1"/>
        <v>20880802</v>
      </c>
      <c r="H46" s="118" t="str">
        <f t="array" ref="H46:K46">_xlfn.XLOOKUP(C46,'ESAP NEIVA FASE II UNIFICADO'!$C$6:$C$720,'ESAP NEIVA FASE II UNIFICADO'!$C$6:$F$720,"NO ESTA")</f>
        <v>CERCHA METALICA CUBIERTA</v>
      </c>
      <c r="I46" s="95" t="str">
        <v>ML</v>
      </c>
      <c r="J46">
        <v>14.099999999999994</v>
      </c>
      <c r="K46">
        <v>109392</v>
      </c>
      <c r="L46">
        <f t="shared" si="2"/>
        <v>0</v>
      </c>
      <c r="M46">
        <f t="shared" si="3"/>
        <v>0</v>
      </c>
      <c r="N46" s="119">
        <f t="shared" si="4"/>
        <v>194</v>
      </c>
      <c r="O46" s="119">
        <f t="shared" si="5"/>
        <v>0</v>
      </c>
    </row>
    <row r="47" spans="2:15" ht="15" customHeight="1" x14ac:dyDescent="0.25">
      <c r="B47" s="86" t="s">
        <v>95</v>
      </c>
      <c r="C47" s="87" t="s">
        <v>96</v>
      </c>
      <c r="D47" s="82" t="s">
        <v>94</v>
      </c>
      <c r="E47" s="230">
        <v>1240</v>
      </c>
      <c r="F47" s="88">
        <v>76272</v>
      </c>
      <c r="G47" s="89">
        <f t="shared" si="1"/>
        <v>94577280</v>
      </c>
      <c r="H47" s="118" t="str">
        <f t="array" ref="H47:K47">_xlfn.XLOOKUP(C47,'ESAP NEIVA FASE II UNIFICADO'!$C$6:$C$720,'ESAP NEIVA FASE II UNIFICADO'!$C$6:$F$720,"NO ESTA")</f>
        <v>CORREAS METALICAS CUBIERTA</v>
      </c>
      <c r="I47" t="str">
        <v>ML</v>
      </c>
      <c r="J47">
        <v>28.599999999999994</v>
      </c>
      <c r="K47">
        <v>78264</v>
      </c>
      <c r="L47">
        <f t="shared" si="2"/>
        <v>0</v>
      </c>
      <c r="M47">
        <f t="shared" si="3"/>
        <v>0</v>
      </c>
      <c r="N47" s="119">
        <f t="shared" si="4"/>
        <v>1240</v>
      </c>
      <c r="O47" s="119">
        <f t="shared" si="5"/>
        <v>0</v>
      </c>
    </row>
    <row r="48" spans="2:15" ht="15" customHeight="1" x14ac:dyDescent="0.25">
      <c r="B48" s="86" t="s">
        <v>97</v>
      </c>
      <c r="C48" s="87" t="s">
        <v>98</v>
      </c>
      <c r="D48" s="82" t="s">
        <v>13</v>
      </c>
      <c r="E48" s="230">
        <v>508</v>
      </c>
      <c r="F48" s="88">
        <v>100848</v>
      </c>
      <c r="G48" s="89">
        <f t="shared" si="1"/>
        <v>51230784</v>
      </c>
      <c r="H48" s="118" t="str">
        <f t="array" ref="H48:K48">_xlfn.XLOOKUP(C48,'ESAP NEIVA FASE II UNIFICADO'!$C$6:$C$720,'ESAP NEIVA FASE II UNIFICADO'!$C$6:$F$720,"NO ESTA")</f>
        <v>CUBIERTA TIPO SANDWICH</v>
      </c>
      <c r="I48" t="str">
        <v>M2</v>
      </c>
      <c r="J48">
        <v>488.5</v>
      </c>
      <c r="K48">
        <v>103483</v>
      </c>
      <c r="L48">
        <f t="shared" si="2"/>
        <v>0</v>
      </c>
      <c r="M48">
        <f t="shared" si="3"/>
        <v>0</v>
      </c>
      <c r="N48" s="119">
        <f t="shared" si="4"/>
        <v>508</v>
      </c>
      <c r="O48" s="119">
        <f t="shared" si="5"/>
        <v>0</v>
      </c>
    </row>
    <row r="49" spans="2:15" ht="14.25" customHeight="1" x14ac:dyDescent="0.25">
      <c r="B49" s="74">
        <v>4</v>
      </c>
      <c r="C49" s="75" t="s">
        <v>99</v>
      </c>
      <c r="D49" s="76"/>
      <c r="E49" s="229"/>
      <c r="F49" s="78">
        <v>0</v>
      </c>
      <c r="G49" s="89">
        <f t="shared" si="1"/>
        <v>0</v>
      </c>
      <c r="H49" s="118" t="str">
        <f t="array" ref="H49:K49">_xlfn.XLOOKUP(C49,'ESAP NEIVA FASE II UNIFICADO'!$C$6:$C$720,'ESAP NEIVA FASE II UNIFICADO'!$C$6:$F$720,"NO ESTA")</f>
        <v>CIELO RASOS</v>
      </c>
      <c r="I49">
        <v>0</v>
      </c>
      <c r="J49">
        <v>0</v>
      </c>
      <c r="K49">
        <v>0</v>
      </c>
      <c r="L49">
        <f t="shared" si="2"/>
        <v>1</v>
      </c>
      <c r="M49">
        <f t="shared" si="3"/>
        <v>0</v>
      </c>
      <c r="N49" s="119">
        <f t="shared" si="4"/>
        <v>0</v>
      </c>
      <c r="O49" s="119">
        <f t="shared" si="5"/>
        <v>0</v>
      </c>
    </row>
    <row r="50" spans="2:15" ht="17.25" customHeight="1" x14ac:dyDescent="0.25">
      <c r="B50" s="80" t="s">
        <v>100</v>
      </c>
      <c r="C50" s="81" t="s">
        <v>101</v>
      </c>
      <c r="D50" s="82"/>
      <c r="E50" s="230"/>
      <c r="F50" s="84">
        <v>0</v>
      </c>
      <c r="G50" s="89">
        <f t="shared" si="1"/>
        <v>0</v>
      </c>
      <c r="H50" s="118" t="str">
        <f t="array" ref="H50:K50">_xlfn.XLOOKUP(C50,'ESAP NEIVA FASE II UNIFICADO'!$C$6:$C$720,'ESAP NEIVA FASE II UNIFICADO'!$C$6:$F$720,"NO ESTA")</f>
        <v>SUMINISTRO E INSTALACION DE CIELOS RASOS PISO 1</v>
      </c>
      <c r="I50">
        <v>0</v>
      </c>
      <c r="J50">
        <v>0</v>
      </c>
      <c r="K50">
        <v>0</v>
      </c>
      <c r="L50">
        <f t="shared" si="2"/>
        <v>1</v>
      </c>
      <c r="M50">
        <f t="shared" si="3"/>
        <v>0</v>
      </c>
      <c r="N50" s="119">
        <f t="shared" si="4"/>
        <v>0</v>
      </c>
      <c r="O50" s="119">
        <f t="shared" si="5"/>
        <v>0</v>
      </c>
    </row>
    <row r="51" spans="2:15" ht="31.5" customHeight="1" x14ac:dyDescent="0.25">
      <c r="B51" s="86" t="s">
        <v>102</v>
      </c>
      <c r="C51" s="147" t="s">
        <v>103</v>
      </c>
      <c r="D51" s="82" t="s">
        <v>13</v>
      </c>
      <c r="E51" s="230">
        <v>59.86</v>
      </c>
      <c r="F51" s="88">
        <v>43820</v>
      </c>
      <c r="G51" s="89">
        <f t="shared" si="1"/>
        <v>2623065.2000000002</v>
      </c>
      <c r="H51" s="118" t="str">
        <f t="array" ref="H51:K51">_xlfn.XLOOKUP(C51,'ESAP NEIVA FASE II UNIFICADO'!$C$6:$C$720,'ESAP NEIVA FASE II UNIFICADO'!$C$6:$F$720,"NO ESTA")</f>
        <v>SUMINISTRO E INSTALACION CIELO RASO EN DRYWALL LAMINA VERDE RH  PINTADO A 3 MANOS PINTURA VINILO TIPO 1 o similar  BLANCA Ref. Planos 09512</v>
      </c>
      <c r="I51" t="str">
        <v>M2</v>
      </c>
      <c r="J51">
        <v>68.989999999999995</v>
      </c>
      <c r="K51">
        <v>52673</v>
      </c>
      <c r="L51">
        <f t="shared" si="2"/>
        <v>0</v>
      </c>
      <c r="M51">
        <f t="shared" si="3"/>
        <v>0</v>
      </c>
      <c r="N51" s="119">
        <f t="shared" si="4"/>
        <v>59.86</v>
      </c>
      <c r="O51" s="119">
        <f t="shared" si="5"/>
        <v>0</v>
      </c>
    </row>
    <row r="52" spans="2:15" ht="26.25" customHeight="1" x14ac:dyDescent="0.25">
      <c r="B52" s="86" t="s">
        <v>104</v>
      </c>
      <c r="C52" s="149" t="s">
        <v>105</v>
      </c>
      <c r="D52" s="82" t="s">
        <v>13</v>
      </c>
      <c r="E52" s="230">
        <v>388.43</v>
      </c>
      <c r="F52" s="88">
        <v>43820</v>
      </c>
      <c r="G52" s="89">
        <f t="shared" si="1"/>
        <v>17021002.600000001</v>
      </c>
      <c r="H52" s="118" t="str">
        <f t="array" ref="H52:K52">_xlfn.XLOOKUP(C52,'ESAP NEIVA FASE II UNIFICADO'!$C$6:$C$720,'ESAP NEIVA FASE II UNIFICADO'!$C$6:$F$720,"NO ESTA")</f>
        <v>SUMINISTRO E INSTALACION CIELO RASO EN DRYWALL LAMINA BLANCA PINTADO A 3 MANOS PINTURA VINILO TIPO 1  BLANCA Ref. Planos 09511</v>
      </c>
      <c r="I52" t="str">
        <v>M2</v>
      </c>
      <c r="J52">
        <v>0</v>
      </c>
      <c r="K52">
        <v>52673</v>
      </c>
      <c r="L52">
        <f t="shared" si="2"/>
        <v>1</v>
      </c>
      <c r="M52">
        <f t="shared" si="3"/>
        <v>43820</v>
      </c>
      <c r="N52" s="119">
        <f t="shared" si="4"/>
        <v>388.43</v>
      </c>
      <c r="O52" s="119">
        <f t="shared" si="5"/>
        <v>17021002.600000001</v>
      </c>
    </row>
    <row r="53" spans="2:15" ht="15.75" customHeight="1" x14ac:dyDescent="0.25">
      <c r="B53" s="74">
        <v>5</v>
      </c>
      <c r="C53" s="75" t="s">
        <v>106</v>
      </c>
      <c r="D53" s="76"/>
      <c r="E53" s="229"/>
      <c r="F53" s="78">
        <v>0</v>
      </c>
      <c r="G53" s="89">
        <f t="shared" si="1"/>
        <v>0</v>
      </c>
      <c r="H53" s="118" t="str">
        <f t="array" ref="H53:K53">_xlfn.XLOOKUP(C53,'ESAP NEIVA FASE II UNIFICADO'!$C$6:$C$720,'ESAP NEIVA FASE II UNIFICADO'!$C$6:$F$720,"NO ESTA")</f>
        <v>CONSTRUCCIÓN DE MUROS ARQUITECTONICOS</v>
      </c>
      <c r="I53">
        <v>0</v>
      </c>
      <c r="J53">
        <v>0</v>
      </c>
      <c r="K53">
        <v>0</v>
      </c>
      <c r="L53">
        <f t="shared" si="2"/>
        <v>1</v>
      </c>
      <c r="M53">
        <f t="shared" si="3"/>
        <v>0</v>
      </c>
      <c r="N53" s="119">
        <f t="shared" si="4"/>
        <v>0</v>
      </c>
      <c r="O53" s="119">
        <f t="shared" si="5"/>
        <v>0</v>
      </c>
    </row>
    <row r="54" spans="2:15" ht="15" customHeight="1" x14ac:dyDescent="0.25">
      <c r="B54" s="80" t="s">
        <v>107</v>
      </c>
      <c r="C54" s="81" t="s">
        <v>108</v>
      </c>
      <c r="D54" s="82"/>
      <c r="E54" s="230"/>
      <c r="F54" s="90">
        <v>0</v>
      </c>
      <c r="G54" s="89">
        <f t="shared" si="1"/>
        <v>0</v>
      </c>
      <c r="H54" s="118" t="str">
        <f t="array" ref="H54:K54">_xlfn.XLOOKUP(C54,'ESAP NEIVA FASE II UNIFICADO'!$C$6:$C$720,'ESAP NEIVA FASE II UNIFICADO'!$C$6:$F$720,"NO ESTA")</f>
        <v>CONSTRUCCIÓN MUROS ARQUITECTONICOS SEMISOTANO</v>
      </c>
      <c r="I54">
        <v>0</v>
      </c>
      <c r="J54">
        <v>0</v>
      </c>
      <c r="K54">
        <v>0</v>
      </c>
      <c r="L54">
        <f t="shared" si="2"/>
        <v>1</v>
      </c>
      <c r="M54">
        <f t="shared" si="3"/>
        <v>0</v>
      </c>
      <c r="N54" s="119">
        <f t="shared" si="4"/>
        <v>0</v>
      </c>
      <c r="O54" s="119">
        <f t="shared" si="5"/>
        <v>0</v>
      </c>
    </row>
    <row r="55" spans="2:15" ht="15" customHeight="1" x14ac:dyDescent="0.25">
      <c r="B55" s="86" t="s">
        <v>109</v>
      </c>
      <c r="C55" s="87" t="s">
        <v>110</v>
      </c>
      <c r="D55" s="82" t="s">
        <v>30</v>
      </c>
      <c r="E55" s="230">
        <v>0.73</v>
      </c>
      <c r="F55" s="88">
        <v>724119</v>
      </c>
      <c r="G55" s="89">
        <f t="shared" si="1"/>
        <v>528606.87</v>
      </c>
      <c r="H55" s="118" t="str">
        <f t="array" ref="H55:K55">_xlfn.XLOOKUP(C55,'ESAP NEIVA FASE II UNIFICADO'!$C$6:$C$720,'ESAP NEIVA FASE II UNIFICADO'!$C$6:$F$720,"NO ESTA")</f>
        <v>MURO EN CONCRETO DE 4000 PSI e=0.12 m Ver. Planos Tipo Muro M-1</v>
      </c>
      <c r="I55" t="str">
        <v>M3</v>
      </c>
      <c r="J55">
        <v>0</v>
      </c>
      <c r="K55">
        <v>821235</v>
      </c>
      <c r="L55">
        <f t="shared" si="2"/>
        <v>1</v>
      </c>
      <c r="M55">
        <f t="shared" si="3"/>
        <v>724119</v>
      </c>
      <c r="N55" s="119">
        <f t="shared" si="4"/>
        <v>0.73</v>
      </c>
      <c r="O55" s="119">
        <f t="shared" si="5"/>
        <v>528606.87</v>
      </c>
    </row>
    <row r="56" spans="2:15" ht="15" customHeight="1" x14ac:dyDescent="0.25">
      <c r="B56" s="86" t="s">
        <v>111</v>
      </c>
      <c r="C56" s="87" t="s">
        <v>112</v>
      </c>
      <c r="D56" s="82" t="s">
        <v>30</v>
      </c>
      <c r="E56" s="230">
        <v>11.33</v>
      </c>
      <c r="F56" s="88">
        <v>724119</v>
      </c>
      <c r="G56" s="89">
        <f t="shared" si="1"/>
        <v>8204268.2699999996</v>
      </c>
      <c r="H56" s="118" t="str">
        <f t="array" ref="H56:K56">_xlfn.XLOOKUP(C56,'ESAP NEIVA FASE II UNIFICADO'!$C$6:$C$720,'ESAP NEIVA FASE II UNIFICADO'!$C$6:$F$720,"NO ESTA")</f>
        <v>MURO EN CONCRETO DE 4000 PSI e=0.15 m Ver. Planos Tipo Muro M-2</v>
      </c>
      <c r="I56" t="str">
        <v>M3</v>
      </c>
      <c r="J56">
        <v>11.33</v>
      </c>
      <c r="K56">
        <v>821235</v>
      </c>
      <c r="L56">
        <f t="shared" si="2"/>
        <v>0</v>
      </c>
      <c r="M56">
        <f t="shared" si="3"/>
        <v>0</v>
      </c>
      <c r="N56" s="119">
        <f t="shared" si="4"/>
        <v>11.33</v>
      </c>
      <c r="O56" s="119">
        <f t="shared" si="5"/>
        <v>0</v>
      </c>
    </row>
    <row r="57" spans="2:15" ht="15" customHeight="1" x14ac:dyDescent="0.25">
      <c r="B57" s="86" t="s">
        <v>113</v>
      </c>
      <c r="C57" s="87" t="s">
        <v>114</v>
      </c>
      <c r="D57" s="82" t="s">
        <v>30</v>
      </c>
      <c r="E57" s="230">
        <v>95.6</v>
      </c>
      <c r="F57" s="88">
        <v>724119</v>
      </c>
      <c r="G57" s="89">
        <f t="shared" si="1"/>
        <v>69225776.400000006</v>
      </c>
      <c r="H57" s="118" t="str">
        <f t="array" ref="H57:K57">_xlfn.XLOOKUP(C57,'ESAP NEIVA FASE II UNIFICADO'!$C$6:$C$720,'ESAP NEIVA FASE II UNIFICADO'!$C$6:$F$720,"NO ESTA")</f>
        <v>MURO EN CONCRETO DE 4000 PSI e=0.25 m Ver. Planos Tipo Muro M-3</v>
      </c>
      <c r="I57" t="str">
        <v>M3</v>
      </c>
      <c r="J57">
        <v>95.594999999999999</v>
      </c>
      <c r="K57">
        <v>821235</v>
      </c>
      <c r="L57">
        <f t="shared" si="2"/>
        <v>0</v>
      </c>
      <c r="M57">
        <f t="shared" si="3"/>
        <v>0</v>
      </c>
      <c r="N57" s="119">
        <f t="shared" si="4"/>
        <v>95.6</v>
      </c>
      <c r="O57" s="119">
        <f t="shared" si="5"/>
        <v>0</v>
      </c>
    </row>
    <row r="58" spans="2:15" ht="15" customHeight="1" x14ac:dyDescent="0.25">
      <c r="B58" s="86" t="s">
        <v>115</v>
      </c>
      <c r="C58" s="87" t="s">
        <v>116</v>
      </c>
      <c r="D58" s="82" t="s">
        <v>30</v>
      </c>
      <c r="E58" s="230">
        <v>20.12</v>
      </c>
      <c r="F58" s="88">
        <v>724119</v>
      </c>
      <c r="G58" s="89">
        <f t="shared" si="1"/>
        <v>14569274.279999999</v>
      </c>
      <c r="H58" s="118" t="str">
        <f t="array" ref="H58:K58">_xlfn.XLOOKUP(C58,'ESAP NEIVA FASE II UNIFICADO'!$C$6:$C$720,'ESAP NEIVA FASE II UNIFICADO'!$C$6:$F$720,"NO ESTA")</f>
        <v>MURO EN CONCRETO DE 4000 PSI e=0.30 m Ver. Planos Tipo Muro M-4</v>
      </c>
      <c r="I58" t="str">
        <v>M3</v>
      </c>
      <c r="J58">
        <v>20.12</v>
      </c>
      <c r="K58">
        <v>821235</v>
      </c>
      <c r="L58">
        <f t="shared" si="2"/>
        <v>0</v>
      </c>
      <c r="M58">
        <f t="shared" si="3"/>
        <v>0</v>
      </c>
      <c r="N58" s="119">
        <f t="shared" si="4"/>
        <v>20.12</v>
      </c>
      <c r="O58" s="119">
        <f t="shared" si="5"/>
        <v>0</v>
      </c>
    </row>
    <row r="59" spans="2:15" ht="15" customHeight="1" x14ac:dyDescent="0.25">
      <c r="B59" s="86" t="s">
        <v>117</v>
      </c>
      <c r="C59" s="87" t="s">
        <v>118</v>
      </c>
      <c r="D59" s="82" t="s">
        <v>30</v>
      </c>
      <c r="E59" s="230">
        <v>80.489999999999995</v>
      </c>
      <c r="F59" s="88">
        <v>724119</v>
      </c>
      <c r="G59" s="89">
        <f t="shared" si="1"/>
        <v>58284338.310000002</v>
      </c>
      <c r="H59" s="118" t="str">
        <f t="array" ref="H59:K59">_xlfn.XLOOKUP(C59,'ESAP NEIVA FASE II UNIFICADO'!$C$6:$C$720,'ESAP NEIVA FASE II UNIFICADO'!$C$6:$F$720,"NO ESTA")</f>
        <v>MURO EN CONCRETO DE 4000 PSI e=0.40 m Ver. Planos Tipo Muro M-5</v>
      </c>
      <c r="I59" t="str">
        <v>M3</v>
      </c>
      <c r="J59">
        <v>80.484999999999999</v>
      </c>
      <c r="K59">
        <v>821235</v>
      </c>
      <c r="L59">
        <f t="shared" si="2"/>
        <v>0</v>
      </c>
      <c r="M59">
        <f t="shared" si="3"/>
        <v>0</v>
      </c>
      <c r="N59" s="119">
        <f t="shared" si="4"/>
        <v>80.489999999999995</v>
      </c>
      <c r="O59" s="119">
        <f t="shared" si="5"/>
        <v>0</v>
      </c>
    </row>
    <row r="60" spans="2:15" ht="15" customHeight="1" x14ac:dyDescent="0.25">
      <c r="B60" s="86" t="s">
        <v>119</v>
      </c>
      <c r="C60" s="87" t="s">
        <v>120</v>
      </c>
      <c r="D60" s="82" t="s">
        <v>13</v>
      </c>
      <c r="E60" s="230">
        <v>79.69</v>
      </c>
      <c r="F60" s="88">
        <v>153751</v>
      </c>
      <c r="G60" s="89">
        <f t="shared" si="1"/>
        <v>12252417.189999999</v>
      </c>
      <c r="H60" s="118" t="str">
        <f t="array" ref="H60:K60">_xlfn.XLOOKUP(C60,'ESAP NEIVA FASE II UNIFICADO'!$C$6:$C$720,'ESAP NEIVA FASE II UNIFICADO'!$C$6:$F$720,"NO ESTA")</f>
        <v>MURO EN LADRILLO GRAN FORMATO e= 0.12 m Ref. Tierra Ver. Planos Tipo Muro M-6</v>
      </c>
      <c r="I60" t="str">
        <v>M2</v>
      </c>
      <c r="J60">
        <v>79.69</v>
      </c>
      <c r="K60">
        <v>141317</v>
      </c>
      <c r="L60">
        <f t="shared" si="2"/>
        <v>0</v>
      </c>
      <c r="M60">
        <f t="shared" si="3"/>
        <v>0</v>
      </c>
      <c r="N60" s="119">
        <f t="shared" si="4"/>
        <v>79.69</v>
      </c>
      <c r="O60" s="119">
        <f t="shared" si="5"/>
        <v>0</v>
      </c>
    </row>
    <row r="61" spans="2:15" ht="15" customHeight="1" x14ac:dyDescent="0.25">
      <c r="B61" s="86" t="s">
        <v>121</v>
      </c>
      <c r="C61" s="87" t="s">
        <v>122</v>
      </c>
      <c r="D61" s="82" t="s">
        <v>13</v>
      </c>
      <c r="E61" s="230">
        <v>21.32</v>
      </c>
      <c r="F61" s="88">
        <v>307503</v>
      </c>
      <c r="G61" s="89">
        <f t="shared" si="1"/>
        <v>6555963.96</v>
      </c>
      <c r="H61" s="118" t="str">
        <f t="array" ref="H61:K61">_xlfn.XLOOKUP(C61,'ESAP NEIVA FASE II UNIFICADO'!$C$6:$C$720,'ESAP NEIVA FASE II UNIFICADO'!$C$6:$F$720,"NO ESTA")</f>
        <v xml:space="preserve">MURO EN LADRILLO GRAN FORMATO e= 0.25 m Ref. Tierra Ver. Planos Tipo Muro M-7 </v>
      </c>
      <c r="I61" t="str">
        <v>M2</v>
      </c>
      <c r="J61">
        <v>21.32</v>
      </c>
      <c r="K61">
        <v>186538</v>
      </c>
      <c r="L61">
        <f t="shared" si="2"/>
        <v>0</v>
      </c>
      <c r="M61">
        <f t="shared" si="3"/>
        <v>0</v>
      </c>
      <c r="N61" s="119">
        <f t="shared" si="4"/>
        <v>21.32</v>
      </c>
      <c r="O61" s="119">
        <f t="shared" si="5"/>
        <v>0</v>
      </c>
    </row>
    <row r="62" spans="2:15" ht="15" customHeight="1" x14ac:dyDescent="0.25">
      <c r="B62" s="97" t="s">
        <v>123</v>
      </c>
      <c r="C62" s="98" t="s">
        <v>124</v>
      </c>
      <c r="D62" s="82"/>
      <c r="E62" s="230"/>
      <c r="F62" s="90">
        <v>0</v>
      </c>
      <c r="G62" s="89">
        <f t="shared" si="1"/>
        <v>0</v>
      </c>
      <c r="H62" s="118" t="str">
        <f t="array" ref="H62:K62">_xlfn.XLOOKUP(C62,'ESAP NEIVA FASE II UNIFICADO'!$C$6:$C$720,'ESAP NEIVA FASE II UNIFICADO'!$C$6:$F$720,"NO ESTA")</f>
        <v>CONSTRUCCIÓN MUROS ARQUITECTONICOS EXTERIORES</v>
      </c>
      <c r="I62">
        <v>0</v>
      </c>
      <c r="J62">
        <v>0</v>
      </c>
      <c r="K62">
        <v>0</v>
      </c>
      <c r="L62">
        <f t="shared" si="2"/>
        <v>1</v>
      </c>
      <c r="M62">
        <f t="shared" si="3"/>
        <v>0</v>
      </c>
      <c r="N62" s="119">
        <f t="shared" si="4"/>
        <v>0</v>
      </c>
      <c r="O62" s="119">
        <f t="shared" si="5"/>
        <v>0</v>
      </c>
    </row>
    <row r="63" spans="2:15" ht="15" customHeight="1" x14ac:dyDescent="0.25">
      <c r="B63" s="86" t="s">
        <v>125</v>
      </c>
      <c r="C63" s="87" t="s">
        <v>112</v>
      </c>
      <c r="D63" s="82" t="s">
        <v>30</v>
      </c>
      <c r="E63" s="230">
        <v>0.17</v>
      </c>
      <c r="F63" s="88">
        <v>724119</v>
      </c>
      <c r="G63" s="89">
        <f t="shared" si="1"/>
        <v>123100.23</v>
      </c>
      <c r="H63" s="118" t="str">
        <f t="array" ref="H63:K63">_xlfn.XLOOKUP(C63,'ESAP NEIVA FASE II UNIFICADO'!$C$6:$C$720,'ESAP NEIVA FASE II UNIFICADO'!$C$6:$F$720,"NO ESTA")</f>
        <v>MURO EN CONCRETO DE 4000 PSI e=0.15 m Ver. Planos Tipo Muro M-2</v>
      </c>
      <c r="I63" t="str">
        <v>M3</v>
      </c>
      <c r="J63">
        <v>11.33</v>
      </c>
      <c r="K63">
        <v>821235</v>
      </c>
      <c r="L63">
        <f t="shared" si="2"/>
        <v>0</v>
      </c>
      <c r="M63">
        <f t="shared" si="3"/>
        <v>0</v>
      </c>
      <c r="N63" s="119">
        <f t="shared" si="4"/>
        <v>0.17</v>
      </c>
      <c r="O63" s="119">
        <f t="shared" si="5"/>
        <v>0</v>
      </c>
    </row>
    <row r="64" spans="2:15" ht="15" customHeight="1" x14ac:dyDescent="0.25">
      <c r="B64" s="86" t="s">
        <v>126</v>
      </c>
      <c r="C64" s="87" t="s">
        <v>114</v>
      </c>
      <c r="D64" s="82" t="s">
        <v>30</v>
      </c>
      <c r="E64" s="230">
        <v>56.08</v>
      </c>
      <c r="F64" s="88">
        <v>724119</v>
      </c>
      <c r="G64" s="89">
        <f t="shared" si="1"/>
        <v>40608593.520000003</v>
      </c>
      <c r="H64" s="118" t="str">
        <f t="array" ref="H64:K64">_xlfn.XLOOKUP(C64,'ESAP NEIVA FASE II UNIFICADO'!$C$6:$C$720,'ESAP NEIVA FASE II UNIFICADO'!$C$6:$F$720,"NO ESTA")</f>
        <v>MURO EN CONCRETO DE 4000 PSI e=0.25 m Ver. Planos Tipo Muro M-3</v>
      </c>
      <c r="I64" t="str">
        <v>M3</v>
      </c>
      <c r="J64">
        <v>95.594999999999999</v>
      </c>
      <c r="K64">
        <v>821235</v>
      </c>
      <c r="L64">
        <f t="shared" si="2"/>
        <v>0</v>
      </c>
      <c r="M64">
        <f t="shared" si="3"/>
        <v>0</v>
      </c>
      <c r="N64" s="119">
        <f t="shared" si="4"/>
        <v>56.08</v>
      </c>
      <c r="O64" s="119">
        <f t="shared" si="5"/>
        <v>0</v>
      </c>
    </row>
    <row r="65" spans="2:15" ht="15" customHeight="1" x14ac:dyDescent="0.25">
      <c r="B65" s="80" t="s">
        <v>127</v>
      </c>
      <c r="C65" s="81" t="s">
        <v>128</v>
      </c>
      <c r="D65" s="82"/>
      <c r="E65" s="230"/>
      <c r="F65" s="90">
        <v>0</v>
      </c>
      <c r="G65" s="89">
        <f t="shared" si="1"/>
        <v>0</v>
      </c>
      <c r="H65" s="118" t="str">
        <f t="array" ref="H65:K65">_xlfn.XLOOKUP(C65,'ESAP NEIVA FASE II UNIFICADO'!$C$6:$C$720,'ESAP NEIVA FASE II UNIFICADO'!$C$6:$F$720,"NO ESTA")</f>
        <v>CONSTRUCCIÓN MUROS ARQUITECTONICOS PISO 1</v>
      </c>
      <c r="I65">
        <v>0</v>
      </c>
      <c r="J65">
        <v>0</v>
      </c>
      <c r="K65">
        <v>0</v>
      </c>
      <c r="L65">
        <f t="shared" si="2"/>
        <v>1</v>
      </c>
      <c r="M65">
        <f t="shared" si="3"/>
        <v>0</v>
      </c>
      <c r="N65" s="119">
        <f t="shared" si="4"/>
        <v>0</v>
      </c>
      <c r="O65" s="119">
        <f t="shared" si="5"/>
        <v>0</v>
      </c>
    </row>
    <row r="66" spans="2:15" ht="15" customHeight="1" x14ac:dyDescent="0.25">
      <c r="B66" s="86" t="s">
        <v>129</v>
      </c>
      <c r="C66" s="87" t="s">
        <v>130</v>
      </c>
      <c r="D66" s="82" t="s">
        <v>13</v>
      </c>
      <c r="E66" s="230">
        <v>91.92</v>
      </c>
      <c r="F66" s="88">
        <v>110927</v>
      </c>
      <c r="G66" s="89">
        <f t="shared" si="1"/>
        <v>10196409.84</v>
      </c>
      <c r="H66" s="118" t="str">
        <f t="array" ref="H66:K66">_xlfn.XLOOKUP(C66,'ESAP NEIVA FASE II UNIFICADO'!$C$6:$C$720,'ESAP NEIVA FASE II UNIFICADO'!$C$6:$F$720,"NO ESTA")</f>
        <v>ENCHAPE DE MURO BAÑOS PORCELANATO GRIS 30*40CM</v>
      </c>
      <c r="I66" t="str">
        <v>M2</v>
      </c>
      <c r="J66">
        <v>91.915000000000006</v>
      </c>
      <c r="K66">
        <v>102358</v>
      </c>
      <c r="L66">
        <f t="shared" si="2"/>
        <v>0</v>
      </c>
      <c r="M66">
        <f t="shared" si="3"/>
        <v>0</v>
      </c>
      <c r="N66" s="119">
        <f t="shared" si="4"/>
        <v>91.92</v>
      </c>
      <c r="O66" s="119">
        <f t="shared" si="5"/>
        <v>0</v>
      </c>
    </row>
    <row r="67" spans="2:15" ht="15" customHeight="1" x14ac:dyDescent="0.25">
      <c r="B67" s="86" t="s">
        <v>131</v>
      </c>
      <c r="C67" s="87" t="s">
        <v>112</v>
      </c>
      <c r="D67" s="82" t="s">
        <v>30</v>
      </c>
      <c r="E67" s="230">
        <v>29.67</v>
      </c>
      <c r="F67" s="88">
        <v>724119</v>
      </c>
      <c r="G67" s="89">
        <f t="shared" si="1"/>
        <v>21484610.73</v>
      </c>
      <c r="H67" s="118" t="str">
        <f t="array" ref="H67:K67">_xlfn.XLOOKUP(C67,'ESAP NEIVA FASE II UNIFICADO'!$C$6:$C$720,'ESAP NEIVA FASE II UNIFICADO'!$C$6:$F$720,"NO ESTA")</f>
        <v>MURO EN CONCRETO DE 4000 PSI e=0.15 m Ver. Planos Tipo Muro M-2</v>
      </c>
      <c r="I67" t="str">
        <v>M3</v>
      </c>
      <c r="J67">
        <v>11.33</v>
      </c>
      <c r="K67">
        <v>821235</v>
      </c>
      <c r="L67">
        <f t="shared" si="2"/>
        <v>0</v>
      </c>
      <c r="M67">
        <f t="shared" si="3"/>
        <v>0</v>
      </c>
      <c r="N67" s="119">
        <f t="shared" si="4"/>
        <v>29.67</v>
      </c>
      <c r="O67" s="119">
        <f t="shared" si="5"/>
        <v>0</v>
      </c>
    </row>
    <row r="68" spans="2:15" ht="15" customHeight="1" x14ac:dyDescent="0.25">
      <c r="B68" s="86" t="s">
        <v>132</v>
      </c>
      <c r="C68" s="87" t="s">
        <v>114</v>
      </c>
      <c r="D68" s="82" t="s">
        <v>30</v>
      </c>
      <c r="E68" s="230">
        <v>8.76</v>
      </c>
      <c r="F68" s="88">
        <v>724119</v>
      </c>
      <c r="G68" s="89">
        <f t="shared" si="1"/>
        <v>6343282.4400000004</v>
      </c>
      <c r="H68" s="118" t="str">
        <f t="array" ref="H68:K68">_xlfn.XLOOKUP(C68,'ESAP NEIVA FASE II UNIFICADO'!$C$6:$C$720,'ESAP NEIVA FASE II UNIFICADO'!$C$6:$F$720,"NO ESTA")</f>
        <v>MURO EN CONCRETO DE 4000 PSI e=0.25 m Ver. Planos Tipo Muro M-3</v>
      </c>
      <c r="I68" t="str">
        <v>M3</v>
      </c>
      <c r="J68">
        <v>95.594999999999999</v>
      </c>
      <c r="K68">
        <v>821235</v>
      </c>
      <c r="L68">
        <f t="shared" si="2"/>
        <v>0</v>
      </c>
      <c r="M68">
        <f t="shared" si="3"/>
        <v>0</v>
      </c>
      <c r="N68" s="119">
        <f t="shared" si="4"/>
        <v>8.76</v>
      </c>
      <c r="O68" s="119">
        <f t="shared" si="5"/>
        <v>0</v>
      </c>
    </row>
    <row r="69" spans="2:15" ht="15" customHeight="1" x14ac:dyDescent="0.25">
      <c r="B69" s="86" t="s">
        <v>133</v>
      </c>
      <c r="C69" s="87" t="s">
        <v>118</v>
      </c>
      <c r="D69" s="82" t="s">
        <v>134</v>
      </c>
      <c r="E69" s="230">
        <v>54.4</v>
      </c>
      <c r="F69" s="88">
        <v>724119</v>
      </c>
      <c r="G69" s="89">
        <f t="shared" si="1"/>
        <v>39392073.600000001</v>
      </c>
      <c r="H69" s="118" t="str">
        <f t="array" ref="H69:K69">_xlfn.XLOOKUP(C69,'ESAP NEIVA FASE II UNIFICADO'!$C$6:$C$720,'ESAP NEIVA FASE II UNIFICADO'!$C$6:$F$720,"NO ESTA")</f>
        <v>MURO EN CONCRETO DE 4000 PSI e=0.40 m Ver. Planos Tipo Muro M-5</v>
      </c>
      <c r="I69" t="str">
        <v>M3</v>
      </c>
      <c r="J69">
        <v>80.484999999999999</v>
      </c>
      <c r="K69">
        <v>821235</v>
      </c>
      <c r="L69">
        <f t="shared" si="2"/>
        <v>0</v>
      </c>
      <c r="M69">
        <f t="shared" si="3"/>
        <v>0</v>
      </c>
      <c r="N69" s="119">
        <f t="shared" si="4"/>
        <v>54.4</v>
      </c>
      <c r="O69" s="119">
        <f t="shared" si="5"/>
        <v>0</v>
      </c>
    </row>
    <row r="70" spans="2:15" ht="23.45" customHeight="1" x14ac:dyDescent="0.25">
      <c r="B70" s="86" t="s">
        <v>135</v>
      </c>
      <c r="C70" s="87" t="s">
        <v>120</v>
      </c>
      <c r="D70" s="82" t="s">
        <v>13</v>
      </c>
      <c r="E70" s="230">
        <v>204.57</v>
      </c>
      <c r="F70" s="88">
        <v>153751</v>
      </c>
      <c r="G70" s="89">
        <f t="shared" si="1"/>
        <v>31452842.07</v>
      </c>
      <c r="H70" s="118" t="str">
        <f t="array" ref="H70:K70">_xlfn.XLOOKUP(C70,'ESAP NEIVA FASE II UNIFICADO'!$C$6:$C$720,'ESAP NEIVA FASE II UNIFICADO'!$C$6:$F$720,"NO ESTA")</f>
        <v>MURO EN LADRILLO GRAN FORMATO e= 0.12 m Ref. Tierra Ver. Planos Tipo Muro M-6</v>
      </c>
      <c r="I70" t="str">
        <v>M2</v>
      </c>
      <c r="J70">
        <v>79.69</v>
      </c>
      <c r="K70">
        <v>141317</v>
      </c>
      <c r="L70">
        <f t="shared" si="2"/>
        <v>0</v>
      </c>
      <c r="M70">
        <f t="shared" si="3"/>
        <v>0</v>
      </c>
      <c r="N70" s="119">
        <f t="shared" si="4"/>
        <v>204.57</v>
      </c>
      <c r="O70" s="119">
        <f t="shared" si="5"/>
        <v>0</v>
      </c>
    </row>
    <row r="71" spans="2:15" ht="31.15" customHeight="1" x14ac:dyDescent="0.25">
      <c r="B71" s="86" t="s">
        <v>136</v>
      </c>
      <c r="C71" s="87" t="s">
        <v>122</v>
      </c>
      <c r="D71" s="82" t="s">
        <v>13</v>
      </c>
      <c r="E71" s="230">
        <v>76.38</v>
      </c>
      <c r="F71" s="88">
        <v>307503</v>
      </c>
      <c r="G71" s="89">
        <f t="shared" ref="G71:G134" si="6">ROUND(+F71*E71,2)</f>
        <v>23487079.140000001</v>
      </c>
      <c r="H71" s="118" t="str">
        <f t="array" ref="H71:K71">_xlfn.XLOOKUP(C71,'ESAP NEIVA FASE II UNIFICADO'!$C$6:$C$720,'ESAP NEIVA FASE II UNIFICADO'!$C$6:$F$720,"NO ESTA")</f>
        <v xml:space="preserve">MURO EN LADRILLO GRAN FORMATO e= 0.25 m Ref. Tierra Ver. Planos Tipo Muro M-7 </v>
      </c>
      <c r="I71" t="str">
        <v>M2</v>
      </c>
      <c r="J71">
        <v>21.32</v>
      </c>
      <c r="K71">
        <v>186538</v>
      </c>
      <c r="L71">
        <f t="shared" si="2"/>
        <v>0</v>
      </c>
      <c r="M71">
        <f t="shared" si="3"/>
        <v>0</v>
      </c>
      <c r="N71" s="119">
        <f t="shared" si="4"/>
        <v>76.38</v>
      </c>
      <c r="O71" s="119">
        <f t="shared" si="5"/>
        <v>0</v>
      </c>
    </row>
    <row r="72" spans="2:15" ht="15" customHeight="1" x14ac:dyDescent="0.25">
      <c r="B72" s="80" t="s">
        <v>137</v>
      </c>
      <c r="C72" s="81" t="s">
        <v>138</v>
      </c>
      <c r="D72" s="82"/>
      <c r="E72" s="230"/>
      <c r="F72" s="90">
        <v>0</v>
      </c>
      <c r="G72" s="89">
        <f t="shared" si="6"/>
        <v>0</v>
      </c>
      <c r="H72" s="118" t="str">
        <f t="array" ref="H72:K72">_xlfn.XLOOKUP(C72,'ESAP NEIVA FASE II UNIFICADO'!$C$6:$C$720,'ESAP NEIVA FASE II UNIFICADO'!$C$6:$F$720,"NO ESTA")</f>
        <v>CONSTRUCCIÓN MUROS ARQUITECTONICOS PISO 2</v>
      </c>
      <c r="I72">
        <v>0</v>
      </c>
      <c r="J72">
        <v>0</v>
      </c>
      <c r="K72">
        <v>0</v>
      </c>
      <c r="L72">
        <f t="shared" si="2"/>
        <v>1</v>
      </c>
      <c r="M72">
        <f t="shared" si="3"/>
        <v>0</v>
      </c>
      <c r="N72" s="119">
        <f t="shared" si="4"/>
        <v>0</v>
      </c>
      <c r="O72" s="119">
        <f t="shared" si="5"/>
        <v>0</v>
      </c>
    </row>
    <row r="73" spans="2:15" ht="15" customHeight="1" x14ac:dyDescent="0.25">
      <c r="B73" s="86" t="s">
        <v>139</v>
      </c>
      <c r="C73" s="87" t="s">
        <v>130</v>
      </c>
      <c r="D73" s="82" t="s">
        <v>13</v>
      </c>
      <c r="E73" s="230">
        <v>89.61</v>
      </c>
      <c r="F73" s="88">
        <v>110927</v>
      </c>
      <c r="G73" s="89">
        <f t="shared" si="6"/>
        <v>9940168.4700000007</v>
      </c>
      <c r="H73" s="118" t="str">
        <f t="array" ref="H73:K73">_xlfn.XLOOKUP(C73,'ESAP NEIVA FASE II UNIFICADO'!$C$6:$C$720,'ESAP NEIVA FASE II UNIFICADO'!$C$6:$F$720,"NO ESTA")</f>
        <v>ENCHAPE DE MURO BAÑOS PORCELANATO GRIS 30*40CM</v>
      </c>
      <c r="I73" t="str">
        <v>M2</v>
      </c>
      <c r="J73">
        <v>91.915000000000006</v>
      </c>
      <c r="K73">
        <v>102358</v>
      </c>
      <c r="L73">
        <f t="shared" si="2"/>
        <v>0</v>
      </c>
      <c r="M73">
        <f t="shared" si="3"/>
        <v>0</v>
      </c>
      <c r="N73" s="119">
        <f t="shared" si="4"/>
        <v>89.61</v>
      </c>
      <c r="O73" s="119">
        <f t="shared" si="5"/>
        <v>0</v>
      </c>
    </row>
    <row r="74" spans="2:15" ht="15" customHeight="1" x14ac:dyDescent="0.25">
      <c r="B74" s="86" t="s">
        <v>140</v>
      </c>
      <c r="C74" s="87" t="s">
        <v>110</v>
      </c>
      <c r="D74" s="82" t="s">
        <v>30</v>
      </c>
      <c r="E74" s="230">
        <v>1.1299999999999999</v>
      </c>
      <c r="F74" s="88">
        <v>724119</v>
      </c>
      <c r="G74" s="89">
        <f t="shared" si="6"/>
        <v>818254.47</v>
      </c>
      <c r="H74" s="118" t="str">
        <f t="array" ref="H74:K74">_xlfn.XLOOKUP(C74,'ESAP NEIVA FASE II UNIFICADO'!$C$6:$C$720,'ESAP NEIVA FASE II UNIFICADO'!$C$6:$F$720,"NO ESTA")</f>
        <v>MURO EN CONCRETO DE 4000 PSI e=0.12 m Ver. Planos Tipo Muro M-1</v>
      </c>
      <c r="I74" t="str">
        <v>M3</v>
      </c>
      <c r="J74">
        <v>0</v>
      </c>
      <c r="K74">
        <v>821235</v>
      </c>
      <c r="L74">
        <f t="shared" ref="L74:L137" si="7">+IF(J74&gt;0,0,1)</f>
        <v>1</v>
      </c>
      <c r="M74">
        <f t="shared" ref="M74:M137" si="8">IF(L74=1,F74,0)</f>
        <v>724119</v>
      </c>
      <c r="N74" s="119">
        <f t="shared" ref="N74:N137" si="9">E74</f>
        <v>1.1299999999999999</v>
      </c>
      <c r="O74" s="119">
        <f t="shared" si="5"/>
        <v>818254.47</v>
      </c>
    </row>
    <row r="75" spans="2:15" ht="15" customHeight="1" x14ac:dyDescent="0.25">
      <c r="B75" s="86" t="s">
        <v>141</v>
      </c>
      <c r="C75" s="87" t="s">
        <v>112</v>
      </c>
      <c r="D75" s="82" t="s">
        <v>30</v>
      </c>
      <c r="E75" s="230">
        <v>31.71</v>
      </c>
      <c r="F75" s="88">
        <v>724119</v>
      </c>
      <c r="G75" s="89">
        <f t="shared" si="6"/>
        <v>22961813.489999998</v>
      </c>
      <c r="H75" s="118" t="str">
        <f t="array" ref="H75:K75">_xlfn.XLOOKUP(C75,'ESAP NEIVA FASE II UNIFICADO'!$C$6:$C$720,'ESAP NEIVA FASE II UNIFICADO'!$C$6:$F$720,"NO ESTA")</f>
        <v>MURO EN CONCRETO DE 4000 PSI e=0.15 m Ver. Planos Tipo Muro M-2</v>
      </c>
      <c r="I75" t="str">
        <v>M3</v>
      </c>
      <c r="J75">
        <v>11.33</v>
      </c>
      <c r="K75">
        <v>821235</v>
      </c>
      <c r="L75">
        <f t="shared" si="7"/>
        <v>0</v>
      </c>
      <c r="M75">
        <f t="shared" si="8"/>
        <v>0</v>
      </c>
      <c r="N75" s="119">
        <f t="shared" si="9"/>
        <v>31.71</v>
      </c>
      <c r="O75" s="119">
        <f t="shared" si="5"/>
        <v>0</v>
      </c>
    </row>
    <row r="76" spans="2:15" ht="15" customHeight="1" x14ac:dyDescent="0.25">
      <c r="B76" s="86" t="s">
        <v>142</v>
      </c>
      <c r="C76" s="87" t="s">
        <v>114</v>
      </c>
      <c r="D76" s="82" t="s">
        <v>30</v>
      </c>
      <c r="E76" s="230">
        <v>77.67</v>
      </c>
      <c r="F76" s="88">
        <v>724119</v>
      </c>
      <c r="G76" s="89">
        <f t="shared" si="6"/>
        <v>56242322.729999997</v>
      </c>
      <c r="H76" s="118" t="str">
        <f t="array" ref="H76:K76">_xlfn.XLOOKUP(C76,'ESAP NEIVA FASE II UNIFICADO'!$C$6:$C$720,'ESAP NEIVA FASE II UNIFICADO'!$C$6:$F$720,"NO ESTA")</f>
        <v>MURO EN CONCRETO DE 4000 PSI e=0.25 m Ver. Planos Tipo Muro M-3</v>
      </c>
      <c r="I76" t="str">
        <v>M3</v>
      </c>
      <c r="J76">
        <v>95.594999999999999</v>
      </c>
      <c r="K76">
        <v>821235</v>
      </c>
      <c r="L76">
        <f t="shared" si="7"/>
        <v>0</v>
      </c>
      <c r="M76">
        <f t="shared" si="8"/>
        <v>0</v>
      </c>
      <c r="N76" s="119">
        <f t="shared" si="9"/>
        <v>77.67</v>
      </c>
      <c r="O76" s="119">
        <f t="shared" ref="O76:O139" si="10">ROUND(M76*N76,2)</f>
        <v>0</v>
      </c>
    </row>
    <row r="77" spans="2:15" ht="15" customHeight="1" x14ac:dyDescent="0.25">
      <c r="B77" s="86" t="s">
        <v>143</v>
      </c>
      <c r="C77" s="87" t="s">
        <v>120</v>
      </c>
      <c r="D77" s="82" t="s">
        <v>13</v>
      </c>
      <c r="E77" s="230">
        <v>139.68</v>
      </c>
      <c r="F77" s="88">
        <v>153751</v>
      </c>
      <c r="G77" s="89">
        <f t="shared" si="6"/>
        <v>21475939.68</v>
      </c>
      <c r="H77" s="118" t="str">
        <f t="array" ref="H77:K77">_xlfn.XLOOKUP(C77,'ESAP NEIVA FASE II UNIFICADO'!$C$6:$C$720,'ESAP NEIVA FASE II UNIFICADO'!$C$6:$F$720,"NO ESTA")</f>
        <v>MURO EN LADRILLO GRAN FORMATO e= 0.12 m Ref. Tierra Ver. Planos Tipo Muro M-6</v>
      </c>
      <c r="I77" t="str">
        <v>M2</v>
      </c>
      <c r="J77">
        <v>79.69</v>
      </c>
      <c r="K77">
        <v>141317</v>
      </c>
      <c r="L77">
        <f t="shared" si="7"/>
        <v>0</v>
      </c>
      <c r="M77">
        <f t="shared" si="8"/>
        <v>0</v>
      </c>
      <c r="N77" s="119">
        <f t="shared" si="9"/>
        <v>139.68</v>
      </c>
      <c r="O77" s="119">
        <f t="shared" si="10"/>
        <v>0</v>
      </c>
    </row>
    <row r="78" spans="2:15" ht="15" customHeight="1" x14ac:dyDescent="0.25">
      <c r="B78" s="86" t="s">
        <v>144</v>
      </c>
      <c r="C78" s="87" t="s">
        <v>122</v>
      </c>
      <c r="D78" s="82" t="s">
        <v>13</v>
      </c>
      <c r="E78" s="230">
        <v>124.47</v>
      </c>
      <c r="F78" s="88">
        <v>307503</v>
      </c>
      <c r="G78" s="89">
        <f t="shared" si="6"/>
        <v>38274898.409999996</v>
      </c>
      <c r="H78" s="118" t="str">
        <f t="array" ref="H78:K78">_xlfn.XLOOKUP(C78,'ESAP NEIVA FASE II UNIFICADO'!$C$6:$C$720,'ESAP NEIVA FASE II UNIFICADO'!$C$6:$F$720,"NO ESTA")</f>
        <v xml:space="preserve">MURO EN LADRILLO GRAN FORMATO e= 0.25 m Ref. Tierra Ver. Planos Tipo Muro M-7 </v>
      </c>
      <c r="I78" t="str">
        <v>M2</v>
      </c>
      <c r="J78">
        <v>21.32</v>
      </c>
      <c r="K78">
        <v>186538</v>
      </c>
      <c r="L78">
        <f t="shared" si="7"/>
        <v>0</v>
      </c>
      <c r="M78">
        <f t="shared" si="8"/>
        <v>0</v>
      </c>
      <c r="N78" s="119">
        <f t="shared" si="9"/>
        <v>124.47</v>
      </c>
      <c r="O78" s="119">
        <f t="shared" si="10"/>
        <v>0</v>
      </c>
    </row>
    <row r="79" spans="2:15" ht="12.75" customHeight="1" x14ac:dyDescent="0.25">
      <c r="B79" s="74">
        <v>6</v>
      </c>
      <c r="C79" s="75" t="s">
        <v>145</v>
      </c>
      <c r="D79" s="76"/>
      <c r="E79" s="229"/>
      <c r="F79" s="78">
        <v>0</v>
      </c>
      <c r="G79" s="89">
        <f t="shared" si="6"/>
        <v>0</v>
      </c>
      <c r="H79" s="118" t="str">
        <f t="array" ref="H79:K79">_xlfn.XLOOKUP(C79,'ESAP NEIVA FASE II UNIFICADO'!$C$6:$C$720,'ESAP NEIVA FASE II UNIFICADO'!$C$6:$F$720,"NO ESTA")</f>
        <v>ACABADOS DE PISOS</v>
      </c>
      <c r="I79">
        <v>0</v>
      </c>
      <c r="J79">
        <v>0</v>
      </c>
      <c r="K79">
        <v>0</v>
      </c>
      <c r="L79">
        <f t="shared" si="7"/>
        <v>1</v>
      </c>
      <c r="M79">
        <f t="shared" si="8"/>
        <v>0</v>
      </c>
      <c r="N79" s="119">
        <f t="shared" si="9"/>
        <v>0</v>
      </c>
      <c r="O79" s="119">
        <f t="shared" si="10"/>
        <v>0</v>
      </c>
    </row>
    <row r="80" spans="2:15" ht="15" customHeight="1" x14ac:dyDescent="0.25">
      <c r="B80" s="80" t="s">
        <v>146</v>
      </c>
      <c r="C80" s="81" t="s">
        <v>147</v>
      </c>
      <c r="D80" s="82"/>
      <c r="E80" s="230"/>
      <c r="F80" s="90">
        <v>0</v>
      </c>
      <c r="G80" s="89">
        <f t="shared" si="6"/>
        <v>0</v>
      </c>
      <c r="H80" s="118" t="str">
        <f t="array" ref="H80:K80">_xlfn.XLOOKUP(C80,'ESAP NEIVA FASE II UNIFICADO'!$C$6:$C$720,'ESAP NEIVA FASE II UNIFICADO'!$C$6:$F$720,"NO ESTA")</f>
        <v>SUMINISTRO E INSTALACIÓN PISOS SEMISOTANO</v>
      </c>
      <c r="I80">
        <v>0</v>
      </c>
      <c r="J80">
        <v>0</v>
      </c>
      <c r="K80">
        <v>0</v>
      </c>
      <c r="L80">
        <f t="shared" si="7"/>
        <v>1</v>
      </c>
      <c r="M80">
        <f t="shared" si="8"/>
        <v>0</v>
      </c>
      <c r="N80" s="119">
        <f t="shared" si="9"/>
        <v>0</v>
      </c>
      <c r="O80" s="119">
        <f t="shared" si="10"/>
        <v>0</v>
      </c>
    </row>
    <row r="81" spans="2:15" ht="23.25" customHeight="1" x14ac:dyDescent="0.25">
      <c r="B81" s="86" t="s">
        <v>148</v>
      </c>
      <c r="C81" s="87" t="s">
        <v>149</v>
      </c>
      <c r="D81" s="82" t="s">
        <v>13</v>
      </c>
      <c r="E81" s="230">
        <v>457.19</v>
      </c>
      <c r="F81" s="88">
        <v>94327</v>
      </c>
      <c r="G81" s="89">
        <f t="shared" si="6"/>
        <v>43125361.130000003</v>
      </c>
      <c r="H81" s="118" t="str">
        <f t="array" ref="H81:K81">_xlfn.XLOOKUP(C81,'ESAP NEIVA FASE II UNIFICADO'!$C$6:$C$720,'ESAP NEIVA FASE II UNIFICADO'!$C$6:$F$720,"NO ESTA")</f>
        <v xml:space="preserve">ANDEN INTERNO EN CONCRETO DE 2500 PSI CON ACABADO CEMENTO PULIDO Ref. Planos 03318 </v>
      </c>
      <c r="I81" t="str">
        <v>M2</v>
      </c>
      <c r="J81">
        <v>0</v>
      </c>
      <c r="K81">
        <v>89287</v>
      </c>
      <c r="L81">
        <f t="shared" si="7"/>
        <v>1</v>
      </c>
      <c r="M81">
        <f t="shared" si="8"/>
        <v>94327</v>
      </c>
      <c r="N81" s="119">
        <f t="shared" si="9"/>
        <v>457.19</v>
      </c>
      <c r="O81" s="119">
        <f t="shared" si="10"/>
        <v>43125361.130000003</v>
      </c>
    </row>
    <row r="82" spans="2:15" ht="15" customHeight="1" x14ac:dyDescent="0.25">
      <c r="B82" s="86" t="s">
        <v>150</v>
      </c>
      <c r="C82" s="87" t="s">
        <v>151</v>
      </c>
      <c r="D82" s="82" t="s">
        <v>13</v>
      </c>
      <c r="E82" s="230">
        <v>1963.08</v>
      </c>
      <c r="F82" s="88">
        <v>7702</v>
      </c>
      <c r="G82" s="89">
        <f t="shared" si="6"/>
        <v>15119642.16</v>
      </c>
      <c r="H82" s="118" t="str">
        <f t="array" ref="H82:K82">_xlfn.XLOOKUP(C82,'ESAP NEIVA FASE II UNIFICADO'!$C$6:$C$720,'ESAP NEIVA FASE II UNIFICADO'!$C$6:$F$720,"NO ESTA")</f>
        <v>ACABADO DE PISO DE CONCRETO GRIS PULIDO   Ref. Planos 09650-1</v>
      </c>
      <c r="I82" t="str">
        <v>M2</v>
      </c>
      <c r="J82">
        <v>0</v>
      </c>
      <c r="K82">
        <v>8211</v>
      </c>
      <c r="L82">
        <f t="shared" si="7"/>
        <v>1</v>
      </c>
      <c r="M82">
        <f t="shared" si="8"/>
        <v>7702</v>
      </c>
      <c r="N82" s="119">
        <f t="shared" si="9"/>
        <v>1963.08</v>
      </c>
      <c r="O82" s="119">
        <f t="shared" si="10"/>
        <v>15119642.16</v>
      </c>
    </row>
    <row r="83" spans="2:15" ht="22.5" customHeight="1" x14ac:dyDescent="0.25">
      <c r="B83" s="86" t="s">
        <v>152</v>
      </c>
      <c r="C83" s="147" t="s">
        <v>153</v>
      </c>
      <c r="D83" s="82" t="s">
        <v>13</v>
      </c>
      <c r="E83" s="230">
        <v>1.4</v>
      </c>
      <c r="F83" s="88">
        <v>107920</v>
      </c>
      <c r="G83" s="89">
        <f t="shared" si="6"/>
        <v>151088</v>
      </c>
      <c r="H83" s="118" t="str">
        <f t="array" ref="H83:K83">_xlfn.XLOOKUP(C83,'ESAP NEIVA FASE II UNIFICADO'!$C$6:$C$720,'ESAP NEIVA FASE II UNIFICADO'!$C$6:$F$720,"NO ESTA")</f>
        <v>SUMINISTRO E INSTALACION PISO TABLETA ZONAS COMUNES Incluye ALISTADO Referencia  ALFA 30 X 30 HUILA Ref. Planos 09610.1</v>
      </c>
      <c r="I83" t="str">
        <v>M2</v>
      </c>
      <c r="J83">
        <v>0</v>
      </c>
      <c r="K83">
        <v>108210</v>
      </c>
      <c r="L83">
        <f t="shared" si="7"/>
        <v>1</v>
      </c>
      <c r="M83">
        <f t="shared" si="8"/>
        <v>107920</v>
      </c>
      <c r="N83" s="119">
        <f t="shared" si="9"/>
        <v>1.4</v>
      </c>
      <c r="O83" s="119">
        <f t="shared" si="10"/>
        <v>151088</v>
      </c>
    </row>
    <row r="84" spans="2:15" ht="15" customHeight="1" x14ac:dyDescent="0.25">
      <c r="B84" s="80" t="s">
        <v>154</v>
      </c>
      <c r="C84" s="81" t="s">
        <v>155</v>
      </c>
      <c r="D84" s="82"/>
      <c r="E84" s="230"/>
      <c r="F84" s="90">
        <v>0</v>
      </c>
      <c r="G84" s="89">
        <f t="shared" si="6"/>
        <v>0</v>
      </c>
      <c r="H84" s="118" t="str">
        <f t="array" ref="H84:K84">_xlfn.XLOOKUP(C84,'ESAP NEIVA FASE II UNIFICADO'!$C$6:$C$720,'ESAP NEIVA FASE II UNIFICADO'!$C$6:$F$720,"NO ESTA")</f>
        <v>SUMINISTRO E INSTALACIÓN DE PISOS ESPACIO PUBLICO</v>
      </c>
      <c r="I84">
        <v>0</v>
      </c>
      <c r="J84">
        <v>0</v>
      </c>
      <c r="K84">
        <v>0</v>
      </c>
      <c r="L84">
        <f t="shared" si="7"/>
        <v>1</v>
      </c>
      <c r="M84">
        <f t="shared" si="8"/>
        <v>0</v>
      </c>
      <c r="N84" s="119">
        <f t="shared" si="9"/>
        <v>0</v>
      </c>
      <c r="O84" s="119">
        <f t="shared" si="10"/>
        <v>0</v>
      </c>
    </row>
    <row r="85" spans="2:15" ht="36.75" customHeight="1" x14ac:dyDescent="0.25">
      <c r="B85" s="86" t="s">
        <v>156</v>
      </c>
      <c r="C85" s="147" t="s">
        <v>157</v>
      </c>
      <c r="D85" s="82" t="s">
        <v>13</v>
      </c>
      <c r="E85" s="230">
        <v>45.8</v>
      </c>
      <c r="F85" s="88">
        <v>89363</v>
      </c>
      <c r="G85" s="89">
        <f t="shared" si="6"/>
        <v>4092825.4</v>
      </c>
      <c r="H85" s="118" t="str">
        <f t="array" ref="H85:K85">_xlfn.XLOOKUP(C85,'ESAP NEIVA FASE II UNIFICADO'!$C$6:$C$720,'ESAP NEIVA FASE II UNIFICADO'!$C$6:$F$720,"NO ESTA")</f>
        <v>SUMINISTRO E INSTALACION ANDEN EN LOSETA PREFABRICADA Referencia A50  GRIS 40 X 40 incluye alistadio - (Especificación Cartilla Andenes IDU-2011)</v>
      </c>
      <c r="I85" t="str">
        <v>M2</v>
      </c>
      <c r="J85">
        <v>1832.0720000000001</v>
      </c>
      <c r="K85">
        <v>91697</v>
      </c>
      <c r="L85">
        <f t="shared" si="7"/>
        <v>0</v>
      </c>
      <c r="M85">
        <f t="shared" si="8"/>
        <v>0</v>
      </c>
      <c r="N85" s="119">
        <f t="shared" si="9"/>
        <v>45.8</v>
      </c>
      <c r="O85" s="119">
        <f t="shared" si="10"/>
        <v>0</v>
      </c>
    </row>
    <row r="86" spans="2:15" ht="21.75" customHeight="1" x14ac:dyDescent="0.25">
      <c r="B86" s="86" t="s">
        <v>158</v>
      </c>
      <c r="C86" s="87" t="s">
        <v>159</v>
      </c>
      <c r="D86" s="82" t="s">
        <v>13</v>
      </c>
      <c r="E86" s="230">
        <v>4.59</v>
      </c>
      <c r="F86" s="88">
        <v>93854</v>
      </c>
      <c r="G86" s="89">
        <f t="shared" si="6"/>
        <v>430789.86</v>
      </c>
      <c r="H86" s="118" t="str">
        <f t="array" ref="H86:K86">_xlfn.XLOOKUP(C86,'ESAP NEIVA FASE II UNIFICADO'!$C$6:$C$720,'ESAP NEIVA FASE II UNIFICADO'!$C$6:$F$720,"NO ESTA")</f>
        <v>SUMINISTRO E INSTALACION JARDIN Ref. Planos A2900 (Incluye material aislante, impermeabilizante, tierra, abonos y plantas ornamentales)</v>
      </c>
      <c r="I86" t="str">
        <v>M2</v>
      </c>
      <c r="J86">
        <v>183.66400000000002</v>
      </c>
      <c r="K86">
        <v>96306</v>
      </c>
      <c r="L86">
        <f t="shared" si="7"/>
        <v>0</v>
      </c>
      <c r="M86">
        <f t="shared" si="8"/>
        <v>0</v>
      </c>
      <c r="N86" s="119">
        <f t="shared" si="9"/>
        <v>4.59</v>
      </c>
      <c r="O86" s="119">
        <f t="shared" si="10"/>
        <v>0</v>
      </c>
    </row>
    <row r="87" spans="2:15" ht="15" customHeight="1" x14ac:dyDescent="0.25">
      <c r="B87" s="80" t="s">
        <v>160</v>
      </c>
      <c r="C87" s="81" t="s">
        <v>161</v>
      </c>
      <c r="D87" s="82"/>
      <c r="E87" s="230"/>
      <c r="F87" s="90">
        <v>0</v>
      </c>
      <c r="G87" s="89">
        <f t="shared" si="6"/>
        <v>0</v>
      </c>
      <c r="H87" s="118" t="str">
        <f t="array" ref="H87:K87">_xlfn.XLOOKUP(C87,'ESAP NEIVA FASE II UNIFICADO'!$C$6:$C$720,'ESAP NEIVA FASE II UNIFICADO'!$C$6:$F$720,"NO ESTA")</f>
        <v>SUMINISTRO E INSTALACIÓN DE PISOS PISO 1</v>
      </c>
      <c r="I87">
        <v>0</v>
      </c>
      <c r="J87">
        <v>0</v>
      </c>
      <c r="K87">
        <v>0</v>
      </c>
      <c r="L87">
        <f t="shared" si="7"/>
        <v>1</v>
      </c>
      <c r="M87">
        <f t="shared" si="8"/>
        <v>0</v>
      </c>
      <c r="N87" s="119">
        <f t="shared" si="9"/>
        <v>0</v>
      </c>
      <c r="O87" s="119">
        <f t="shared" si="10"/>
        <v>0</v>
      </c>
    </row>
    <row r="88" spans="2:15" ht="27" customHeight="1" x14ac:dyDescent="0.25">
      <c r="B88" s="86" t="s">
        <v>162</v>
      </c>
      <c r="C88" s="147" t="s">
        <v>153</v>
      </c>
      <c r="D88" s="82" t="s">
        <v>13</v>
      </c>
      <c r="E88" s="230">
        <v>718.89</v>
      </c>
      <c r="F88" s="88">
        <v>107920</v>
      </c>
      <c r="G88" s="89">
        <f t="shared" si="6"/>
        <v>77582608.799999997</v>
      </c>
      <c r="H88" s="118" t="str">
        <f t="array" ref="H88:K88">_xlfn.XLOOKUP(C88,'ESAP NEIVA FASE II UNIFICADO'!$C$6:$C$720,'ESAP NEIVA FASE II UNIFICADO'!$C$6:$F$720,"NO ESTA")</f>
        <v>SUMINISTRO E INSTALACION PISO TABLETA ZONAS COMUNES Incluye ALISTADO Referencia  ALFA 30 X 30 HUILA Ref. Planos 09610.1</v>
      </c>
      <c r="I88" t="str">
        <v>M2</v>
      </c>
      <c r="J88">
        <v>0</v>
      </c>
      <c r="K88">
        <v>108210</v>
      </c>
      <c r="L88">
        <f t="shared" si="7"/>
        <v>1</v>
      </c>
      <c r="M88">
        <f t="shared" si="8"/>
        <v>107920</v>
      </c>
      <c r="N88" s="119">
        <f t="shared" si="9"/>
        <v>718.89</v>
      </c>
      <c r="O88" s="119">
        <f t="shared" si="10"/>
        <v>77582608.799999997</v>
      </c>
    </row>
    <row r="89" spans="2:15" ht="25.5" customHeight="1" x14ac:dyDescent="0.25">
      <c r="B89" s="86" t="s">
        <v>163</v>
      </c>
      <c r="C89" s="149" t="s">
        <v>164</v>
      </c>
      <c r="D89" s="82" t="s">
        <v>13</v>
      </c>
      <c r="E89" s="230">
        <v>576.27</v>
      </c>
      <c r="F89" s="88">
        <v>70788</v>
      </c>
      <c r="G89" s="89">
        <f t="shared" si="6"/>
        <v>40793000.759999998</v>
      </c>
      <c r="H89" s="118" t="str">
        <f t="array" ref="H89:K89">_xlfn.XLOOKUP(C89,'ESAP NEIVA FASE II UNIFICADO'!$C$6:$C$720,'ESAP NEIVA FASE II UNIFICADO'!$C$6:$F$720,"NO ESTA")</f>
        <v>SUMINISTRO E INSTALACION PISO LOSETA PREFABRICADA GRIS Referencia A30 DE 40X60 - (Especificación Cartilla Andenes IDU-2011)  Ref. Planos 09620.8</v>
      </c>
      <c r="I89" t="str">
        <v>M2</v>
      </c>
      <c r="J89">
        <v>230.83</v>
      </c>
      <c r="K89">
        <v>70614</v>
      </c>
      <c r="L89">
        <f t="shared" si="7"/>
        <v>0</v>
      </c>
      <c r="M89">
        <f t="shared" si="8"/>
        <v>0</v>
      </c>
      <c r="N89" s="119">
        <f t="shared" si="9"/>
        <v>576.27</v>
      </c>
      <c r="O89" s="119">
        <f t="shared" si="10"/>
        <v>0</v>
      </c>
    </row>
    <row r="90" spans="2:15" ht="15" customHeight="1" x14ac:dyDescent="0.25">
      <c r="B90" s="86" t="s">
        <v>165</v>
      </c>
      <c r="C90" s="87" t="s">
        <v>166</v>
      </c>
      <c r="D90" s="82" t="s">
        <v>13</v>
      </c>
      <c r="E90" s="230">
        <v>33.11</v>
      </c>
      <c r="F90" s="88">
        <v>47493</v>
      </c>
      <c r="G90" s="89">
        <f t="shared" si="6"/>
        <v>1572493.23</v>
      </c>
      <c r="H90" s="118" t="str">
        <f t="array" ref="H90:K90">_xlfn.XLOOKUP(C90,'ESAP NEIVA FASE II UNIFICADO'!$C$6:$C$720,'ESAP NEIVA FASE II UNIFICADO'!$C$6:$F$720,"NO ESTA")</f>
        <v>SUMINISTRO E INSTALACION PISO EN VINILO GRIS TARIMA Ref. Planos 09650.1</v>
      </c>
      <c r="I90" t="str">
        <v>M2</v>
      </c>
      <c r="J90">
        <v>11.069999999999999</v>
      </c>
      <c r="K90">
        <v>47066</v>
      </c>
      <c r="L90">
        <f t="shared" si="7"/>
        <v>0</v>
      </c>
      <c r="M90">
        <f t="shared" si="8"/>
        <v>0</v>
      </c>
      <c r="N90" s="119">
        <f t="shared" si="9"/>
        <v>33.11</v>
      </c>
      <c r="O90" s="119">
        <f t="shared" si="10"/>
        <v>0</v>
      </c>
    </row>
    <row r="91" spans="2:15" ht="22.5" customHeight="1" x14ac:dyDescent="0.25">
      <c r="B91" s="86" t="s">
        <v>167</v>
      </c>
      <c r="C91" s="87" t="s">
        <v>168</v>
      </c>
      <c r="D91" s="82" t="s">
        <v>13</v>
      </c>
      <c r="E91" s="230">
        <v>297.04000000000002</v>
      </c>
      <c r="F91" s="88">
        <v>102141</v>
      </c>
      <c r="G91" s="89">
        <f t="shared" si="6"/>
        <v>30339962.640000001</v>
      </c>
      <c r="H91" s="118" t="str">
        <f t="array" ref="H91:K91">_xlfn.XLOOKUP(C91,'ESAP NEIVA FASE II UNIFICADO'!$C$6:$C$720,'ESAP NEIVA FASE II UNIFICADO'!$C$6:$F$720,"NO ESTA")</f>
        <v>SUMINISTRO E INSTALACION PISO EN ALFOMBRA Referencia TRAFICO PESADO Ref. Planos 09680.A1</v>
      </c>
      <c r="I91" t="str">
        <v>M2</v>
      </c>
      <c r="J91">
        <v>12.31</v>
      </c>
      <c r="K91">
        <v>102069</v>
      </c>
      <c r="L91">
        <f t="shared" si="7"/>
        <v>0</v>
      </c>
      <c r="M91">
        <f t="shared" si="8"/>
        <v>0</v>
      </c>
      <c r="N91" s="119">
        <f t="shared" si="9"/>
        <v>297.04000000000002</v>
      </c>
      <c r="O91" s="119">
        <f t="shared" si="10"/>
        <v>0</v>
      </c>
    </row>
    <row r="92" spans="2:15" ht="23.25" customHeight="1" x14ac:dyDescent="0.25">
      <c r="B92" s="86" t="s">
        <v>169</v>
      </c>
      <c r="C92" s="87" t="s">
        <v>159</v>
      </c>
      <c r="D92" s="82" t="s">
        <v>13</v>
      </c>
      <c r="E92" s="230">
        <v>145.79</v>
      </c>
      <c r="F92" s="88">
        <v>93854</v>
      </c>
      <c r="G92" s="89">
        <f t="shared" si="6"/>
        <v>13682974.66</v>
      </c>
      <c r="H92" s="118" t="str">
        <f t="array" ref="H92:K92">_xlfn.XLOOKUP(C92,'ESAP NEIVA FASE II UNIFICADO'!$C$6:$C$720,'ESAP NEIVA FASE II UNIFICADO'!$C$6:$F$720,"NO ESTA")</f>
        <v>SUMINISTRO E INSTALACION JARDIN Ref. Planos A2900 (Incluye material aislante, impermeabilizante, tierra, abonos y plantas ornamentales)</v>
      </c>
      <c r="I92" t="str">
        <v>M2</v>
      </c>
      <c r="J92">
        <v>183.66400000000002</v>
      </c>
      <c r="K92">
        <v>96306</v>
      </c>
      <c r="L92">
        <f t="shared" si="7"/>
        <v>0</v>
      </c>
      <c r="M92">
        <f t="shared" si="8"/>
        <v>0</v>
      </c>
      <c r="N92" s="119">
        <f t="shared" si="9"/>
        <v>145.79</v>
      </c>
      <c r="O92" s="119">
        <f t="shared" si="10"/>
        <v>0</v>
      </c>
    </row>
    <row r="93" spans="2:15" ht="15" customHeight="1" x14ac:dyDescent="0.25">
      <c r="B93" s="80" t="s">
        <v>170</v>
      </c>
      <c r="C93" s="81" t="s">
        <v>171</v>
      </c>
      <c r="D93" s="82"/>
      <c r="E93" s="230"/>
      <c r="F93" s="90">
        <v>0</v>
      </c>
      <c r="G93" s="89">
        <f t="shared" si="6"/>
        <v>0</v>
      </c>
      <c r="H93" s="118" t="str">
        <f t="array" ref="H93:K93">_xlfn.XLOOKUP(C93,'ESAP NEIVA FASE II UNIFICADO'!$C$6:$C$720,'ESAP NEIVA FASE II UNIFICADO'!$C$6:$F$720,"NO ESTA")</f>
        <v>SUMINISTRO E INSTALACIÓN DE PISOS PISO 2</v>
      </c>
      <c r="I93">
        <v>0</v>
      </c>
      <c r="J93">
        <v>0</v>
      </c>
      <c r="K93">
        <v>0</v>
      </c>
      <c r="L93">
        <f t="shared" si="7"/>
        <v>1</v>
      </c>
      <c r="M93">
        <f t="shared" si="8"/>
        <v>0</v>
      </c>
      <c r="N93" s="119">
        <f t="shared" si="9"/>
        <v>0</v>
      </c>
      <c r="O93" s="119">
        <f t="shared" si="10"/>
        <v>0</v>
      </c>
    </row>
    <row r="94" spans="2:15" ht="22.5" customHeight="1" x14ac:dyDescent="0.25">
      <c r="B94" s="86" t="s">
        <v>172</v>
      </c>
      <c r="C94" s="147" t="s">
        <v>153</v>
      </c>
      <c r="D94" s="82" t="s">
        <v>13</v>
      </c>
      <c r="E94" s="230">
        <v>1039</v>
      </c>
      <c r="F94" s="88">
        <v>107920</v>
      </c>
      <c r="G94" s="89">
        <f t="shared" si="6"/>
        <v>112128880</v>
      </c>
      <c r="H94" s="118" t="str">
        <f t="array" ref="H94:K94">_xlfn.XLOOKUP(C94,'ESAP NEIVA FASE II UNIFICADO'!$C$6:$C$720,'ESAP NEIVA FASE II UNIFICADO'!$C$6:$F$720,"NO ESTA")</f>
        <v>SUMINISTRO E INSTALACION PISO TABLETA ZONAS COMUNES Incluye ALISTADO Referencia  ALFA 30 X 30 HUILA Ref. Planos 09610.1</v>
      </c>
      <c r="I94" t="str">
        <v>M2</v>
      </c>
      <c r="J94">
        <v>0</v>
      </c>
      <c r="K94">
        <v>108210</v>
      </c>
      <c r="L94">
        <f t="shared" si="7"/>
        <v>1</v>
      </c>
      <c r="M94">
        <f t="shared" si="8"/>
        <v>107920</v>
      </c>
      <c r="N94" s="119">
        <f t="shared" si="9"/>
        <v>1039</v>
      </c>
      <c r="O94" s="119">
        <f t="shared" si="10"/>
        <v>112128880</v>
      </c>
    </row>
    <row r="95" spans="2:15" ht="26.25" customHeight="1" x14ac:dyDescent="0.25">
      <c r="B95" s="86" t="s">
        <v>173</v>
      </c>
      <c r="C95" s="149" t="s">
        <v>164</v>
      </c>
      <c r="D95" s="82" t="s">
        <v>13</v>
      </c>
      <c r="E95" s="230">
        <v>190.12</v>
      </c>
      <c r="F95" s="88">
        <v>70788</v>
      </c>
      <c r="G95" s="89">
        <f t="shared" si="6"/>
        <v>13458214.560000001</v>
      </c>
      <c r="H95" s="118" t="str">
        <f t="array" ref="H95:K95">_xlfn.XLOOKUP(C95,'ESAP NEIVA FASE II UNIFICADO'!$C$6:$C$720,'ESAP NEIVA FASE II UNIFICADO'!$C$6:$F$720,"NO ESTA")</f>
        <v>SUMINISTRO E INSTALACION PISO LOSETA PREFABRICADA GRIS Referencia A30 DE 40X60 - (Especificación Cartilla Andenes IDU-2011)  Ref. Planos 09620.8</v>
      </c>
      <c r="I95" t="str">
        <v>M2</v>
      </c>
      <c r="J95">
        <v>230.83</v>
      </c>
      <c r="K95">
        <v>70614</v>
      </c>
      <c r="L95">
        <f t="shared" si="7"/>
        <v>0</v>
      </c>
      <c r="M95">
        <f t="shared" si="8"/>
        <v>0</v>
      </c>
      <c r="N95" s="119">
        <f t="shared" si="9"/>
        <v>190.12</v>
      </c>
      <c r="O95" s="119">
        <f t="shared" si="10"/>
        <v>0</v>
      </c>
    </row>
    <row r="96" spans="2:15" ht="26.25" customHeight="1" x14ac:dyDescent="0.25">
      <c r="B96" s="86" t="s">
        <v>174</v>
      </c>
      <c r="C96" s="87" t="s">
        <v>159</v>
      </c>
      <c r="D96" s="82" t="s">
        <v>13</v>
      </c>
      <c r="E96" s="230">
        <v>110.24</v>
      </c>
      <c r="F96" s="88">
        <v>93854</v>
      </c>
      <c r="G96" s="89">
        <f t="shared" si="6"/>
        <v>10346464.960000001</v>
      </c>
      <c r="H96" s="118" t="str">
        <f t="array" ref="H96:K96">_xlfn.XLOOKUP(C96,'ESAP NEIVA FASE II UNIFICADO'!$C$6:$C$720,'ESAP NEIVA FASE II UNIFICADO'!$C$6:$F$720,"NO ESTA")</f>
        <v>SUMINISTRO E INSTALACION JARDIN Ref. Planos A2900 (Incluye material aislante, impermeabilizante, tierra, abonos y plantas ornamentales)</v>
      </c>
      <c r="I96" t="str">
        <v>M2</v>
      </c>
      <c r="J96">
        <v>183.66400000000002</v>
      </c>
      <c r="K96">
        <v>96306</v>
      </c>
      <c r="L96">
        <f t="shared" si="7"/>
        <v>0</v>
      </c>
      <c r="M96">
        <f t="shared" si="8"/>
        <v>0</v>
      </c>
      <c r="N96" s="119">
        <f t="shared" si="9"/>
        <v>110.24</v>
      </c>
      <c r="O96" s="119">
        <f t="shared" si="10"/>
        <v>0</v>
      </c>
    </row>
    <row r="97" spans="2:15" ht="16.5" customHeight="1" x14ac:dyDescent="0.25">
      <c r="B97" s="74">
        <v>7</v>
      </c>
      <c r="C97" s="75" t="s">
        <v>175</v>
      </c>
      <c r="D97" s="76"/>
      <c r="E97" s="229"/>
      <c r="F97" s="78">
        <v>0</v>
      </c>
      <c r="G97" s="89">
        <f t="shared" si="6"/>
        <v>0</v>
      </c>
      <c r="H97" s="118" t="str">
        <f t="array" ref="H97:K97">_xlfn.XLOOKUP(C97,'ESAP NEIVA FASE II UNIFICADO'!$C$6:$C$720,'ESAP NEIVA FASE II UNIFICADO'!$C$6:$F$720,"NO ESTA")</f>
        <v>VENTANERIA</v>
      </c>
      <c r="I97">
        <v>0</v>
      </c>
      <c r="J97">
        <v>0</v>
      </c>
      <c r="K97">
        <v>0</v>
      </c>
      <c r="L97">
        <f t="shared" si="7"/>
        <v>1</v>
      </c>
      <c r="M97">
        <f t="shared" si="8"/>
        <v>0</v>
      </c>
      <c r="N97" s="119">
        <f t="shared" si="9"/>
        <v>0</v>
      </c>
      <c r="O97" s="119">
        <f t="shared" si="10"/>
        <v>0</v>
      </c>
    </row>
    <row r="98" spans="2:15" ht="15" customHeight="1" x14ac:dyDescent="0.25">
      <c r="B98" s="80" t="s">
        <v>176</v>
      </c>
      <c r="C98" s="81" t="s">
        <v>177</v>
      </c>
      <c r="D98" s="82"/>
      <c r="E98" s="230"/>
      <c r="F98" s="90">
        <v>0</v>
      </c>
      <c r="G98" s="89">
        <f t="shared" si="6"/>
        <v>0</v>
      </c>
      <c r="H98" s="118" t="str">
        <f t="array" ref="H98:K98">_xlfn.XLOOKUP(C98,'ESAP NEIVA FASE II UNIFICADO'!$C$6:$C$720,'ESAP NEIVA FASE II UNIFICADO'!$C$6:$F$720,"NO ESTA")</f>
        <v>SUMINISTRO E INSTALACION VENTANAS ESPACIO PUBLICO</v>
      </c>
      <c r="I98">
        <v>0</v>
      </c>
      <c r="J98">
        <v>0</v>
      </c>
      <c r="K98">
        <v>0</v>
      </c>
      <c r="L98">
        <f t="shared" si="7"/>
        <v>1</v>
      </c>
      <c r="M98">
        <f t="shared" si="8"/>
        <v>0</v>
      </c>
      <c r="N98" s="119">
        <f t="shared" si="9"/>
        <v>0</v>
      </c>
      <c r="O98" s="119">
        <f t="shared" si="10"/>
        <v>0</v>
      </c>
    </row>
    <row r="99" spans="2:15" ht="27.75" customHeight="1" x14ac:dyDescent="0.25">
      <c r="B99" s="86" t="s">
        <v>178</v>
      </c>
      <c r="C99" s="87" t="s">
        <v>179</v>
      </c>
      <c r="D99" s="82" t="s">
        <v>13</v>
      </c>
      <c r="E99" s="230">
        <v>4.8600000000000003</v>
      </c>
      <c r="F99" s="88">
        <v>260667</v>
      </c>
      <c r="G99" s="89">
        <f t="shared" si="6"/>
        <v>1266841.6200000001</v>
      </c>
      <c r="H99" s="118" t="str">
        <f t="array" ref="H99">_xlfn.XLOOKUP(C99,'ESAP NEIVA FASE II UNIFICADO'!$C$6:$C$720,'ESAP NEIVA FASE II UNIFICADO'!$C$6:$F$720,"NO ESTA")</f>
        <v>NO ESTA</v>
      </c>
      <c r="L99">
        <f t="shared" si="7"/>
        <v>1</v>
      </c>
      <c r="M99">
        <f t="shared" si="8"/>
        <v>260667</v>
      </c>
      <c r="N99" s="119">
        <f t="shared" si="9"/>
        <v>4.8600000000000003</v>
      </c>
      <c r="O99" s="119">
        <f t="shared" si="10"/>
        <v>1266841.6200000001</v>
      </c>
    </row>
    <row r="100" spans="2:15" ht="15" customHeight="1" x14ac:dyDescent="0.25">
      <c r="B100" s="80" t="s">
        <v>180</v>
      </c>
      <c r="C100" s="81" t="s">
        <v>181</v>
      </c>
      <c r="D100" s="82"/>
      <c r="E100" s="230"/>
      <c r="F100" s="90">
        <v>0</v>
      </c>
      <c r="G100" s="89">
        <f t="shared" si="6"/>
        <v>0</v>
      </c>
      <c r="H100" s="118" t="str">
        <f t="array" ref="H100:K100">_xlfn.XLOOKUP(C100,'ESAP NEIVA FASE II UNIFICADO'!$C$6:$C$720,'ESAP NEIVA FASE II UNIFICADO'!$C$6:$F$720,"NO ESTA")</f>
        <v>SUMINISTRO E INSTALACION VENTANAS PISO 1</v>
      </c>
      <c r="I100">
        <v>0</v>
      </c>
      <c r="J100">
        <v>0</v>
      </c>
      <c r="K100">
        <v>0</v>
      </c>
      <c r="L100">
        <f t="shared" si="7"/>
        <v>1</v>
      </c>
      <c r="M100">
        <f t="shared" si="8"/>
        <v>0</v>
      </c>
      <c r="N100" s="119">
        <f t="shared" si="9"/>
        <v>0</v>
      </c>
      <c r="O100" s="119">
        <f t="shared" si="10"/>
        <v>0</v>
      </c>
    </row>
    <row r="101" spans="2:15" ht="25.5" customHeight="1" x14ac:dyDescent="0.25">
      <c r="B101" s="86" t="s">
        <v>182</v>
      </c>
      <c r="C101" s="147" t="s">
        <v>183</v>
      </c>
      <c r="D101" s="82" t="s">
        <v>13</v>
      </c>
      <c r="E101" s="230">
        <v>0.55000000000000004</v>
      </c>
      <c r="F101" s="88">
        <v>260667</v>
      </c>
      <c r="G101" s="89">
        <f t="shared" si="6"/>
        <v>143366.85</v>
      </c>
      <c r="H101" s="118" t="str">
        <f t="array" ref="H101:K101">_xlfn.XLOOKUP(C101,'ESAP NEIVA FASE II UNIFICADO'!$C$6:$C$720,'ESAP NEIVA FASE II UNIFICADO'!$C$6:$F$720,"NO ESTA")</f>
        <v>SUMINISTRO E INSTALACION VENTANA EN ALUMINIO o similar TIPO V3 Incluye VIDRIO Referencia SOLARBAN Ver NOTAS GENERALES DE PLANCHA</v>
      </c>
      <c r="I101" t="str">
        <v>M2</v>
      </c>
      <c r="J101">
        <v>0</v>
      </c>
      <c r="K101">
        <v>267475</v>
      </c>
      <c r="L101">
        <f t="shared" si="7"/>
        <v>1</v>
      </c>
      <c r="M101">
        <f t="shared" si="8"/>
        <v>260667</v>
      </c>
      <c r="N101" s="119">
        <f t="shared" si="9"/>
        <v>0.55000000000000004</v>
      </c>
      <c r="O101" s="119">
        <f t="shared" si="10"/>
        <v>143366.85</v>
      </c>
    </row>
    <row r="102" spans="2:15" ht="25.5" customHeight="1" x14ac:dyDescent="0.25">
      <c r="B102" s="86" t="s">
        <v>184</v>
      </c>
      <c r="C102" s="87" t="s">
        <v>185</v>
      </c>
      <c r="D102" s="82" t="s">
        <v>13</v>
      </c>
      <c r="E102" s="230">
        <v>0.36</v>
      </c>
      <c r="F102" s="88">
        <v>260667</v>
      </c>
      <c r="G102" s="89">
        <f t="shared" si="6"/>
        <v>93840.12</v>
      </c>
      <c r="H102" s="118" t="str">
        <f t="array" ref="H102">_xlfn.XLOOKUP(C102,'ESAP NEIVA FASE II UNIFICADO'!$C$6:$C$720,'ESAP NEIVA FASE II UNIFICADO'!$C$6:$F$720,"NO ESTA")</f>
        <v>NO ESTA</v>
      </c>
      <c r="L102">
        <f t="shared" si="7"/>
        <v>1</v>
      </c>
      <c r="M102">
        <f t="shared" si="8"/>
        <v>260667</v>
      </c>
      <c r="N102" s="119">
        <f t="shared" si="9"/>
        <v>0.36</v>
      </c>
      <c r="O102" s="119">
        <f t="shared" si="10"/>
        <v>93840.12</v>
      </c>
    </row>
    <row r="103" spans="2:15" ht="15" customHeight="1" x14ac:dyDescent="0.25">
      <c r="B103" s="80" t="s">
        <v>186</v>
      </c>
      <c r="C103" s="81" t="s">
        <v>187</v>
      </c>
      <c r="D103" s="82"/>
      <c r="E103" s="230"/>
      <c r="F103" s="90">
        <v>0</v>
      </c>
      <c r="G103" s="89">
        <f t="shared" si="6"/>
        <v>0</v>
      </c>
      <c r="H103" s="118" t="str">
        <f t="array" ref="H103:K103">_xlfn.XLOOKUP(C103,'ESAP NEIVA FASE II UNIFICADO'!$C$6:$C$720,'ESAP NEIVA FASE II UNIFICADO'!$C$6:$F$720,"NO ESTA")</f>
        <v>SUMINISTRO E INSTALACION VENTANAS PISO 2</v>
      </c>
      <c r="I103">
        <v>0</v>
      </c>
      <c r="J103">
        <v>0</v>
      </c>
      <c r="K103">
        <v>0</v>
      </c>
      <c r="L103">
        <f t="shared" si="7"/>
        <v>1</v>
      </c>
      <c r="M103">
        <f t="shared" si="8"/>
        <v>0</v>
      </c>
      <c r="N103" s="119">
        <f t="shared" si="9"/>
        <v>0</v>
      </c>
      <c r="O103" s="119">
        <f t="shared" si="10"/>
        <v>0</v>
      </c>
    </row>
    <row r="104" spans="2:15" ht="25.5" customHeight="1" x14ac:dyDescent="0.25">
      <c r="B104" s="86" t="s">
        <v>188</v>
      </c>
      <c r="C104" s="147" t="s">
        <v>189</v>
      </c>
      <c r="D104" s="82" t="s">
        <v>13</v>
      </c>
      <c r="E104" s="230">
        <v>0.05</v>
      </c>
      <c r="F104" s="88">
        <v>260667</v>
      </c>
      <c r="G104" s="89">
        <f t="shared" si="6"/>
        <v>13033.35</v>
      </c>
      <c r="H104" s="118" t="str">
        <f t="array" ref="H104:K104">_xlfn.XLOOKUP(C104,'ESAP NEIVA FASE II UNIFICADO'!$C$6:$C$720,'ESAP NEIVA FASE II UNIFICADO'!$C$6:$F$720,"NO ESTA")</f>
        <v>SUMINISTRO E INSTALACION VENTANA EN ALUMINIO o similar TIPO V1 Incluye VIDRIO Referencia SOLARBAN Ver NOTAS GENERALES DE PLANCHA</v>
      </c>
      <c r="I104" t="str">
        <v>M2</v>
      </c>
      <c r="J104">
        <v>0</v>
      </c>
      <c r="K104">
        <v>267475</v>
      </c>
      <c r="L104">
        <f t="shared" si="7"/>
        <v>1</v>
      </c>
      <c r="M104">
        <f t="shared" si="8"/>
        <v>260667</v>
      </c>
      <c r="N104" s="119">
        <f t="shared" si="9"/>
        <v>0.05</v>
      </c>
      <c r="O104" s="119">
        <f t="shared" si="10"/>
        <v>13033.35</v>
      </c>
    </row>
    <row r="105" spans="2:15" ht="25.5" customHeight="1" x14ac:dyDescent="0.25">
      <c r="B105" s="86" t="s">
        <v>190</v>
      </c>
      <c r="C105" s="149" t="s">
        <v>191</v>
      </c>
      <c r="D105" s="82" t="s">
        <v>13</v>
      </c>
      <c r="E105" s="230">
        <v>0.32</v>
      </c>
      <c r="F105" s="88">
        <v>260667</v>
      </c>
      <c r="G105" s="89">
        <f t="shared" si="6"/>
        <v>83413.440000000002</v>
      </c>
      <c r="H105" s="118" t="str">
        <f t="array" ref="H105:K105">_xlfn.XLOOKUP(C105,'ESAP NEIVA FASE II UNIFICADO'!$C$6:$C$720,'ESAP NEIVA FASE II UNIFICADO'!$C$6:$F$720,"NO ESTA")</f>
        <v>SUMINISTRO E INSTALACION VENTANA EN ALUMINIO o similar TIPO V2 Incluye VIDRIO Referencia SOLARBAN Ver NOTAS GENERALES DE PLANCHA</v>
      </c>
      <c r="I105" t="str">
        <v>M2</v>
      </c>
      <c r="J105">
        <v>0</v>
      </c>
      <c r="K105">
        <v>267475</v>
      </c>
      <c r="L105">
        <f t="shared" si="7"/>
        <v>1</v>
      </c>
      <c r="M105">
        <f t="shared" si="8"/>
        <v>260667</v>
      </c>
      <c r="N105" s="119">
        <f t="shared" si="9"/>
        <v>0.32</v>
      </c>
      <c r="O105" s="119">
        <f t="shared" si="10"/>
        <v>83413.440000000002</v>
      </c>
    </row>
    <row r="106" spans="2:15" ht="25.5" customHeight="1" x14ac:dyDescent="0.25">
      <c r="B106" s="86" t="s">
        <v>192</v>
      </c>
      <c r="C106" s="147" t="s">
        <v>183</v>
      </c>
      <c r="D106" s="82" t="s">
        <v>13</v>
      </c>
      <c r="E106" s="230">
        <v>0.48</v>
      </c>
      <c r="F106" s="88">
        <v>260667</v>
      </c>
      <c r="G106" s="89">
        <f t="shared" si="6"/>
        <v>125120.16</v>
      </c>
      <c r="H106" s="118" t="str">
        <f t="array" ref="H106:K106">_xlfn.XLOOKUP(C106,'ESAP NEIVA FASE II UNIFICADO'!$C$6:$C$720,'ESAP NEIVA FASE II UNIFICADO'!$C$6:$F$720,"NO ESTA")</f>
        <v>SUMINISTRO E INSTALACION VENTANA EN ALUMINIO o similar TIPO V3 Incluye VIDRIO Referencia SOLARBAN Ver NOTAS GENERALES DE PLANCHA</v>
      </c>
      <c r="I106" t="str">
        <v>M2</v>
      </c>
      <c r="J106">
        <v>0</v>
      </c>
      <c r="K106">
        <v>267475</v>
      </c>
      <c r="L106">
        <f t="shared" si="7"/>
        <v>1</v>
      </c>
      <c r="M106">
        <f t="shared" si="8"/>
        <v>260667</v>
      </c>
      <c r="N106" s="119">
        <f t="shared" si="9"/>
        <v>0.48</v>
      </c>
      <c r="O106" s="119">
        <f t="shared" si="10"/>
        <v>125120.16</v>
      </c>
    </row>
    <row r="107" spans="2:15" ht="25.5" customHeight="1" x14ac:dyDescent="0.25">
      <c r="B107" s="86" t="s">
        <v>193</v>
      </c>
      <c r="C107" s="87" t="s">
        <v>185</v>
      </c>
      <c r="D107" s="82" t="s">
        <v>13</v>
      </c>
      <c r="E107" s="230">
        <v>0.12</v>
      </c>
      <c r="F107" s="88">
        <v>260667</v>
      </c>
      <c r="G107" s="89">
        <f t="shared" si="6"/>
        <v>31280.04</v>
      </c>
      <c r="H107" s="118" t="str">
        <f t="array" ref="H107">_xlfn.XLOOKUP(C107,'ESAP NEIVA FASE II UNIFICADO'!$C$6:$C$720,'ESAP NEIVA FASE II UNIFICADO'!$C$6:$F$720,"NO ESTA")</f>
        <v>NO ESTA</v>
      </c>
      <c r="L107">
        <f t="shared" si="7"/>
        <v>1</v>
      </c>
      <c r="M107">
        <f t="shared" si="8"/>
        <v>260667</v>
      </c>
      <c r="N107" s="119">
        <f t="shared" si="9"/>
        <v>0.12</v>
      </c>
      <c r="O107" s="119">
        <f t="shared" si="10"/>
        <v>31280.04</v>
      </c>
    </row>
    <row r="108" spans="2:15" ht="25.5" customHeight="1" x14ac:dyDescent="0.25">
      <c r="B108" s="86" t="s">
        <v>194</v>
      </c>
      <c r="C108" s="147" t="s">
        <v>195</v>
      </c>
      <c r="D108" s="82" t="s">
        <v>13</v>
      </c>
      <c r="E108" s="230">
        <v>0.36</v>
      </c>
      <c r="F108" s="88">
        <v>260667</v>
      </c>
      <c r="G108" s="89">
        <f t="shared" si="6"/>
        <v>93840.12</v>
      </c>
      <c r="H108" s="118" t="str">
        <f t="array" ref="H108:K108">_xlfn.XLOOKUP(C108,'ESAP NEIVA FASE II UNIFICADO'!$C$6:$C$720,'ESAP NEIVA FASE II UNIFICADO'!$C$6:$F$720,"NO ESTA")</f>
        <v>SUMINISTRO E INSTALACION VENTANA EN ALUMINIO o similar TIPO V5 Incluye VIDRIO Referencia SOLARBAN Ver NOTAS GENERALES DE PLANCHA</v>
      </c>
      <c r="I108" t="str">
        <v>M2</v>
      </c>
      <c r="J108">
        <v>0</v>
      </c>
      <c r="K108">
        <v>267475</v>
      </c>
      <c r="L108">
        <f t="shared" si="7"/>
        <v>1</v>
      </c>
      <c r="M108">
        <f t="shared" si="8"/>
        <v>260667</v>
      </c>
      <c r="N108" s="119">
        <f t="shared" si="9"/>
        <v>0.36</v>
      </c>
      <c r="O108" s="119">
        <f t="shared" si="10"/>
        <v>93840.12</v>
      </c>
    </row>
    <row r="109" spans="2:15" ht="15" customHeight="1" x14ac:dyDescent="0.25">
      <c r="B109" s="99">
        <v>8</v>
      </c>
      <c r="C109" s="100" t="s">
        <v>196</v>
      </c>
      <c r="D109" s="101"/>
      <c r="E109" s="232"/>
      <c r="F109" s="103">
        <v>0</v>
      </c>
      <c r="G109" s="89">
        <f t="shared" si="6"/>
        <v>0</v>
      </c>
      <c r="H109" s="118" t="str">
        <f t="array" ref="H109:K109">_xlfn.XLOOKUP(C109,'ESAP NEIVA FASE II UNIFICADO'!$C$6:$C$720,'ESAP NEIVA FASE II UNIFICADO'!$C$6:$F$720,"NO ESTA")</f>
        <v>VENTANALES</v>
      </c>
      <c r="I109">
        <v>0</v>
      </c>
      <c r="J109">
        <v>0</v>
      </c>
      <c r="K109">
        <v>0</v>
      </c>
      <c r="L109">
        <f t="shared" si="7"/>
        <v>1</v>
      </c>
      <c r="M109">
        <f t="shared" si="8"/>
        <v>0</v>
      </c>
      <c r="N109" s="119">
        <f t="shared" si="9"/>
        <v>0</v>
      </c>
      <c r="O109" s="119">
        <f t="shared" si="10"/>
        <v>0</v>
      </c>
    </row>
    <row r="110" spans="2:15" ht="15" customHeight="1" x14ac:dyDescent="0.25">
      <c r="B110" s="80" t="s">
        <v>197</v>
      </c>
      <c r="C110" s="81" t="s">
        <v>198</v>
      </c>
      <c r="D110" s="82"/>
      <c r="E110" s="230"/>
      <c r="F110" s="90">
        <v>0</v>
      </c>
      <c r="G110" s="89">
        <f t="shared" si="6"/>
        <v>0</v>
      </c>
      <c r="H110" s="118" t="str">
        <f t="array" ref="H110:K110">_xlfn.XLOOKUP(C110,'ESAP NEIVA FASE II UNIFICADO'!$C$6:$C$720,'ESAP NEIVA FASE II UNIFICADO'!$C$6:$F$720,"NO ESTA")</f>
        <v>SUMINISTRO E INSTALACION VENTANALES PISO 1</v>
      </c>
      <c r="I110">
        <v>0</v>
      </c>
      <c r="J110">
        <v>0</v>
      </c>
      <c r="K110">
        <v>0</v>
      </c>
      <c r="L110">
        <f t="shared" si="7"/>
        <v>1</v>
      </c>
      <c r="M110">
        <f t="shared" si="8"/>
        <v>0</v>
      </c>
      <c r="N110" s="119">
        <f t="shared" si="9"/>
        <v>0</v>
      </c>
      <c r="O110" s="119">
        <f t="shared" si="10"/>
        <v>0</v>
      </c>
    </row>
    <row r="111" spans="2:15" ht="25.5" customHeight="1" x14ac:dyDescent="0.25">
      <c r="B111" s="86" t="s">
        <v>199</v>
      </c>
      <c r="C111" s="87" t="s">
        <v>200</v>
      </c>
      <c r="D111" s="82" t="s">
        <v>13</v>
      </c>
      <c r="E111" s="230">
        <v>16.32</v>
      </c>
      <c r="F111" s="88">
        <v>303948</v>
      </c>
      <c r="G111" s="89">
        <f t="shared" si="6"/>
        <v>4960431.3600000003</v>
      </c>
      <c r="H111" s="118" t="str">
        <f t="array" ref="H111:K111">_xlfn.XLOOKUP(C111,'ESAP NEIVA FASE II UNIFICADO'!$C$6:$C$720,'ESAP NEIVA FASE II UNIFICADO'!$C$6:$F$720,"NO ESTA")</f>
        <v>SUMINISTRO E INSTALACION VENTANAL INTERIOR EN ALUMINIO o similar TIPO V-0 Incluye VIDRIO Referencia TRASLUCIDO TEMPLADO 10MM Ver NOTAS GENERALES DE PLANCHA</v>
      </c>
      <c r="I111" t="str">
        <v>M2</v>
      </c>
      <c r="J111">
        <v>44.879999999999995</v>
      </c>
      <c r="K111">
        <v>311887</v>
      </c>
      <c r="L111">
        <f t="shared" si="7"/>
        <v>0</v>
      </c>
      <c r="M111">
        <f t="shared" si="8"/>
        <v>0</v>
      </c>
      <c r="N111" s="119">
        <f t="shared" si="9"/>
        <v>16.32</v>
      </c>
      <c r="O111" s="119">
        <f t="shared" si="10"/>
        <v>0</v>
      </c>
    </row>
    <row r="112" spans="2:15" ht="25.5" customHeight="1" x14ac:dyDescent="0.25">
      <c r="B112" s="86" t="s">
        <v>201</v>
      </c>
      <c r="C112" s="147" t="s">
        <v>202</v>
      </c>
      <c r="D112" s="82" t="s">
        <v>13</v>
      </c>
      <c r="E112" s="230">
        <v>111.43</v>
      </c>
      <c r="F112" s="88">
        <v>344443</v>
      </c>
      <c r="G112" s="89">
        <f t="shared" si="6"/>
        <v>38381283.490000002</v>
      </c>
      <c r="H112" s="118" t="str">
        <f t="array" ref="H112:K112">_xlfn.XLOOKUP(C112,'ESAP NEIVA FASE II UNIFICADO'!$C$6:$C$720,'ESAP NEIVA FASE II UNIFICADO'!$C$6:$F$720,"NO ESTA")</f>
        <v>SUMINISTRO E INSTALACION VENTANAL PERFIL 12cm EN ALUMINIO o similar TIPO V-1 Incluye VIDRIO Referencia SOLARBAN Ver NOTAS GENERALES DE PLANCHA</v>
      </c>
      <c r="I112" t="str">
        <v>M2</v>
      </c>
      <c r="J112">
        <v>111.41999999999999</v>
      </c>
      <c r="K112">
        <v>353438</v>
      </c>
      <c r="L112">
        <f t="shared" si="7"/>
        <v>0</v>
      </c>
      <c r="M112">
        <f t="shared" si="8"/>
        <v>0</v>
      </c>
      <c r="N112" s="119">
        <f t="shared" si="9"/>
        <v>111.43</v>
      </c>
      <c r="O112" s="119">
        <f t="shared" si="10"/>
        <v>0</v>
      </c>
    </row>
    <row r="113" spans="2:15" ht="25.5" customHeight="1" x14ac:dyDescent="0.25">
      <c r="B113" s="86" t="s">
        <v>203</v>
      </c>
      <c r="C113" s="149" t="s">
        <v>204</v>
      </c>
      <c r="D113" s="82" t="s">
        <v>13</v>
      </c>
      <c r="E113" s="230">
        <v>17.010000000000002</v>
      </c>
      <c r="F113" s="88">
        <v>360365</v>
      </c>
      <c r="G113" s="89">
        <f t="shared" si="6"/>
        <v>6129808.6500000004</v>
      </c>
      <c r="H113" s="118" t="str">
        <f t="array" ref="H113:K113">_xlfn.XLOOKUP(C113,'ESAP NEIVA FASE II UNIFICADO'!$C$6:$C$720,'ESAP NEIVA FASE II UNIFICADO'!$C$6:$F$720,"NO ESTA")</f>
        <v>SUMINISTRO E INSTALACION VENTANAL DOBLE ALTURA EN ALUMINIO o similar TIPO V-4 Incluye VIDRIO Referencia SOLARBAN Ver NOTAS GENERALES DE PLANCHA</v>
      </c>
      <c r="I113" t="str">
        <v>M2</v>
      </c>
      <c r="J113">
        <v>17.010000000000002</v>
      </c>
      <c r="K113">
        <v>369778</v>
      </c>
      <c r="L113">
        <f t="shared" si="7"/>
        <v>0</v>
      </c>
      <c r="M113">
        <f t="shared" si="8"/>
        <v>0</v>
      </c>
      <c r="N113" s="119">
        <f t="shared" si="9"/>
        <v>17.010000000000002</v>
      </c>
      <c r="O113" s="119">
        <f t="shared" si="10"/>
        <v>0</v>
      </c>
    </row>
    <row r="114" spans="2:15" ht="25.5" customHeight="1" x14ac:dyDescent="0.25">
      <c r="B114" s="86" t="s">
        <v>205</v>
      </c>
      <c r="C114" s="149" t="s">
        <v>206</v>
      </c>
      <c r="D114" s="82" t="s">
        <v>13</v>
      </c>
      <c r="E114" s="230">
        <v>13.07</v>
      </c>
      <c r="F114" s="88">
        <v>360365</v>
      </c>
      <c r="G114" s="89">
        <f t="shared" si="6"/>
        <v>4709970.55</v>
      </c>
      <c r="H114" s="118" t="str">
        <f t="array" ref="H114:K114">_xlfn.XLOOKUP(C114,'ESAP NEIVA FASE II UNIFICADO'!$C$6:$C$720,'ESAP NEIVA FASE II UNIFICADO'!$C$6:$F$720,"NO ESTA")</f>
        <v>SUMINISTRO E INSTALACIONVENTANAL DOBLE ALTURA LIBRE EN ALUMINIO o similar TIPO V-5 Incluye VIDRIO Referencia SOLARBAN Ver NOTAS GENERALES DE PLANCHA</v>
      </c>
      <c r="I114" t="str">
        <v>M2</v>
      </c>
      <c r="J114">
        <v>13.059999999999999</v>
      </c>
      <c r="K114">
        <v>369778</v>
      </c>
      <c r="L114">
        <f t="shared" si="7"/>
        <v>0</v>
      </c>
      <c r="M114">
        <f t="shared" si="8"/>
        <v>0</v>
      </c>
      <c r="N114" s="119">
        <f t="shared" si="9"/>
        <v>13.07</v>
      </c>
      <c r="O114" s="119">
        <f t="shared" si="10"/>
        <v>0</v>
      </c>
    </row>
    <row r="115" spans="2:15" ht="15" customHeight="1" x14ac:dyDescent="0.25">
      <c r="B115" s="80" t="s">
        <v>207</v>
      </c>
      <c r="C115" s="81" t="s">
        <v>208</v>
      </c>
      <c r="D115" s="82"/>
      <c r="E115" s="230"/>
      <c r="F115" s="90">
        <v>0</v>
      </c>
      <c r="G115" s="89">
        <f t="shared" si="6"/>
        <v>0</v>
      </c>
      <c r="H115" s="118" t="str">
        <f t="array" ref="H115:K115">_xlfn.XLOOKUP(C115,'ESAP NEIVA FASE II UNIFICADO'!$C$6:$C$720,'ESAP NEIVA FASE II UNIFICADO'!$C$6:$F$720,"NO ESTA")</f>
        <v>SUMINISTRO E INSTALACION VENTANALES PISO 2</v>
      </c>
      <c r="I115">
        <v>0</v>
      </c>
      <c r="J115">
        <v>0</v>
      </c>
      <c r="K115">
        <v>0</v>
      </c>
      <c r="L115">
        <f t="shared" si="7"/>
        <v>1</v>
      </c>
      <c r="M115">
        <f t="shared" si="8"/>
        <v>0</v>
      </c>
      <c r="N115" s="119">
        <f t="shared" si="9"/>
        <v>0</v>
      </c>
      <c r="O115" s="119">
        <f t="shared" si="10"/>
        <v>0</v>
      </c>
    </row>
    <row r="116" spans="2:15" ht="25.5" customHeight="1" x14ac:dyDescent="0.25">
      <c r="B116" s="86" t="s">
        <v>209</v>
      </c>
      <c r="C116" s="87" t="s">
        <v>210</v>
      </c>
      <c r="D116" s="82" t="s">
        <v>13</v>
      </c>
      <c r="E116" s="230">
        <v>21.89</v>
      </c>
      <c r="F116" s="88">
        <v>241010</v>
      </c>
      <c r="G116" s="89">
        <f t="shared" si="6"/>
        <v>5275708.9000000004</v>
      </c>
      <c r="H116" s="118" t="str">
        <f t="array" ref="H116:K116">_xlfn.XLOOKUP(C116,'ESAP NEIVA FASE II UNIFICADO'!$C$6:$C$720,'ESAP NEIVA FASE II UNIFICADO'!$C$6:$F$720,"NO ESTA")</f>
        <v>SUMINISTRO E INSTALACION CORTASOL Referencia 84R TIPO CS-1 Ver NOTAS GENERALES DE PLANCHA</v>
      </c>
      <c r="I116" t="str">
        <v>M2</v>
      </c>
      <c r="J116">
        <v>221.89</v>
      </c>
      <c r="K116">
        <v>247305</v>
      </c>
      <c r="L116">
        <f t="shared" si="7"/>
        <v>0</v>
      </c>
      <c r="M116">
        <f t="shared" si="8"/>
        <v>0</v>
      </c>
      <c r="N116" s="119">
        <f t="shared" si="9"/>
        <v>21.89</v>
      </c>
      <c r="O116" s="119">
        <f t="shared" si="10"/>
        <v>0</v>
      </c>
    </row>
    <row r="117" spans="2:15" ht="25.5" customHeight="1" x14ac:dyDescent="0.25">
      <c r="B117" s="86" t="s">
        <v>211</v>
      </c>
      <c r="C117" s="87" t="s">
        <v>200</v>
      </c>
      <c r="D117" s="82" t="s">
        <v>13</v>
      </c>
      <c r="E117" s="230">
        <v>13.48</v>
      </c>
      <c r="F117" s="88">
        <v>303948</v>
      </c>
      <c r="G117" s="89">
        <f t="shared" si="6"/>
        <v>4097219.04</v>
      </c>
      <c r="H117" s="118" t="str">
        <f t="array" ref="H117:K117">_xlfn.XLOOKUP(C117,'ESAP NEIVA FASE II UNIFICADO'!$C$6:$C$720,'ESAP NEIVA FASE II UNIFICADO'!$C$6:$F$720,"NO ESTA")</f>
        <v>SUMINISTRO E INSTALACION VENTANAL INTERIOR EN ALUMINIO o similar TIPO V-0 Incluye VIDRIO Referencia TRASLUCIDO TEMPLADO 10MM Ver NOTAS GENERALES DE PLANCHA</v>
      </c>
      <c r="I117" t="str">
        <v>M2</v>
      </c>
      <c r="J117">
        <v>44.879999999999995</v>
      </c>
      <c r="K117">
        <v>311887</v>
      </c>
      <c r="L117">
        <f t="shared" si="7"/>
        <v>0</v>
      </c>
      <c r="M117">
        <f t="shared" si="8"/>
        <v>0</v>
      </c>
      <c r="N117" s="119">
        <f t="shared" si="9"/>
        <v>13.48</v>
      </c>
      <c r="O117" s="119">
        <f t="shared" si="10"/>
        <v>0</v>
      </c>
    </row>
    <row r="118" spans="2:15" ht="25.5" customHeight="1" x14ac:dyDescent="0.25">
      <c r="B118" s="86" t="s">
        <v>212</v>
      </c>
      <c r="C118" s="147" t="s">
        <v>202</v>
      </c>
      <c r="D118" s="82" t="s">
        <v>13</v>
      </c>
      <c r="E118" s="230">
        <v>30.01</v>
      </c>
      <c r="F118" s="88">
        <v>344443</v>
      </c>
      <c r="G118" s="89">
        <f t="shared" si="6"/>
        <v>10336734.43</v>
      </c>
      <c r="H118" s="118" t="str">
        <f t="array" ref="H118:K118">_xlfn.XLOOKUP(C118,'ESAP NEIVA FASE II UNIFICADO'!$C$6:$C$720,'ESAP NEIVA FASE II UNIFICADO'!$C$6:$F$720,"NO ESTA")</f>
        <v>SUMINISTRO E INSTALACION VENTANAL PERFIL 12cm EN ALUMINIO o similar TIPO V-1 Incluye VIDRIO Referencia SOLARBAN Ver NOTAS GENERALES DE PLANCHA</v>
      </c>
      <c r="I118" t="str">
        <v>M2</v>
      </c>
      <c r="J118">
        <v>111.41999999999999</v>
      </c>
      <c r="K118">
        <v>353438</v>
      </c>
      <c r="L118">
        <f t="shared" si="7"/>
        <v>0</v>
      </c>
      <c r="M118">
        <f t="shared" si="8"/>
        <v>0</v>
      </c>
      <c r="N118" s="119">
        <f t="shared" si="9"/>
        <v>30.01</v>
      </c>
      <c r="O118" s="119">
        <f t="shared" si="10"/>
        <v>0</v>
      </c>
    </row>
    <row r="119" spans="2:15" ht="25.5" customHeight="1" x14ac:dyDescent="0.25">
      <c r="B119" s="86" t="s">
        <v>213</v>
      </c>
      <c r="C119" s="149" t="s">
        <v>214</v>
      </c>
      <c r="D119" s="82" t="s">
        <v>13</v>
      </c>
      <c r="E119" s="230">
        <v>63.83</v>
      </c>
      <c r="F119" s="88">
        <v>344443</v>
      </c>
      <c r="G119" s="89">
        <f t="shared" si="6"/>
        <v>21985796.690000001</v>
      </c>
      <c r="H119" s="118" t="str">
        <f t="array" ref="H119:K119">_xlfn.XLOOKUP(C119,'ESAP NEIVA FASE II UNIFICADO'!$C$6:$C$720,'ESAP NEIVA FASE II UNIFICADO'!$C$6:$F$720,"NO ESTA")</f>
        <v>SUMINISTRO E INSTALACION VENTANAL PERFIL 12cm  AULAS COMPLETO EN ALUMINIO o similar TIPO V-2 Incluye VIDRIO Referencia SOLARBAN Ver NOTAS GENERALES DE PLANCHA</v>
      </c>
      <c r="I119" t="str">
        <v>M2</v>
      </c>
      <c r="J119">
        <v>78.760000000000005</v>
      </c>
      <c r="K119">
        <v>353438</v>
      </c>
      <c r="L119">
        <f t="shared" si="7"/>
        <v>0</v>
      </c>
      <c r="M119">
        <f t="shared" si="8"/>
        <v>0</v>
      </c>
      <c r="N119" s="119">
        <f t="shared" si="9"/>
        <v>63.83</v>
      </c>
      <c r="O119" s="119">
        <f t="shared" si="10"/>
        <v>0</v>
      </c>
    </row>
    <row r="120" spans="2:15" ht="25.5" customHeight="1" x14ac:dyDescent="0.25">
      <c r="B120" s="86" t="s">
        <v>215</v>
      </c>
      <c r="C120" s="149" t="s">
        <v>216</v>
      </c>
      <c r="D120" s="82" t="s">
        <v>13</v>
      </c>
      <c r="E120" s="230">
        <v>7.99</v>
      </c>
      <c r="F120" s="88">
        <v>357587</v>
      </c>
      <c r="G120" s="89">
        <f t="shared" si="6"/>
        <v>2857120.13</v>
      </c>
      <c r="H120" s="118" t="str">
        <f t="array" ref="H120:K120">_xlfn.XLOOKUP(C120,'ESAP NEIVA FASE II UNIFICADO'!$C$6:$C$720,'ESAP NEIVA FASE II UNIFICADO'!$C$6:$F$720,"NO ESTA")</f>
        <v>SUMINISTRO E INSTALACION VENTANAL PERFIL 15cm EN ALUMINIO o similar TIPO V-3 Incluye VIDRIO Referencia SOLARBAN Ver NOTAS GENERALES DE PLANCHA</v>
      </c>
      <c r="I120" t="str">
        <v>M2</v>
      </c>
      <c r="J120">
        <v>78.989999999999995</v>
      </c>
      <c r="K120">
        <v>366927</v>
      </c>
      <c r="L120">
        <f t="shared" si="7"/>
        <v>0</v>
      </c>
      <c r="M120">
        <f t="shared" si="8"/>
        <v>0</v>
      </c>
      <c r="N120" s="119">
        <f t="shared" si="9"/>
        <v>7.99</v>
      </c>
      <c r="O120" s="119">
        <f t="shared" si="10"/>
        <v>0</v>
      </c>
    </row>
    <row r="121" spans="2:15" ht="25.5" customHeight="1" x14ac:dyDescent="0.25">
      <c r="B121" s="86" t="s">
        <v>217</v>
      </c>
      <c r="C121" s="149" t="s">
        <v>218</v>
      </c>
      <c r="D121" s="82" t="s">
        <v>13</v>
      </c>
      <c r="E121" s="230">
        <v>11.76</v>
      </c>
      <c r="F121" s="88">
        <v>360365</v>
      </c>
      <c r="G121" s="89">
        <f t="shared" si="6"/>
        <v>4237892.4000000004</v>
      </c>
      <c r="H121" s="118" t="str">
        <f t="array" ref="H121:K121">_xlfn.XLOOKUP(C121,'ESAP NEIVA FASE II UNIFICADO'!$C$6:$C$720,'ESAP NEIVA FASE II UNIFICADO'!$C$6:$F$720,"NO ESTA")</f>
        <v>SUMINISTRO E INSTALACION VENTANAL DOBLE ALTURA LIBRE EN ALUMINIO o similar TIPO V-5 Incluye VIDRIO Referencia SOLARBAN Ver NOTAS GENERALES DE PLANCHA</v>
      </c>
      <c r="I121" t="str">
        <v>M2</v>
      </c>
      <c r="J121">
        <v>11.76</v>
      </c>
      <c r="K121">
        <v>369778</v>
      </c>
      <c r="L121">
        <f t="shared" si="7"/>
        <v>0</v>
      </c>
      <c r="M121">
        <f t="shared" si="8"/>
        <v>0</v>
      </c>
      <c r="N121" s="119">
        <f t="shared" si="9"/>
        <v>11.76</v>
      </c>
      <c r="O121" s="119">
        <f t="shared" si="10"/>
        <v>0</v>
      </c>
    </row>
    <row r="122" spans="2:15" ht="25.5" customHeight="1" x14ac:dyDescent="0.25">
      <c r="B122" s="86" t="s">
        <v>219</v>
      </c>
      <c r="C122" s="150" t="s">
        <v>220</v>
      </c>
      <c r="D122" s="82" t="s">
        <v>13</v>
      </c>
      <c r="E122" s="230">
        <v>10.72</v>
      </c>
      <c r="F122" s="88">
        <v>401495</v>
      </c>
      <c r="G122" s="89">
        <f t="shared" si="6"/>
        <v>4304026.4000000004</v>
      </c>
      <c r="H122" s="118" t="str">
        <f t="array" ref="H122:K122">_xlfn.XLOOKUP(C122,'ESAP NEIVA FASE II UNIFICADO'!$C$6:$C$720,'ESAP NEIVA FASE II UNIFICADO'!$C$6:$F$720,"NO ESTA")</f>
        <v>SUMINISTRO E INSTALACION VENTANAL INTERIOR PERFIL 15cm SALONES EN ALUMINIO o similar TIPO V-6Incluye VIDRIO Referencia TRASLUCIDO TEMPLADO 10MM Ver NOTAS GENERALES DE PLANCHA</v>
      </c>
      <c r="I122" t="str">
        <v>M2</v>
      </c>
      <c r="J122">
        <v>15.659999999999998</v>
      </c>
      <c r="K122">
        <v>411981</v>
      </c>
      <c r="L122">
        <f t="shared" si="7"/>
        <v>0</v>
      </c>
      <c r="M122">
        <f t="shared" si="8"/>
        <v>0</v>
      </c>
      <c r="N122" s="119">
        <f t="shared" si="9"/>
        <v>10.72</v>
      </c>
      <c r="O122" s="119">
        <f t="shared" si="10"/>
        <v>0</v>
      </c>
    </row>
    <row r="123" spans="2:15" ht="17.25" customHeight="1" x14ac:dyDescent="0.25">
      <c r="B123" s="74">
        <v>9</v>
      </c>
      <c r="C123" s="75" t="s">
        <v>221</v>
      </c>
      <c r="D123" s="76"/>
      <c r="E123" s="229"/>
      <c r="F123" s="78">
        <v>0</v>
      </c>
      <c r="G123" s="89">
        <f t="shared" si="6"/>
        <v>0</v>
      </c>
      <c r="H123" s="118" t="str">
        <f t="array" ref="H123:K123">_xlfn.XLOOKUP(C123,'ESAP NEIVA FASE II UNIFICADO'!$C$6:$C$720,'ESAP NEIVA FASE II UNIFICADO'!$C$6:$F$720,"NO ESTA")</f>
        <v>PUERTAS</v>
      </c>
      <c r="I123">
        <v>0</v>
      </c>
      <c r="J123">
        <v>0</v>
      </c>
      <c r="K123">
        <v>0</v>
      </c>
      <c r="L123">
        <f t="shared" si="7"/>
        <v>1</v>
      </c>
      <c r="M123">
        <f t="shared" si="8"/>
        <v>0</v>
      </c>
      <c r="N123" s="119">
        <f t="shared" si="9"/>
        <v>0</v>
      </c>
      <c r="O123" s="119">
        <f t="shared" si="10"/>
        <v>0</v>
      </c>
    </row>
    <row r="124" spans="2:15" ht="15" customHeight="1" x14ac:dyDescent="0.25">
      <c r="B124" s="80" t="s">
        <v>222</v>
      </c>
      <c r="C124" s="81" t="s">
        <v>223</v>
      </c>
      <c r="D124" s="82"/>
      <c r="E124" s="230"/>
      <c r="F124" s="90">
        <v>0</v>
      </c>
      <c r="G124" s="89">
        <f t="shared" si="6"/>
        <v>0</v>
      </c>
      <c r="H124" s="118" t="str">
        <f t="array" ref="H124:K124">_xlfn.XLOOKUP(C124,'ESAP NEIVA FASE II UNIFICADO'!$C$6:$C$720,'ESAP NEIVA FASE II UNIFICADO'!$C$6:$F$720,"NO ESTA")</f>
        <v>SUMINISTRO E INSTALACIÓN PUERTAS SEMISOTANO</v>
      </c>
      <c r="I124">
        <v>0</v>
      </c>
      <c r="J124">
        <v>0</v>
      </c>
      <c r="K124">
        <v>0</v>
      </c>
      <c r="L124">
        <f t="shared" si="7"/>
        <v>1</v>
      </c>
      <c r="M124">
        <f t="shared" si="8"/>
        <v>0</v>
      </c>
      <c r="N124" s="119">
        <f t="shared" si="9"/>
        <v>0</v>
      </c>
      <c r="O124" s="119">
        <f t="shared" si="10"/>
        <v>0</v>
      </c>
    </row>
    <row r="125" spans="2:15" ht="25.5" customHeight="1" x14ac:dyDescent="0.25">
      <c r="B125" s="86" t="s">
        <v>224</v>
      </c>
      <c r="C125" s="87" t="s">
        <v>225</v>
      </c>
      <c r="D125" s="82" t="s">
        <v>13</v>
      </c>
      <c r="E125" s="230">
        <v>4.4000000000000004</v>
      </c>
      <c r="F125" s="88">
        <v>1346813</v>
      </c>
      <c r="G125" s="89">
        <f t="shared" si="6"/>
        <v>5925977.2000000002</v>
      </c>
      <c r="H125" s="118" t="str">
        <f t="array" ref="H125:K125">_xlfn.XLOOKUP(C125,'ESAP NEIVA FASE II UNIFICADO'!$C$6:$C$720,'ESAP NEIVA FASE II UNIFICADO'!$C$6:$F$720,"NO ESTA")</f>
        <v>SUMINISTRO E INSTALACION PUERTA DE EVACUACIÓN TIPO P-1 Ver NOTAS GENERALES DE PLANCHA</v>
      </c>
      <c r="I125" t="str">
        <v>M2</v>
      </c>
      <c r="J125">
        <v>0</v>
      </c>
      <c r="K125">
        <v>1381990</v>
      </c>
      <c r="L125">
        <f t="shared" si="7"/>
        <v>1</v>
      </c>
      <c r="M125">
        <f t="shared" si="8"/>
        <v>1346813</v>
      </c>
      <c r="N125" s="119">
        <f t="shared" si="9"/>
        <v>4.4000000000000004</v>
      </c>
      <c r="O125" s="119">
        <f t="shared" si="10"/>
        <v>5925977.2000000002</v>
      </c>
    </row>
    <row r="126" spans="2:15" ht="25.5" customHeight="1" x14ac:dyDescent="0.25">
      <c r="B126" s="86" t="s">
        <v>226</v>
      </c>
      <c r="C126" s="87" t="s">
        <v>227</v>
      </c>
      <c r="D126" s="82" t="s">
        <v>13</v>
      </c>
      <c r="E126" s="230">
        <v>15.12</v>
      </c>
      <c r="F126" s="88">
        <v>128200</v>
      </c>
      <c r="G126" s="89">
        <f t="shared" si="6"/>
        <v>1938384</v>
      </c>
      <c r="H126" s="118" t="str">
        <f t="array" ref="H126:K126">_xlfn.XLOOKUP(C126,'ESAP NEIVA FASE II UNIFICADO'!$C$6:$C$720,'ESAP NEIVA FASE II UNIFICADO'!$C$6:$F$720,"NO ESTA")</f>
        <v>SUMINISTRO E INSTALACION PUERTA METALICA DEPOSITOS TIPO P-2 Ver NOTAS GENERALES DE PLANCHA</v>
      </c>
      <c r="I126" t="str">
        <v>M2</v>
      </c>
      <c r="J126">
        <v>0</v>
      </c>
      <c r="K126">
        <v>131548</v>
      </c>
      <c r="L126">
        <f t="shared" si="7"/>
        <v>1</v>
      </c>
      <c r="M126">
        <f t="shared" si="8"/>
        <v>128200</v>
      </c>
      <c r="N126" s="119">
        <f t="shared" si="9"/>
        <v>15.12</v>
      </c>
      <c r="O126" s="119">
        <f t="shared" si="10"/>
        <v>1938384</v>
      </c>
    </row>
    <row r="127" spans="2:15" ht="25.5" customHeight="1" x14ac:dyDescent="0.25">
      <c r="B127" s="86" t="s">
        <v>228</v>
      </c>
      <c r="C127" s="87" t="s">
        <v>229</v>
      </c>
      <c r="D127" s="82" t="s">
        <v>13</v>
      </c>
      <c r="E127" s="230">
        <v>33.6</v>
      </c>
      <c r="F127" s="88">
        <v>150759</v>
      </c>
      <c r="G127" s="89">
        <f t="shared" si="6"/>
        <v>5065502.4000000004</v>
      </c>
      <c r="H127" s="118" t="str">
        <f t="array" ref="H127:K127">_xlfn.XLOOKUP(C127,'ESAP NEIVA FASE II UNIFICADO'!$C$6:$C$720,'ESAP NEIVA FASE II UNIFICADO'!$C$6:$F$720,"NO ESTA")</f>
        <v>SUMINISTRO E INSTALACION PUERTA METALICA DOBLE HOJA TIPO P-7 Ver NOTAS GENERALES DE PLANCHA</v>
      </c>
      <c r="I127" t="str">
        <v>M2</v>
      </c>
      <c r="J127">
        <v>0</v>
      </c>
      <c r="K127">
        <v>154697</v>
      </c>
      <c r="L127">
        <f t="shared" si="7"/>
        <v>1</v>
      </c>
      <c r="M127">
        <f t="shared" si="8"/>
        <v>150759</v>
      </c>
      <c r="N127" s="119">
        <f t="shared" si="9"/>
        <v>33.6</v>
      </c>
      <c r="O127" s="119">
        <f t="shared" si="10"/>
        <v>5065502.4000000004</v>
      </c>
    </row>
    <row r="128" spans="2:15" ht="25.5" customHeight="1" x14ac:dyDescent="0.25">
      <c r="B128" s="86" t="s">
        <v>230</v>
      </c>
      <c r="C128" s="87" t="s">
        <v>231</v>
      </c>
      <c r="D128" s="82" t="s">
        <v>13</v>
      </c>
      <c r="E128" s="230">
        <v>15.84</v>
      </c>
      <c r="F128" s="88">
        <v>245793</v>
      </c>
      <c r="G128" s="89">
        <f t="shared" si="6"/>
        <v>3893361.12</v>
      </c>
      <c r="H128" s="118" t="str">
        <f t="array" ref="H128">_xlfn.XLOOKUP(C128,'ESAP NEIVA FASE II UNIFICADO'!$C$6:$C$720,'ESAP NEIVA FASE II UNIFICADO'!$C$6:$F$720,"NO ESTA")</f>
        <v>NO ESTA</v>
      </c>
      <c r="L128">
        <f t="shared" si="7"/>
        <v>1</v>
      </c>
      <c r="M128">
        <f t="shared" si="8"/>
        <v>245793</v>
      </c>
      <c r="N128" s="119">
        <f t="shared" si="9"/>
        <v>15.84</v>
      </c>
      <c r="O128" s="119">
        <f t="shared" si="10"/>
        <v>3893361.12</v>
      </c>
    </row>
    <row r="129" spans="2:15" ht="15" customHeight="1" x14ac:dyDescent="0.25">
      <c r="B129" s="80" t="s">
        <v>232</v>
      </c>
      <c r="C129" s="81" t="s">
        <v>233</v>
      </c>
      <c r="D129" s="82"/>
      <c r="E129" s="230"/>
      <c r="F129" s="90">
        <v>0</v>
      </c>
      <c r="G129" s="89">
        <f t="shared" si="6"/>
        <v>0</v>
      </c>
      <c r="H129" s="118" t="str">
        <f t="array" ref="H129:K129">_xlfn.XLOOKUP(C129,'ESAP NEIVA FASE II UNIFICADO'!$C$6:$C$720,'ESAP NEIVA FASE II UNIFICADO'!$C$6:$F$720,"NO ESTA")</f>
        <v>SUMINISTRO E INSTALACIÓN PUERTAS PISO 1</v>
      </c>
      <c r="I129">
        <v>0</v>
      </c>
      <c r="J129">
        <v>0</v>
      </c>
      <c r="K129">
        <v>0</v>
      </c>
      <c r="L129">
        <f t="shared" si="7"/>
        <v>1</v>
      </c>
      <c r="M129">
        <f t="shared" si="8"/>
        <v>0</v>
      </c>
      <c r="N129" s="119">
        <f t="shared" si="9"/>
        <v>0</v>
      </c>
      <c r="O129" s="119">
        <f t="shared" si="10"/>
        <v>0</v>
      </c>
    </row>
    <row r="130" spans="2:15" ht="25.5" customHeight="1" x14ac:dyDescent="0.25">
      <c r="B130" s="86" t="s">
        <v>234</v>
      </c>
      <c r="C130" s="87" t="s">
        <v>225</v>
      </c>
      <c r="D130" s="82" t="s">
        <v>13</v>
      </c>
      <c r="E130" s="230">
        <v>4.4000000000000004</v>
      </c>
      <c r="F130" s="88">
        <v>1346813</v>
      </c>
      <c r="G130" s="89">
        <f t="shared" si="6"/>
        <v>5925977.2000000002</v>
      </c>
      <c r="H130" s="118" t="str">
        <f t="array" ref="H130:K130">_xlfn.XLOOKUP(C130,'ESAP NEIVA FASE II UNIFICADO'!$C$6:$C$720,'ESAP NEIVA FASE II UNIFICADO'!$C$6:$F$720,"NO ESTA")</f>
        <v>SUMINISTRO E INSTALACION PUERTA DE EVACUACIÓN TIPO P-1 Ver NOTAS GENERALES DE PLANCHA</v>
      </c>
      <c r="I130" t="str">
        <v>M2</v>
      </c>
      <c r="J130">
        <v>0</v>
      </c>
      <c r="K130">
        <v>1381990</v>
      </c>
      <c r="L130">
        <f t="shared" si="7"/>
        <v>1</v>
      </c>
      <c r="M130">
        <f t="shared" si="8"/>
        <v>1346813</v>
      </c>
      <c r="N130" s="119">
        <f t="shared" si="9"/>
        <v>4.4000000000000004</v>
      </c>
      <c r="O130" s="119">
        <f t="shared" si="10"/>
        <v>5925977.2000000002</v>
      </c>
    </row>
    <row r="131" spans="2:15" ht="25.5" customHeight="1" x14ac:dyDescent="0.25">
      <c r="B131" s="86" t="s">
        <v>235</v>
      </c>
      <c r="C131" s="87" t="s">
        <v>227</v>
      </c>
      <c r="D131" s="82" t="s">
        <v>13</v>
      </c>
      <c r="E131" s="230">
        <v>12.96</v>
      </c>
      <c r="F131" s="88">
        <v>128200</v>
      </c>
      <c r="G131" s="89">
        <f t="shared" si="6"/>
        <v>1661472</v>
      </c>
      <c r="H131" s="118" t="str">
        <f t="array" ref="H131:K131">_xlfn.XLOOKUP(C131,'ESAP NEIVA FASE II UNIFICADO'!$C$6:$C$720,'ESAP NEIVA FASE II UNIFICADO'!$C$6:$F$720,"NO ESTA")</f>
        <v>SUMINISTRO E INSTALACION PUERTA METALICA DEPOSITOS TIPO P-2 Ver NOTAS GENERALES DE PLANCHA</v>
      </c>
      <c r="I131" t="str">
        <v>M2</v>
      </c>
      <c r="J131">
        <v>0</v>
      </c>
      <c r="K131">
        <v>131548</v>
      </c>
      <c r="L131">
        <f t="shared" si="7"/>
        <v>1</v>
      </c>
      <c r="M131">
        <f t="shared" si="8"/>
        <v>128200</v>
      </c>
      <c r="N131" s="119">
        <f t="shared" si="9"/>
        <v>12.96</v>
      </c>
      <c r="O131" s="119">
        <f t="shared" si="10"/>
        <v>1661472</v>
      </c>
    </row>
    <row r="132" spans="2:15" ht="25.5" customHeight="1" x14ac:dyDescent="0.25">
      <c r="B132" s="86" t="s">
        <v>236</v>
      </c>
      <c r="C132" s="87" t="s">
        <v>237</v>
      </c>
      <c r="D132" s="82" t="s">
        <v>13</v>
      </c>
      <c r="E132" s="230">
        <v>2.4</v>
      </c>
      <c r="F132" s="88">
        <v>712932</v>
      </c>
      <c r="G132" s="89">
        <f t="shared" si="6"/>
        <v>1711036.8</v>
      </c>
      <c r="H132" s="118" t="str">
        <f t="array" ref="H132:K132">_xlfn.XLOOKUP(C132,'ESAP NEIVA FASE II UNIFICADO'!$C$6:$C$720,'ESAP NEIVA FASE II UNIFICADO'!$C$6:$F$720,"NO ESTA")</f>
        <v>SUMINISTRO E INSTALACION PUERTA DIVISORIA DE MADERA TIPO P-3 Ver NOTAS GENERALES DE PLANCHA</v>
      </c>
      <c r="I132" t="str">
        <v>M2</v>
      </c>
      <c r="J132">
        <v>0</v>
      </c>
      <c r="K132">
        <v>731553</v>
      </c>
      <c r="L132">
        <f t="shared" si="7"/>
        <v>1</v>
      </c>
      <c r="M132">
        <f t="shared" si="8"/>
        <v>712932</v>
      </c>
      <c r="N132" s="119">
        <f t="shared" si="9"/>
        <v>2.4</v>
      </c>
      <c r="O132" s="119">
        <f t="shared" si="10"/>
        <v>1711036.8</v>
      </c>
    </row>
    <row r="133" spans="2:15" ht="25.5" customHeight="1" x14ac:dyDescent="0.25">
      <c r="B133" s="86" t="s">
        <v>238</v>
      </c>
      <c r="C133" s="87" t="s">
        <v>239</v>
      </c>
      <c r="D133" s="82" t="s">
        <v>13</v>
      </c>
      <c r="E133" s="230">
        <v>12.96</v>
      </c>
      <c r="F133" s="88">
        <v>712932</v>
      </c>
      <c r="G133" s="89">
        <f t="shared" si="6"/>
        <v>9239598.7200000007</v>
      </c>
      <c r="H133" s="118" t="str">
        <f t="array" ref="H133:K133">_xlfn.XLOOKUP(C133,'ESAP NEIVA FASE II UNIFICADO'!$C$6:$C$720,'ESAP NEIVA FASE II UNIFICADO'!$C$6:$F$720,"NO ESTA")</f>
        <v>SUMINISTRO E INSTALACION PUERTA DIVISORIA DE MADERA TIPO P-4 Ver NOTAS GENERALES DE PLANCHA</v>
      </c>
      <c r="I133" t="str">
        <v>M2</v>
      </c>
      <c r="J133">
        <v>0</v>
      </c>
      <c r="K133">
        <v>731553</v>
      </c>
      <c r="L133">
        <f t="shared" si="7"/>
        <v>1</v>
      </c>
      <c r="M133">
        <f t="shared" si="8"/>
        <v>712932</v>
      </c>
      <c r="N133" s="119">
        <f t="shared" si="9"/>
        <v>12.96</v>
      </c>
      <c r="O133" s="119">
        <f t="shared" si="10"/>
        <v>9239598.7200000007</v>
      </c>
    </row>
    <row r="134" spans="2:15" ht="25.5" customHeight="1" x14ac:dyDescent="0.25">
      <c r="B134" s="86" t="s">
        <v>240</v>
      </c>
      <c r="C134" s="87" t="s">
        <v>241</v>
      </c>
      <c r="D134" s="82" t="s">
        <v>13</v>
      </c>
      <c r="E134" s="230">
        <v>5.76</v>
      </c>
      <c r="F134" s="88">
        <v>712932</v>
      </c>
      <c r="G134" s="89">
        <f t="shared" si="6"/>
        <v>4106488.32</v>
      </c>
      <c r="H134" s="118" t="str">
        <f t="array" ref="H134:K134">_xlfn.XLOOKUP(C134,'ESAP NEIVA FASE II UNIFICADO'!$C$6:$C$720,'ESAP NEIVA FASE II UNIFICADO'!$C$6:$F$720,"NO ESTA")</f>
        <v>SUMINISTRO E INSTALACION PUERTA DIVISORIA DE MADERA TIPO P-5 Ver NOTAS GENERALES DE PLANCHA</v>
      </c>
      <c r="I134" t="str">
        <v>M2</v>
      </c>
      <c r="J134">
        <v>0</v>
      </c>
      <c r="K134">
        <v>731553</v>
      </c>
      <c r="L134">
        <f t="shared" si="7"/>
        <v>1</v>
      </c>
      <c r="M134">
        <f t="shared" si="8"/>
        <v>712932</v>
      </c>
      <c r="N134" s="119">
        <f t="shared" si="9"/>
        <v>5.76</v>
      </c>
      <c r="O134" s="119">
        <f t="shared" si="10"/>
        <v>4106488.32</v>
      </c>
    </row>
    <row r="135" spans="2:15" ht="25.5" customHeight="1" x14ac:dyDescent="0.25">
      <c r="B135" s="86" t="s">
        <v>242</v>
      </c>
      <c r="C135" s="87" t="s">
        <v>229</v>
      </c>
      <c r="D135" s="82" t="s">
        <v>13</v>
      </c>
      <c r="E135" s="230">
        <v>4.8</v>
      </c>
      <c r="F135" s="88">
        <v>150759</v>
      </c>
      <c r="G135" s="89">
        <f t="shared" ref="G135:G198" si="11">ROUND(+F135*E135,2)</f>
        <v>723643.2</v>
      </c>
      <c r="H135" s="118" t="str">
        <f t="array" ref="H135:K135">_xlfn.XLOOKUP(C135,'ESAP NEIVA FASE II UNIFICADO'!$C$6:$C$720,'ESAP NEIVA FASE II UNIFICADO'!$C$6:$F$720,"NO ESTA")</f>
        <v>SUMINISTRO E INSTALACION PUERTA METALICA DOBLE HOJA TIPO P-7 Ver NOTAS GENERALES DE PLANCHA</v>
      </c>
      <c r="I135" t="str">
        <v>M2</v>
      </c>
      <c r="J135">
        <v>0</v>
      </c>
      <c r="K135">
        <v>154697</v>
      </c>
      <c r="L135">
        <f t="shared" si="7"/>
        <v>1</v>
      </c>
      <c r="M135">
        <f t="shared" si="8"/>
        <v>150759</v>
      </c>
      <c r="N135" s="119">
        <f t="shared" si="9"/>
        <v>4.8</v>
      </c>
      <c r="O135" s="119">
        <f t="shared" si="10"/>
        <v>723643.2</v>
      </c>
    </row>
    <row r="136" spans="2:15" ht="25.5" customHeight="1" x14ac:dyDescent="0.25">
      <c r="B136" s="86" t="s">
        <v>243</v>
      </c>
      <c r="C136" s="87" t="s">
        <v>244</v>
      </c>
      <c r="D136" s="82" t="s">
        <v>13</v>
      </c>
      <c r="E136" s="230">
        <v>24.8</v>
      </c>
      <c r="F136" s="88">
        <v>565064</v>
      </c>
      <c r="G136" s="89">
        <f t="shared" si="11"/>
        <v>14013587.199999999</v>
      </c>
      <c r="H136" s="118" t="str">
        <f t="array" ref="H136:K136">_xlfn.XLOOKUP(C136,'ESAP NEIVA FASE II UNIFICADO'!$C$6:$C$720,'ESAP NEIVA FASE II UNIFICADO'!$C$6:$F$720,"NO ESTA")</f>
        <v>SUMINISTRO E INSTALACION PUERTA DIVISORIA EN VIDRIO TIPO PV1 Ver NOTAS GENERALES DE PLANCHA</v>
      </c>
      <c r="I136" t="str">
        <v>M2</v>
      </c>
      <c r="J136">
        <v>0</v>
      </c>
      <c r="K136">
        <v>579822</v>
      </c>
      <c r="L136">
        <f t="shared" si="7"/>
        <v>1</v>
      </c>
      <c r="M136">
        <f t="shared" si="8"/>
        <v>565064</v>
      </c>
      <c r="N136" s="119">
        <f t="shared" si="9"/>
        <v>24.8</v>
      </c>
      <c r="O136" s="119">
        <f t="shared" si="10"/>
        <v>14013587.199999999</v>
      </c>
    </row>
    <row r="137" spans="2:15" ht="15" customHeight="1" x14ac:dyDescent="0.25">
      <c r="B137" s="80" t="s">
        <v>245</v>
      </c>
      <c r="C137" s="81" t="s">
        <v>246</v>
      </c>
      <c r="D137" s="82"/>
      <c r="E137" s="230"/>
      <c r="F137" s="90">
        <v>0</v>
      </c>
      <c r="G137" s="89">
        <f t="shared" si="11"/>
        <v>0</v>
      </c>
      <c r="H137" s="118" t="str">
        <f t="array" ref="H137:K137">_xlfn.XLOOKUP(C137,'ESAP NEIVA FASE II UNIFICADO'!$C$6:$C$720,'ESAP NEIVA FASE II UNIFICADO'!$C$6:$F$720,"NO ESTA")</f>
        <v>SUMINISTRO E INSTALACIÓN PUERTAS PISO 2</v>
      </c>
      <c r="I137">
        <v>0</v>
      </c>
      <c r="J137">
        <v>0</v>
      </c>
      <c r="K137">
        <v>0</v>
      </c>
      <c r="L137">
        <f t="shared" si="7"/>
        <v>1</v>
      </c>
      <c r="M137">
        <f t="shared" si="8"/>
        <v>0</v>
      </c>
      <c r="N137" s="119">
        <f t="shared" si="9"/>
        <v>0</v>
      </c>
      <c r="O137" s="119">
        <f t="shared" si="10"/>
        <v>0</v>
      </c>
    </row>
    <row r="138" spans="2:15" ht="25.5" customHeight="1" x14ac:dyDescent="0.25">
      <c r="B138" s="86" t="s">
        <v>247</v>
      </c>
      <c r="C138" s="87" t="s">
        <v>225</v>
      </c>
      <c r="D138" s="82" t="s">
        <v>13</v>
      </c>
      <c r="E138" s="230">
        <v>2.2000000000000002</v>
      </c>
      <c r="F138" s="88">
        <v>1346813</v>
      </c>
      <c r="G138" s="89">
        <f t="shared" si="11"/>
        <v>2962988.6</v>
      </c>
      <c r="H138" s="118" t="str">
        <f t="array" ref="H138:K138">_xlfn.XLOOKUP(C138,'ESAP NEIVA FASE II UNIFICADO'!$C$6:$C$720,'ESAP NEIVA FASE II UNIFICADO'!$C$6:$F$720,"NO ESTA")</f>
        <v>SUMINISTRO E INSTALACION PUERTA DE EVACUACIÓN TIPO P-1 Ver NOTAS GENERALES DE PLANCHA</v>
      </c>
      <c r="I138" t="str">
        <v>M2</v>
      </c>
      <c r="J138">
        <v>0</v>
      </c>
      <c r="K138">
        <v>1381990</v>
      </c>
      <c r="L138">
        <f t="shared" ref="L138:L201" si="12">+IF(J138&gt;0,0,1)</f>
        <v>1</v>
      </c>
      <c r="M138">
        <f t="shared" ref="M138:M201" si="13">IF(L138=1,F138,0)</f>
        <v>1346813</v>
      </c>
      <c r="N138" s="119">
        <f t="shared" ref="N138:N201" si="14">E138</f>
        <v>2.2000000000000002</v>
      </c>
      <c r="O138" s="119">
        <f t="shared" si="10"/>
        <v>2962988.6</v>
      </c>
    </row>
    <row r="139" spans="2:15" ht="25.5" customHeight="1" x14ac:dyDescent="0.25">
      <c r="B139" s="86" t="s">
        <v>248</v>
      </c>
      <c r="C139" s="87" t="s">
        <v>227</v>
      </c>
      <c r="D139" s="82" t="s">
        <v>13</v>
      </c>
      <c r="E139" s="230">
        <v>2.16</v>
      </c>
      <c r="F139" s="88">
        <v>128200</v>
      </c>
      <c r="G139" s="89">
        <f t="shared" si="11"/>
        <v>276912</v>
      </c>
      <c r="H139" s="118" t="str">
        <f t="array" ref="H139:K139">_xlfn.XLOOKUP(C139,'ESAP NEIVA FASE II UNIFICADO'!$C$6:$C$720,'ESAP NEIVA FASE II UNIFICADO'!$C$6:$F$720,"NO ESTA")</f>
        <v>SUMINISTRO E INSTALACION PUERTA METALICA DEPOSITOS TIPO P-2 Ver NOTAS GENERALES DE PLANCHA</v>
      </c>
      <c r="I139" t="str">
        <v>M2</v>
      </c>
      <c r="J139">
        <v>0</v>
      </c>
      <c r="K139">
        <v>131548</v>
      </c>
      <c r="L139">
        <f t="shared" si="12"/>
        <v>1</v>
      </c>
      <c r="M139">
        <f t="shared" si="13"/>
        <v>128200</v>
      </c>
      <c r="N139" s="119">
        <f t="shared" si="14"/>
        <v>2.16</v>
      </c>
      <c r="O139" s="119">
        <f t="shared" si="10"/>
        <v>276912</v>
      </c>
    </row>
    <row r="140" spans="2:15" ht="25.5" customHeight="1" x14ac:dyDescent="0.25">
      <c r="B140" s="86" t="s">
        <v>249</v>
      </c>
      <c r="C140" s="87" t="s">
        <v>237</v>
      </c>
      <c r="D140" s="82" t="s">
        <v>13</v>
      </c>
      <c r="E140" s="230">
        <v>4.8</v>
      </c>
      <c r="F140" s="88">
        <v>712932</v>
      </c>
      <c r="G140" s="89">
        <f t="shared" si="11"/>
        <v>3422073.6</v>
      </c>
      <c r="H140" s="118" t="str">
        <f t="array" ref="H140:K140">_xlfn.XLOOKUP(C140,'ESAP NEIVA FASE II UNIFICADO'!$C$6:$C$720,'ESAP NEIVA FASE II UNIFICADO'!$C$6:$F$720,"NO ESTA")</f>
        <v>SUMINISTRO E INSTALACION PUERTA DIVISORIA DE MADERA TIPO P-3 Ver NOTAS GENERALES DE PLANCHA</v>
      </c>
      <c r="I140" t="str">
        <v>M2</v>
      </c>
      <c r="J140">
        <v>0</v>
      </c>
      <c r="K140">
        <v>731553</v>
      </c>
      <c r="L140">
        <f t="shared" si="12"/>
        <v>1</v>
      </c>
      <c r="M140">
        <f t="shared" si="13"/>
        <v>712932</v>
      </c>
      <c r="N140" s="119">
        <f t="shared" si="14"/>
        <v>4.8</v>
      </c>
      <c r="O140" s="119">
        <f t="shared" ref="O140:O203" si="15">ROUND(M140*N140,2)</f>
        <v>3422073.6</v>
      </c>
    </row>
    <row r="141" spans="2:15" ht="25.5" customHeight="1" x14ac:dyDescent="0.25">
      <c r="B141" s="86" t="s">
        <v>250</v>
      </c>
      <c r="C141" s="87" t="s">
        <v>239</v>
      </c>
      <c r="D141" s="82" t="s">
        <v>13</v>
      </c>
      <c r="E141" s="230">
        <v>2.16</v>
      </c>
      <c r="F141" s="88">
        <v>712932</v>
      </c>
      <c r="G141" s="89">
        <f t="shared" si="11"/>
        <v>1539933.12</v>
      </c>
      <c r="H141" s="118" t="str">
        <f t="array" ref="H141:K141">_xlfn.XLOOKUP(C141,'ESAP NEIVA FASE II UNIFICADO'!$C$6:$C$720,'ESAP NEIVA FASE II UNIFICADO'!$C$6:$F$720,"NO ESTA")</f>
        <v>SUMINISTRO E INSTALACION PUERTA DIVISORIA DE MADERA TIPO P-4 Ver NOTAS GENERALES DE PLANCHA</v>
      </c>
      <c r="I141" t="str">
        <v>M2</v>
      </c>
      <c r="J141">
        <v>0</v>
      </c>
      <c r="K141">
        <v>731553</v>
      </c>
      <c r="L141">
        <f t="shared" si="12"/>
        <v>1</v>
      </c>
      <c r="M141">
        <f t="shared" si="13"/>
        <v>712932</v>
      </c>
      <c r="N141" s="119">
        <f t="shared" si="14"/>
        <v>2.16</v>
      </c>
      <c r="O141" s="119">
        <f t="shared" si="15"/>
        <v>1539933.12</v>
      </c>
    </row>
    <row r="142" spans="2:15" ht="25.5" customHeight="1" x14ac:dyDescent="0.25">
      <c r="B142" s="86" t="s">
        <v>251</v>
      </c>
      <c r="C142" s="87" t="s">
        <v>241</v>
      </c>
      <c r="D142" s="82" t="s">
        <v>13</v>
      </c>
      <c r="E142" s="230">
        <v>2.88</v>
      </c>
      <c r="F142" s="88">
        <v>712932</v>
      </c>
      <c r="G142" s="89">
        <f t="shared" si="11"/>
        <v>2053244.16</v>
      </c>
      <c r="H142" s="118" t="str">
        <f t="array" ref="H142:K142">_xlfn.XLOOKUP(C142,'ESAP NEIVA FASE II UNIFICADO'!$C$6:$C$720,'ESAP NEIVA FASE II UNIFICADO'!$C$6:$F$720,"NO ESTA")</f>
        <v>SUMINISTRO E INSTALACION PUERTA DIVISORIA DE MADERA TIPO P-5 Ver NOTAS GENERALES DE PLANCHA</v>
      </c>
      <c r="I142" t="str">
        <v>M2</v>
      </c>
      <c r="J142">
        <v>0</v>
      </c>
      <c r="K142">
        <v>731553</v>
      </c>
      <c r="L142">
        <f t="shared" si="12"/>
        <v>1</v>
      </c>
      <c r="M142">
        <f t="shared" si="13"/>
        <v>712932</v>
      </c>
      <c r="N142" s="119">
        <f t="shared" si="14"/>
        <v>2.88</v>
      </c>
      <c r="O142" s="119">
        <f t="shared" si="15"/>
        <v>2053244.16</v>
      </c>
    </row>
    <row r="143" spans="2:15" ht="25.5" customHeight="1" x14ac:dyDescent="0.25">
      <c r="B143" s="86" t="s">
        <v>252</v>
      </c>
      <c r="C143" s="87" t="s">
        <v>244</v>
      </c>
      <c r="D143" s="82" t="s">
        <v>13</v>
      </c>
      <c r="E143" s="230">
        <v>14.21</v>
      </c>
      <c r="F143" s="88">
        <v>565064</v>
      </c>
      <c r="G143" s="89">
        <f t="shared" si="11"/>
        <v>8029559.4400000004</v>
      </c>
      <c r="H143" s="118" t="str">
        <f t="array" ref="H143:K143">_xlfn.XLOOKUP(C143,'ESAP NEIVA FASE II UNIFICADO'!$C$6:$C$720,'ESAP NEIVA FASE II UNIFICADO'!$C$6:$F$720,"NO ESTA")</f>
        <v>SUMINISTRO E INSTALACION PUERTA DIVISORIA EN VIDRIO TIPO PV1 Ver NOTAS GENERALES DE PLANCHA</v>
      </c>
      <c r="I143" t="str">
        <v>M2</v>
      </c>
      <c r="J143">
        <v>0</v>
      </c>
      <c r="K143">
        <v>579822</v>
      </c>
      <c r="L143">
        <f t="shared" si="12"/>
        <v>1</v>
      </c>
      <c r="M143">
        <f t="shared" si="13"/>
        <v>565064</v>
      </c>
      <c r="N143" s="119">
        <f t="shared" si="14"/>
        <v>14.21</v>
      </c>
      <c r="O143" s="119">
        <f t="shared" si="15"/>
        <v>8029559.4400000004</v>
      </c>
    </row>
    <row r="144" spans="2:15" ht="16.5" customHeight="1" x14ac:dyDescent="0.25">
      <c r="B144" s="74">
        <v>10</v>
      </c>
      <c r="C144" s="75" t="s">
        <v>253</v>
      </c>
      <c r="D144" s="76"/>
      <c r="E144" s="229"/>
      <c r="F144" s="78">
        <v>0</v>
      </c>
      <c r="G144" s="89">
        <f t="shared" si="11"/>
        <v>0</v>
      </c>
      <c r="H144" s="118" t="str">
        <f t="array" ref="H144:K144">_xlfn.XLOOKUP(C144,'ESAP NEIVA FASE II UNIFICADO'!$C$6:$C$720,'ESAP NEIVA FASE II UNIFICADO'!$C$6:$F$720,"NO ESTA")</f>
        <v>OTROS ARQUITECTONICOS</v>
      </c>
      <c r="I144">
        <v>0</v>
      </c>
      <c r="J144">
        <v>0</v>
      </c>
      <c r="K144">
        <v>0</v>
      </c>
      <c r="L144">
        <f t="shared" si="12"/>
        <v>1</v>
      </c>
      <c r="M144">
        <f t="shared" si="13"/>
        <v>0</v>
      </c>
      <c r="N144" s="119">
        <f t="shared" si="14"/>
        <v>0</v>
      </c>
      <c r="O144" s="119">
        <f t="shared" si="15"/>
        <v>0</v>
      </c>
    </row>
    <row r="145" spans="2:15" ht="15" customHeight="1" x14ac:dyDescent="0.25">
      <c r="B145" s="80" t="s">
        <v>254</v>
      </c>
      <c r="C145" s="81" t="s">
        <v>255</v>
      </c>
      <c r="D145" s="82"/>
      <c r="E145" s="230"/>
      <c r="F145" s="90">
        <v>0</v>
      </c>
      <c r="G145" s="89">
        <f t="shared" si="11"/>
        <v>0</v>
      </c>
      <c r="H145" s="118" t="str">
        <f t="array" ref="H145:K145">_xlfn.XLOOKUP(C145,'ESAP NEIVA FASE II UNIFICADO'!$C$6:$C$720,'ESAP NEIVA FASE II UNIFICADO'!$C$6:$F$720,"NO ESTA")</f>
        <v>SUMINISTRO E INSTALACIÓN DE BARANDAS</v>
      </c>
      <c r="I145">
        <v>0</v>
      </c>
      <c r="J145">
        <v>0</v>
      </c>
      <c r="K145">
        <v>0</v>
      </c>
      <c r="L145">
        <f t="shared" si="12"/>
        <v>1</v>
      </c>
      <c r="M145">
        <f t="shared" si="13"/>
        <v>0</v>
      </c>
      <c r="N145" s="119">
        <f t="shared" si="14"/>
        <v>0</v>
      </c>
      <c r="O145" s="119">
        <f t="shared" si="15"/>
        <v>0</v>
      </c>
    </row>
    <row r="146" spans="2:15" ht="25.5" customHeight="1" x14ac:dyDescent="0.25">
      <c r="B146" s="86" t="s">
        <v>256</v>
      </c>
      <c r="C146" s="87" t="s">
        <v>257</v>
      </c>
      <c r="D146" s="82" t="s">
        <v>94</v>
      </c>
      <c r="E146" s="230">
        <v>106</v>
      </c>
      <c r="F146" s="88">
        <v>648864</v>
      </c>
      <c r="G146" s="89">
        <f t="shared" si="11"/>
        <v>68779584</v>
      </c>
      <c r="H146" s="118" t="str">
        <f t="array" ref="H146:K146">_xlfn.XLOOKUP(C146,'ESAP NEIVA FASE II UNIFICADO'!$C$6:$C$720,'ESAP NEIVA FASE II UNIFICADO'!$C$6:$F$720,"NO ESTA")</f>
        <v>SUMINISTRO E INSTALACION BARANDA TIPO B1 EN ACERO INOXIDABLE (Incluye todos los accesorios para su instalación)</v>
      </c>
      <c r="I146" t="str">
        <v>ML</v>
      </c>
      <c r="J146">
        <v>288.39999999999998</v>
      </c>
      <c r="K146">
        <v>592889</v>
      </c>
      <c r="L146">
        <f t="shared" si="12"/>
        <v>0</v>
      </c>
      <c r="M146">
        <f t="shared" si="13"/>
        <v>0</v>
      </c>
      <c r="N146" s="119">
        <f t="shared" si="14"/>
        <v>106</v>
      </c>
      <c r="O146" s="119">
        <f t="shared" si="15"/>
        <v>0</v>
      </c>
    </row>
    <row r="147" spans="2:15" ht="25.5" customHeight="1" x14ac:dyDescent="0.25">
      <c r="B147" s="86" t="s">
        <v>258</v>
      </c>
      <c r="C147" s="87" t="s">
        <v>259</v>
      </c>
      <c r="D147" s="82" t="s">
        <v>94</v>
      </c>
      <c r="E147" s="230">
        <v>16</v>
      </c>
      <c r="F147" s="88">
        <v>247397</v>
      </c>
      <c r="G147" s="89">
        <f t="shared" si="11"/>
        <v>3958352</v>
      </c>
      <c r="H147" s="118" t="str">
        <f t="array" ref="H147:K147">_xlfn.XLOOKUP(C147,'ESAP NEIVA FASE II UNIFICADO'!$C$6:$C$720,'ESAP NEIVA FASE II UNIFICADO'!$C$6:$F$720,"NO ESTA")</f>
        <v>SUMINISTRO E INSTALACION PASAMANOS PUNTO FIJO No. 1 (Incluye todos los accesorios para su instalación)</v>
      </c>
      <c r="I147" t="str">
        <v>ML</v>
      </c>
      <c r="J147">
        <v>44.13</v>
      </c>
      <c r="K147">
        <v>253859</v>
      </c>
      <c r="L147">
        <f t="shared" si="12"/>
        <v>0</v>
      </c>
      <c r="M147">
        <f t="shared" si="13"/>
        <v>0</v>
      </c>
      <c r="N147" s="119">
        <f t="shared" si="14"/>
        <v>16</v>
      </c>
      <c r="O147" s="119">
        <f t="shared" si="15"/>
        <v>0</v>
      </c>
    </row>
    <row r="148" spans="2:15" ht="15" customHeight="1" x14ac:dyDescent="0.25">
      <c r="B148" s="80" t="s">
        <v>260</v>
      </c>
      <c r="C148" s="81" t="s">
        <v>261</v>
      </c>
      <c r="D148" s="82"/>
      <c r="E148" s="230"/>
      <c r="F148" s="90">
        <v>0</v>
      </c>
      <c r="G148" s="89">
        <f t="shared" si="11"/>
        <v>0</v>
      </c>
      <c r="H148" s="118" t="str">
        <f t="array" ref="H148:K148">_xlfn.XLOOKUP(C148,'ESAP NEIVA FASE II UNIFICADO'!$C$6:$C$720,'ESAP NEIVA FASE II UNIFICADO'!$C$6:$F$720,"NO ESTA")</f>
        <v>SUMINISTRO E INSTALACIÓN DE DIVISIONES DE BAÑOS</v>
      </c>
      <c r="I148">
        <v>0</v>
      </c>
      <c r="J148">
        <v>0</v>
      </c>
      <c r="K148">
        <v>0</v>
      </c>
      <c r="L148">
        <f t="shared" si="12"/>
        <v>1</v>
      </c>
      <c r="M148">
        <f t="shared" si="13"/>
        <v>0</v>
      </c>
      <c r="N148" s="119">
        <f t="shared" si="14"/>
        <v>0</v>
      </c>
      <c r="O148" s="119">
        <f t="shared" si="15"/>
        <v>0</v>
      </c>
    </row>
    <row r="149" spans="2:15" ht="25.5" customHeight="1" x14ac:dyDescent="0.25">
      <c r="B149" s="86" t="s">
        <v>262</v>
      </c>
      <c r="C149" s="87" t="s">
        <v>263</v>
      </c>
      <c r="D149" s="82" t="s">
        <v>13</v>
      </c>
      <c r="E149" s="230">
        <v>83.5</v>
      </c>
      <c r="F149" s="88">
        <v>593414</v>
      </c>
      <c r="G149" s="89">
        <f t="shared" si="11"/>
        <v>49550069</v>
      </c>
      <c r="H149" s="118" t="str">
        <f t="array" ref="H149:K149">_xlfn.XLOOKUP(C149,'ESAP NEIVA FASE II UNIFICADO'!$C$6:$C$720,'ESAP NEIVA FASE II UNIFICADO'!$C$6:$F$720,"NO ESTA")</f>
        <v>SUMINISTRO E INSTALACION DIVISION EN ACERO INOXIDABLE BAÑOS (Incluye todos los accesorios para su instalación)</v>
      </c>
      <c r="I149" t="str">
        <v>M2</v>
      </c>
      <c r="J149">
        <v>83.5</v>
      </c>
      <c r="K149">
        <v>608913</v>
      </c>
      <c r="L149">
        <f t="shared" si="12"/>
        <v>0</v>
      </c>
      <c r="M149">
        <f t="shared" si="13"/>
        <v>0</v>
      </c>
      <c r="N149" s="119">
        <f t="shared" si="14"/>
        <v>83.5</v>
      </c>
      <c r="O149" s="119">
        <f t="shared" si="15"/>
        <v>0</v>
      </c>
    </row>
    <row r="150" spans="2:15" ht="14.25" customHeight="1" x14ac:dyDescent="0.25">
      <c r="B150" s="74">
        <v>12</v>
      </c>
      <c r="C150" s="75" t="s">
        <v>264</v>
      </c>
      <c r="D150" s="76"/>
      <c r="E150" s="229"/>
      <c r="F150" s="78">
        <v>0</v>
      </c>
      <c r="G150" s="89">
        <f t="shared" si="11"/>
        <v>0</v>
      </c>
      <c r="H150" s="118" t="str">
        <f t="array" ref="H150:K150">_xlfn.XLOOKUP(C150,'ESAP NEIVA FASE II UNIFICADO'!$C$6:$C$720,'ESAP NEIVA FASE II UNIFICADO'!$C$6:$F$720,"NO ESTA")</f>
        <v xml:space="preserve">RED HIDRÁULICO Y SANITARIO </v>
      </c>
      <c r="I150">
        <v>0</v>
      </c>
      <c r="J150">
        <v>0</v>
      </c>
      <c r="K150">
        <v>0</v>
      </c>
      <c r="L150">
        <f t="shared" si="12"/>
        <v>1</v>
      </c>
      <c r="M150">
        <f t="shared" si="13"/>
        <v>0</v>
      </c>
      <c r="N150" s="119">
        <f t="shared" si="14"/>
        <v>0</v>
      </c>
      <c r="O150" s="119">
        <f t="shared" si="15"/>
        <v>0</v>
      </c>
    </row>
    <row r="151" spans="2:15" ht="15" customHeight="1" x14ac:dyDescent="0.25">
      <c r="B151" s="80" t="s">
        <v>265</v>
      </c>
      <c r="C151" s="81" t="s">
        <v>266</v>
      </c>
      <c r="D151" s="82"/>
      <c r="E151" s="230"/>
      <c r="F151" s="90">
        <v>0</v>
      </c>
      <c r="G151" s="89">
        <f t="shared" si="11"/>
        <v>0</v>
      </c>
      <c r="H151" s="118" t="str">
        <f t="array" ref="H151:K151">_xlfn.XLOOKUP(C151,'ESAP NEIVA FASE II UNIFICADO'!$C$6:$C$720,'ESAP NEIVA FASE II UNIFICADO'!$C$6:$F$720,"NO ESTA")</f>
        <v>SUMINISTRO E INSTALACIÓN RED AGUA POTABLE</v>
      </c>
      <c r="I151">
        <v>0</v>
      </c>
      <c r="J151">
        <v>0</v>
      </c>
      <c r="K151">
        <v>0</v>
      </c>
      <c r="L151">
        <f t="shared" si="12"/>
        <v>1</v>
      </c>
      <c r="M151">
        <f t="shared" si="13"/>
        <v>0</v>
      </c>
      <c r="N151" s="119">
        <f t="shared" si="14"/>
        <v>0</v>
      </c>
      <c r="O151" s="119">
        <f t="shared" si="15"/>
        <v>0</v>
      </c>
    </row>
    <row r="152" spans="2:15" ht="15" customHeight="1" x14ac:dyDescent="0.25">
      <c r="B152" s="86" t="s">
        <v>267</v>
      </c>
      <c r="C152" s="87" t="s">
        <v>268</v>
      </c>
      <c r="D152" s="82" t="s">
        <v>269</v>
      </c>
      <c r="E152" s="230">
        <v>45</v>
      </c>
      <c r="F152" s="88">
        <v>12354</v>
      </c>
      <c r="G152" s="89">
        <f t="shared" si="11"/>
        <v>555930</v>
      </c>
      <c r="H152" s="118" t="str">
        <f t="array" ref="H152:K152">_xlfn.XLOOKUP(C152,'ESAP NEIVA FASE II UNIFICADO'!$C$6:$C$720,'ESAP NEIVA FASE II UNIFICADO'!$C$6:$F$720,"NO ESTA")</f>
        <v>SUMINISTRO E INSTALACIÓN TUBERIA PVC-P DIAMETRO 1/2" RDE 9</v>
      </c>
      <c r="I152" t="str">
        <v xml:space="preserve">ML   </v>
      </c>
      <c r="J152">
        <v>121</v>
      </c>
      <c r="K152">
        <v>12676</v>
      </c>
      <c r="L152">
        <f t="shared" si="12"/>
        <v>0</v>
      </c>
      <c r="M152">
        <f t="shared" si="13"/>
        <v>0</v>
      </c>
      <c r="N152" s="119">
        <f t="shared" si="14"/>
        <v>45</v>
      </c>
      <c r="O152" s="119">
        <f t="shared" si="15"/>
        <v>0</v>
      </c>
    </row>
    <row r="153" spans="2:15" ht="15" customHeight="1" x14ac:dyDescent="0.25">
      <c r="B153" s="86" t="s">
        <v>270</v>
      </c>
      <c r="C153" s="87" t="s">
        <v>271</v>
      </c>
      <c r="D153" s="82" t="s">
        <v>269</v>
      </c>
      <c r="E153" s="230">
        <v>18</v>
      </c>
      <c r="F153" s="88">
        <v>18380</v>
      </c>
      <c r="G153" s="89">
        <f t="shared" si="11"/>
        <v>330840</v>
      </c>
      <c r="H153" s="118" t="str">
        <f t="array" ref="H153:K153">_xlfn.XLOOKUP(C153,'ESAP NEIVA FASE II UNIFICADO'!$C$6:$C$720,'ESAP NEIVA FASE II UNIFICADO'!$C$6:$F$720,"NO ESTA")</f>
        <v>SUMINISTRO E INSTALACIÓN TUBERIA PCV-P DIAMETRO 3/4" RDE 11</v>
      </c>
      <c r="I153" t="str">
        <v xml:space="preserve">ML   </v>
      </c>
      <c r="J153">
        <v>49</v>
      </c>
      <c r="K153">
        <v>18861</v>
      </c>
      <c r="L153">
        <f t="shared" si="12"/>
        <v>0</v>
      </c>
      <c r="M153">
        <f t="shared" si="13"/>
        <v>0</v>
      </c>
      <c r="N153" s="119">
        <f t="shared" si="14"/>
        <v>18</v>
      </c>
      <c r="O153" s="119">
        <f t="shared" si="15"/>
        <v>0</v>
      </c>
    </row>
    <row r="154" spans="2:15" ht="15" customHeight="1" x14ac:dyDescent="0.25">
      <c r="B154" s="86" t="s">
        <v>272</v>
      </c>
      <c r="C154" s="87" t="s">
        <v>273</v>
      </c>
      <c r="D154" s="82" t="s">
        <v>269</v>
      </c>
      <c r="E154" s="230">
        <v>15</v>
      </c>
      <c r="F154" s="88">
        <v>19490</v>
      </c>
      <c r="G154" s="89">
        <f t="shared" si="11"/>
        <v>292350</v>
      </c>
      <c r="H154" s="118" t="str">
        <f t="array" ref="H154:K154">_xlfn.XLOOKUP(C154,'ESAP NEIVA FASE II UNIFICADO'!$C$6:$C$720,'ESAP NEIVA FASE II UNIFICADO'!$C$6:$F$720,"NO ESTA")</f>
        <v>SUMINISTRO E INSTALACIÓN TUBERIA PCV-P DIAMETRO 1" RDE 13,5</v>
      </c>
      <c r="I154" t="str">
        <v xml:space="preserve">ML   </v>
      </c>
      <c r="J154">
        <v>40</v>
      </c>
      <c r="K154">
        <v>19999</v>
      </c>
      <c r="L154">
        <f t="shared" si="12"/>
        <v>0</v>
      </c>
      <c r="M154">
        <f t="shared" si="13"/>
        <v>0</v>
      </c>
      <c r="N154" s="119">
        <f t="shared" si="14"/>
        <v>15</v>
      </c>
      <c r="O154" s="119">
        <f t="shared" si="15"/>
        <v>0</v>
      </c>
    </row>
    <row r="155" spans="2:15" ht="15" customHeight="1" x14ac:dyDescent="0.25">
      <c r="B155" s="86" t="s">
        <v>274</v>
      </c>
      <c r="C155" s="87" t="s">
        <v>275</v>
      </c>
      <c r="D155" s="82" t="s">
        <v>269</v>
      </c>
      <c r="E155" s="230">
        <v>23</v>
      </c>
      <c r="F155" s="88">
        <v>20704</v>
      </c>
      <c r="G155" s="89">
        <f t="shared" si="11"/>
        <v>476192</v>
      </c>
      <c r="H155" s="118" t="str">
        <f t="array" ref="H155:K155">_xlfn.XLOOKUP(C155,'ESAP NEIVA FASE II UNIFICADO'!$C$6:$C$720,'ESAP NEIVA FASE II UNIFICADO'!$C$6:$F$720,"NO ESTA")</f>
        <v>SUMINISTRO E INSTALACIÓN TUBERIA PCV-P DIAMETRO 1 1/4" RDE 21</v>
      </c>
      <c r="I155" t="str">
        <v xml:space="preserve">ML   </v>
      </c>
      <c r="J155">
        <v>64</v>
      </c>
      <c r="K155">
        <v>21245</v>
      </c>
      <c r="L155">
        <f t="shared" si="12"/>
        <v>0</v>
      </c>
      <c r="M155">
        <f t="shared" si="13"/>
        <v>0</v>
      </c>
      <c r="N155" s="119">
        <f t="shared" si="14"/>
        <v>23</v>
      </c>
      <c r="O155" s="119">
        <f t="shared" si="15"/>
        <v>0</v>
      </c>
    </row>
    <row r="156" spans="2:15" ht="15" customHeight="1" x14ac:dyDescent="0.25">
      <c r="B156" s="86" t="s">
        <v>276</v>
      </c>
      <c r="C156" s="87" t="s">
        <v>277</v>
      </c>
      <c r="D156" s="82" t="s">
        <v>269</v>
      </c>
      <c r="E156" s="230">
        <v>21</v>
      </c>
      <c r="F156" s="88">
        <v>26614</v>
      </c>
      <c r="G156" s="89">
        <f t="shared" si="11"/>
        <v>558894</v>
      </c>
      <c r="H156" s="118" t="str">
        <f t="array" ref="H156:K156">_xlfn.XLOOKUP(C156,'ESAP NEIVA FASE II UNIFICADO'!$C$6:$C$720,'ESAP NEIVA FASE II UNIFICADO'!$C$6:$F$720,"NO ESTA")</f>
        <v>SUMINISTRO E INSTALACIÓN TUBERIA PCV-P DIAMETRO 1 1/2" RDE 21</v>
      </c>
      <c r="I156" t="str">
        <v xml:space="preserve">ML   </v>
      </c>
      <c r="J156">
        <v>57</v>
      </c>
      <c r="K156">
        <v>27309</v>
      </c>
      <c r="L156">
        <f t="shared" si="12"/>
        <v>0</v>
      </c>
      <c r="M156">
        <f t="shared" si="13"/>
        <v>0</v>
      </c>
      <c r="N156" s="119">
        <f t="shared" si="14"/>
        <v>21</v>
      </c>
      <c r="O156" s="119">
        <f t="shared" si="15"/>
        <v>0</v>
      </c>
    </row>
    <row r="157" spans="2:15" ht="15" customHeight="1" x14ac:dyDescent="0.25">
      <c r="B157" s="86" t="s">
        <v>278</v>
      </c>
      <c r="C157" s="87" t="s">
        <v>279</v>
      </c>
      <c r="D157" s="82" t="s">
        <v>269</v>
      </c>
      <c r="E157" s="230">
        <v>33</v>
      </c>
      <c r="F157" s="88">
        <v>38103</v>
      </c>
      <c r="G157" s="89">
        <f t="shared" si="11"/>
        <v>1257399</v>
      </c>
      <c r="H157" s="118" t="str">
        <f t="array" ref="H157:K157">_xlfn.XLOOKUP(C157,'ESAP NEIVA FASE II UNIFICADO'!$C$6:$C$720,'ESAP NEIVA FASE II UNIFICADO'!$C$6:$F$720,"NO ESTA")</f>
        <v>SUMINISTRO E INSTALACIÓN TUBERIA PCV-P DIAMETRO 2" RDE 21</v>
      </c>
      <c r="I157" t="str">
        <v xml:space="preserve">ML   </v>
      </c>
      <c r="J157">
        <v>90</v>
      </c>
      <c r="K157">
        <v>39097</v>
      </c>
      <c r="L157">
        <f t="shared" si="12"/>
        <v>0</v>
      </c>
      <c r="M157">
        <f t="shared" si="13"/>
        <v>0</v>
      </c>
      <c r="N157" s="119">
        <f t="shared" si="14"/>
        <v>33</v>
      </c>
      <c r="O157" s="119">
        <f t="shared" si="15"/>
        <v>0</v>
      </c>
    </row>
    <row r="158" spans="2:15" ht="15" customHeight="1" x14ac:dyDescent="0.25">
      <c r="B158" s="86" t="s">
        <v>280</v>
      </c>
      <c r="C158" s="87" t="s">
        <v>281</v>
      </c>
      <c r="D158" s="82" t="s">
        <v>269</v>
      </c>
      <c r="E158" s="230">
        <v>7</v>
      </c>
      <c r="F158" s="88">
        <v>51430</v>
      </c>
      <c r="G158" s="89">
        <f t="shared" si="11"/>
        <v>360010</v>
      </c>
      <c r="H158" s="118" t="str">
        <f t="array" ref="H158:K158">_xlfn.XLOOKUP(C158,'ESAP NEIVA FASE II UNIFICADO'!$C$6:$C$720,'ESAP NEIVA FASE II UNIFICADO'!$C$6:$F$720,"NO ESTA")</f>
        <v>SUMINISTRO E INSTALACIÓN TUBERIA PCV-P DIAMETRO 2 1/2" RDE 21</v>
      </c>
      <c r="I158" t="str">
        <v xml:space="preserve">ML   </v>
      </c>
      <c r="J158">
        <v>18</v>
      </c>
      <c r="K158">
        <v>52773</v>
      </c>
      <c r="L158">
        <f t="shared" si="12"/>
        <v>0</v>
      </c>
      <c r="M158">
        <f t="shared" si="13"/>
        <v>0</v>
      </c>
      <c r="N158" s="119">
        <f t="shared" si="14"/>
        <v>7</v>
      </c>
      <c r="O158" s="119">
        <f t="shared" si="15"/>
        <v>0</v>
      </c>
    </row>
    <row r="159" spans="2:15" ht="15" customHeight="1" x14ac:dyDescent="0.25">
      <c r="B159" s="86" t="s">
        <v>282</v>
      </c>
      <c r="C159" s="87" t="s">
        <v>283</v>
      </c>
      <c r="D159" s="82" t="s">
        <v>284</v>
      </c>
      <c r="E159" s="230">
        <v>39</v>
      </c>
      <c r="F159" s="88">
        <v>3198</v>
      </c>
      <c r="G159" s="89">
        <f t="shared" si="11"/>
        <v>124722</v>
      </c>
      <c r="H159" s="118" t="str">
        <f t="array" ref="H159:K159">_xlfn.XLOOKUP(C159,'ESAP NEIVA FASE II UNIFICADO'!$C$6:$C$720,'ESAP NEIVA FASE II UNIFICADO'!$C$6:$F$720,"NO ESTA")</f>
        <v>SUMINISTRO E INSTALACIÓN ACCESORIOS PVC-P 1/2" SCH 40</v>
      </c>
      <c r="I159" t="str">
        <v xml:space="preserve">UN   </v>
      </c>
      <c r="J159">
        <v>105</v>
      </c>
      <c r="K159">
        <v>3281</v>
      </c>
      <c r="L159">
        <f t="shared" si="12"/>
        <v>0</v>
      </c>
      <c r="M159">
        <f t="shared" si="13"/>
        <v>0</v>
      </c>
      <c r="N159" s="119">
        <f t="shared" si="14"/>
        <v>39</v>
      </c>
      <c r="O159" s="119">
        <f t="shared" si="15"/>
        <v>0</v>
      </c>
    </row>
    <row r="160" spans="2:15" ht="15" customHeight="1" x14ac:dyDescent="0.25">
      <c r="B160" s="86" t="s">
        <v>285</v>
      </c>
      <c r="C160" s="87" t="s">
        <v>286</v>
      </c>
      <c r="D160" s="82" t="s">
        <v>284</v>
      </c>
      <c r="E160" s="230">
        <v>14</v>
      </c>
      <c r="F160" s="88">
        <v>3797</v>
      </c>
      <c r="G160" s="89">
        <f t="shared" si="11"/>
        <v>53158</v>
      </c>
      <c r="H160" s="118" t="str">
        <f t="array" ref="H160:K160">_xlfn.XLOOKUP(C160,'ESAP NEIVA FASE II UNIFICADO'!$C$6:$C$720,'ESAP NEIVA FASE II UNIFICADO'!$C$6:$F$720,"NO ESTA")</f>
        <v>SUMINISTRO E INSTALACIÓN ACCESORIOS PVC-P 3/4" SCH 40</v>
      </c>
      <c r="I160" t="str">
        <v xml:space="preserve">UN   </v>
      </c>
      <c r="J160">
        <v>38</v>
      </c>
      <c r="K160">
        <v>3896</v>
      </c>
      <c r="L160">
        <f t="shared" si="12"/>
        <v>0</v>
      </c>
      <c r="M160">
        <f t="shared" si="13"/>
        <v>0</v>
      </c>
      <c r="N160" s="119">
        <f t="shared" si="14"/>
        <v>14</v>
      </c>
      <c r="O160" s="119">
        <f t="shared" si="15"/>
        <v>0</v>
      </c>
    </row>
    <row r="161" spans="2:15" ht="15" customHeight="1" x14ac:dyDescent="0.25">
      <c r="B161" s="86" t="s">
        <v>287</v>
      </c>
      <c r="C161" s="87" t="s">
        <v>288</v>
      </c>
      <c r="D161" s="82" t="s">
        <v>284</v>
      </c>
      <c r="E161" s="230">
        <v>11</v>
      </c>
      <c r="F161" s="88">
        <v>4486</v>
      </c>
      <c r="G161" s="89">
        <f t="shared" si="11"/>
        <v>49346</v>
      </c>
      <c r="H161" s="118" t="str">
        <f t="array" ref="H161:K161">_xlfn.XLOOKUP(C161,'ESAP NEIVA FASE II UNIFICADO'!$C$6:$C$720,'ESAP NEIVA FASE II UNIFICADO'!$C$6:$F$720,"NO ESTA")</f>
        <v>SUMINISTRO E INSTALACIÓN ACCESORIOS PVC-P 1" SCH 40</v>
      </c>
      <c r="I161" t="str">
        <v xml:space="preserve">UN   </v>
      </c>
      <c r="J161">
        <v>30</v>
      </c>
      <c r="K161">
        <v>4602</v>
      </c>
      <c r="L161">
        <f t="shared" si="12"/>
        <v>0</v>
      </c>
      <c r="M161">
        <f t="shared" si="13"/>
        <v>0</v>
      </c>
      <c r="N161" s="119">
        <f t="shared" si="14"/>
        <v>11</v>
      </c>
      <c r="O161" s="119">
        <f t="shared" si="15"/>
        <v>0</v>
      </c>
    </row>
    <row r="162" spans="2:15" ht="15" customHeight="1" x14ac:dyDescent="0.25">
      <c r="B162" s="86" t="s">
        <v>289</v>
      </c>
      <c r="C162" s="87" t="s">
        <v>290</v>
      </c>
      <c r="D162" s="82" t="s">
        <v>284</v>
      </c>
      <c r="E162" s="230">
        <v>35</v>
      </c>
      <c r="F162" s="88">
        <v>7080</v>
      </c>
      <c r="G162" s="89">
        <f t="shared" si="11"/>
        <v>247800</v>
      </c>
      <c r="H162" s="118" t="str">
        <f t="array" ref="H162:K162">_xlfn.XLOOKUP(C162,'ESAP NEIVA FASE II UNIFICADO'!$C$6:$C$720,'ESAP NEIVA FASE II UNIFICADO'!$C$6:$F$720,"NO ESTA")</f>
        <v>SUMINISTRO E INSTALACIÓN ACCESORIOS PVC-P 1 1/4" SCH 40</v>
      </c>
      <c r="I162" t="str">
        <v xml:space="preserve">UN   </v>
      </c>
      <c r="J162">
        <v>96</v>
      </c>
      <c r="K162">
        <v>7266</v>
      </c>
      <c r="L162">
        <f t="shared" si="12"/>
        <v>0</v>
      </c>
      <c r="M162">
        <f t="shared" si="13"/>
        <v>0</v>
      </c>
      <c r="N162" s="119">
        <f t="shared" si="14"/>
        <v>35</v>
      </c>
      <c r="O162" s="119">
        <f t="shared" si="15"/>
        <v>0</v>
      </c>
    </row>
    <row r="163" spans="2:15" ht="15" customHeight="1" x14ac:dyDescent="0.25">
      <c r="B163" s="86" t="s">
        <v>291</v>
      </c>
      <c r="C163" s="87" t="s">
        <v>292</v>
      </c>
      <c r="D163" s="82" t="s">
        <v>284</v>
      </c>
      <c r="E163" s="230">
        <v>30</v>
      </c>
      <c r="F163" s="88">
        <v>8729</v>
      </c>
      <c r="G163" s="89">
        <f t="shared" si="11"/>
        <v>261870</v>
      </c>
      <c r="H163" s="118" t="str">
        <f t="array" ref="H163:K163">_xlfn.XLOOKUP(C163,'ESAP NEIVA FASE II UNIFICADO'!$C$6:$C$720,'ESAP NEIVA FASE II UNIFICADO'!$C$6:$F$720,"NO ESTA")</f>
        <v xml:space="preserve">SUMINISTRO E INSTALACIÓN ACCESORIOS PVC-P 1 1/2" SCH 40                                                </v>
      </c>
      <c r="I163" t="str">
        <v xml:space="preserve">UN   </v>
      </c>
      <c r="J163">
        <v>82</v>
      </c>
      <c r="K163">
        <v>8958</v>
      </c>
      <c r="L163">
        <f t="shared" si="12"/>
        <v>0</v>
      </c>
      <c r="M163">
        <f t="shared" si="13"/>
        <v>0</v>
      </c>
      <c r="N163" s="119">
        <f t="shared" si="14"/>
        <v>30</v>
      </c>
      <c r="O163" s="119">
        <f t="shared" si="15"/>
        <v>0</v>
      </c>
    </row>
    <row r="164" spans="2:15" ht="15" customHeight="1" x14ac:dyDescent="0.25">
      <c r="B164" s="86" t="s">
        <v>293</v>
      </c>
      <c r="C164" s="87" t="s">
        <v>294</v>
      </c>
      <c r="D164" s="82" t="s">
        <v>284</v>
      </c>
      <c r="E164" s="230">
        <v>21</v>
      </c>
      <c r="F164" s="88">
        <v>11898</v>
      </c>
      <c r="G164" s="89">
        <f t="shared" si="11"/>
        <v>249858</v>
      </c>
      <c r="H164" s="118" t="str">
        <f t="array" ref="H164:K164">_xlfn.XLOOKUP(C164,'ESAP NEIVA FASE II UNIFICADO'!$C$6:$C$720,'ESAP NEIVA FASE II UNIFICADO'!$C$6:$F$720,"NO ESTA")</f>
        <v>SUMINISTRO E INSTALACIÓN ACCESORIOS PVC-P 2" SCH 40</v>
      </c>
      <c r="I164" t="str">
        <v xml:space="preserve">UN   </v>
      </c>
      <c r="J164">
        <v>55</v>
      </c>
      <c r="K164">
        <v>12209</v>
      </c>
      <c r="L164">
        <f t="shared" si="12"/>
        <v>0</v>
      </c>
      <c r="M164">
        <f t="shared" si="13"/>
        <v>0</v>
      </c>
      <c r="N164" s="119">
        <f t="shared" si="14"/>
        <v>21</v>
      </c>
      <c r="O164" s="119">
        <f t="shared" si="15"/>
        <v>0</v>
      </c>
    </row>
    <row r="165" spans="2:15" ht="15" customHeight="1" x14ac:dyDescent="0.25">
      <c r="B165" s="86" t="s">
        <v>295</v>
      </c>
      <c r="C165" s="87" t="s">
        <v>296</v>
      </c>
      <c r="D165" s="82" t="s">
        <v>284</v>
      </c>
      <c r="E165" s="230">
        <v>4</v>
      </c>
      <c r="F165" s="88">
        <v>28954</v>
      </c>
      <c r="G165" s="89">
        <f t="shared" si="11"/>
        <v>115816</v>
      </c>
      <c r="H165" s="118" t="str">
        <f t="array" ref="H165:K165">_xlfn.XLOOKUP(C165,'ESAP NEIVA FASE II UNIFICADO'!$C$6:$C$720,'ESAP NEIVA FASE II UNIFICADO'!$C$6:$F$720,"NO ESTA")</f>
        <v xml:space="preserve">SUMINISTRO E INSTALACIÓN ACCESORIOS PVC-P 2 1/2" SCH 40                                           </v>
      </c>
      <c r="I165" t="str">
        <v xml:space="preserve">UN   </v>
      </c>
      <c r="J165">
        <v>12</v>
      </c>
      <c r="K165">
        <v>29710</v>
      </c>
      <c r="L165">
        <f t="shared" si="12"/>
        <v>0</v>
      </c>
      <c r="M165">
        <f t="shared" si="13"/>
        <v>0</v>
      </c>
      <c r="N165" s="119">
        <f t="shared" si="14"/>
        <v>4</v>
      </c>
      <c r="O165" s="119">
        <f t="shared" si="15"/>
        <v>0</v>
      </c>
    </row>
    <row r="166" spans="2:15" ht="15" customHeight="1" x14ac:dyDescent="0.25">
      <c r="B166" s="86" t="s">
        <v>297</v>
      </c>
      <c r="C166" s="87" t="s">
        <v>298</v>
      </c>
      <c r="D166" s="82" t="s">
        <v>284</v>
      </c>
      <c r="E166" s="230">
        <v>18</v>
      </c>
      <c r="F166" s="88">
        <v>1662</v>
      </c>
      <c r="G166" s="89">
        <f t="shared" si="11"/>
        <v>29916</v>
      </c>
      <c r="H166" s="118" t="str">
        <f t="array" ref="H166:K166">_xlfn.XLOOKUP(C166,'ESAP NEIVA FASE II UNIFICADO'!$C$6:$C$720,'ESAP NEIVA FASE II UNIFICADO'!$C$6:$F$720,"NO ESTA")</f>
        <v xml:space="preserve">SUMINISTRO E INSTALACIÓN SOPORTE DE 1/2"                                                                 </v>
      </c>
      <c r="I166" t="str">
        <v xml:space="preserve">UN   </v>
      </c>
      <c r="J166">
        <v>49</v>
      </c>
      <c r="K166">
        <v>1705</v>
      </c>
      <c r="L166">
        <f t="shared" si="12"/>
        <v>0</v>
      </c>
      <c r="M166">
        <f t="shared" si="13"/>
        <v>0</v>
      </c>
      <c r="N166" s="119">
        <f t="shared" si="14"/>
        <v>18</v>
      </c>
      <c r="O166" s="119">
        <f t="shared" si="15"/>
        <v>0</v>
      </c>
    </row>
    <row r="167" spans="2:15" ht="15" customHeight="1" x14ac:dyDescent="0.25">
      <c r="B167" s="86" t="s">
        <v>299</v>
      </c>
      <c r="C167" s="87" t="s">
        <v>300</v>
      </c>
      <c r="D167" s="82" t="s">
        <v>284</v>
      </c>
      <c r="E167" s="230">
        <v>6</v>
      </c>
      <c r="F167" s="88">
        <v>2232</v>
      </c>
      <c r="G167" s="89">
        <f t="shared" si="11"/>
        <v>13392</v>
      </c>
      <c r="H167" s="118" t="str">
        <f t="array" ref="H167:K167">_xlfn.XLOOKUP(C167,'ESAP NEIVA FASE II UNIFICADO'!$C$6:$C$720,'ESAP NEIVA FASE II UNIFICADO'!$C$6:$F$720,"NO ESTA")</f>
        <v xml:space="preserve">SUMINISTRO E INSTALACIÓN SOPORTE DE 3/4"                                                                 </v>
      </c>
      <c r="I167" t="str">
        <v xml:space="preserve">UN   </v>
      </c>
      <c r="J167">
        <v>18</v>
      </c>
      <c r="K167">
        <v>2289</v>
      </c>
      <c r="L167">
        <f t="shared" si="12"/>
        <v>0</v>
      </c>
      <c r="M167">
        <f t="shared" si="13"/>
        <v>0</v>
      </c>
      <c r="N167" s="119">
        <f t="shared" si="14"/>
        <v>6</v>
      </c>
      <c r="O167" s="119">
        <f t="shared" si="15"/>
        <v>0</v>
      </c>
    </row>
    <row r="168" spans="2:15" ht="15" customHeight="1" x14ac:dyDescent="0.25">
      <c r="B168" s="86" t="s">
        <v>301</v>
      </c>
      <c r="C168" s="87" t="s">
        <v>302</v>
      </c>
      <c r="D168" s="82" t="s">
        <v>284</v>
      </c>
      <c r="E168" s="230">
        <v>6</v>
      </c>
      <c r="F168" s="88">
        <v>2690</v>
      </c>
      <c r="G168" s="89">
        <f t="shared" si="11"/>
        <v>16140</v>
      </c>
      <c r="H168" s="118" t="str">
        <f t="array" ref="H168:K168">_xlfn.XLOOKUP(C168,'ESAP NEIVA FASE II UNIFICADO'!$C$6:$C$720,'ESAP NEIVA FASE II UNIFICADO'!$C$6:$F$720,"NO ESTA")</f>
        <v xml:space="preserve">SUMINISTRO E INSTALACIÓN SOPORTE DE 1"                                                                   </v>
      </c>
      <c r="I168" t="str">
        <v xml:space="preserve">UN   </v>
      </c>
      <c r="J168">
        <v>18</v>
      </c>
      <c r="K168">
        <v>2761</v>
      </c>
      <c r="L168">
        <f t="shared" si="12"/>
        <v>0</v>
      </c>
      <c r="M168">
        <f t="shared" si="13"/>
        <v>0</v>
      </c>
      <c r="N168" s="119">
        <f t="shared" si="14"/>
        <v>6</v>
      </c>
      <c r="O168" s="119">
        <f t="shared" si="15"/>
        <v>0</v>
      </c>
    </row>
    <row r="169" spans="2:15" ht="15" customHeight="1" x14ac:dyDescent="0.25">
      <c r="B169" s="86" t="s">
        <v>303</v>
      </c>
      <c r="C169" s="87" t="s">
        <v>304</v>
      </c>
      <c r="D169" s="82" t="s">
        <v>284</v>
      </c>
      <c r="E169" s="230">
        <v>10</v>
      </c>
      <c r="F169" s="88">
        <v>3052</v>
      </c>
      <c r="G169" s="89">
        <f t="shared" si="11"/>
        <v>30520</v>
      </c>
      <c r="H169" s="118" t="str">
        <f t="array" ref="H169:K169">_xlfn.XLOOKUP(C169,'ESAP NEIVA FASE II UNIFICADO'!$C$6:$C$720,'ESAP NEIVA FASE II UNIFICADO'!$C$6:$F$720,"NO ESTA")</f>
        <v xml:space="preserve">SUMINISTRO E INSTALACIÓN SOPORTE DE 1 1/4"                                                               </v>
      </c>
      <c r="I169" t="str">
        <v xml:space="preserve">UN   </v>
      </c>
      <c r="J169">
        <v>26</v>
      </c>
      <c r="K169">
        <v>3131</v>
      </c>
      <c r="L169">
        <f t="shared" si="12"/>
        <v>0</v>
      </c>
      <c r="M169">
        <f t="shared" si="13"/>
        <v>0</v>
      </c>
      <c r="N169" s="119">
        <f t="shared" si="14"/>
        <v>10</v>
      </c>
      <c r="O169" s="119">
        <f t="shared" si="15"/>
        <v>0</v>
      </c>
    </row>
    <row r="170" spans="2:15" ht="15" customHeight="1" x14ac:dyDescent="0.25">
      <c r="B170" s="86" t="s">
        <v>305</v>
      </c>
      <c r="C170" s="87" t="s">
        <v>306</v>
      </c>
      <c r="D170" s="82" t="s">
        <v>284</v>
      </c>
      <c r="E170" s="230">
        <v>9</v>
      </c>
      <c r="F170" s="88">
        <v>3695</v>
      </c>
      <c r="G170" s="89">
        <f t="shared" si="11"/>
        <v>33255</v>
      </c>
      <c r="H170" s="118" t="str">
        <f t="array" ref="H170:K170">_xlfn.XLOOKUP(C170,'ESAP NEIVA FASE II UNIFICADO'!$C$6:$C$720,'ESAP NEIVA FASE II UNIFICADO'!$C$6:$F$720,"NO ESTA")</f>
        <v xml:space="preserve">SUMINISTRO E INSTALACIÓN SOPORTE DE 1 1/2"                                                               </v>
      </c>
      <c r="I170" t="str">
        <v xml:space="preserve">UN   </v>
      </c>
      <c r="J170">
        <v>24</v>
      </c>
      <c r="K170">
        <v>3791</v>
      </c>
      <c r="L170">
        <f t="shared" si="12"/>
        <v>0</v>
      </c>
      <c r="M170">
        <f t="shared" si="13"/>
        <v>0</v>
      </c>
      <c r="N170" s="119">
        <f t="shared" si="14"/>
        <v>9</v>
      </c>
      <c r="O170" s="119">
        <f t="shared" si="15"/>
        <v>0</v>
      </c>
    </row>
    <row r="171" spans="2:15" ht="15" customHeight="1" x14ac:dyDescent="0.25">
      <c r="B171" s="86" t="s">
        <v>307</v>
      </c>
      <c r="C171" s="87" t="s">
        <v>308</v>
      </c>
      <c r="D171" s="82" t="s">
        <v>284</v>
      </c>
      <c r="E171" s="230">
        <v>11</v>
      </c>
      <c r="F171" s="88">
        <v>4760</v>
      </c>
      <c r="G171" s="89">
        <f t="shared" si="11"/>
        <v>52360</v>
      </c>
      <c r="H171" s="118" t="str">
        <f t="array" ref="H171:K171">_xlfn.XLOOKUP(C171,'ESAP NEIVA FASE II UNIFICADO'!$C$6:$C$720,'ESAP NEIVA FASE II UNIFICADO'!$C$6:$F$720,"NO ESTA")</f>
        <v xml:space="preserve">SUMINISTRO E INSTALACIÓN SOPORTE DE 2"                                                                   </v>
      </c>
      <c r="I171" t="str">
        <v xml:space="preserve">UN   </v>
      </c>
      <c r="J171">
        <v>31</v>
      </c>
      <c r="K171">
        <v>4884</v>
      </c>
      <c r="L171">
        <f t="shared" si="12"/>
        <v>0</v>
      </c>
      <c r="M171">
        <f t="shared" si="13"/>
        <v>0</v>
      </c>
      <c r="N171" s="119">
        <f t="shared" si="14"/>
        <v>11</v>
      </c>
      <c r="O171" s="119">
        <f t="shared" si="15"/>
        <v>0</v>
      </c>
    </row>
    <row r="172" spans="2:15" ht="15" customHeight="1" x14ac:dyDescent="0.25">
      <c r="B172" s="86" t="s">
        <v>309</v>
      </c>
      <c r="C172" s="87" t="s">
        <v>310</v>
      </c>
      <c r="D172" s="82" t="s">
        <v>284</v>
      </c>
      <c r="E172" s="230">
        <v>3</v>
      </c>
      <c r="F172" s="88">
        <v>5500</v>
      </c>
      <c r="G172" s="89">
        <f t="shared" si="11"/>
        <v>16500</v>
      </c>
      <c r="H172" s="118" t="str">
        <f t="array" ref="H172:K172">_xlfn.XLOOKUP(C172,'ESAP NEIVA FASE II UNIFICADO'!$C$6:$C$720,'ESAP NEIVA FASE II UNIFICADO'!$C$6:$F$720,"NO ESTA")</f>
        <v xml:space="preserve">SUMINISTRO E INSTALACIÓN SOPORTE DE 2 1/2"                                                               </v>
      </c>
      <c r="I172" t="str">
        <v xml:space="preserve">UN   </v>
      </c>
      <c r="J172">
        <v>7</v>
      </c>
      <c r="K172">
        <v>5644</v>
      </c>
      <c r="L172">
        <f t="shared" si="12"/>
        <v>0</v>
      </c>
      <c r="M172">
        <f t="shared" si="13"/>
        <v>0</v>
      </c>
      <c r="N172" s="119">
        <f t="shared" si="14"/>
        <v>3</v>
      </c>
      <c r="O172" s="119">
        <f t="shared" si="15"/>
        <v>0</v>
      </c>
    </row>
    <row r="173" spans="2:15" ht="15" customHeight="1" x14ac:dyDescent="0.25">
      <c r="B173" s="86" t="s">
        <v>311</v>
      </c>
      <c r="C173" s="87" t="s">
        <v>312</v>
      </c>
      <c r="D173" s="82" t="s">
        <v>284</v>
      </c>
      <c r="E173" s="230">
        <v>15</v>
      </c>
      <c r="F173" s="88">
        <v>62592</v>
      </c>
      <c r="G173" s="89">
        <f t="shared" si="11"/>
        <v>938880</v>
      </c>
      <c r="H173" s="118" t="str">
        <f t="array" ref="H173:K173">_xlfn.XLOOKUP(C173,'ESAP NEIVA FASE II UNIFICADO'!$C$6:$C$720,'ESAP NEIVA FASE II UNIFICADO'!$C$6:$F$720,"NO ESTA")</f>
        <v xml:space="preserve">SUMINISTRO E INSTALACIÓN PUNTO HIDRÁULICO PVC-P 1/2"                                                      </v>
      </c>
      <c r="I173" t="str">
        <v xml:space="preserve">UN   </v>
      </c>
      <c r="J173">
        <v>41</v>
      </c>
      <c r="K173">
        <v>64227</v>
      </c>
      <c r="L173">
        <f t="shared" si="12"/>
        <v>0</v>
      </c>
      <c r="M173">
        <f t="shared" si="13"/>
        <v>0</v>
      </c>
      <c r="N173" s="119">
        <f t="shared" si="14"/>
        <v>15</v>
      </c>
      <c r="O173" s="119">
        <f t="shared" si="15"/>
        <v>0</v>
      </c>
    </row>
    <row r="174" spans="2:15" ht="15" customHeight="1" x14ac:dyDescent="0.25">
      <c r="B174" s="86" t="s">
        <v>313</v>
      </c>
      <c r="C174" s="87" t="s">
        <v>314</v>
      </c>
      <c r="D174" s="82" t="s">
        <v>284</v>
      </c>
      <c r="E174" s="230">
        <v>5</v>
      </c>
      <c r="F174" s="88">
        <v>66691</v>
      </c>
      <c r="G174" s="89">
        <f t="shared" si="11"/>
        <v>333455</v>
      </c>
      <c r="H174" s="118" t="str">
        <f t="array" ref="H174:K174">_xlfn.XLOOKUP(C174,'ESAP NEIVA FASE II UNIFICADO'!$C$6:$C$720,'ESAP NEIVA FASE II UNIFICADO'!$C$6:$F$720,"NO ESTA")</f>
        <v xml:space="preserve">SUMINISTRO E INSTALACIÓN PUNTO HIDRÁULICO PVC-P 3/4"                                                      </v>
      </c>
      <c r="I174" t="str">
        <v xml:space="preserve">UN   </v>
      </c>
      <c r="J174">
        <v>14</v>
      </c>
      <c r="K174">
        <v>68433</v>
      </c>
      <c r="L174">
        <f t="shared" si="12"/>
        <v>0</v>
      </c>
      <c r="M174">
        <f t="shared" si="13"/>
        <v>0</v>
      </c>
      <c r="N174" s="119">
        <f t="shared" si="14"/>
        <v>5</v>
      </c>
      <c r="O174" s="119">
        <f t="shared" si="15"/>
        <v>0</v>
      </c>
    </row>
    <row r="175" spans="2:15" ht="15" customHeight="1" x14ac:dyDescent="0.25">
      <c r="B175" s="86" t="s">
        <v>315</v>
      </c>
      <c r="C175" s="87" t="s">
        <v>316</v>
      </c>
      <c r="D175" s="82" t="s">
        <v>284</v>
      </c>
      <c r="E175" s="230">
        <v>15</v>
      </c>
      <c r="F175" s="88">
        <v>94960</v>
      </c>
      <c r="G175" s="89">
        <f t="shared" si="11"/>
        <v>1424400</v>
      </c>
      <c r="H175" s="118" t="str">
        <f t="array" ref="H175:K175">_xlfn.XLOOKUP(C175,'ESAP NEIVA FASE II UNIFICADO'!$C$6:$C$720,'ESAP NEIVA FASE II UNIFICADO'!$C$6:$F$720,"NO ESTA")</f>
        <v xml:space="preserve">SUMINISTRO E INSTALACIÓN PUNTO HIDRÁULICO PVC-P 1 1/4"                                                    </v>
      </c>
      <c r="I175" t="str">
        <v xml:space="preserve">UN   </v>
      </c>
      <c r="J175">
        <v>39</v>
      </c>
      <c r="K175">
        <v>97439</v>
      </c>
      <c r="L175">
        <f t="shared" si="12"/>
        <v>0</v>
      </c>
      <c r="M175">
        <f t="shared" si="13"/>
        <v>0</v>
      </c>
      <c r="N175" s="119">
        <f t="shared" si="14"/>
        <v>15</v>
      </c>
      <c r="O175" s="119">
        <f t="shared" si="15"/>
        <v>0</v>
      </c>
    </row>
    <row r="176" spans="2:15" ht="15" customHeight="1" x14ac:dyDescent="0.25">
      <c r="B176" s="86" t="s">
        <v>317</v>
      </c>
      <c r="C176" s="87" t="s">
        <v>318</v>
      </c>
      <c r="D176" s="82" t="s">
        <v>284</v>
      </c>
      <c r="E176" s="230">
        <v>5</v>
      </c>
      <c r="F176" s="88">
        <v>61701</v>
      </c>
      <c r="G176" s="89">
        <f t="shared" si="11"/>
        <v>308505</v>
      </c>
      <c r="H176" s="118" t="str">
        <f t="array" ref="H176:K176">_xlfn.XLOOKUP(C176,'ESAP NEIVA FASE II UNIFICADO'!$C$6:$C$720,'ESAP NEIVA FASE II UNIFICADO'!$C$6:$F$720,"NO ESTA")</f>
        <v xml:space="preserve">SUMINISTRO E INSTALACIÓN REGISTRO CORTINA ROSCAR 1/2"                                                   </v>
      </c>
      <c r="I176" t="str">
        <v xml:space="preserve">UN   </v>
      </c>
      <c r="J176">
        <v>12</v>
      </c>
      <c r="K176">
        <v>63313</v>
      </c>
      <c r="L176">
        <f t="shared" si="12"/>
        <v>0</v>
      </c>
      <c r="M176">
        <f t="shared" si="13"/>
        <v>0</v>
      </c>
      <c r="N176" s="119">
        <f t="shared" si="14"/>
        <v>5</v>
      </c>
      <c r="O176" s="119">
        <f t="shared" si="15"/>
        <v>0</v>
      </c>
    </row>
    <row r="177" spans="2:15" ht="15" customHeight="1" x14ac:dyDescent="0.25">
      <c r="B177" s="86" t="s">
        <v>319</v>
      </c>
      <c r="C177" s="87" t="s">
        <v>320</v>
      </c>
      <c r="D177" s="82" t="s">
        <v>284</v>
      </c>
      <c r="E177" s="230">
        <v>2</v>
      </c>
      <c r="F177" s="88">
        <v>159908</v>
      </c>
      <c r="G177" s="89">
        <f t="shared" si="11"/>
        <v>319816</v>
      </c>
      <c r="H177" s="118" t="str">
        <f t="array" ref="H177:K177">_xlfn.XLOOKUP(C177,'ESAP NEIVA FASE II UNIFICADO'!$C$6:$C$720,'ESAP NEIVA FASE II UNIFICADO'!$C$6:$F$720,"NO ESTA")</f>
        <v xml:space="preserve">SUMINISTRO E INSTALACIÓN REGISTRO CORTINA P/D ROSCAR 1 1/4"                                                 </v>
      </c>
      <c r="I177" t="str">
        <v xml:space="preserve">UN   </v>
      </c>
      <c r="J177">
        <v>6</v>
      </c>
      <c r="K177">
        <v>164084</v>
      </c>
      <c r="L177">
        <f t="shared" si="12"/>
        <v>0</v>
      </c>
      <c r="M177">
        <f t="shared" si="13"/>
        <v>0</v>
      </c>
      <c r="N177" s="119">
        <f t="shared" si="14"/>
        <v>2</v>
      </c>
      <c r="O177" s="119">
        <f t="shared" si="15"/>
        <v>0</v>
      </c>
    </row>
    <row r="178" spans="2:15" ht="15" customHeight="1" x14ac:dyDescent="0.25">
      <c r="B178" s="86" t="s">
        <v>321</v>
      </c>
      <c r="C178" s="87" t="s">
        <v>322</v>
      </c>
      <c r="D178" s="82" t="s">
        <v>284</v>
      </c>
      <c r="E178" s="230">
        <v>2</v>
      </c>
      <c r="F178" s="88">
        <v>217082</v>
      </c>
      <c r="G178" s="89">
        <f t="shared" si="11"/>
        <v>434164</v>
      </c>
      <c r="H178" s="118" t="str">
        <f t="array" ref="H178:K178">_xlfn.XLOOKUP(C178,'ESAP NEIVA FASE II UNIFICADO'!$C$6:$C$720,'ESAP NEIVA FASE II UNIFICADO'!$C$6:$F$720,"NO ESTA")</f>
        <v xml:space="preserve">SUMINISTRO E INSTALACIÓN REGISTRO CORTINA P/D ROSCAR 1 1/2"                                                 </v>
      </c>
      <c r="I178" t="str">
        <v xml:space="preserve">UN   </v>
      </c>
      <c r="J178">
        <v>6</v>
      </c>
      <c r="K178">
        <v>222753</v>
      </c>
      <c r="L178">
        <f t="shared" si="12"/>
        <v>0</v>
      </c>
      <c r="M178">
        <f t="shared" si="13"/>
        <v>0</v>
      </c>
      <c r="N178" s="119">
        <f t="shared" si="14"/>
        <v>2</v>
      </c>
      <c r="O178" s="119">
        <f t="shared" si="15"/>
        <v>0</v>
      </c>
    </row>
    <row r="179" spans="2:15" ht="15" customHeight="1" x14ac:dyDescent="0.25">
      <c r="B179" s="86" t="s">
        <v>323</v>
      </c>
      <c r="C179" s="87" t="s">
        <v>324</v>
      </c>
      <c r="D179" s="82" t="s">
        <v>284</v>
      </c>
      <c r="E179" s="230">
        <v>2</v>
      </c>
      <c r="F179" s="88">
        <v>105676</v>
      </c>
      <c r="G179" s="89">
        <f t="shared" si="11"/>
        <v>211352</v>
      </c>
      <c r="H179" s="118" t="str">
        <f t="array" ref="H179:K179">_xlfn.XLOOKUP(C179,'ESAP NEIVA FASE II UNIFICADO'!$C$6:$C$720,'ESAP NEIVA FASE II UNIFICADO'!$C$6:$F$720,"NO ESTA")</f>
        <v xml:space="preserve">SUMINISTRO E INSTALACIÓN VÁLVULA FLOTADOR 1"                                                           </v>
      </c>
      <c r="I179" t="str">
        <v xml:space="preserve">UN   </v>
      </c>
      <c r="J179">
        <v>0</v>
      </c>
      <c r="K179">
        <v>108436</v>
      </c>
      <c r="L179">
        <f t="shared" si="12"/>
        <v>1</v>
      </c>
      <c r="M179">
        <f t="shared" si="13"/>
        <v>105676</v>
      </c>
      <c r="N179" s="119">
        <f t="shared" si="14"/>
        <v>2</v>
      </c>
      <c r="O179" s="119">
        <f t="shared" si="15"/>
        <v>211352</v>
      </c>
    </row>
    <row r="180" spans="2:15" ht="15" customHeight="1" x14ac:dyDescent="0.25">
      <c r="B180" s="86" t="s">
        <v>325</v>
      </c>
      <c r="C180" s="87" t="s">
        <v>326</v>
      </c>
      <c r="D180" s="82" t="s">
        <v>284</v>
      </c>
      <c r="E180" s="230">
        <v>1</v>
      </c>
      <c r="F180" s="88">
        <v>165249</v>
      </c>
      <c r="G180" s="89">
        <f t="shared" si="11"/>
        <v>165249</v>
      </c>
      <c r="H180" s="118" t="str">
        <f t="array" ref="H180:K180">_xlfn.XLOOKUP(C180,'ESAP NEIVA FASE II UNIFICADO'!$C$6:$C$720,'ESAP NEIVA FASE II UNIFICADO'!$C$6:$F$720,"NO ESTA")</f>
        <v xml:space="preserve">SUMINISTRO E INSTALACIÓN MEDIDOR VELOCIMETRICO  3/4"                                                   </v>
      </c>
      <c r="I180" t="str">
        <v xml:space="preserve">UN   </v>
      </c>
      <c r="J180">
        <v>0</v>
      </c>
      <c r="K180">
        <v>169565</v>
      </c>
      <c r="L180">
        <f t="shared" si="12"/>
        <v>1</v>
      </c>
      <c r="M180">
        <f t="shared" si="13"/>
        <v>165249</v>
      </c>
      <c r="N180" s="119">
        <f t="shared" si="14"/>
        <v>1</v>
      </c>
      <c r="O180" s="119">
        <f t="shared" si="15"/>
        <v>165249</v>
      </c>
    </row>
    <row r="181" spans="2:15" ht="15" customHeight="1" x14ac:dyDescent="0.25">
      <c r="B181" s="80" t="s">
        <v>327</v>
      </c>
      <c r="C181" s="81" t="s">
        <v>328</v>
      </c>
      <c r="D181" s="82"/>
      <c r="E181" s="230"/>
      <c r="F181" s="90">
        <v>0</v>
      </c>
      <c r="G181" s="89">
        <f t="shared" si="11"/>
        <v>0</v>
      </c>
      <c r="H181" s="118" t="str">
        <f t="array" ref="H181:K181">_xlfn.XLOOKUP(C181,'ESAP NEIVA FASE II UNIFICADO'!$C$6:$C$720,'ESAP NEIVA FASE II UNIFICADO'!$C$6:$F$720,"NO ESTA")</f>
        <v xml:space="preserve">SUMINISTRO E INSTALACION RED DESAGÜES AGUAS RESIDUALES                                                                              </v>
      </c>
      <c r="I181">
        <v>0</v>
      </c>
      <c r="J181">
        <v>0</v>
      </c>
      <c r="K181">
        <v>0</v>
      </c>
      <c r="L181">
        <f t="shared" si="12"/>
        <v>1</v>
      </c>
      <c r="M181">
        <f t="shared" si="13"/>
        <v>0</v>
      </c>
      <c r="N181" s="119">
        <f t="shared" si="14"/>
        <v>0</v>
      </c>
      <c r="O181" s="119">
        <f t="shared" si="15"/>
        <v>0</v>
      </c>
    </row>
    <row r="182" spans="2:15" ht="15" customHeight="1" x14ac:dyDescent="0.25">
      <c r="B182" s="86" t="s">
        <v>329</v>
      </c>
      <c r="C182" s="87" t="s">
        <v>330</v>
      </c>
      <c r="D182" s="82" t="s">
        <v>269</v>
      </c>
      <c r="E182" s="230">
        <v>12</v>
      </c>
      <c r="F182" s="88">
        <v>23929</v>
      </c>
      <c r="G182" s="89">
        <f t="shared" si="11"/>
        <v>287148</v>
      </c>
      <c r="H182" s="118" t="str">
        <f t="array" ref="H182:K182">_xlfn.XLOOKUP(C182,'ESAP NEIVA FASE II UNIFICADO'!$C$6:$C$720,'ESAP NEIVA FASE II UNIFICADO'!$C$6:$F$720,"NO ESTA")</f>
        <v xml:space="preserve">SUMINISTRO E INSTALACIÓN TUBERIA PVC-S DIAMETRO 2"                                                                        </v>
      </c>
      <c r="I182" t="str">
        <v xml:space="preserve">ML   </v>
      </c>
      <c r="J182">
        <v>34</v>
      </c>
      <c r="K182">
        <v>24554</v>
      </c>
      <c r="L182">
        <f t="shared" si="12"/>
        <v>0</v>
      </c>
      <c r="M182">
        <f t="shared" si="13"/>
        <v>0</v>
      </c>
      <c r="N182" s="119">
        <f t="shared" si="14"/>
        <v>12</v>
      </c>
      <c r="O182" s="119">
        <f t="shared" si="15"/>
        <v>0</v>
      </c>
    </row>
    <row r="183" spans="2:15" ht="15" customHeight="1" x14ac:dyDescent="0.25">
      <c r="B183" s="86" t="s">
        <v>331</v>
      </c>
      <c r="C183" s="87" t="s">
        <v>332</v>
      </c>
      <c r="D183" s="82" t="s">
        <v>269</v>
      </c>
      <c r="E183" s="230">
        <v>58</v>
      </c>
      <c r="F183" s="88">
        <v>35215</v>
      </c>
      <c r="G183" s="89">
        <f t="shared" si="11"/>
        <v>2042470</v>
      </c>
      <c r="H183" s="118" t="str">
        <f t="array" ref="H183:K183">_xlfn.XLOOKUP(C183,'ESAP NEIVA FASE II UNIFICADO'!$C$6:$C$720,'ESAP NEIVA FASE II UNIFICADO'!$C$6:$F$720,"NO ESTA")</f>
        <v xml:space="preserve">SUMINISTRO E INSTALACIÓN TUBERIA PVC-S DIAMETRO 3"                                                                        </v>
      </c>
      <c r="I183" t="str">
        <v xml:space="preserve">ML   </v>
      </c>
      <c r="J183">
        <v>157</v>
      </c>
      <c r="K183">
        <v>36135</v>
      </c>
      <c r="L183">
        <f t="shared" si="12"/>
        <v>0</v>
      </c>
      <c r="M183">
        <f t="shared" si="13"/>
        <v>0</v>
      </c>
      <c r="N183" s="119">
        <f t="shared" si="14"/>
        <v>58</v>
      </c>
      <c r="O183" s="119">
        <f t="shared" si="15"/>
        <v>0</v>
      </c>
    </row>
    <row r="184" spans="2:15" ht="15" customHeight="1" x14ac:dyDescent="0.25">
      <c r="B184" s="86" t="s">
        <v>333</v>
      </c>
      <c r="C184" s="87" t="s">
        <v>334</v>
      </c>
      <c r="D184" s="82" t="s">
        <v>269</v>
      </c>
      <c r="E184" s="230">
        <v>101</v>
      </c>
      <c r="F184" s="88">
        <v>50238</v>
      </c>
      <c r="G184" s="89">
        <f t="shared" si="11"/>
        <v>5074038</v>
      </c>
      <c r="H184" s="118" t="str">
        <f t="array" ref="H184:K184">_xlfn.XLOOKUP(C184,'ESAP NEIVA FASE II UNIFICADO'!$C$6:$C$720,'ESAP NEIVA FASE II UNIFICADO'!$C$6:$F$720,"NO ESTA")</f>
        <v xml:space="preserve">SUMINISTRO E INSTALACIÓN TUBERÍA PVC-S DIAMETRO 4"                                                                        </v>
      </c>
      <c r="I184" t="str">
        <v xml:space="preserve">ML   </v>
      </c>
      <c r="J184">
        <v>272</v>
      </c>
      <c r="K184">
        <v>51550</v>
      </c>
      <c r="L184">
        <f t="shared" si="12"/>
        <v>0</v>
      </c>
      <c r="M184">
        <f t="shared" si="13"/>
        <v>0</v>
      </c>
      <c r="N184" s="119">
        <f t="shared" si="14"/>
        <v>101</v>
      </c>
      <c r="O184" s="119">
        <f t="shared" si="15"/>
        <v>0</v>
      </c>
    </row>
    <row r="185" spans="2:15" ht="15" customHeight="1" x14ac:dyDescent="0.25">
      <c r="B185" s="86" t="s">
        <v>335</v>
      </c>
      <c r="C185" s="87" t="s">
        <v>336</v>
      </c>
      <c r="D185" s="82" t="s">
        <v>269</v>
      </c>
      <c r="E185" s="230">
        <v>26</v>
      </c>
      <c r="F185" s="88">
        <v>20823</v>
      </c>
      <c r="G185" s="89">
        <f t="shared" si="11"/>
        <v>541398</v>
      </c>
      <c r="H185" s="118" t="str">
        <f t="array" ref="H185:K185">_xlfn.XLOOKUP(C185,'ESAP NEIVA FASE II UNIFICADO'!$C$6:$C$720,'ESAP NEIVA FASE II UNIFICADO'!$C$6:$F$720,"NO ESTA")</f>
        <v xml:space="preserve">SUMINISTRO E INSTALACIÓN TUBERIA PVC-VENT DIAMETRO 2"                                                                     </v>
      </c>
      <c r="I185" t="str">
        <v xml:space="preserve">ML   </v>
      </c>
      <c r="J185">
        <v>72</v>
      </c>
      <c r="K185">
        <v>21367</v>
      </c>
      <c r="L185">
        <f t="shared" si="12"/>
        <v>0</v>
      </c>
      <c r="M185">
        <f t="shared" si="13"/>
        <v>0</v>
      </c>
      <c r="N185" s="119">
        <f t="shared" si="14"/>
        <v>26</v>
      </c>
      <c r="O185" s="119">
        <f t="shared" si="15"/>
        <v>0</v>
      </c>
    </row>
    <row r="186" spans="2:15" ht="15" customHeight="1" x14ac:dyDescent="0.25">
      <c r="B186" s="86" t="s">
        <v>337</v>
      </c>
      <c r="C186" s="87" t="s">
        <v>338</v>
      </c>
      <c r="D186" s="82" t="s">
        <v>269</v>
      </c>
      <c r="E186" s="230">
        <v>36</v>
      </c>
      <c r="F186" s="88">
        <v>30959</v>
      </c>
      <c r="G186" s="89">
        <f t="shared" si="11"/>
        <v>1114524</v>
      </c>
      <c r="H186" s="118" t="str">
        <f t="array" ref="H186:K186">_xlfn.XLOOKUP(C186,'ESAP NEIVA FASE II UNIFICADO'!$C$6:$C$720,'ESAP NEIVA FASE II UNIFICADO'!$C$6:$F$720,"NO ESTA")</f>
        <v xml:space="preserve">SUMINISTRO E INSTALACIÓN TUBERIA PVC-VENT DIAMETRO 3"                                                                     </v>
      </c>
      <c r="I186" t="str">
        <v xml:space="preserve">ML   </v>
      </c>
      <c r="J186">
        <v>97</v>
      </c>
      <c r="K186">
        <v>31767</v>
      </c>
      <c r="L186">
        <f t="shared" si="12"/>
        <v>0</v>
      </c>
      <c r="M186">
        <f t="shared" si="13"/>
        <v>0</v>
      </c>
      <c r="N186" s="119">
        <f t="shared" si="14"/>
        <v>36</v>
      </c>
      <c r="O186" s="119">
        <f t="shared" si="15"/>
        <v>0</v>
      </c>
    </row>
    <row r="187" spans="2:15" ht="15" customHeight="1" x14ac:dyDescent="0.25">
      <c r="B187" s="86" t="s">
        <v>339</v>
      </c>
      <c r="C187" s="87" t="s">
        <v>340</v>
      </c>
      <c r="D187" s="82" t="s">
        <v>284</v>
      </c>
      <c r="E187" s="230">
        <v>45</v>
      </c>
      <c r="F187" s="88">
        <v>7320</v>
      </c>
      <c r="G187" s="89">
        <f t="shared" si="11"/>
        <v>329400</v>
      </c>
      <c r="H187" s="118" t="str">
        <f t="array" ref="H187:K187">_xlfn.XLOOKUP(C187,'ESAP NEIVA FASE II UNIFICADO'!$C$6:$C$720,'ESAP NEIVA FASE II UNIFICADO'!$C$6:$F$720,"NO ESTA")</f>
        <v xml:space="preserve">SUMINISTRO E INSTALACIÓN ACCESORIOS PVC-S DIAMETRO  2"                                                             </v>
      </c>
      <c r="I187" t="str">
        <v xml:space="preserve">UN   </v>
      </c>
      <c r="J187">
        <v>122</v>
      </c>
      <c r="K187">
        <v>7512</v>
      </c>
      <c r="L187">
        <f t="shared" si="12"/>
        <v>0</v>
      </c>
      <c r="M187">
        <f t="shared" si="13"/>
        <v>0</v>
      </c>
      <c r="N187" s="119">
        <f t="shared" si="14"/>
        <v>45</v>
      </c>
      <c r="O187" s="119">
        <f t="shared" si="15"/>
        <v>0</v>
      </c>
    </row>
    <row r="188" spans="2:15" ht="15" customHeight="1" x14ac:dyDescent="0.25">
      <c r="B188" s="86" t="s">
        <v>341</v>
      </c>
      <c r="C188" s="87" t="s">
        <v>342</v>
      </c>
      <c r="D188" s="82" t="s">
        <v>284</v>
      </c>
      <c r="E188" s="230">
        <v>60</v>
      </c>
      <c r="F188" s="88">
        <v>10429</v>
      </c>
      <c r="G188" s="89">
        <f t="shared" si="11"/>
        <v>625740</v>
      </c>
      <c r="H188" s="118" t="str">
        <f t="array" ref="H188:K188">_xlfn.XLOOKUP(C188,'ESAP NEIVA FASE II UNIFICADO'!$C$6:$C$720,'ESAP NEIVA FASE II UNIFICADO'!$C$6:$F$720,"NO ESTA")</f>
        <v xml:space="preserve">SUMINISTRO E INSTALACIÓN ACCESORIOS PVC-S DIAMETRO  3"                                                             </v>
      </c>
      <c r="I188" t="str">
        <v xml:space="preserve">UN   </v>
      </c>
      <c r="J188">
        <v>161</v>
      </c>
      <c r="K188">
        <v>10700</v>
      </c>
      <c r="L188">
        <f t="shared" si="12"/>
        <v>0</v>
      </c>
      <c r="M188">
        <f t="shared" si="13"/>
        <v>0</v>
      </c>
      <c r="N188" s="119">
        <f t="shared" si="14"/>
        <v>60</v>
      </c>
      <c r="O188" s="119">
        <f t="shared" si="15"/>
        <v>0</v>
      </c>
    </row>
    <row r="189" spans="2:15" ht="15" customHeight="1" x14ac:dyDescent="0.25">
      <c r="B189" s="86" t="s">
        <v>343</v>
      </c>
      <c r="C189" s="87" t="s">
        <v>344</v>
      </c>
      <c r="D189" s="82" t="s">
        <v>284</v>
      </c>
      <c r="E189" s="230">
        <v>106</v>
      </c>
      <c r="F189" s="88">
        <v>15324</v>
      </c>
      <c r="G189" s="89">
        <f t="shared" si="11"/>
        <v>1624344</v>
      </c>
      <c r="H189" s="118" t="str">
        <f t="array" ref="H189:K189">_xlfn.XLOOKUP(C189,'ESAP NEIVA FASE II UNIFICADO'!$C$6:$C$720,'ESAP NEIVA FASE II UNIFICADO'!$C$6:$F$720,"NO ESTA")</f>
        <v xml:space="preserve">SUMINISTRO E INSTALACIÓN ACCESORIOS PVC-S DIAMETRO  4"                                                             </v>
      </c>
      <c r="I189" t="str">
        <v xml:space="preserve">UN   </v>
      </c>
      <c r="J189">
        <v>288</v>
      </c>
      <c r="K189">
        <v>15725</v>
      </c>
      <c r="L189">
        <f t="shared" si="12"/>
        <v>0</v>
      </c>
      <c r="M189">
        <f t="shared" si="13"/>
        <v>0</v>
      </c>
      <c r="N189" s="119">
        <f t="shared" si="14"/>
        <v>106</v>
      </c>
      <c r="O189" s="119">
        <f t="shared" si="15"/>
        <v>0</v>
      </c>
    </row>
    <row r="190" spans="2:15" ht="15" customHeight="1" x14ac:dyDescent="0.25">
      <c r="B190" s="86" t="s">
        <v>345</v>
      </c>
      <c r="C190" s="87" t="s">
        <v>346</v>
      </c>
      <c r="D190" s="82" t="s">
        <v>284</v>
      </c>
      <c r="E190" s="230">
        <v>5</v>
      </c>
      <c r="F190" s="88">
        <v>4760</v>
      </c>
      <c r="G190" s="89">
        <f t="shared" si="11"/>
        <v>23800</v>
      </c>
      <c r="H190" s="118" t="str">
        <f t="array" ref="H190:K190">_xlfn.XLOOKUP(C190,'ESAP NEIVA FASE II UNIFICADO'!$C$6:$C$720,'ESAP NEIVA FASE II UNIFICADO'!$C$6:$F$720,"NO ESTA")</f>
        <v xml:space="preserve">SUMINISTRO E INSTALACIÓN SOPORTE 2"                                                                   </v>
      </c>
      <c r="I190" t="str">
        <v xml:space="preserve">UN   </v>
      </c>
      <c r="J190">
        <v>14</v>
      </c>
      <c r="K190">
        <v>4884</v>
      </c>
      <c r="L190">
        <f t="shared" si="12"/>
        <v>0</v>
      </c>
      <c r="M190">
        <f t="shared" si="13"/>
        <v>0</v>
      </c>
      <c r="N190" s="119">
        <f t="shared" si="14"/>
        <v>5</v>
      </c>
      <c r="O190" s="119">
        <f t="shared" si="15"/>
        <v>0</v>
      </c>
    </row>
    <row r="191" spans="2:15" ht="15" customHeight="1" x14ac:dyDescent="0.25">
      <c r="B191" s="86" t="s">
        <v>347</v>
      </c>
      <c r="C191" s="87" t="s">
        <v>348</v>
      </c>
      <c r="D191" s="82" t="s">
        <v>284</v>
      </c>
      <c r="E191" s="230">
        <v>23</v>
      </c>
      <c r="F191" s="88">
        <v>6054</v>
      </c>
      <c r="G191" s="89">
        <f t="shared" si="11"/>
        <v>139242</v>
      </c>
      <c r="H191" s="118" t="str">
        <f t="array" ref="H191:K191">_xlfn.XLOOKUP(C191,'ESAP NEIVA FASE II UNIFICADO'!$C$6:$C$720,'ESAP NEIVA FASE II UNIFICADO'!$C$6:$F$720,"NO ESTA")</f>
        <v xml:space="preserve">SUMINISTRO E INSTALACIÓN SOPORTE 3"                                                                   </v>
      </c>
      <c r="I191" t="str">
        <v xml:space="preserve">UN   </v>
      </c>
      <c r="J191">
        <v>64</v>
      </c>
      <c r="K191">
        <v>6212</v>
      </c>
      <c r="L191">
        <f t="shared" si="12"/>
        <v>0</v>
      </c>
      <c r="M191">
        <f t="shared" si="13"/>
        <v>0</v>
      </c>
      <c r="N191" s="119">
        <f t="shared" si="14"/>
        <v>23</v>
      </c>
      <c r="O191" s="119">
        <f t="shared" si="15"/>
        <v>0</v>
      </c>
    </row>
    <row r="192" spans="2:15" ht="15" customHeight="1" x14ac:dyDescent="0.25">
      <c r="B192" s="86" t="s">
        <v>349</v>
      </c>
      <c r="C192" s="87" t="s">
        <v>350</v>
      </c>
      <c r="D192" s="82" t="s">
        <v>284</v>
      </c>
      <c r="E192" s="230">
        <v>38</v>
      </c>
      <c r="F192" s="88">
        <v>12016</v>
      </c>
      <c r="G192" s="89">
        <f t="shared" si="11"/>
        <v>456608</v>
      </c>
      <c r="H192" s="118" t="str">
        <f t="array" ref="H192:K192">_xlfn.XLOOKUP(C192,'ESAP NEIVA FASE II UNIFICADO'!$C$6:$C$720,'ESAP NEIVA FASE II UNIFICADO'!$C$6:$F$720,"NO ESTA")</f>
        <v xml:space="preserve">SUMINISTRO E INSTALACIÓN SOPORTE 4"                                                                   </v>
      </c>
      <c r="I192" t="str">
        <v xml:space="preserve">UN   </v>
      </c>
      <c r="J192">
        <v>101</v>
      </c>
      <c r="K192">
        <v>12329</v>
      </c>
      <c r="L192">
        <f t="shared" si="12"/>
        <v>0</v>
      </c>
      <c r="M192">
        <f t="shared" si="13"/>
        <v>0</v>
      </c>
      <c r="N192" s="119">
        <f t="shared" si="14"/>
        <v>38</v>
      </c>
      <c r="O192" s="119">
        <f t="shared" si="15"/>
        <v>0</v>
      </c>
    </row>
    <row r="193" spans="2:15" ht="15" customHeight="1" x14ac:dyDescent="0.25">
      <c r="B193" s="86" t="s">
        <v>351</v>
      </c>
      <c r="C193" s="87" t="s">
        <v>352</v>
      </c>
      <c r="D193" s="82" t="s">
        <v>284</v>
      </c>
      <c r="E193" s="230">
        <v>14</v>
      </c>
      <c r="F193" s="88">
        <v>40331</v>
      </c>
      <c r="G193" s="89">
        <f t="shared" si="11"/>
        <v>564634</v>
      </c>
      <c r="H193" s="118" t="str">
        <f t="array" ref="H193:K193">_xlfn.XLOOKUP(C193,'ESAP NEIVA FASE II UNIFICADO'!$C$6:$C$720,'ESAP NEIVA FASE II UNIFICADO'!$C$6:$F$720,"NO ESTA")</f>
        <v xml:space="preserve">SUMINISTRO E INSTALACIÓN SALIDA SANITARIA 2"                                    </v>
      </c>
      <c r="I193" t="str">
        <v xml:space="preserve">UN   </v>
      </c>
      <c r="J193">
        <v>36</v>
      </c>
      <c r="K193">
        <v>41384</v>
      </c>
      <c r="L193">
        <f t="shared" si="12"/>
        <v>0</v>
      </c>
      <c r="M193">
        <f t="shared" si="13"/>
        <v>0</v>
      </c>
      <c r="N193" s="119">
        <f t="shared" si="14"/>
        <v>14</v>
      </c>
      <c r="O193" s="119">
        <f t="shared" si="15"/>
        <v>0</v>
      </c>
    </row>
    <row r="194" spans="2:15" ht="15" customHeight="1" x14ac:dyDescent="0.25">
      <c r="B194" s="86" t="s">
        <v>353</v>
      </c>
      <c r="C194" s="87" t="s">
        <v>354</v>
      </c>
      <c r="D194" s="82" t="s">
        <v>284</v>
      </c>
      <c r="E194" s="230">
        <v>9</v>
      </c>
      <c r="F194" s="88">
        <v>48749</v>
      </c>
      <c r="G194" s="89">
        <f t="shared" si="11"/>
        <v>438741</v>
      </c>
      <c r="H194" s="118" t="str">
        <f t="array" ref="H194:K194">_xlfn.XLOOKUP(C194,'ESAP NEIVA FASE II UNIFICADO'!$C$6:$C$720,'ESAP NEIVA FASE II UNIFICADO'!$C$6:$F$720,"NO ESTA")</f>
        <v xml:space="preserve">SUMINISTRO E INSTALACIÓN SALIDA SANITARIA 3"                                    </v>
      </c>
      <c r="I194" t="str">
        <v xml:space="preserve">UN   </v>
      </c>
      <c r="J194">
        <v>23</v>
      </c>
      <c r="K194">
        <v>50021</v>
      </c>
      <c r="L194">
        <f t="shared" si="12"/>
        <v>0</v>
      </c>
      <c r="M194">
        <f t="shared" si="13"/>
        <v>0</v>
      </c>
      <c r="N194" s="119">
        <f t="shared" si="14"/>
        <v>9</v>
      </c>
      <c r="O194" s="119">
        <f t="shared" si="15"/>
        <v>0</v>
      </c>
    </row>
    <row r="195" spans="2:15" ht="15" customHeight="1" x14ac:dyDescent="0.25">
      <c r="B195" s="86" t="s">
        <v>355</v>
      </c>
      <c r="C195" s="87" t="s">
        <v>356</v>
      </c>
      <c r="D195" s="82" t="s">
        <v>284</v>
      </c>
      <c r="E195" s="230">
        <v>16</v>
      </c>
      <c r="F195" s="88">
        <v>59907</v>
      </c>
      <c r="G195" s="89">
        <f t="shared" si="11"/>
        <v>958512</v>
      </c>
      <c r="H195" s="118" t="str">
        <f t="array" ref="H195:K195">_xlfn.XLOOKUP(C195,'ESAP NEIVA FASE II UNIFICADO'!$C$6:$C$720,'ESAP NEIVA FASE II UNIFICADO'!$C$6:$F$720,"NO ESTA")</f>
        <v xml:space="preserve">SUMINISTRO E INSTALACIÓN SALIDA SANITARIA 4"                                    </v>
      </c>
      <c r="I195" t="str">
        <v xml:space="preserve">UN   </v>
      </c>
      <c r="J195">
        <v>42</v>
      </c>
      <c r="K195">
        <v>61472</v>
      </c>
      <c r="L195">
        <f t="shared" si="12"/>
        <v>0</v>
      </c>
      <c r="M195">
        <f t="shared" si="13"/>
        <v>0</v>
      </c>
      <c r="N195" s="119">
        <f t="shared" si="14"/>
        <v>16</v>
      </c>
      <c r="O195" s="119">
        <f t="shared" si="15"/>
        <v>0</v>
      </c>
    </row>
    <row r="196" spans="2:15" ht="15" customHeight="1" x14ac:dyDescent="0.25">
      <c r="B196" s="86" t="s">
        <v>357</v>
      </c>
      <c r="C196" s="87" t="s">
        <v>358</v>
      </c>
      <c r="D196" s="82" t="s">
        <v>284</v>
      </c>
      <c r="E196" s="230">
        <v>1</v>
      </c>
      <c r="F196" s="88">
        <v>528504</v>
      </c>
      <c r="G196" s="89">
        <f t="shared" si="11"/>
        <v>528504</v>
      </c>
      <c r="H196" s="118" t="str">
        <f t="array" ref="H196:K196">_xlfn.XLOOKUP(C196,'ESAP NEIVA FASE II UNIFICADO'!$C$6:$C$720,'ESAP NEIVA FASE II UNIFICADO'!$C$6:$F$720,"NO ESTA")</f>
        <v xml:space="preserve">SUMINISTRO Y CONSTRUCCIÓN CAJA DE INSPECCIÓN 0.80mX0.80m H mäx:1.0m                                                                    </v>
      </c>
      <c r="I196" t="str">
        <v xml:space="preserve">UN   </v>
      </c>
      <c r="J196">
        <v>1</v>
      </c>
      <c r="K196">
        <v>542308</v>
      </c>
      <c r="L196">
        <f t="shared" si="12"/>
        <v>0</v>
      </c>
      <c r="M196">
        <f t="shared" si="13"/>
        <v>0</v>
      </c>
      <c r="N196" s="119">
        <f t="shared" si="14"/>
        <v>1</v>
      </c>
      <c r="O196" s="119">
        <f t="shared" si="15"/>
        <v>0</v>
      </c>
    </row>
    <row r="197" spans="2:15" ht="15" customHeight="1" x14ac:dyDescent="0.25">
      <c r="B197" s="86" t="s">
        <v>359</v>
      </c>
      <c r="C197" s="87" t="s">
        <v>360</v>
      </c>
      <c r="D197" s="82" t="s">
        <v>269</v>
      </c>
      <c r="E197" s="230">
        <v>11</v>
      </c>
      <c r="F197" s="88">
        <v>44632</v>
      </c>
      <c r="G197" s="89">
        <f t="shared" si="11"/>
        <v>490952</v>
      </c>
      <c r="H197" s="118" t="str">
        <f t="array" ref="H197:K197">_xlfn.XLOOKUP(C197,'ESAP NEIVA FASE II UNIFICADO'!$C$6:$C$720,'ESAP NEIVA FASE II UNIFICADO'!$C$6:$F$720,"NO ESTA")</f>
        <v xml:space="preserve">SUMINISTRO E INSTALACIÓN TUBERIA PVC-ALC DIAMETRO 160mm                                                                   </v>
      </c>
      <c r="I197" t="str">
        <v xml:space="preserve">ML   </v>
      </c>
      <c r="J197">
        <v>29</v>
      </c>
      <c r="K197">
        <v>45798</v>
      </c>
      <c r="L197">
        <f t="shared" si="12"/>
        <v>0</v>
      </c>
      <c r="M197">
        <f t="shared" si="13"/>
        <v>0</v>
      </c>
      <c r="N197" s="119">
        <f t="shared" si="14"/>
        <v>11</v>
      </c>
      <c r="O197" s="119">
        <f t="shared" si="15"/>
        <v>0</v>
      </c>
    </row>
    <row r="198" spans="2:15" ht="15" customHeight="1" x14ac:dyDescent="0.25">
      <c r="B198" s="86" t="s">
        <v>361</v>
      </c>
      <c r="C198" s="87" t="s">
        <v>362</v>
      </c>
      <c r="D198" s="82" t="s">
        <v>269</v>
      </c>
      <c r="E198" s="230">
        <v>3</v>
      </c>
      <c r="F198" s="88">
        <v>62327</v>
      </c>
      <c r="G198" s="89">
        <f t="shared" si="11"/>
        <v>186981</v>
      </c>
      <c r="H198" s="118" t="str">
        <f t="array" ref="H198:K198">_xlfn.XLOOKUP(C198,'ESAP NEIVA FASE II UNIFICADO'!$C$6:$C$720,'ESAP NEIVA FASE II UNIFICADO'!$C$6:$F$720,"NO ESTA")</f>
        <v xml:space="preserve">SUMINISTRO E INSTALACIÓN TUBERIA PVC-ALC DIAMETRO 200mm                                                                   </v>
      </c>
      <c r="I198" t="str">
        <v xml:space="preserve">ML   </v>
      </c>
      <c r="J198">
        <v>7</v>
      </c>
      <c r="K198">
        <v>63955</v>
      </c>
      <c r="L198">
        <f t="shared" si="12"/>
        <v>0</v>
      </c>
      <c r="M198">
        <f t="shared" si="13"/>
        <v>0</v>
      </c>
      <c r="N198" s="119">
        <f t="shared" si="14"/>
        <v>3</v>
      </c>
      <c r="O198" s="119">
        <f t="shared" si="15"/>
        <v>0</v>
      </c>
    </row>
    <row r="199" spans="2:15" ht="15" customHeight="1" x14ac:dyDescent="0.25">
      <c r="B199" s="86" t="s">
        <v>363</v>
      </c>
      <c r="C199" s="87" t="s">
        <v>364</v>
      </c>
      <c r="D199" s="82" t="s">
        <v>269</v>
      </c>
      <c r="E199" s="230">
        <v>11</v>
      </c>
      <c r="F199" s="88">
        <v>94694</v>
      </c>
      <c r="G199" s="89">
        <f t="shared" ref="G199:G262" si="16">ROUND(+F199*E199,2)</f>
        <v>1041634</v>
      </c>
      <c r="H199" s="118" t="str">
        <f t="array" ref="H199:K199">_xlfn.XLOOKUP(C199,'ESAP NEIVA FASE II UNIFICADO'!$C$6:$C$720,'ESAP NEIVA FASE II UNIFICADO'!$C$6:$F$720,"NO ESTA")</f>
        <v xml:space="preserve">SUMINISTRO E INSTALACIÓN TUBERÍA PVC-P DIAMETRO 4"                                                        </v>
      </c>
      <c r="I199" t="str">
        <v xml:space="preserve">ML   </v>
      </c>
      <c r="J199">
        <v>29</v>
      </c>
      <c r="K199">
        <v>97168</v>
      </c>
      <c r="L199">
        <f t="shared" si="12"/>
        <v>0</v>
      </c>
      <c r="M199">
        <f t="shared" si="13"/>
        <v>0</v>
      </c>
      <c r="N199" s="119">
        <f t="shared" si="14"/>
        <v>11</v>
      </c>
      <c r="O199" s="119">
        <f t="shared" si="15"/>
        <v>0</v>
      </c>
    </row>
    <row r="200" spans="2:15" ht="15" customHeight="1" x14ac:dyDescent="0.25">
      <c r="B200" s="86" t="s">
        <v>365</v>
      </c>
      <c r="C200" s="87" t="s">
        <v>366</v>
      </c>
      <c r="D200" s="82" t="s">
        <v>284</v>
      </c>
      <c r="E200" s="230">
        <v>5</v>
      </c>
      <c r="F200" s="88">
        <v>76259</v>
      </c>
      <c r="G200" s="89">
        <f t="shared" si="16"/>
        <v>381295</v>
      </c>
      <c r="H200" s="118" t="str">
        <f t="array" ref="H200:K200">_xlfn.XLOOKUP(C200,'ESAP NEIVA FASE II UNIFICADO'!$C$6:$C$720,'ESAP NEIVA FASE II UNIFICADO'!$C$6:$F$720,"NO ESTA")</f>
        <v xml:space="preserve">SUMINISTRO E INSTALACIÓN ACCESORIOS PVC-P DIAMETRO 4"                                                             </v>
      </c>
      <c r="I200" t="str">
        <v xml:space="preserve">UN   </v>
      </c>
      <c r="J200">
        <v>15</v>
      </c>
      <c r="K200">
        <v>78251</v>
      </c>
      <c r="L200">
        <f t="shared" si="12"/>
        <v>0</v>
      </c>
      <c r="M200">
        <f t="shared" si="13"/>
        <v>0</v>
      </c>
      <c r="N200" s="119">
        <f t="shared" si="14"/>
        <v>5</v>
      </c>
      <c r="O200" s="119">
        <f t="shared" si="15"/>
        <v>0</v>
      </c>
    </row>
    <row r="201" spans="2:15" ht="15" customHeight="1" x14ac:dyDescent="0.25">
      <c r="B201" s="80" t="s">
        <v>367</v>
      </c>
      <c r="C201" s="81" t="s">
        <v>368</v>
      </c>
      <c r="D201" s="82" t="s">
        <v>369</v>
      </c>
      <c r="E201" s="230"/>
      <c r="F201" s="90">
        <v>0</v>
      </c>
      <c r="G201" s="89">
        <f t="shared" si="16"/>
        <v>0</v>
      </c>
      <c r="H201" s="118" t="str">
        <f t="array" ref="H201:K201">_xlfn.XLOOKUP(C201,'ESAP NEIVA FASE II UNIFICADO'!$C$6:$C$720,'ESAP NEIVA FASE II UNIFICADO'!$C$6:$F$720,"NO ESTA")</f>
        <v>SUMINISTRO E INSTALACIÓN DE APARATOS SANITARIOS</v>
      </c>
      <c r="I201" t="str">
        <v xml:space="preserve">     </v>
      </c>
      <c r="J201">
        <v>0</v>
      </c>
      <c r="K201">
        <v>0</v>
      </c>
      <c r="L201">
        <f t="shared" si="12"/>
        <v>1</v>
      </c>
      <c r="M201">
        <f t="shared" si="13"/>
        <v>0</v>
      </c>
      <c r="N201" s="119">
        <f t="shared" si="14"/>
        <v>0</v>
      </c>
      <c r="O201" s="119">
        <f t="shared" si="15"/>
        <v>0</v>
      </c>
    </row>
    <row r="202" spans="2:15" ht="15" customHeight="1" x14ac:dyDescent="0.25">
      <c r="B202" s="86" t="s">
        <v>370</v>
      </c>
      <c r="C202" s="87" t="s">
        <v>371</v>
      </c>
      <c r="D202" s="82" t="s">
        <v>284</v>
      </c>
      <c r="E202" s="230">
        <v>28</v>
      </c>
      <c r="F202" s="88">
        <v>1077676</v>
      </c>
      <c r="G202" s="89">
        <f t="shared" si="16"/>
        <v>30174928</v>
      </c>
      <c r="H202" s="118" t="str">
        <f t="array" ref="H202:K202">_xlfn.XLOOKUP(C202,'ESAP NEIVA FASE II UNIFICADO'!$C$6:$C$720,'ESAP NEIVA FASE II UNIFICADO'!$C$6:$F$720,"NO ESTA")</f>
        <v>SUMINISTRO E INSTALACIÓN SANITARIO INSTITUCIONAL incluye FLUXOMETRO</v>
      </c>
      <c r="I202" t="str">
        <v xml:space="preserve">UN   </v>
      </c>
      <c r="J202">
        <v>24</v>
      </c>
      <c r="K202">
        <v>1105824</v>
      </c>
      <c r="L202">
        <f t="shared" ref="L202:L265" si="17">+IF(J202&gt;0,0,1)</f>
        <v>0</v>
      </c>
      <c r="M202">
        <f t="shared" ref="M202:M265" si="18">IF(L202=1,F202,0)</f>
        <v>0</v>
      </c>
      <c r="N202" s="119">
        <f t="shared" ref="N202:N265" si="19">E202</f>
        <v>28</v>
      </c>
      <c r="O202" s="119">
        <f t="shared" si="15"/>
        <v>0</v>
      </c>
    </row>
    <row r="203" spans="2:15" ht="15" customHeight="1" x14ac:dyDescent="0.25">
      <c r="B203" s="86" t="s">
        <v>372</v>
      </c>
      <c r="C203" s="87" t="s">
        <v>373</v>
      </c>
      <c r="D203" s="82" t="s">
        <v>374</v>
      </c>
      <c r="E203" s="230">
        <v>4</v>
      </c>
      <c r="F203" s="88">
        <v>652986</v>
      </c>
      <c r="G203" s="89">
        <f t="shared" si="16"/>
        <v>2611944</v>
      </c>
      <c r="H203" s="118" t="str">
        <f t="array" ref="H203:K203">_xlfn.XLOOKUP(C203,'ESAP NEIVA FASE II UNIFICADO'!$C$6:$C$720,'ESAP NEIVA FASE II UNIFICADO'!$C$6:$F$720,"NO ESTA")</f>
        <v xml:space="preserve">SUMINISTRO E INSTALACIÓN SANITARIO DE BAJO CONSUMO </v>
      </c>
      <c r="I203" t="str">
        <v>UN</v>
      </c>
      <c r="J203">
        <v>4</v>
      </c>
      <c r="K203">
        <v>670042</v>
      </c>
      <c r="L203">
        <f t="shared" si="17"/>
        <v>0</v>
      </c>
      <c r="M203">
        <f t="shared" si="18"/>
        <v>0</v>
      </c>
      <c r="N203" s="119">
        <f t="shared" si="19"/>
        <v>4</v>
      </c>
      <c r="O203" s="119">
        <f t="shared" si="15"/>
        <v>0</v>
      </c>
    </row>
    <row r="204" spans="2:15" ht="15" customHeight="1" x14ac:dyDescent="0.25">
      <c r="B204" s="86" t="s">
        <v>375</v>
      </c>
      <c r="C204" s="87" t="s">
        <v>376</v>
      </c>
      <c r="D204" s="82" t="s">
        <v>284</v>
      </c>
      <c r="E204" s="230">
        <v>12</v>
      </c>
      <c r="F204" s="88">
        <v>738424</v>
      </c>
      <c r="G204" s="89">
        <f t="shared" si="16"/>
        <v>8861088</v>
      </c>
      <c r="H204" s="118" t="str">
        <f t="array" ref="H204:K204">_xlfn.XLOOKUP(C204,'ESAP NEIVA FASE II UNIFICADO'!$C$6:$C$720,'ESAP NEIVA FASE II UNIFICADO'!$C$6:$F$720,"NO ESTA")</f>
        <v>SUMINISTRO E INSTALACIÓN ORINAL</v>
      </c>
      <c r="I204" t="str">
        <v xml:space="preserve">UN   </v>
      </c>
      <c r="J204">
        <v>9</v>
      </c>
      <c r="K204">
        <v>757710</v>
      </c>
      <c r="L204">
        <f t="shared" si="17"/>
        <v>0</v>
      </c>
      <c r="M204">
        <f t="shared" si="18"/>
        <v>0</v>
      </c>
      <c r="N204" s="119">
        <f t="shared" si="19"/>
        <v>12</v>
      </c>
      <c r="O204" s="119">
        <f t="shared" ref="O204:O267" si="20">ROUND(M204*N204,2)</f>
        <v>0</v>
      </c>
    </row>
    <row r="205" spans="2:15" ht="24.75" customHeight="1" x14ac:dyDescent="0.25">
      <c r="B205" s="86" t="s">
        <v>377</v>
      </c>
      <c r="C205" s="87" t="s">
        <v>378</v>
      </c>
      <c r="D205" s="82" t="s">
        <v>94</v>
      </c>
      <c r="E205" s="230">
        <v>14</v>
      </c>
      <c r="F205" s="88">
        <v>212565</v>
      </c>
      <c r="G205" s="89">
        <f t="shared" si="16"/>
        <v>2975910</v>
      </c>
      <c r="H205" s="118" t="str">
        <f t="array" ref="H205:K205">_xlfn.XLOOKUP(C205,'ESAP NEIVA FASE II UNIFICADO'!$C$6:$C$720,'ESAP NEIVA FASE II UNIFICADO'!$C$6:$F$720,"NO ESTA")</f>
        <v>SUMINISTRO E INSTALACIÓN MESÓN EN GRANITO NEGRO ABSOLUTO o similar, ANCHO 0.60m</v>
      </c>
      <c r="I205" t="str">
        <v>ML</v>
      </c>
      <c r="J205">
        <v>13</v>
      </c>
      <c r="K205">
        <v>218116</v>
      </c>
      <c r="L205">
        <f t="shared" si="17"/>
        <v>0</v>
      </c>
      <c r="M205">
        <f t="shared" si="18"/>
        <v>0</v>
      </c>
      <c r="N205" s="119">
        <f t="shared" si="19"/>
        <v>14</v>
      </c>
      <c r="O205" s="119">
        <f t="shared" si="20"/>
        <v>0</v>
      </c>
    </row>
    <row r="206" spans="2:15" ht="15" customHeight="1" x14ac:dyDescent="0.25">
      <c r="B206" s="86" t="s">
        <v>379</v>
      </c>
      <c r="C206" s="87" t="s">
        <v>380</v>
      </c>
      <c r="D206" s="82" t="s">
        <v>284</v>
      </c>
      <c r="E206" s="230">
        <v>20</v>
      </c>
      <c r="F206" s="88">
        <v>573865</v>
      </c>
      <c r="G206" s="89">
        <f t="shared" si="16"/>
        <v>11477300</v>
      </c>
      <c r="H206" s="118" t="str">
        <f t="array" ref="H206:K206">_xlfn.XLOOKUP(C206,'ESAP NEIVA FASE II UNIFICADO'!$C$6:$C$720,'ESAP NEIVA FASE II UNIFICADO'!$C$6:$F$720,"NO ESTA")</f>
        <v xml:space="preserve">SUMINISTRO E INSTALACIÓN LAVAMANOS SOBREPONER </v>
      </c>
      <c r="I206" t="str">
        <v xml:space="preserve">UN   </v>
      </c>
      <c r="J206">
        <v>18</v>
      </c>
      <c r="K206">
        <v>588854</v>
      </c>
      <c r="L206">
        <f t="shared" si="17"/>
        <v>0</v>
      </c>
      <c r="M206">
        <f t="shared" si="18"/>
        <v>0</v>
      </c>
      <c r="N206" s="119">
        <f t="shared" si="19"/>
        <v>20</v>
      </c>
      <c r="O206" s="119">
        <f t="shared" si="20"/>
        <v>0</v>
      </c>
    </row>
    <row r="207" spans="2:15" ht="15" customHeight="1" x14ac:dyDescent="0.25">
      <c r="B207" s="86" t="s">
        <v>381</v>
      </c>
      <c r="C207" s="87" t="s">
        <v>382</v>
      </c>
      <c r="D207" s="82" t="s">
        <v>284</v>
      </c>
      <c r="E207" s="230">
        <v>3</v>
      </c>
      <c r="F207" s="88">
        <v>542753</v>
      </c>
      <c r="G207" s="89">
        <f t="shared" si="16"/>
        <v>1628259</v>
      </c>
      <c r="H207" s="118" t="str">
        <f t="array" ref="H207:K207">_xlfn.XLOOKUP(C207,'ESAP NEIVA FASE II UNIFICADO'!$C$6:$C$720,'ESAP NEIVA FASE II UNIFICADO'!$C$6:$F$720,"NO ESTA")</f>
        <v>SUMINISTRO E INSTALACIÓN LAVAMANOS PEDESTAL</v>
      </c>
      <c r="I207" t="str">
        <v xml:space="preserve">UN   </v>
      </c>
      <c r="J207">
        <v>3</v>
      </c>
      <c r="K207">
        <v>556929</v>
      </c>
      <c r="L207">
        <f t="shared" si="17"/>
        <v>0</v>
      </c>
      <c r="M207">
        <f t="shared" si="18"/>
        <v>0</v>
      </c>
      <c r="N207" s="119">
        <f t="shared" si="19"/>
        <v>3</v>
      </c>
      <c r="O207" s="119">
        <f t="shared" si="20"/>
        <v>0</v>
      </c>
    </row>
    <row r="208" spans="2:15" ht="24.75" customHeight="1" x14ac:dyDescent="0.25">
      <c r="B208" s="86" t="s">
        <v>383</v>
      </c>
      <c r="C208" s="87" t="s">
        <v>384</v>
      </c>
      <c r="D208" s="82" t="s">
        <v>13</v>
      </c>
      <c r="E208" s="230">
        <v>12</v>
      </c>
      <c r="F208" s="88">
        <v>88538</v>
      </c>
      <c r="G208" s="89">
        <f t="shared" si="16"/>
        <v>1062456</v>
      </c>
      <c r="H208" s="118" t="str">
        <f t="array" ref="H208:K208">_xlfn.XLOOKUP(C208,'ESAP NEIVA FASE II UNIFICADO'!$C$6:$C$720,'ESAP NEIVA FASE II UNIFICADO'!$C$6:$F$720,"NO ESTA")</f>
        <v>SUMINISTRO E INSTALACIÓN ESPEJO e=4MM PEGADO SOBRE BASTIDOR EN ALUMINIO DE 2X1</v>
      </c>
      <c r="I208" t="str">
        <v>M2</v>
      </c>
      <c r="J208">
        <v>11</v>
      </c>
      <c r="K208">
        <v>90851</v>
      </c>
      <c r="L208">
        <f t="shared" si="17"/>
        <v>0</v>
      </c>
      <c r="M208">
        <f t="shared" si="18"/>
        <v>0</v>
      </c>
      <c r="N208" s="119">
        <f t="shared" si="19"/>
        <v>12</v>
      </c>
      <c r="O208" s="119">
        <f t="shared" si="20"/>
        <v>0</v>
      </c>
    </row>
    <row r="209" spans="2:15" ht="15" customHeight="1" x14ac:dyDescent="0.25">
      <c r="B209" s="86" t="s">
        <v>385</v>
      </c>
      <c r="C209" s="87" t="s">
        <v>386</v>
      </c>
      <c r="D209" s="82" t="s">
        <v>284</v>
      </c>
      <c r="E209" s="230">
        <v>2</v>
      </c>
      <c r="F209" s="88">
        <v>43005</v>
      </c>
      <c r="G209" s="89">
        <f t="shared" si="16"/>
        <v>86010</v>
      </c>
      <c r="H209" s="118" t="str">
        <f t="array" ref="H209:K209">_xlfn.XLOOKUP(C209,'ESAP NEIVA FASE II UNIFICADO'!$C$6:$C$720,'ESAP NEIVA FASE II UNIFICADO'!$C$6:$F$720,"NO ESTA")</f>
        <v>SUMINISTRO E INSTALACIÓN LLAVES MANGUERA</v>
      </c>
      <c r="I209" t="str">
        <v xml:space="preserve">UN   </v>
      </c>
      <c r="J209">
        <v>1</v>
      </c>
      <c r="K209">
        <v>44128</v>
      </c>
      <c r="L209">
        <f t="shared" si="17"/>
        <v>0</v>
      </c>
      <c r="M209">
        <f t="shared" si="18"/>
        <v>0</v>
      </c>
      <c r="N209" s="119">
        <f t="shared" si="19"/>
        <v>2</v>
      </c>
      <c r="O209" s="119">
        <f t="shared" si="20"/>
        <v>0</v>
      </c>
    </row>
    <row r="210" spans="2:15" ht="15" customHeight="1" x14ac:dyDescent="0.25">
      <c r="B210" s="80" t="s">
        <v>387</v>
      </c>
      <c r="C210" s="81" t="s">
        <v>388</v>
      </c>
      <c r="D210" s="82"/>
      <c r="E210" s="230"/>
      <c r="F210" s="90">
        <v>0</v>
      </c>
      <c r="G210" s="89">
        <f t="shared" si="16"/>
        <v>0</v>
      </c>
      <c r="H210" s="118" t="str">
        <f t="array" ref="H210:K210">_xlfn.XLOOKUP(C210,'ESAP NEIVA FASE II UNIFICADO'!$C$6:$C$720,'ESAP NEIVA FASE II UNIFICADO'!$C$6:$F$720,"NO ESTA")</f>
        <v xml:space="preserve">SUMINISTRO E INSTALACION RED DESAGÜES AGUAS LLUVIAS                                                                                 </v>
      </c>
      <c r="I210">
        <v>0</v>
      </c>
      <c r="J210">
        <v>0</v>
      </c>
      <c r="K210">
        <v>0</v>
      </c>
      <c r="L210">
        <f t="shared" si="17"/>
        <v>1</v>
      </c>
      <c r="M210">
        <f t="shared" si="18"/>
        <v>0</v>
      </c>
      <c r="N210" s="119">
        <f t="shared" si="19"/>
        <v>0</v>
      </c>
      <c r="O210" s="119">
        <f t="shared" si="20"/>
        <v>0</v>
      </c>
    </row>
    <row r="211" spans="2:15" ht="15" customHeight="1" x14ac:dyDescent="0.25">
      <c r="B211" s="86" t="s">
        <v>389</v>
      </c>
      <c r="C211" s="87" t="s">
        <v>390</v>
      </c>
      <c r="D211" s="82" t="s">
        <v>269</v>
      </c>
      <c r="E211" s="230">
        <v>92</v>
      </c>
      <c r="F211" s="88">
        <v>35215</v>
      </c>
      <c r="G211" s="89">
        <f t="shared" si="16"/>
        <v>3239780</v>
      </c>
      <c r="H211" s="118" t="str">
        <f t="array" ref="H211:K211">_xlfn.XLOOKUP(C211,'ESAP NEIVA FASE II UNIFICADO'!$C$6:$C$720,'ESAP NEIVA FASE II UNIFICADO'!$C$6:$F$720,"NO ESTA")</f>
        <v xml:space="preserve">SUMINISTRO E INSTALACIÓN TUBERIA PVC-S DIAMETRO  3 PUL                                                                 </v>
      </c>
      <c r="I211" t="str">
        <v xml:space="preserve">ML   </v>
      </c>
      <c r="J211">
        <v>248</v>
      </c>
      <c r="K211">
        <v>36135</v>
      </c>
      <c r="L211">
        <f t="shared" si="17"/>
        <v>0</v>
      </c>
      <c r="M211">
        <f t="shared" si="18"/>
        <v>0</v>
      </c>
      <c r="N211" s="119">
        <f t="shared" si="19"/>
        <v>92</v>
      </c>
      <c r="O211" s="119">
        <f t="shared" si="20"/>
        <v>0</v>
      </c>
    </row>
    <row r="212" spans="2:15" ht="15" customHeight="1" x14ac:dyDescent="0.25">
      <c r="B212" s="86" t="s">
        <v>391</v>
      </c>
      <c r="C212" s="87" t="s">
        <v>392</v>
      </c>
      <c r="D212" s="82" t="s">
        <v>269</v>
      </c>
      <c r="E212" s="230">
        <v>45</v>
      </c>
      <c r="F212" s="88">
        <v>50238</v>
      </c>
      <c r="G212" s="89">
        <f t="shared" si="16"/>
        <v>2260710</v>
      </c>
      <c r="H212" s="118" t="str">
        <f t="array" ref="H212:K212">_xlfn.XLOOKUP(C212,'ESAP NEIVA FASE II UNIFICADO'!$C$6:$C$720,'ESAP NEIVA FASE II UNIFICADO'!$C$6:$F$720,"NO ESTA")</f>
        <v xml:space="preserve">SUMINISTRO E INSTALACIÓN TUBERIA PVC-S DIAMETRO 4 PUL                                                                 </v>
      </c>
      <c r="I212" t="str">
        <v xml:space="preserve">ML   </v>
      </c>
      <c r="J212">
        <v>122</v>
      </c>
      <c r="K212">
        <v>51550</v>
      </c>
      <c r="L212">
        <f t="shared" si="17"/>
        <v>0</v>
      </c>
      <c r="M212">
        <f t="shared" si="18"/>
        <v>0</v>
      </c>
      <c r="N212" s="119">
        <f t="shared" si="19"/>
        <v>45</v>
      </c>
      <c r="O212" s="119">
        <f t="shared" si="20"/>
        <v>0</v>
      </c>
    </row>
    <row r="213" spans="2:15" ht="15" customHeight="1" x14ac:dyDescent="0.25">
      <c r="B213" s="86" t="s">
        <v>393</v>
      </c>
      <c r="C213" s="87" t="s">
        <v>394</v>
      </c>
      <c r="D213" s="82" t="s">
        <v>269</v>
      </c>
      <c r="E213" s="230">
        <v>60</v>
      </c>
      <c r="F213" s="88">
        <v>90790</v>
      </c>
      <c r="G213" s="89">
        <f t="shared" si="16"/>
        <v>5447400</v>
      </c>
      <c r="H213" s="118" t="str">
        <f t="array" ref="H213:K213">_xlfn.XLOOKUP(C213,'ESAP NEIVA FASE II UNIFICADO'!$C$6:$C$720,'ESAP NEIVA FASE II UNIFICADO'!$C$6:$F$720,"NO ESTA")</f>
        <v xml:space="preserve">SUMINISTRO E INSTALACIÓN TUBERIA PVC-S DIAMETRO 6 PUL                                                                 </v>
      </c>
      <c r="I213" t="str">
        <v xml:space="preserve">ML   </v>
      </c>
      <c r="J213">
        <v>161</v>
      </c>
      <c r="K213">
        <v>93160</v>
      </c>
      <c r="L213">
        <f t="shared" si="17"/>
        <v>0</v>
      </c>
      <c r="M213">
        <f t="shared" si="18"/>
        <v>0</v>
      </c>
      <c r="N213" s="119">
        <f t="shared" si="19"/>
        <v>60</v>
      </c>
      <c r="O213" s="119">
        <f t="shared" si="20"/>
        <v>0</v>
      </c>
    </row>
    <row r="214" spans="2:15" ht="15" customHeight="1" x14ac:dyDescent="0.25">
      <c r="B214" s="86" t="s">
        <v>395</v>
      </c>
      <c r="C214" s="87" t="s">
        <v>396</v>
      </c>
      <c r="D214" s="82" t="s">
        <v>374</v>
      </c>
      <c r="E214" s="230">
        <v>38</v>
      </c>
      <c r="F214" s="88">
        <v>10429</v>
      </c>
      <c r="G214" s="89">
        <f t="shared" si="16"/>
        <v>396302</v>
      </c>
      <c r="H214" s="118" t="str">
        <f t="array" ref="H214:K214">_xlfn.XLOOKUP(C214,'ESAP NEIVA FASE II UNIFICADO'!$C$6:$C$720,'ESAP NEIVA FASE II UNIFICADO'!$C$6:$F$720,"NO ESTA")</f>
        <v xml:space="preserve">SUMINISTRO E INSTALACIÓN ACCESORIOS PVC-S DIAMETRO 3"                                                             </v>
      </c>
      <c r="I214" t="str">
        <v>UN</v>
      </c>
      <c r="J214">
        <v>101</v>
      </c>
      <c r="K214">
        <v>10700</v>
      </c>
      <c r="L214">
        <f t="shared" si="17"/>
        <v>0</v>
      </c>
      <c r="M214">
        <f t="shared" si="18"/>
        <v>0</v>
      </c>
      <c r="N214" s="119">
        <f t="shared" si="19"/>
        <v>38</v>
      </c>
      <c r="O214" s="119">
        <f t="shared" si="20"/>
        <v>0</v>
      </c>
    </row>
    <row r="215" spans="2:15" ht="15" customHeight="1" x14ac:dyDescent="0.25">
      <c r="B215" s="86" t="s">
        <v>397</v>
      </c>
      <c r="C215" s="87" t="s">
        <v>398</v>
      </c>
      <c r="D215" s="82" t="s">
        <v>374</v>
      </c>
      <c r="E215" s="230">
        <v>21</v>
      </c>
      <c r="F215" s="88">
        <v>15324</v>
      </c>
      <c r="G215" s="89">
        <f t="shared" si="16"/>
        <v>321804</v>
      </c>
      <c r="H215" s="118" t="str">
        <f t="array" ref="H215:K215">_xlfn.XLOOKUP(C215,'ESAP NEIVA FASE II UNIFICADO'!$C$6:$C$720,'ESAP NEIVA FASE II UNIFICADO'!$C$6:$F$720,"NO ESTA")</f>
        <v xml:space="preserve">SUMINISTRO E INSTALACIÓN ACCESORIOS PVC-S DIAMETRO 4"                                                             </v>
      </c>
      <c r="I215" t="str">
        <v>UN</v>
      </c>
      <c r="J215">
        <v>58</v>
      </c>
      <c r="K215">
        <v>15725</v>
      </c>
      <c r="L215">
        <f t="shared" si="17"/>
        <v>0</v>
      </c>
      <c r="M215">
        <f t="shared" si="18"/>
        <v>0</v>
      </c>
      <c r="N215" s="119">
        <f t="shared" si="19"/>
        <v>21</v>
      </c>
      <c r="O215" s="119">
        <f t="shared" si="20"/>
        <v>0</v>
      </c>
    </row>
    <row r="216" spans="2:15" ht="15" customHeight="1" x14ac:dyDescent="0.25">
      <c r="B216" s="86" t="s">
        <v>399</v>
      </c>
      <c r="C216" s="87" t="s">
        <v>400</v>
      </c>
      <c r="D216" s="82" t="s">
        <v>374</v>
      </c>
      <c r="E216" s="230">
        <v>25</v>
      </c>
      <c r="F216" s="88">
        <v>73031</v>
      </c>
      <c r="G216" s="89">
        <f t="shared" si="16"/>
        <v>1825775</v>
      </c>
      <c r="H216" s="118" t="str">
        <f t="array" ref="H216:K216">_xlfn.XLOOKUP(C216,'ESAP NEIVA FASE II UNIFICADO'!$C$6:$C$720,'ESAP NEIVA FASE II UNIFICADO'!$C$6:$F$720,"NO ESTA")</f>
        <v xml:space="preserve">SUMINISTRO E INSTALACIÓN ACCESORIOS PVC-S DIAMETRO 6"                                                             </v>
      </c>
      <c r="I216" t="str">
        <v>UN</v>
      </c>
      <c r="J216">
        <v>68</v>
      </c>
      <c r="K216">
        <v>74938</v>
      </c>
      <c r="L216">
        <f t="shared" si="17"/>
        <v>0</v>
      </c>
      <c r="M216">
        <f t="shared" si="18"/>
        <v>0</v>
      </c>
      <c r="N216" s="119">
        <f t="shared" si="19"/>
        <v>25</v>
      </c>
      <c r="O216" s="119">
        <f t="shared" si="20"/>
        <v>0</v>
      </c>
    </row>
    <row r="217" spans="2:15" ht="15" customHeight="1" x14ac:dyDescent="0.25">
      <c r="B217" s="86" t="s">
        <v>401</v>
      </c>
      <c r="C217" s="87" t="s">
        <v>402</v>
      </c>
      <c r="D217" s="82" t="s">
        <v>269</v>
      </c>
      <c r="E217" s="230">
        <v>12</v>
      </c>
      <c r="F217" s="88">
        <v>48749</v>
      </c>
      <c r="G217" s="89">
        <f t="shared" si="16"/>
        <v>584988</v>
      </c>
      <c r="H217" s="118" t="str">
        <f t="array" ref="H217:K217">_xlfn.XLOOKUP(C217,'ESAP NEIVA FASE II UNIFICADO'!$C$6:$C$720,'ESAP NEIVA FASE II UNIFICADO'!$C$6:$F$720,"NO ESTA")</f>
        <v xml:space="preserve">SUMINISTRO E INSTALACIÓN SALIDA SANITARIA DIAMETRO 3 PULG                                                               </v>
      </c>
      <c r="I217" t="str">
        <v xml:space="preserve">ML   </v>
      </c>
      <c r="J217">
        <v>31</v>
      </c>
      <c r="K217">
        <v>50021</v>
      </c>
      <c r="L217">
        <f t="shared" si="17"/>
        <v>0</v>
      </c>
      <c r="M217">
        <f t="shared" si="18"/>
        <v>0</v>
      </c>
      <c r="N217" s="119">
        <f t="shared" si="19"/>
        <v>12</v>
      </c>
      <c r="O217" s="119">
        <f t="shared" si="20"/>
        <v>0</v>
      </c>
    </row>
    <row r="218" spans="2:15" ht="15" customHeight="1" x14ac:dyDescent="0.25">
      <c r="B218" s="86" t="s">
        <v>403</v>
      </c>
      <c r="C218" s="87" t="s">
        <v>404</v>
      </c>
      <c r="D218" s="82" t="s">
        <v>269</v>
      </c>
      <c r="E218" s="230">
        <v>8</v>
      </c>
      <c r="F218" s="88">
        <v>59907</v>
      </c>
      <c r="G218" s="89">
        <f t="shared" si="16"/>
        <v>479256</v>
      </c>
      <c r="H218" s="118" t="str">
        <f t="array" ref="H218:K218">_xlfn.XLOOKUP(C218,'ESAP NEIVA FASE II UNIFICADO'!$C$6:$C$720,'ESAP NEIVA FASE II UNIFICADO'!$C$6:$F$720,"NO ESTA")</f>
        <v xml:space="preserve">SUMINISTRO E INSTALACIÓN SALIDA SANITARIA DIAMETRO 4 PULG                                                               </v>
      </c>
      <c r="I218" t="str">
        <v xml:space="preserve">ML   </v>
      </c>
      <c r="J218">
        <v>23</v>
      </c>
      <c r="K218">
        <v>61472</v>
      </c>
      <c r="L218">
        <f t="shared" si="17"/>
        <v>0</v>
      </c>
      <c r="M218">
        <f t="shared" si="18"/>
        <v>0</v>
      </c>
      <c r="N218" s="119">
        <f t="shared" si="19"/>
        <v>8</v>
      </c>
      <c r="O218" s="119">
        <f t="shared" si="20"/>
        <v>0</v>
      </c>
    </row>
    <row r="219" spans="2:15" ht="15" customHeight="1" x14ac:dyDescent="0.25">
      <c r="B219" s="86" t="s">
        <v>405</v>
      </c>
      <c r="C219" s="87" t="s">
        <v>406</v>
      </c>
      <c r="D219" s="82" t="s">
        <v>269</v>
      </c>
      <c r="E219" s="230">
        <v>50</v>
      </c>
      <c r="F219" s="88">
        <v>52178</v>
      </c>
      <c r="G219" s="89">
        <f t="shared" si="16"/>
        <v>2608900</v>
      </c>
      <c r="H219" s="118" t="str">
        <f t="array" ref="H219:K219">_xlfn.XLOOKUP(C219,'ESAP NEIVA FASE II UNIFICADO'!$C$6:$C$720,'ESAP NEIVA FASE II UNIFICADO'!$C$6:$F$720,"NO ESTA")</f>
        <v xml:space="preserve">SUMINISTRO E INSTALACIÓN POLIETILENO PEAD PARA FILTRO 90 mm                                                                  </v>
      </c>
      <c r="I219" t="str">
        <v xml:space="preserve">ML   </v>
      </c>
      <c r="J219">
        <v>0</v>
      </c>
      <c r="K219">
        <v>53541</v>
      </c>
      <c r="L219">
        <f t="shared" si="17"/>
        <v>1</v>
      </c>
      <c r="M219">
        <f t="shared" si="18"/>
        <v>52178</v>
      </c>
      <c r="N219" s="119">
        <f t="shared" si="19"/>
        <v>50</v>
      </c>
      <c r="O219" s="119">
        <f t="shared" si="20"/>
        <v>2608900</v>
      </c>
    </row>
    <row r="220" spans="2:15" ht="15" customHeight="1" x14ac:dyDescent="0.25">
      <c r="B220" s="86" t="s">
        <v>407</v>
      </c>
      <c r="C220" s="87" t="s">
        <v>408</v>
      </c>
      <c r="D220" s="82" t="s">
        <v>269</v>
      </c>
      <c r="E220" s="230">
        <v>30</v>
      </c>
      <c r="F220" s="88">
        <v>27202</v>
      </c>
      <c r="G220" s="89">
        <f t="shared" si="16"/>
        <v>816060</v>
      </c>
      <c r="H220" s="118" t="str">
        <f t="array" ref="H220:K220">_xlfn.XLOOKUP(C220,'ESAP NEIVA FASE II UNIFICADO'!$C$6:$C$720,'ESAP NEIVA FASE II UNIFICADO'!$C$6:$F$720,"NO ESTA")</f>
        <v xml:space="preserve">SUMINISTRO E INSTALACIÓN TUBERIA PVC-ALC 90 mm                                                                  </v>
      </c>
      <c r="I220" t="str">
        <v xml:space="preserve">ML   </v>
      </c>
      <c r="J220">
        <v>0</v>
      </c>
      <c r="K220">
        <v>27913</v>
      </c>
      <c r="L220">
        <f t="shared" si="17"/>
        <v>1</v>
      </c>
      <c r="M220">
        <f t="shared" si="18"/>
        <v>27202</v>
      </c>
      <c r="N220" s="119">
        <f t="shared" si="19"/>
        <v>30</v>
      </c>
      <c r="O220" s="119">
        <f t="shared" si="20"/>
        <v>816060</v>
      </c>
    </row>
    <row r="221" spans="2:15" ht="15" customHeight="1" x14ac:dyDescent="0.25">
      <c r="B221" s="86" t="s">
        <v>409</v>
      </c>
      <c r="C221" s="87" t="s">
        <v>410</v>
      </c>
      <c r="D221" s="82" t="s">
        <v>269</v>
      </c>
      <c r="E221" s="230">
        <v>15</v>
      </c>
      <c r="F221" s="88">
        <v>33430</v>
      </c>
      <c r="G221" s="89">
        <f t="shared" si="16"/>
        <v>501450</v>
      </c>
      <c r="H221" s="118" t="str">
        <f t="array" ref="H221:K221">_xlfn.XLOOKUP(C221,'ESAP NEIVA FASE II UNIFICADO'!$C$6:$C$720,'ESAP NEIVA FASE II UNIFICADO'!$C$6:$F$720,"NO ESTA")</f>
        <v xml:space="preserve">SUMINISTRO E INSTALACIÓN TUBERIA PVC-ALC 110 mm                                                                 </v>
      </c>
      <c r="I221" t="str">
        <v xml:space="preserve">ML   </v>
      </c>
      <c r="J221">
        <v>0</v>
      </c>
      <c r="K221">
        <v>34303</v>
      </c>
      <c r="L221">
        <f t="shared" si="17"/>
        <v>1</v>
      </c>
      <c r="M221">
        <f t="shared" si="18"/>
        <v>33430</v>
      </c>
      <c r="N221" s="119">
        <f t="shared" si="19"/>
        <v>15</v>
      </c>
      <c r="O221" s="119">
        <f t="shared" si="20"/>
        <v>501450</v>
      </c>
    </row>
    <row r="222" spans="2:15" ht="15" customHeight="1" x14ac:dyDescent="0.25">
      <c r="B222" s="86" t="s">
        <v>411</v>
      </c>
      <c r="C222" s="87" t="s">
        <v>412</v>
      </c>
      <c r="D222" s="82" t="s">
        <v>269</v>
      </c>
      <c r="E222" s="230">
        <v>70</v>
      </c>
      <c r="F222" s="88">
        <v>44632</v>
      </c>
      <c r="G222" s="89">
        <f t="shared" si="16"/>
        <v>3124240</v>
      </c>
      <c r="H222" s="118" t="str">
        <f t="array" ref="H222:K222">_xlfn.XLOOKUP(C222,'ESAP NEIVA FASE II UNIFICADO'!$C$6:$C$720,'ESAP NEIVA FASE II UNIFICADO'!$C$6:$F$720,"NO ESTA")</f>
        <v xml:space="preserve">SUMINISTRO E INSTALACIÓN TUBERIA PVC-ALC 160 mm                                                                 </v>
      </c>
      <c r="I222" t="str">
        <v xml:space="preserve">ML   </v>
      </c>
      <c r="J222">
        <v>0</v>
      </c>
      <c r="K222">
        <v>45798</v>
      </c>
      <c r="L222">
        <f t="shared" si="17"/>
        <v>1</v>
      </c>
      <c r="M222">
        <f t="shared" si="18"/>
        <v>44632</v>
      </c>
      <c r="N222" s="119">
        <f t="shared" si="19"/>
        <v>70</v>
      </c>
      <c r="O222" s="119">
        <f t="shared" si="20"/>
        <v>3124240</v>
      </c>
    </row>
    <row r="223" spans="2:15" ht="15" customHeight="1" x14ac:dyDescent="0.25">
      <c r="B223" s="86" t="s">
        <v>413</v>
      </c>
      <c r="C223" s="87" t="s">
        <v>414</v>
      </c>
      <c r="D223" s="82" t="s">
        <v>269</v>
      </c>
      <c r="E223" s="230">
        <v>20</v>
      </c>
      <c r="F223" s="88">
        <v>77866</v>
      </c>
      <c r="G223" s="89">
        <f t="shared" si="16"/>
        <v>1557320</v>
      </c>
      <c r="H223" s="118" t="str">
        <f t="array" ref="H223:K223">_xlfn.XLOOKUP(C223,'ESAP NEIVA FASE II UNIFICADO'!$C$6:$C$720,'ESAP NEIVA FASE II UNIFICADO'!$C$6:$F$720,"NO ESTA")</f>
        <v xml:space="preserve">SUMINISTRO E INSTALACIÓN TUBERIA PVC-ALC 250mm                                                                   </v>
      </c>
      <c r="I223" t="str">
        <v xml:space="preserve">ML   </v>
      </c>
      <c r="J223">
        <v>0</v>
      </c>
      <c r="K223">
        <v>79901</v>
      </c>
      <c r="L223">
        <f t="shared" si="17"/>
        <v>1</v>
      </c>
      <c r="M223">
        <f t="shared" si="18"/>
        <v>77866</v>
      </c>
      <c r="N223" s="119">
        <f t="shared" si="19"/>
        <v>20</v>
      </c>
      <c r="O223" s="119">
        <f t="shared" si="20"/>
        <v>1557320</v>
      </c>
    </row>
    <row r="224" spans="2:15" ht="15" customHeight="1" x14ac:dyDescent="0.25">
      <c r="B224" s="86" t="s">
        <v>415</v>
      </c>
      <c r="C224" s="87" t="s">
        <v>358</v>
      </c>
      <c r="D224" s="82" t="s">
        <v>284</v>
      </c>
      <c r="E224" s="230">
        <v>4</v>
      </c>
      <c r="F224" s="88">
        <v>528504</v>
      </c>
      <c r="G224" s="89">
        <f t="shared" si="16"/>
        <v>2114016</v>
      </c>
      <c r="H224" s="118" t="str">
        <f t="array" ref="H224:K224">_xlfn.XLOOKUP(C224,'ESAP NEIVA FASE II UNIFICADO'!$C$6:$C$720,'ESAP NEIVA FASE II UNIFICADO'!$C$6:$F$720,"NO ESTA")</f>
        <v xml:space="preserve">SUMINISTRO Y CONSTRUCCIÓN CAJA DE INSPECCIÓN 0.80mX0.80m H mäx:1.0m                                                                    </v>
      </c>
      <c r="I224" t="str">
        <v xml:space="preserve">UN   </v>
      </c>
      <c r="J224">
        <v>1</v>
      </c>
      <c r="K224">
        <v>542308</v>
      </c>
      <c r="L224">
        <f t="shared" si="17"/>
        <v>0</v>
      </c>
      <c r="M224">
        <f t="shared" si="18"/>
        <v>0</v>
      </c>
      <c r="N224" s="119">
        <f t="shared" si="19"/>
        <v>4</v>
      </c>
      <c r="O224" s="119">
        <f t="shared" si="20"/>
        <v>0</v>
      </c>
    </row>
    <row r="225" spans="2:15" ht="15" customHeight="1" x14ac:dyDescent="0.25">
      <c r="B225" s="80" t="s">
        <v>416</v>
      </c>
      <c r="C225" s="81" t="s">
        <v>417</v>
      </c>
      <c r="D225" s="82"/>
      <c r="E225" s="230"/>
      <c r="F225" s="90">
        <v>0</v>
      </c>
      <c r="G225" s="89">
        <f t="shared" si="16"/>
        <v>0</v>
      </c>
      <c r="H225" s="118" t="str">
        <f t="array" ref="H225:K225">_xlfn.XLOOKUP(C225,'ESAP NEIVA FASE II UNIFICADO'!$C$6:$C$720,'ESAP NEIVA FASE II UNIFICADO'!$C$6:$F$720,"NO ESTA")</f>
        <v xml:space="preserve">EXCAVACIONES Y RELLENOS                                                                                       </v>
      </c>
      <c r="I225" t="str">
        <v xml:space="preserve">     </v>
      </c>
      <c r="J225">
        <v>0</v>
      </c>
      <c r="K225">
        <v>0</v>
      </c>
      <c r="L225">
        <f t="shared" si="17"/>
        <v>1</v>
      </c>
      <c r="M225">
        <f t="shared" si="18"/>
        <v>0</v>
      </c>
      <c r="N225" s="119">
        <f t="shared" si="19"/>
        <v>0</v>
      </c>
      <c r="O225" s="119">
        <f t="shared" si="20"/>
        <v>0</v>
      </c>
    </row>
    <row r="226" spans="2:15" ht="15" customHeight="1" x14ac:dyDescent="0.25">
      <c r="B226" s="86" t="s">
        <v>418</v>
      </c>
      <c r="C226" s="87" t="s">
        <v>419</v>
      </c>
      <c r="D226" s="82" t="s">
        <v>420</v>
      </c>
      <c r="E226" s="230">
        <v>94</v>
      </c>
      <c r="F226" s="88">
        <v>38954</v>
      </c>
      <c r="G226" s="89">
        <f t="shared" si="16"/>
        <v>3661676</v>
      </c>
      <c r="H226" s="118" t="str">
        <f t="array" ref="H226:K226">_xlfn.XLOOKUP(C226,'ESAP NEIVA FASE II UNIFICADO'!$C$6:$C$720,'ESAP NEIVA FASE II UNIFICADO'!$C$6:$F$720,"NO ESTA")</f>
        <v>EXCAVACIÓN MANUAL EN MATERIAL COMÚN (incluye cargue y retiro)</v>
      </c>
      <c r="I226" t="str">
        <v>M3</v>
      </c>
      <c r="J226">
        <v>57.945499999999981</v>
      </c>
      <c r="K226">
        <v>39971</v>
      </c>
      <c r="L226">
        <f t="shared" si="17"/>
        <v>0</v>
      </c>
      <c r="M226">
        <f t="shared" si="18"/>
        <v>0</v>
      </c>
      <c r="N226" s="119">
        <f t="shared" si="19"/>
        <v>94</v>
      </c>
      <c r="O226" s="119">
        <f t="shared" si="20"/>
        <v>0</v>
      </c>
    </row>
    <row r="227" spans="2:15" ht="15" customHeight="1" x14ac:dyDescent="0.25">
      <c r="B227" s="86" t="s">
        <v>421</v>
      </c>
      <c r="C227" s="87" t="s">
        <v>422</v>
      </c>
      <c r="D227" s="82" t="s">
        <v>420</v>
      </c>
      <c r="E227" s="230">
        <v>28</v>
      </c>
      <c r="F227" s="88">
        <v>73664</v>
      </c>
      <c r="G227" s="89">
        <f t="shared" si="16"/>
        <v>2062592</v>
      </c>
      <c r="H227" s="118" t="str">
        <f t="array" ref="H227:K227">_xlfn.XLOOKUP(C227,'ESAP NEIVA FASE II UNIFICADO'!$C$6:$C$720,'ESAP NEIVA FASE II UNIFICADO'!$C$6:$F$720,"NO ESTA")</f>
        <v xml:space="preserve">RELLENO EN ARENA INCLUYE TRANSPORTE Y COLOCACIÓN       </v>
      </c>
      <c r="I227" t="str">
        <v>M3</v>
      </c>
      <c r="J227">
        <v>64.790000000000006</v>
      </c>
      <c r="K227">
        <v>75587</v>
      </c>
      <c r="L227">
        <f t="shared" si="17"/>
        <v>0</v>
      </c>
      <c r="M227">
        <f t="shared" si="18"/>
        <v>0</v>
      </c>
      <c r="N227" s="119">
        <f t="shared" si="19"/>
        <v>28</v>
      </c>
      <c r="O227" s="119">
        <f t="shared" si="20"/>
        <v>0</v>
      </c>
    </row>
    <row r="228" spans="2:15" ht="15" customHeight="1" x14ac:dyDescent="0.25">
      <c r="B228" s="86" t="s">
        <v>423</v>
      </c>
      <c r="C228" s="87" t="s">
        <v>36</v>
      </c>
      <c r="D228" s="82" t="s">
        <v>420</v>
      </c>
      <c r="E228" s="230">
        <v>28</v>
      </c>
      <c r="F228" s="88">
        <v>61330</v>
      </c>
      <c r="G228" s="89">
        <f t="shared" si="16"/>
        <v>1717240</v>
      </c>
      <c r="H228" s="118" t="str">
        <f t="array" ref="H228:K228">_xlfn.XLOOKUP(C228,'ESAP NEIVA FASE II UNIFICADO'!$C$6:$C$720,'ESAP NEIVA FASE II UNIFICADO'!$C$6:$F$720,"NO ESTA")</f>
        <v>RELLENO EN RECEBO COMÚN (Incluye Compactación)</v>
      </c>
      <c r="I228" t="str">
        <v>M3</v>
      </c>
      <c r="J228">
        <v>70.485000000000014</v>
      </c>
      <c r="K228">
        <v>62932</v>
      </c>
      <c r="L228">
        <f t="shared" si="17"/>
        <v>0</v>
      </c>
      <c r="M228">
        <f t="shared" si="18"/>
        <v>0</v>
      </c>
      <c r="N228" s="119">
        <f t="shared" si="19"/>
        <v>28</v>
      </c>
      <c r="O228" s="119">
        <f t="shared" si="20"/>
        <v>0</v>
      </c>
    </row>
    <row r="229" spans="2:15" ht="15" customHeight="1" x14ac:dyDescent="0.25">
      <c r="B229" s="86" t="s">
        <v>424</v>
      </c>
      <c r="C229" s="87" t="s">
        <v>425</v>
      </c>
      <c r="D229" s="82" t="s">
        <v>420</v>
      </c>
      <c r="E229" s="230">
        <v>37</v>
      </c>
      <c r="F229" s="88">
        <v>12182</v>
      </c>
      <c r="G229" s="89">
        <f t="shared" si="16"/>
        <v>450734</v>
      </c>
      <c r="H229" s="118" t="str">
        <f t="array" ref="H229:K229">_xlfn.XLOOKUP(C229,'ESAP NEIVA FASE II UNIFICADO'!$C$6:$C$720,'ESAP NEIVA FASE II UNIFICADO'!$C$6:$F$720,"NO ESTA")</f>
        <v>RELLENO EN MATERIAL COMÚN SELECCIONADO DE OBRA (Incluye Compactación)</v>
      </c>
      <c r="I229" t="str">
        <v xml:space="preserve">M3   </v>
      </c>
      <c r="J229">
        <v>0</v>
      </c>
      <c r="K229">
        <v>12500</v>
      </c>
      <c r="L229">
        <f t="shared" si="17"/>
        <v>1</v>
      </c>
      <c r="M229">
        <f t="shared" si="18"/>
        <v>12182</v>
      </c>
      <c r="N229" s="119">
        <f t="shared" si="19"/>
        <v>37</v>
      </c>
      <c r="O229" s="119">
        <f t="shared" si="20"/>
        <v>450734</v>
      </c>
    </row>
    <row r="230" spans="2:15" ht="15" customHeight="1" x14ac:dyDescent="0.25">
      <c r="B230" s="80" t="s">
        <v>426</v>
      </c>
      <c r="C230" s="81" t="s">
        <v>427</v>
      </c>
      <c r="D230" s="82"/>
      <c r="E230" s="230"/>
      <c r="F230" s="90">
        <v>0</v>
      </c>
      <c r="G230" s="89">
        <f t="shared" si="16"/>
        <v>0</v>
      </c>
      <c r="H230" s="118" t="str">
        <f t="array" ref="H230:K230">_xlfn.XLOOKUP(C230,'ESAP NEIVA FASE II UNIFICADO'!$C$6:$C$720,'ESAP NEIVA FASE II UNIFICADO'!$C$6:$F$720,"NO ESTA")</f>
        <v xml:space="preserve">SUMINISTRO E INSTALACION DE EQUIPOS DE BOMBEO                                                                                             </v>
      </c>
      <c r="I230" t="str">
        <v xml:space="preserve">     </v>
      </c>
      <c r="J230">
        <v>0</v>
      </c>
      <c r="K230">
        <v>0</v>
      </c>
      <c r="L230">
        <f t="shared" si="17"/>
        <v>1</v>
      </c>
      <c r="M230">
        <f t="shared" si="18"/>
        <v>0</v>
      </c>
      <c r="N230" s="119">
        <f t="shared" si="19"/>
        <v>0</v>
      </c>
      <c r="O230" s="119">
        <f t="shared" si="20"/>
        <v>0</v>
      </c>
    </row>
    <row r="231" spans="2:15" ht="25.5" customHeight="1" x14ac:dyDescent="0.25">
      <c r="B231" s="86" t="s">
        <v>428</v>
      </c>
      <c r="C231" s="87" t="s">
        <v>429</v>
      </c>
      <c r="D231" s="82" t="s">
        <v>374</v>
      </c>
      <c r="E231" s="230">
        <v>1</v>
      </c>
      <c r="F231" s="88">
        <v>34078165</v>
      </c>
      <c r="G231" s="89">
        <f t="shared" si="16"/>
        <v>34078165</v>
      </c>
      <c r="H231" s="118" t="str">
        <f t="array" ref="H231">_xlfn.XLOOKUP(C231,'ESAP NEIVA FASE II UNIFICADO'!$C$6:$C$720,'ESAP NEIVA FASE II UNIFICADO'!$C$6:$F$720,"NO ESTA")</f>
        <v>NO ESTA</v>
      </c>
      <c r="L231">
        <f t="shared" si="17"/>
        <v>1</v>
      </c>
      <c r="M231">
        <f t="shared" si="18"/>
        <v>34078165</v>
      </c>
      <c r="N231" s="119">
        <f t="shared" si="19"/>
        <v>1</v>
      </c>
      <c r="O231" s="119">
        <f t="shared" si="20"/>
        <v>34078165</v>
      </c>
    </row>
    <row r="232" spans="2:15" ht="25.5" customHeight="1" x14ac:dyDescent="0.25">
      <c r="B232" s="86" t="s">
        <v>430</v>
      </c>
      <c r="C232" s="87" t="s">
        <v>431</v>
      </c>
      <c r="D232" s="82" t="s">
        <v>374</v>
      </c>
      <c r="E232" s="230">
        <v>1</v>
      </c>
      <c r="F232" s="88">
        <v>93334794</v>
      </c>
      <c r="G232" s="89">
        <f t="shared" si="16"/>
        <v>93334794</v>
      </c>
      <c r="H232" s="118" t="str">
        <f t="array" ref="H232">_xlfn.XLOOKUP(C232,'ESAP NEIVA FASE II UNIFICADO'!$C$6:$C$720,'ESAP NEIVA FASE II UNIFICADO'!$C$6:$F$720,"NO ESTA")</f>
        <v>NO ESTA</v>
      </c>
      <c r="L232">
        <f t="shared" si="17"/>
        <v>1</v>
      </c>
      <c r="M232">
        <f t="shared" si="18"/>
        <v>93334794</v>
      </c>
      <c r="N232" s="119">
        <f t="shared" si="19"/>
        <v>1</v>
      </c>
      <c r="O232" s="119">
        <f t="shared" si="20"/>
        <v>93334794</v>
      </c>
    </row>
    <row r="233" spans="2:15" ht="15" customHeight="1" x14ac:dyDescent="0.25">
      <c r="B233" s="86" t="s">
        <v>432</v>
      </c>
      <c r="C233" s="87" t="s">
        <v>433</v>
      </c>
      <c r="D233" s="82" t="s">
        <v>374</v>
      </c>
      <c r="E233" s="230">
        <v>1</v>
      </c>
      <c r="F233" s="88">
        <v>13736935</v>
      </c>
      <c r="G233" s="89">
        <f t="shared" si="16"/>
        <v>13736935</v>
      </c>
      <c r="H233" s="118" t="str">
        <f t="array" ref="H233:K233">_xlfn.XLOOKUP(C233,'ESAP NEIVA FASE II UNIFICADO'!$C$6:$C$720,'ESAP NEIVA FASE II UNIFICADO'!$C$6:$F$720,"NO ESTA")</f>
        <v xml:space="preserve">SUMINISTRO E INSTALACIÓN DE EQUIPO EYECTOR 2 BOMBAS 3HP C/U </v>
      </c>
      <c r="I233" t="str">
        <v>UN</v>
      </c>
      <c r="J233">
        <v>0</v>
      </c>
      <c r="K233">
        <v>14095722</v>
      </c>
      <c r="L233">
        <f t="shared" si="17"/>
        <v>1</v>
      </c>
      <c r="M233">
        <f t="shared" si="18"/>
        <v>13736935</v>
      </c>
      <c r="N233" s="119">
        <f t="shared" si="19"/>
        <v>1</v>
      </c>
      <c r="O233" s="119">
        <f t="shared" si="20"/>
        <v>13736935</v>
      </c>
    </row>
    <row r="234" spans="2:15" ht="18" customHeight="1" x14ac:dyDescent="0.25">
      <c r="B234" s="74">
        <v>13</v>
      </c>
      <c r="C234" s="75" t="s">
        <v>434</v>
      </c>
      <c r="D234" s="76"/>
      <c r="E234" s="229"/>
      <c r="F234" s="78">
        <v>0</v>
      </c>
      <c r="G234" s="89">
        <f t="shared" si="16"/>
        <v>0</v>
      </c>
      <c r="H234" s="118" t="str">
        <f t="array" ref="H234:K234">_xlfn.XLOOKUP(C234,'ESAP NEIVA FASE II UNIFICADO'!$C$6:$C$720,'ESAP NEIVA FASE II UNIFICADO'!$C$6:$F$720,"NO ESTA")</f>
        <v xml:space="preserve">RED DE PROTECCION CONTRA INCENDIO </v>
      </c>
      <c r="I234">
        <v>0</v>
      </c>
      <c r="J234">
        <v>0</v>
      </c>
      <c r="K234">
        <v>0</v>
      </c>
      <c r="L234">
        <f t="shared" si="17"/>
        <v>1</v>
      </c>
      <c r="M234">
        <f t="shared" si="18"/>
        <v>0</v>
      </c>
      <c r="N234" s="119">
        <f t="shared" si="19"/>
        <v>0</v>
      </c>
      <c r="O234" s="119">
        <f t="shared" si="20"/>
        <v>0</v>
      </c>
    </row>
    <row r="235" spans="2:15" ht="15" customHeight="1" x14ac:dyDescent="0.25">
      <c r="B235" s="80" t="s">
        <v>435</v>
      </c>
      <c r="C235" s="81" t="s">
        <v>436</v>
      </c>
      <c r="D235" s="82"/>
      <c r="E235" s="230"/>
      <c r="F235" s="90">
        <v>0</v>
      </c>
      <c r="G235" s="89">
        <f t="shared" si="16"/>
        <v>0</v>
      </c>
      <c r="H235" s="118" t="str">
        <f t="array" ref="H235:K235">_xlfn.XLOOKUP(C235,'ESAP NEIVA FASE II UNIFICADO'!$C$6:$C$720,'ESAP NEIVA FASE II UNIFICADO'!$C$6:$F$720,"NO ESTA")</f>
        <v>SUMINISTRO E INSTALACIÓN RED DE ACERO NEGRO SCH 40</v>
      </c>
      <c r="I235">
        <v>0</v>
      </c>
      <c r="J235">
        <v>0</v>
      </c>
      <c r="K235">
        <v>0</v>
      </c>
      <c r="L235">
        <f t="shared" si="17"/>
        <v>1</v>
      </c>
      <c r="M235">
        <f t="shared" si="18"/>
        <v>0</v>
      </c>
      <c r="N235" s="119">
        <f t="shared" si="19"/>
        <v>0</v>
      </c>
      <c r="O235" s="119">
        <f t="shared" si="20"/>
        <v>0</v>
      </c>
    </row>
    <row r="236" spans="2:15" ht="26.25" customHeight="1" x14ac:dyDescent="0.25">
      <c r="B236" s="86" t="s">
        <v>437</v>
      </c>
      <c r="C236" s="87" t="s">
        <v>438</v>
      </c>
      <c r="D236" s="82" t="s">
        <v>269</v>
      </c>
      <c r="E236" s="230">
        <v>257</v>
      </c>
      <c r="F236" s="88">
        <v>23711</v>
      </c>
      <c r="G236" s="89">
        <f t="shared" si="16"/>
        <v>6093727</v>
      </c>
      <c r="H236" s="118" t="str">
        <f t="array" ref="H236:K236">_xlfn.XLOOKUP(C236,'ESAP NEIVA FASE II UNIFICADO'!$C$6:$C$720,'ESAP NEIVA FASE II UNIFICADO'!$C$6:$F$720,"NO ESTA")</f>
        <v xml:space="preserve">SUMINISTRO E INSTALACIÓN TUBERIA ACERO 1" SCH 40 INCLUYE. SOPORTES Y ADITAMENTOS                                 </v>
      </c>
      <c r="I236" t="str">
        <v xml:space="preserve">ML   </v>
      </c>
      <c r="J236">
        <v>694</v>
      </c>
      <c r="K236">
        <v>24331</v>
      </c>
      <c r="L236">
        <f t="shared" si="17"/>
        <v>0</v>
      </c>
      <c r="M236">
        <f t="shared" si="18"/>
        <v>0</v>
      </c>
      <c r="N236" s="119">
        <f t="shared" si="19"/>
        <v>257</v>
      </c>
      <c r="O236" s="119">
        <f t="shared" si="20"/>
        <v>0</v>
      </c>
    </row>
    <row r="237" spans="2:15" ht="26.25" customHeight="1" x14ac:dyDescent="0.25">
      <c r="B237" s="86" t="s">
        <v>439</v>
      </c>
      <c r="C237" s="87" t="s">
        <v>440</v>
      </c>
      <c r="D237" s="82" t="s">
        <v>269</v>
      </c>
      <c r="E237" s="230">
        <v>129</v>
      </c>
      <c r="F237" s="88">
        <v>50786</v>
      </c>
      <c r="G237" s="89">
        <f t="shared" si="16"/>
        <v>6551394</v>
      </c>
      <c r="H237" s="118" t="str">
        <f t="array" ref="H237:K237">_xlfn.XLOOKUP(C237,'ESAP NEIVA FASE II UNIFICADO'!$C$6:$C$720,'ESAP NEIVA FASE II UNIFICADO'!$C$6:$F$720,"NO ESTA")</f>
        <v xml:space="preserve">SUMINISTRO E INSTALACIÓN TUBERIA ACERO 2" SCH 40 INCLUYE. SOPORTES Y ADITAMENTOS                                 </v>
      </c>
      <c r="I237" t="str">
        <v xml:space="preserve">ML   </v>
      </c>
      <c r="J237">
        <v>350</v>
      </c>
      <c r="K237">
        <v>52113</v>
      </c>
      <c r="L237">
        <f t="shared" si="17"/>
        <v>0</v>
      </c>
      <c r="M237">
        <f t="shared" si="18"/>
        <v>0</v>
      </c>
      <c r="N237" s="119">
        <f t="shared" si="19"/>
        <v>129</v>
      </c>
      <c r="O237" s="119">
        <f t="shared" si="20"/>
        <v>0</v>
      </c>
    </row>
    <row r="238" spans="2:15" ht="26.25" customHeight="1" x14ac:dyDescent="0.25">
      <c r="B238" s="86" t="s">
        <v>441</v>
      </c>
      <c r="C238" s="87" t="s">
        <v>442</v>
      </c>
      <c r="D238" s="82" t="s">
        <v>269</v>
      </c>
      <c r="E238" s="230">
        <v>112</v>
      </c>
      <c r="F238" s="88">
        <v>94625</v>
      </c>
      <c r="G238" s="89">
        <f t="shared" si="16"/>
        <v>10598000</v>
      </c>
      <c r="H238" s="118" t="str">
        <f t="array" ref="H238:K238">_xlfn.XLOOKUP(C238,'ESAP NEIVA FASE II UNIFICADO'!$C$6:$C$720,'ESAP NEIVA FASE II UNIFICADO'!$C$6:$F$720,"NO ESTA")</f>
        <v xml:space="preserve">SUMINISTRO E INSTALACIÓN TUBERIA ACERO 3" SCH 40 INCLUYE. SOPORTES Y ADITAMENTOS                                 </v>
      </c>
      <c r="I238" t="str">
        <v xml:space="preserve">ML   </v>
      </c>
      <c r="J238">
        <v>301</v>
      </c>
      <c r="K238">
        <v>97096</v>
      </c>
      <c r="L238">
        <f t="shared" si="17"/>
        <v>0</v>
      </c>
      <c r="M238">
        <f t="shared" si="18"/>
        <v>0</v>
      </c>
      <c r="N238" s="119">
        <f t="shared" si="19"/>
        <v>112</v>
      </c>
      <c r="O238" s="119">
        <f t="shared" si="20"/>
        <v>0</v>
      </c>
    </row>
    <row r="239" spans="2:15" ht="26.25" customHeight="1" x14ac:dyDescent="0.25">
      <c r="B239" s="86" t="s">
        <v>443</v>
      </c>
      <c r="C239" s="87" t="s">
        <v>444</v>
      </c>
      <c r="D239" s="82" t="s">
        <v>269</v>
      </c>
      <c r="E239" s="230">
        <v>16</v>
      </c>
      <c r="F239" s="88">
        <v>133527</v>
      </c>
      <c r="G239" s="89">
        <f t="shared" si="16"/>
        <v>2136432</v>
      </c>
      <c r="H239" s="118" t="str">
        <f t="array" ref="H239:K239">_xlfn.XLOOKUP(C239,'ESAP NEIVA FASE II UNIFICADO'!$C$6:$C$720,'ESAP NEIVA FASE II UNIFICADO'!$C$6:$F$720,"NO ESTA")</f>
        <v xml:space="preserve">SUMINISTRO E INSTALACIÓN TUBERIA ACERO 4" SCH 40 INCLUYE. SOPORTES Y ADITAMENTOS                                 </v>
      </c>
      <c r="I239" t="str">
        <v xml:space="preserve">ML   </v>
      </c>
      <c r="J239">
        <v>44</v>
      </c>
      <c r="K239">
        <v>137013</v>
      </c>
      <c r="L239">
        <f t="shared" si="17"/>
        <v>0</v>
      </c>
      <c r="M239">
        <f t="shared" si="18"/>
        <v>0</v>
      </c>
      <c r="N239" s="119">
        <f t="shared" si="19"/>
        <v>16</v>
      </c>
      <c r="O239" s="119">
        <f t="shared" si="20"/>
        <v>0</v>
      </c>
    </row>
    <row r="240" spans="2:15" ht="15" customHeight="1" x14ac:dyDescent="0.25">
      <c r="B240" s="86" t="s">
        <v>445</v>
      </c>
      <c r="C240" s="87" t="s">
        <v>446</v>
      </c>
      <c r="D240" s="82" t="s">
        <v>284</v>
      </c>
      <c r="E240" s="230">
        <v>95</v>
      </c>
      <c r="F240" s="88">
        <v>7988</v>
      </c>
      <c r="G240" s="89">
        <f t="shared" si="16"/>
        <v>758860</v>
      </c>
      <c r="H240" s="118" t="str">
        <f t="array" ref="H240:K240">_xlfn.XLOOKUP(C240,'ESAP NEIVA FASE II UNIFICADO'!$C$6:$C$720,'ESAP NEIVA FASE II UNIFICADO'!$C$6:$F$720,"NO ESTA")</f>
        <v xml:space="preserve">SUMINISTRO E INSTALACIÓN ACCESORIOS ACERO NEGRO 1"                                                       </v>
      </c>
      <c r="I240" t="str">
        <v xml:space="preserve">UN   </v>
      </c>
      <c r="J240">
        <v>256</v>
      </c>
      <c r="K240">
        <v>8196</v>
      </c>
      <c r="L240">
        <f t="shared" si="17"/>
        <v>0</v>
      </c>
      <c r="M240">
        <f t="shared" si="18"/>
        <v>0</v>
      </c>
      <c r="N240" s="119">
        <f t="shared" si="19"/>
        <v>95</v>
      </c>
      <c r="O240" s="119">
        <f t="shared" si="20"/>
        <v>0</v>
      </c>
    </row>
    <row r="241" spans="2:15" ht="15" customHeight="1" x14ac:dyDescent="0.25">
      <c r="B241" s="86" t="s">
        <v>447</v>
      </c>
      <c r="C241" s="87" t="s">
        <v>448</v>
      </c>
      <c r="D241" s="82" t="s">
        <v>284</v>
      </c>
      <c r="E241" s="230">
        <v>35</v>
      </c>
      <c r="F241" s="88">
        <v>17379</v>
      </c>
      <c r="G241" s="89">
        <f t="shared" si="16"/>
        <v>608265</v>
      </c>
      <c r="H241" s="118" t="str">
        <f t="array" ref="H241:K241">_xlfn.XLOOKUP(C241,'ESAP NEIVA FASE II UNIFICADO'!$C$6:$C$720,'ESAP NEIVA FASE II UNIFICADO'!$C$6:$F$720,"NO ESTA")</f>
        <v xml:space="preserve">SUMINISTRO E INSTALACIÓN ACCESORIOS ACERO NEGRO 2"                                                       </v>
      </c>
      <c r="I241" t="str">
        <v xml:space="preserve">UN   </v>
      </c>
      <c r="J241">
        <v>95</v>
      </c>
      <c r="K241">
        <v>17833</v>
      </c>
      <c r="L241">
        <f t="shared" si="17"/>
        <v>0</v>
      </c>
      <c r="M241">
        <f t="shared" si="18"/>
        <v>0</v>
      </c>
      <c r="N241" s="119">
        <f t="shared" si="19"/>
        <v>35</v>
      </c>
      <c r="O241" s="119">
        <f t="shared" si="20"/>
        <v>0</v>
      </c>
    </row>
    <row r="242" spans="2:15" ht="15" customHeight="1" x14ac:dyDescent="0.25">
      <c r="B242" s="86" t="s">
        <v>449</v>
      </c>
      <c r="C242" s="87" t="s">
        <v>450</v>
      </c>
      <c r="D242" s="82" t="s">
        <v>284</v>
      </c>
      <c r="E242" s="230">
        <v>48</v>
      </c>
      <c r="F242" s="88">
        <v>26909</v>
      </c>
      <c r="G242" s="89">
        <f t="shared" si="16"/>
        <v>1291632</v>
      </c>
      <c r="H242" s="118" t="str">
        <f t="array" ref="H242:K242">_xlfn.XLOOKUP(C242,'ESAP NEIVA FASE II UNIFICADO'!$C$6:$C$720,'ESAP NEIVA FASE II UNIFICADO'!$C$6:$F$720,"NO ESTA")</f>
        <v xml:space="preserve">SUMINISTRO E INSTALACIÓN ACCESORIOS ACERO NEGRO 3"                                                       </v>
      </c>
      <c r="I242" t="str">
        <v xml:space="preserve">UN   </v>
      </c>
      <c r="J242">
        <v>128</v>
      </c>
      <c r="K242">
        <v>27612</v>
      </c>
      <c r="L242">
        <f t="shared" si="17"/>
        <v>0</v>
      </c>
      <c r="M242">
        <f t="shared" si="18"/>
        <v>0</v>
      </c>
      <c r="N242" s="119">
        <f t="shared" si="19"/>
        <v>48</v>
      </c>
      <c r="O242" s="119">
        <f t="shared" si="20"/>
        <v>0</v>
      </c>
    </row>
    <row r="243" spans="2:15" ht="15" customHeight="1" x14ac:dyDescent="0.25">
      <c r="B243" s="86" t="s">
        <v>451</v>
      </c>
      <c r="C243" s="87" t="s">
        <v>452</v>
      </c>
      <c r="D243" s="82" t="s">
        <v>284</v>
      </c>
      <c r="E243" s="230">
        <v>7</v>
      </c>
      <c r="F243" s="88">
        <v>42049</v>
      </c>
      <c r="G243" s="89">
        <f t="shared" si="16"/>
        <v>294343</v>
      </c>
      <c r="H243" s="118" t="str">
        <f t="array" ref="H243:K243">_xlfn.XLOOKUP(C243,'ESAP NEIVA FASE II UNIFICADO'!$C$6:$C$720,'ESAP NEIVA FASE II UNIFICADO'!$C$6:$F$720,"NO ESTA")</f>
        <v xml:space="preserve">SUMINISTRO E INSTALACIÓN ACCESORIOS ACERO NEGRO 4"                                                       </v>
      </c>
      <c r="I243" t="str">
        <v xml:space="preserve">UN   </v>
      </c>
      <c r="J243">
        <v>19</v>
      </c>
      <c r="K243">
        <v>43148</v>
      </c>
      <c r="L243">
        <f t="shared" si="17"/>
        <v>0</v>
      </c>
      <c r="M243">
        <f t="shared" si="18"/>
        <v>0</v>
      </c>
      <c r="N243" s="119">
        <f t="shared" si="19"/>
        <v>7</v>
      </c>
      <c r="O243" s="119">
        <f t="shared" si="20"/>
        <v>0</v>
      </c>
    </row>
    <row r="244" spans="2:15" ht="15" customHeight="1" x14ac:dyDescent="0.25">
      <c r="B244" s="86" t="s">
        <v>453</v>
      </c>
      <c r="C244" s="87" t="s">
        <v>454</v>
      </c>
      <c r="D244" s="82" t="s">
        <v>284</v>
      </c>
      <c r="E244" s="230">
        <v>21</v>
      </c>
      <c r="F244" s="88">
        <v>8108</v>
      </c>
      <c r="G244" s="89">
        <f t="shared" si="16"/>
        <v>170268</v>
      </c>
      <c r="H244" s="118" t="str">
        <f t="array" ref="H244:K244">_xlfn.XLOOKUP(C244,'ESAP NEIVA FASE II UNIFICADO'!$C$6:$C$720,'ESAP NEIVA FASE II UNIFICADO'!$C$6:$F$720,"NO ESTA")</f>
        <v xml:space="preserve">SUMINISTRO E INSTALACIÓN ACOPLES HIERRO FUNDIDO DIAMETRO 2"                                                      </v>
      </c>
      <c r="I244" t="str">
        <v xml:space="preserve">UN   </v>
      </c>
      <c r="J244">
        <v>55</v>
      </c>
      <c r="K244">
        <v>8320</v>
      </c>
      <c r="L244">
        <f t="shared" si="17"/>
        <v>0</v>
      </c>
      <c r="M244">
        <f t="shared" si="18"/>
        <v>0</v>
      </c>
      <c r="N244" s="119">
        <f t="shared" si="19"/>
        <v>21</v>
      </c>
      <c r="O244" s="119">
        <f t="shared" si="20"/>
        <v>0</v>
      </c>
    </row>
    <row r="245" spans="2:15" ht="15" customHeight="1" x14ac:dyDescent="0.25">
      <c r="B245" s="86" t="s">
        <v>455</v>
      </c>
      <c r="C245" s="87" t="s">
        <v>456</v>
      </c>
      <c r="D245" s="82" t="s">
        <v>284</v>
      </c>
      <c r="E245" s="230">
        <v>22</v>
      </c>
      <c r="F245" s="88">
        <v>10762</v>
      </c>
      <c r="G245" s="89">
        <f t="shared" si="16"/>
        <v>236764</v>
      </c>
      <c r="H245" s="118" t="str">
        <f t="array" ref="H245:K245">_xlfn.XLOOKUP(C245,'ESAP NEIVA FASE II UNIFICADO'!$C$6:$C$720,'ESAP NEIVA FASE II UNIFICADO'!$C$6:$F$720,"NO ESTA")</f>
        <v xml:space="preserve">SUMINISTRO E INSTALACIÓN ACOPLES HIERRO FUNDIDO DIAMETRO 3"                                                       </v>
      </c>
      <c r="I245" t="str">
        <v xml:space="preserve">UN   </v>
      </c>
      <c r="J245">
        <v>58</v>
      </c>
      <c r="K245">
        <v>11043</v>
      </c>
      <c r="L245">
        <f t="shared" si="17"/>
        <v>0</v>
      </c>
      <c r="M245">
        <f t="shared" si="18"/>
        <v>0</v>
      </c>
      <c r="N245" s="119">
        <f t="shared" si="19"/>
        <v>22</v>
      </c>
      <c r="O245" s="119">
        <f t="shared" si="20"/>
        <v>0</v>
      </c>
    </row>
    <row r="246" spans="2:15" ht="15" customHeight="1" x14ac:dyDescent="0.25">
      <c r="B246" s="86" t="s">
        <v>457</v>
      </c>
      <c r="C246" s="87" t="s">
        <v>458</v>
      </c>
      <c r="D246" s="82" t="s">
        <v>284</v>
      </c>
      <c r="E246" s="230">
        <v>3</v>
      </c>
      <c r="F246" s="88">
        <v>13314</v>
      </c>
      <c r="G246" s="89">
        <f t="shared" si="16"/>
        <v>39942</v>
      </c>
      <c r="H246" s="118" t="str">
        <f t="array" ref="H246:K246">_xlfn.XLOOKUP(C246,'ESAP NEIVA FASE II UNIFICADO'!$C$6:$C$720,'ESAP NEIVA FASE II UNIFICADO'!$C$6:$F$720,"NO ESTA")</f>
        <v xml:space="preserve">SUMINISTRO E INSTALACIÓN ACOPLES HIERRO FUNDIDO DIAMETRO 4"                                                       </v>
      </c>
      <c r="I246" t="str">
        <v xml:space="preserve">UN   </v>
      </c>
      <c r="J246">
        <v>9</v>
      </c>
      <c r="K246">
        <v>13663</v>
      </c>
      <c r="L246">
        <f t="shared" si="17"/>
        <v>0</v>
      </c>
      <c r="M246">
        <f t="shared" si="18"/>
        <v>0</v>
      </c>
      <c r="N246" s="119">
        <f t="shared" si="19"/>
        <v>3</v>
      </c>
      <c r="O246" s="119">
        <f t="shared" si="20"/>
        <v>0</v>
      </c>
    </row>
    <row r="247" spans="2:15" ht="15" customHeight="1" x14ac:dyDescent="0.25">
      <c r="B247" s="86" t="s">
        <v>459</v>
      </c>
      <c r="C247" s="87" t="s">
        <v>460</v>
      </c>
      <c r="D247" s="82" t="s">
        <v>269</v>
      </c>
      <c r="E247" s="230">
        <v>222</v>
      </c>
      <c r="F247" s="88">
        <v>5737</v>
      </c>
      <c r="G247" s="89">
        <f t="shared" si="16"/>
        <v>1273614</v>
      </c>
      <c r="H247" s="118" t="str">
        <f t="array" ref="H247:K247">_xlfn.XLOOKUP(C247,'ESAP NEIVA FASE II UNIFICADO'!$C$6:$C$720,'ESAP NEIVA FASE II UNIFICADO'!$C$6:$F$720,"NO ESTA")</f>
        <v xml:space="preserve">SUMINISTRO Y APLICACIÓN PINTURA RED DE INCENDIO DIAMETRO DE 1" A 2"                                                              </v>
      </c>
      <c r="I247" t="str">
        <v xml:space="preserve">ML   </v>
      </c>
      <c r="J247">
        <v>602</v>
      </c>
      <c r="K247">
        <v>5888</v>
      </c>
      <c r="L247">
        <f t="shared" si="17"/>
        <v>0</v>
      </c>
      <c r="M247">
        <f t="shared" si="18"/>
        <v>0</v>
      </c>
      <c r="N247" s="119">
        <f t="shared" si="19"/>
        <v>222</v>
      </c>
      <c r="O247" s="119">
        <f t="shared" si="20"/>
        <v>0</v>
      </c>
    </row>
    <row r="248" spans="2:15" ht="15" customHeight="1" x14ac:dyDescent="0.25">
      <c r="B248" s="86" t="s">
        <v>461</v>
      </c>
      <c r="C248" s="87" t="s">
        <v>462</v>
      </c>
      <c r="D248" s="82" t="s">
        <v>269</v>
      </c>
      <c r="E248" s="230">
        <v>40</v>
      </c>
      <c r="F248" s="88">
        <v>9760</v>
      </c>
      <c r="G248" s="89">
        <f t="shared" si="16"/>
        <v>390400</v>
      </c>
      <c r="H248" s="118" t="str">
        <f t="array" ref="H248:K248">_xlfn.XLOOKUP(C248,'ESAP NEIVA FASE II UNIFICADO'!$C$6:$C$720,'ESAP NEIVA FASE II UNIFICADO'!$C$6:$F$720,"NO ESTA")</f>
        <v xml:space="preserve">SUMINISTRO Y APLICACIÓN PINTURA RED DE INCENDIO DIAMETRO DE  2 1/2" A 4"                                                          </v>
      </c>
      <c r="I248" t="str">
        <v xml:space="preserve">ML   </v>
      </c>
      <c r="J248">
        <v>107</v>
      </c>
      <c r="K248">
        <v>10014</v>
      </c>
      <c r="L248">
        <f t="shared" si="17"/>
        <v>0</v>
      </c>
      <c r="M248">
        <f t="shared" si="18"/>
        <v>0</v>
      </c>
      <c r="N248" s="119">
        <f t="shared" si="19"/>
        <v>40</v>
      </c>
      <c r="O248" s="119">
        <f t="shared" si="20"/>
        <v>0</v>
      </c>
    </row>
    <row r="249" spans="2:15" ht="15" customHeight="1" x14ac:dyDescent="0.25">
      <c r="B249" s="80" t="s">
        <v>463</v>
      </c>
      <c r="C249" s="81" t="s">
        <v>464</v>
      </c>
      <c r="D249" s="82"/>
      <c r="E249" s="230"/>
      <c r="F249" s="90">
        <v>0</v>
      </c>
      <c r="G249" s="89">
        <f t="shared" si="16"/>
        <v>0</v>
      </c>
      <c r="H249" s="118" t="str">
        <f t="array" ref="H249:K249">_xlfn.XLOOKUP(C249,'ESAP NEIVA FASE II UNIFICADO'!$C$6:$C$720,'ESAP NEIVA FASE II UNIFICADO'!$C$6:$F$720,"NO ESTA")</f>
        <v>SUMINISTRO E INSTALACION ELEMENTOS RED CONTRA INCENDIO</v>
      </c>
      <c r="I249">
        <v>0</v>
      </c>
      <c r="J249">
        <v>0</v>
      </c>
      <c r="K249">
        <v>0</v>
      </c>
      <c r="L249">
        <f t="shared" si="17"/>
        <v>1</v>
      </c>
      <c r="M249">
        <f t="shared" si="18"/>
        <v>0</v>
      </c>
      <c r="N249" s="119">
        <f t="shared" si="19"/>
        <v>0</v>
      </c>
      <c r="O249" s="119">
        <f t="shared" si="20"/>
        <v>0</v>
      </c>
    </row>
    <row r="250" spans="2:15" ht="15" customHeight="1" x14ac:dyDescent="0.25">
      <c r="B250" s="86" t="s">
        <v>465</v>
      </c>
      <c r="C250" s="87" t="s">
        <v>466</v>
      </c>
      <c r="D250" s="82" t="s">
        <v>284</v>
      </c>
      <c r="E250" s="230">
        <v>102</v>
      </c>
      <c r="F250" s="88">
        <v>57855</v>
      </c>
      <c r="G250" s="89">
        <f t="shared" si="16"/>
        <v>5901210</v>
      </c>
      <c r="H250" s="118" t="str">
        <f t="array" ref="H250:K250">_xlfn.XLOOKUP(C250,'ESAP NEIVA FASE II UNIFICADO'!$C$6:$C$720,'ESAP NEIVA FASE II UNIFICADO'!$C$6:$F$720,"NO ESTA")</f>
        <v xml:space="preserve">SUMINISTRO E INSTALACIÓN ROCIADOR PENDENT K:5.6                                                          </v>
      </c>
      <c r="I250" t="str">
        <v xml:space="preserve">UN   </v>
      </c>
      <c r="J250">
        <v>276</v>
      </c>
      <c r="K250">
        <v>59366</v>
      </c>
      <c r="L250">
        <f t="shared" si="17"/>
        <v>0</v>
      </c>
      <c r="M250">
        <f t="shared" si="18"/>
        <v>0</v>
      </c>
      <c r="N250" s="119">
        <f t="shared" si="19"/>
        <v>102</v>
      </c>
      <c r="O250" s="119">
        <f t="shared" si="20"/>
        <v>0</v>
      </c>
    </row>
    <row r="251" spans="2:15" ht="15" customHeight="1" x14ac:dyDescent="0.25">
      <c r="B251" s="86" t="s">
        <v>467</v>
      </c>
      <c r="C251" s="87" t="s">
        <v>468</v>
      </c>
      <c r="D251" s="82" t="s">
        <v>284</v>
      </c>
      <c r="E251" s="230">
        <v>14</v>
      </c>
      <c r="F251" s="88">
        <v>37910</v>
      </c>
      <c r="G251" s="89">
        <f t="shared" si="16"/>
        <v>530740</v>
      </c>
      <c r="H251" s="118" t="str">
        <f t="array" ref="H251:K251">_xlfn.XLOOKUP(C251,'ESAP NEIVA FASE II UNIFICADO'!$C$6:$C$720,'ESAP NEIVA FASE II UNIFICADO'!$C$6:$F$720,"NO ESTA")</f>
        <v xml:space="preserve">SUMINISTRO E INSTALACIÓN ROCIADOR MONTANTE K:5.6                                                          </v>
      </c>
      <c r="I251" t="str">
        <v xml:space="preserve">UN   </v>
      </c>
      <c r="J251">
        <v>38</v>
      </c>
      <c r="K251">
        <v>38899</v>
      </c>
      <c r="L251">
        <f t="shared" si="17"/>
        <v>0</v>
      </c>
      <c r="M251">
        <f t="shared" si="18"/>
        <v>0</v>
      </c>
      <c r="N251" s="119">
        <f t="shared" si="19"/>
        <v>14</v>
      </c>
      <c r="O251" s="119">
        <f t="shared" si="20"/>
        <v>0</v>
      </c>
    </row>
    <row r="252" spans="2:15" ht="15" customHeight="1" x14ac:dyDescent="0.25">
      <c r="B252" s="86" t="s">
        <v>469</v>
      </c>
      <c r="C252" s="87" t="s">
        <v>470</v>
      </c>
      <c r="D252" s="82" t="s">
        <v>284</v>
      </c>
      <c r="E252" s="230">
        <v>10</v>
      </c>
      <c r="F252" s="88">
        <v>125097</v>
      </c>
      <c r="G252" s="89">
        <f t="shared" si="16"/>
        <v>1250970</v>
      </c>
      <c r="H252" s="118" t="str">
        <f t="array" ref="H252:K252">_xlfn.XLOOKUP(C252,'ESAP NEIVA FASE II UNIFICADO'!$C$6:$C$720,'ESAP NEIVA FASE II UNIFICADO'!$C$6:$F$720,"NO ESTA")</f>
        <v xml:space="preserve">SUMINISTRO E INSTALACIÓN ROCIADOR PENDENT K:11.2                                                          </v>
      </c>
      <c r="I252" t="str">
        <v xml:space="preserve">UN   </v>
      </c>
      <c r="J252">
        <v>27</v>
      </c>
      <c r="K252">
        <v>128366</v>
      </c>
      <c r="L252">
        <f t="shared" si="17"/>
        <v>0</v>
      </c>
      <c r="M252">
        <f t="shared" si="18"/>
        <v>0</v>
      </c>
      <c r="N252" s="119">
        <f t="shared" si="19"/>
        <v>10</v>
      </c>
      <c r="O252" s="119">
        <f t="shared" si="20"/>
        <v>0</v>
      </c>
    </row>
    <row r="253" spans="2:15" ht="15" customHeight="1" x14ac:dyDescent="0.25">
      <c r="B253" s="86" t="s">
        <v>471</v>
      </c>
      <c r="C253" s="87" t="s">
        <v>472</v>
      </c>
      <c r="D253" s="82" t="s">
        <v>284</v>
      </c>
      <c r="E253" s="230">
        <v>126</v>
      </c>
      <c r="F253" s="88">
        <v>45662</v>
      </c>
      <c r="G253" s="89">
        <f t="shared" si="16"/>
        <v>5753412</v>
      </c>
      <c r="H253" s="118" t="str">
        <f t="array" ref="H253:K253">_xlfn.XLOOKUP(C253,'ESAP NEIVA FASE II UNIFICADO'!$C$6:$C$720,'ESAP NEIVA FASE II UNIFICADO'!$C$6:$F$720,"NO ESTA")</f>
        <v xml:space="preserve">SUMINISTRO E INSTALACIÓN PUNTO HIDRÁULICO PARA ROCIADOR                                                  </v>
      </c>
      <c r="I253" t="str">
        <v xml:space="preserve">UN   </v>
      </c>
      <c r="J253">
        <v>341</v>
      </c>
      <c r="K253">
        <v>46856</v>
      </c>
      <c r="L253">
        <f t="shared" si="17"/>
        <v>0</v>
      </c>
      <c r="M253">
        <f t="shared" si="18"/>
        <v>0</v>
      </c>
      <c r="N253" s="119">
        <f t="shared" si="19"/>
        <v>126</v>
      </c>
      <c r="O253" s="119">
        <f t="shared" si="20"/>
        <v>0</v>
      </c>
    </row>
    <row r="254" spans="2:15" ht="15" customHeight="1" x14ac:dyDescent="0.25">
      <c r="B254" s="86" t="s">
        <v>473</v>
      </c>
      <c r="C254" s="87" t="s">
        <v>474</v>
      </c>
      <c r="D254" s="82" t="s">
        <v>284</v>
      </c>
      <c r="E254" s="230">
        <v>3</v>
      </c>
      <c r="F254" s="88">
        <v>4078038</v>
      </c>
      <c r="G254" s="89">
        <f t="shared" si="16"/>
        <v>12234114</v>
      </c>
      <c r="H254" s="118" t="str">
        <f t="array" ref="H254:K254">_xlfn.XLOOKUP(C254,'ESAP NEIVA FASE II UNIFICADO'!$C$6:$C$720,'ESAP NEIVA FASE II UNIFICADO'!$C$6:$F$720,"NO ESTA")</f>
        <v xml:space="preserve">SUMINISTRO E INSTALACIÓN ESTACIÓN DE CONTROL, PRUEBA Y DRENAJE 3"                                        </v>
      </c>
      <c r="I254" t="str">
        <v xml:space="preserve">UN   </v>
      </c>
      <c r="J254">
        <v>2</v>
      </c>
      <c r="K254">
        <v>4184551</v>
      </c>
      <c r="L254">
        <f t="shared" si="17"/>
        <v>0</v>
      </c>
      <c r="M254">
        <f t="shared" si="18"/>
        <v>0</v>
      </c>
      <c r="N254" s="119">
        <f t="shared" si="19"/>
        <v>3</v>
      </c>
      <c r="O254" s="119">
        <f t="shared" si="20"/>
        <v>0</v>
      </c>
    </row>
    <row r="255" spans="2:15" ht="15" customHeight="1" x14ac:dyDescent="0.25">
      <c r="B255" s="86" t="s">
        <v>475</v>
      </c>
      <c r="C255" s="87" t="s">
        <v>476</v>
      </c>
      <c r="D255" s="82" t="s">
        <v>284</v>
      </c>
      <c r="E255" s="230">
        <v>3</v>
      </c>
      <c r="F255" s="88">
        <v>78069</v>
      </c>
      <c r="G255" s="89">
        <f t="shared" si="16"/>
        <v>234207</v>
      </c>
      <c r="H255" s="118" t="str">
        <f t="array" ref="H255:K255">_xlfn.XLOOKUP(C255,'ESAP NEIVA FASE II UNIFICADO'!$C$6:$C$720,'ESAP NEIVA FASE II UNIFICADO'!$C$6:$F$720,"NO ESTA")</f>
        <v xml:space="preserve">SUMINISTRO E INSTALACIÓN VÁLVULA TOMA Y DESC. AIRE 1" INCENDIO                                           </v>
      </c>
      <c r="I255" t="str">
        <v xml:space="preserve">UN   </v>
      </c>
      <c r="J255">
        <v>7</v>
      </c>
      <c r="K255">
        <v>80107</v>
      </c>
      <c r="L255">
        <f t="shared" si="17"/>
        <v>0</v>
      </c>
      <c r="M255">
        <f t="shared" si="18"/>
        <v>0</v>
      </c>
      <c r="N255" s="119">
        <f t="shared" si="19"/>
        <v>3</v>
      </c>
      <c r="O255" s="119">
        <f t="shared" si="20"/>
        <v>0</v>
      </c>
    </row>
    <row r="256" spans="2:15" ht="15" customHeight="1" x14ac:dyDescent="0.25">
      <c r="B256" s="86" t="s">
        <v>477</v>
      </c>
      <c r="C256" s="87" t="s">
        <v>478</v>
      </c>
      <c r="D256" s="82" t="s">
        <v>284</v>
      </c>
      <c r="E256" s="230">
        <v>1</v>
      </c>
      <c r="F256" s="88">
        <v>1448552</v>
      </c>
      <c r="G256" s="89">
        <f t="shared" si="16"/>
        <v>1448552</v>
      </c>
      <c r="H256" s="118" t="str">
        <f t="array" ref="H256:K256">_xlfn.XLOOKUP(C256,'ESAP NEIVA FASE II UNIFICADO'!$C$6:$C$720,'ESAP NEIVA FASE II UNIFICADO'!$C$6:$F$720,"NO ESTA")</f>
        <v xml:space="preserve">SUMINISTRO E INSTALACIÓN SIAMESA DE INYECCIÓN                                                            </v>
      </c>
      <c r="I256" t="str">
        <v xml:space="preserve">UN   </v>
      </c>
      <c r="J256">
        <v>1</v>
      </c>
      <c r="K256">
        <v>1486386</v>
      </c>
      <c r="L256">
        <f t="shared" si="17"/>
        <v>0</v>
      </c>
      <c r="M256">
        <f t="shared" si="18"/>
        <v>0</v>
      </c>
      <c r="N256" s="119">
        <f t="shared" si="19"/>
        <v>1</v>
      </c>
      <c r="O256" s="119">
        <f t="shared" si="20"/>
        <v>0</v>
      </c>
    </row>
    <row r="257" spans="2:15" ht="15" customHeight="1" x14ac:dyDescent="0.25">
      <c r="B257" s="86" t="s">
        <v>479</v>
      </c>
      <c r="C257" s="87" t="s">
        <v>480</v>
      </c>
      <c r="D257" s="82" t="s">
        <v>284</v>
      </c>
      <c r="E257" s="230">
        <v>1</v>
      </c>
      <c r="F257" s="88">
        <v>5238807</v>
      </c>
      <c r="G257" s="89">
        <f t="shared" si="16"/>
        <v>5238807</v>
      </c>
      <c r="H257" s="118" t="str">
        <f t="array" ref="H257:K257">_xlfn.XLOOKUP(C257,'ESAP NEIVA FASE II UNIFICADO'!$C$6:$C$720,'ESAP NEIVA FASE II UNIFICADO'!$C$6:$F$720,"NO ESTA")</f>
        <v xml:space="preserve">SUMINISTRO E INSTALACIÓN CABEZAL DE PRUEBAS                                                         </v>
      </c>
      <c r="I257" t="str">
        <v xml:space="preserve">UN   </v>
      </c>
      <c r="J257">
        <v>0</v>
      </c>
      <c r="K257">
        <v>5375637</v>
      </c>
      <c r="L257">
        <f t="shared" si="17"/>
        <v>1</v>
      </c>
      <c r="M257">
        <f t="shared" si="18"/>
        <v>5238807</v>
      </c>
      <c r="N257" s="119">
        <f t="shared" si="19"/>
        <v>1</v>
      </c>
      <c r="O257" s="119">
        <f t="shared" si="20"/>
        <v>5238807</v>
      </c>
    </row>
    <row r="258" spans="2:15" ht="15" customHeight="1" x14ac:dyDescent="0.25">
      <c r="B258" s="86" t="s">
        <v>481</v>
      </c>
      <c r="C258" s="87" t="s">
        <v>482</v>
      </c>
      <c r="D258" s="82" t="s">
        <v>284</v>
      </c>
      <c r="E258" s="230">
        <v>1</v>
      </c>
      <c r="F258" s="88">
        <v>418527</v>
      </c>
      <c r="G258" s="89">
        <f t="shared" si="16"/>
        <v>418527</v>
      </c>
      <c r="H258" s="118" t="str">
        <f t="array" ref="H258:K258">_xlfn.XLOOKUP(C258,'ESAP NEIVA FASE II UNIFICADO'!$C$6:$C$720,'ESAP NEIVA FASE II UNIFICADO'!$C$6:$F$720,"NO ESTA")</f>
        <v xml:space="preserve">SUMINISTRO E INSTALACIÓN CHEQUE RANURADO 4"                                                              </v>
      </c>
      <c r="I258" t="str">
        <v xml:space="preserve">UN   </v>
      </c>
      <c r="J258">
        <v>0</v>
      </c>
      <c r="K258">
        <v>429459</v>
      </c>
      <c r="L258">
        <f t="shared" si="17"/>
        <v>1</v>
      </c>
      <c r="M258">
        <f t="shared" si="18"/>
        <v>418527</v>
      </c>
      <c r="N258" s="119">
        <f t="shared" si="19"/>
        <v>1</v>
      </c>
      <c r="O258" s="119">
        <f t="shared" si="20"/>
        <v>418527</v>
      </c>
    </row>
    <row r="259" spans="2:15" ht="15" customHeight="1" x14ac:dyDescent="0.25">
      <c r="B259" s="86" t="s">
        <v>483</v>
      </c>
      <c r="C259" s="87" t="s">
        <v>484</v>
      </c>
      <c r="D259" s="82" t="s">
        <v>284</v>
      </c>
      <c r="E259" s="230">
        <v>1</v>
      </c>
      <c r="F259" s="88">
        <v>1505643</v>
      </c>
      <c r="G259" s="89">
        <f t="shared" si="16"/>
        <v>1505643</v>
      </c>
      <c r="H259" s="118" t="str">
        <f t="array" ref="H259:K259">_xlfn.XLOOKUP(C259,'ESAP NEIVA FASE II UNIFICADO'!$C$6:$C$720,'ESAP NEIVA FASE II UNIFICADO'!$C$6:$F$720,"NO ESTA")</f>
        <v xml:space="preserve">SUMINISTRO E INSTALACIÓN VÁLVULA OS&amp;Y 4"                                                                 </v>
      </c>
      <c r="I259" t="str">
        <v xml:space="preserve">UN   </v>
      </c>
      <c r="J259">
        <v>0</v>
      </c>
      <c r="K259">
        <v>1544969</v>
      </c>
      <c r="L259">
        <f t="shared" si="17"/>
        <v>1</v>
      </c>
      <c r="M259">
        <f t="shared" si="18"/>
        <v>1505643</v>
      </c>
      <c r="N259" s="119">
        <f t="shared" si="19"/>
        <v>1</v>
      </c>
      <c r="O259" s="119">
        <f t="shared" si="20"/>
        <v>1505643</v>
      </c>
    </row>
    <row r="260" spans="2:15" ht="15" customHeight="1" x14ac:dyDescent="0.25">
      <c r="B260" s="86" t="s">
        <v>485</v>
      </c>
      <c r="C260" s="87" t="s">
        <v>486</v>
      </c>
      <c r="D260" s="82" t="s">
        <v>284</v>
      </c>
      <c r="E260" s="230">
        <v>5</v>
      </c>
      <c r="F260" s="88">
        <v>136196</v>
      </c>
      <c r="G260" s="89">
        <f t="shared" si="16"/>
        <v>680980</v>
      </c>
      <c r="H260" s="118" t="str">
        <f t="array" ref="H260:K260">_xlfn.XLOOKUP(C260,'ESAP NEIVA FASE II UNIFICADO'!$C$6:$C$720,'ESAP NEIVA FASE II UNIFICADO'!$C$6:$F$720,"NO ESTA")</f>
        <v xml:space="preserve">SUMINISTRO E INSTALACIÓN SOPORTE LONGITUDINAL 4 VÍAS 3"                                                               </v>
      </c>
      <c r="I260" t="str">
        <v xml:space="preserve">UN   </v>
      </c>
      <c r="J260">
        <v>15</v>
      </c>
      <c r="K260">
        <v>139754</v>
      </c>
      <c r="L260">
        <f t="shared" si="17"/>
        <v>0</v>
      </c>
      <c r="M260">
        <f t="shared" si="18"/>
        <v>0</v>
      </c>
      <c r="N260" s="119">
        <f t="shared" si="19"/>
        <v>5</v>
      </c>
      <c r="O260" s="119">
        <f t="shared" si="20"/>
        <v>0</v>
      </c>
    </row>
    <row r="261" spans="2:15" ht="15" customHeight="1" x14ac:dyDescent="0.25">
      <c r="B261" s="86" t="s">
        <v>487</v>
      </c>
      <c r="C261" s="87" t="s">
        <v>488</v>
      </c>
      <c r="D261" s="82" t="s">
        <v>284</v>
      </c>
      <c r="E261" s="230">
        <v>1</v>
      </c>
      <c r="F261" s="88">
        <v>273917</v>
      </c>
      <c r="G261" s="89">
        <f t="shared" si="16"/>
        <v>273917</v>
      </c>
      <c r="H261" s="118" t="str">
        <f t="array" ref="H261:K261">_xlfn.XLOOKUP(C261,'ESAP NEIVA FASE II UNIFICADO'!$C$6:$C$720,'ESAP NEIVA FASE II UNIFICADO'!$C$6:$F$720,"NO ESTA")</f>
        <v xml:space="preserve">SUMINISTRO E INSTALACIÓN SOPORTE LONGITUDINAL 4 VÍAS 4"                                                               </v>
      </c>
      <c r="I261" t="str">
        <v xml:space="preserve">UN   </v>
      </c>
      <c r="J261">
        <v>2</v>
      </c>
      <c r="K261">
        <v>281071</v>
      </c>
      <c r="L261">
        <f t="shared" si="17"/>
        <v>0</v>
      </c>
      <c r="M261">
        <f t="shared" si="18"/>
        <v>0</v>
      </c>
      <c r="N261" s="119">
        <f t="shared" si="19"/>
        <v>1</v>
      </c>
      <c r="O261" s="119">
        <f t="shared" si="20"/>
        <v>0</v>
      </c>
    </row>
    <row r="262" spans="2:15" ht="15" customHeight="1" x14ac:dyDescent="0.25">
      <c r="B262" s="86" t="s">
        <v>489</v>
      </c>
      <c r="C262" s="87" t="s">
        <v>490</v>
      </c>
      <c r="D262" s="82" t="s">
        <v>284</v>
      </c>
      <c r="E262" s="230">
        <v>12</v>
      </c>
      <c r="F262" s="88">
        <v>117136</v>
      </c>
      <c r="G262" s="89">
        <f t="shared" si="16"/>
        <v>1405632</v>
      </c>
      <c r="H262" s="118" t="str">
        <f t="array" ref="H262:K262">_xlfn.XLOOKUP(C262,'ESAP NEIVA FASE II UNIFICADO'!$C$6:$C$720,'ESAP NEIVA FASE II UNIFICADO'!$C$6:$F$720,"NO ESTA")</f>
        <v xml:space="preserve">SUMINISTRO E INSTALACIÓN SOPORTE LATERAL 2 VÍAS 2"                                                       </v>
      </c>
      <c r="I262" t="str">
        <v xml:space="preserve">UN   </v>
      </c>
      <c r="J262">
        <v>32</v>
      </c>
      <c r="K262">
        <v>120195</v>
      </c>
      <c r="L262">
        <f t="shared" si="17"/>
        <v>0</v>
      </c>
      <c r="M262">
        <f t="shared" si="18"/>
        <v>0</v>
      </c>
      <c r="N262" s="119">
        <f t="shared" si="19"/>
        <v>12</v>
      </c>
      <c r="O262" s="119">
        <f t="shared" si="20"/>
        <v>0</v>
      </c>
    </row>
    <row r="263" spans="2:15" ht="15" customHeight="1" x14ac:dyDescent="0.25">
      <c r="B263" s="86" t="s">
        <v>491</v>
      </c>
      <c r="C263" s="87" t="s">
        <v>492</v>
      </c>
      <c r="D263" s="82" t="s">
        <v>284</v>
      </c>
      <c r="E263" s="230">
        <v>10</v>
      </c>
      <c r="F263" s="88">
        <v>123396</v>
      </c>
      <c r="G263" s="89">
        <f t="shared" ref="G263:G326" si="21">ROUND(+F263*E263,2)</f>
        <v>1233960</v>
      </c>
      <c r="H263" s="118" t="str">
        <f t="array" ref="H263:K263">_xlfn.XLOOKUP(C263,'ESAP NEIVA FASE II UNIFICADO'!$C$6:$C$720,'ESAP NEIVA FASE II UNIFICADO'!$C$6:$F$720,"NO ESTA")</f>
        <v xml:space="preserve">SUMINISTRO E INSTALACIÓN SOPORTE LATERAL 2 VÍAS 3"                                                       </v>
      </c>
      <c r="I263" t="str">
        <v xml:space="preserve">UN   </v>
      </c>
      <c r="J263">
        <v>27</v>
      </c>
      <c r="K263">
        <v>126619</v>
      </c>
      <c r="L263">
        <f t="shared" si="17"/>
        <v>0</v>
      </c>
      <c r="M263">
        <f t="shared" si="18"/>
        <v>0</v>
      </c>
      <c r="N263" s="119">
        <f t="shared" si="19"/>
        <v>10</v>
      </c>
      <c r="O263" s="119">
        <f t="shared" si="20"/>
        <v>0</v>
      </c>
    </row>
    <row r="264" spans="2:15" ht="15" customHeight="1" x14ac:dyDescent="0.25">
      <c r="B264" s="86" t="s">
        <v>493</v>
      </c>
      <c r="C264" s="87" t="s">
        <v>494</v>
      </c>
      <c r="D264" s="82" t="s">
        <v>284</v>
      </c>
      <c r="E264" s="230">
        <v>2</v>
      </c>
      <c r="F264" s="88">
        <v>1565081</v>
      </c>
      <c r="G264" s="89">
        <f t="shared" si="21"/>
        <v>3130162</v>
      </c>
      <c r="H264" s="118" t="str">
        <f t="array" ref="H264:K264">_xlfn.XLOOKUP(C264,'ESAP NEIVA FASE II UNIFICADO'!$C$6:$C$720,'ESAP NEIVA FASE II UNIFICADO'!$C$6:$F$720,"NO ESTA")</f>
        <v xml:space="preserve">SUMINISTRO E INSTALACIÓN GABINETE TIPO II </v>
      </c>
      <c r="I264" t="str">
        <v xml:space="preserve">UN   </v>
      </c>
      <c r="J264">
        <v>6</v>
      </c>
      <c r="K264">
        <v>1605959</v>
      </c>
      <c r="L264">
        <f t="shared" si="17"/>
        <v>0</v>
      </c>
      <c r="M264">
        <f t="shared" si="18"/>
        <v>0</v>
      </c>
      <c r="N264" s="119">
        <f t="shared" si="19"/>
        <v>2</v>
      </c>
      <c r="O264" s="119">
        <f t="shared" si="20"/>
        <v>0</v>
      </c>
    </row>
    <row r="265" spans="2:15" ht="15.75" customHeight="1" x14ac:dyDescent="0.25">
      <c r="B265" s="74">
        <v>14</v>
      </c>
      <c r="C265" s="75" t="s">
        <v>495</v>
      </c>
      <c r="D265" s="76"/>
      <c r="E265" s="229"/>
      <c r="F265" s="78">
        <v>0</v>
      </c>
      <c r="G265" s="89">
        <f t="shared" si="21"/>
        <v>0</v>
      </c>
      <c r="H265" s="118" t="str">
        <f t="array" ref="H265:K265">_xlfn.XLOOKUP(C265,'ESAP NEIVA FASE II UNIFICADO'!$C$6:$C$720,'ESAP NEIVA FASE II UNIFICADO'!$C$6:$F$720,"NO ESTA")</f>
        <v>SALIDAS DE ALUMBRADO Y TOMACORRIENTES ELÉCTRICOS</v>
      </c>
      <c r="I265">
        <v>0</v>
      </c>
      <c r="J265">
        <v>0</v>
      </c>
      <c r="K265">
        <v>0</v>
      </c>
      <c r="L265">
        <f t="shared" si="17"/>
        <v>1</v>
      </c>
      <c r="M265">
        <f t="shared" si="18"/>
        <v>0</v>
      </c>
      <c r="N265" s="119">
        <f t="shared" si="19"/>
        <v>0</v>
      </c>
      <c r="O265" s="119">
        <f t="shared" si="20"/>
        <v>0</v>
      </c>
    </row>
    <row r="266" spans="2:15" ht="26.25" customHeight="1" x14ac:dyDescent="0.25">
      <c r="B266" s="80" t="s">
        <v>496</v>
      </c>
      <c r="C266" s="81" t="s">
        <v>497</v>
      </c>
      <c r="D266" s="82"/>
      <c r="E266" s="230"/>
      <c r="F266" s="90">
        <v>0</v>
      </c>
      <c r="G266" s="89">
        <f t="shared" si="21"/>
        <v>0</v>
      </c>
      <c r="H266" s="118" t="str">
        <f t="array" ref="H266:K266">_xlfn.XLOOKUP(C266,'ESAP NEIVA FASE II UNIFICADO'!$C$6:$C$720,'ESAP NEIVA FASE II UNIFICADO'!$C$6:$F$720,"NO ESTA")</f>
        <v>SUMINISTRO E INSTALACIÓN SALIDAS DE ALUMBRADO EN TUBERIA PVC INCRUSTRADA (NO SE INCLUYE LAS LUMINARIAS)</v>
      </c>
      <c r="I266">
        <v>0</v>
      </c>
      <c r="J266">
        <v>0</v>
      </c>
      <c r="K266">
        <v>0</v>
      </c>
      <c r="L266">
        <f t="shared" ref="L266:L329" si="22">+IF(J266&gt;0,0,1)</f>
        <v>1</v>
      </c>
      <c r="M266">
        <f t="shared" ref="M266:M329" si="23">IF(L266=1,F266,0)</f>
        <v>0</v>
      </c>
      <c r="N266" s="119">
        <f t="shared" ref="N266:N329" si="24">E266</f>
        <v>0</v>
      </c>
      <c r="O266" s="119">
        <f t="shared" si="20"/>
        <v>0</v>
      </c>
    </row>
    <row r="267" spans="2:15" ht="15" customHeight="1" x14ac:dyDescent="0.25">
      <c r="B267" s="86" t="s">
        <v>498</v>
      </c>
      <c r="C267" s="87" t="s">
        <v>499</v>
      </c>
      <c r="D267" s="82" t="s">
        <v>374</v>
      </c>
      <c r="E267" s="230">
        <v>57</v>
      </c>
      <c r="F267" s="88">
        <v>80964</v>
      </c>
      <c r="G267" s="89">
        <f t="shared" si="21"/>
        <v>4614948</v>
      </c>
      <c r="H267" s="118" t="str">
        <f t="array" ref="H267:K267">_xlfn.XLOOKUP(C267,'ESAP NEIVA FASE II UNIFICADO'!$C$6:$C$720,'ESAP NEIVA FASE II UNIFICADO'!$C$6:$F$720,"NO ESTA")</f>
        <v>SUMINISTRO E INSTALACIÓN SALIDA PARA LAMPARA LED DE 1x28 W</v>
      </c>
      <c r="I267" t="str">
        <v>UN</v>
      </c>
      <c r="J267">
        <v>153</v>
      </c>
      <c r="K267">
        <v>83078</v>
      </c>
      <c r="L267">
        <f t="shared" si="22"/>
        <v>0</v>
      </c>
      <c r="M267">
        <f t="shared" si="23"/>
        <v>0</v>
      </c>
      <c r="N267" s="119">
        <f t="shared" si="24"/>
        <v>57</v>
      </c>
      <c r="O267" s="119">
        <f t="shared" si="20"/>
        <v>0</v>
      </c>
    </row>
    <row r="268" spans="2:15" ht="15" customHeight="1" x14ac:dyDescent="0.25">
      <c r="B268" s="86" t="s">
        <v>500</v>
      </c>
      <c r="C268" s="87" t="s">
        <v>501</v>
      </c>
      <c r="D268" s="82" t="s">
        <v>374</v>
      </c>
      <c r="E268" s="230">
        <v>30</v>
      </c>
      <c r="F268" s="88">
        <v>73244</v>
      </c>
      <c r="G268" s="89">
        <f t="shared" si="21"/>
        <v>2197320</v>
      </c>
      <c r="H268" s="118" t="str">
        <f t="array" ref="H268:K268">_xlfn.XLOOKUP(C268,'ESAP NEIVA FASE II UNIFICADO'!$C$6:$C$720,'ESAP NEIVA FASE II UNIFICADO'!$C$6:$F$720,"NO ESTA")</f>
        <v>SUMINISTRO E INSTALACIÓN SALIDA PARA LAMPARA LED DE 2x54 W</v>
      </c>
      <c r="I268" t="str">
        <v>UN</v>
      </c>
      <c r="J268">
        <v>82</v>
      </c>
      <c r="K268">
        <v>75156</v>
      </c>
      <c r="L268">
        <f t="shared" si="22"/>
        <v>0</v>
      </c>
      <c r="M268">
        <f t="shared" si="23"/>
        <v>0</v>
      </c>
      <c r="N268" s="119">
        <f t="shared" si="24"/>
        <v>30</v>
      </c>
      <c r="O268" s="119">
        <f t="shared" ref="O268:O331" si="25">ROUND(M268*N268,2)</f>
        <v>0</v>
      </c>
    </row>
    <row r="269" spans="2:15" ht="15" customHeight="1" x14ac:dyDescent="0.25">
      <c r="B269" s="86" t="s">
        <v>502</v>
      </c>
      <c r="C269" s="87" t="s">
        <v>503</v>
      </c>
      <c r="D269" s="82" t="s">
        <v>374</v>
      </c>
      <c r="E269" s="230">
        <v>45</v>
      </c>
      <c r="F269" s="88">
        <v>68674</v>
      </c>
      <c r="G269" s="89">
        <f t="shared" si="21"/>
        <v>3090330</v>
      </c>
      <c r="H269" s="118" t="str">
        <f t="array" ref="H269:K269">_xlfn.XLOOKUP(C269,'ESAP NEIVA FASE II UNIFICADO'!$C$6:$C$720,'ESAP NEIVA FASE II UNIFICADO'!$C$6:$F$720,"NO ESTA")</f>
        <v>SUMINISTRO E INSTALACIÓN SALIDA PARA BALA DE LED 35W 120V</v>
      </c>
      <c r="I269" t="str">
        <v>UN</v>
      </c>
      <c r="J269">
        <v>121</v>
      </c>
      <c r="K269">
        <v>70467</v>
      </c>
      <c r="L269">
        <f t="shared" si="22"/>
        <v>0</v>
      </c>
      <c r="M269">
        <f t="shared" si="23"/>
        <v>0</v>
      </c>
      <c r="N269" s="119">
        <f t="shared" si="24"/>
        <v>45</v>
      </c>
      <c r="O269" s="119">
        <f t="shared" si="25"/>
        <v>0</v>
      </c>
    </row>
    <row r="270" spans="2:15" ht="15" customHeight="1" x14ac:dyDescent="0.25">
      <c r="B270" s="86" t="s">
        <v>504</v>
      </c>
      <c r="C270" s="87" t="s">
        <v>505</v>
      </c>
      <c r="D270" s="82" t="s">
        <v>374</v>
      </c>
      <c r="E270" s="230">
        <v>19</v>
      </c>
      <c r="F270" s="88">
        <v>68674</v>
      </c>
      <c r="G270" s="89">
        <f t="shared" si="21"/>
        <v>1304806</v>
      </c>
      <c r="H270" s="118" t="str">
        <f t="array" ref="H270:K270">_xlfn.XLOOKUP(C270,'ESAP NEIVA FASE II UNIFICADO'!$C$6:$C$720,'ESAP NEIVA FASE II UNIFICADO'!$C$6:$F$720,"NO ESTA")</f>
        <v>SUMINISTRO E INSTALACIÓN SALIDA PARA BALA RECESADA LED 10W 120V</v>
      </c>
      <c r="I270" t="str">
        <v>UN</v>
      </c>
      <c r="J270">
        <v>50</v>
      </c>
      <c r="K270">
        <v>70467</v>
      </c>
      <c r="L270">
        <f t="shared" si="22"/>
        <v>0</v>
      </c>
      <c r="M270">
        <f t="shared" si="23"/>
        <v>0</v>
      </c>
      <c r="N270" s="119">
        <f t="shared" si="24"/>
        <v>19</v>
      </c>
      <c r="O270" s="119">
        <f t="shared" si="25"/>
        <v>0</v>
      </c>
    </row>
    <row r="271" spans="2:15" ht="15" customHeight="1" x14ac:dyDescent="0.25">
      <c r="B271" s="86" t="s">
        <v>506</v>
      </c>
      <c r="C271" s="87" t="s">
        <v>507</v>
      </c>
      <c r="D271" s="82" t="s">
        <v>374</v>
      </c>
      <c r="E271" s="230">
        <v>68</v>
      </c>
      <c r="F271" s="88">
        <v>68674</v>
      </c>
      <c r="G271" s="89">
        <f t="shared" si="21"/>
        <v>4669832</v>
      </c>
      <c r="H271" s="118" t="str">
        <f t="array" ref="H271:K271">_xlfn.XLOOKUP(C271,'ESAP NEIVA FASE II UNIFICADO'!$C$6:$C$720,'ESAP NEIVA FASE II UNIFICADO'!$C$6:$F$720,"NO ESTA")</f>
        <v>SUMINISTRO E INSTALACIÓN SALIDA PARA LUMINARIA LED 2x26W 120V</v>
      </c>
      <c r="I271" t="str">
        <v>UN</v>
      </c>
      <c r="J271">
        <v>184</v>
      </c>
      <c r="K271">
        <v>70467</v>
      </c>
      <c r="L271">
        <f t="shared" si="22"/>
        <v>0</v>
      </c>
      <c r="M271">
        <f t="shared" si="23"/>
        <v>0</v>
      </c>
      <c r="N271" s="119">
        <f t="shared" si="24"/>
        <v>68</v>
      </c>
      <c r="O271" s="119">
        <f t="shared" si="25"/>
        <v>0</v>
      </c>
    </row>
    <row r="272" spans="2:15" ht="15" customHeight="1" x14ac:dyDescent="0.25">
      <c r="B272" s="86" t="s">
        <v>508</v>
      </c>
      <c r="C272" s="87" t="s">
        <v>509</v>
      </c>
      <c r="D272" s="82" t="s">
        <v>374</v>
      </c>
      <c r="E272" s="230">
        <v>2</v>
      </c>
      <c r="F272" s="88">
        <v>66507</v>
      </c>
      <c r="G272" s="89">
        <f t="shared" si="21"/>
        <v>133014</v>
      </c>
      <c r="H272" s="118" t="str">
        <f t="array" ref="H272:K272">_xlfn.XLOOKUP(C272,'ESAP NEIVA FASE II UNIFICADO'!$C$6:$C$720,'ESAP NEIVA FASE II UNIFICADO'!$C$6:$F$720,"NO ESTA")</f>
        <v>SUMINISTRO E INSTALACIÓN SALIDA PARA REFLECTOR DE LUZ DIRECTA</v>
      </c>
      <c r="I272" t="str">
        <v>UN</v>
      </c>
      <c r="J272">
        <v>6</v>
      </c>
      <c r="K272">
        <v>68243</v>
      </c>
      <c r="L272">
        <f t="shared" si="22"/>
        <v>0</v>
      </c>
      <c r="M272">
        <f t="shared" si="23"/>
        <v>0</v>
      </c>
      <c r="N272" s="119">
        <f t="shared" si="24"/>
        <v>2</v>
      </c>
      <c r="O272" s="119">
        <f t="shared" si="25"/>
        <v>0</v>
      </c>
    </row>
    <row r="273" spans="2:15" ht="15" customHeight="1" x14ac:dyDescent="0.25">
      <c r="B273" s="86" t="s">
        <v>510</v>
      </c>
      <c r="C273" s="87" t="s">
        <v>511</v>
      </c>
      <c r="D273" s="82" t="s">
        <v>374</v>
      </c>
      <c r="E273" s="230">
        <v>2</v>
      </c>
      <c r="F273" s="88">
        <v>72910</v>
      </c>
      <c r="G273" s="89">
        <f t="shared" si="21"/>
        <v>145820</v>
      </c>
      <c r="H273" s="118" t="str">
        <f t="array" ref="H273:K273">_xlfn.XLOOKUP(C273,'ESAP NEIVA FASE II UNIFICADO'!$C$6:$C$720,'ESAP NEIVA FASE II UNIFICADO'!$C$6:$F$720,"NO ESTA")</f>
        <v>SUMINISTRO E INSTALACIÓN SALIDA PARA APLIQUE DE ESCALERA 1000W 120V</v>
      </c>
      <c r="I273" t="str">
        <v>UN</v>
      </c>
      <c r="J273">
        <v>6</v>
      </c>
      <c r="K273">
        <v>74815</v>
      </c>
      <c r="L273">
        <f t="shared" si="22"/>
        <v>0</v>
      </c>
      <c r="M273">
        <f t="shared" si="23"/>
        <v>0</v>
      </c>
      <c r="N273" s="119">
        <f t="shared" si="24"/>
        <v>2</v>
      </c>
      <c r="O273" s="119">
        <f t="shared" si="25"/>
        <v>0</v>
      </c>
    </row>
    <row r="274" spans="2:15" ht="15" customHeight="1" x14ac:dyDescent="0.25">
      <c r="B274" s="86" t="s">
        <v>512</v>
      </c>
      <c r="C274" s="87" t="s">
        <v>513</v>
      </c>
      <c r="D274" s="82" t="s">
        <v>374</v>
      </c>
      <c r="E274" s="230">
        <v>25</v>
      </c>
      <c r="F274" s="88">
        <v>72910</v>
      </c>
      <c r="G274" s="89">
        <f t="shared" si="21"/>
        <v>1822750</v>
      </c>
      <c r="H274" s="118" t="str">
        <f t="array" ref="H274:K274">_xlfn.XLOOKUP(C274,'ESAP NEIVA FASE II UNIFICADO'!$C$6:$C$720,'ESAP NEIVA FASE II UNIFICADO'!$C$6:$F$720,"NO ESTA")</f>
        <v>SUMINISTRO E INSTALACIÓN SALIDA PARA BALAS LED DE PISO 3W 120V</v>
      </c>
      <c r="I274" t="str">
        <v>UN</v>
      </c>
      <c r="J274">
        <v>67</v>
      </c>
      <c r="K274">
        <v>74815</v>
      </c>
      <c r="L274">
        <f t="shared" si="22"/>
        <v>0</v>
      </c>
      <c r="M274">
        <f t="shared" si="23"/>
        <v>0</v>
      </c>
      <c r="N274" s="119">
        <f t="shared" si="24"/>
        <v>25</v>
      </c>
      <c r="O274" s="119">
        <f t="shared" si="25"/>
        <v>0</v>
      </c>
    </row>
    <row r="275" spans="2:15" ht="15" customHeight="1" x14ac:dyDescent="0.25">
      <c r="B275" s="86" t="s">
        <v>514</v>
      </c>
      <c r="C275" s="87" t="s">
        <v>515</v>
      </c>
      <c r="D275" s="82" t="s">
        <v>374</v>
      </c>
      <c r="E275" s="230">
        <v>4</v>
      </c>
      <c r="F275" s="88">
        <v>72910</v>
      </c>
      <c r="G275" s="89">
        <f t="shared" si="21"/>
        <v>291640</v>
      </c>
      <c r="H275" s="118" t="str">
        <f t="array" ref="H275:K275">_xlfn.XLOOKUP(C275,'ESAP NEIVA FASE II UNIFICADO'!$C$6:$C$720,'ESAP NEIVA FASE II UNIFICADO'!$C$6:$F$720,"NO ESTA")</f>
        <v>SUMINISTRO E INSTALACIÓN SALIDA PARA BALAS DE PISO 50W 120V</v>
      </c>
      <c r="I275" t="str">
        <v>UN</v>
      </c>
      <c r="J275">
        <v>10</v>
      </c>
      <c r="K275">
        <v>74815</v>
      </c>
      <c r="L275">
        <f t="shared" si="22"/>
        <v>0</v>
      </c>
      <c r="M275">
        <f t="shared" si="23"/>
        <v>0</v>
      </c>
      <c r="N275" s="119">
        <f t="shared" si="24"/>
        <v>4</v>
      </c>
      <c r="O275" s="119">
        <f t="shared" si="25"/>
        <v>0</v>
      </c>
    </row>
    <row r="276" spans="2:15" ht="15" customHeight="1" x14ac:dyDescent="0.25">
      <c r="B276" s="86" t="s">
        <v>516</v>
      </c>
      <c r="C276" s="87" t="s">
        <v>517</v>
      </c>
      <c r="D276" s="82" t="s">
        <v>374</v>
      </c>
      <c r="E276" s="230">
        <v>16</v>
      </c>
      <c r="F276" s="88">
        <v>77975</v>
      </c>
      <c r="G276" s="89">
        <f t="shared" si="21"/>
        <v>1247600</v>
      </c>
      <c r="H276" s="118" t="str">
        <f t="array" ref="H276:K276">_xlfn.XLOOKUP(C276,'ESAP NEIVA FASE II UNIFICADO'!$C$6:$C$720,'ESAP NEIVA FASE II UNIFICADO'!$C$6:$F$720,"NO ESTA")</f>
        <v>SUMINISTRO E INSTALACIÓN SALIDA PARA INTERRUPTOR SENCILLO COLOR BLANCO</v>
      </c>
      <c r="I276" t="str">
        <v>UN</v>
      </c>
      <c r="J276">
        <v>42</v>
      </c>
      <c r="K276">
        <v>80011</v>
      </c>
      <c r="L276">
        <f t="shared" si="22"/>
        <v>0</v>
      </c>
      <c r="M276">
        <f t="shared" si="23"/>
        <v>0</v>
      </c>
      <c r="N276" s="119">
        <f t="shared" si="24"/>
        <v>16</v>
      </c>
      <c r="O276" s="119">
        <f t="shared" si="25"/>
        <v>0</v>
      </c>
    </row>
    <row r="277" spans="2:15" ht="15" customHeight="1" x14ac:dyDescent="0.25">
      <c r="B277" s="86" t="s">
        <v>518</v>
      </c>
      <c r="C277" s="87" t="s">
        <v>519</v>
      </c>
      <c r="D277" s="82" t="s">
        <v>374</v>
      </c>
      <c r="E277" s="230">
        <v>6</v>
      </c>
      <c r="F277" s="88">
        <v>84546</v>
      </c>
      <c r="G277" s="89">
        <f t="shared" si="21"/>
        <v>507276</v>
      </c>
      <c r="H277" s="118" t="str">
        <f t="array" ref="H277:K277">_xlfn.XLOOKUP(C277,'ESAP NEIVA FASE II UNIFICADO'!$C$6:$C$720,'ESAP NEIVA FASE II UNIFICADO'!$C$6:$F$720,"NO ESTA")</f>
        <v>SUMINISTRO E INSTALACIÓN SALIDA PARA INTERRUPTOR DOBLE COLOR BLANCO</v>
      </c>
      <c r="I277" t="str">
        <v>UN</v>
      </c>
      <c r="J277">
        <v>18</v>
      </c>
      <c r="K277">
        <v>86756</v>
      </c>
      <c r="L277">
        <f t="shared" si="22"/>
        <v>0</v>
      </c>
      <c r="M277">
        <f t="shared" si="23"/>
        <v>0</v>
      </c>
      <c r="N277" s="119">
        <f t="shared" si="24"/>
        <v>6</v>
      </c>
      <c r="O277" s="119">
        <f t="shared" si="25"/>
        <v>0</v>
      </c>
    </row>
    <row r="278" spans="2:15" ht="27" customHeight="1" x14ac:dyDescent="0.25">
      <c r="B278" s="86" t="s">
        <v>520</v>
      </c>
      <c r="C278" s="87" t="s">
        <v>521</v>
      </c>
      <c r="D278" s="82" t="s">
        <v>374</v>
      </c>
      <c r="E278" s="230">
        <v>2</v>
      </c>
      <c r="F278" s="88">
        <v>86318</v>
      </c>
      <c r="G278" s="89">
        <f t="shared" si="21"/>
        <v>172636</v>
      </c>
      <c r="H278" s="118" t="str">
        <f t="array" ref="H278:K278">_xlfn.XLOOKUP(C278,'ESAP NEIVA FASE II UNIFICADO'!$C$6:$C$720,'ESAP NEIVA FASE II UNIFICADO'!$C$6:$F$720,"NO ESTA")</f>
        <v>SUMINISTRO E INSTALACIÓN SALIDA PARA INTERRUPTOR SENCILLO CONMUTABLE COLOR BLANCO</v>
      </c>
      <c r="I278" t="str">
        <v>UN</v>
      </c>
      <c r="J278">
        <v>6</v>
      </c>
      <c r="K278">
        <v>88571</v>
      </c>
      <c r="L278">
        <f t="shared" si="22"/>
        <v>0</v>
      </c>
      <c r="M278">
        <f t="shared" si="23"/>
        <v>0</v>
      </c>
      <c r="N278" s="119">
        <f t="shared" si="24"/>
        <v>2</v>
      </c>
      <c r="O278" s="119">
        <f t="shared" si="25"/>
        <v>0</v>
      </c>
    </row>
    <row r="279" spans="2:15" ht="27" customHeight="1" x14ac:dyDescent="0.25">
      <c r="B279" s="86" t="s">
        <v>522</v>
      </c>
      <c r="C279" s="87" t="s">
        <v>523</v>
      </c>
      <c r="D279" s="82" t="s">
        <v>374</v>
      </c>
      <c r="E279" s="230">
        <v>2</v>
      </c>
      <c r="F279" s="88">
        <v>94316</v>
      </c>
      <c r="G279" s="89">
        <f t="shared" si="21"/>
        <v>188632</v>
      </c>
      <c r="H279" s="118" t="str">
        <f t="array" ref="H279:K279">_xlfn.XLOOKUP(C279,'ESAP NEIVA FASE II UNIFICADO'!$C$6:$C$720,'ESAP NEIVA FASE II UNIFICADO'!$C$6:$F$720,"NO ESTA")</f>
        <v>SUMINISTRO E INSTALACIÓN SALIDA PARA INTERRUPTOR DOBLE CONMUTABLE COLOR BLANCO</v>
      </c>
      <c r="I279" t="str">
        <v>UN</v>
      </c>
      <c r="J279">
        <v>4</v>
      </c>
      <c r="K279">
        <v>96779</v>
      </c>
      <c r="L279">
        <f t="shared" si="22"/>
        <v>0</v>
      </c>
      <c r="M279">
        <f t="shared" si="23"/>
        <v>0</v>
      </c>
      <c r="N279" s="119">
        <f t="shared" si="24"/>
        <v>2</v>
      </c>
      <c r="O279" s="119">
        <f t="shared" si="25"/>
        <v>0</v>
      </c>
    </row>
    <row r="280" spans="2:15" ht="15" customHeight="1" x14ac:dyDescent="0.25">
      <c r="B280" s="86" t="s">
        <v>524</v>
      </c>
      <c r="C280" s="87" t="s">
        <v>525</v>
      </c>
      <c r="D280" s="82" t="s">
        <v>374</v>
      </c>
      <c r="E280" s="230">
        <v>5</v>
      </c>
      <c r="F280" s="88">
        <v>88516</v>
      </c>
      <c r="G280" s="89">
        <f t="shared" si="21"/>
        <v>442580</v>
      </c>
      <c r="H280" s="118" t="str">
        <f t="array" ref="H280:K280">_xlfn.XLOOKUP(C280,'ESAP NEIVA FASE II UNIFICADO'!$C$6:$C$720,'ESAP NEIVA FASE II UNIFICADO'!$C$6:$F$720,"NO ESTA")</f>
        <v>SUMINISTRO E INSTALACIÓN SALIDA PARA INTERRUPTOR DE SENSOR DE PRESENCIA</v>
      </c>
      <c r="I280" t="str">
        <v>UN</v>
      </c>
      <c r="J280">
        <v>12</v>
      </c>
      <c r="K280">
        <v>90828</v>
      </c>
      <c r="L280">
        <f t="shared" si="22"/>
        <v>0</v>
      </c>
      <c r="M280">
        <f t="shared" si="23"/>
        <v>0</v>
      </c>
      <c r="N280" s="119">
        <f t="shared" si="24"/>
        <v>5</v>
      </c>
      <c r="O280" s="119">
        <f t="shared" si="25"/>
        <v>0</v>
      </c>
    </row>
    <row r="281" spans="2:15" ht="15" customHeight="1" x14ac:dyDescent="0.25">
      <c r="B281" s="86" t="s">
        <v>526</v>
      </c>
      <c r="C281" s="87" t="s">
        <v>527</v>
      </c>
      <c r="D281" s="82" t="s">
        <v>374</v>
      </c>
      <c r="E281" s="230">
        <v>1</v>
      </c>
      <c r="F281" s="88">
        <v>99806</v>
      </c>
      <c r="G281" s="89">
        <f t="shared" si="21"/>
        <v>99806</v>
      </c>
      <c r="H281" s="118" t="str">
        <f t="array" ref="H281:K281">_xlfn.XLOOKUP(C281,'ESAP NEIVA FASE II UNIFICADO'!$C$6:$C$720,'ESAP NEIVA FASE II UNIFICADO'!$C$6:$F$720,"NO ESTA")</f>
        <v>SUMINISTRO E INSTALACIÓN SALIDA PARA SENSOR DE MOVIEMIENTO DE TECHO</v>
      </c>
      <c r="I281" t="str">
        <v>UN</v>
      </c>
      <c r="J281">
        <v>4</v>
      </c>
      <c r="K281">
        <v>102414</v>
      </c>
      <c r="L281">
        <f t="shared" si="22"/>
        <v>0</v>
      </c>
      <c r="M281">
        <f t="shared" si="23"/>
        <v>0</v>
      </c>
      <c r="N281" s="119">
        <f t="shared" si="24"/>
        <v>1</v>
      </c>
      <c r="O281" s="119">
        <f t="shared" si="25"/>
        <v>0</v>
      </c>
    </row>
    <row r="282" spans="2:15" ht="55.5" customHeight="1" x14ac:dyDescent="0.25">
      <c r="B282" s="86" t="s">
        <v>528</v>
      </c>
      <c r="C282" s="87" t="s">
        <v>529</v>
      </c>
      <c r="D282" s="82" t="s">
        <v>269</v>
      </c>
      <c r="E282" s="230">
        <v>176</v>
      </c>
      <c r="F282" s="88">
        <v>1662</v>
      </c>
      <c r="G282" s="89">
        <f t="shared" si="21"/>
        <v>292512</v>
      </c>
      <c r="H282" s="118" t="str">
        <f t="array" ref="H282:K282">_xlfn.XLOOKUP(C282,'ESAP NEIVA FASE II UNIFICADO'!$C$6:$C$720,'ESAP NEIVA FASE II UNIFICADO'!$C$6:$F$720,"NO ESTA")</f>
        <v xml:space="preserve">SUMINISTRO E INSTALACIÓN SALIDAS PARCIALES DE CIRCUITO PARA SALIDAS DE ALUMBRADO Y TOMACORIRIENTE DE USO NORMAL EN CABLE #12 AWG THHN/THWN, DESDE EL TABLERO DE AUTOMATICOS POR EL DUCTO PORTACABLES HASTA LOS PRIMEROS PUNTOS DE DERIVACIÓN. </v>
      </c>
      <c r="I282" t="str">
        <v xml:space="preserve">ML   </v>
      </c>
      <c r="J282">
        <v>474</v>
      </c>
      <c r="K282">
        <v>1705</v>
      </c>
      <c r="L282">
        <f t="shared" si="22"/>
        <v>0</v>
      </c>
      <c r="M282">
        <f t="shared" si="23"/>
        <v>0</v>
      </c>
      <c r="N282" s="119">
        <f t="shared" si="24"/>
        <v>176</v>
      </c>
      <c r="O282" s="119">
        <f t="shared" si="25"/>
        <v>0</v>
      </c>
    </row>
    <row r="283" spans="2:15" ht="26.25" customHeight="1" x14ac:dyDescent="0.25">
      <c r="B283" s="80" t="s">
        <v>530</v>
      </c>
      <c r="C283" s="81" t="s">
        <v>531</v>
      </c>
      <c r="D283" s="82"/>
      <c r="E283" s="230"/>
      <c r="F283" s="104">
        <v>0</v>
      </c>
      <c r="G283" s="89">
        <f t="shared" si="21"/>
        <v>0</v>
      </c>
      <c r="H283" s="118" t="str">
        <f t="array" ref="H283:K283">_xlfn.XLOOKUP(C283,'ESAP NEIVA FASE II UNIFICADO'!$C$6:$C$720,'ESAP NEIVA FASE II UNIFICADO'!$C$6:$F$720,"NO ESTA")</f>
        <v xml:space="preserve">SUMINISTRO E INSTALACIÓN SALIDAS PARA TOMACORRIENTES USO NORMAL EN TUBERIA PVC INCRUSTRADA </v>
      </c>
      <c r="I283">
        <v>0</v>
      </c>
      <c r="J283">
        <v>0</v>
      </c>
      <c r="K283">
        <v>0</v>
      </c>
      <c r="L283">
        <f t="shared" si="22"/>
        <v>1</v>
      </c>
      <c r="M283">
        <f t="shared" si="23"/>
        <v>0</v>
      </c>
      <c r="N283" s="119">
        <f t="shared" si="24"/>
        <v>0</v>
      </c>
      <c r="O283" s="119">
        <f t="shared" si="25"/>
        <v>0</v>
      </c>
    </row>
    <row r="284" spans="2:15" ht="26.25" customHeight="1" x14ac:dyDescent="0.25">
      <c r="B284" s="86" t="s">
        <v>532</v>
      </c>
      <c r="C284" s="87" t="s">
        <v>533</v>
      </c>
      <c r="D284" s="82" t="s">
        <v>284</v>
      </c>
      <c r="E284" s="230">
        <v>97</v>
      </c>
      <c r="F284" s="88">
        <v>80427</v>
      </c>
      <c r="G284" s="89">
        <f t="shared" si="21"/>
        <v>7801419</v>
      </c>
      <c r="H284" s="118" t="str">
        <f t="array" ref="H284:K284">_xlfn.XLOOKUP(C284,'ESAP NEIVA FASE II UNIFICADO'!$C$6:$C$720,'ESAP NEIVA FASE II UNIFICADO'!$C$6:$F$720,"NO ESTA")</f>
        <v>SUMINISTRO E INSTALACIÓN SALIDA PARA TOMACORRIENTE DOBLE MONOFÁSICO CON POLO A TIERRA</v>
      </c>
      <c r="I284" t="str">
        <v xml:space="preserve">UN   </v>
      </c>
      <c r="J284">
        <v>264</v>
      </c>
      <c r="K284">
        <v>82527</v>
      </c>
      <c r="L284">
        <f t="shared" si="22"/>
        <v>0</v>
      </c>
      <c r="M284">
        <f t="shared" si="23"/>
        <v>0</v>
      </c>
      <c r="N284" s="119">
        <f t="shared" si="24"/>
        <v>97</v>
      </c>
      <c r="O284" s="119">
        <f t="shared" si="25"/>
        <v>0</v>
      </c>
    </row>
    <row r="285" spans="2:15" ht="26.25" customHeight="1" x14ac:dyDescent="0.25">
      <c r="B285" s="86" t="s">
        <v>534</v>
      </c>
      <c r="C285" s="87" t="s">
        <v>535</v>
      </c>
      <c r="D285" s="82" t="s">
        <v>284</v>
      </c>
      <c r="E285" s="230">
        <v>2</v>
      </c>
      <c r="F285" s="88">
        <v>108723</v>
      </c>
      <c r="G285" s="89">
        <f t="shared" si="21"/>
        <v>217446</v>
      </c>
      <c r="H285" s="118" t="str">
        <f t="array" ref="H285:K285">_xlfn.XLOOKUP(C285,'ESAP NEIVA FASE II UNIFICADO'!$C$6:$C$720,'ESAP NEIVA FASE II UNIFICADO'!$C$6:$F$720,"NO ESTA")</f>
        <v>SUMINISTRO E INSTALACIÓN SALIDA PARA TOMACORRIENTE DOBLE TIPO GFCI COLOR BLANCO MONOFÁSICODE MURO CON POLO A TIERRA</v>
      </c>
      <c r="I285" t="str">
        <v xml:space="preserve">UN   </v>
      </c>
      <c r="J285">
        <v>5</v>
      </c>
      <c r="K285">
        <v>111563</v>
      </c>
      <c r="L285">
        <f t="shared" si="22"/>
        <v>0</v>
      </c>
      <c r="M285">
        <f t="shared" si="23"/>
        <v>0</v>
      </c>
      <c r="N285" s="119">
        <f t="shared" si="24"/>
        <v>2</v>
      </c>
      <c r="O285" s="119">
        <f t="shared" si="25"/>
        <v>0</v>
      </c>
    </row>
    <row r="286" spans="2:15" ht="26.25" customHeight="1" x14ac:dyDescent="0.25">
      <c r="B286" s="86" t="s">
        <v>536</v>
      </c>
      <c r="C286" s="87" t="s">
        <v>537</v>
      </c>
      <c r="D286" s="82" t="s">
        <v>284</v>
      </c>
      <c r="E286" s="230">
        <v>7</v>
      </c>
      <c r="F286" s="88">
        <v>81390</v>
      </c>
      <c r="G286" s="89">
        <f t="shared" si="21"/>
        <v>569730</v>
      </c>
      <c r="H286" s="118" t="str">
        <f t="array" ref="H286:K286">_xlfn.XLOOKUP(C286,'ESAP NEIVA FASE II UNIFICADO'!$C$6:$C$720,'ESAP NEIVA FASE II UNIFICADO'!$C$6:$F$720,"NO ESTA")</f>
        <v>SUMINISTRO E INSTALACIÓN SALIDA PARA SECADOR 20A-120V a 1.2 METROS DE ALTURA</v>
      </c>
      <c r="I286" t="str">
        <v xml:space="preserve">UN   </v>
      </c>
      <c r="J286">
        <v>18</v>
      </c>
      <c r="K286">
        <v>83516</v>
      </c>
      <c r="L286">
        <f t="shared" si="22"/>
        <v>0</v>
      </c>
      <c r="M286">
        <f t="shared" si="23"/>
        <v>0</v>
      </c>
      <c r="N286" s="119">
        <f t="shared" si="24"/>
        <v>7</v>
      </c>
      <c r="O286" s="119">
        <f t="shared" si="25"/>
        <v>0</v>
      </c>
    </row>
    <row r="287" spans="2:15" ht="26.25" customHeight="1" x14ac:dyDescent="0.25">
      <c r="B287" s="86" t="s">
        <v>538</v>
      </c>
      <c r="C287" s="87" t="s">
        <v>539</v>
      </c>
      <c r="D287" s="82" t="s">
        <v>284</v>
      </c>
      <c r="E287" s="230">
        <v>1</v>
      </c>
      <c r="F287" s="88">
        <v>98621</v>
      </c>
      <c r="G287" s="89">
        <f t="shared" si="21"/>
        <v>98621</v>
      </c>
      <c r="H287" s="118" t="str">
        <f t="array" ref="H287:K287">_xlfn.XLOOKUP(C287,'ESAP NEIVA FASE II UNIFICADO'!$C$6:$C$720,'ESAP NEIVA FASE II UNIFICADO'!$C$6:$F$720,"NO ESTA")</f>
        <v>SUMINISTRO E INSTALACIÓN SALIDA PARA TOMA TRIFÁSICA 208v 3FASES EN CAFETERIA</v>
      </c>
      <c r="I287" t="str">
        <v xml:space="preserve">UN   </v>
      </c>
      <c r="J287">
        <v>3</v>
      </c>
      <c r="K287">
        <v>101196</v>
      </c>
      <c r="L287">
        <f t="shared" si="22"/>
        <v>0</v>
      </c>
      <c r="M287">
        <f t="shared" si="23"/>
        <v>0</v>
      </c>
      <c r="N287" s="119">
        <f t="shared" si="24"/>
        <v>1</v>
      </c>
      <c r="O287" s="119">
        <f t="shared" si="25"/>
        <v>0</v>
      </c>
    </row>
    <row r="288" spans="2:15" ht="51" customHeight="1" x14ac:dyDescent="0.25">
      <c r="B288" s="86" t="s">
        <v>540</v>
      </c>
      <c r="C288" s="87" t="s">
        <v>541</v>
      </c>
      <c r="D288" s="82" t="s">
        <v>269</v>
      </c>
      <c r="E288" s="230">
        <v>365</v>
      </c>
      <c r="F288" s="88">
        <v>1662</v>
      </c>
      <c r="G288" s="89">
        <f t="shared" si="21"/>
        <v>606630</v>
      </c>
      <c r="H288" s="118" t="str">
        <f t="array" ref="H288:K288">_xlfn.XLOOKUP(C288,'ESAP NEIVA FASE II UNIFICADO'!$C$6:$C$720,'ESAP NEIVA FASE II UNIFICADO'!$C$6:$F$720,"NO ESTA")</f>
        <v xml:space="preserve">SUMINISTRO E INSTALACIÓN SALIDAS PARCIALES DE CIRCUITO PARA TOMACORIRIENTE DE USO NORMAL EN CABLE #12 AWG THHN/THWN, DESDE EL TABLERO DE AUTOMATICOS POR EL DUCTO PORTACABLES HASTA LOS PRIMEROS PUNTOS DE DERIVACIÓN. </v>
      </c>
      <c r="I288" t="str">
        <v xml:space="preserve">ML   </v>
      </c>
      <c r="J288">
        <v>985</v>
      </c>
      <c r="K288">
        <v>1705</v>
      </c>
      <c r="L288">
        <f t="shared" si="22"/>
        <v>0</v>
      </c>
      <c r="M288">
        <f t="shared" si="23"/>
        <v>0</v>
      </c>
      <c r="N288" s="119">
        <f t="shared" si="24"/>
        <v>365</v>
      </c>
      <c r="O288" s="119">
        <f t="shared" si="25"/>
        <v>0</v>
      </c>
    </row>
    <row r="289" spans="2:15" ht="26.25" customHeight="1" x14ac:dyDescent="0.25">
      <c r="B289" s="80" t="s">
        <v>542</v>
      </c>
      <c r="C289" s="81" t="s">
        <v>543</v>
      </c>
      <c r="D289" s="82"/>
      <c r="E289" s="230"/>
      <c r="F289" s="104">
        <v>0</v>
      </c>
      <c r="G289" s="89">
        <f t="shared" si="21"/>
        <v>0</v>
      </c>
      <c r="H289" s="118" t="str">
        <f t="array" ref="H289:K289">_xlfn.XLOOKUP(C289,'ESAP NEIVA FASE II UNIFICADO'!$C$6:$C$720,'ESAP NEIVA FASE II UNIFICADO'!$C$6:$F$720,"NO ESTA")</f>
        <v xml:space="preserve">SUMINISTRO E INSTALACIÓN SALIDAS PARA TOMACORRIENTES USO REGULADO EN TUBERIA PVC INCRUSTRADA </v>
      </c>
      <c r="I289">
        <v>0</v>
      </c>
      <c r="J289">
        <v>0</v>
      </c>
      <c r="K289">
        <v>0</v>
      </c>
      <c r="L289">
        <f t="shared" si="22"/>
        <v>1</v>
      </c>
      <c r="M289">
        <f t="shared" si="23"/>
        <v>0</v>
      </c>
      <c r="N289" s="119">
        <f t="shared" si="24"/>
        <v>0</v>
      </c>
      <c r="O289" s="119">
        <f t="shared" si="25"/>
        <v>0</v>
      </c>
    </row>
    <row r="290" spans="2:15" ht="26.25" customHeight="1" x14ac:dyDescent="0.25">
      <c r="B290" s="86" t="s">
        <v>544</v>
      </c>
      <c r="C290" s="87" t="s">
        <v>545</v>
      </c>
      <c r="D290" s="82" t="s">
        <v>374</v>
      </c>
      <c r="E290" s="230">
        <v>15</v>
      </c>
      <c r="F290" s="88">
        <v>118969</v>
      </c>
      <c r="G290" s="89">
        <f t="shared" si="21"/>
        <v>1784535</v>
      </c>
      <c r="H290" s="118" t="str">
        <f t="array" ref="H290:K290">_xlfn.XLOOKUP(C290,'ESAP NEIVA FASE II UNIFICADO'!$C$6:$C$720,'ESAP NEIVA FASE II UNIFICADO'!$C$6:$F$720,"NO ESTA")</f>
        <v>SUMINISTRO E INSTALACIÓN SALIDA PARA TOMACORRIENTE DOBLE DE COLOR NARAJA, PARA INSTALAR EN MURO</v>
      </c>
      <c r="I290" t="str">
        <v>UN</v>
      </c>
      <c r="J290">
        <v>39</v>
      </c>
      <c r="K290">
        <v>122076</v>
      </c>
      <c r="L290">
        <f t="shared" si="22"/>
        <v>0</v>
      </c>
      <c r="M290">
        <f t="shared" si="23"/>
        <v>0</v>
      </c>
      <c r="N290" s="119">
        <f t="shared" si="24"/>
        <v>15</v>
      </c>
      <c r="O290" s="119">
        <f t="shared" si="25"/>
        <v>0</v>
      </c>
    </row>
    <row r="291" spans="2:15" ht="26.25" customHeight="1" x14ac:dyDescent="0.25">
      <c r="B291" s="86" t="s">
        <v>546</v>
      </c>
      <c r="C291" s="87" t="s">
        <v>547</v>
      </c>
      <c r="D291" s="82" t="s">
        <v>374</v>
      </c>
      <c r="E291" s="230">
        <v>29</v>
      </c>
      <c r="F291" s="88">
        <v>109659</v>
      </c>
      <c r="G291" s="89">
        <f t="shared" si="21"/>
        <v>3180111</v>
      </c>
      <c r="H291" s="118" t="str">
        <f t="array" ref="H291:K291">_xlfn.XLOOKUP(C291,'ESAP NEIVA FASE II UNIFICADO'!$C$6:$C$720,'ESAP NEIVA FASE II UNIFICADO'!$C$6:$F$720,"NO ESTA")</f>
        <v xml:space="preserve">SUMINISTRO E INSTALACIÓN SALIDA PARA TOMACORRIENTE DOBLE DE COLOR NARAJA, PARA INSTALAR EN CANALETA PERIMETRAL </v>
      </c>
      <c r="I291" t="str">
        <v>UN</v>
      </c>
      <c r="J291">
        <v>80</v>
      </c>
      <c r="K291">
        <v>112524</v>
      </c>
      <c r="L291">
        <f t="shared" si="22"/>
        <v>0</v>
      </c>
      <c r="M291">
        <f t="shared" si="23"/>
        <v>0</v>
      </c>
      <c r="N291" s="119">
        <f t="shared" si="24"/>
        <v>29</v>
      </c>
      <c r="O291" s="119">
        <f t="shared" si="25"/>
        <v>0</v>
      </c>
    </row>
    <row r="292" spans="2:15" ht="26.25" customHeight="1" x14ac:dyDescent="0.25">
      <c r="B292" s="86" t="s">
        <v>548</v>
      </c>
      <c r="C292" s="87" t="s">
        <v>549</v>
      </c>
      <c r="D292" s="82" t="s">
        <v>269</v>
      </c>
      <c r="E292" s="230">
        <v>14</v>
      </c>
      <c r="F292" s="88">
        <v>11140</v>
      </c>
      <c r="G292" s="89">
        <f t="shared" si="21"/>
        <v>155960</v>
      </c>
      <c r="H292" s="118" t="str">
        <f t="array" ref="H292:K292">_xlfn.XLOOKUP(C292,'ESAP NEIVA FASE II UNIFICADO'!$C$6:$C$720,'ESAP NEIVA FASE II UNIFICADO'!$C$6:$F$720,"NO ESTA")</f>
        <v>SUMINISTRO E INSTALACIÓN INTERCONEXIÓN ENTRE EL DUCTO PORTACABLES Y LA CANALETA PERIMETRAL EN ø 1 1/2" CON 4#12 AWG THHN/THWN</v>
      </c>
      <c r="I292" t="str">
        <v xml:space="preserve">ML   </v>
      </c>
      <c r="J292">
        <v>36</v>
      </c>
      <c r="K292">
        <v>11430</v>
      </c>
      <c r="L292">
        <f t="shared" si="22"/>
        <v>0</v>
      </c>
      <c r="M292">
        <f t="shared" si="23"/>
        <v>0</v>
      </c>
      <c r="N292" s="119">
        <f t="shared" si="24"/>
        <v>14</v>
      </c>
      <c r="O292" s="119">
        <f t="shared" si="25"/>
        <v>0</v>
      </c>
    </row>
    <row r="293" spans="2:15" ht="49.5" customHeight="1" x14ac:dyDescent="0.25">
      <c r="B293" s="86" t="s">
        <v>550</v>
      </c>
      <c r="C293" s="87" t="s">
        <v>551</v>
      </c>
      <c r="D293" s="82" t="s">
        <v>269</v>
      </c>
      <c r="E293" s="230">
        <v>554</v>
      </c>
      <c r="F293" s="88">
        <v>1662</v>
      </c>
      <c r="G293" s="89">
        <f t="shared" si="21"/>
        <v>920748</v>
      </c>
      <c r="H293" s="118" t="str">
        <f t="array" ref="H293:K293">_xlfn.XLOOKUP(C293,'ESAP NEIVA FASE II UNIFICADO'!$C$6:$C$720,'ESAP NEIVA FASE II UNIFICADO'!$C$6:$F$720,"NO ESTA")</f>
        <v xml:space="preserve">SUMINISTRO E INSTALACIÓN SALIDAS PARCIALES DE CIRCUITO PARA TOMACORIRIENTE DE USO REGULADO EN CABLE #12 AWG THHN/THWN, DESDE EL TABLERO DE AUTOMATICOS POR EL DUCTO PORTACABLES HASTA LOS PRIMEROS PUNTOS DE DERIVACIÓN. </v>
      </c>
      <c r="I293" t="str">
        <v xml:space="preserve">ML   </v>
      </c>
      <c r="J293">
        <v>1496</v>
      </c>
      <c r="K293">
        <v>1705</v>
      </c>
      <c r="L293">
        <f t="shared" si="22"/>
        <v>0</v>
      </c>
      <c r="M293">
        <f t="shared" si="23"/>
        <v>0</v>
      </c>
      <c r="N293" s="119">
        <f t="shared" si="24"/>
        <v>554</v>
      </c>
      <c r="O293" s="119">
        <f t="shared" si="25"/>
        <v>0</v>
      </c>
    </row>
    <row r="294" spans="2:15" ht="21" customHeight="1" x14ac:dyDescent="0.25">
      <c r="B294" s="74">
        <v>15</v>
      </c>
      <c r="C294" s="75" t="s">
        <v>552</v>
      </c>
      <c r="D294" s="76"/>
      <c r="E294" s="229"/>
      <c r="F294" s="105">
        <v>0</v>
      </c>
      <c r="G294" s="89">
        <f t="shared" si="21"/>
        <v>0</v>
      </c>
      <c r="H294" s="118" t="str">
        <f t="array" ref="H294:K294">_xlfn.XLOOKUP(C294,'ESAP NEIVA FASE II UNIFICADO'!$C$6:$C$720,'ESAP NEIVA FASE II UNIFICADO'!$C$6:$F$720,"NO ESTA")</f>
        <v>DUCTOS, ACOMETIDAS, TABLEROS, PUESTA A TIERRA, PARARRAYOS Y PLANTA ELÉCTRICA</v>
      </c>
      <c r="I294">
        <v>0</v>
      </c>
      <c r="J294">
        <v>0</v>
      </c>
      <c r="K294">
        <v>0</v>
      </c>
      <c r="L294">
        <f t="shared" si="22"/>
        <v>1</v>
      </c>
      <c r="M294">
        <f t="shared" si="23"/>
        <v>0</v>
      </c>
      <c r="N294" s="119">
        <f t="shared" si="24"/>
        <v>0</v>
      </c>
      <c r="O294" s="119">
        <f t="shared" si="25"/>
        <v>0</v>
      </c>
    </row>
    <row r="295" spans="2:15" ht="15" customHeight="1" x14ac:dyDescent="0.25">
      <c r="B295" s="80" t="s">
        <v>553</v>
      </c>
      <c r="C295" s="81" t="s">
        <v>554</v>
      </c>
      <c r="D295" s="82"/>
      <c r="E295" s="230"/>
      <c r="F295" s="90">
        <v>0</v>
      </c>
      <c r="G295" s="89">
        <f t="shared" si="21"/>
        <v>0</v>
      </c>
      <c r="H295" s="118" t="str">
        <f t="array" ref="H295:K295">_xlfn.XLOOKUP(C295,'ESAP NEIVA FASE II UNIFICADO'!$C$6:$C$720,'ESAP NEIVA FASE II UNIFICADO'!$C$6:$F$720,"NO ESTA")</f>
        <v>SUMINISTRO E INSTALACIÓN DE DUCTOS PORTACABLES</v>
      </c>
      <c r="I295">
        <v>0</v>
      </c>
      <c r="J295">
        <v>0</v>
      </c>
      <c r="K295">
        <v>0</v>
      </c>
      <c r="L295">
        <f t="shared" si="22"/>
        <v>1</v>
      </c>
      <c r="M295">
        <f t="shared" si="23"/>
        <v>0</v>
      </c>
      <c r="N295" s="119">
        <f t="shared" si="24"/>
        <v>0</v>
      </c>
      <c r="O295" s="119">
        <f t="shared" si="25"/>
        <v>0</v>
      </c>
    </row>
    <row r="296" spans="2:15" ht="24" customHeight="1" x14ac:dyDescent="0.25">
      <c r="B296" s="86" t="s">
        <v>555</v>
      </c>
      <c r="C296" s="87" t="s">
        <v>556</v>
      </c>
      <c r="D296" s="82" t="s">
        <v>269</v>
      </c>
      <c r="E296" s="230">
        <v>72</v>
      </c>
      <c r="F296" s="88">
        <v>102614</v>
      </c>
      <c r="G296" s="89">
        <f t="shared" si="21"/>
        <v>7388208</v>
      </c>
      <c r="H296" s="118" t="str">
        <f t="array" ref="H296">_xlfn.XLOOKUP(C296,'ESAP NEIVA FASE II UNIFICADO'!$C$6:$C$720,'ESAP NEIVA FASE II UNIFICADO'!$C$6:$F$720,"NO ESTA")</f>
        <v>NO ESTA</v>
      </c>
      <c r="L296">
        <f t="shared" si="22"/>
        <v>1</v>
      </c>
      <c r="M296">
        <f t="shared" si="23"/>
        <v>102614</v>
      </c>
      <c r="N296" s="119">
        <f t="shared" si="24"/>
        <v>72</v>
      </c>
      <c r="O296" s="119">
        <f t="shared" si="25"/>
        <v>7388208</v>
      </c>
    </row>
    <row r="297" spans="2:15" ht="24" customHeight="1" x14ac:dyDescent="0.25">
      <c r="B297" s="86" t="s">
        <v>557</v>
      </c>
      <c r="C297" s="87" t="s">
        <v>558</v>
      </c>
      <c r="D297" s="82" t="s">
        <v>284</v>
      </c>
      <c r="E297" s="230">
        <v>3</v>
      </c>
      <c r="F297" s="88">
        <v>131764</v>
      </c>
      <c r="G297" s="89">
        <f t="shared" si="21"/>
        <v>395292</v>
      </c>
      <c r="H297" s="118" t="str">
        <f t="array" ref="H297:K297">_xlfn.XLOOKUP(C297,'ESAP NEIVA FASE II UNIFICADO'!$C$6:$C$720,'ESAP NEIVA FASE II UNIFICADO'!$C$6:$F$720,"NO ESTA")</f>
        <v>SUMINISTRO E INSTALACIÓN TÉE PARA DUCTO PORTACABLES TROQUELADO DE 30x10 cm</v>
      </c>
      <c r="I297" t="str">
        <v xml:space="preserve">UN   </v>
      </c>
      <c r="J297">
        <v>8</v>
      </c>
      <c r="K297">
        <v>135206</v>
      </c>
      <c r="L297">
        <f t="shared" si="22"/>
        <v>0</v>
      </c>
      <c r="M297">
        <f t="shared" si="23"/>
        <v>0</v>
      </c>
      <c r="N297" s="119">
        <f t="shared" si="24"/>
        <v>3</v>
      </c>
      <c r="O297" s="119">
        <f t="shared" si="25"/>
        <v>0</v>
      </c>
    </row>
    <row r="298" spans="2:15" ht="24" customHeight="1" x14ac:dyDescent="0.25">
      <c r="B298" s="86" t="s">
        <v>559</v>
      </c>
      <c r="C298" s="87" t="s">
        <v>560</v>
      </c>
      <c r="D298" s="82" t="s">
        <v>284</v>
      </c>
      <c r="E298" s="230">
        <v>34</v>
      </c>
      <c r="F298" s="88">
        <v>29224</v>
      </c>
      <c r="G298" s="89">
        <f t="shared" si="21"/>
        <v>993616</v>
      </c>
      <c r="H298" s="118" t="str">
        <f t="array" ref="H298:K298">_xlfn.XLOOKUP(C298,'ESAP NEIVA FASE II UNIFICADO'!$C$6:$C$720,'ESAP NEIVA FASE II UNIFICADO'!$C$6:$F$720,"NO ESTA")</f>
        <v>SUMINISTRO E INSTALACIÓN SOPORTES DE FIJACIÓN TIPO PELDAÑO DESCOLGADO PARA DUCTOS PORTACABLES TROQUELADO</v>
      </c>
      <c r="I298" t="str">
        <v xml:space="preserve">UN   </v>
      </c>
      <c r="J298">
        <v>91</v>
      </c>
      <c r="K298">
        <v>29987</v>
      </c>
      <c r="L298">
        <f t="shared" si="22"/>
        <v>0</v>
      </c>
      <c r="M298">
        <f t="shared" si="23"/>
        <v>0</v>
      </c>
      <c r="N298" s="119">
        <f t="shared" si="24"/>
        <v>34</v>
      </c>
      <c r="O298" s="119">
        <f t="shared" si="25"/>
        <v>0</v>
      </c>
    </row>
    <row r="299" spans="2:15" ht="24" customHeight="1" x14ac:dyDescent="0.25">
      <c r="B299" s="86" t="s">
        <v>561</v>
      </c>
      <c r="C299" s="87" t="s">
        <v>562</v>
      </c>
      <c r="D299" s="82" t="s">
        <v>269</v>
      </c>
      <c r="E299" s="230">
        <v>25</v>
      </c>
      <c r="F299" s="88">
        <v>191017</v>
      </c>
      <c r="G299" s="89">
        <f t="shared" si="21"/>
        <v>4775425</v>
      </c>
      <c r="H299" s="118" t="str">
        <f t="array" ref="H299">_xlfn.XLOOKUP(C299,'ESAP NEIVA FASE II UNIFICADO'!$C$6:$C$720,'ESAP NEIVA FASE II UNIFICADO'!$C$6:$F$720,"NO ESTA")</f>
        <v>NO ESTA</v>
      </c>
      <c r="L299">
        <f t="shared" si="22"/>
        <v>1</v>
      </c>
      <c r="M299">
        <f t="shared" si="23"/>
        <v>191017</v>
      </c>
      <c r="N299" s="119">
        <f t="shared" si="24"/>
        <v>25</v>
      </c>
      <c r="O299" s="119">
        <f t="shared" si="25"/>
        <v>4775425</v>
      </c>
    </row>
    <row r="300" spans="2:15" ht="24" customHeight="1" x14ac:dyDescent="0.25">
      <c r="B300" s="86" t="s">
        <v>563</v>
      </c>
      <c r="C300" s="87" t="s">
        <v>564</v>
      </c>
      <c r="D300" s="82" t="s">
        <v>284</v>
      </c>
      <c r="E300" s="230">
        <v>1</v>
      </c>
      <c r="F300" s="88">
        <v>158115</v>
      </c>
      <c r="G300" s="89">
        <f t="shared" si="21"/>
        <v>158115</v>
      </c>
      <c r="H300" s="118" t="str">
        <f t="array" ref="H300:K300">_xlfn.XLOOKUP(C300,'ESAP NEIVA FASE II UNIFICADO'!$C$6:$C$720,'ESAP NEIVA FASE II UNIFICADO'!$C$6:$F$720,"NO ESTA")</f>
        <v>SUMINISTRO E INSTALACIÓN TÉE PARA DUCTO PORTACABLES TROQUELADO DE 100x30 cm</v>
      </c>
      <c r="I300" t="str">
        <v xml:space="preserve">UN   </v>
      </c>
      <c r="J300">
        <v>2</v>
      </c>
      <c r="K300">
        <v>162245</v>
      </c>
      <c r="L300">
        <f t="shared" si="22"/>
        <v>0</v>
      </c>
      <c r="M300">
        <f t="shared" si="23"/>
        <v>0</v>
      </c>
      <c r="N300" s="119">
        <f t="shared" si="24"/>
        <v>1</v>
      </c>
      <c r="O300" s="119">
        <f t="shared" si="25"/>
        <v>0</v>
      </c>
    </row>
    <row r="301" spans="2:15" ht="24" customHeight="1" x14ac:dyDescent="0.25">
      <c r="B301" s="86" t="s">
        <v>565</v>
      </c>
      <c r="C301" s="87" t="s">
        <v>566</v>
      </c>
      <c r="D301" s="82" t="s">
        <v>284</v>
      </c>
      <c r="E301" s="230">
        <v>12</v>
      </c>
      <c r="F301" s="88">
        <v>29224</v>
      </c>
      <c r="G301" s="89">
        <f t="shared" si="21"/>
        <v>350688</v>
      </c>
      <c r="H301" s="118" t="str">
        <f t="array" ref="H301:K301">_xlfn.XLOOKUP(C301,'ESAP NEIVA FASE II UNIFICADO'!$C$6:$C$720,'ESAP NEIVA FASE II UNIFICADO'!$C$6:$F$720,"NO ESTA")</f>
        <v>SUMINISTRO E INSTALACIÓN SOPORTES DE FIJACIÓN TIPO PELDAÑO DESCOLGADO PARA DUCTO PORTACABLES TROQUELADO</v>
      </c>
      <c r="I301" t="str">
        <v xml:space="preserve">UN   </v>
      </c>
      <c r="J301">
        <v>34</v>
      </c>
      <c r="K301">
        <v>29987</v>
      </c>
      <c r="L301">
        <f t="shared" si="22"/>
        <v>0</v>
      </c>
      <c r="M301">
        <f t="shared" si="23"/>
        <v>0</v>
      </c>
      <c r="N301" s="119">
        <f t="shared" si="24"/>
        <v>12</v>
      </c>
      <c r="O301" s="119">
        <f t="shared" si="25"/>
        <v>0</v>
      </c>
    </row>
    <row r="302" spans="2:15" ht="15" customHeight="1" x14ac:dyDescent="0.25">
      <c r="B302" s="80" t="s">
        <v>567</v>
      </c>
      <c r="C302" s="81" t="s">
        <v>568</v>
      </c>
      <c r="D302" s="82"/>
      <c r="E302" s="230"/>
      <c r="F302" s="104">
        <v>0</v>
      </c>
      <c r="G302" s="89">
        <f t="shared" si="21"/>
        <v>0</v>
      </c>
      <c r="H302" s="118" t="str">
        <f t="array" ref="H302:K302">_xlfn.XLOOKUP(C302,'ESAP NEIVA FASE II UNIFICADO'!$C$6:$C$720,'ESAP NEIVA FASE II UNIFICADO'!$C$6:$F$720,"NO ESTA")</f>
        <v>CANALETA PERIMETRAL MULTITOMA</v>
      </c>
      <c r="I302">
        <v>0</v>
      </c>
      <c r="J302">
        <v>0</v>
      </c>
      <c r="K302">
        <v>0</v>
      </c>
      <c r="L302">
        <f t="shared" si="22"/>
        <v>1</v>
      </c>
      <c r="M302">
        <f t="shared" si="23"/>
        <v>0</v>
      </c>
      <c r="N302" s="119">
        <f t="shared" si="24"/>
        <v>0</v>
      </c>
      <c r="O302" s="119">
        <f t="shared" si="25"/>
        <v>0</v>
      </c>
    </row>
    <row r="303" spans="2:15" ht="22.5" customHeight="1" x14ac:dyDescent="0.25">
      <c r="B303" s="86" t="s">
        <v>569</v>
      </c>
      <c r="C303" s="87" t="s">
        <v>570</v>
      </c>
      <c r="D303" s="82" t="s">
        <v>269</v>
      </c>
      <c r="E303" s="230">
        <v>68</v>
      </c>
      <c r="F303" s="88">
        <v>29082</v>
      </c>
      <c r="G303" s="89">
        <f t="shared" si="21"/>
        <v>1977576</v>
      </c>
      <c r="H303" s="118" t="str">
        <f t="array" ref="H303:K303">_xlfn.XLOOKUP(C303,'ESAP NEIVA FASE II UNIFICADO'!$C$6:$C$720,'ESAP NEIVA FASE II UNIFICADO'!$C$6:$F$720,"NO ESTA")</f>
        <v>SUMINISTRO E INSTALACIÓN CANALETA MULTITOMA DE DOS COMPARTIMIENTOS EN LÁMINA COLD ROLLED CAL. 18 DE SECCIÓN 10x4 cm CON TAPA CLIP Y ACABADO ELECTROESTÁTICO GRIS NOPAL TEXTURIZADO</v>
      </c>
      <c r="I303" t="str">
        <v xml:space="preserve">ML   </v>
      </c>
      <c r="J303">
        <v>182</v>
      </c>
      <c r="K303">
        <v>29842</v>
      </c>
      <c r="L303">
        <f t="shared" si="22"/>
        <v>0</v>
      </c>
      <c r="M303">
        <f t="shared" si="23"/>
        <v>0</v>
      </c>
      <c r="N303" s="119">
        <f t="shared" si="24"/>
        <v>68</v>
      </c>
      <c r="O303" s="119">
        <f t="shared" si="25"/>
        <v>0</v>
      </c>
    </row>
    <row r="304" spans="2:15" ht="42" customHeight="1" x14ac:dyDescent="0.25">
      <c r="B304" s="86" t="s">
        <v>571</v>
      </c>
      <c r="C304" s="87" t="s">
        <v>572</v>
      </c>
      <c r="D304" s="82" t="s">
        <v>374</v>
      </c>
      <c r="E304" s="230">
        <v>29</v>
      </c>
      <c r="F304" s="88">
        <v>22690</v>
      </c>
      <c r="G304" s="89">
        <f t="shared" si="21"/>
        <v>658010</v>
      </c>
      <c r="H304" s="118" t="str">
        <f t="array" ref="H304:K304">_xlfn.XLOOKUP(C304,'ESAP NEIVA FASE II UNIFICADO'!$C$6:$C$720,'ESAP NEIVA FASE II UNIFICADO'!$C$6:$F$720,"NO ESTA")</f>
        <v>SUMINISTRO E INSTALACIÓN PLACA TOMA TROQUELADA PARA CANALETA 10x4 cm, CON PERFORACIONES PARA UNA (1) TOMA DOBLE COLOR BLANCO, UNA (1) TOMA DOBLE COLOR NARANJA Y UNA (1) TOMA RJ-45</v>
      </c>
      <c r="I304" t="str">
        <v>UN</v>
      </c>
      <c r="J304">
        <v>80</v>
      </c>
      <c r="K304">
        <v>23284</v>
      </c>
      <c r="L304">
        <f t="shared" si="22"/>
        <v>0</v>
      </c>
      <c r="M304">
        <f t="shared" si="23"/>
        <v>0</v>
      </c>
      <c r="N304" s="119">
        <f t="shared" si="24"/>
        <v>29</v>
      </c>
      <c r="O304" s="119">
        <f t="shared" si="25"/>
        <v>0</v>
      </c>
    </row>
    <row r="305" spans="2:15" ht="22.5" customHeight="1" x14ac:dyDescent="0.25">
      <c r="B305" s="80" t="s">
        <v>573</v>
      </c>
      <c r="C305" s="81" t="s">
        <v>574</v>
      </c>
      <c r="D305" s="82"/>
      <c r="E305" s="230"/>
      <c r="F305" s="104">
        <v>0</v>
      </c>
      <c r="G305" s="89">
        <f t="shared" si="21"/>
        <v>0</v>
      </c>
      <c r="H305" s="118" t="str">
        <f t="array" ref="H305:K305">_xlfn.XLOOKUP(C305,'ESAP NEIVA FASE II UNIFICADO'!$C$6:$C$720,'ESAP NEIVA FASE II UNIFICADO'!$C$6:$F$720,"NO ESTA")</f>
        <v>SUMINISTRO E INSTALACIÓN COMETIDA RED MEDIA TENSIÓN (SEGÚN NORMAS CODENSA SA ESP)</v>
      </c>
      <c r="I305">
        <v>0</v>
      </c>
      <c r="J305">
        <v>0</v>
      </c>
      <c r="K305">
        <v>0</v>
      </c>
      <c r="L305">
        <f t="shared" si="22"/>
        <v>1</v>
      </c>
      <c r="M305">
        <f t="shared" si="23"/>
        <v>0</v>
      </c>
      <c r="N305" s="119">
        <f t="shared" si="24"/>
        <v>0</v>
      </c>
      <c r="O305" s="119">
        <f t="shared" si="25"/>
        <v>0</v>
      </c>
    </row>
    <row r="306" spans="2:15" ht="48" customHeight="1" x14ac:dyDescent="0.25">
      <c r="B306" s="86" t="s">
        <v>575</v>
      </c>
      <c r="C306" s="87" t="s">
        <v>576</v>
      </c>
      <c r="D306" s="82" t="s">
        <v>374</v>
      </c>
      <c r="E306" s="230">
        <v>1</v>
      </c>
      <c r="F306" s="88">
        <v>69872853</v>
      </c>
      <c r="G306" s="89">
        <f t="shared" si="21"/>
        <v>69872853</v>
      </c>
      <c r="H306" s="118" t="str">
        <f t="array" ref="H306:K306">_xlfn.XLOOKUP(C306,'ESAP NEIVA FASE II UNIFICADO'!$C$6:$C$720,'ESAP NEIVA FASE II UNIFICADO'!$C$6:$F$720,"NO ESTA")</f>
        <v>SUMINISTRO E INSTALACIÓN TRANSFORMADOR DE DISTRIBUCIÓN DE 500 Kva, NIVEL DE TENSIÓN PRIMARIO 13.200 VOLTIOS, NIVEL DE TENSIÓN SECUNDARIO 208/120 VOLTIOS. INCLUYE: RIEL DE SOPORTE PARA TRANSFORMADOR (PATIN), RUEDAS PARA RIEL CON FRENO MECANICO</v>
      </c>
      <c r="I306" t="str">
        <v>UN</v>
      </c>
      <c r="J306">
        <v>0</v>
      </c>
      <c r="K306">
        <v>71697829</v>
      </c>
      <c r="L306">
        <f t="shared" si="22"/>
        <v>1</v>
      </c>
      <c r="M306">
        <f t="shared" si="23"/>
        <v>69872853</v>
      </c>
      <c r="N306" s="119">
        <f t="shared" si="24"/>
        <v>1</v>
      </c>
      <c r="O306" s="119">
        <f t="shared" si="25"/>
        <v>69872853</v>
      </c>
    </row>
    <row r="307" spans="2:15" ht="22.5" customHeight="1" x14ac:dyDescent="0.25">
      <c r="B307" s="86" t="s">
        <v>577</v>
      </c>
      <c r="C307" s="87" t="s">
        <v>578</v>
      </c>
      <c r="D307" s="82" t="s">
        <v>374</v>
      </c>
      <c r="E307" s="230">
        <v>1</v>
      </c>
      <c r="F307" s="88">
        <v>5173395</v>
      </c>
      <c r="G307" s="89">
        <f t="shared" si="21"/>
        <v>5173395</v>
      </c>
      <c r="H307" s="118" t="str">
        <f t="array" ref="H307:K307">_xlfn.XLOOKUP(C307,'ESAP NEIVA FASE II UNIFICADO'!$C$6:$C$720,'ESAP NEIVA FASE II UNIFICADO'!$C$6:$F$720,"NO ESTA")</f>
        <v>SUMINISTRO E INSTALACIÓN PUERTA CORTAFUEGO PINTURA ELECTROESTÁTICA Y SEÑALES DE RIESGO ELÉCTRICO. INCLUYE ACCESORIOS PARA ENCLAVAMIENTO</v>
      </c>
      <c r="I307" t="str">
        <v>UN</v>
      </c>
      <c r="J307">
        <v>0</v>
      </c>
      <c r="K307">
        <v>5308517</v>
      </c>
      <c r="L307">
        <f t="shared" si="22"/>
        <v>1</v>
      </c>
      <c r="M307">
        <f t="shared" si="23"/>
        <v>5173395</v>
      </c>
      <c r="N307" s="119">
        <f t="shared" si="24"/>
        <v>1</v>
      </c>
      <c r="O307" s="119">
        <f t="shared" si="25"/>
        <v>5173395</v>
      </c>
    </row>
    <row r="308" spans="2:15" ht="37.5" customHeight="1" x14ac:dyDescent="0.25">
      <c r="B308" s="86" t="s">
        <v>579</v>
      </c>
      <c r="C308" s="87" t="s">
        <v>580</v>
      </c>
      <c r="D308" s="82" t="s">
        <v>374</v>
      </c>
      <c r="E308" s="230">
        <v>1</v>
      </c>
      <c r="F308" s="88">
        <v>192537</v>
      </c>
      <c r="G308" s="89">
        <f t="shared" si="21"/>
        <v>192537</v>
      </c>
      <c r="H308" s="118" t="str">
        <f t="array" ref="H308:K308">_xlfn.XLOOKUP(C308,'ESAP NEIVA FASE II UNIFICADO'!$C$6:$C$720,'ESAP NEIVA FASE II UNIFICADO'!$C$6:$F$720,"NO ESTA")</f>
        <v>SUMINISTRO E INSTALACIÓN BARRERA DE PROTECCIÓN PARA EVITAR CONTACTO DIRECTO CON TRANSFORMADOR. INCLUYE INDUMENTARIA PARA ASEGURAR LA BARRERA A LA DISTANCIA ADECUADA DEL TRANSFORMADOR</v>
      </c>
      <c r="I308" t="str">
        <v>UN</v>
      </c>
      <c r="J308">
        <v>0</v>
      </c>
      <c r="K308">
        <v>197566</v>
      </c>
      <c r="L308">
        <f t="shared" si="22"/>
        <v>1</v>
      </c>
      <c r="M308">
        <f t="shared" si="23"/>
        <v>192537</v>
      </c>
      <c r="N308" s="119">
        <f t="shared" si="24"/>
        <v>1</v>
      </c>
      <c r="O308" s="119">
        <f t="shared" si="25"/>
        <v>192537</v>
      </c>
    </row>
    <row r="309" spans="2:15" ht="22.5" customHeight="1" x14ac:dyDescent="0.25">
      <c r="B309" s="86" t="s">
        <v>581</v>
      </c>
      <c r="C309" s="87" t="s">
        <v>582</v>
      </c>
      <c r="D309" s="82" t="s">
        <v>374</v>
      </c>
      <c r="E309" s="230">
        <v>1</v>
      </c>
      <c r="F309" s="88">
        <v>156913</v>
      </c>
      <c r="G309" s="89">
        <f t="shared" si="21"/>
        <v>156913</v>
      </c>
      <c r="H309" s="118" t="str">
        <f t="array" ref="H309">_xlfn.XLOOKUP(C309,'ESAP NEIVA FASE II UNIFICADO'!$C$6:$C$720,'ESAP NEIVA FASE II UNIFICADO'!$C$6:$F$720,"NO ESTA")</f>
        <v>NO ESTA</v>
      </c>
      <c r="L309">
        <f t="shared" si="22"/>
        <v>1</v>
      </c>
      <c r="M309">
        <f t="shared" si="23"/>
        <v>156913</v>
      </c>
      <c r="N309" s="119">
        <f t="shared" si="24"/>
        <v>1</v>
      </c>
      <c r="O309" s="119">
        <f t="shared" si="25"/>
        <v>156913</v>
      </c>
    </row>
    <row r="310" spans="2:15" ht="22.5" customHeight="1" x14ac:dyDescent="0.25">
      <c r="B310" s="86" t="s">
        <v>583</v>
      </c>
      <c r="C310" s="87" t="s">
        <v>584</v>
      </c>
      <c r="D310" s="82" t="s">
        <v>374</v>
      </c>
      <c r="E310" s="230">
        <v>1</v>
      </c>
      <c r="F310" s="88">
        <v>316281</v>
      </c>
      <c r="G310" s="89">
        <f t="shared" si="21"/>
        <v>316281</v>
      </c>
      <c r="H310" s="118" t="str">
        <f t="array" ref="H310:K310">_xlfn.XLOOKUP(C310,'ESAP NEIVA FASE II UNIFICADO'!$C$6:$C$720,'ESAP NEIVA FASE II UNIFICADO'!$C$6:$F$720,"NO ESTA")</f>
        <v>SUMINISTRO E INSTALACIÓN PASAMUROS DE MEDIA TENSIÓN, PASA MUROS EN PVC INCLUYE OBRAS NECESARIAS PARA LA INSTALACIÓN DE LAS MISMAS (JUEGO)</v>
      </c>
      <c r="I310" t="str">
        <v>UN</v>
      </c>
      <c r="J310">
        <v>0</v>
      </c>
      <c r="K310">
        <v>324542</v>
      </c>
      <c r="L310">
        <f t="shared" si="22"/>
        <v>1</v>
      </c>
      <c r="M310">
        <f t="shared" si="23"/>
        <v>316281</v>
      </c>
      <c r="N310" s="119">
        <f t="shared" si="24"/>
        <v>1</v>
      </c>
      <c r="O310" s="119">
        <f t="shared" si="25"/>
        <v>316281</v>
      </c>
    </row>
    <row r="311" spans="2:15" ht="22.5" customHeight="1" x14ac:dyDescent="0.25">
      <c r="B311" s="86" t="s">
        <v>585</v>
      </c>
      <c r="C311" s="87" t="s">
        <v>586</v>
      </c>
      <c r="D311" s="82" t="s">
        <v>374</v>
      </c>
      <c r="E311" s="230">
        <v>1</v>
      </c>
      <c r="F311" s="88">
        <v>385590</v>
      </c>
      <c r="G311" s="89">
        <f t="shared" si="21"/>
        <v>385590</v>
      </c>
      <c r="H311" s="118" t="str">
        <f t="array" ref="H311:K311">_xlfn.XLOOKUP(C311,'ESAP NEIVA FASE II UNIFICADO'!$C$6:$C$720,'ESAP NEIVA FASE II UNIFICADO'!$C$6:$F$720,"NO ESTA")</f>
        <v>SUMINISTRO E INSTALACIÓN DUCTO DE VENTILACIÓN CON DÁMPER FIRE, INCLUYE REJILLA DAMPER PARA EMERGENCIA</v>
      </c>
      <c r="I311" t="str">
        <v>UN</v>
      </c>
      <c r="J311">
        <v>0</v>
      </c>
      <c r="K311">
        <v>395661</v>
      </c>
      <c r="L311">
        <f t="shared" si="22"/>
        <v>1</v>
      </c>
      <c r="M311">
        <f t="shared" si="23"/>
        <v>385590</v>
      </c>
      <c r="N311" s="119">
        <f t="shared" si="24"/>
        <v>1</v>
      </c>
      <c r="O311" s="119">
        <f t="shared" si="25"/>
        <v>385590</v>
      </c>
    </row>
    <row r="312" spans="2:15" ht="35.25" customHeight="1" x14ac:dyDescent="0.25">
      <c r="B312" s="86" t="s">
        <v>587</v>
      </c>
      <c r="C312" s="87" t="s">
        <v>588</v>
      </c>
      <c r="D312" s="82" t="s">
        <v>374</v>
      </c>
      <c r="E312" s="230">
        <v>1</v>
      </c>
      <c r="F312" s="88">
        <v>282282</v>
      </c>
      <c r="G312" s="89">
        <f t="shared" si="21"/>
        <v>282282</v>
      </c>
      <c r="H312" s="118" t="str">
        <f t="array" ref="H312">_xlfn.XLOOKUP(C312,'ESAP NEIVA FASE II UNIFICADO'!$C$6:$C$720,'ESAP NEIVA FASE II UNIFICADO'!$C$6:$F$720,"NO ESTA")</f>
        <v>NO ESTA</v>
      </c>
      <c r="L312">
        <f t="shared" si="22"/>
        <v>1</v>
      </c>
      <c r="M312">
        <f t="shared" si="23"/>
        <v>282282</v>
      </c>
      <c r="N312" s="119">
        <f t="shared" si="24"/>
        <v>1</v>
      </c>
      <c r="O312" s="119">
        <f t="shared" si="25"/>
        <v>282282</v>
      </c>
    </row>
    <row r="313" spans="2:15" ht="22.5" customHeight="1" x14ac:dyDescent="0.25">
      <c r="B313" s="86" t="s">
        <v>589</v>
      </c>
      <c r="C313" s="87" t="s">
        <v>590</v>
      </c>
      <c r="D313" s="82" t="s">
        <v>374</v>
      </c>
      <c r="E313" s="230">
        <v>1</v>
      </c>
      <c r="F313" s="88">
        <v>569258</v>
      </c>
      <c r="G313" s="89">
        <f t="shared" si="21"/>
        <v>569258</v>
      </c>
      <c r="H313" s="118" t="str">
        <f t="array" ref="H313:K313">_xlfn.XLOOKUP(C313,'ESAP NEIVA FASE II UNIFICADO'!$C$6:$C$720,'ESAP NEIVA FASE II UNIFICADO'!$C$6:$F$720,"NO ESTA")</f>
        <v>SUMINISTRO E INSTALACIÓN DE DPS (DISPOSITIVO DE PROTECCIÓN CONTRA SOBRETENSIONES)</v>
      </c>
      <c r="I313" t="str">
        <v>UN</v>
      </c>
      <c r="J313">
        <v>1</v>
      </c>
      <c r="K313">
        <v>584126</v>
      </c>
      <c r="L313">
        <f t="shared" si="22"/>
        <v>0</v>
      </c>
      <c r="M313">
        <f t="shared" si="23"/>
        <v>0</v>
      </c>
      <c r="N313" s="119">
        <f t="shared" si="24"/>
        <v>1</v>
      </c>
      <c r="O313" s="119">
        <f t="shared" si="25"/>
        <v>0</v>
      </c>
    </row>
    <row r="314" spans="2:15" ht="37.5" customHeight="1" x14ac:dyDescent="0.25">
      <c r="B314" s="86" t="s">
        <v>591</v>
      </c>
      <c r="C314" s="87" t="s">
        <v>592</v>
      </c>
      <c r="D314" s="82" t="s">
        <v>374</v>
      </c>
      <c r="E314" s="230">
        <v>1</v>
      </c>
      <c r="F314" s="88">
        <v>18270199</v>
      </c>
      <c r="G314" s="89">
        <f t="shared" si="21"/>
        <v>18270199</v>
      </c>
      <c r="H314" s="118" t="str">
        <f t="array" ref="H314">_xlfn.XLOOKUP(C314,'ESAP NEIVA FASE II UNIFICADO'!$C$6:$C$720,'ESAP NEIVA FASE II UNIFICADO'!$C$6:$F$720,"NO ESTA")</f>
        <v>NO ESTA</v>
      </c>
      <c r="L314">
        <f t="shared" si="22"/>
        <v>1</v>
      </c>
      <c r="M314">
        <f t="shared" si="23"/>
        <v>18270199</v>
      </c>
      <c r="N314" s="119">
        <f t="shared" si="24"/>
        <v>1</v>
      </c>
      <c r="O314" s="119">
        <f t="shared" si="25"/>
        <v>18270199</v>
      </c>
    </row>
    <row r="315" spans="2:15" ht="40.5" customHeight="1" x14ac:dyDescent="0.25">
      <c r="B315" s="86" t="s">
        <v>593</v>
      </c>
      <c r="C315" s="87" t="s">
        <v>594</v>
      </c>
      <c r="D315" s="82" t="s">
        <v>374</v>
      </c>
      <c r="E315" s="230">
        <v>1</v>
      </c>
      <c r="F315" s="88">
        <v>1452107</v>
      </c>
      <c r="G315" s="89">
        <f t="shared" si="21"/>
        <v>1452107</v>
      </c>
      <c r="H315" s="118" t="str">
        <f t="array" ref="H315:K315">_xlfn.XLOOKUP(C315,'ESAP NEIVA FASE II UNIFICADO'!$C$6:$C$720,'ESAP NEIVA FASE II UNIFICADO'!$C$6:$F$720,"NO ESTA")</f>
        <v xml:space="preserve">SUMINISTRO E INSTALACIÓN CAJA DE INSPECCIÓN SENCILLA CON TAPA EN CONCRETO SEGÚN NORMA CS-276 CODENSA S.A. ESP PARA RED DE MEDIA Y BAJA TENSIÓN. </v>
      </c>
      <c r="I315" t="str">
        <v>UN</v>
      </c>
      <c r="J315">
        <v>2</v>
      </c>
      <c r="K315">
        <v>1490034</v>
      </c>
      <c r="L315">
        <f t="shared" si="22"/>
        <v>0</v>
      </c>
      <c r="M315">
        <f t="shared" si="23"/>
        <v>0</v>
      </c>
      <c r="N315" s="119">
        <f t="shared" si="24"/>
        <v>1</v>
      </c>
      <c r="O315" s="119">
        <f t="shared" si="25"/>
        <v>0</v>
      </c>
    </row>
    <row r="316" spans="2:15" ht="15" customHeight="1" x14ac:dyDescent="0.25">
      <c r="B316" s="80" t="s">
        <v>595</v>
      </c>
      <c r="C316" s="81" t="s">
        <v>596</v>
      </c>
      <c r="D316" s="82"/>
      <c r="E316" s="230"/>
      <c r="F316" s="104">
        <v>0</v>
      </c>
      <c r="G316" s="89">
        <f t="shared" si="21"/>
        <v>0</v>
      </c>
      <c r="H316" s="118" t="str">
        <f t="array" ref="H316:K316">_xlfn.XLOOKUP(C316,'ESAP NEIVA FASE II UNIFICADO'!$C$6:$C$720,'ESAP NEIVA FASE II UNIFICADO'!$C$6:$F$720,"NO ESTA")</f>
        <v>SUMINISTRO E INSTALACIÓN ALIMENTADORES ELÉCTRICOS PRINCIPALES</v>
      </c>
      <c r="I316">
        <v>0</v>
      </c>
      <c r="J316">
        <v>0</v>
      </c>
      <c r="K316">
        <v>0</v>
      </c>
      <c r="L316">
        <f t="shared" si="22"/>
        <v>1</v>
      </c>
      <c r="M316">
        <f t="shared" si="23"/>
        <v>0</v>
      </c>
      <c r="N316" s="119">
        <f t="shared" si="24"/>
        <v>0</v>
      </c>
      <c r="O316" s="119">
        <f t="shared" si="25"/>
        <v>0</v>
      </c>
    </row>
    <row r="317" spans="2:15" ht="25.5" customHeight="1" x14ac:dyDescent="0.25">
      <c r="B317" s="86" t="s">
        <v>597</v>
      </c>
      <c r="C317" s="87" t="s">
        <v>598</v>
      </c>
      <c r="D317" s="82" t="s">
        <v>269</v>
      </c>
      <c r="E317" s="230">
        <v>20</v>
      </c>
      <c r="F317" s="88">
        <v>306841</v>
      </c>
      <c r="G317" s="89">
        <f t="shared" si="21"/>
        <v>6136820</v>
      </c>
      <c r="H317" s="118" t="str">
        <f t="array" ref="H317:K317">_xlfn.XLOOKUP(C317,'ESAP NEIVA FASE II UNIFICADO'!$C$6:$C$720,'ESAP NEIVA FASE II UNIFICADO'!$C$6:$F$720,"NO ESTA")</f>
        <v>SUMINISTRO E INSTALACIÓN INTERCONEXIÓN ENTRE CAJA CS-276 Y CELDA DE MEDIDA CABLE XLPE 15KV T AWG EN TUBERÍA PVC 6".</v>
      </c>
      <c r="I317" t="str">
        <v xml:space="preserve">ML   </v>
      </c>
      <c r="J317">
        <v>0</v>
      </c>
      <c r="K317">
        <v>314854</v>
      </c>
      <c r="L317">
        <f t="shared" si="22"/>
        <v>1</v>
      </c>
      <c r="M317">
        <f t="shared" si="23"/>
        <v>306841</v>
      </c>
      <c r="N317" s="119">
        <f t="shared" si="24"/>
        <v>20</v>
      </c>
      <c r="O317" s="119">
        <f t="shared" si="25"/>
        <v>6136820</v>
      </c>
    </row>
    <row r="318" spans="2:15" ht="39.75" customHeight="1" x14ac:dyDescent="0.25">
      <c r="B318" s="86" t="s">
        <v>599</v>
      </c>
      <c r="C318" s="87" t="s">
        <v>600</v>
      </c>
      <c r="D318" s="82" t="s">
        <v>269</v>
      </c>
      <c r="E318" s="230">
        <v>6</v>
      </c>
      <c r="F318" s="88">
        <v>1132493</v>
      </c>
      <c r="G318" s="89">
        <f t="shared" si="21"/>
        <v>6794958</v>
      </c>
      <c r="H318" s="118" t="str">
        <f t="array" ref="H318">_xlfn.XLOOKUP(C318,'ESAP NEIVA FASE II UNIFICADO'!$C$6:$C$720,'ESAP NEIVA FASE II UNIFICADO'!$C$6:$F$720,"NO ESTA")</f>
        <v>NO ESTA</v>
      </c>
      <c r="L318">
        <f t="shared" si="22"/>
        <v>1</v>
      </c>
      <c r="M318">
        <f t="shared" si="23"/>
        <v>1132493</v>
      </c>
      <c r="N318" s="119">
        <f t="shared" si="24"/>
        <v>6</v>
      </c>
      <c r="O318" s="119">
        <f t="shared" si="25"/>
        <v>6794958</v>
      </c>
    </row>
    <row r="319" spans="2:15" ht="40.5" customHeight="1" x14ac:dyDescent="0.25">
      <c r="B319" s="86" t="s">
        <v>601</v>
      </c>
      <c r="C319" s="87" t="s">
        <v>602</v>
      </c>
      <c r="D319" s="82" t="s">
        <v>269</v>
      </c>
      <c r="E319" s="230">
        <v>5</v>
      </c>
      <c r="F319" s="88">
        <v>1191440</v>
      </c>
      <c r="G319" s="89">
        <f t="shared" si="21"/>
        <v>5957200</v>
      </c>
      <c r="H319" s="118" t="str">
        <f t="array" ref="H319">_xlfn.XLOOKUP(C319,'ESAP NEIVA FASE II UNIFICADO'!$C$6:$C$720,'ESAP NEIVA FASE II UNIFICADO'!$C$6:$F$720,"NO ESTA")</f>
        <v>NO ESTA</v>
      </c>
      <c r="L319">
        <f t="shared" si="22"/>
        <v>1</v>
      </c>
      <c r="M319">
        <f t="shared" si="23"/>
        <v>1191440</v>
      </c>
      <c r="N319" s="119">
        <f t="shared" si="24"/>
        <v>5</v>
      </c>
      <c r="O319" s="119">
        <f t="shared" si="25"/>
        <v>5957200</v>
      </c>
    </row>
    <row r="320" spans="2:15" ht="15" customHeight="1" x14ac:dyDescent="0.25">
      <c r="B320" s="80" t="s">
        <v>603</v>
      </c>
      <c r="C320" s="81" t="s">
        <v>596</v>
      </c>
      <c r="D320" s="82"/>
      <c r="E320" s="230"/>
      <c r="F320" s="104">
        <v>0</v>
      </c>
      <c r="G320" s="89">
        <f t="shared" si="21"/>
        <v>0</v>
      </c>
      <c r="H320" s="118" t="str">
        <f t="array" ref="H320:K320">_xlfn.XLOOKUP(C320,'ESAP NEIVA FASE II UNIFICADO'!$C$6:$C$720,'ESAP NEIVA FASE II UNIFICADO'!$C$6:$F$720,"NO ESTA")</f>
        <v>SUMINISTRO E INSTALACIÓN ALIMENTADORES ELÉCTRICOS PRINCIPALES</v>
      </c>
      <c r="I320">
        <v>0</v>
      </c>
      <c r="J320">
        <v>0</v>
      </c>
      <c r="K320">
        <v>0</v>
      </c>
      <c r="L320">
        <f t="shared" si="22"/>
        <v>1</v>
      </c>
      <c r="M320">
        <f t="shared" si="23"/>
        <v>0</v>
      </c>
      <c r="N320" s="119">
        <f t="shared" si="24"/>
        <v>0</v>
      </c>
      <c r="O320" s="119">
        <f t="shared" si="25"/>
        <v>0</v>
      </c>
    </row>
    <row r="321" spans="2:15" ht="24.75" customHeight="1" x14ac:dyDescent="0.25">
      <c r="B321" s="86" t="s">
        <v>604</v>
      </c>
      <c r="C321" s="87" t="s">
        <v>605</v>
      </c>
      <c r="D321" s="82" t="s">
        <v>269</v>
      </c>
      <c r="E321" s="230">
        <v>8</v>
      </c>
      <c r="F321" s="88">
        <v>186035</v>
      </c>
      <c r="G321" s="89">
        <f t="shared" si="21"/>
        <v>1488280</v>
      </c>
      <c r="H321" s="118" t="str">
        <f t="array" ref="H321:K321">_xlfn.XLOOKUP(C321,'ESAP NEIVA FASE II UNIFICADO'!$C$6:$C$720,'ESAP NEIVA FASE II UNIFICADO'!$C$6:$F$720,"NO ESTA")</f>
        <v>SUMINISTRO E INSTALACIÓN ALIMENTADOR DESDE TRANSFERENCIA HASTA TABLERO GENERAL DE MAQUINAS EN 3#4/0+1#4/0N+1#2T AWG EN BANDEJA PORTA CABLES</v>
      </c>
      <c r="I321" t="str">
        <v xml:space="preserve">ML   </v>
      </c>
      <c r="J321">
        <v>0</v>
      </c>
      <c r="K321">
        <v>190892</v>
      </c>
      <c r="L321">
        <f t="shared" si="22"/>
        <v>1</v>
      </c>
      <c r="M321">
        <f t="shared" si="23"/>
        <v>186035</v>
      </c>
      <c r="N321" s="119">
        <f t="shared" si="24"/>
        <v>8</v>
      </c>
      <c r="O321" s="119">
        <f t="shared" si="25"/>
        <v>1488280</v>
      </c>
    </row>
    <row r="322" spans="2:15" ht="42" customHeight="1" x14ac:dyDescent="0.25">
      <c r="B322" s="86" t="s">
        <v>606</v>
      </c>
      <c r="C322" s="87" t="s">
        <v>607</v>
      </c>
      <c r="D322" s="82" t="s">
        <v>269</v>
      </c>
      <c r="E322" s="230">
        <v>52</v>
      </c>
      <c r="F322" s="88">
        <v>59752</v>
      </c>
      <c r="G322" s="89">
        <f t="shared" si="21"/>
        <v>3107104</v>
      </c>
      <c r="H322" s="118" t="str">
        <f t="array" ref="H322:K322">_xlfn.XLOOKUP(C322,'ESAP NEIVA FASE II UNIFICADO'!$C$6:$C$720,'ESAP NEIVA FASE II UNIFICADO'!$C$6:$F$720,"NO ESTA")</f>
        <v>SUMINISTRO E INSTALACIÓN ALIMENTADOR DESDE EL TABLERO GENERAL MAQUINAS HASTA EL TABLERO DE ASCENSOR EN 3#6+1#6N+1#8T AWG EN TUBERIA PVC ø 1 1/2" INCLUYENDO DE TERMINALES DE CONEXIÓN</v>
      </c>
      <c r="I322" t="str">
        <v xml:space="preserve">ML   </v>
      </c>
      <c r="J322">
        <v>0</v>
      </c>
      <c r="K322">
        <v>61314</v>
      </c>
      <c r="L322">
        <f t="shared" si="22"/>
        <v>1</v>
      </c>
      <c r="M322">
        <f t="shared" si="23"/>
        <v>59752</v>
      </c>
      <c r="N322" s="119">
        <f t="shared" si="24"/>
        <v>52</v>
      </c>
      <c r="O322" s="119">
        <f t="shared" si="25"/>
        <v>3107104</v>
      </c>
    </row>
    <row r="323" spans="2:15" ht="42" customHeight="1" x14ac:dyDescent="0.25">
      <c r="B323" s="86" t="s">
        <v>608</v>
      </c>
      <c r="C323" s="87" t="s">
        <v>609</v>
      </c>
      <c r="D323" s="82" t="s">
        <v>269</v>
      </c>
      <c r="E323" s="230">
        <v>106</v>
      </c>
      <c r="F323" s="88">
        <v>59752</v>
      </c>
      <c r="G323" s="89">
        <f t="shared" si="21"/>
        <v>6333712</v>
      </c>
      <c r="H323" s="118" t="str">
        <f t="array" ref="H323:K323">_xlfn.XLOOKUP(C323,'ESAP NEIVA FASE II UNIFICADO'!$C$6:$C$720,'ESAP NEIVA FASE II UNIFICADO'!$C$6:$F$720,"NO ESTA")</f>
        <v>SUMINISTRO E INSTALACIÓN ALIMENTADOR DESDE EL TABLERO GENERAL MAQUINAS HASTA EL TABLERO NORMAL BOMBAS EN 3#6+1#6N+1#8T AWG EN TUBERIA PVC 1 ø 1 1/2" INCLUYENDO DE TERMINALES DE CONEXIÓN</v>
      </c>
      <c r="I323" t="str">
        <v xml:space="preserve">ML   </v>
      </c>
      <c r="J323">
        <v>0</v>
      </c>
      <c r="K323">
        <v>61314</v>
      </c>
      <c r="L323">
        <f t="shared" si="22"/>
        <v>1</v>
      </c>
      <c r="M323">
        <f t="shared" si="23"/>
        <v>59752</v>
      </c>
      <c r="N323" s="119">
        <f t="shared" si="24"/>
        <v>106</v>
      </c>
      <c r="O323" s="119">
        <f t="shared" si="25"/>
        <v>6333712</v>
      </c>
    </row>
    <row r="324" spans="2:15" ht="42" customHeight="1" x14ac:dyDescent="0.25">
      <c r="B324" s="86" t="s">
        <v>610</v>
      </c>
      <c r="C324" s="87" t="s">
        <v>611</v>
      </c>
      <c r="D324" s="82" t="s">
        <v>269</v>
      </c>
      <c r="E324" s="230">
        <v>5</v>
      </c>
      <c r="F324" s="88">
        <v>349335</v>
      </c>
      <c r="G324" s="89">
        <f t="shared" si="21"/>
        <v>1746675</v>
      </c>
      <c r="H324" s="118" t="str">
        <f t="array" ref="H324:K324">_xlfn.XLOOKUP(C324,'ESAP NEIVA FASE II UNIFICADO'!$C$6:$C$720,'ESAP NEIVA FASE II UNIFICADO'!$C$6:$F$720,"NO ESTA")</f>
        <v>SUMINISTRO E INSTALACIÓN ALIMENTADOR DESDE TRANSFERENCIA HASTA EL TABLERO GENERAL DE DISTRIBUCIÓN EN 6#4/0+2#4/0N+1#4T EN BANDEJA PORTACABLES</v>
      </c>
      <c r="I324" t="str">
        <v xml:space="preserve">ML   </v>
      </c>
      <c r="J324">
        <v>0</v>
      </c>
      <c r="K324">
        <v>358460</v>
      </c>
      <c r="L324">
        <f t="shared" si="22"/>
        <v>1</v>
      </c>
      <c r="M324">
        <f t="shared" si="23"/>
        <v>349335</v>
      </c>
      <c r="N324" s="119">
        <f t="shared" si="24"/>
        <v>5</v>
      </c>
      <c r="O324" s="119">
        <f t="shared" si="25"/>
        <v>1746675</v>
      </c>
    </row>
    <row r="325" spans="2:15" ht="42" customHeight="1" x14ac:dyDescent="0.25">
      <c r="B325" s="86" t="s">
        <v>612</v>
      </c>
      <c r="C325" s="87" t="s">
        <v>613</v>
      </c>
      <c r="D325" s="82" t="s">
        <v>269</v>
      </c>
      <c r="E325" s="230">
        <v>6</v>
      </c>
      <c r="F325" s="88">
        <v>59752</v>
      </c>
      <c r="G325" s="89">
        <f t="shared" si="21"/>
        <v>358512</v>
      </c>
      <c r="H325" s="118" t="str">
        <f t="array" ref="H325:K325">_xlfn.XLOOKUP(C325,'ESAP NEIVA FASE II UNIFICADO'!$C$6:$C$720,'ESAP NEIVA FASE II UNIFICADO'!$C$6:$F$720,"NO ESTA")</f>
        <v>SUMINISTRO E INSTALACIÓN ALIMENTADOR DESDE EL TABLERO GENERAL DE DISTRIBUCIÓN HASTA EL TNS SOTANO POR CARCAMO CON 3#6+1#6N+1#8T AWG INCLUYE TERMINALES DE CONEXIÓN</v>
      </c>
      <c r="I325" t="str">
        <v xml:space="preserve">ML   </v>
      </c>
      <c r="J325">
        <v>0</v>
      </c>
      <c r="K325">
        <v>61314</v>
      </c>
      <c r="L325">
        <f t="shared" si="22"/>
        <v>1</v>
      </c>
      <c r="M325">
        <f t="shared" si="23"/>
        <v>59752</v>
      </c>
      <c r="N325" s="119">
        <f t="shared" si="24"/>
        <v>6</v>
      </c>
      <c r="O325" s="119">
        <f t="shared" si="25"/>
        <v>358512</v>
      </c>
    </row>
    <row r="326" spans="2:15" ht="42" customHeight="1" x14ac:dyDescent="0.25">
      <c r="B326" s="86" t="s">
        <v>614</v>
      </c>
      <c r="C326" s="87" t="s">
        <v>615</v>
      </c>
      <c r="D326" s="82" t="s">
        <v>269</v>
      </c>
      <c r="E326" s="230">
        <v>60</v>
      </c>
      <c r="F326" s="88">
        <v>125491</v>
      </c>
      <c r="G326" s="89">
        <f t="shared" si="21"/>
        <v>7529460</v>
      </c>
      <c r="H326" s="118" t="str">
        <f t="array" ref="H326:K326">_xlfn.XLOOKUP(C326,'ESAP NEIVA FASE II UNIFICADO'!$C$6:$C$720,'ESAP NEIVA FASE II UNIFICADO'!$C$6:$F$720,"NO ESTA")</f>
        <v>SUMINISTRO E INSTALACIÓN ALIMENTADOR DESDE EL TABLERO GENERAL DE DISTRIBUCIÓN HASTA EL TNP1 PISO 1 EN 1 ø 2" CON 3#2/0+1#2/0N+1#4T AWG INCLUYE TERMINALES DE CONEXIÓN</v>
      </c>
      <c r="I326" t="str">
        <v xml:space="preserve">ML   </v>
      </c>
      <c r="J326">
        <v>0</v>
      </c>
      <c r="K326">
        <v>128769</v>
      </c>
      <c r="L326">
        <f t="shared" si="22"/>
        <v>1</v>
      </c>
      <c r="M326">
        <f t="shared" si="23"/>
        <v>125491</v>
      </c>
      <c r="N326" s="119">
        <f t="shared" si="24"/>
        <v>60</v>
      </c>
      <c r="O326" s="119">
        <f t="shared" si="25"/>
        <v>7529460</v>
      </c>
    </row>
    <row r="327" spans="2:15" ht="42" customHeight="1" x14ac:dyDescent="0.25">
      <c r="B327" s="86" t="s">
        <v>616</v>
      </c>
      <c r="C327" s="87" t="s">
        <v>617</v>
      </c>
      <c r="D327" s="82" t="s">
        <v>269</v>
      </c>
      <c r="E327" s="230">
        <v>64</v>
      </c>
      <c r="F327" s="88">
        <v>185726</v>
      </c>
      <c r="G327" s="89">
        <f t="shared" ref="G327:G390" si="26">ROUND(+F327*E327,2)</f>
        <v>11886464</v>
      </c>
      <c r="H327" s="118" t="str">
        <f t="array" ref="H327:K327">_xlfn.XLOOKUP(C327,'ESAP NEIVA FASE II UNIFICADO'!$C$6:$C$720,'ESAP NEIVA FASE II UNIFICADO'!$C$6:$F$720,"NO ESTA")</f>
        <v>SUMINISTRO E INSTALACIÓN ALIMENTADOR DESDE EL TABLERO GENERAL DE DISTRIBUCIÓN HASTA EL TNP2 PISO 2 EN 1 ø 3" CON 3#4/0+1#2/0N+1#4T AWG INCLUYE TERMINALES DE CONEXIÓN</v>
      </c>
      <c r="I327" t="str">
        <v xml:space="preserve">ML   </v>
      </c>
      <c r="J327">
        <v>0</v>
      </c>
      <c r="K327">
        <v>190576</v>
      </c>
      <c r="L327">
        <f t="shared" si="22"/>
        <v>1</v>
      </c>
      <c r="M327">
        <f t="shared" si="23"/>
        <v>185726</v>
      </c>
      <c r="N327" s="119">
        <f t="shared" si="24"/>
        <v>64</v>
      </c>
      <c r="O327" s="119">
        <f t="shared" si="25"/>
        <v>11886464</v>
      </c>
    </row>
    <row r="328" spans="2:15" ht="42" customHeight="1" x14ac:dyDescent="0.25">
      <c r="B328" s="86" t="s">
        <v>618</v>
      </c>
      <c r="C328" s="87" t="s">
        <v>619</v>
      </c>
      <c r="D328" s="82" t="s">
        <v>269</v>
      </c>
      <c r="E328" s="230">
        <v>68</v>
      </c>
      <c r="F328" s="88">
        <v>185726</v>
      </c>
      <c r="G328" s="89">
        <f t="shared" si="26"/>
        <v>12629368</v>
      </c>
      <c r="H328" s="118" t="str">
        <f t="array" ref="H328:K328">_xlfn.XLOOKUP(C328,'ESAP NEIVA FASE II UNIFICADO'!$C$6:$C$720,'ESAP NEIVA FASE II UNIFICADO'!$C$6:$F$720,"NO ESTA")</f>
        <v>SUMINISTRO E INSTALACIÓN ALIMENTADOR DESDE EL TABLERO GENERAL DE DISTRIBUCIÓN HASTA EL TNP3 PISO 3 EN 1 ø 3" CON 3#4/0+1#2/0N+1#4T AWG INCLUYE TERMINALES DE CONEXIÓN</v>
      </c>
      <c r="I328" t="str">
        <v xml:space="preserve">ML   </v>
      </c>
      <c r="J328">
        <v>0</v>
      </c>
      <c r="K328">
        <v>190576</v>
      </c>
      <c r="L328">
        <f t="shared" si="22"/>
        <v>1</v>
      </c>
      <c r="M328">
        <f t="shared" si="23"/>
        <v>185726</v>
      </c>
      <c r="N328" s="119">
        <f t="shared" si="24"/>
        <v>68</v>
      </c>
      <c r="O328" s="119">
        <f t="shared" si="25"/>
        <v>12629368</v>
      </c>
    </row>
    <row r="329" spans="2:15" ht="42" customHeight="1" x14ac:dyDescent="0.25">
      <c r="B329" s="86" t="s">
        <v>620</v>
      </c>
      <c r="C329" s="87" t="s">
        <v>621</v>
      </c>
      <c r="D329" s="82" t="s">
        <v>269</v>
      </c>
      <c r="E329" s="230">
        <v>72</v>
      </c>
      <c r="F329" s="88">
        <v>185726</v>
      </c>
      <c r="G329" s="89">
        <f t="shared" si="26"/>
        <v>13372272</v>
      </c>
      <c r="H329" s="118" t="str">
        <f t="array" ref="H329:K329">_xlfn.XLOOKUP(C329,'ESAP NEIVA FASE II UNIFICADO'!$C$6:$C$720,'ESAP NEIVA FASE II UNIFICADO'!$C$6:$F$720,"NO ESTA")</f>
        <v>SUMINISTRO E INSTALACIÓN ALIMENTADOR DESDE EL TABLERO GENERAL DE DISTRIBUCIÓN HASTA EL TNP3 PISO 4 EN 1 Ø 3" CON 3#4/0+1#2/0N+1#4T AWG INCLUYE TERMINALES DE CONEXIÓN</v>
      </c>
      <c r="I329" t="str">
        <v xml:space="preserve">ML   </v>
      </c>
      <c r="J329">
        <v>0</v>
      </c>
      <c r="K329">
        <v>190576</v>
      </c>
      <c r="L329">
        <f t="shared" si="22"/>
        <v>1</v>
      </c>
      <c r="M329">
        <f t="shared" si="23"/>
        <v>185726</v>
      </c>
      <c r="N329" s="119">
        <f t="shared" si="24"/>
        <v>72</v>
      </c>
      <c r="O329" s="119">
        <f t="shared" si="25"/>
        <v>13372272</v>
      </c>
    </row>
    <row r="330" spans="2:15" ht="42" customHeight="1" x14ac:dyDescent="0.25">
      <c r="B330" s="86" t="s">
        <v>622</v>
      </c>
      <c r="C330" s="87" t="s">
        <v>623</v>
      </c>
      <c r="D330" s="82" t="s">
        <v>269</v>
      </c>
      <c r="E330" s="230">
        <v>60</v>
      </c>
      <c r="F330" s="88">
        <v>166558</v>
      </c>
      <c r="G330" s="89">
        <f t="shared" si="26"/>
        <v>9993480</v>
      </c>
      <c r="H330" s="118" t="str">
        <f t="array" ref="H330:K330">_xlfn.XLOOKUP(C330,'ESAP NEIVA FASE II UNIFICADO'!$C$6:$C$720,'ESAP NEIVA FASE II UNIFICADO'!$C$6:$F$720,"NO ESTA")</f>
        <v xml:space="preserve">SUMINISTRO E INSTALACIÓNALIMENTADOR DESDE EL TABLERO GENERAL DE DISTRIBUCIÓN HASTA LA UPS1 PISO 1 EN 1 Ø 2" con 3#3/0+1#2/0N+1#2/OT AWG INCLUYENDO TERMINALES DE CONEXIÓN </v>
      </c>
      <c r="I330" t="str">
        <v xml:space="preserve">ML   </v>
      </c>
      <c r="J330">
        <v>0</v>
      </c>
      <c r="K330">
        <v>170907</v>
      </c>
      <c r="L330">
        <f t="shared" ref="L330:L393" si="27">+IF(J330&gt;0,0,1)</f>
        <v>1</v>
      </c>
      <c r="M330">
        <f t="shared" ref="M330:M393" si="28">IF(L330=1,F330,0)</f>
        <v>166558</v>
      </c>
      <c r="N330" s="119">
        <f t="shared" ref="N330:N393" si="29">E330</f>
        <v>60</v>
      </c>
      <c r="O330" s="119">
        <f t="shared" si="25"/>
        <v>9993480</v>
      </c>
    </row>
    <row r="331" spans="2:15" ht="42" customHeight="1" x14ac:dyDescent="0.25">
      <c r="B331" s="86" t="s">
        <v>624</v>
      </c>
      <c r="C331" s="87" t="s">
        <v>625</v>
      </c>
      <c r="D331" s="82" t="s">
        <v>269</v>
      </c>
      <c r="E331" s="230">
        <v>7</v>
      </c>
      <c r="F331" s="88">
        <v>97183</v>
      </c>
      <c r="G331" s="89">
        <f t="shared" si="26"/>
        <v>680281</v>
      </c>
      <c r="H331" s="118" t="str">
        <f t="array" ref="H331:K331">_xlfn.XLOOKUP(C331,'ESAP NEIVA FASE II UNIFICADO'!$C$6:$C$720,'ESAP NEIVA FASE II UNIFICADO'!$C$6:$F$720,"NO ESTA")</f>
        <v xml:space="preserve">SUMINISTRO E INSTALACIÓN ALIMENTADOR DESDE UPS1 HASTA EL TABLERO REGULADO 1 PISO 1 EN 1 Ø 2" con 3#2+1#2N+1#8T AWG INCLUYENDO TERMINALES DE CONEXIÓN </v>
      </c>
      <c r="I331" t="str">
        <v xml:space="preserve">ML   </v>
      </c>
      <c r="J331">
        <v>0</v>
      </c>
      <c r="K331">
        <v>99722</v>
      </c>
      <c r="L331">
        <f t="shared" si="27"/>
        <v>1</v>
      </c>
      <c r="M331">
        <f t="shared" si="28"/>
        <v>97183</v>
      </c>
      <c r="N331" s="119">
        <f t="shared" si="29"/>
        <v>7</v>
      </c>
      <c r="O331" s="119">
        <f t="shared" si="25"/>
        <v>680281</v>
      </c>
    </row>
    <row r="332" spans="2:15" ht="42" customHeight="1" x14ac:dyDescent="0.25">
      <c r="B332" s="86" t="s">
        <v>626</v>
      </c>
      <c r="C332" s="87" t="s">
        <v>627</v>
      </c>
      <c r="D332" s="82" t="s">
        <v>269</v>
      </c>
      <c r="E332" s="230">
        <v>102</v>
      </c>
      <c r="F332" s="88">
        <v>158300</v>
      </c>
      <c r="G332" s="89">
        <f t="shared" si="26"/>
        <v>16146600</v>
      </c>
      <c r="H332" s="118" t="str">
        <f t="array" ref="H332">_xlfn.XLOOKUP(C332,'ESAP NEIVA FASE II UNIFICADO'!$C$6:$C$720,'ESAP NEIVA FASE II UNIFICADO'!$C$6:$F$720,"NO ESTA")</f>
        <v>NO ESTA</v>
      </c>
      <c r="L332">
        <f t="shared" si="27"/>
        <v>1</v>
      </c>
      <c r="M332">
        <f t="shared" si="28"/>
        <v>158300</v>
      </c>
      <c r="N332" s="119">
        <f t="shared" si="29"/>
        <v>102</v>
      </c>
      <c r="O332" s="119">
        <f t="shared" ref="O332:O395" si="30">ROUND(M332*N332,2)</f>
        <v>16146600</v>
      </c>
    </row>
    <row r="333" spans="2:15" ht="15" customHeight="1" x14ac:dyDescent="0.25">
      <c r="B333" s="80" t="s">
        <v>628</v>
      </c>
      <c r="C333" s="81" t="s">
        <v>629</v>
      </c>
      <c r="D333" s="82"/>
      <c r="E333" s="230"/>
      <c r="F333" s="104">
        <v>0</v>
      </c>
      <c r="G333" s="89">
        <f t="shared" si="26"/>
        <v>0</v>
      </c>
      <c r="H333" s="118" t="str">
        <f t="array" ref="H333:K333">_xlfn.XLOOKUP(C333,'ESAP NEIVA FASE II UNIFICADO'!$C$6:$C$720,'ESAP NEIVA FASE II UNIFICADO'!$C$6:$F$720,"NO ESTA")</f>
        <v xml:space="preserve">SUMINISTRO E INSTALACIÓN DE CANALIZACIONES </v>
      </c>
      <c r="I333">
        <v>0</v>
      </c>
      <c r="J333">
        <v>0</v>
      </c>
      <c r="K333">
        <v>0</v>
      </c>
      <c r="L333">
        <f t="shared" si="27"/>
        <v>1</v>
      </c>
      <c r="M333">
        <f t="shared" si="28"/>
        <v>0</v>
      </c>
      <c r="N333" s="119">
        <f t="shared" si="29"/>
        <v>0</v>
      </c>
      <c r="O333" s="119">
        <f t="shared" si="30"/>
        <v>0</v>
      </c>
    </row>
    <row r="334" spans="2:15" ht="15" customHeight="1" x14ac:dyDescent="0.25">
      <c r="B334" s="86" t="s">
        <v>630</v>
      </c>
      <c r="C334" s="87" t="s">
        <v>631</v>
      </c>
      <c r="D334" s="82" t="s">
        <v>269</v>
      </c>
      <c r="E334" s="230">
        <v>50</v>
      </c>
      <c r="F334" s="88">
        <v>35427</v>
      </c>
      <c r="G334" s="89">
        <f t="shared" si="26"/>
        <v>1771350</v>
      </c>
      <c r="H334" s="118" t="str">
        <f t="array" ref="H334:K334">_xlfn.XLOOKUP(C334,'ESAP NEIVA FASE II UNIFICADO'!$C$6:$C$720,'ESAP NEIVA FASE II UNIFICADO'!$C$6:$F$720,"NO ESTA")</f>
        <v>SUMINISTRO E INSTALACIÓN TUBERÍA PVC Ø 4" (Incluye todos los materiales para su instalación)</v>
      </c>
      <c r="I334" t="str">
        <v xml:space="preserve">ML   </v>
      </c>
      <c r="J334">
        <v>0</v>
      </c>
      <c r="K334">
        <v>36352</v>
      </c>
      <c r="L334">
        <f t="shared" si="27"/>
        <v>1</v>
      </c>
      <c r="M334">
        <f t="shared" si="28"/>
        <v>35427</v>
      </c>
      <c r="N334" s="119">
        <f t="shared" si="29"/>
        <v>50</v>
      </c>
      <c r="O334" s="119">
        <f t="shared" si="30"/>
        <v>1771350</v>
      </c>
    </row>
    <row r="335" spans="2:15" ht="15" customHeight="1" x14ac:dyDescent="0.25">
      <c r="B335" s="86" t="s">
        <v>632</v>
      </c>
      <c r="C335" s="87" t="s">
        <v>633</v>
      </c>
      <c r="D335" s="82" t="s">
        <v>269</v>
      </c>
      <c r="E335" s="230">
        <v>100</v>
      </c>
      <c r="F335" s="88">
        <v>64159</v>
      </c>
      <c r="G335" s="89">
        <f t="shared" si="26"/>
        <v>6415900</v>
      </c>
      <c r="H335" s="118" t="str">
        <f t="array" ref="H335">_xlfn.XLOOKUP(C335,'ESAP NEIVA FASE II UNIFICADO'!$C$6:$C$720,'ESAP NEIVA FASE II UNIFICADO'!$C$6:$F$720,"NO ESTA")</f>
        <v>NO ESTA</v>
      </c>
      <c r="L335">
        <f t="shared" si="27"/>
        <v>1</v>
      </c>
      <c r="M335">
        <f t="shared" si="28"/>
        <v>64159</v>
      </c>
      <c r="N335" s="119">
        <f t="shared" si="29"/>
        <v>100</v>
      </c>
      <c r="O335" s="119">
        <f t="shared" si="30"/>
        <v>6415900</v>
      </c>
    </row>
    <row r="336" spans="2:15" ht="15" customHeight="1" x14ac:dyDescent="0.25">
      <c r="B336" s="80" t="s">
        <v>634</v>
      </c>
      <c r="C336" s="81" t="s">
        <v>635</v>
      </c>
      <c r="D336" s="82"/>
      <c r="E336" s="230"/>
      <c r="F336" s="88">
        <v>0</v>
      </c>
      <c r="G336" s="89">
        <f t="shared" si="26"/>
        <v>0</v>
      </c>
      <c r="H336" s="118" t="str">
        <f t="array" ref="H336:K336">_xlfn.XLOOKUP(C336,'ESAP NEIVA FASE II UNIFICADO'!$C$6:$C$720,'ESAP NEIVA FASE II UNIFICADO'!$C$6:$F$720,"NO ESTA")</f>
        <v>SUMINISTRO E INSTALACIÓN DE TABLEROS E INTERRUPTORES</v>
      </c>
      <c r="I336">
        <v>0</v>
      </c>
      <c r="J336">
        <v>0</v>
      </c>
      <c r="K336">
        <v>0</v>
      </c>
      <c r="L336">
        <f t="shared" si="27"/>
        <v>1</v>
      </c>
      <c r="M336">
        <f t="shared" si="28"/>
        <v>0</v>
      </c>
      <c r="N336" s="119">
        <f t="shared" si="29"/>
        <v>0</v>
      </c>
      <c r="O336" s="119">
        <f t="shared" si="30"/>
        <v>0</v>
      </c>
    </row>
    <row r="337" spans="2:15" ht="42" customHeight="1" x14ac:dyDescent="0.25">
      <c r="B337" s="86" t="s">
        <v>636</v>
      </c>
      <c r="C337" s="87" t="s">
        <v>637</v>
      </c>
      <c r="D337" s="82" t="s">
        <v>374</v>
      </c>
      <c r="E337" s="230">
        <v>1</v>
      </c>
      <c r="F337" s="88">
        <v>828556</v>
      </c>
      <c r="G337" s="89">
        <f t="shared" si="26"/>
        <v>828556</v>
      </c>
      <c r="H337" s="118" t="str">
        <f t="array" ref="H337:K337">_xlfn.XLOOKUP(C337,'ESAP NEIVA FASE II UNIFICADO'!$C$6:$C$720,'ESAP NEIVA FASE II UNIFICADO'!$C$6:$F$720,"NO ESTA")</f>
        <v>SUMINISTRO E INSTALACIÓN TABLERO AUTOMATICO DE 38 CIRCUITOS TIPO PESADO CON PUERTA Y CERRRADURA DE CIERRE, CERRADURA Y ESPACIO TOTALIZADOR INDUSTRIAL (TNP4)</v>
      </c>
      <c r="I337" t="str">
        <v>UN</v>
      </c>
      <c r="J337">
        <v>0</v>
      </c>
      <c r="K337">
        <v>850198</v>
      </c>
      <c r="L337">
        <f t="shared" si="27"/>
        <v>1</v>
      </c>
      <c r="M337">
        <f t="shared" si="28"/>
        <v>828556</v>
      </c>
      <c r="N337" s="119">
        <f t="shared" si="29"/>
        <v>1</v>
      </c>
      <c r="O337" s="119">
        <f t="shared" si="30"/>
        <v>828556</v>
      </c>
    </row>
    <row r="338" spans="2:15" ht="42" customHeight="1" x14ac:dyDescent="0.25">
      <c r="B338" s="86" t="s">
        <v>638</v>
      </c>
      <c r="C338" s="87" t="s">
        <v>639</v>
      </c>
      <c r="D338" s="82" t="s">
        <v>374</v>
      </c>
      <c r="E338" s="230">
        <v>1</v>
      </c>
      <c r="F338" s="88">
        <v>665537</v>
      </c>
      <c r="G338" s="89">
        <f t="shared" si="26"/>
        <v>665537</v>
      </c>
      <c r="H338" s="118" t="str">
        <f t="array" ref="H338:K338">_xlfn.XLOOKUP(C338,'ESAP NEIVA FASE II UNIFICADO'!$C$6:$C$720,'ESAP NEIVA FASE II UNIFICADO'!$C$6:$F$720,"NO ESTA")</f>
        <v xml:space="preserve">SUMINISTRO E INSTALACIÓN TABLERO AUTOMATICO DE 18 CIRCUITOS TIPO PESADO CON PUERTA Y CERRRADURA DE CIERRE, CERRADURA Y ESPACIO TOTALIZADOR INDUSTRIAL CON BARRAJE DE TIERRA AISLADA. </v>
      </c>
      <c r="I338" t="str">
        <v>UN</v>
      </c>
      <c r="J338">
        <v>0</v>
      </c>
      <c r="K338">
        <v>682920</v>
      </c>
      <c r="L338">
        <f t="shared" si="27"/>
        <v>1</v>
      </c>
      <c r="M338">
        <f t="shared" si="28"/>
        <v>665537</v>
      </c>
      <c r="N338" s="119">
        <f t="shared" si="29"/>
        <v>1</v>
      </c>
      <c r="O338" s="119">
        <f t="shared" si="30"/>
        <v>665537</v>
      </c>
    </row>
    <row r="339" spans="2:15" ht="42" customHeight="1" x14ac:dyDescent="0.25">
      <c r="B339" s="86" t="s">
        <v>640</v>
      </c>
      <c r="C339" s="87" t="s">
        <v>641</v>
      </c>
      <c r="D339" s="82" t="s">
        <v>374</v>
      </c>
      <c r="E339" s="230">
        <v>3</v>
      </c>
      <c r="F339" s="88">
        <v>668770</v>
      </c>
      <c r="G339" s="89">
        <f t="shared" si="26"/>
        <v>2006310</v>
      </c>
      <c r="H339" s="118" t="str">
        <f t="array" ref="H339:K339">_xlfn.XLOOKUP(C339,'ESAP NEIVA FASE II UNIFICADO'!$C$6:$C$720,'ESAP NEIVA FASE II UNIFICADO'!$C$6:$F$720,"NO ESTA")</f>
        <v>SUMINISTRO E INSTALACIÓN TABLERO AUTOMATICO DE 24 CIRCUITOS TIPO PESADO CON PUERTA Y CERRRADURA DE CIERRE, CERRADURA Y ESPACIO TOTALIZADOR INDUSTRIAL CON BARRAJE DE TIERRA AISLADA (TNS, TR1, TR2)</v>
      </c>
      <c r="I339" t="str">
        <v>UN</v>
      </c>
      <c r="J339">
        <v>0</v>
      </c>
      <c r="K339">
        <v>686237</v>
      </c>
      <c r="L339">
        <f t="shared" si="27"/>
        <v>1</v>
      </c>
      <c r="M339">
        <f t="shared" si="28"/>
        <v>668770</v>
      </c>
      <c r="N339" s="119">
        <f t="shared" si="29"/>
        <v>3</v>
      </c>
      <c r="O339" s="119">
        <f t="shared" si="30"/>
        <v>2006310</v>
      </c>
    </row>
    <row r="340" spans="2:15" ht="42" customHeight="1" x14ac:dyDescent="0.25">
      <c r="B340" s="86" t="s">
        <v>642</v>
      </c>
      <c r="C340" s="87" t="s">
        <v>643</v>
      </c>
      <c r="D340" s="82" t="s">
        <v>374</v>
      </c>
      <c r="E340" s="230">
        <v>3</v>
      </c>
      <c r="F340" s="88">
        <v>938774</v>
      </c>
      <c r="G340" s="89">
        <f t="shared" si="26"/>
        <v>2816322</v>
      </c>
      <c r="H340" s="118" t="str">
        <f t="array" ref="H340:K340">_xlfn.XLOOKUP(C340,'ESAP NEIVA FASE II UNIFICADO'!$C$6:$C$720,'ESAP NEIVA FASE II UNIFICADO'!$C$6:$F$720,"NO ESTA")</f>
        <v>SUMINISTRO E INSTALACIÓN TABLERO AUTOMATICO DE 42 CIRCUITOS TIPO PESADO CON PUERTA Y CERRRADURA DE CIERRE, CERRADURA Y ESPACIO TOTALIZADOR INDUSTRIAL (TNP1, TNP2, TNP3)</v>
      </c>
      <c r="I340" t="str">
        <v>UN</v>
      </c>
      <c r="J340">
        <v>0</v>
      </c>
      <c r="K340">
        <v>963294</v>
      </c>
      <c r="L340">
        <f t="shared" si="27"/>
        <v>1</v>
      </c>
      <c r="M340">
        <f t="shared" si="28"/>
        <v>938774</v>
      </c>
      <c r="N340" s="119">
        <f t="shared" si="29"/>
        <v>3</v>
      </c>
      <c r="O340" s="119">
        <f t="shared" si="30"/>
        <v>2816322</v>
      </c>
    </row>
    <row r="341" spans="2:15" ht="27" customHeight="1" x14ac:dyDescent="0.25">
      <c r="B341" s="86" t="s">
        <v>644</v>
      </c>
      <c r="C341" s="87" t="s">
        <v>645</v>
      </c>
      <c r="D341" s="82" t="s">
        <v>374</v>
      </c>
      <c r="E341" s="230">
        <v>19</v>
      </c>
      <c r="F341" s="88">
        <v>20032</v>
      </c>
      <c r="G341" s="89">
        <f t="shared" si="26"/>
        <v>380608</v>
      </c>
      <c r="H341" s="118" t="str">
        <f t="array" ref="H341:K341">_xlfn.XLOOKUP(C341,'ESAP NEIVA FASE II UNIFICADO'!$C$6:$C$720,'ESAP NEIVA FASE II UNIFICADO'!$C$6:$F$720,"NO ESTA")</f>
        <v>SUMINISTRO E INSTALACIÓN INTERRUPTORES AUTOMÁTICOS ENCHUFABLES 240 V. 10kA 1x20 AMPS. TIPO ENCHUFABLE 10 Ka 240V.</v>
      </c>
      <c r="I341" t="str">
        <v>UN</v>
      </c>
      <c r="J341">
        <v>51</v>
      </c>
      <c r="K341">
        <v>20555</v>
      </c>
      <c r="L341">
        <f t="shared" si="27"/>
        <v>0</v>
      </c>
      <c r="M341">
        <f t="shared" si="28"/>
        <v>0</v>
      </c>
      <c r="N341" s="119">
        <f t="shared" si="29"/>
        <v>19</v>
      </c>
      <c r="O341" s="119">
        <f t="shared" si="30"/>
        <v>0</v>
      </c>
    </row>
    <row r="342" spans="2:15" ht="27.75" customHeight="1" x14ac:dyDescent="0.25">
      <c r="B342" s="86" t="s">
        <v>646</v>
      </c>
      <c r="C342" s="87" t="s">
        <v>647</v>
      </c>
      <c r="D342" s="82" t="s">
        <v>374</v>
      </c>
      <c r="E342" s="230">
        <v>14</v>
      </c>
      <c r="F342" s="88">
        <v>20032</v>
      </c>
      <c r="G342" s="89">
        <f t="shared" si="26"/>
        <v>280448</v>
      </c>
      <c r="H342" s="118" t="str">
        <f t="array" ref="H342:K342">_xlfn.XLOOKUP(C342,'ESAP NEIVA FASE II UNIFICADO'!$C$6:$C$720,'ESAP NEIVA FASE II UNIFICADO'!$C$6:$F$720,"NO ESTA")</f>
        <v>SUMINISTRO E INSTALACIÓN INTERRUPTORES AUTOMÁTICOS ENCHUFABLES 240 V. 10kA 1x30 AMPS. TIPO ENCHUFABLE 10 Ka 240V.</v>
      </c>
      <c r="I342" t="str">
        <v>UN</v>
      </c>
      <c r="J342">
        <v>36</v>
      </c>
      <c r="K342">
        <v>20555</v>
      </c>
      <c r="L342">
        <f t="shared" si="27"/>
        <v>0</v>
      </c>
      <c r="M342">
        <f t="shared" si="28"/>
        <v>0</v>
      </c>
      <c r="N342" s="119">
        <f t="shared" si="29"/>
        <v>14</v>
      </c>
      <c r="O342" s="119">
        <f t="shared" si="30"/>
        <v>0</v>
      </c>
    </row>
    <row r="343" spans="2:15" ht="30.75" customHeight="1" x14ac:dyDescent="0.25">
      <c r="B343" s="86" t="s">
        <v>648</v>
      </c>
      <c r="C343" s="87" t="s">
        <v>649</v>
      </c>
      <c r="D343" s="82" t="s">
        <v>374</v>
      </c>
      <c r="E343" s="230">
        <v>2</v>
      </c>
      <c r="F343" s="88">
        <v>56563</v>
      </c>
      <c r="G343" s="89">
        <f t="shared" si="26"/>
        <v>113126</v>
      </c>
      <c r="H343" s="118" t="str">
        <f t="array" ref="H343:K343">_xlfn.XLOOKUP(C343,'ESAP NEIVA FASE II UNIFICADO'!$C$6:$C$720,'ESAP NEIVA FASE II UNIFICADO'!$C$6:$F$720,"NO ESTA")</f>
        <v>SUMINISTRO E INSTALACIÓN INTERRUPTORES AUTOMÁTICOS ENCHUFABLES 240 V. 10kA 3x30 AMPS. TIPO ENCHUFABLE 10 Ka 240V.</v>
      </c>
      <c r="I343" t="str">
        <v>UN</v>
      </c>
      <c r="J343">
        <v>4</v>
      </c>
      <c r="K343">
        <v>58041</v>
      </c>
      <c r="L343">
        <f t="shared" si="27"/>
        <v>0</v>
      </c>
      <c r="M343">
        <f t="shared" si="28"/>
        <v>0</v>
      </c>
      <c r="N343" s="119">
        <f t="shared" si="29"/>
        <v>2</v>
      </c>
      <c r="O343" s="119">
        <f t="shared" si="30"/>
        <v>0</v>
      </c>
    </row>
    <row r="344" spans="2:15" ht="27.75" customHeight="1" x14ac:dyDescent="0.25">
      <c r="B344" s="80" t="s">
        <v>650</v>
      </c>
      <c r="C344" s="81" t="s">
        <v>651</v>
      </c>
      <c r="D344" s="82"/>
      <c r="E344" s="230"/>
      <c r="F344" s="104">
        <v>0</v>
      </c>
      <c r="G344" s="89">
        <f t="shared" si="26"/>
        <v>0</v>
      </c>
      <c r="H344" s="118" t="str">
        <f t="array" ref="H344">_xlfn.XLOOKUP(C344,'ESAP NEIVA FASE II UNIFICADO'!$C$6:$C$720,'ESAP NEIVA FASE II UNIFICADO'!$C$6:$F$720,"NO ESTA")</f>
        <v>NO ESTA</v>
      </c>
      <c r="L344">
        <f t="shared" si="27"/>
        <v>1</v>
      </c>
      <c r="M344">
        <f t="shared" si="28"/>
        <v>0</v>
      </c>
      <c r="N344" s="119">
        <f t="shared" si="29"/>
        <v>0</v>
      </c>
      <c r="O344" s="119">
        <f t="shared" si="30"/>
        <v>0</v>
      </c>
    </row>
    <row r="345" spans="2:15" ht="66" customHeight="1" x14ac:dyDescent="0.25">
      <c r="B345" s="86" t="s">
        <v>652</v>
      </c>
      <c r="C345" s="87" t="s">
        <v>653</v>
      </c>
      <c r="D345" s="82" t="s">
        <v>374</v>
      </c>
      <c r="E345" s="230">
        <v>1</v>
      </c>
      <c r="F345" s="88">
        <v>567387</v>
      </c>
      <c r="G345" s="89">
        <f t="shared" si="26"/>
        <v>567387</v>
      </c>
      <c r="H345" s="118" t="str">
        <f t="array" ref="H345">_xlfn.XLOOKUP(C345,'ESAP NEIVA FASE II UNIFICADO'!$C$6:$C$720,'ESAP NEIVA FASE II UNIFICADO'!$C$6:$F$720,"NO ESTA")</f>
        <v>NO ESTA</v>
      </c>
      <c r="L345">
        <f t="shared" si="27"/>
        <v>1</v>
      </c>
      <c r="M345">
        <f t="shared" si="28"/>
        <v>567387</v>
      </c>
      <c r="N345" s="119">
        <f t="shared" si="29"/>
        <v>1</v>
      </c>
      <c r="O345" s="119">
        <f t="shared" si="30"/>
        <v>567387</v>
      </c>
    </row>
    <row r="346" spans="2:15" ht="15" customHeight="1" x14ac:dyDescent="0.25">
      <c r="B346" s="80" t="s">
        <v>654</v>
      </c>
      <c r="C346" s="81" t="s">
        <v>655</v>
      </c>
      <c r="D346" s="82"/>
      <c r="E346" s="230"/>
      <c r="F346" s="104">
        <v>0</v>
      </c>
      <c r="G346" s="89">
        <f t="shared" si="26"/>
        <v>0</v>
      </c>
      <c r="H346" s="118" t="str">
        <f t="array" ref="H346:K346">_xlfn.XLOOKUP(C346,'ESAP NEIVA FASE II UNIFICADO'!$C$6:$C$720,'ESAP NEIVA FASE II UNIFICADO'!$C$6:$F$720,"NO ESTA")</f>
        <v>SUMINISTRO E INSTALACIÓN TABLEROS DE DISTRIBUCIÓN GENERAL</v>
      </c>
      <c r="I346">
        <v>0</v>
      </c>
      <c r="J346">
        <v>0</v>
      </c>
      <c r="K346">
        <v>0</v>
      </c>
      <c r="L346">
        <f t="shared" si="27"/>
        <v>1</v>
      </c>
      <c r="M346">
        <f t="shared" si="28"/>
        <v>0</v>
      </c>
      <c r="N346" s="119">
        <f t="shared" si="29"/>
        <v>0</v>
      </c>
      <c r="O346" s="119">
        <f t="shared" si="30"/>
        <v>0</v>
      </c>
    </row>
    <row r="347" spans="2:15" ht="81" customHeight="1" x14ac:dyDescent="0.25">
      <c r="B347" s="86" t="s">
        <v>656</v>
      </c>
      <c r="C347" s="87" t="s">
        <v>657</v>
      </c>
      <c r="D347" s="82" t="s">
        <v>374</v>
      </c>
      <c r="E347" s="230">
        <v>1</v>
      </c>
      <c r="F347" s="88">
        <v>15376244</v>
      </c>
      <c r="G347" s="89">
        <f t="shared" si="26"/>
        <v>15376244</v>
      </c>
      <c r="H347" s="118" t="str">
        <f t="array" ref="H347">_xlfn.XLOOKUP(C347,'ESAP NEIVA FASE II UNIFICADO'!$C$6:$C$720,'ESAP NEIVA FASE II UNIFICADO'!$C$6:$F$720,"NO ESTA")</f>
        <v>NO ESTA</v>
      </c>
      <c r="L347">
        <f t="shared" si="27"/>
        <v>1</v>
      </c>
      <c r="M347">
        <f t="shared" si="28"/>
        <v>15376244</v>
      </c>
      <c r="N347" s="119">
        <f t="shared" si="29"/>
        <v>1</v>
      </c>
      <c r="O347" s="119">
        <f t="shared" si="30"/>
        <v>15376244</v>
      </c>
    </row>
    <row r="348" spans="2:15" ht="72" customHeight="1" x14ac:dyDescent="0.25">
      <c r="B348" s="86" t="s">
        <v>658</v>
      </c>
      <c r="C348" s="87" t="s">
        <v>659</v>
      </c>
      <c r="D348" s="82" t="s">
        <v>374</v>
      </c>
      <c r="E348" s="230">
        <v>1</v>
      </c>
      <c r="F348" s="88">
        <v>11620247</v>
      </c>
      <c r="G348" s="89">
        <f t="shared" si="26"/>
        <v>11620247</v>
      </c>
      <c r="H348" s="118" t="str">
        <f t="array" ref="H348">_xlfn.XLOOKUP(C348,'ESAP NEIVA FASE II UNIFICADO'!$C$6:$C$720,'ESAP NEIVA FASE II UNIFICADO'!$C$6:$F$720,"NO ESTA")</f>
        <v>NO ESTA</v>
      </c>
      <c r="L348">
        <f t="shared" si="27"/>
        <v>1</v>
      </c>
      <c r="M348">
        <f t="shared" si="28"/>
        <v>11620247</v>
      </c>
      <c r="N348" s="119">
        <f t="shared" si="29"/>
        <v>1</v>
      </c>
      <c r="O348" s="119">
        <f t="shared" si="30"/>
        <v>11620247</v>
      </c>
    </row>
    <row r="349" spans="2:15" ht="69" customHeight="1" x14ac:dyDescent="0.25">
      <c r="B349" s="86" t="s">
        <v>660</v>
      </c>
      <c r="C349" s="87" t="s">
        <v>661</v>
      </c>
      <c r="D349" s="82" t="s">
        <v>374</v>
      </c>
      <c r="E349" s="230">
        <v>1</v>
      </c>
      <c r="F349" s="88">
        <v>13498246</v>
      </c>
      <c r="G349" s="89">
        <f t="shared" si="26"/>
        <v>13498246</v>
      </c>
      <c r="H349" s="118" t="str">
        <f t="array" ref="H349">_xlfn.XLOOKUP(C349,'ESAP NEIVA FASE II UNIFICADO'!$C$6:$C$720,'ESAP NEIVA FASE II UNIFICADO'!$C$6:$F$720,"NO ESTA")</f>
        <v>NO ESTA</v>
      </c>
      <c r="L349">
        <f t="shared" si="27"/>
        <v>1</v>
      </c>
      <c r="M349">
        <f t="shared" si="28"/>
        <v>13498246</v>
      </c>
      <c r="N349" s="119">
        <f t="shared" si="29"/>
        <v>1</v>
      </c>
      <c r="O349" s="119">
        <f t="shared" si="30"/>
        <v>13498246</v>
      </c>
    </row>
    <row r="350" spans="2:15" ht="39" customHeight="1" x14ac:dyDescent="0.25">
      <c r="B350" s="80" t="s">
        <v>662</v>
      </c>
      <c r="C350" s="81" t="s">
        <v>663</v>
      </c>
      <c r="D350" s="82"/>
      <c r="E350" s="230"/>
      <c r="F350" s="104">
        <v>0</v>
      </c>
      <c r="G350" s="89">
        <f t="shared" si="26"/>
        <v>0</v>
      </c>
      <c r="H350" s="118" t="str">
        <f t="array" ref="H350:K350">_xlfn.XLOOKUP(C350,'ESAP NEIVA FASE II UNIFICADO'!$C$6:$C$720,'ESAP NEIVA FASE II UNIFICADO'!$C$6:$F$720,"NO ESTA")</f>
        <v xml:space="preserve">SUMINISTRO E INSTALACIÓN PUESTA A TIERRA TRANSFORMADOR Y SUBESTACIÓN (Incluye preparación de tierra con la solución Sanick Gel para obtener una elevada conductividad eléctrica (ver especificaciones técnicas de diseño anexas) </v>
      </c>
      <c r="I350">
        <v>0</v>
      </c>
      <c r="J350">
        <v>0</v>
      </c>
      <c r="K350">
        <v>0</v>
      </c>
      <c r="L350">
        <f t="shared" si="27"/>
        <v>1</v>
      </c>
      <c r="M350">
        <f t="shared" si="28"/>
        <v>0</v>
      </c>
      <c r="N350" s="119">
        <f t="shared" si="29"/>
        <v>0</v>
      </c>
      <c r="O350" s="119">
        <f t="shared" si="30"/>
        <v>0</v>
      </c>
    </row>
    <row r="351" spans="2:15" ht="15" customHeight="1" x14ac:dyDescent="0.25">
      <c r="B351" s="86" t="s">
        <v>664</v>
      </c>
      <c r="C351" s="87" t="s">
        <v>665</v>
      </c>
      <c r="D351" s="82" t="s">
        <v>269</v>
      </c>
      <c r="E351" s="230">
        <v>35</v>
      </c>
      <c r="F351" s="88">
        <v>23788</v>
      </c>
      <c r="G351" s="89">
        <f t="shared" si="26"/>
        <v>832580</v>
      </c>
      <c r="H351" s="118" t="str">
        <f t="array" ref="H351:K351">_xlfn.XLOOKUP(C351,'ESAP NEIVA FASE II UNIFICADO'!$C$6:$C$720,'ESAP NEIVA FASE II UNIFICADO'!$C$6:$F$720,"NO ESTA")</f>
        <v>SUMINISTRO E INSTALACIÓN CONDUCTOR 2/0 Cu. TEMPLE DURO</v>
      </c>
      <c r="I351" t="str">
        <v xml:space="preserve">ML   </v>
      </c>
      <c r="J351">
        <v>0</v>
      </c>
      <c r="K351">
        <v>24409</v>
      </c>
      <c r="L351">
        <f t="shared" si="27"/>
        <v>1</v>
      </c>
      <c r="M351">
        <f t="shared" si="28"/>
        <v>23788</v>
      </c>
      <c r="N351" s="119">
        <f t="shared" si="29"/>
        <v>35</v>
      </c>
      <c r="O351" s="119">
        <f t="shared" si="30"/>
        <v>832580</v>
      </c>
    </row>
    <row r="352" spans="2:15" ht="28.5" customHeight="1" x14ac:dyDescent="0.25">
      <c r="B352" s="86" t="s">
        <v>666</v>
      </c>
      <c r="C352" s="87" t="s">
        <v>667</v>
      </c>
      <c r="D352" s="82" t="s">
        <v>374</v>
      </c>
      <c r="E352" s="230">
        <v>6</v>
      </c>
      <c r="F352" s="88">
        <v>124386</v>
      </c>
      <c r="G352" s="89">
        <f t="shared" si="26"/>
        <v>746316</v>
      </c>
      <c r="H352" s="118" t="str">
        <f t="array" ref="H352">_xlfn.XLOOKUP(C352,'ESAP NEIVA FASE II UNIFICADO'!$C$6:$C$720,'ESAP NEIVA FASE II UNIFICADO'!$C$6:$F$720,"NO ESTA")</f>
        <v>NO ESTA</v>
      </c>
      <c r="L352">
        <f t="shared" si="27"/>
        <v>1</v>
      </c>
      <c r="M352">
        <f t="shared" si="28"/>
        <v>124386</v>
      </c>
      <c r="N352" s="119">
        <f t="shared" si="29"/>
        <v>6</v>
      </c>
      <c r="O352" s="119">
        <f t="shared" si="30"/>
        <v>746316</v>
      </c>
    </row>
    <row r="353" spans="2:15" ht="38.25" customHeight="1" x14ac:dyDescent="0.25">
      <c r="B353" s="86" t="s">
        <v>668</v>
      </c>
      <c r="C353" s="87" t="s">
        <v>669</v>
      </c>
      <c r="D353" s="82" t="s">
        <v>374</v>
      </c>
      <c r="E353" s="230">
        <v>6</v>
      </c>
      <c r="F353" s="88">
        <v>128763</v>
      </c>
      <c r="G353" s="89">
        <f t="shared" si="26"/>
        <v>772578</v>
      </c>
      <c r="H353" s="118" t="str">
        <f t="array" ref="H353">_xlfn.XLOOKUP(C353,'ESAP NEIVA FASE II UNIFICADO'!$C$6:$C$720,'ESAP NEIVA FASE II UNIFICADO'!$C$6:$F$720,"NO ESTA")</f>
        <v>NO ESTA</v>
      </c>
      <c r="L353">
        <f t="shared" si="27"/>
        <v>1</v>
      </c>
      <c r="M353">
        <f t="shared" si="28"/>
        <v>128763</v>
      </c>
      <c r="N353" s="119">
        <f t="shared" si="29"/>
        <v>6</v>
      </c>
      <c r="O353" s="119">
        <f t="shared" si="30"/>
        <v>772578</v>
      </c>
    </row>
    <row r="354" spans="2:15" ht="42.75" customHeight="1" x14ac:dyDescent="0.25">
      <c r="B354" s="86" t="s">
        <v>670</v>
      </c>
      <c r="C354" s="87" t="s">
        <v>671</v>
      </c>
      <c r="D354" s="82" t="s">
        <v>374</v>
      </c>
      <c r="E354" s="230">
        <v>2</v>
      </c>
      <c r="F354" s="88">
        <v>128763</v>
      </c>
      <c r="G354" s="89">
        <f t="shared" si="26"/>
        <v>257526</v>
      </c>
      <c r="H354" s="118" t="str">
        <f t="array" ref="H354">_xlfn.XLOOKUP(C354,'ESAP NEIVA FASE II UNIFICADO'!$C$6:$C$720,'ESAP NEIVA FASE II UNIFICADO'!$C$6:$F$720,"NO ESTA")</f>
        <v>NO ESTA</v>
      </c>
      <c r="L354">
        <f t="shared" si="27"/>
        <v>1</v>
      </c>
      <c r="M354">
        <f t="shared" si="28"/>
        <v>128763</v>
      </c>
      <c r="N354" s="119">
        <f t="shared" si="29"/>
        <v>2</v>
      </c>
      <c r="O354" s="119">
        <f t="shared" si="30"/>
        <v>257526</v>
      </c>
    </row>
    <row r="355" spans="2:15" ht="79.5" customHeight="1" x14ac:dyDescent="0.25">
      <c r="B355" s="86" t="s">
        <v>672</v>
      </c>
      <c r="C355" s="87" t="s">
        <v>673</v>
      </c>
      <c r="D355" s="82" t="s">
        <v>16</v>
      </c>
      <c r="E355" s="230">
        <v>6</v>
      </c>
      <c r="F355" s="88">
        <v>162630</v>
      </c>
      <c r="G355" s="89">
        <f t="shared" si="26"/>
        <v>975780</v>
      </c>
      <c r="H355" s="118" t="str">
        <f t="array" ref="H355">_xlfn.XLOOKUP(C355,'ESAP NEIVA FASE II UNIFICADO'!$C$6:$C$720,'ESAP NEIVA FASE II UNIFICADO'!$C$6:$F$720,"NO ESTA")</f>
        <v>NO ESTA</v>
      </c>
      <c r="L355">
        <f t="shared" si="27"/>
        <v>1</v>
      </c>
      <c r="M355">
        <f t="shared" si="28"/>
        <v>162630</v>
      </c>
      <c r="N355" s="119">
        <f t="shared" si="29"/>
        <v>6</v>
      </c>
      <c r="O355" s="119">
        <f t="shared" si="30"/>
        <v>975780</v>
      </c>
    </row>
    <row r="356" spans="2:15" ht="41.25" customHeight="1" x14ac:dyDescent="0.25">
      <c r="B356" s="80" t="s">
        <v>674</v>
      </c>
      <c r="C356" s="81" t="s">
        <v>675</v>
      </c>
      <c r="D356" s="82"/>
      <c r="E356" s="230"/>
      <c r="F356" s="104">
        <v>0</v>
      </c>
      <c r="G356" s="89">
        <f t="shared" si="26"/>
        <v>0</v>
      </c>
      <c r="H356" s="118" t="str">
        <f t="array" ref="H356:K356">_xlfn.XLOOKUP(C356,'ESAP NEIVA FASE II UNIFICADO'!$C$6:$C$720,'ESAP NEIVA FASE II UNIFICADO'!$C$6:$F$720,"NO ESTA")</f>
        <v xml:space="preserve">SUMINISTRO E INSTALACIÓN PUESTA A TIERRA TABLERO DE DISTRIBUCIÓN Y GENERAL (Incluye preparación de tierra con la solución Sanick Gel para obtener una elevada conductividad eléctrica (ver especificaciones técnicas de diseño anexas) </v>
      </c>
      <c r="I356">
        <v>0</v>
      </c>
      <c r="J356">
        <v>0</v>
      </c>
      <c r="K356">
        <v>0</v>
      </c>
      <c r="L356">
        <f t="shared" si="27"/>
        <v>1</v>
      </c>
      <c r="M356">
        <f t="shared" si="28"/>
        <v>0</v>
      </c>
      <c r="N356" s="119">
        <f t="shared" si="29"/>
        <v>0</v>
      </c>
      <c r="O356" s="119">
        <f t="shared" si="30"/>
        <v>0</v>
      </c>
    </row>
    <row r="357" spans="2:15" ht="15" customHeight="1" x14ac:dyDescent="0.25">
      <c r="B357" s="86" t="s">
        <v>676</v>
      </c>
      <c r="C357" s="87" t="s">
        <v>677</v>
      </c>
      <c r="D357" s="82" t="s">
        <v>269</v>
      </c>
      <c r="E357" s="230">
        <v>10</v>
      </c>
      <c r="F357" s="88">
        <v>7012</v>
      </c>
      <c r="G357" s="89">
        <f t="shared" si="26"/>
        <v>70120</v>
      </c>
      <c r="H357" s="118" t="str">
        <f t="array" ref="H357:K357">_xlfn.XLOOKUP(C357,'ESAP NEIVA FASE II UNIFICADO'!$C$6:$C$720,'ESAP NEIVA FASE II UNIFICADO'!$C$6:$F$720,"NO ESTA")</f>
        <v>SUMINISTRO E INSTALACIÓN CONDUCTOR 6 Cu TEMPLE DURO</v>
      </c>
      <c r="I357" t="str">
        <v xml:space="preserve">ML   </v>
      </c>
      <c r="J357">
        <v>0</v>
      </c>
      <c r="K357">
        <v>7194</v>
      </c>
      <c r="L357">
        <f t="shared" si="27"/>
        <v>1</v>
      </c>
      <c r="M357">
        <f t="shared" si="28"/>
        <v>7012</v>
      </c>
      <c r="N357" s="119">
        <f t="shared" si="29"/>
        <v>10</v>
      </c>
      <c r="O357" s="119">
        <f t="shared" si="30"/>
        <v>70120</v>
      </c>
    </row>
    <row r="358" spans="2:15" ht="25.5" customHeight="1" x14ac:dyDescent="0.25">
      <c r="B358" s="86" t="s">
        <v>678</v>
      </c>
      <c r="C358" s="87" t="s">
        <v>679</v>
      </c>
      <c r="D358" s="82" t="s">
        <v>374</v>
      </c>
      <c r="E358" s="230">
        <v>1</v>
      </c>
      <c r="F358" s="88">
        <v>124386</v>
      </c>
      <c r="G358" s="89">
        <f t="shared" si="26"/>
        <v>124386</v>
      </c>
      <c r="H358" s="118" t="str">
        <f t="array" ref="H358:K358">_xlfn.XLOOKUP(C358,'ESAP NEIVA FASE II UNIFICADO'!$C$6:$C$720,'ESAP NEIVA FASE II UNIFICADO'!$C$6:$F$720,"NO ESTA")</f>
        <v>SUMINISTRO E INSTALACIÓN ELECTRODO DE PUESTA A TIERRA EN VARILLA DE COBRE DE 5/8" X 2.40 M</v>
      </c>
      <c r="I358" t="str">
        <v>UN</v>
      </c>
      <c r="J358">
        <v>0</v>
      </c>
      <c r="K358">
        <v>127634</v>
      </c>
      <c r="L358">
        <f t="shared" si="27"/>
        <v>1</v>
      </c>
      <c r="M358">
        <f t="shared" si="28"/>
        <v>124386</v>
      </c>
      <c r="N358" s="119">
        <f t="shared" si="29"/>
        <v>1</v>
      </c>
      <c r="O358" s="119">
        <f t="shared" si="30"/>
        <v>124386</v>
      </c>
    </row>
    <row r="359" spans="2:15" ht="40.5" customHeight="1" x14ac:dyDescent="0.25">
      <c r="B359" s="86" t="s">
        <v>680</v>
      </c>
      <c r="C359" s="87" t="s">
        <v>681</v>
      </c>
      <c r="D359" s="82" t="s">
        <v>374</v>
      </c>
      <c r="E359" s="230">
        <v>1</v>
      </c>
      <c r="F359" s="88">
        <v>128763</v>
      </c>
      <c r="G359" s="89">
        <f t="shared" si="26"/>
        <v>128763</v>
      </c>
      <c r="H359" s="118" t="str">
        <f t="array" ref="H359:K359">_xlfn.XLOOKUP(C359,'ESAP NEIVA FASE II UNIFICADO'!$C$6:$C$720,'ESAP NEIVA FASE II UNIFICADO'!$C$6:$F$720,"NO ESTA")</f>
        <v>SUMINISTRO E INSTALACIÓN CONEXIÓN TERMOSOLDADA DE VARILLA A CABLE DE COBRE DESNUDO # 6 AWG, INCLUYE SUMINISTRO DE MOLDE, FÚNDENTE Y DEMÁS ACCESORIOS.</v>
      </c>
      <c r="I359" t="str">
        <v>UN</v>
      </c>
      <c r="J359">
        <v>0</v>
      </c>
      <c r="K359">
        <v>132126</v>
      </c>
      <c r="L359">
        <f t="shared" si="27"/>
        <v>1</v>
      </c>
      <c r="M359">
        <f t="shared" si="28"/>
        <v>128763</v>
      </c>
      <c r="N359" s="119">
        <f t="shared" si="29"/>
        <v>1</v>
      </c>
      <c r="O359" s="119">
        <f t="shared" si="30"/>
        <v>128763</v>
      </c>
    </row>
    <row r="360" spans="2:15" ht="43.5" customHeight="1" x14ac:dyDescent="0.25">
      <c r="B360" s="86" t="s">
        <v>682</v>
      </c>
      <c r="C360" s="87" t="s">
        <v>683</v>
      </c>
      <c r="D360" s="82" t="s">
        <v>374</v>
      </c>
      <c r="E360" s="230">
        <v>2</v>
      </c>
      <c r="F360" s="88">
        <v>128763</v>
      </c>
      <c r="G360" s="89">
        <f t="shared" si="26"/>
        <v>257526</v>
      </c>
      <c r="H360" s="118" t="str">
        <f t="array" ref="H360">_xlfn.XLOOKUP(C360,'ESAP NEIVA FASE II UNIFICADO'!$C$6:$C$720,'ESAP NEIVA FASE II UNIFICADO'!$C$6:$F$720,"NO ESTA")</f>
        <v>NO ESTA</v>
      </c>
      <c r="L360">
        <f t="shared" si="27"/>
        <v>1</v>
      </c>
      <c r="M360">
        <f t="shared" si="28"/>
        <v>128763</v>
      </c>
      <c r="N360" s="119">
        <f t="shared" si="29"/>
        <v>2</v>
      </c>
      <c r="O360" s="119">
        <f t="shared" si="30"/>
        <v>257526</v>
      </c>
    </row>
    <row r="361" spans="2:15" ht="79.5" customHeight="1" x14ac:dyDescent="0.25">
      <c r="B361" s="86" t="s">
        <v>684</v>
      </c>
      <c r="C361" s="87" t="s">
        <v>673</v>
      </c>
      <c r="D361" s="82" t="s">
        <v>374</v>
      </c>
      <c r="E361" s="230">
        <v>1</v>
      </c>
      <c r="F361" s="88">
        <v>162630</v>
      </c>
      <c r="G361" s="89">
        <f t="shared" si="26"/>
        <v>162630</v>
      </c>
      <c r="H361" s="118" t="str">
        <f t="array" ref="H361">_xlfn.XLOOKUP(C361,'ESAP NEIVA FASE II UNIFICADO'!$C$6:$C$720,'ESAP NEIVA FASE II UNIFICADO'!$C$6:$F$720,"NO ESTA")</f>
        <v>NO ESTA</v>
      </c>
      <c r="L361">
        <f t="shared" si="27"/>
        <v>1</v>
      </c>
      <c r="M361">
        <f t="shared" si="28"/>
        <v>162630</v>
      </c>
      <c r="N361" s="119">
        <f t="shared" si="29"/>
        <v>1</v>
      </c>
      <c r="O361" s="119">
        <f t="shared" si="30"/>
        <v>162630</v>
      </c>
    </row>
    <row r="362" spans="2:15" ht="40.5" customHeight="1" x14ac:dyDescent="0.25">
      <c r="B362" s="80" t="s">
        <v>685</v>
      </c>
      <c r="C362" s="81" t="s">
        <v>686</v>
      </c>
      <c r="D362" s="82"/>
      <c r="E362" s="230"/>
      <c r="F362" s="104">
        <v>0</v>
      </c>
      <c r="G362" s="89">
        <f t="shared" si="26"/>
        <v>0</v>
      </c>
      <c r="H362" s="118" t="str">
        <f t="array" ref="H362:K362">_xlfn.XLOOKUP(C362,'ESAP NEIVA FASE II UNIFICADO'!$C$6:$C$720,'ESAP NEIVA FASE II UNIFICADO'!$C$6:$F$720,"NO ESTA")</f>
        <v xml:space="preserve">SUMINISTRO E INSTALACIÓN PUESTA A TIERRA PLANTA GENERADORA (Incluye preparación de tierra con la solución Sanick Gel para obtener una elevada conductividad eléctrica (ver especificaciones técnicas de diseño anexas) </v>
      </c>
      <c r="I362">
        <v>0</v>
      </c>
      <c r="J362">
        <v>0</v>
      </c>
      <c r="K362">
        <v>0</v>
      </c>
      <c r="L362">
        <f t="shared" si="27"/>
        <v>1</v>
      </c>
      <c r="M362">
        <f t="shared" si="28"/>
        <v>0</v>
      </c>
      <c r="N362" s="119">
        <f t="shared" si="29"/>
        <v>0</v>
      </c>
      <c r="O362" s="119">
        <f t="shared" si="30"/>
        <v>0</v>
      </c>
    </row>
    <row r="363" spans="2:15" ht="15" customHeight="1" x14ac:dyDescent="0.25">
      <c r="B363" s="86" t="s">
        <v>687</v>
      </c>
      <c r="C363" s="87" t="s">
        <v>665</v>
      </c>
      <c r="D363" s="82" t="s">
        <v>269</v>
      </c>
      <c r="E363" s="230">
        <v>8</v>
      </c>
      <c r="F363" s="88">
        <v>23788</v>
      </c>
      <c r="G363" s="89">
        <f t="shared" si="26"/>
        <v>190304</v>
      </c>
      <c r="H363" s="118" t="str">
        <f t="array" ref="H363:K363">_xlfn.XLOOKUP(C363,'ESAP NEIVA FASE II UNIFICADO'!$C$6:$C$720,'ESAP NEIVA FASE II UNIFICADO'!$C$6:$F$720,"NO ESTA")</f>
        <v>SUMINISTRO E INSTALACIÓN CONDUCTOR 2/0 Cu. TEMPLE DURO</v>
      </c>
      <c r="I363" t="str">
        <v xml:space="preserve">ML   </v>
      </c>
      <c r="J363">
        <v>0</v>
      </c>
      <c r="K363">
        <v>24409</v>
      </c>
      <c r="L363">
        <f t="shared" si="27"/>
        <v>1</v>
      </c>
      <c r="M363">
        <f t="shared" si="28"/>
        <v>23788</v>
      </c>
      <c r="N363" s="119">
        <f t="shared" si="29"/>
        <v>8</v>
      </c>
      <c r="O363" s="119">
        <f t="shared" si="30"/>
        <v>190304</v>
      </c>
    </row>
    <row r="364" spans="2:15" ht="68.25" customHeight="1" x14ac:dyDescent="0.25">
      <c r="B364" s="86" t="s">
        <v>688</v>
      </c>
      <c r="C364" s="87" t="s">
        <v>689</v>
      </c>
      <c r="D364" s="82" t="s">
        <v>374</v>
      </c>
      <c r="E364" s="230">
        <v>1</v>
      </c>
      <c r="F364" s="88">
        <v>689792</v>
      </c>
      <c r="G364" s="89">
        <f t="shared" si="26"/>
        <v>689792</v>
      </c>
      <c r="H364" s="118" t="str">
        <f t="array" ref="H364">_xlfn.XLOOKUP(C364,'ESAP NEIVA FASE II UNIFICADO'!$C$6:$C$720,'ESAP NEIVA FASE II UNIFICADO'!$C$6:$F$720,"NO ESTA")</f>
        <v>NO ESTA</v>
      </c>
      <c r="L364">
        <f t="shared" si="27"/>
        <v>1</v>
      </c>
      <c r="M364">
        <f t="shared" si="28"/>
        <v>689792</v>
      </c>
      <c r="N364" s="119">
        <f t="shared" si="29"/>
        <v>1</v>
      </c>
      <c r="O364" s="119">
        <f t="shared" si="30"/>
        <v>689792</v>
      </c>
    </row>
    <row r="365" spans="2:15" ht="34.5" customHeight="1" x14ac:dyDescent="0.25">
      <c r="B365" s="80" t="s">
        <v>690</v>
      </c>
      <c r="C365" s="81" t="s">
        <v>691</v>
      </c>
      <c r="D365" s="82"/>
      <c r="E365" s="230"/>
      <c r="F365" s="104">
        <v>0</v>
      </c>
      <c r="G365" s="89">
        <f t="shared" si="26"/>
        <v>0</v>
      </c>
      <c r="H365" s="118" t="str">
        <f t="array" ref="H365:K365">_xlfn.XLOOKUP(C365,'ESAP NEIVA FASE II UNIFICADO'!$C$6:$C$720,'ESAP NEIVA FASE II UNIFICADO'!$C$6:$F$720,"NO ESTA")</f>
        <v>SISTEMA DE PROTECCIÓN EXTERNA CONTRA DESCARGAS ATMOSFÉRICAS BAJANTES DE PARARRAYOS DESDE CUBIERTA A TERRENO</v>
      </c>
      <c r="I365">
        <v>0</v>
      </c>
      <c r="J365">
        <v>0</v>
      </c>
      <c r="K365">
        <v>0</v>
      </c>
      <c r="L365">
        <f t="shared" si="27"/>
        <v>1</v>
      </c>
      <c r="M365">
        <f t="shared" si="28"/>
        <v>0</v>
      </c>
      <c r="N365" s="119">
        <f t="shared" si="29"/>
        <v>0</v>
      </c>
      <c r="O365" s="119">
        <f t="shared" si="30"/>
        <v>0</v>
      </c>
    </row>
    <row r="366" spans="2:15" ht="30" customHeight="1" x14ac:dyDescent="0.25">
      <c r="B366" s="86" t="s">
        <v>692</v>
      </c>
      <c r="C366" s="87" t="s">
        <v>693</v>
      </c>
      <c r="D366" s="82" t="s">
        <v>269</v>
      </c>
      <c r="E366" s="230">
        <v>65</v>
      </c>
      <c r="F366" s="88">
        <v>4633</v>
      </c>
      <c r="G366" s="89">
        <f t="shared" si="26"/>
        <v>301145</v>
      </c>
      <c r="H366" s="118" t="str">
        <f t="array" ref="H366:K366">_xlfn.XLOOKUP(C366,'ESAP NEIVA FASE II UNIFICADO'!$C$6:$C$720,'ESAP NEIVA FASE II UNIFICADO'!$C$6:$F$720,"NO ESTA")</f>
        <v>SUMINISTRO E INSTALACIÓN TENDIDO DE TUBERÍA Ø 3/4” PVC EMBEBIDO EN LAS COLUMNAS DE CONCRETO, DESDE LA CUBIERTA HASTA EL TERRENO.</v>
      </c>
      <c r="I366" t="str">
        <v xml:space="preserve">ML   </v>
      </c>
      <c r="J366">
        <v>0</v>
      </c>
      <c r="K366">
        <v>4755</v>
      </c>
      <c r="L366">
        <f t="shared" si="27"/>
        <v>1</v>
      </c>
      <c r="M366">
        <f t="shared" si="28"/>
        <v>4633</v>
      </c>
      <c r="N366" s="119">
        <f t="shared" si="29"/>
        <v>65</v>
      </c>
      <c r="O366" s="119">
        <f t="shared" si="30"/>
        <v>301145</v>
      </c>
    </row>
    <row r="367" spans="2:15" ht="30" customHeight="1" x14ac:dyDescent="0.25">
      <c r="B367" s="86" t="s">
        <v>694</v>
      </c>
      <c r="C367" s="87" t="s">
        <v>695</v>
      </c>
      <c r="D367" s="82" t="s">
        <v>269</v>
      </c>
      <c r="E367" s="230">
        <v>69</v>
      </c>
      <c r="F367" s="88">
        <v>14398</v>
      </c>
      <c r="G367" s="89">
        <f t="shared" si="26"/>
        <v>993462</v>
      </c>
      <c r="H367" s="118" t="str">
        <f t="array" ref="H367:K367">_xlfn.XLOOKUP(C367,'ESAP NEIVA FASE II UNIFICADO'!$C$6:$C$720,'ESAP NEIVA FASE II UNIFICADO'!$C$6:$F$720,"NO ESTA")</f>
        <v>SUMINISTRO E INSTALACIÓN TENDIDO DE CONDUCTOR DE COBRE DESNUDO # 2 AWG, DESDE LA CUBIERTA HASTA EL TERRENO POR LAS BAJANTES.</v>
      </c>
      <c r="I367" t="str">
        <v xml:space="preserve">ML   </v>
      </c>
      <c r="J367">
        <v>0</v>
      </c>
      <c r="K367">
        <v>14774</v>
      </c>
      <c r="L367">
        <f t="shared" si="27"/>
        <v>1</v>
      </c>
      <c r="M367">
        <f t="shared" si="28"/>
        <v>14398</v>
      </c>
      <c r="N367" s="119">
        <f t="shared" si="29"/>
        <v>69</v>
      </c>
      <c r="O367" s="119">
        <f t="shared" si="30"/>
        <v>993462</v>
      </c>
    </row>
    <row r="368" spans="2:15" ht="45" customHeight="1" x14ac:dyDescent="0.25">
      <c r="B368" s="86" t="s">
        <v>696</v>
      </c>
      <c r="C368" s="87" t="s">
        <v>697</v>
      </c>
      <c r="D368" s="82" t="s">
        <v>269</v>
      </c>
      <c r="E368" s="230">
        <v>244</v>
      </c>
      <c r="F368" s="88">
        <v>5259</v>
      </c>
      <c r="G368" s="89">
        <f t="shared" si="26"/>
        <v>1283196</v>
      </c>
      <c r="H368" s="118" t="str">
        <f t="array" ref="H368:K368">_xlfn.XLOOKUP(C368,'ESAP NEIVA FASE II UNIFICADO'!$C$6:$C$720,'ESAP NEIVA FASE II UNIFICADO'!$C$6:$F$720,"NO ESTA")</f>
        <v>SUMINISTRO E INSTALACIÓN TENDIDO DE ALAMBRON 8MM SOBREPUESTO EN LOS BORDES DE LA CUBIERTA PARA INTERCONEXIÓN DE PUNTAS CAPTADORAS Y BAJANTES A MALLA A TIERRA.</v>
      </c>
      <c r="I368" t="str">
        <v xml:space="preserve">ML   </v>
      </c>
      <c r="J368">
        <v>0</v>
      </c>
      <c r="K368">
        <v>5396</v>
      </c>
      <c r="L368">
        <f t="shared" si="27"/>
        <v>1</v>
      </c>
      <c r="M368">
        <f t="shared" si="28"/>
        <v>5259</v>
      </c>
      <c r="N368" s="119">
        <f t="shared" si="29"/>
        <v>244</v>
      </c>
      <c r="O368" s="119">
        <f t="shared" si="30"/>
        <v>1283196</v>
      </c>
    </row>
    <row r="369" spans="2:15" ht="45" customHeight="1" x14ac:dyDescent="0.25">
      <c r="B369" s="86" t="s">
        <v>698</v>
      </c>
      <c r="C369" s="87" t="s">
        <v>699</v>
      </c>
      <c r="D369" s="82" t="s">
        <v>269</v>
      </c>
      <c r="E369" s="230">
        <v>190</v>
      </c>
      <c r="F369" s="88">
        <v>14398</v>
      </c>
      <c r="G369" s="89">
        <f t="shared" si="26"/>
        <v>2735620</v>
      </c>
      <c r="H369" s="118" t="str">
        <f t="array" ref="H369">_xlfn.XLOOKUP(C369,'ESAP NEIVA FASE II UNIFICADO'!$C$6:$C$720,'ESAP NEIVA FASE II UNIFICADO'!$C$6:$F$720,"NO ESTA")</f>
        <v>NO ESTA</v>
      </c>
      <c r="L369">
        <f t="shared" si="27"/>
        <v>1</v>
      </c>
      <c r="M369">
        <f t="shared" si="28"/>
        <v>14398</v>
      </c>
      <c r="N369" s="119">
        <f t="shared" si="29"/>
        <v>190</v>
      </c>
      <c r="O369" s="119">
        <f t="shared" si="30"/>
        <v>2735620</v>
      </c>
    </row>
    <row r="370" spans="2:15" ht="68.25" customHeight="1" x14ac:dyDescent="0.25">
      <c r="B370" s="86" t="s">
        <v>700</v>
      </c>
      <c r="C370" s="87" t="s">
        <v>701</v>
      </c>
      <c r="D370" s="82" t="s">
        <v>374</v>
      </c>
      <c r="E370" s="230">
        <v>14</v>
      </c>
      <c r="F370" s="88">
        <v>208455</v>
      </c>
      <c r="G370" s="89">
        <f t="shared" si="26"/>
        <v>2918370</v>
      </c>
      <c r="H370" s="118" t="str">
        <f t="array" ref="H370">_xlfn.XLOOKUP(C370,'ESAP NEIVA FASE II UNIFICADO'!$C$6:$C$720,'ESAP NEIVA FASE II UNIFICADO'!$C$6:$F$720,"NO ESTA")</f>
        <v>NO ESTA</v>
      </c>
      <c r="L370">
        <f t="shared" si="27"/>
        <v>1</v>
      </c>
      <c r="M370">
        <f t="shared" si="28"/>
        <v>208455</v>
      </c>
      <c r="N370" s="119">
        <f t="shared" si="29"/>
        <v>14</v>
      </c>
      <c r="O370" s="119">
        <f t="shared" si="30"/>
        <v>2918370</v>
      </c>
    </row>
    <row r="371" spans="2:15" ht="35.25" customHeight="1" x14ac:dyDescent="0.25">
      <c r="B371" s="86" t="s">
        <v>702</v>
      </c>
      <c r="C371" s="87" t="s">
        <v>703</v>
      </c>
      <c r="D371" s="82" t="s">
        <v>374</v>
      </c>
      <c r="E371" s="230">
        <v>86</v>
      </c>
      <c r="F371" s="88">
        <v>20574</v>
      </c>
      <c r="G371" s="89">
        <f t="shared" si="26"/>
        <v>1769364</v>
      </c>
      <c r="H371" s="118" t="str">
        <f t="array" ref="H371:K371">_xlfn.XLOOKUP(C371,'ESAP NEIVA FASE II UNIFICADO'!$C$6:$C$720,'ESAP NEIVA FASE II UNIFICADO'!$C$6:$F$720,"NO ESTA")</f>
        <v>SUMINISTRO E INSTALACIÓN ABRAZADERAS DE BRONCE PARA SOPORTAR EL CABLE AL MURO DE CONCRETO APROBADAS PARA INTEMPERIE.</v>
      </c>
      <c r="I371" t="str">
        <v>UN</v>
      </c>
      <c r="J371">
        <v>0</v>
      </c>
      <c r="K371">
        <v>21111</v>
      </c>
      <c r="L371">
        <f t="shared" si="27"/>
        <v>1</v>
      </c>
      <c r="M371">
        <f t="shared" si="28"/>
        <v>20574</v>
      </c>
      <c r="N371" s="119">
        <f t="shared" si="29"/>
        <v>86</v>
      </c>
      <c r="O371" s="119">
        <f t="shared" si="30"/>
        <v>1769364</v>
      </c>
    </row>
    <row r="372" spans="2:15" ht="35.25" customHeight="1" x14ac:dyDescent="0.25">
      <c r="B372" s="86" t="s">
        <v>704</v>
      </c>
      <c r="C372" s="87" t="s">
        <v>705</v>
      </c>
      <c r="D372" s="82" t="s">
        <v>374</v>
      </c>
      <c r="E372" s="230">
        <v>4</v>
      </c>
      <c r="F372" s="88">
        <v>25530</v>
      </c>
      <c r="G372" s="89">
        <f t="shared" si="26"/>
        <v>102120</v>
      </c>
      <c r="H372" s="118" t="str">
        <f t="array" ref="H372:K372">_xlfn.XLOOKUP(C372,'ESAP NEIVA FASE II UNIFICADO'!$C$6:$C$720,'ESAP NEIVA FASE II UNIFICADO'!$C$6:$F$720,"NO ESTA")</f>
        <v>SUMINISTRO E INSTALACIÓN GRAPA DERIVACIÓN EN T DE BRONCE PARA SOPORTAR EL CABLE AL MURO DE CONCRETO APROBADAS PARA INTEMPERIE.</v>
      </c>
      <c r="I372" t="str">
        <v>UN</v>
      </c>
      <c r="J372">
        <v>0</v>
      </c>
      <c r="K372">
        <v>26196</v>
      </c>
      <c r="L372">
        <f t="shared" si="27"/>
        <v>1</v>
      </c>
      <c r="M372">
        <f t="shared" si="28"/>
        <v>25530</v>
      </c>
      <c r="N372" s="119">
        <f t="shared" si="29"/>
        <v>4</v>
      </c>
      <c r="O372" s="119">
        <f t="shared" si="30"/>
        <v>102120</v>
      </c>
    </row>
    <row r="373" spans="2:15" ht="35.25" customHeight="1" x14ac:dyDescent="0.25">
      <c r="B373" s="86" t="s">
        <v>706</v>
      </c>
      <c r="C373" s="87" t="s">
        <v>707</v>
      </c>
      <c r="D373" s="82" t="s">
        <v>374</v>
      </c>
      <c r="E373" s="230">
        <v>4</v>
      </c>
      <c r="F373" s="88">
        <v>209505</v>
      </c>
      <c r="G373" s="89">
        <f t="shared" si="26"/>
        <v>838020</v>
      </c>
      <c r="H373" s="118" t="str">
        <f t="array" ref="H373:K373">_xlfn.XLOOKUP(C373,'ESAP NEIVA FASE II UNIFICADO'!$C$6:$C$720,'ESAP NEIVA FASE II UNIFICADO'!$C$6:$F$720,"NO ESTA")</f>
        <v>SUMINISTRO E INSTALACIÓN ELECTRODO DE PUESTA A TIERRA EN CU DE 5/8"X 8' + CONECTOR</v>
      </c>
      <c r="I373" t="str">
        <v>UN</v>
      </c>
      <c r="J373">
        <v>0</v>
      </c>
      <c r="K373">
        <v>214977</v>
      </c>
      <c r="L373">
        <f t="shared" si="27"/>
        <v>1</v>
      </c>
      <c r="M373">
        <f t="shared" si="28"/>
        <v>209505</v>
      </c>
      <c r="N373" s="119">
        <f t="shared" si="29"/>
        <v>4</v>
      </c>
      <c r="O373" s="119">
        <f t="shared" si="30"/>
        <v>838020</v>
      </c>
    </row>
    <row r="374" spans="2:15" ht="35.25" customHeight="1" x14ac:dyDescent="0.25">
      <c r="B374" s="86" t="s">
        <v>708</v>
      </c>
      <c r="C374" s="87" t="s">
        <v>709</v>
      </c>
      <c r="D374" s="82" t="s">
        <v>374</v>
      </c>
      <c r="E374" s="230">
        <v>4</v>
      </c>
      <c r="F374" s="88">
        <v>128763</v>
      </c>
      <c r="G374" s="89">
        <f t="shared" si="26"/>
        <v>515052</v>
      </c>
      <c r="H374" s="118" t="str">
        <f t="array" ref="H374:K374">_xlfn.XLOOKUP(C374,'ESAP NEIVA FASE II UNIFICADO'!$C$6:$C$720,'ESAP NEIVA FASE II UNIFICADO'!$C$6:$F$720,"NO ESTA")</f>
        <v>SUMINISTRO E INSTALACIÓN CONEXIÓN EXOTÉRMICA VARILLA-CABLE CALIBRE #2 AWG. INCLUYE SUMINISTRO DE MOLDE FÚNDENTE Y DEMÁS ACCESORIOS.</v>
      </c>
      <c r="I374" t="str">
        <v>UN</v>
      </c>
      <c r="J374">
        <v>0</v>
      </c>
      <c r="K374">
        <v>132126</v>
      </c>
      <c r="L374">
        <f t="shared" si="27"/>
        <v>1</v>
      </c>
      <c r="M374">
        <f t="shared" si="28"/>
        <v>128763</v>
      </c>
      <c r="N374" s="119">
        <f t="shared" si="29"/>
        <v>4</v>
      </c>
      <c r="O374" s="119">
        <f t="shared" si="30"/>
        <v>515052</v>
      </c>
    </row>
    <row r="375" spans="2:15" ht="44.25" customHeight="1" x14ac:dyDescent="0.25">
      <c r="B375" s="86" t="s">
        <v>710</v>
      </c>
      <c r="C375" s="87" t="s">
        <v>711</v>
      </c>
      <c r="D375" s="82" t="s">
        <v>374</v>
      </c>
      <c r="E375" s="230">
        <v>4</v>
      </c>
      <c r="F375" s="88">
        <v>256047</v>
      </c>
      <c r="G375" s="89">
        <f t="shared" si="26"/>
        <v>1024188</v>
      </c>
      <c r="H375" s="118" t="str">
        <f t="array" ref="H375">_xlfn.XLOOKUP(C375,'ESAP NEIVA FASE II UNIFICADO'!$C$6:$C$720,'ESAP NEIVA FASE II UNIFICADO'!$C$6:$F$720,"NO ESTA")</f>
        <v>NO ESTA</v>
      </c>
      <c r="L375">
        <f t="shared" si="27"/>
        <v>1</v>
      </c>
      <c r="M375">
        <f t="shared" si="28"/>
        <v>256047</v>
      </c>
      <c r="N375" s="119">
        <f t="shared" si="29"/>
        <v>4</v>
      </c>
      <c r="O375" s="119">
        <f t="shared" si="30"/>
        <v>1024188</v>
      </c>
    </row>
    <row r="376" spans="2:15" ht="15" customHeight="1" x14ac:dyDescent="0.25">
      <c r="B376" s="74">
        <v>16</v>
      </c>
      <c r="C376" s="75" t="s">
        <v>712</v>
      </c>
      <c r="D376" s="76"/>
      <c r="E376" s="229"/>
      <c r="F376" s="78">
        <v>0</v>
      </c>
      <c r="G376" s="89">
        <f t="shared" si="26"/>
        <v>0</v>
      </c>
      <c r="H376" s="118" t="str">
        <f t="array" ref="H376:K376">_xlfn.XLOOKUP(C376,'ESAP NEIVA FASE II UNIFICADO'!$C$6:$C$720,'ESAP NEIVA FASE II UNIFICADO'!$C$6:$F$720,"NO ESTA")</f>
        <v>LUMINARIAS Y LAMPARAS</v>
      </c>
      <c r="I376">
        <v>0</v>
      </c>
      <c r="J376">
        <v>0</v>
      </c>
      <c r="K376">
        <v>0</v>
      </c>
      <c r="L376">
        <f t="shared" si="27"/>
        <v>1</v>
      </c>
      <c r="M376">
        <f t="shared" si="28"/>
        <v>0</v>
      </c>
      <c r="N376" s="119">
        <f t="shared" si="29"/>
        <v>0</v>
      </c>
      <c r="O376" s="119">
        <f t="shared" si="30"/>
        <v>0</v>
      </c>
    </row>
    <row r="377" spans="2:15" ht="15" customHeight="1" x14ac:dyDescent="0.25">
      <c r="B377" s="80" t="s">
        <v>713</v>
      </c>
      <c r="C377" s="81" t="s">
        <v>714</v>
      </c>
      <c r="D377" s="82"/>
      <c r="E377" s="230"/>
      <c r="F377" s="90">
        <v>0</v>
      </c>
      <c r="G377" s="89">
        <f t="shared" si="26"/>
        <v>0</v>
      </c>
      <c r="H377" s="118" t="str">
        <f t="array" ref="H377:K377">_xlfn.XLOOKUP(C377,'ESAP NEIVA FASE II UNIFICADO'!$C$6:$C$720,'ESAP NEIVA FASE II UNIFICADO'!$C$6:$F$720,"NO ESTA")</f>
        <v xml:space="preserve">SUMINISTRO E INSTALACIÓN DE LÁMPARAS FLUORESCENTES </v>
      </c>
      <c r="I377">
        <v>0</v>
      </c>
      <c r="J377">
        <v>0</v>
      </c>
      <c r="K377">
        <v>0</v>
      </c>
      <c r="L377">
        <f t="shared" si="27"/>
        <v>1</v>
      </c>
      <c r="M377">
        <f t="shared" si="28"/>
        <v>0</v>
      </c>
      <c r="N377" s="119">
        <f t="shared" si="29"/>
        <v>0</v>
      </c>
      <c r="O377" s="119">
        <f t="shared" si="30"/>
        <v>0</v>
      </c>
    </row>
    <row r="378" spans="2:15" ht="15" customHeight="1" x14ac:dyDescent="0.25">
      <c r="B378" s="86" t="s">
        <v>715</v>
      </c>
      <c r="C378" s="87" t="s">
        <v>716</v>
      </c>
      <c r="D378" s="82" t="s">
        <v>374</v>
      </c>
      <c r="E378" s="230">
        <v>57</v>
      </c>
      <c r="F378" s="88">
        <v>132419</v>
      </c>
      <c r="G378" s="89">
        <f t="shared" si="26"/>
        <v>7547883</v>
      </c>
      <c r="H378" s="118" t="str">
        <f t="array" ref="H378:K378">_xlfn.XLOOKUP(C378,'ESAP NEIVA FASE II UNIFICADO'!$C$6:$C$720,'ESAP NEIVA FASE II UNIFICADO'!$C$6:$F$720,"NO ESTA")</f>
        <v>SUMINISTRO E INSTALACIÓN LÁMPARA LED 1x28 W</v>
      </c>
      <c r="I378" t="str">
        <v>UN</v>
      </c>
      <c r="J378">
        <v>153</v>
      </c>
      <c r="K378">
        <v>97894</v>
      </c>
      <c r="L378">
        <f t="shared" si="27"/>
        <v>0</v>
      </c>
      <c r="M378">
        <f t="shared" si="28"/>
        <v>0</v>
      </c>
      <c r="N378" s="119">
        <f t="shared" si="29"/>
        <v>57</v>
      </c>
      <c r="O378" s="119">
        <f t="shared" si="30"/>
        <v>0</v>
      </c>
    </row>
    <row r="379" spans="2:15" ht="15" customHeight="1" x14ac:dyDescent="0.25">
      <c r="B379" s="86" t="s">
        <v>717</v>
      </c>
      <c r="C379" s="87" t="s">
        <v>718</v>
      </c>
      <c r="D379" s="82" t="s">
        <v>374</v>
      </c>
      <c r="E379" s="230">
        <v>30</v>
      </c>
      <c r="F379" s="88">
        <v>214137</v>
      </c>
      <c r="G379" s="89">
        <f t="shared" si="26"/>
        <v>6424110</v>
      </c>
      <c r="H379" s="118" t="str">
        <f t="array" ref="H379:K379">_xlfn.XLOOKUP(C379,'ESAP NEIVA FASE II UNIFICADO'!$C$6:$C$720,'ESAP NEIVA FASE II UNIFICADO'!$C$6:$F$720,"NO ESTA")</f>
        <v>SUMINISTRO E INSTALACIÓN LÁMPARA LED 2x54 W</v>
      </c>
      <c r="I379" t="str">
        <v>UN</v>
      </c>
      <c r="J379">
        <v>82</v>
      </c>
      <c r="K379">
        <v>178068</v>
      </c>
      <c r="L379">
        <f t="shared" si="27"/>
        <v>0</v>
      </c>
      <c r="M379">
        <f t="shared" si="28"/>
        <v>0</v>
      </c>
      <c r="N379" s="119">
        <f t="shared" si="29"/>
        <v>30</v>
      </c>
      <c r="O379" s="119">
        <f t="shared" si="30"/>
        <v>0</v>
      </c>
    </row>
    <row r="380" spans="2:15" ht="15" customHeight="1" x14ac:dyDescent="0.25">
      <c r="B380" s="86" t="s">
        <v>719</v>
      </c>
      <c r="C380" s="87" t="s">
        <v>720</v>
      </c>
      <c r="D380" s="82" t="s">
        <v>374</v>
      </c>
      <c r="E380" s="230">
        <v>45</v>
      </c>
      <c r="F380" s="88">
        <v>186084</v>
      </c>
      <c r="G380" s="89">
        <f t="shared" si="26"/>
        <v>8373780</v>
      </c>
      <c r="H380" s="118" t="str">
        <f t="array" ref="H380:K380">_xlfn.XLOOKUP(C380,'ESAP NEIVA FASE II UNIFICADO'!$C$6:$C$720,'ESAP NEIVA FASE II UNIFICADO'!$C$6:$F$720,"NO ESTA")</f>
        <v>SUMINISTRO E INSTALACIÓN BALA LED 35W 120 V</v>
      </c>
      <c r="I380" t="str">
        <v>UN</v>
      </c>
      <c r="J380">
        <v>121</v>
      </c>
      <c r="K380">
        <v>190945</v>
      </c>
      <c r="L380">
        <f t="shared" si="27"/>
        <v>0</v>
      </c>
      <c r="M380">
        <f t="shared" si="28"/>
        <v>0</v>
      </c>
      <c r="N380" s="119">
        <f t="shared" si="29"/>
        <v>45</v>
      </c>
      <c r="O380" s="119">
        <f t="shared" si="30"/>
        <v>0</v>
      </c>
    </row>
    <row r="381" spans="2:15" ht="15" customHeight="1" x14ac:dyDescent="0.25">
      <c r="B381" s="86" t="s">
        <v>721</v>
      </c>
      <c r="C381" s="87" t="s">
        <v>722</v>
      </c>
      <c r="D381" s="82" t="s">
        <v>374</v>
      </c>
      <c r="E381" s="230">
        <v>19</v>
      </c>
      <c r="F381" s="88">
        <v>137257</v>
      </c>
      <c r="G381" s="89">
        <f t="shared" si="26"/>
        <v>2607883</v>
      </c>
      <c r="H381" s="118" t="str">
        <f t="array" ref="H381:K381">_xlfn.XLOOKUP(C381,'ESAP NEIVA FASE II UNIFICADO'!$C$6:$C$720,'ESAP NEIVA FASE II UNIFICADO'!$C$6:$F$720,"NO ESTA")</f>
        <v>SUMINISTRO E INSTALACIÓN BALA RECESADA LED 10W 120 V</v>
      </c>
      <c r="I381" t="str">
        <v>UN</v>
      </c>
      <c r="J381">
        <v>50</v>
      </c>
      <c r="K381">
        <v>140842</v>
      </c>
      <c r="L381">
        <f t="shared" si="27"/>
        <v>0</v>
      </c>
      <c r="M381">
        <f t="shared" si="28"/>
        <v>0</v>
      </c>
      <c r="N381" s="119">
        <f t="shared" si="29"/>
        <v>19</v>
      </c>
      <c r="O381" s="119">
        <f t="shared" si="30"/>
        <v>0</v>
      </c>
    </row>
    <row r="382" spans="2:15" ht="15" customHeight="1" x14ac:dyDescent="0.25">
      <c r="B382" s="86" t="s">
        <v>723</v>
      </c>
      <c r="C382" s="87" t="s">
        <v>724</v>
      </c>
      <c r="D382" s="82" t="s">
        <v>374</v>
      </c>
      <c r="E382" s="230">
        <v>68</v>
      </c>
      <c r="F382" s="88">
        <v>221141</v>
      </c>
      <c r="G382" s="89">
        <f t="shared" si="26"/>
        <v>15037588</v>
      </c>
      <c r="H382" s="118" t="str">
        <f t="array" ref="H382:K382">_xlfn.XLOOKUP(C382,'ESAP NEIVA FASE II UNIFICADO'!$C$6:$C$720,'ESAP NEIVA FASE II UNIFICADO'!$C$6:$F$720,"NO ESTA")</f>
        <v>SUMINISTRO E INSTALACIÓN LUMINARIA LED 2x26W 120V</v>
      </c>
      <c r="I382" t="str">
        <v>UN</v>
      </c>
      <c r="J382">
        <v>184</v>
      </c>
      <c r="K382">
        <v>226917</v>
      </c>
      <c r="L382">
        <f t="shared" si="27"/>
        <v>0</v>
      </c>
      <c r="M382">
        <f t="shared" si="28"/>
        <v>0</v>
      </c>
      <c r="N382" s="119">
        <f t="shared" si="29"/>
        <v>68</v>
      </c>
      <c r="O382" s="119">
        <f t="shared" si="30"/>
        <v>0</v>
      </c>
    </row>
    <row r="383" spans="2:15" ht="15" customHeight="1" x14ac:dyDescent="0.25">
      <c r="B383" s="86" t="s">
        <v>725</v>
      </c>
      <c r="C383" s="87" t="s">
        <v>726</v>
      </c>
      <c r="D383" s="82" t="s">
        <v>374</v>
      </c>
      <c r="E383" s="230">
        <v>2</v>
      </c>
      <c r="F383" s="88">
        <v>263680</v>
      </c>
      <c r="G383" s="89">
        <f t="shared" si="26"/>
        <v>527360</v>
      </c>
      <c r="H383" s="118" t="str">
        <f t="array" ref="H383:K383">_xlfn.XLOOKUP(C383,'ESAP NEIVA FASE II UNIFICADO'!$C$6:$C$720,'ESAP NEIVA FASE II UNIFICADO'!$C$6:$F$720,"NO ESTA")</f>
        <v>SUMINISTRO E INSTALACIÓN REFLECTOR DE LUZ INDIRECTA</v>
      </c>
      <c r="I383" t="str">
        <v>UN</v>
      </c>
      <c r="J383">
        <v>6</v>
      </c>
      <c r="K383">
        <v>270567</v>
      </c>
      <c r="L383">
        <f t="shared" si="27"/>
        <v>0</v>
      </c>
      <c r="M383">
        <f t="shared" si="28"/>
        <v>0</v>
      </c>
      <c r="N383" s="119">
        <f t="shared" si="29"/>
        <v>2</v>
      </c>
      <c r="O383" s="119">
        <f t="shared" si="30"/>
        <v>0</v>
      </c>
    </row>
    <row r="384" spans="2:15" ht="15" customHeight="1" x14ac:dyDescent="0.25">
      <c r="B384" s="86" t="s">
        <v>727</v>
      </c>
      <c r="C384" s="87" t="s">
        <v>728</v>
      </c>
      <c r="D384" s="82" t="s">
        <v>374</v>
      </c>
      <c r="E384" s="230">
        <v>2</v>
      </c>
      <c r="F384" s="88">
        <v>194820</v>
      </c>
      <c r="G384" s="89">
        <f t="shared" si="26"/>
        <v>389640</v>
      </c>
      <c r="H384" s="118" t="str">
        <f t="array" ref="H384:K384">_xlfn.XLOOKUP(C384,'ESAP NEIVA FASE II UNIFICADO'!$C$6:$C$720,'ESAP NEIVA FASE II UNIFICADO'!$C$6:$F$720,"NO ESTA")</f>
        <v>SUMINISTRO E INSTALACIÓN APLIQUE DE ESCALERA 1000W 120V</v>
      </c>
      <c r="I384" t="str">
        <v>UN</v>
      </c>
      <c r="J384">
        <v>6</v>
      </c>
      <c r="K384">
        <v>199908</v>
      </c>
      <c r="L384">
        <f t="shared" si="27"/>
        <v>0</v>
      </c>
      <c r="M384">
        <f t="shared" si="28"/>
        <v>0</v>
      </c>
      <c r="N384" s="119">
        <f t="shared" si="29"/>
        <v>2</v>
      </c>
      <c r="O384" s="119">
        <f t="shared" si="30"/>
        <v>0</v>
      </c>
    </row>
    <row r="385" spans="2:15" ht="15" customHeight="1" x14ac:dyDescent="0.25">
      <c r="B385" s="86" t="s">
        <v>729</v>
      </c>
      <c r="C385" s="87" t="s">
        <v>730</v>
      </c>
      <c r="D385" s="82" t="s">
        <v>374</v>
      </c>
      <c r="E385" s="230">
        <v>25</v>
      </c>
      <c r="F385" s="88">
        <v>94659</v>
      </c>
      <c r="G385" s="89">
        <f t="shared" si="26"/>
        <v>2366475</v>
      </c>
      <c r="H385" s="118" t="str">
        <f t="array" ref="H385:K385">_xlfn.XLOOKUP(C385,'ESAP NEIVA FASE II UNIFICADO'!$C$6:$C$720,'ESAP NEIVA FASE II UNIFICADO'!$C$6:$F$720,"NO ESTA")</f>
        <v>SUMINISTRO E INSTALACIÓN BALAS LED DE PISO 3W 120V</v>
      </c>
      <c r="I385" t="str">
        <v>UN</v>
      </c>
      <c r="J385">
        <v>67</v>
      </c>
      <c r="K385">
        <v>97132</v>
      </c>
      <c r="L385">
        <f t="shared" si="27"/>
        <v>0</v>
      </c>
      <c r="M385">
        <f t="shared" si="28"/>
        <v>0</v>
      </c>
      <c r="N385" s="119">
        <f t="shared" si="29"/>
        <v>25</v>
      </c>
      <c r="O385" s="119">
        <f t="shared" si="30"/>
        <v>0</v>
      </c>
    </row>
    <row r="386" spans="2:15" ht="15" customHeight="1" x14ac:dyDescent="0.25">
      <c r="B386" s="86" t="s">
        <v>731</v>
      </c>
      <c r="C386" s="87" t="s">
        <v>732</v>
      </c>
      <c r="D386" s="82" t="s">
        <v>374</v>
      </c>
      <c r="E386" s="230">
        <v>4</v>
      </c>
      <c r="F386" s="88">
        <v>75880</v>
      </c>
      <c r="G386" s="89">
        <f t="shared" si="26"/>
        <v>303520</v>
      </c>
      <c r="H386" s="118" t="str">
        <f t="array" ref="H386:K386">_xlfn.XLOOKUP(C386,'ESAP NEIVA FASE II UNIFICADO'!$C$6:$C$720,'ESAP NEIVA FASE II UNIFICADO'!$C$6:$F$720,"NO ESTA")</f>
        <v>SUMINISTRO E INSTALACIÓN BALAS DE PISO 50W 120 V</v>
      </c>
      <c r="I386" t="str">
        <v>UN</v>
      </c>
      <c r="J386">
        <v>10</v>
      </c>
      <c r="K386">
        <v>77862</v>
      </c>
      <c r="L386">
        <f t="shared" si="27"/>
        <v>0</v>
      </c>
      <c r="M386">
        <f t="shared" si="28"/>
        <v>0</v>
      </c>
      <c r="N386" s="119">
        <f t="shared" si="29"/>
        <v>4</v>
      </c>
      <c r="O386" s="119">
        <f t="shared" si="30"/>
        <v>0</v>
      </c>
    </row>
    <row r="387" spans="2:15" ht="15" customHeight="1" x14ac:dyDescent="0.25">
      <c r="B387" s="74">
        <v>17</v>
      </c>
      <c r="C387" s="75" t="s">
        <v>733</v>
      </c>
      <c r="D387" s="76"/>
      <c r="E387" s="229"/>
      <c r="F387" s="78">
        <v>0</v>
      </c>
      <c r="G387" s="89">
        <f t="shared" si="26"/>
        <v>0</v>
      </c>
      <c r="H387" s="118" t="str">
        <f t="array" ref="H387:K387">_xlfn.XLOOKUP(C387,'ESAP NEIVA FASE II UNIFICADO'!$C$6:$C$720,'ESAP NEIVA FASE II UNIFICADO'!$C$6:$F$720,"NO ESTA")</f>
        <v>AIRE ACONDICIONADO</v>
      </c>
      <c r="I387">
        <v>0</v>
      </c>
      <c r="J387">
        <v>0</v>
      </c>
      <c r="K387">
        <v>0</v>
      </c>
      <c r="L387">
        <f t="shared" si="27"/>
        <v>1</v>
      </c>
      <c r="M387">
        <f t="shared" si="28"/>
        <v>0</v>
      </c>
      <c r="N387" s="119">
        <f t="shared" si="29"/>
        <v>0</v>
      </c>
      <c r="O387" s="119">
        <f t="shared" si="30"/>
        <v>0</v>
      </c>
    </row>
    <row r="388" spans="2:15" ht="15" customHeight="1" x14ac:dyDescent="0.25">
      <c r="B388" s="80" t="s">
        <v>734</v>
      </c>
      <c r="C388" s="81" t="s">
        <v>735</v>
      </c>
      <c r="D388" s="82"/>
      <c r="E388" s="230"/>
      <c r="F388" s="90">
        <v>0</v>
      </c>
      <c r="G388" s="89">
        <f t="shared" si="26"/>
        <v>0</v>
      </c>
      <c r="H388" s="118" t="str">
        <f t="array" ref="H388:K388">_xlfn.XLOOKUP(C388,'ESAP NEIVA FASE II UNIFICADO'!$C$6:$C$720,'ESAP NEIVA FASE II UNIFICADO'!$C$6:$F$720,"NO ESTA")</f>
        <v>SUMINISTRO E INSTALACION DE TUBERIA AGUA FRIA PVC</v>
      </c>
      <c r="I388">
        <v>0</v>
      </c>
      <c r="J388">
        <v>0</v>
      </c>
      <c r="K388">
        <v>0</v>
      </c>
      <c r="L388">
        <f t="shared" si="27"/>
        <v>1</v>
      </c>
      <c r="M388">
        <f t="shared" si="28"/>
        <v>0</v>
      </c>
      <c r="N388" s="119">
        <f t="shared" si="29"/>
        <v>0</v>
      </c>
      <c r="O388" s="119">
        <f t="shared" si="30"/>
        <v>0</v>
      </c>
    </row>
    <row r="389" spans="2:15" ht="15" customHeight="1" x14ac:dyDescent="0.25">
      <c r="B389" s="86" t="s">
        <v>736</v>
      </c>
      <c r="C389" s="87" t="s">
        <v>737</v>
      </c>
      <c r="D389" s="82" t="s">
        <v>94</v>
      </c>
      <c r="E389" s="230">
        <v>17</v>
      </c>
      <c r="F389" s="88">
        <v>69855</v>
      </c>
      <c r="G389" s="89">
        <f t="shared" si="26"/>
        <v>1187535</v>
      </c>
      <c r="H389" s="118" t="str">
        <f t="array" ref="H389:K389">_xlfn.XLOOKUP(C389,'ESAP NEIVA FASE II UNIFICADO'!$C$6:$C$720,'ESAP NEIVA FASE II UNIFICADO'!$C$6:$F$720,"NO ESTA")</f>
        <v>SUMINISTRO E INSTALACION TUBERIA Y ACCESORIOS RDE 21 Ø DIAMETRO  4"</v>
      </c>
      <c r="I389" t="str">
        <v>ML</v>
      </c>
      <c r="J389">
        <v>45</v>
      </c>
      <c r="K389">
        <v>71680</v>
      </c>
      <c r="L389">
        <f t="shared" si="27"/>
        <v>0</v>
      </c>
      <c r="M389">
        <f t="shared" si="28"/>
        <v>0</v>
      </c>
      <c r="N389" s="119">
        <f t="shared" si="29"/>
        <v>17</v>
      </c>
      <c r="O389" s="119">
        <f t="shared" si="30"/>
        <v>0</v>
      </c>
    </row>
    <row r="390" spans="2:15" ht="15" customHeight="1" x14ac:dyDescent="0.25">
      <c r="B390" s="86" t="s">
        <v>738</v>
      </c>
      <c r="C390" s="87" t="s">
        <v>739</v>
      </c>
      <c r="D390" s="82" t="s">
        <v>94</v>
      </c>
      <c r="E390" s="230">
        <v>9</v>
      </c>
      <c r="F390" s="88">
        <v>45421</v>
      </c>
      <c r="G390" s="89">
        <f t="shared" si="26"/>
        <v>408789</v>
      </c>
      <c r="H390" s="118" t="str">
        <f t="array" ref="H390:K390">_xlfn.XLOOKUP(C390,'ESAP NEIVA FASE II UNIFICADO'!$C$6:$C$720,'ESAP NEIVA FASE II UNIFICADO'!$C$6:$F$720,"NO ESTA")</f>
        <v>SUMINISTRO E INSTALACION TUBERIA Y ACCESORIOS RDE 21 Ø DIAMETRO  3"</v>
      </c>
      <c r="I390" t="str">
        <v>ML</v>
      </c>
      <c r="J390">
        <v>24</v>
      </c>
      <c r="K390">
        <v>46609</v>
      </c>
      <c r="L390">
        <f t="shared" si="27"/>
        <v>0</v>
      </c>
      <c r="M390">
        <f t="shared" si="28"/>
        <v>0</v>
      </c>
      <c r="N390" s="119">
        <f t="shared" si="29"/>
        <v>9</v>
      </c>
      <c r="O390" s="119">
        <f t="shared" si="30"/>
        <v>0</v>
      </c>
    </row>
    <row r="391" spans="2:15" ht="15" customHeight="1" x14ac:dyDescent="0.25">
      <c r="B391" s="86" t="s">
        <v>740</v>
      </c>
      <c r="C391" s="87" t="s">
        <v>741</v>
      </c>
      <c r="D391" s="82" t="s">
        <v>94</v>
      </c>
      <c r="E391" s="230">
        <v>24</v>
      </c>
      <c r="F391" s="88">
        <v>33851</v>
      </c>
      <c r="G391" s="89">
        <f t="shared" ref="G391:G454" si="31">ROUND(+F391*E391,2)</f>
        <v>812424</v>
      </c>
      <c r="H391" s="118" t="str">
        <f t="array" ref="H391:K391">_xlfn.XLOOKUP(C391,'ESAP NEIVA FASE II UNIFICADO'!$C$6:$C$720,'ESAP NEIVA FASE II UNIFICADO'!$C$6:$F$720,"NO ESTA")</f>
        <v>SUMINISTRO E INSTALACION TUBERIA Y ACCESORIOS RDE 21 Ø DIAMETRO  2 1/2"</v>
      </c>
      <c r="I391" t="str">
        <v>ML</v>
      </c>
      <c r="J391">
        <v>64</v>
      </c>
      <c r="K391">
        <v>34736</v>
      </c>
      <c r="L391">
        <f t="shared" si="27"/>
        <v>0</v>
      </c>
      <c r="M391">
        <f t="shared" si="28"/>
        <v>0</v>
      </c>
      <c r="N391" s="119">
        <f t="shared" si="29"/>
        <v>24</v>
      </c>
      <c r="O391" s="119">
        <f t="shared" si="30"/>
        <v>0</v>
      </c>
    </row>
    <row r="392" spans="2:15" ht="15" customHeight="1" x14ac:dyDescent="0.25">
      <c r="B392" s="86" t="s">
        <v>742</v>
      </c>
      <c r="C392" s="87" t="s">
        <v>743</v>
      </c>
      <c r="D392" s="82" t="s">
        <v>94</v>
      </c>
      <c r="E392" s="230">
        <v>68</v>
      </c>
      <c r="F392" s="88">
        <v>23046</v>
      </c>
      <c r="G392" s="89">
        <f t="shared" si="31"/>
        <v>1567128</v>
      </c>
      <c r="H392" s="118" t="str">
        <f t="array" ref="H392:K392">_xlfn.XLOOKUP(C392,'ESAP NEIVA FASE II UNIFICADO'!$C$6:$C$720,'ESAP NEIVA FASE II UNIFICADO'!$C$6:$F$720,"NO ESTA")</f>
        <v>SUMINISTRO E INSTALACION TUBERIA Y ACCESORIOS RDE 21 Ø DIAMETRO  2"</v>
      </c>
      <c r="I392" t="str">
        <v>ML</v>
      </c>
      <c r="J392">
        <v>185.4</v>
      </c>
      <c r="K392">
        <v>23647</v>
      </c>
      <c r="L392">
        <f t="shared" si="27"/>
        <v>0</v>
      </c>
      <c r="M392">
        <f t="shared" si="28"/>
        <v>0</v>
      </c>
      <c r="N392" s="119">
        <f t="shared" si="29"/>
        <v>68</v>
      </c>
      <c r="O392" s="119">
        <f t="shared" si="30"/>
        <v>0</v>
      </c>
    </row>
    <row r="393" spans="2:15" ht="15" customHeight="1" x14ac:dyDescent="0.25">
      <c r="B393" s="86" t="s">
        <v>744</v>
      </c>
      <c r="C393" s="87" t="s">
        <v>745</v>
      </c>
      <c r="D393" s="82" t="s">
        <v>94</v>
      </c>
      <c r="E393" s="230">
        <v>40</v>
      </c>
      <c r="F393" s="88">
        <v>16792</v>
      </c>
      <c r="G393" s="89">
        <f t="shared" si="31"/>
        <v>671680</v>
      </c>
      <c r="H393" s="118" t="str">
        <f t="array" ref="H393:K393">_xlfn.XLOOKUP(C393,'ESAP NEIVA FASE II UNIFICADO'!$C$6:$C$720,'ESAP NEIVA FASE II UNIFICADO'!$C$6:$F$720,"NO ESTA")</f>
        <v>SUMINISTRO E INSTALACION TUBERIA Y ACCESORIOS RDE 21 Ø DIAMETRO  1 1/2"</v>
      </c>
      <c r="I393" t="str">
        <v>ML</v>
      </c>
      <c r="J393">
        <v>106.80000000000001</v>
      </c>
      <c r="K393">
        <v>17230</v>
      </c>
      <c r="L393">
        <f t="shared" si="27"/>
        <v>0</v>
      </c>
      <c r="M393">
        <f t="shared" si="28"/>
        <v>0</v>
      </c>
      <c r="N393" s="119">
        <f t="shared" si="29"/>
        <v>40</v>
      </c>
      <c r="O393" s="119">
        <f t="shared" si="30"/>
        <v>0</v>
      </c>
    </row>
    <row r="394" spans="2:15" ht="15" customHeight="1" x14ac:dyDescent="0.25">
      <c r="B394" s="86" t="s">
        <v>746</v>
      </c>
      <c r="C394" s="87" t="s">
        <v>747</v>
      </c>
      <c r="D394" s="82" t="s">
        <v>94</v>
      </c>
      <c r="E394" s="230">
        <v>61</v>
      </c>
      <c r="F394" s="88">
        <v>14285</v>
      </c>
      <c r="G394" s="89">
        <f t="shared" si="31"/>
        <v>871385</v>
      </c>
      <c r="H394" s="118" t="str">
        <f t="array" ref="H394:K394">_xlfn.XLOOKUP(C394,'ESAP NEIVA FASE II UNIFICADO'!$C$6:$C$720,'ESAP NEIVA FASE II UNIFICADO'!$C$6:$F$720,"NO ESTA")</f>
        <v>SUMINISTRO E INSTALACION TUBERIA Y ACCESORIOS RDE 21 Ø DIAMETRO  1 1/4"</v>
      </c>
      <c r="I394" t="str">
        <v>ML</v>
      </c>
      <c r="J394">
        <v>165.6</v>
      </c>
      <c r="K394">
        <v>14658</v>
      </c>
      <c r="L394">
        <f t="shared" ref="L394:L457" si="32">+IF(J394&gt;0,0,1)</f>
        <v>0</v>
      </c>
      <c r="M394">
        <f t="shared" ref="M394:M457" si="33">IF(L394=1,F394,0)</f>
        <v>0</v>
      </c>
      <c r="N394" s="119">
        <f t="shared" ref="N394:N457" si="34">E394</f>
        <v>61</v>
      </c>
      <c r="O394" s="119">
        <f t="shared" si="30"/>
        <v>0</v>
      </c>
    </row>
    <row r="395" spans="2:15" ht="15" customHeight="1" x14ac:dyDescent="0.25">
      <c r="B395" s="86" t="s">
        <v>748</v>
      </c>
      <c r="C395" s="87" t="s">
        <v>749</v>
      </c>
      <c r="D395" s="82" t="s">
        <v>94</v>
      </c>
      <c r="E395" s="230">
        <v>10</v>
      </c>
      <c r="F395" s="88">
        <v>10451</v>
      </c>
      <c r="G395" s="89">
        <f t="shared" si="31"/>
        <v>104510</v>
      </c>
      <c r="H395" s="118" t="str">
        <f t="array" ref="H395:K395">_xlfn.XLOOKUP(C395,'ESAP NEIVA FASE II UNIFICADO'!$C$6:$C$720,'ESAP NEIVA FASE II UNIFICADO'!$C$6:$F$720,"NO ESTA")</f>
        <v>SUMINISTRO E INSTALACION TUBERIA Y ACCESORIOS RDE 21 Ø DIAMETRO  1"</v>
      </c>
      <c r="I395" t="str">
        <v>ML</v>
      </c>
      <c r="J395">
        <v>28.799999999999997</v>
      </c>
      <c r="K395">
        <v>10725</v>
      </c>
      <c r="L395">
        <f t="shared" si="32"/>
        <v>0</v>
      </c>
      <c r="M395">
        <f t="shared" si="33"/>
        <v>0</v>
      </c>
      <c r="N395" s="119">
        <f t="shared" si="34"/>
        <v>10</v>
      </c>
      <c r="O395" s="119">
        <f t="shared" si="30"/>
        <v>0</v>
      </c>
    </row>
    <row r="396" spans="2:15" ht="15" customHeight="1" x14ac:dyDescent="0.25">
      <c r="B396" s="86" t="s">
        <v>750</v>
      </c>
      <c r="C396" s="87" t="s">
        <v>751</v>
      </c>
      <c r="D396" s="82" t="s">
        <v>94</v>
      </c>
      <c r="E396" s="230">
        <v>12</v>
      </c>
      <c r="F396" s="88">
        <v>9181</v>
      </c>
      <c r="G396" s="89">
        <f t="shared" si="31"/>
        <v>110172</v>
      </c>
      <c r="H396" s="118" t="str">
        <f t="array" ref="H396:K396">_xlfn.XLOOKUP(C396,'ESAP NEIVA FASE II UNIFICADO'!$C$6:$C$720,'ESAP NEIVA FASE II UNIFICADO'!$C$6:$F$720,"NO ESTA")</f>
        <v>SUMINISTRO E INSTALACION TUBERIA Y ACCESORIOS RDE 21 Ø DIAMETRO  3/4"</v>
      </c>
      <c r="I396" t="str">
        <v>ML</v>
      </c>
      <c r="J396">
        <v>32</v>
      </c>
      <c r="K396">
        <v>9421</v>
      </c>
      <c r="L396">
        <f t="shared" si="32"/>
        <v>0</v>
      </c>
      <c r="M396">
        <f t="shared" si="33"/>
        <v>0</v>
      </c>
      <c r="N396" s="119">
        <f t="shared" si="34"/>
        <v>12</v>
      </c>
      <c r="O396" s="119">
        <f t="shared" ref="O396:O459" si="35">ROUND(M396*N396,2)</f>
        <v>0</v>
      </c>
    </row>
    <row r="397" spans="2:15" ht="26.25" customHeight="1" x14ac:dyDescent="0.25">
      <c r="B397" s="80" t="s">
        <v>752</v>
      </c>
      <c r="C397" s="81" t="s">
        <v>753</v>
      </c>
      <c r="D397" s="82"/>
      <c r="E397" s="230"/>
      <c r="F397" s="90">
        <v>0</v>
      </c>
      <c r="G397" s="89">
        <f t="shared" si="31"/>
        <v>0</v>
      </c>
      <c r="H397" s="118" t="str">
        <f t="array" ref="H397">_xlfn.XLOOKUP(C397,'ESAP NEIVA FASE II UNIFICADO'!$C$6:$C$720,'ESAP NEIVA FASE II UNIFICADO'!$C$6:$F$720,"NO ESTA")</f>
        <v>NO ESTA</v>
      </c>
      <c r="L397">
        <f t="shared" si="32"/>
        <v>1</v>
      </c>
      <c r="M397">
        <f t="shared" si="33"/>
        <v>0</v>
      </c>
      <c r="N397" s="119">
        <f t="shared" si="34"/>
        <v>0</v>
      </c>
      <c r="O397" s="119">
        <f t="shared" si="35"/>
        <v>0</v>
      </c>
    </row>
    <row r="398" spans="2:15" ht="26.25" customHeight="1" x14ac:dyDescent="0.25">
      <c r="B398" s="86" t="s">
        <v>754</v>
      </c>
      <c r="C398" s="87" t="s">
        <v>755</v>
      </c>
      <c r="D398" s="82" t="s">
        <v>94</v>
      </c>
      <c r="E398" s="230">
        <v>17</v>
      </c>
      <c r="F398" s="88">
        <v>40331</v>
      </c>
      <c r="G398" s="89">
        <f t="shared" si="31"/>
        <v>685627</v>
      </c>
      <c r="H398" s="118" t="str">
        <f t="array" ref="H398:K398">_xlfn.XLOOKUP(C398,'ESAP NEIVA FASE II UNIFICADO'!$C$6:$C$720,'ESAP NEIVA FASE II UNIFICADO'!$C$6:$F$720,"NO ESTA")</f>
        <v>SUMINISTRO E INSTALACION DE AISLAMIENTO TERMICO TUBERIA Y ACCESORIOS RDE 21 Ø DIAMETRO  4"</v>
      </c>
      <c r="I398" t="str">
        <v>ML</v>
      </c>
      <c r="J398">
        <v>45</v>
      </c>
      <c r="K398">
        <v>41384</v>
      </c>
      <c r="L398">
        <f t="shared" si="32"/>
        <v>0</v>
      </c>
      <c r="M398">
        <f t="shared" si="33"/>
        <v>0</v>
      </c>
      <c r="N398" s="119">
        <f t="shared" si="34"/>
        <v>17</v>
      </c>
      <c r="O398" s="119">
        <f t="shared" si="35"/>
        <v>0</v>
      </c>
    </row>
    <row r="399" spans="2:15" ht="26.25" customHeight="1" x14ac:dyDescent="0.25">
      <c r="B399" s="86" t="s">
        <v>756</v>
      </c>
      <c r="C399" s="87" t="s">
        <v>757</v>
      </c>
      <c r="D399" s="82" t="s">
        <v>94</v>
      </c>
      <c r="E399" s="230">
        <v>9</v>
      </c>
      <c r="F399" s="88">
        <v>36230</v>
      </c>
      <c r="G399" s="89">
        <f t="shared" si="31"/>
        <v>326070</v>
      </c>
      <c r="H399" s="118" t="str">
        <f t="array" ref="H399:K399">_xlfn.XLOOKUP(C399,'ESAP NEIVA FASE II UNIFICADO'!$C$6:$C$720,'ESAP NEIVA FASE II UNIFICADO'!$C$6:$F$720,"NO ESTA")</f>
        <v>SUMINISTRO E INSTALACION DE AISLAMIENTO TERMICO TUBERIA Y ACCESORIOS RDE 21 Ø DIAMETRO  3"</v>
      </c>
      <c r="I399" t="str">
        <v>ML</v>
      </c>
      <c r="J399">
        <v>24</v>
      </c>
      <c r="K399">
        <v>37175</v>
      </c>
      <c r="L399">
        <f t="shared" si="32"/>
        <v>0</v>
      </c>
      <c r="M399">
        <f t="shared" si="33"/>
        <v>0</v>
      </c>
      <c r="N399" s="119">
        <f t="shared" si="34"/>
        <v>9</v>
      </c>
      <c r="O399" s="119">
        <f t="shared" si="35"/>
        <v>0</v>
      </c>
    </row>
    <row r="400" spans="2:15" ht="26.25" customHeight="1" x14ac:dyDescent="0.25">
      <c r="B400" s="86" t="s">
        <v>758</v>
      </c>
      <c r="C400" s="87" t="s">
        <v>759</v>
      </c>
      <c r="D400" s="82" t="s">
        <v>94</v>
      </c>
      <c r="E400" s="230">
        <v>24</v>
      </c>
      <c r="F400" s="88">
        <v>27779</v>
      </c>
      <c r="G400" s="89">
        <f t="shared" si="31"/>
        <v>666696</v>
      </c>
      <c r="H400" s="118" t="str">
        <f t="array" ref="H400:K400">_xlfn.XLOOKUP(C400,'ESAP NEIVA FASE II UNIFICADO'!$C$6:$C$720,'ESAP NEIVA FASE II UNIFICADO'!$C$6:$F$720,"NO ESTA")</f>
        <v>SUMINISTRO E INSTALACION DE AISLAMIENTO TERMICO TUBERIA Y ACCESORIOS RDE 21 Ø DIAMETRO  2 1/2"</v>
      </c>
      <c r="I400" t="str">
        <v>ML</v>
      </c>
      <c r="J400">
        <v>64</v>
      </c>
      <c r="K400">
        <v>28505</v>
      </c>
      <c r="L400">
        <f t="shared" si="32"/>
        <v>0</v>
      </c>
      <c r="M400">
        <f t="shared" si="33"/>
        <v>0</v>
      </c>
      <c r="N400" s="119">
        <f t="shared" si="34"/>
        <v>24</v>
      </c>
      <c r="O400" s="119">
        <f t="shared" si="35"/>
        <v>0</v>
      </c>
    </row>
    <row r="401" spans="2:15" ht="26.25" customHeight="1" x14ac:dyDescent="0.25">
      <c r="B401" s="86" t="s">
        <v>760</v>
      </c>
      <c r="C401" s="87" t="s">
        <v>761</v>
      </c>
      <c r="D401" s="82" t="s">
        <v>94</v>
      </c>
      <c r="E401" s="230">
        <v>68</v>
      </c>
      <c r="F401" s="88">
        <v>21912</v>
      </c>
      <c r="G401" s="89">
        <f t="shared" si="31"/>
        <v>1490016</v>
      </c>
      <c r="H401" s="118" t="str">
        <f t="array" ref="H401:K401">_xlfn.XLOOKUP(C401,'ESAP NEIVA FASE II UNIFICADO'!$C$6:$C$720,'ESAP NEIVA FASE II UNIFICADO'!$C$6:$F$720,"NO ESTA")</f>
        <v>SUMINISTRO E INSTALACION DE AISLAMIENTO TERMICO TUBERIA Y ACCESORIOS RDE 21 Ø DIAMETRO  2"</v>
      </c>
      <c r="I401" t="str">
        <v>ML</v>
      </c>
      <c r="J401">
        <v>185.4</v>
      </c>
      <c r="K401">
        <v>22485</v>
      </c>
      <c r="L401">
        <f t="shared" si="32"/>
        <v>0</v>
      </c>
      <c r="M401">
        <f t="shared" si="33"/>
        <v>0</v>
      </c>
      <c r="N401" s="119">
        <f t="shared" si="34"/>
        <v>68</v>
      </c>
      <c r="O401" s="119">
        <f t="shared" si="35"/>
        <v>0</v>
      </c>
    </row>
    <row r="402" spans="2:15" ht="26.25" customHeight="1" x14ac:dyDescent="0.25">
      <c r="B402" s="86" t="s">
        <v>762</v>
      </c>
      <c r="C402" s="87" t="s">
        <v>763</v>
      </c>
      <c r="D402" s="82" t="s">
        <v>94</v>
      </c>
      <c r="E402" s="230">
        <v>40</v>
      </c>
      <c r="F402" s="88">
        <v>16527</v>
      </c>
      <c r="G402" s="89">
        <f t="shared" si="31"/>
        <v>661080</v>
      </c>
      <c r="H402" s="118" t="str">
        <f t="array" ref="H402:K402">_xlfn.XLOOKUP(C402,'ESAP NEIVA FASE II UNIFICADO'!$C$6:$C$720,'ESAP NEIVA FASE II UNIFICADO'!$C$6:$F$720,"NO ESTA")</f>
        <v>SUMINISTRO E INSTALACION DE AISLAMIENTO TERMICO TUBERIA Y ACCESORIOS RDE 21 Ø DIAMETRO  1 1/2"</v>
      </c>
      <c r="I402" t="str">
        <v>ML</v>
      </c>
      <c r="J402">
        <v>106.80000000000001</v>
      </c>
      <c r="K402">
        <v>16958</v>
      </c>
      <c r="L402">
        <f t="shared" si="32"/>
        <v>0</v>
      </c>
      <c r="M402">
        <f t="shared" si="33"/>
        <v>0</v>
      </c>
      <c r="N402" s="119">
        <f t="shared" si="34"/>
        <v>40</v>
      </c>
      <c r="O402" s="119">
        <f t="shared" si="35"/>
        <v>0</v>
      </c>
    </row>
    <row r="403" spans="2:15" ht="26.25" customHeight="1" x14ac:dyDescent="0.25">
      <c r="B403" s="86" t="s">
        <v>764</v>
      </c>
      <c r="C403" s="87" t="s">
        <v>765</v>
      </c>
      <c r="D403" s="82" t="s">
        <v>94</v>
      </c>
      <c r="E403" s="230">
        <v>61</v>
      </c>
      <c r="F403" s="88">
        <v>14173</v>
      </c>
      <c r="G403" s="89">
        <f t="shared" si="31"/>
        <v>864553</v>
      </c>
      <c r="H403" s="118" t="str">
        <f t="array" ref="H403:K403">_xlfn.XLOOKUP(C403,'ESAP NEIVA FASE II UNIFICADO'!$C$6:$C$720,'ESAP NEIVA FASE II UNIFICADO'!$C$6:$F$720,"NO ESTA")</f>
        <v>SUMINISTRO E INSTALACION DE AISLAMIENTO TERMICO TUBERIA Y ACCESORIOS RDE 21 Ø DIAMETRO  1 1/4"</v>
      </c>
      <c r="I403" t="str">
        <v>ML</v>
      </c>
      <c r="J403">
        <v>165.6</v>
      </c>
      <c r="K403">
        <v>14543</v>
      </c>
      <c r="L403">
        <f t="shared" si="32"/>
        <v>0</v>
      </c>
      <c r="M403">
        <f t="shared" si="33"/>
        <v>0</v>
      </c>
      <c r="N403" s="119">
        <f t="shared" si="34"/>
        <v>61</v>
      </c>
      <c r="O403" s="119">
        <f t="shared" si="35"/>
        <v>0</v>
      </c>
    </row>
    <row r="404" spans="2:15" ht="26.25" customHeight="1" x14ac:dyDescent="0.25">
      <c r="B404" s="86" t="s">
        <v>766</v>
      </c>
      <c r="C404" s="87" t="s">
        <v>767</v>
      </c>
      <c r="D404" s="82" t="s">
        <v>94</v>
      </c>
      <c r="E404" s="230">
        <v>10</v>
      </c>
      <c r="F404" s="88">
        <v>10329</v>
      </c>
      <c r="G404" s="89">
        <f t="shared" si="31"/>
        <v>103290</v>
      </c>
      <c r="H404" s="118" t="str">
        <f t="array" ref="H404:K404">_xlfn.XLOOKUP(C404,'ESAP NEIVA FASE II UNIFICADO'!$C$6:$C$720,'ESAP NEIVA FASE II UNIFICADO'!$C$6:$F$720,"NO ESTA")</f>
        <v>SUMINISTRO E INSTALACION DE AISLAMIENTO TERMICO TUBERIA Y ACCESORIOS RDE 21 Ø DIAMETRO  1"</v>
      </c>
      <c r="I404" t="str">
        <v>ML</v>
      </c>
      <c r="J404">
        <v>28.799999999999997</v>
      </c>
      <c r="K404">
        <v>10599</v>
      </c>
      <c r="L404">
        <f t="shared" si="32"/>
        <v>0</v>
      </c>
      <c r="M404">
        <f t="shared" si="33"/>
        <v>0</v>
      </c>
      <c r="N404" s="119">
        <f t="shared" si="34"/>
        <v>10</v>
      </c>
      <c r="O404" s="119">
        <f t="shared" si="35"/>
        <v>0</v>
      </c>
    </row>
    <row r="405" spans="2:15" ht="26.25" customHeight="1" x14ac:dyDescent="0.25">
      <c r="B405" s="86" t="s">
        <v>768</v>
      </c>
      <c r="C405" s="87" t="s">
        <v>769</v>
      </c>
      <c r="D405" s="82" t="s">
        <v>94</v>
      </c>
      <c r="E405" s="230">
        <v>12</v>
      </c>
      <c r="F405" s="88">
        <v>9015</v>
      </c>
      <c r="G405" s="89">
        <f t="shared" si="31"/>
        <v>108180</v>
      </c>
      <c r="H405" s="118" t="str">
        <f t="array" ref="H405:K405">_xlfn.XLOOKUP(C405,'ESAP NEIVA FASE II UNIFICADO'!$C$6:$C$720,'ESAP NEIVA FASE II UNIFICADO'!$C$6:$F$720,"NO ESTA")</f>
        <v>SUMINISTRO E INSTALACION DE AISLAMIENTO TERMICO TUBERIA Y ACCESORIOS RDE 21 Ø DIAMETRO  3/4"</v>
      </c>
      <c r="I405" t="str">
        <v>ML</v>
      </c>
      <c r="J405">
        <v>32</v>
      </c>
      <c r="K405">
        <v>9250</v>
      </c>
      <c r="L405">
        <f t="shared" si="32"/>
        <v>0</v>
      </c>
      <c r="M405">
        <f t="shared" si="33"/>
        <v>0</v>
      </c>
      <c r="N405" s="119">
        <f t="shared" si="34"/>
        <v>12</v>
      </c>
      <c r="O405" s="119">
        <f t="shared" si="35"/>
        <v>0</v>
      </c>
    </row>
    <row r="406" spans="2:15" ht="15" customHeight="1" x14ac:dyDescent="0.25">
      <c r="B406" s="80" t="s">
        <v>770</v>
      </c>
      <c r="C406" s="81" t="s">
        <v>771</v>
      </c>
      <c r="D406" s="82"/>
      <c r="E406" s="230"/>
      <c r="F406" s="90">
        <v>0</v>
      </c>
      <c r="G406" s="89">
        <f t="shared" si="31"/>
        <v>0</v>
      </c>
      <c r="H406" s="118" t="str">
        <f t="array" ref="H406">_xlfn.XLOOKUP(C406,'ESAP NEIVA FASE II UNIFICADO'!$C$6:$C$720,'ESAP NEIVA FASE II UNIFICADO'!$C$6:$F$720,"NO ESTA")</f>
        <v>NO ESTA</v>
      </c>
      <c r="L406">
        <f t="shared" si="32"/>
        <v>1</v>
      </c>
      <c r="M406">
        <f t="shared" si="33"/>
        <v>0</v>
      </c>
      <c r="N406" s="119">
        <f t="shared" si="34"/>
        <v>0</v>
      </c>
      <c r="O406" s="119">
        <f t="shared" si="35"/>
        <v>0</v>
      </c>
    </row>
    <row r="407" spans="2:15" ht="27" customHeight="1" x14ac:dyDescent="0.25">
      <c r="B407" s="86" t="s">
        <v>772</v>
      </c>
      <c r="C407" s="87" t="s">
        <v>773</v>
      </c>
      <c r="D407" s="82" t="s">
        <v>16</v>
      </c>
      <c r="E407" s="230">
        <v>1</v>
      </c>
      <c r="F407" s="88">
        <v>281188</v>
      </c>
      <c r="G407" s="89">
        <f t="shared" si="31"/>
        <v>281188</v>
      </c>
      <c r="H407" s="118" t="str">
        <f t="array" ref="H407:K407">_xlfn.XLOOKUP(C407,'ESAP NEIVA FASE II UNIFICADO'!$C$6:$C$720,'ESAP NEIVA FASE II UNIFICADO'!$C$6:$F$720,"NO ESTA")</f>
        <v>SUMINISTRO E INSTALACION MANOMETROS 4", INCLUYE GRIFOS DE PRUEBA Y ACCESORIOS</v>
      </c>
      <c r="I407" t="str">
        <v>UND</v>
      </c>
      <c r="J407">
        <v>3</v>
      </c>
      <c r="K407">
        <v>288532</v>
      </c>
      <c r="L407">
        <f t="shared" si="32"/>
        <v>0</v>
      </c>
      <c r="M407">
        <f t="shared" si="33"/>
        <v>0</v>
      </c>
      <c r="N407" s="119">
        <f t="shared" si="34"/>
        <v>1</v>
      </c>
      <c r="O407" s="119">
        <f t="shared" si="35"/>
        <v>0</v>
      </c>
    </row>
    <row r="408" spans="2:15" ht="15" customHeight="1" x14ac:dyDescent="0.25">
      <c r="B408" s="86" t="s">
        <v>774</v>
      </c>
      <c r="C408" s="87" t="s">
        <v>775</v>
      </c>
      <c r="D408" s="82" t="s">
        <v>16</v>
      </c>
      <c r="E408" s="230">
        <v>1</v>
      </c>
      <c r="F408" s="88">
        <v>541061</v>
      </c>
      <c r="G408" s="89">
        <f t="shared" si="31"/>
        <v>541061</v>
      </c>
      <c r="H408" s="118" t="str">
        <f t="array" ref="H408:K408">_xlfn.XLOOKUP(C408,'ESAP NEIVA FASE II UNIFICADO'!$C$6:$C$720,'ESAP NEIVA FASE II UNIFICADO'!$C$6:$F$720,"NO ESTA")</f>
        <v>SUMINISTRO E INSTALACION TERMOMETROS 0-100F DE COLUMNA 7"</v>
      </c>
      <c r="I408" t="str">
        <v>UND</v>
      </c>
      <c r="J408">
        <v>3</v>
      </c>
      <c r="K408">
        <v>555192</v>
      </c>
      <c r="L408">
        <f t="shared" si="32"/>
        <v>0</v>
      </c>
      <c r="M408">
        <f t="shared" si="33"/>
        <v>0</v>
      </c>
      <c r="N408" s="119">
        <f t="shared" si="34"/>
        <v>1</v>
      </c>
      <c r="O408" s="119">
        <f t="shared" si="35"/>
        <v>0</v>
      </c>
    </row>
    <row r="409" spans="2:15" ht="15" customHeight="1" x14ac:dyDescent="0.25">
      <c r="B409" s="86" t="s">
        <v>776</v>
      </c>
      <c r="C409" s="87" t="s">
        <v>777</v>
      </c>
      <c r="D409" s="82" t="s">
        <v>16</v>
      </c>
      <c r="E409" s="230">
        <v>1</v>
      </c>
      <c r="F409" s="88">
        <v>190501</v>
      </c>
      <c r="G409" s="89">
        <f t="shared" si="31"/>
        <v>190501</v>
      </c>
      <c r="H409" s="118" t="str">
        <f t="array" ref="H409:K409">_xlfn.XLOOKUP(C409,'ESAP NEIVA FASE II UNIFICADO'!$C$6:$C$720,'ESAP NEIVA FASE II UNIFICADO'!$C$6:$F$720,"NO ESTA")</f>
        <v>SUMINISTRO E INSTALACION ELIMINADORES DE AIRE</v>
      </c>
      <c r="I409" t="str">
        <v>UND</v>
      </c>
      <c r="J409">
        <v>3</v>
      </c>
      <c r="K409">
        <v>195476</v>
      </c>
      <c r="L409">
        <f t="shared" si="32"/>
        <v>0</v>
      </c>
      <c r="M409">
        <f t="shared" si="33"/>
        <v>0</v>
      </c>
      <c r="N409" s="119">
        <f t="shared" si="34"/>
        <v>1</v>
      </c>
      <c r="O409" s="119">
        <f t="shared" si="35"/>
        <v>0</v>
      </c>
    </row>
    <row r="410" spans="2:15" ht="15" customHeight="1" x14ac:dyDescent="0.25">
      <c r="B410" s="86" t="s">
        <v>778</v>
      </c>
      <c r="C410" s="87" t="s">
        <v>779</v>
      </c>
      <c r="D410" s="82" t="s">
        <v>16</v>
      </c>
      <c r="E410" s="230">
        <v>1</v>
      </c>
      <c r="F410" s="88">
        <v>440902</v>
      </c>
      <c r="G410" s="89">
        <f t="shared" si="31"/>
        <v>440902</v>
      </c>
      <c r="H410" s="118" t="str">
        <f t="array" ref="H410:K410">_xlfn.XLOOKUP(C410,'ESAP NEIVA FASE II UNIFICADO'!$C$6:$C$720,'ESAP NEIVA FASE II UNIFICADO'!$C$6:$F$720,"NO ESTA")</f>
        <v xml:space="preserve">SUMINISTRO E INSTALACION TANQUE DE EXPANSIÓN PVC CON VALVULA DE NIVEL </v>
      </c>
      <c r="I410" t="str">
        <v>UND</v>
      </c>
      <c r="J410">
        <v>1</v>
      </c>
      <c r="K410">
        <v>452416</v>
      </c>
      <c r="L410">
        <f t="shared" si="32"/>
        <v>0</v>
      </c>
      <c r="M410">
        <f t="shared" si="33"/>
        <v>0</v>
      </c>
      <c r="N410" s="119">
        <f t="shared" si="34"/>
        <v>1</v>
      </c>
      <c r="O410" s="119">
        <f t="shared" si="35"/>
        <v>0</v>
      </c>
    </row>
    <row r="411" spans="2:15" ht="15" customHeight="1" x14ac:dyDescent="0.25">
      <c r="B411" s="86" t="s">
        <v>780</v>
      </c>
      <c r="C411" s="87" t="s">
        <v>781</v>
      </c>
      <c r="D411" s="82" t="s">
        <v>16</v>
      </c>
      <c r="E411" s="230">
        <v>1</v>
      </c>
      <c r="F411" s="88">
        <v>2274950</v>
      </c>
      <c r="G411" s="89">
        <f t="shared" si="31"/>
        <v>2274950</v>
      </c>
      <c r="H411" s="118" t="str">
        <f t="array" ref="H411:K411">_xlfn.XLOOKUP(C411,'ESAP NEIVA FASE II UNIFICADO'!$C$6:$C$720,'ESAP NEIVA FASE II UNIFICADO'!$C$6:$F$720,"NO ESTA")</f>
        <v>SUMINISTRO E INSTALACION VALVULAS MARIPOSA DE 4" SUCCIÓN DE BOMBA</v>
      </c>
      <c r="I411" t="str">
        <v>UND</v>
      </c>
      <c r="J411">
        <v>3</v>
      </c>
      <c r="K411">
        <v>2334368</v>
      </c>
      <c r="L411">
        <f t="shared" si="32"/>
        <v>0</v>
      </c>
      <c r="M411">
        <f t="shared" si="33"/>
        <v>0</v>
      </c>
      <c r="N411" s="119">
        <f t="shared" si="34"/>
        <v>1</v>
      </c>
      <c r="O411" s="119">
        <f t="shared" si="35"/>
        <v>0</v>
      </c>
    </row>
    <row r="412" spans="2:15" ht="15" customHeight="1" x14ac:dyDescent="0.25">
      <c r="B412" s="86" t="s">
        <v>782</v>
      </c>
      <c r="C412" s="87" t="s">
        <v>783</v>
      </c>
      <c r="D412" s="82" t="s">
        <v>16</v>
      </c>
      <c r="E412" s="230">
        <v>1</v>
      </c>
      <c r="F412" s="88">
        <v>2274950</v>
      </c>
      <c r="G412" s="89">
        <f t="shared" si="31"/>
        <v>2274950</v>
      </c>
      <c r="H412" s="118" t="str">
        <f t="array" ref="H412:K412">_xlfn.XLOOKUP(C412,'ESAP NEIVA FASE II UNIFICADO'!$C$6:$C$720,'ESAP NEIVA FASE II UNIFICADO'!$C$6:$F$720,"NO ESTA")</f>
        <v>SUMINISTRO E INSTALACION VALVULAS MARIPOSA DE 4" DESCARGA DE BOMBA</v>
      </c>
      <c r="I412" t="str">
        <v>UND</v>
      </c>
      <c r="J412">
        <v>3</v>
      </c>
      <c r="K412">
        <v>2334368</v>
      </c>
      <c r="L412">
        <f t="shared" si="32"/>
        <v>0</v>
      </c>
      <c r="M412">
        <f t="shared" si="33"/>
        <v>0</v>
      </c>
      <c r="N412" s="119">
        <f t="shared" si="34"/>
        <v>1</v>
      </c>
      <c r="O412" s="119">
        <f t="shared" si="35"/>
        <v>0</v>
      </c>
    </row>
    <row r="413" spans="2:15" ht="15" customHeight="1" x14ac:dyDescent="0.25">
      <c r="B413" s="86" t="s">
        <v>784</v>
      </c>
      <c r="C413" s="87" t="s">
        <v>785</v>
      </c>
      <c r="D413" s="82" t="s">
        <v>16</v>
      </c>
      <c r="E413" s="230">
        <v>1</v>
      </c>
      <c r="F413" s="88">
        <v>1201991</v>
      </c>
      <c r="G413" s="89">
        <f t="shared" si="31"/>
        <v>1201991</v>
      </c>
      <c r="H413" s="118" t="str">
        <f t="array" ref="H413:K413">_xlfn.XLOOKUP(C413,'ESAP NEIVA FASE II UNIFICADO'!$C$6:$C$720,'ESAP NEIVA FASE II UNIFICADO'!$C$6:$F$720,"NO ESTA")</f>
        <v>SUMINISTRO E INSTALACION VALVULA TRIPLE - FLOTREX</v>
      </c>
      <c r="I413" t="str">
        <v>UND</v>
      </c>
      <c r="J413">
        <v>1</v>
      </c>
      <c r="K413">
        <v>1233385</v>
      </c>
      <c r="L413">
        <f t="shared" si="32"/>
        <v>0</v>
      </c>
      <c r="M413">
        <f t="shared" si="33"/>
        <v>0</v>
      </c>
      <c r="N413" s="119">
        <f t="shared" si="34"/>
        <v>1</v>
      </c>
      <c r="O413" s="119">
        <f t="shared" si="35"/>
        <v>0</v>
      </c>
    </row>
    <row r="414" spans="2:15" ht="15" customHeight="1" x14ac:dyDescent="0.25">
      <c r="B414" s="86" t="s">
        <v>786</v>
      </c>
      <c r="C414" s="87" t="s">
        <v>787</v>
      </c>
      <c r="D414" s="82" t="s">
        <v>16</v>
      </c>
      <c r="E414" s="230">
        <v>1</v>
      </c>
      <c r="F414" s="88">
        <v>353927</v>
      </c>
      <c r="G414" s="89">
        <f t="shared" si="31"/>
        <v>353927</v>
      </c>
      <c r="H414" s="118" t="str">
        <f t="array" ref="H414:K414">_xlfn.XLOOKUP(C414,'ESAP NEIVA FASE II UNIFICADO'!$C$6:$C$720,'ESAP NEIVA FASE II UNIFICADO'!$C$6:$F$720,"NO ESTA")</f>
        <v>SUMINISTRO E INSTALACION VALVULA CORTINA 3" 125PSI - PISO 3</v>
      </c>
      <c r="I414" t="str">
        <v>UND</v>
      </c>
      <c r="J414">
        <v>0</v>
      </c>
      <c r="K414">
        <v>363171</v>
      </c>
      <c r="L414">
        <f t="shared" si="32"/>
        <v>1</v>
      </c>
      <c r="M414">
        <f t="shared" si="33"/>
        <v>353927</v>
      </c>
      <c r="N414" s="119">
        <f t="shared" si="34"/>
        <v>1</v>
      </c>
      <c r="O414" s="119">
        <f t="shared" si="35"/>
        <v>353927</v>
      </c>
    </row>
    <row r="415" spans="2:15" ht="15" customHeight="1" x14ac:dyDescent="0.25">
      <c r="B415" s="86" t="s">
        <v>788</v>
      </c>
      <c r="C415" s="87" t="s">
        <v>789</v>
      </c>
      <c r="D415" s="82" t="s">
        <v>16</v>
      </c>
      <c r="E415" s="230">
        <v>1</v>
      </c>
      <c r="F415" s="88">
        <v>494776</v>
      </c>
      <c r="G415" s="89">
        <f t="shared" si="31"/>
        <v>494776</v>
      </c>
      <c r="H415" s="118" t="str">
        <f t="array" ref="H415:K415">_xlfn.XLOOKUP(C415,'ESAP NEIVA FASE II UNIFICADO'!$C$6:$C$720,'ESAP NEIVA FASE II UNIFICADO'!$C$6:$F$720,"NO ESTA")</f>
        <v>SUMINISTRO E INSTALACION VALVULA GLOBO 3" 125PSI - PISO 3</v>
      </c>
      <c r="I415" t="str">
        <v>UND</v>
      </c>
      <c r="J415">
        <v>0</v>
      </c>
      <c r="K415">
        <v>507699</v>
      </c>
      <c r="L415">
        <f t="shared" si="32"/>
        <v>1</v>
      </c>
      <c r="M415">
        <f t="shared" si="33"/>
        <v>494776</v>
      </c>
      <c r="N415" s="119">
        <f t="shared" si="34"/>
        <v>1</v>
      </c>
      <c r="O415" s="119">
        <f t="shared" si="35"/>
        <v>494776</v>
      </c>
    </row>
    <row r="416" spans="2:15" ht="15" customHeight="1" x14ac:dyDescent="0.25">
      <c r="B416" s="86" t="s">
        <v>790</v>
      </c>
      <c r="C416" s="87" t="s">
        <v>791</v>
      </c>
      <c r="D416" s="82" t="s">
        <v>16</v>
      </c>
      <c r="E416" s="230">
        <v>2</v>
      </c>
      <c r="F416" s="88">
        <v>314488</v>
      </c>
      <c r="G416" s="89">
        <f t="shared" si="31"/>
        <v>628976</v>
      </c>
      <c r="H416" s="118" t="str">
        <f t="array" ref="H416:K416">_xlfn.XLOOKUP(C416,'ESAP NEIVA FASE II UNIFICADO'!$C$6:$C$720,'ESAP NEIVA FASE II UNIFICADO'!$C$6:$F$720,"NO ESTA")</f>
        <v>SUMINISTRO E INSTALACION VALVULAS CORTINA 2 1/2" 125PSI - PISOS 2,3,4</v>
      </c>
      <c r="I416" t="str">
        <v>UND</v>
      </c>
      <c r="J416">
        <v>5</v>
      </c>
      <c r="K416">
        <v>322703</v>
      </c>
      <c r="L416">
        <f t="shared" si="32"/>
        <v>0</v>
      </c>
      <c r="M416">
        <f t="shared" si="33"/>
        <v>0</v>
      </c>
      <c r="N416" s="119">
        <f t="shared" si="34"/>
        <v>2</v>
      </c>
      <c r="O416" s="119">
        <f t="shared" si="35"/>
        <v>0</v>
      </c>
    </row>
    <row r="417" spans="2:15" ht="15" customHeight="1" x14ac:dyDescent="0.25">
      <c r="B417" s="86" t="s">
        <v>792</v>
      </c>
      <c r="C417" s="87" t="s">
        <v>793</v>
      </c>
      <c r="D417" s="82" t="s">
        <v>16</v>
      </c>
      <c r="E417" s="230">
        <v>2</v>
      </c>
      <c r="F417" s="88">
        <v>443695</v>
      </c>
      <c r="G417" s="89">
        <f t="shared" si="31"/>
        <v>887390</v>
      </c>
      <c r="H417" s="118" t="str">
        <f t="array" ref="H417:K417">_xlfn.XLOOKUP(C417,'ESAP NEIVA FASE II UNIFICADO'!$C$6:$C$720,'ESAP NEIVA FASE II UNIFICADO'!$C$6:$F$720,"NO ESTA")</f>
        <v>SUMINISTRO E INSTALACION VALVULAS GLOBO 2 1/2" 125PSI - PISOS 2,3,4</v>
      </c>
      <c r="I417" t="str">
        <v>UND</v>
      </c>
      <c r="J417">
        <v>5</v>
      </c>
      <c r="K417">
        <v>455284</v>
      </c>
      <c r="L417">
        <f t="shared" si="32"/>
        <v>0</v>
      </c>
      <c r="M417">
        <f t="shared" si="33"/>
        <v>0</v>
      </c>
      <c r="N417" s="119">
        <f t="shared" si="34"/>
        <v>2</v>
      </c>
      <c r="O417" s="119">
        <f t="shared" si="35"/>
        <v>0</v>
      </c>
    </row>
    <row r="418" spans="2:15" ht="15" customHeight="1" x14ac:dyDescent="0.25">
      <c r="B418" s="86" t="s">
        <v>794</v>
      </c>
      <c r="C418" s="87" t="s">
        <v>795</v>
      </c>
      <c r="D418" s="82" t="s">
        <v>16</v>
      </c>
      <c r="E418" s="230">
        <v>1</v>
      </c>
      <c r="F418" s="88">
        <v>232608</v>
      </c>
      <c r="G418" s="89">
        <f t="shared" si="31"/>
        <v>232608</v>
      </c>
      <c r="H418" s="118" t="str">
        <f t="array" ref="H418:K418">_xlfn.XLOOKUP(C418,'ESAP NEIVA FASE II UNIFICADO'!$C$6:$C$720,'ESAP NEIVA FASE II UNIFICADO'!$C$6:$F$720,"NO ESTA")</f>
        <v>SUMINISTRO E INSTALACION VALVULAS CORTINA 2" 125PSI - PISO 1,4</v>
      </c>
      <c r="I418" t="str">
        <v>UND</v>
      </c>
      <c r="J418">
        <v>1</v>
      </c>
      <c r="K418">
        <v>238683</v>
      </c>
      <c r="L418">
        <f t="shared" si="32"/>
        <v>0</v>
      </c>
      <c r="M418">
        <f t="shared" si="33"/>
        <v>0</v>
      </c>
      <c r="N418" s="119">
        <f t="shared" si="34"/>
        <v>1</v>
      </c>
      <c r="O418" s="119">
        <f t="shared" si="35"/>
        <v>0</v>
      </c>
    </row>
    <row r="419" spans="2:15" ht="15" customHeight="1" x14ac:dyDescent="0.25">
      <c r="B419" s="86" t="s">
        <v>796</v>
      </c>
      <c r="C419" s="87" t="s">
        <v>797</v>
      </c>
      <c r="D419" s="82" t="s">
        <v>16</v>
      </c>
      <c r="E419" s="230">
        <v>1</v>
      </c>
      <c r="F419" s="88">
        <v>253530</v>
      </c>
      <c r="G419" s="89">
        <f t="shared" si="31"/>
        <v>253530</v>
      </c>
      <c r="H419" s="118" t="str">
        <f t="array" ref="H419:K419">_xlfn.XLOOKUP(C419,'ESAP NEIVA FASE II UNIFICADO'!$C$6:$C$720,'ESAP NEIVA FASE II UNIFICADO'!$C$6:$F$720,"NO ESTA")</f>
        <v>SUMINISTRO E INSTALACION VALVULAS GLOBO 2" 125PSI - PISO 1,4</v>
      </c>
      <c r="I419" t="str">
        <v>UND</v>
      </c>
      <c r="J419">
        <v>1</v>
      </c>
      <c r="K419">
        <v>260152</v>
      </c>
      <c r="L419">
        <f t="shared" si="32"/>
        <v>0</v>
      </c>
      <c r="M419">
        <f t="shared" si="33"/>
        <v>0</v>
      </c>
      <c r="N419" s="119">
        <f t="shared" si="34"/>
        <v>1</v>
      </c>
      <c r="O419" s="119">
        <f t="shared" si="35"/>
        <v>0</v>
      </c>
    </row>
    <row r="420" spans="2:15" ht="15" customHeight="1" x14ac:dyDescent="0.25">
      <c r="B420" s="86" t="s">
        <v>798</v>
      </c>
      <c r="C420" s="87" t="s">
        <v>799</v>
      </c>
      <c r="D420" s="82" t="s">
        <v>16</v>
      </c>
      <c r="E420" s="230">
        <v>1</v>
      </c>
      <c r="F420" s="88">
        <v>569896</v>
      </c>
      <c r="G420" s="89">
        <f t="shared" si="31"/>
        <v>569896</v>
      </c>
      <c r="H420" s="118" t="str">
        <f t="array" ref="H420:K420">_xlfn.XLOOKUP(C420,'ESAP NEIVA FASE II UNIFICADO'!$C$6:$C$720,'ESAP NEIVA FASE II UNIFICADO'!$C$6:$F$720,"NO ESTA")</f>
        <v>SUMINISTRO E INSTALACION FILTRO / STRAINER incluye SOPORTERIA</v>
      </c>
      <c r="I420" t="str">
        <v>UND</v>
      </c>
      <c r="J420">
        <v>1</v>
      </c>
      <c r="K420">
        <v>584781</v>
      </c>
      <c r="L420">
        <f t="shared" si="32"/>
        <v>0</v>
      </c>
      <c r="M420">
        <f t="shared" si="33"/>
        <v>0</v>
      </c>
      <c r="N420" s="119">
        <f t="shared" si="34"/>
        <v>1</v>
      </c>
      <c r="O420" s="119">
        <f t="shared" si="35"/>
        <v>0</v>
      </c>
    </row>
    <row r="421" spans="2:15" ht="24" customHeight="1" x14ac:dyDescent="0.25">
      <c r="B421" s="86" t="s">
        <v>800</v>
      </c>
      <c r="C421" s="87" t="s">
        <v>801</v>
      </c>
      <c r="D421" s="82" t="s">
        <v>16</v>
      </c>
      <c r="E421" s="230">
        <v>1</v>
      </c>
      <c r="F421" s="88">
        <v>3131428</v>
      </c>
      <c r="G421" s="89">
        <f t="shared" si="31"/>
        <v>3131428</v>
      </c>
      <c r="H421" s="118" t="str">
        <f t="array" ref="H421:K421">_xlfn.XLOOKUP(C421,'ESAP NEIVA FASE II UNIFICADO'!$C$6:$C$720,'ESAP NEIVA FASE II UNIFICADO'!$C$6:$F$720,"NO ESTA")</f>
        <v>SUMINISTRO E INSTALACION FLANCHES, CABEZALES Y ACCESORIOS VARIOS ASOCIADOS</v>
      </c>
      <c r="I421" t="str">
        <v>UND</v>
      </c>
      <c r="J421">
        <v>1</v>
      </c>
      <c r="K421">
        <v>3213217</v>
      </c>
      <c r="L421">
        <f t="shared" si="32"/>
        <v>0</v>
      </c>
      <c r="M421">
        <f t="shared" si="33"/>
        <v>0</v>
      </c>
      <c r="N421" s="119">
        <f t="shared" si="34"/>
        <v>1</v>
      </c>
      <c r="O421" s="119">
        <f t="shared" si="35"/>
        <v>0</v>
      </c>
    </row>
    <row r="422" spans="2:15" ht="15" customHeight="1" x14ac:dyDescent="0.25">
      <c r="B422" s="86" t="s">
        <v>802</v>
      </c>
      <c r="C422" s="87" t="s">
        <v>803</v>
      </c>
      <c r="D422" s="82" t="s">
        <v>16</v>
      </c>
      <c r="E422" s="230">
        <v>2</v>
      </c>
      <c r="F422" s="88">
        <v>980458</v>
      </c>
      <c r="G422" s="89">
        <f t="shared" si="31"/>
        <v>1960916</v>
      </c>
      <c r="H422" s="118" t="str">
        <f t="array" ref="H422:K422">_xlfn.XLOOKUP(C422,'ESAP NEIVA FASE II UNIFICADO'!$C$6:$C$720,'ESAP NEIVA FASE II UNIFICADO'!$C$6:$F$720,"NO ESTA")</f>
        <v>SUMINISTRO E INSTALACION JUNTAS FLEXIBLES CHILLER 4"</v>
      </c>
      <c r="I422" t="str">
        <v>UND</v>
      </c>
      <c r="J422">
        <v>2</v>
      </c>
      <c r="K422">
        <v>1006067</v>
      </c>
      <c r="L422">
        <f t="shared" si="32"/>
        <v>0</v>
      </c>
      <c r="M422">
        <f t="shared" si="33"/>
        <v>0</v>
      </c>
      <c r="N422" s="119">
        <f t="shared" si="34"/>
        <v>2</v>
      </c>
      <c r="O422" s="119">
        <f t="shared" si="35"/>
        <v>0</v>
      </c>
    </row>
    <row r="423" spans="2:15" ht="15" customHeight="1" x14ac:dyDescent="0.25">
      <c r="B423" s="86" t="s">
        <v>804</v>
      </c>
      <c r="C423" s="87" t="s">
        <v>805</v>
      </c>
      <c r="D423" s="82" t="s">
        <v>16</v>
      </c>
      <c r="E423" s="230">
        <v>2</v>
      </c>
      <c r="F423" s="88">
        <v>936475</v>
      </c>
      <c r="G423" s="89">
        <f t="shared" si="31"/>
        <v>1872950</v>
      </c>
      <c r="H423" s="118" t="str">
        <f t="array" ref="H423:K423">_xlfn.XLOOKUP(C423,'ESAP NEIVA FASE II UNIFICADO'!$C$6:$C$720,'ESAP NEIVA FASE II UNIFICADO'!$C$6:$F$720,"NO ESTA")</f>
        <v>SUMINISTRO E INSTALACION JUNTAS FLEXIBLES BOMBA VERTICAL 3"</v>
      </c>
      <c r="I423" t="str">
        <v>UND</v>
      </c>
      <c r="J423">
        <v>2</v>
      </c>
      <c r="K423">
        <v>960934</v>
      </c>
      <c r="L423">
        <f t="shared" si="32"/>
        <v>0</v>
      </c>
      <c r="M423">
        <f t="shared" si="33"/>
        <v>0</v>
      </c>
      <c r="N423" s="119">
        <f t="shared" si="34"/>
        <v>2</v>
      </c>
      <c r="O423" s="119">
        <f t="shared" si="35"/>
        <v>0</v>
      </c>
    </row>
    <row r="424" spans="2:15" ht="15" customHeight="1" x14ac:dyDescent="0.25">
      <c r="B424" s="86" t="s">
        <v>806</v>
      </c>
      <c r="C424" s="87" t="s">
        <v>807</v>
      </c>
      <c r="D424" s="82" t="s">
        <v>16</v>
      </c>
      <c r="E424" s="230">
        <v>1</v>
      </c>
      <c r="F424" s="88">
        <v>247647</v>
      </c>
      <c r="G424" s="89">
        <f t="shared" si="31"/>
        <v>247647</v>
      </c>
      <c r="H424" s="118" t="str">
        <f t="array" ref="H424:K424">_xlfn.XLOOKUP(C424,'ESAP NEIVA FASE II UNIFICADO'!$C$6:$C$720,'ESAP NEIVA FASE II UNIFICADO'!$C$6:$F$720,"NO ESTA")</f>
        <v>SUMINISTRO E INSTALACION VALVULA DE CORTINA 2" FC 150 PSI</v>
      </c>
      <c r="I424" t="str">
        <v>UND</v>
      </c>
      <c r="J424">
        <v>0</v>
      </c>
      <c r="K424">
        <v>254114</v>
      </c>
      <c r="L424">
        <f t="shared" si="32"/>
        <v>1</v>
      </c>
      <c r="M424">
        <f t="shared" si="33"/>
        <v>247647</v>
      </c>
      <c r="N424" s="119">
        <f t="shared" si="34"/>
        <v>1</v>
      </c>
      <c r="O424" s="119">
        <f t="shared" si="35"/>
        <v>247647</v>
      </c>
    </row>
    <row r="425" spans="2:15" ht="15" customHeight="1" x14ac:dyDescent="0.25">
      <c r="B425" s="86" t="s">
        <v>808</v>
      </c>
      <c r="C425" s="87" t="s">
        <v>809</v>
      </c>
      <c r="D425" s="82" t="s">
        <v>16</v>
      </c>
      <c r="E425" s="230">
        <v>1</v>
      </c>
      <c r="F425" s="88">
        <v>275628</v>
      </c>
      <c r="G425" s="89">
        <f t="shared" si="31"/>
        <v>275628</v>
      </c>
      <c r="H425" s="118" t="str">
        <f t="array" ref="H425:K425">_xlfn.XLOOKUP(C425,'ESAP NEIVA FASE II UNIFICADO'!$C$6:$C$720,'ESAP NEIVA FASE II UNIFICADO'!$C$6:$F$720,"NO ESTA")</f>
        <v>SUMINISTRO E INSTALACION VALVULA DE GLOBO 2" FC 150 PSI</v>
      </c>
      <c r="I425" t="str">
        <v>UND</v>
      </c>
      <c r="J425">
        <v>0</v>
      </c>
      <c r="K425">
        <v>282827</v>
      </c>
      <c r="L425">
        <f t="shared" si="32"/>
        <v>1</v>
      </c>
      <c r="M425">
        <f t="shared" si="33"/>
        <v>275628</v>
      </c>
      <c r="N425" s="119">
        <f t="shared" si="34"/>
        <v>1</v>
      </c>
      <c r="O425" s="119">
        <f t="shared" si="35"/>
        <v>275628</v>
      </c>
    </row>
    <row r="426" spans="2:15" ht="15" customHeight="1" x14ac:dyDescent="0.25">
      <c r="B426" s="86" t="s">
        <v>810</v>
      </c>
      <c r="C426" s="87" t="s">
        <v>811</v>
      </c>
      <c r="D426" s="82" t="s">
        <v>16</v>
      </c>
      <c r="E426" s="230">
        <v>6</v>
      </c>
      <c r="F426" s="88">
        <v>209281</v>
      </c>
      <c r="G426" s="89">
        <f t="shared" si="31"/>
        <v>1255686</v>
      </c>
      <c r="H426" s="118" t="str">
        <f t="array" ref="H426:K426">_xlfn.XLOOKUP(C426,'ESAP NEIVA FASE II UNIFICADO'!$C$6:$C$720,'ESAP NEIVA FASE II UNIFICADO'!$C$6:$F$720,"NO ESTA")</f>
        <v>SUMINISTRO E INSTALACION VALVULAS DE CORTINA 1 1/4" FC 125 PSI</v>
      </c>
      <c r="I426" t="str">
        <v>UND</v>
      </c>
      <c r="J426">
        <v>17</v>
      </c>
      <c r="K426">
        <v>214747</v>
      </c>
      <c r="L426">
        <f t="shared" si="32"/>
        <v>0</v>
      </c>
      <c r="M426">
        <f t="shared" si="33"/>
        <v>0</v>
      </c>
      <c r="N426" s="119">
        <f t="shared" si="34"/>
        <v>6</v>
      </c>
      <c r="O426" s="119">
        <f t="shared" si="35"/>
        <v>0</v>
      </c>
    </row>
    <row r="427" spans="2:15" ht="15" customHeight="1" x14ac:dyDescent="0.25">
      <c r="B427" s="86" t="s">
        <v>812</v>
      </c>
      <c r="C427" s="87" t="s">
        <v>813</v>
      </c>
      <c r="D427" s="82" t="s">
        <v>16</v>
      </c>
      <c r="E427" s="230">
        <v>6</v>
      </c>
      <c r="F427" s="88">
        <v>315952</v>
      </c>
      <c r="G427" s="89">
        <f t="shared" si="31"/>
        <v>1895712</v>
      </c>
      <c r="H427" s="118" t="str">
        <f t="array" ref="H427:K427">_xlfn.XLOOKUP(C427,'ESAP NEIVA FASE II UNIFICADO'!$C$6:$C$720,'ESAP NEIVA FASE II UNIFICADO'!$C$6:$F$720,"NO ESTA")</f>
        <v>SUMINISTRO E INSTALACION VALVULAS DE GLOBO 1 1/4" FC 125 PSI</v>
      </c>
      <c r="I427" t="str">
        <v>UND</v>
      </c>
      <c r="J427">
        <v>17</v>
      </c>
      <c r="K427">
        <v>324203</v>
      </c>
      <c r="L427">
        <f t="shared" si="32"/>
        <v>0</v>
      </c>
      <c r="M427">
        <f t="shared" si="33"/>
        <v>0</v>
      </c>
      <c r="N427" s="119">
        <f t="shared" si="34"/>
        <v>6</v>
      </c>
      <c r="O427" s="119">
        <f t="shared" si="35"/>
        <v>0</v>
      </c>
    </row>
    <row r="428" spans="2:15" ht="15" customHeight="1" x14ac:dyDescent="0.25">
      <c r="B428" s="86" t="s">
        <v>814</v>
      </c>
      <c r="C428" s="87" t="s">
        <v>815</v>
      </c>
      <c r="D428" s="82" t="s">
        <v>16</v>
      </c>
      <c r="E428" s="230">
        <v>1</v>
      </c>
      <c r="F428" s="88">
        <v>228061</v>
      </c>
      <c r="G428" s="89">
        <f t="shared" si="31"/>
        <v>228061</v>
      </c>
      <c r="H428" s="118" t="str">
        <f t="array" ref="H428:K428">_xlfn.XLOOKUP(C428,'ESAP NEIVA FASE II UNIFICADO'!$C$6:$C$720,'ESAP NEIVA FASE II UNIFICADO'!$C$6:$F$720,"NO ESTA")</f>
        <v>SUMINISTRO E INSTALACION VALVULAS DE CORTINA 1 1/2" FC 125-150 PSI</v>
      </c>
      <c r="I428" t="str">
        <v>UND</v>
      </c>
      <c r="J428">
        <v>1</v>
      </c>
      <c r="K428">
        <v>234017</v>
      </c>
      <c r="L428">
        <f t="shared" si="32"/>
        <v>0</v>
      </c>
      <c r="M428">
        <f t="shared" si="33"/>
        <v>0</v>
      </c>
      <c r="N428" s="119">
        <f t="shared" si="34"/>
        <v>1</v>
      </c>
      <c r="O428" s="119">
        <f t="shared" si="35"/>
        <v>0</v>
      </c>
    </row>
    <row r="429" spans="2:15" ht="15" customHeight="1" x14ac:dyDescent="0.25">
      <c r="B429" s="86" t="s">
        <v>816</v>
      </c>
      <c r="C429" s="87" t="s">
        <v>817</v>
      </c>
      <c r="D429" s="82" t="s">
        <v>16</v>
      </c>
      <c r="E429" s="230">
        <v>1</v>
      </c>
      <c r="F429" s="88">
        <v>328221</v>
      </c>
      <c r="G429" s="89">
        <f t="shared" si="31"/>
        <v>328221</v>
      </c>
      <c r="H429" s="118" t="str">
        <f t="array" ref="H429:K429">_xlfn.XLOOKUP(C429,'ESAP NEIVA FASE II UNIFICADO'!$C$6:$C$720,'ESAP NEIVA FASE II UNIFICADO'!$C$6:$F$720,"NO ESTA")</f>
        <v>SUMINISTRO E INSTALACIONVALVULAS DE GLOBO 1   1/2" FC 125-150 PSI</v>
      </c>
      <c r="I429" t="str">
        <v>UND</v>
      </c>
      <c r="J429">
        <v>1</v>
      </c>
      <c r="K429">
        <v>336793</v>
      </c>
      <c r="L429">
        <f t="shared" si="32"/>
        <v>0</v>
      </c>
      <c r="M429">
        <f t="shared" si="33"/>
        <v>0</v>
      </c>
      <c r="N429" s="119">
        <f t="shared" si="34"/>
        <v>1</v>
      </c>
      <c r="O429" s="119">
        <f t="shared" si="35"/>
        <v>0</v>
      </c>
    </row>
    <row r="430" spans="2:15" ht="15" customHeight="1" x14ac:dyDescent="0.25">
      <c r="B430" s="86" t="s">
        <v>818</v>
      </c>
      <c r="C430" s="87" t="s">
        <v>819</v>
      </c>
      <c r="D430" s="82" t="s">
        <v>16</v>
      </c>
      <c r="E430" s="230">
        <v>2</v>
      </c>
      <c r="F430" s="88">
        <v>152941</v>
      </c>
      <c r="G430" s="89">
        <f t="shared" si="31"/>
        <v>305882</v>
      </c>
      <c r="H430" s="118" t="str">
        <f t="array" ref="H430:K430">_xlfn.XLOOKUP(C430,'ESAP NEIVA FASE II UNIFICADO'!$C$6:$C$720,'ESAP NEIVA FASE II UNIFICADO'!$C$6:$F$720,"NO ESTA")</f>
        <v>SUMINISTRO E INSTALACION VALVULAS DE CORTINA 1" FC 125 PSI</v>
      </c>
      <c r="I430" t="str">
        <v>UND</v>
      </c>
      <c r="J430">
        <v>2</v>
      </c>
      <c r="K430">
        <v>156935</v>
      </c>
      <c r="L430">
        <f t="shared" si="32"/>
        <v>0</v>
      </c>
      <c r="M430">
        <f t="shared" si="33"/>
        <v>0</v>
      </c>
      <c r="N430" s="119">
        <f t="shared" si="34"/>
        <v>2</v>
      </c>
      <c r="O430" s="119">
        <f t="shared" si="35"/>
        <v>0</v>
      </c>
    </row>
    <row r="431" spans="2:15" ht="15" customHeight="1" x14ac:dyDescent="0.25">
      <c r="B431" s="86" t="s">
        <v>820</v>
      </c>
      <c r="C431" s="87" t="s">
        <v>821</v>
      </c>
      <c r="D431" s="82" t="s">
        <v>16</v>
      </c>
      <c r="E431" s="230">
        <v>2</v>
      </c>
      <c r="F431" s="88">
        <v>190501</v>
      </c>
      <c r="G431" s="89">
        <f t="shared" si="31"/>
        <v>381002</v>
      </c>
      <c r="H431" s="118" t="str">
        <f t="array" ref="H431:K431">_xlfn.XLOOKUP(C431,'ESAP NEIVA FASE II UNIFICADO'!$C$6:$C$720,'ESAP NEIVA FASE II UNIFICADO'!$C$6:$F$720,"NO ESTA")</f>
        <v>SUMINISTRO E INSTALACION VALVULAS DE GLOBO 1" FC 125 PSI</v>
      </c>
      <c r="I431" t="str">
        <v>UND</v>
      </c>
      <c r="J431">
        <v>2</v>
      </c>
      <c r="K431">
        <v>195476</v>
      </c>
      <c r="L431">
        <f t="shared" si="32"/>
        <v>0</v>
      </c>
      <c r="M431">
        <f t="shared" si="33"/>
        <v>0</v>
      </c>
      <c r="N431" s="119">
        <f t="shared" si="34"/>
        <v>2</v>
      </c>
      <c r="O431" s="119">
        <f t="shared" si="35"/>
        <v>0</v>
      </c>
    </row>
    <row r="432" spans="2:15" ht="15" customHeight="1" x14ac:dyDescent="0.25">
      <c r="B432" s="86" t="s">
        <v>822</v>
      </c>
      <c r="C432" s="87" t="s">
        <v>823</v>
      </c>
      <c r="D432" s="82" t="s">
        <v>16</v>
      </c>
      <c r="E432" s="230">
        <v>4</v>
      </c>
      <c r="F432" s="88">
        <v>122306</v>
      </c>
      <c r="G432" s="89">
        <f t="shared" si="31"/>
        <v>489224</v>
      </c>
      <c r="H432" s="118" t="str">
        <f t="array" ref="H432:K432">_xlfn.XLOOKUP(C432,'ESAP NEIVA FASE II UNIFICADO'!$C$6:$C$720,'ESAP NEIVA FASE II UNIFICADO'!$C$6:$F$720,"NO ESTA")</f>
        <v>SUMINISTRO E INSTALACION VALVULAS DE CORTINA 3/4" FC 125 PSI</v>
      </c>
      <c r="I432" t="str">
        <v>UND</v>
      </c>
      <c r="J432">
        <v>4</v>
      </c>
      <c r="K432">
        <v>125501</v>
      </c>
      <c r="L432">
        <f t="shared" si="32"/>
        <v>0</v>
      </c>
      <c r="M432">
        <f t="shared" si="33"/>
        <v>0</v>
      </c>
      <c r="N432" s="119">
        <f t="shared" si="34"/>
        <v>4</v>
      </c>
      <c r="O432" s="119">
        <f t="shared" si="35"/>
        <v>0</v>
      </c>
    </row>
    <row r="433" spans="2:15" ht="15" customHeight="1" x14ac:dyDescent="0.25">
      <c r="B433" s="86" t="s">
        <v>824</v>
      </c>
      <c r="C433" s="87" t="s">
        <v>825</v>
      </c>
      <c r="D433" s="82" t="s">
        <v>16</v>
      </c>
      <c r="E433" s="230">
        <v>4</v>
      </c>
      <c r="F433" s="88">
        <v>156737</v>
      </c>
      <c r="G433" s="89">
        <f t="shared" si="31"/>
        <v>626948</v>
      </c>
      <c r="H433" s="118" t="str">
        <f t="array" ref="H433:K433">_xlfn.XLOOKUP(C433,'ESAP NEIVA FASE II UNIFICADO'!$C$6:$C$720,'ESAP NEIVA FASE II UNIFICADO'!$C$6:$F$720,"NO ESTA")</f>
        <v>SUMINISTRO E INSTALACION VALVULAS DE GLOBO 3/4" FC 125 PSI</v>
      </c>
      <c r="I433" t="str">
        <v>UND</v>
      </c>
      <c r="J433">
        <v>4</v>
      </c>
      <c r="K433">
        <v>160830</v>
      </c>
      <c r="L433">
        <f t="shared" si="32"/>
        <v>0</v>
      </c>
      <c r="M433">
        <f t="shared" si="33"/>
        <v>0</v>
      </c>
      <c r="N433" s="119">
        <f t="shared" si="34"/>
        <v>4</v>
      </c>
      <c r="O433" s="119">
        <f t="shared" si="35"/>
        <v>0</v>
      </c>
    </row>
    <row r="434" spans="2:15" ht="15" customHeight="1" x14ac:dyDescent="0.25">
      <c r="B434" s="86" t="s">
        <v>826</v>
      </c>
      <c r="C434" s="87" t="s">
        <v>827</v>
      </c>
      <c r="D434" s="82" t="s">
        <v>16</v>
      </c>
      <c r="E434" s="230">
        <v>2</v>
      </c>
      <c r="F434" s="88">
        <v>190501</v>
      </c>
      <c r="G434" s="89">
        <f t="shared" si="31"/>
        <v>381002</v>
      </c>
      <c r="H434" s="118" t="str">
        <f t="array" ref="H434:K434">_xlfn.XLOOKUP(C434,'ESAP NEIVA FASE II UNIFICADO'!$C$6:$C$720,'ESAP NEIVA FASE II UNIFICADO'!$C$6:$F$720,"NO ESTA")</f>
        <v>SUMINISTRO E INSTALACION TERMOTATOS DIGITALES NO PROGRAMABLES FC</v>
      </c>
      <c r="I434" t="str">
        <v>UND</v>
      </c>
      <c r="J434">
        <v>6</v>
      </c>
      <c r="K434">
        <v>195476</v>
      </c>
      <c r="L434">
        <f t="shared" si="32"/>
        <v>0</v>
      </c>
      <c r="M434">
        <f t="shared" si="33"/>
        <v>0</v>
      </c>
      <c r="N434" s="119">
        <f t="shared" si="34"/>
        <v>2</v>
      </c>
      <c r="O434" s="119">
        <f t="shared" si="35"/>
        <v>0</v>
      </c>
    </row>
    <row r="435" spans="2:15" ht="15" customHeight="1" x14ac:dyDescent="0.25">
      <c r="B435" s="86" t="s">
        <v>828</v>
      </c>
      <c r="C435" s="87" t="s">
        <v>829</v>
      </c>
      <c r="D435" s="82" t="s">
        <v>16</v>
      </c>
      <c r="E435" s="230">
        <v>8</v>
      </c>
      <c r="F435" s="88">
        <v>315701</v>
      </c>
      <c r="G435" s="89">
        <f t="shared" si="31"/>
        <v>2525608</v>
      </c>
      <c r="H435" s="118" t="str">
        <f t="array" ref="H435:K435">_xlfn.XLOOKUP(C435,'ESAP NEIVA FASE II UNIFICADO'!$C$6:$C$720,'ESAP NEIVA FASE II UNIFICADO'!$C$6:$F$720,"NO ESTA")</f>
        <v xml:space="preserve">SUMINISTRO E INSTALACION TERMOSTATOS PROPORCIONALES DIGITALES </v>
      </c>
      <c r="I435" t="str">
        <v>UND</v>
      </c>
      <c r="J435">
        <v>22</v>
      </c>
      <c r="K435">
        <v>323946</v>
      </c>
      <c r="L435">
        <f t="shared" si="32"/>
        <v>0</v>
      </c>
      <c r="M435">
        <f t="shared" si="33"/>
        <v>0</v>
      </c>
      <c r="N435" s="119">
        <f t="shared" si="34"/>
        <v>8</v>
      </c>
      <c r="O435" s="119">
        <f t="shared" si="35"/>
        <v>0</v>
      </c>
    </row>
    <row r="436" spans="2:15" ht="15" customHeight="1" x14ac:dyDescent="0.25">
      <c r="B436" s="86" t="s">
        <v>830</v>
      </c>
      <c r="C436" s="87" t="s">
        <v>831</v>
      </c>
      <c r="D436" s="82" t="s">
        <v>16</v>
      </c>
      <c r="E436" s="230">
        <v>2</v>
      </c>
      <c r="F436" s="88">
        <v>240581</v>
      </c>
      <c r="G436" s="89">
        <f t="shared" si="31"/>
        <v>481162</v>
      </c>
      <c r="H436" s="118" t="str">
        <f t="array" ref="H436:K436">_xlfn.XLOOKUP(C436,'ESAP NEIVA FASE II UNIFICADO'!$C$6:$C$720,'ESAP NEIVA FASE II UNIFICADO'!$C$6:$F$720,"NO ESTA")</f>
        <v>SUMINISTRO E INSTALACION ELECTROVALVULAS ON-OFF  110V</v>
      </c>
      <c r="I436" t="str">
        <v>UND</v>
      </c>
      <c r="J436">
        <v>6</v>
      </c>
      <c r="K436">
        <v>246864</v>
      </c>
      <c r="L436">
        <f t="shared" si="32"/>
        <v>0</v>
      </c>
      <c r="M436">
        <f t="shared" si="33"/>
        <v>0</v>
      </c>
      <c r="N436" s="119">
        <f t="shared" si="34"/>
        <v>2</v>
      </c>
      <c r="O436" s="119">
        <f t="shared" si="35"/>
        <v>0</v>
      </c>
    </row>
    <row r="437" spans="2:15" ht="15" customHeight="1" x14ac:dyDescent="0.25">
      <c r="B437" s="86" t="s">
        <v>832</v>
      </c>
      <c r="C437" s="87" t="s">
        <v>833</v>
      </c>
      <c r="D437" s="82" t="s">
        <v>16</v>
      </c>
      <c r="E437" s="230">
        <v>1</v>
      </c>
      <c r="F437" s="88">
        <v>797720</v>
      </c>
      <c r="G437" s="89">
        <f t="shared" si="31"/>
        <v>797720</v>
      </c>
      <c r="H437" s="118" t="str">
        <f t="array" ref="H437:K437">_xlfn.XLOOKUP(C437,'ESAP NEIVA FASE II UNIFICADO'!$C$6:$C$720,'ESAP NEIVA FASE II UNIFICADO'!$C$6:$F$720,"NO ESTA")</f>
        <v>SUMINISTRO E INSTALACION ELECTROVALVULAS PROPORCIONALES 2 " - 2 VIAS - 24V</v>
      </c>
      <c r="I437" t="str">
        <v>UND</v>
      </c>
      <c r="J437">
        <v>0</v>
      </c>
      <c r="K437">
        <v>818556</v>
      </c>
      <c r="L437">
        <f t="shared" si="32"/>
        <v>1</v>
      </c>
      <c r="M437">
        <f t="shared" si="33"/>
        <v>797720</v>
      </c>
      <c r="N437" s="119">
        <f t="shared" si="34"/>
        <v>1</v>
      </c>
      <c r="O437" s="119">
        <f t="shared" si="35"/>
        <v>797720</v>
      </c>
    </row>
    <row r="438" spans="2:15" ht="27.75" customHeight="1" x14ac:dyDescent="0.25">
      <c r="B438" s="86" t="s">
        <v>834</v>
      </c>
      <c r="C438" s="87" t="s">
        <v>835</v>
      </c>
      <c r="D438" s="82" t="s">
        <v>16</v>
      </c>
      <c r="E438" s="230">
        <v>1</v>
      </c>
      <c r="F438" s="88">
        <v>797720</v>
      </c>
      <c r="G438" s="89">
        <f t="shared" si="31"/>
        <v>797720</v>
      </c>
      <c r="H438" s="118" t="str">
        <f t="array" ref="H438:K438">_xlfn.XLOOKUP(C438,'ESAP NEIVA FASE II UNIFICADO'!$C$6:$C$720,'ESAP NEIVA FASE II UNIFICADO'!$C$6:$F$720,"NO ESTA")</f>
        <v>SUMINISTRO E INSTALACION ELECTROVALVULAS PROPORCIONALES  1 1/2 " - 2 VIAS - 24V</v>
      </c>
      <c r="I438" t="str">
        <v>UND</v>
      </c>
      <c r="J438">
        <v>2</v>
      </c>
      <c r="K438">
        <v>818556</v>
      </c>
      <c r="L438">
        <f t="shared" si="32"/>
        <v>0</v>
      </c>
      <c r="M438">
        <f t="shared" si="33"/>
        <v>0</v>
      </c>
      <c r="N438" s="119">
        <f t="shared" si="34"/>
        <v>1</v>
      </c>
      <c r="O438" s="119">
        <f t="shared" si="35"/>
        <v>0</v>
      </c>
    </row>
    <row r="439" spans="2:15" ht="27.75" customHeight="1" x14ac:dyDescent="0.25">
      <c r="B439" s="86" t="s">
        <v>836</v>
      </c>
      <c r="C439" s="87" t="s">
        <v>837</v>
      </c>
      <c r="D439" s="82" t="s">
        <v>16</v>
      </c>
      <c r="E439" s="230">
        <v>1</v>
      </c>
      <c r="F439" s="88">
        <v>797720</v>
      </c>
      <c r="G439" s="89">
        <f t="shared" si="31"/>
        <v>797720</v>
      </c>
      <c r="H439" s="118" t="str">
        <f t="array" ref="H439:K439">_xlfn.XLOOKUP(C439,'ESAP NEIVA FASE II UNIFICADO'!$C$6:$C$720,'ESAP NEIVA FASE II UNIFICADO'!$C$6:$F$720,"NO ESTA")</f>
        <v>SUMINISTRO E INSTALACION ELECTROVALVULAS PROPORCIONALES  1 1/2 " - 3 VIAS - 24V</v>
      </c>
      <c r="I439" t="str">
        <v>UND</v>
      </c>
      <c r="J439">
        <v>0</v>
      </c>
      <c r="K439">
        <v>818556</v>
      </c>
      <c r="L439">
        <f t="shared" si="32"/>
        <v>1</v>
      </c>
      <c r="M439">
        <f t="shared" si="33"/>
        <v>797720</v>
      </c>
      <c r="N439" s="119">
        <f t="shared" si="34"/>
        <v>1</v>
      </c>
      <c r="O439" s="119">
        <f t="shared" si="35"/>
        <v>797720</v>
      </c>
    </row>
    <row r="440" spans="2:15" ht="15" customHeight="1" x14ac:dyDescent="0.25">
      <c r="B440" s="86" t="s">
        <v>838</v>
      </c>
      <c r="C440" s="87" t="s">
        <v>839</v>
      </c>
      <c r="D440" s="82" t="s">
        <v>16</v>
      </c>
      <c r="E440" s="230">
        <v>5</v>
      </c>
      <c r="F440" s="88">
        <v>703821</v>
      </c>
      <c r="G440" s="89">
        <f t="shared" si="31"/>
        <v>3519105</v>
      </c>
      <c r="H440" s="118" t="str">
        <f t="array" ref="H440:K440">_xlfn.XLOOKUP(C440,'ESAP NEIVA FASE II UNIFICADO'!$C$6:$C$720,'ESAP NEIVA FASE II UNIFICADO'!$C$6:$F$720,"NO ESTA")</f>
        <v>SUMINISTRO E INSTALACION ELECTROVALVULAS PROPORCIONALES 1 1/4 " - 24V</v>
      </c>
      <c r="I440" t="str">
        <v>UND</v>
      </c>
      <c r="J440">
        <v>15</v>
      </c>
      <c r="K440">
        <v>722203</v>
      </c>
      <c r="L440">
        <f t="shared" si="32"/>
        <v>0</v>
      </c>
      <c r="M440">
        <f t="shared" si="33"/>
        <v>0</v>
      </c>
      <c r="N440" s="119">
        <f t="shared" si="34"/>
        <v>5</v>
      </c>
      <c r="O440" s="119">
        <f t="shared" si="35"/>
        <v>0</v>
      </c>
    </row>
    <row r="441" spans="2:15" ht="15" customHeight="1" x14ac:dyDescent="0.25">
      <c r="B441" s="86" t="s">
        <v>840</v>
      </c>
      <c r="C441" s="87" t="s">
        <v>841</v>
      </c>
      <c r="D441" s="82" t="s">
        <v>16</v>
      </c>
      <c r="E441" s="230">
        <v>1</v>
      </c>
      <c r="F441" s="88">
        <v>567603</v>
      </c>
      <c r="G441" s="89">
        <f t="shared" si="31"/>
        <v>567603</v>
      </c>
      <c r="H441" s="118" t="str">
        <f t="array" ref="H441:K441">_xlfn.XLOOKUP(C441,'ESAP NEIVA FASE II UNIFICADO'!$C$6:$C$720,'ESAP NEIVA FASE II UNIFICADO'!$C$6:$F$720,"NO ESTA")</f>
        <v>SUMINISTRO E INSTALACION ELECTROVALVULAS PROPORCIONALES 1 " - 24V</v>
      </c>
      <c r="I441" t="str">
        <v>UND</v>
      </c>
      <c r="J441">
        <v>0</v>
      </c>
      <c r="K441">
        <v>582428</v>
      </c>
      <c r="L441">
        <f t="shared" si="32"/>
        <v>1</v>
      </c>
      <c r="M441">
        <f t="shared" si="33"/>
        <v>567603</v>
      </c>
      <c r="N441" s="119">
        <f t="shared" si="34"/>
        <v>1</v>
      </c>
      <c r="O441" s="119">
        <f t="shared" si="35"/>
        <v>567603</v>
      </c>
    </row>
    <row r="442" spans="2:15" ht="15" customHeight="1" x14ac:dyDescent="0.25">
      <c r="B442" s="80" t="s">
        <v>842</v>
      </c>
      <c r="C442" s="81" t="s">
        <v>843</v>
      </c>
      <c r="D442" s="82"/>
      <c r="E442" s="230"/>
      <c r="F442" s="90">
        <v>0</v>
      </c>
      <c r="G442" s="89">
        <f t="shared" si="31"/>
        <v>0</v>
      </c>
      <c r="H442" s="118" t="str">
        <f t="array" ref="H442:K442">_xlfn.XLOOKUP(C442,'ESAP NEIVA FASE II UNIFICADO'!$C$6:$C$720,'ESAP NEIVA FASE II UNIFICADO'!$C$6:$F$720,"NO ESTA")</f>
        <v>SUMINISTRO, MONTAJE E INSTALACIÓN DE DUCTOS DE AIRE ACONDICIONADO</v>
      </c>
      <c r="I442">
        <v>0</v>
      </c>
      <c r="J442">
        <v>0</v>
      </c>
      <c r="K442">
        <v>0</v>
      </c>
      <c r="L442">
        <f t="shared" si="32"/>
        <v>1</v>
      </c>
      <c r="M442">
        <f t="shared" si="33"/>
        <v>0</v>
      </c>
      <c r="N442" s="119">
        <f t="shared" si="34"/>
        <v>0</v>
      </c>
      <c r="O442" s="119">
        <f t="shared" si="35"/>
        <v>0</v>
      </c>
    </row>
    <row r="443" spans="2:15" ht="15" customHeight="1" x14ac:dyDescent="0.25">
      <c r="B443" s="86" t="s">
        <v>844</v>
      </c>
      <c r="C443" s="87" t="s">
        <v>845</v>
      </c>
      <c r="D443" s="82" t="s">
        <v>13</v>
      </c>
      <c r="E443" s="230">
        <v>28</v>
      </c>
      <c r="F443" s="88">
        <v>62181</v>
      </c>
      <c r="G443" s="89">
        <f t="shared" si="31"/>
        <v>1741068</v>
      </c>
      <c r="H443" s="118" t="str">
        <f t="array" ref="H443:K443">_xlfn.XLOOKUP(C443,'ESAP NEIVA FASE II UNIFICADO'!$C$6:$C$720,'ESAP NEIVA FASE II UNIFICADO'!$C$6:$F$720,"NO ESTA")</f>
        <v>SUMINISTRO E INSTALACION DUCTOS EN LAMINA GALVANIZADA CAL. 24 Wrap FC</v>
      </c>
      <c r="I443" t="str">
        <v>M2</v>
      </c>
      <c r="J443">
        <v>77</v>
      </c>
      <c r="K443">
        <v>63805</v>
      </c>
      <c r="L443">
        <f t="shared" si="32"/>
        <v>0</v>
      </c>
      <c r="M443">
        <f t="shared" si="33"/>
        <v>0</v>
      </c>
      <c r="N443" s="119">
        <f t="shared" si="34"/>
        <v>28</v>
      </c>
      <c r="O443" s="119">
        <f t="shared" si="35"/>
        <v>0</v>
      </c>
    </row>
    <row r="444" spans="2:15" ht="15" customHeight="1" x14ac:dyDescent="0.25">
      <c r="B444" s="86" t="s">
        <v>846</v>
      </c>
      <c r="C444" s="87" t="s">
        <v>847</v>
      </c>
      <c r="D444" s="82" t="s">
        <v>13</v>
      </c>
      <c r="E444" s="230">
        <v>200</v>
      </c>
      <c r="F444" s="88">
        <v>68392</v>
      </c>
      <c r="G444" s="89">
        <f t="shared" si="31"/>
        <v>13678400</v>
      </c>
      <c r="H444" s="118" t="str">
        <f t="array" ref="H444:K444">_xlfn.XLOOKUP(C444,'ESAP NEIVA FASE II UNIFICADO'!$C$6:$C$720,'ESAP NEIVA FASE II UNIFICADO'!$C$6:$F$720,"NO ESTA")</f>
        <v>SUMINISTRO E INSTALACION DUCTOS EN LAMINA GALVANIZADA CAL. 22 Wrap FC</v>
      </c>
      <c r="I444" t="str">
        <v>M2</v>
      </c>
      <c r="J444">
        <v>540</v>
      </c>
      <c r="K444">
        <v>70179</v>
      </c>
      <c r="L444">
        <f t="shared" si="32"/>
        <v>0</v>
      </c>
      <c r="M444">
        <f t="shared" si="33"/>
        <v>0</v>
      </c>
      <c r="N444" s="119">
        <f t="shared" si="34"/>
        <v>200</v>
      </c>
      <c r="O444" s="119">
        <f t="shared" si="35"/>
        <v>0</v>
      </c>
    </row>
    <row r="445" spans="2:15" ht="15" customHeight="1" x14ac:dyDescent="0.25">
      <c r="B445" s="86" t="s">
        <v>848</v>
      </c>
      <c r="C445" s="87" t="s">
        <v>849</v>
      </c>
      <c r="D445" s="82" t="s">
        <v>13</v>
      </c>
      <c r="E445" s="230">
        <v>228</v>
      </c>
      <c r="F445" s="88">
        <v>18961</v>
      </c>
      <c r="G445" s="89">
        <f t="shared" si="31"/>
        <v>4323108</v>
      </c>
      <c r="H445" s="118" t="str">
        <f t="array" ref="H445:K445">_xlfn.XLOOKUP(C445,'ESAP NEIVA FASE II UNIFICADO'!$C$6:$C$720,'ESAP NEIVA FASE II UNIFICADO'!$C$6:$F$720,"NO ESTA")</f>
        <v>SUMINISTRO E INSTALACION AISLAMIENTO DUCTOS EN JUMBOLON FC</v>
      </c>
      <c r="I445" t="str">
        <v>M2</v>
      </c>
      <c r="J445">
        <v>617</v>
      </c>
      <c r="K445">
        <v>19457</v>
      </c>
      <c r="L445">
        <f t="shared" si="32"/>
        <v>0</v>
      </c>
      <c r="M445">
        <f t="shared" si="33"/>
        <v>0</v>
      </c>
      <c r="N445" s="119">
        <f t="shared" si="34"/>
        <v>228</v>
      </c>
      <c r="O445" s="119">
        <f t="shared" si="35"/>
        <v>0</v>
      </c>
    </row>
    <row r="446" spans="2:15" ht="15" customHeight="1" x14ac:dyDescent="0.25">
      <c r="B446" s="86" t="s">
        <v>850</v>
      </c>
      <c r="C446" s="87" t="s">
        <v>851</v>
      </c>
      <c r="D446" s="82" t="s">
        <v>13</v>
      </c>
      <c r="E446" s="230">
        <v>55</v>
      </c>
      <c r="F446" s="88">
        <v>74652</v>
      </c>
      <c r="G446" s="89">
        <f t="shared" si="31"/>
        <v>4105860</v>
      </c>
      <c r="H446" s="118" t="str">
        <f t="array" ref="H446:K446">_xlfn.XLOOKUP(C446,'ESAP NEIVA FASE II UNIFICADO'!$C$6:$C$720,'ESAP NEIVA FASE II UNIFICADO'!$C$6:$F$720,"NO ESTA")</f>
        <v>SUMINISTRO E INSTALACION DUCTOS EN LAMINA GALVANIZADA CAL. 20 Wrap UMAS</v>
      </c>
      <c r="I446" t="str">
        <v>M2</v>
      </c>
      <c r="J446">
        <v>150</v>
      </c>
      <c r="K446">
        <v>76603</v>
      </c>
      <c r="L446">
        <f t="shared" si="32"/>
        <v>0</v>
      </c>
      <c r="M446">
        <f t="shared" si="33"/>
        <v>0</v>
      </c>
      <c r="N446" s="119">
        <f t="shared" si="34"/>
        <v>55</v>
      </c>
      <c r="O446" s="119">
        <f t="shared" si="35"/>
        <v>0</v>
      </c>
    </row>
    <row r="447" spans="2:15" ht="15" customHeight="1" x14ac:dyDescent="0.25">
      <c r="B447" s="86" t="s">
        <v>852</v>
      </c>
      <c r="C447" s="87" t="s">
        <v>853</v>
      </c>
      <c r="D447" s="82" t="s">
        <v>13</v>
      </c>
      <c r="E447" s="230">
        <v>55</v>
      </c>
      <c r="F447" s="88">
        <v>18961</v>
      </c>
      <c r="G447" s="89">
        <f t="shared" si="31"/>
        <v>1042855</v>
      </c>
      <c r="H447" s="118" t="str">
        <f t="array" ref="H447:K447">_xlfn.XLOOKUP(C447,'ESAP NEIVA FASE II UNIFICADO'!$C$6:$C$720,'ESAP NEIVA FASE II UNIFICADO'!$C$6:$F$720,"NO ESTA")</f>
        <v>SUMINISTRO E INSTALACION AISLAMIENTO DUCTOS EN DUCT WRAP UMAS</v>
      </c>
      <c r="I447" t="str">
        <v>M2</v>
      </c>
      <c r="J447">
        <v>150</v>
      </c>
      <c r="K447">
        <v>19457</v>
      </c>
      <c r="L447">
        <f t="shared" si="32"/>
        <v>0</v>
      </c>
      <c r="M447">
        <f t="shared" si="33"/>
        <v>0</v>
      </c>
      <c r="N447" s="119">
        <f t="shared" si="34"/>
        <v>55</v>
      </c>
      <c r="O447" s="119">
        <f t="shared" si="35"/>
        <v>0</v>
      </c>
    </row>
    <row r="448" spans="2:15" ht="15" customHeight="1" x14ac:dyDescent="0.25">
      <c r="B448" s="86" t="s">
        <v>854</v>
      </c>
      <c r="C448" s="87" t="s">
        <v>855</v>
      </c>
      <c r="D448" s="82" t="s">
        <v>16</v>
      </c>
      <c r="E448" s="230">
        <v>9</v>
      </c>
      <c r="F448" s="88">
        <v>32544</v>
      </c>
      <c r="G448" s="89">
        <f t="shared" si="31"/>
        <v>292896</v>
      </c>
      <c r="H448" s="118" t="str">
        <f t="array" ref="H448:K448">_xlfn.XLOOKUP(C448,'ESAP NEIVA FASE II UNIFICADO'!$C$6:$C$720,'ESAP NEIVA FASE II UNIFICADO'!$C$6:$F$720,"NO ESTA")</f>
        <v>SUMINISTRO E INSTALACION ACOPLE FLEXIBLE DUCTOS - EQUIPOS</v>
      </c>
      <c r="I448" t="str">
        <v>UND</v>
      </c>
      <c r="J448">
        <v>24</v>
      </c>
      <c r="K448">
        <v>33394</v>
      </c>
      <c r="L448">
        <f t="shared" si="32"/>
        <v>0</v>
      </c>
      <c r="M448">
        <f t="shared" si="33"/>
        <v>0</v>
      </c>
      <c r="N448" s="119">
        <f t="shared" si="34"/>
        <v>9</v>
      </c>
      <c r="O448" s="119">
        <f t="shared" si="35"/>
        <v>0</v>
      </c>
    </row>
    <row r="449" spans="2:15" ht="15" customHeight="1" x14ac:dyDescent="0.25">
      <c r="B449" s="80" t="s">
        <v>856</v>
      </c>
      <c r="C449" s="81" t="s">
        <v>857</v>
      </c>
      <c r="D449" s="82"/>
      <c r="E449" s="230"/>
      <c r="F449" s="90">
        <v>0</v>
      </c>
      <c r="G449" s="89">
        <f t="shared" si="31"/>
        <v>0</v>
      </c>
      <c r="H449" s="118" t="str">
        <f t="array" ref="H449:K449">_xlfn.XLOOKUP(C449,'ESAP NEIVA FASE II UNIFICADO'!$C$6:$C$720,'ESAP NEIVA FASE II UNIFICADO'!$C$6:$F$720,"NO ESTA")</f>
        <v>SUMINISTRO E INSTALACIÓN DIFUSORES Y REJILLAS</v>
      </c>
      <c r="I449">
        <v>0</v>
      </c>
      <c r="J449">
        <v>0</v>
      </c>
      <c r="K449">
        <v>0</v>
      </c>
      <c r="L449">
        <f t="shared" si="32"/>
        <v>1</v>
      </c>
      <c r="M449">
        <f t="shared" si="33"/>
        <v>0</v>
      </c>
      <c r="N449" s="119">
        <f t="shared" si="34"/>
        <v>0</v>
      </c>
      <c r="O449" s="119">
        <f t="shared" si="35"/>
        <v>0</v>
      </c>
    </row>
    <row r="450" spans="2:15" ht="26.25" customHeight="1" x14ac:dyDescent="0.25">
      <c r="B450" s="86" t="s">
        <v>858</v>
      </c>
      <c r="C450" s="87" t="s">
        <v>859</v>
      </c>
      <c r="D450" s="82" t="s">
        <v>16</v>
      </c>
      <c r="E450" s="230">
        <v>30</v>
      </c>
      <c r="F450" s="88">
        <v>153283</v>
      </c>
      <c r="G450" s="89">
        <f t="shared" si="31"/>
        <v>4598490</v>
      </c>
      <c r="H450" s="118" t="str">
        <f t="array" ref="H450:K450">_xlfn.XLOOKUP(C450,'ESAP NEIVA FASE II UNIFICADO'!$C$6:$C$720,'ESAP NEIVA FASE II UNIFICADO'!$C$6:$F$720,"NO ESTA")</f>
        <v>SUMINISTRO E INSTALACION DIFUSORES SUMINISTRO DE 12" x 12" 4V (Tipo Descolgado) con Damper OB</v>
      </c>
      <c r="I450" t="str">
        <v>UND</v>
      </c>
      <c r="J450">
        <v>82</v>
      </c>
      <c r="K450">
        <v>157287</v>
      </c>
      <c r="L450">
        <f t="shared" si="32"/>
        <v>0</v>
      </c>
      <c r="M450">
        <f t="shared" si="33"/>
        <v>0</v>
      </c>
      <c r="N450" s="119">
        <f t="shared" si="34"/>
        <v>30</v>
      </c>
      <c r="O450" s="119">
        <f t="shared" si="35"/>
        <v>0</v>
      </c>
    </row>
    <row r="451" spans="2:15" ht="26.25" customHeight="1" x14ac:dyDescent="0.25">
      <c r="B451" s="86" t="s">
        <v>860</v>
      </c>
      <c r="C451" s="87" t="s">
        <v>861</v>
      </c>
      <c r="D451" s="82" t="s">
        <v>16</v>
      </c>
      <c r="E451" s="230">
        <v>2</v>
      </c>
      <c r="F451" s="88">
        <v>106960</v>
      </c>
      <c r="G451" s="89">
        <f t="shared" si="31"/>
        <v>213920</v>
      </c>
      <c r="H451" s="118" t="str">
        <f t="array" ref="H451:K451">_xlfn.XLOOKUP(C451,'ESAP NEIVA FASE II UNIFICADO'!$C$6:$C$720,'ESAP NEIVA FASE II UNIFICADO'!$C$6:$F$720,"NO ESTA")</f>
        <v>SUMINISTRO E INSTALACION DIFUSORES SUMINISTRO DE 9" x 9" 4V (Tipo Descolgado) con Damper OB</v>
      </c>
      <c r="I451" t="str">
        <v>UND</v>
      </c>
      <c r="J451">
        <v>4</v>
      </c>
      <c r="K451">
        <v>109753</v>
      </c>
      <c r="L451">
        <f t="shared" si="32"/>
        <v>0</v>
      </c>
      <c r="M451">
        <f t="shared" si="33"/>
        <v>0</v>
      </c>
      <c r="N451" s="119">
        <f t="shared" si="34"/>
        <v>2</v>
      </c>
      <c r="O451" s="119">
        <f t="shared" si="35"/>
        <v>0</v>
      </c>
    </row>
    <row r="452" spans="2:15" ht="26.25" customHeight="1" x14ac:dyDescent="0.25">
      <c r="B452" s="86" t="s">
        <v>862</v>
      </c>
      <c r="C452" s="87" t="s">
        <v>863</v>
      </c>
      <c r="D452" s="82" t="s">
        <v>16</v>
      </c>
      <c r="E452" s="230">
        <v>1</v>
      </c>
      <c r="F452" s="88">
        <v>225899</v>
      </c>
      <c r="G452" s="89">
        <f t="shared" si="31"/>
        <v>225899</v>
      </c>
      <c r="H452" s="118" t="str">
        <f t="array" ref="H452:K452">_xlfn.XLOOKUP(C452,'ESAP NEIVA FASE II UNIFICADO'!$C$6:$C$720,'ESAP NEIVA FASE II UNIFICADO'!$C$6:$F$720,"NO ESTA")</f>
        <v>SUMINISTRO E INSTALACION REJILLAS SUMINISTRO DE 48" X 12" (TIPO DOBLE ALETA) con Damper incluye EXTRACTORES DE AIRE</v>
      </c>
      <c r="I452" t="str">
        <v>UND</v>
      </c>
      <c r="J452">
        <v>4</v>
      </c>
      <c r="K452">
        <v>231800</v>
      </c>
      <c r="L452">
        <f t="shared" si="32"/>
        <v>0</v>
      </c>
      <c r="M452">
        <f t="shared" si="33"/>
        <v>0</v>
      </c>
      <c r="N452" s="119">
        <f t="shared" si="34"/>
        <v>1</v>
      </c>
      <c r="O452" s="119">
        <f t="shared" si="35"/>
        <v>0</v>
      </c>
    </row>
    <row r="453" spans="2:15" ht="26.25" customHeight="1" x14ac:dyDescent="0.25">
      <c r="B453" s="86" t="s">
        <v>864</v>
      </c>
      <c r="C453" s="87" t="s">
        <v>865</v>
      </c>
      <c r="D453" s="82" t="s">
        <v>16</v>
      </c>
      <c r="E453" s="230">
        <v>1</v>
      </c>
      <c r="F453" s="88">
        <v>56880</v>
      </c>
      <c r="G453" s="89">
        <f t="shared" si="31"/>
        <v>56880</v>
      </c>
      <c r="H453" s="118" t="str">
        <f t="array" ref="H453:K453">_xlfn.XLOOKUP(C453,'ESAP NEIVA FASE II UNIFICADO'!$C$6:$C$720,'ESAP NEIVA FASE II UNIFICADO'!$C$6:$F$720,"NO ESTA")</f>
        <v>SUMINISTRO E INSTALACION REJILLAS DE ACCESO/ RETORNO A FC DE 18" x 8" 160 CFM</v>
      </c>
      <c r="I453" t="str">
        <v>UND</v>
      </c>
      <c r="J453">
        <v>2</v>
      </c>
      <c r="K453">
        <v>58365</v>
      </c>
      <c r="L453">
        <f t="shared" si="32"/>
        <v>0</v>
      </c>
      <c r="M453">
        <f t="shared" si="33"/>
        <v>0</v>
      </c>
      <c r="N453" s="119">
        <f t="shared" si="34"/>
        <v>1</v>
      </c>
      <c r="O453" s="119">
        <f t="shared" si="35"/>
        <v>0</v>
      </c>
    </row>
    <row r="454" spans="2:15" ht="26.25" customHeight="1" x14ac:dyDescent="0.25">
      <c r="B454" s="86" t="s">
        <v>866</v>
      </c>
      <c r="C454" s="87" t="s">
        <v>867</v>
      </c>
      <c r="D454" s="82" t="s">
        <v>16</v>
      </c>
      <c r="E454" s="230">
        <v>4</v>
      </c>
      <c r="F454" s="88">
        <v>213380</v>
      </c>
      <c r="G454" s="89">
        <f t="shared" si="31"/>
        <v>853520</v>
      </c>
      <c r="H454" s="118" t="str">
        <f t="array" ref="H454:K454">_xlfn.XLOOKUP(C454,'ESAP NEIVA FASE II UNIFICADO'!$C$6:$C$720,'ESAP NEIVA FASE II UNIFICADO'!$C$6:$F$720,"NO ESTA")</f>
        <v>SUMINISTRO E INSTALACION REJILLAS DE ACCESO/ RETORNO A FC DE 40" x 8"   320 CFM</v>
      </c>
      <c r="I454" t="str">
        <v>UND</v>
      </c>
      <c r="J454">
        <v>12</v>
      </c>
      <c r="K454">
        <v>218953</v>
      </c>
      <c r="L454">
        <f t="shared" si="32"/>
        <v>0</v>
      </c>
      <c r="M454">
        <f t="shared" si="33"/>
        <v>0</v>
      </c>
      <c r="N454" s="119">
        <f t="shared" si="34"/>
        <v>4</v>
      </c>
      <c r="O454" s="119">
        <f t="shared" si="35"/>
        <v>0</v>
      </c>
    </row>
    <row r="455" spans="2:15" ht="26.25" customHeight="1" x14ac:dyDescent="0.25">
      <c r="B455" s="86" t="s">
        <v>868</v>
      </c>
      <c r="C455" s="87" t="s">
        <v>869</v>
      </c>
      <c r="D455" s="82" t="s">
        <v>16</v>
      </c>
      <c r="E455" s="230">
        <v>3</v>
      </c>
      <c r="F455" s="88">
        <v>225899</v>
      </c>
      <c r="G455" s="89">
        <f t="shared" ref="G455:G518" si="36">ROUND(+F455*E455,2)</f>
        <v>677697</v>
      </c>
      <c r="H455" s="118" t="str">
        <f t="array" ref="H455:K455">_xlfn.XLOOKUP(C455,'ESAP NEIVA FASE II UNIFICADO'!$C$6:$C$720,'ESAP NEIVA FASE II UNIFICADO'!$C$6:$F$720,"NO ESTA")</f>
        <v>SUMINISTRO E INSTALACION REJILLAS DE ACCESO/ RETORNO A FC DE 48" x 12" 400 CFM</v>
      </c>
      <c r="I455" t="str">
        <v>UND</v>
      </c>
      <c r="J455">
        <v>8</v>
      </c>
      <c r="K455">
        <v>231800</v>
      </c>
      <c r="L455">
        <f t="shared" si="32"/>
        <v>0</v>
      </c>
      <c r="M455">
        <f t="shared" si="33"/>
        <v>0</v>
      </c>
      <c r="N455" s="119">
        <f t="shared" si="34"/>
        <v>3</v>
      </c>
      <c r="O455" s="119">
        <f t="shared" si="35"/>
        <v>0</v>
      </c>
    </row>
    <row r="456" spans="2:15" ht="26.25" customHeight="1" x14ac:dyDescent="0.25">
      <c r="B456" s="86" t="s">
        <v>870</v>
      </c>
      <c r="C456" s="87" t="s">
        <v>871</v>
      </c>
      <c r="D456" s="82" t="s">
        <v>16</v>
      </c>
      <c r="E456" s="230">
        <v>1</v>
      </c>
      <c r="F456" s="88">
        <v>486315</v>
      </c>
      <c r="G456" s="89">
        <f t="shared" si="36"/>
        <v>486315</v>
      </c>
      <c r="H456" s="118" t="str">
        <f t="array" ref="H456:K456">_xlfn.XLOOKUP(C456,'ESAP NEIVA FASE II UNIFICADO'!$C$6:$C$720,'ESAP NEIVA FASE II UNIFICADO'!$C$6:$F$720,"NO ESTA")</f>
        <v>SUMINISTRO E INSTALACION REJILLAS DE ACCESO/ RETORNO A FC DE 48" x 20" 2400 CFM</v>
      </c>
      <c r="I456" t="str">
        <v>UND</v>
      </c>
      <c r="J456">
        <v>1</v>
      </c>
      <c r="K456">
        <v>499017</v>
      </c>
      <c r="L456">
        <f t="shared" si="32"/>
        <v>0</v>
      </c>
      <c r="M456">
        <f t="shared" si="33"/>
        <v>0</v>
      </c>
      <c r="N456" s="119">
        <f t="shared" si="34"/>
        <v>1</v>
      </c>
      <c r="O456" s="119">
        <f t="shared" si="35"/>
        <v>0</v>
      </c>
    </row>
    <row r="457" spans="2:15" ht="26.25" customHeight="1" x14ac:dyDescent="0.25">
      <c r="B457" s="86" t="s">
        <v>872</v>
      </c>
      <c r="C457" s="87" t="s">
        <v>873</v>
      </c>
      <c r="D457" s="82" t="s">
        <v>16</v>
      </c>
      <c r="E457" s="230">
        <v>1</v>
      </c>
      <c r="F457" s="88">
        <v>432480</v>
      </c>
      <c r="G457" s="89">
        <f t="shared" si="36"/>
        <v>432480</v>
      </c>
      <c r="H457" s="118" t="str">
        <f t="array" ref="H457:K457">_xlfn.XLOOKUP(C457,'ESAP NEIVA FASE II UNIFICADO'!$C$6:$C$720,'ESAP NEIVA FASE II UNIFICADO'!$C$6:$F$720,"NO ESTA")</f>
        <v>SUMINISTRO E INSTALACION REJILLAS DE ACCESO/ RETORNO A FC DE 48" x 24" 3600 CFM</v>
      </c>
      <c r="I457" t="str">
        <v>UND</v>
      </c>
      <c r="J457">
        <v>3</v>
      </c>
      <c r="K457">
        <v>443775</v>
      </c>
      <c r="L457">
        <f t="shared" si="32"/>
        <v>0</v>
      </c>
      <c r="M457">
        <f t="shared" si="33"/>
        <v>0</v>
      </c>
      <c r="N457" s="119">
        <f t="shared" si="34"/>
        <v>1</v>
      </c>
      <c r="O457" s="119">
        <f t="shared" si="35"/>
        <v>0</v>
      </c>
    </row>
    <row r="458" spans="2:15" ht="15" customHeight="1" x14ac:dyDescent="0.25">
      <c r="B458" s="86" t="s">
        <v>874</v>
      </c>
      <c r="C458" s="87" t="s">
        <v>875</v>
      </c>
      <c r="D458" s="82" t="s">
        <v>16</v>
      </c>
      <c r="E458" s="230">
        <v>1</v>
      </c>
      <c r="F458" s="88">
        <v>23075</v>
      </c>
      <c r="G458" s="89">
        <f t="shared" si="36"/>
        <v>23075</v>
      </c>
      <c r="H458" s="118" t="str">
        <f t="array" ref="H458:K458">_xlfn.XLOOKUP(C458,'ESAP NEIVA FASE II UNIFICADO'!$C$6:$C$720,'ESAP NEIVA FASE II UNIFICADO'!$C$6:$F$720,"NO ESTA")</f>
        <v>SUMINISTRO E INSTALACION REJILLAS DE TOMA AIRE EXTERNO TAE 6" x 6"</v>
      </c>
      <c r="I458" t="str">
        <v>UND</v>
      </c>
      <c r="J458">
        <v>0</v>
      </c>
      <c r="K458">
        <v>23678</v>
      </c>
      <c r="L458">
        <f t="shared" ref="L458:L521" si="37">+IF(J458&gt;0,0,1)</f>
        <v>1</v>
      </c>
      <c r="M458">
        <f t="shared" ref="M458:M521" si="38">IF(L458=1,F458,0)</f>
        <v>23075</v>
      </c>
      <c r="N458" s="119">
        <f t="shared" ref="N458:N521" si="39">E458</f>
        <v>1</v>
      </c>
      <c r="O458" s="119">
        <f t="shared" si="35"/>
        <v>23075</v>
      </c>
    </row>
    <row r="459" spans="2:15" ht="15" customHeight="1" x14ac:dyDescent="0.25">
      <c r="B459" s="86" t="s">
        <v>876</v>
      </c>
      <c r="C459" s="87" t="s">
        <v>877</v>
      </c>
      <c r="D459" s="82" t="s">
        <v>16</v>
      </c>
      <c r="E459" s="230">
        <v>1</v>
      </c>
      <c r="F459" s="88">
        <v>31839</v>
      </c>
      <c r="G459" s="89">
        <f t="shared" si="36"/>
        <v>31839</v>
      </c>
      <c r="H459" s="118" t="str">
        <f t="array" ref="H459:K459">_xlfn.XLOOKUP(C459,'ESAP NEIVA FASE II UNIFICADO'!$C$6:$C$720,'ESAP NEIVA FASE II UNIFICADO'!$C$6:$F$720,"NO ESTA")</f>
        <v>SUMINISTRO E INSTALACION REJILLAS DE TOMA AIRE EXTERNO TAE 10" x 8"</v>
      </c>
      <c r="I459" t="str">
        <v>UND</v>
      </c>
      <c r="J459">
        <v>0</v>
      </c>
      <c r="K459">
        <v>32671</v>
      </c>
      <c r="L459">
        <f t="shared" si="37"/>
        <v>1</v>
      </c>
      <c r="M459">
        <f t="shared" si="38"/>
        <v>31839</v>
      </c>
      <c r="N459" s="119">
        <f t="shared" si="39"/>
        <v>1</v>
      </c>
      <c r="O459" s="119">
        <f t="shared" si="35"/>
        <v>31839</v>
      </c>
    </row>
    <row r="460" spans="2:15" ht="15" customHeight="1" x14ac:dyDescent="0.25">
      <c r="B460" s="86" t="s">
        <v>878</v>
      </c>
      <c r="C460" s="87" t="s">
        <v>879</v>
      </c>
      <c r="D460" s="82" t="s">
        <v>16</v>
      </c>
      <c r="E460" s="230">
        <v>6</v>
      </c>
      <c r="F460" s="88">
        <v>44360</v>
      </c>
      <c r="G460" s="89">
        <f t="shared" si="36"/>
        <v>266160</v>
      </c>
      <c r="H460" s="118" t="str">
        <f t="array" ref="H460:K460">_xlfn.XLOOKUP(C460,'ESAP NEIVA FASE II UNIFICADO'!$C$6:$C$720,'ESAP NEIVA FASE II UNIFICADO'!$C$6:$F$720,"NO ESTA")</f>
        <v>SUMINISTRO E INSTALACION REJILLAS DE TOMA AIRE EXTERNO TAE 12" x 8"</v>
      </c>
      <c r="I460" t="str">
        <v>UND</v>
      </c>
      <c r="J460">
        <v>16</v>
      </c>
      <c r="K460">
        <v>45518</v>
      </c>
      <c r="L460">
        <f t="shared" si="37"/>
        <v>0</v>
      </c>
      <c r="M460">
        <f t="shared" si="38"/>
        <v>0</v>
      </c>
      <c r="N460" s="119">
        <f t="shared" si="39"/>
        <v>6</v>
      </c>
      <c r="O460" s="119">
        <f t="shared" ref="O460:O523" si="40">ROUND(M460*N460,2)</f>
        <v>0</v>
      </c>
    </row>
    <row r="461" spans="2:15" ht="15" customHeight="1" x14ac:dyDescent="0.25">
      <c r="B461" s="86" t="s">
        <v>880</v>
      </c>
      <c r="C461" s="87" t="s">
        <v>881</v>
      </c>
      <c r="D461" s="82" t="s">
        <v>16</v>
      </c>
      <c r="E461" s="230">
        <v>1</v>
      </c>
      <c r="F461" s="88">
        <v>56880</v>
      </c>
      <c r="G461" s="89">
        <f t="shared" si="36"/>
        <v>56880</v>
      </c>
      <c r="H461" s="118" t="str">
        <f t="array" ref="H461:K461">_xlfn.XLOOKUP(C461,'ESAP NEIVA FASE II UNIFICADO'!$C$6:$C$720,'ESAP NEIVA FASE II UNIFICADO'!$C$6:$F$720,"NO ESTA")</f>
        <v>SUMINISTRO E INSTALACION REJILLAS DE TOMA AIRE EXTERNO TAE 18" x 8"</v>
      </c>
      <c r="I461" t="str">
        <v>UND</v>
      </c>
      <c r="J461">
        <v>2</v>
      </c>
      <c r="K461">
        <v>58365</v>
      </c>
      <c r="L461">
        <f t="shared" si="37"/>
        <v>0</v>
      </c>
      <c r="M461">
        <f t="shared" si="38"/>
        <v>0</v>
      </c>
      <c r="N461" s="119">
        <f t="shared" si="39"/>
        <v>1</v>
      </c>
      <c r="O461" s="119">
        <f t="shared" si="40"/>
        <v>0</v>
      </c>
    </row>
    <row r="462" spans="2:15" ht="25.5" customHeight="1" x14ac:dyDescent="0.25">
      <c r="B462" s="86" t="s">
        <v>882</v>
      </c>
      <c r="C462" s="87" t="s">
        <v>883</v>
      </c>
      <c r="D462" s="82" t="s">
        <v>16</v>
      </c>
      <c r="E462" s="230">
        <v>1</v>
      </c>
      <c r="F462" s="88">
        <v>563939</v>
      </c>
      <c r="G462" s="89">
        <f t="shared" si="36"/>
        <v>563939</v>
      </c>
      <c r="H462" s="118" t="str">
        <f t="array" ref="H462">_xlfn.XLOOKUP(C462,'ESAP NEIVA FASE II UNIFICADO'!$C$6:$C$720,'ESAP NEIVA FASE II UNIFICADO'!$C$6:$F$720,"NO ESTA")</f>
        <v>NO ESTA</v>
      </c>
      <c r="L462">
        <f t="shared" si="37"/>
        <v>1</v>
      </c>
      <c r="M462">
        <f t="shared" si="38"/>
        <v>563939</v>
      </c>
      <c r="N462" s="119">
        <f t="shared" si="39"/>
        <v>1</v>
      </c>
      <c r="O462" s="119">
        <f t="shared" si="40"/>
        <v>563939</v>
      </c>
    </row>
    <row r="463" spans="2:15" ht="25.5" customHeight="1" x14ac:dyDescent="0.25">
      <c r="B463" s="86" t="s">
        <v>884</v>
      </c>
      <c r="C463" s="87" t="s">
        <v>885</v>
      </c>
      <c r="D463" s="82" t="s">
        <v>16</v>
      </c>
      <c r="E463" s="230">
        <v>1</v>
      </c>
      <c r="F463" s="88">
        <v>651039</v>
      </c>
      <c r="G463" s="89">
        <f t="shared" si="36"/>
        <v>651039</v>
      </c>
      <c r="H463" s="118" t="str">
        <f t="array" ref="H463">_xlfn.XLOOKUP(C463,'ESAP NEIVA FASE II UNIFICADO'!$C$6:$C$720,'ESAP NEIVA FASE II UNIFICADO'!$C$6:$F$720,"NO ESTA")</f>
        <v>NO ESTA</v>
      </c>
      <c r="L463">
        <f t="shared" si="37"/>
        <v>1</v>
      </c>
      <c r="M463">
        <f t="shared" si="38"/>
        <v>651039</v>
      </c>
      <c r="N463" s="119">
        <f t="shared" si="39"/>
        <v>1</v>
      </c>
      <c r="O463" s="119">
        <f t="shared" si="40"/>
        <v>651039</v>
      </c>
    </row>
    <row r="464" spans="2:15" ht="15" customHeight="1" x14ac:dyDescent="0.25">
      <c r="B464" s="80" t="s">
        <v>886</v>
      </c>
      <c r="C464" s="81" t="s">
        <v>887</v>
      </c>
      <c r="D464" s="82"/>
      <c r="E464" s="230"/>
      <c r="F464" s="90">
        <v>0</v>
      </c>
      <c r="G464" s="89">
        <f t="shared" si="36"/>
        <v>0</v>
      </c>
      <c r="H464" s="118" t="str">
        <f t="array" ref="H464:K464">_xlfn.XLOOKUP(C464,'ESAP NEIVA FASE II UNIFICADO'!$C$6:$C$720,'ESAP NEIVA FASE II UNIFICADO'!$C$6:$F$720,"NO ESTA")</f>
        <v>SUMINSITRO, MONTAJE E INSTALACIÓN DE VENTILACIÓN MECANICA</v>
      </c>
      <c r="I464">
        <v>0</v>
      </c>
      <c r="J464">
        <v>0</v>
      </c>
      <c r="K464">
        <v>0</v>
      </c>
      <c r="L464">
        <f t="shared" si="37"/>
        <v>1</v>
      </c>
      <c r="M464">
        <f t="shared" si="38"/>
        <v>0</v>
      </c>
      <c r="N464" s="119">
        <f t="shared" si="39"/>
        <v>0</v>
      </c>
      <c r="O464" s="119">
        <f t="shared" si="40"/>
        <v>0</v>
      </c>
    </row>
    <row r="465" spans="2:15" ht="15" customHeight="1" x14ac:dyDescent="0.25">
      <c r="B465" s="86" t="s">
        <v>888</v>
      </c>
      <c r="C465" s="87" t="s">
        <v>851</v>
      </c>
      <c r="D465" s="82" t="s">
        <v>13</v>
      </c>
      <c r="E465" s="230">
        <v>32</v>
      </c>
      <c r="F465" s="88">
        <v>87724</v>
      </c>
      <c r="G465" s="89">
        <f t="shared" si="36"/>
        <v>2807168</v>
      </c>
      <c r="H465" s="118" t="str">
        <f t="array" ref="H465:K465">_xlfn.XLOOKUP(C465,'ESAP NEIVA FASE II UNIFICADO'!$C$6:$C$720,'ESAP NEIVA FASE II UNIFICADO'!$C$6:$F$720,"NO ESTA")</f>
        <v>SUMINISTRO E INSTALACION DUCTOS EN LAMINA GALVANIZADA CAL. 20 Wrap UMAS</v>
      </c>
      <c r="I465" t="str">
        <v>M2</v>
      </c>
      <c r="J465">
        <v>150</v>
      </c>
      <c r="K465">
        <v>76603</v>
      </c>
      <c r="L465">
        <f t="shared" si="37"/>
        <v>0</v>
      </c>
      <c r="M465">
        <f t="shared" si="38"/>
        <v>0</v>
      </c>
      <c r="N465" s="119">
        <f t="shared" si="39"/>
        <v>32</v>
      </c>
      <c r="O465" s="119">
        <f t="shared" si="40"/>
        <v>0</v>
      </c>
    </row>
    <row r="466" spans="2:15" ht="15" customHeight="1" x14ac:dyDescent="0.25">
      <c r="B466" s="86" t="s">
        <v>889</v>
      </c>
      <c r="C466" s="87" t="s">
        <v>890</v>
      </c>
      <c r="D466" s="82" t="s">
        <v>13</v>
      </c>
      <c r="E466" s="230">
        <v>71</v>
      </c>
      <c r="F466" s="88">
        <v>81464</v>
      </c>
      <c r="G466" s="89">
        <f t="shared" si="36"/>
        <v>5783944</v>
      </c>
      <c r="H466" s="118" t="str">
        <f t="array" ref="H466:K466">_xlfn.XLOOKUP(C466,'ESAP NEIVA FASE II UNIFICADO'!$C$6:$C$720,'ESAP NEIVA FASE II UNIFICADO'!$C$6:$F$720,"NO ESTA")</f>
        <v>SUMINISTRO E INSTALACION DUCTOS EN LAMINA GALVANIZADA CAL. 22 Wrap UMAS</v>
      </c>
      <c r="I466" t="str">
        <v>M2</v>
      </c>
      <c r="J466">
        <v>191</v>
      </c>
      <c r="K466">
        <v>83592</v>
      </c>
      <c r="L466">
        <f t="shared" si="37"/>
        <v>0</v>
      </c>
      <c r="M466">
        <f t="shared" si="38"/>
        <v>0</v>
      </c>
      <c r="N466" s="119">
        <f t="shared" si="39"/>
        <v>71</v>
      </c>
      <c r="O466" s="119">
        <f t="shared" si="40"/>
        <v>0</v>
      </c>
    </row>
    <row r="467" spans="2:15" ht="15" customHeight="1" x14ac:dyDescent="0.25">
      <c r="B467" s="86" t="s">
        <v>891</v>
      </c>
      <c r="C467" s="87" t="s">
        <v>892</v>
      </c>
      <c r="D467" s="82" t="s">
        <v>16</v>
      </c>
      <c r="E467" s="230">
        <v>1</v>
      </c>
      <c r="F467" s="88">
        <v>485756</v>
      </c>
      <c r="G467" s="89">
        <f t="shared" si="36"/>
        <v>485756</v>
      </c>
      <c r="H467" s="118" t="str">
        <f t="array" ref="H467:K467">_xlfn.XLOOKUP(C467,'ESAP NEIVA FASE II UNIFICADO'!$C$6:$C$720,'ESAP NEIVA FASE II UNIFICADO'!$C$6:$F$720,"NO ESTA")</f>
        <v>SUMINISTRO E INSTALACION BANCO DE FILTROS</v>
      </c>
      <c r="I467" t="str">
        <v>UND</v>
      </c>
      <c r="J467">
        <v>2</v>
      </c>
      <c r="K467">
        <v>498443</v>
      </c>
      <c r="L467">
        <f t="shared" si="37"/>
        <v>0</v>
      </c>
      <c r="M467">
        <f t="shared" si="38"/>
        <v>0</v>
      </c>
      <c r="N467" s="119">
        <f t="shared" si="39"/>
        <v>1</v>
      </c>
      <c r="O467" s="119">
        <f t="shared" si="40"/>
        <v>0</v>
      </c>
    </row>
    <row r="468" spans="2:15" ht="15" customHeight="1" x14ac:dyDescent="0.25">
      <c r="B468" s="80" t="s">
        <v>893</v>
      </c>
      <c r="C468" s="81" t="s">
        <v>894</v>
      </c>
      <c r="D468" s="82"/>
      <c r="E468" s="230"/>
      <c r="F468" s="90">
        <v>0</v>
      </c>
      <c r="G468" s="89">
        <f t="shared" si="36"/>
        <v>0</v>
      </c>
      <c r="H468" s="118" t="str">
        <f t="array" ref="H468:K468">_xlfn.XLOOKUP(C468,'ESAP NEIVA FASE II UNIFICADO'!$C$6:$C$720,'ESAP NEIVA FASE II UNIFICADO'!$C$6:$F$720,"NO ESTA")</f>
        <v>SUMNISTRO, INSTALACION Y MONTAJE CONTROL</v>
      </c>
      <c r="I468">
        <v>0</v>
      </c>
      <c r="J468">
        <v>0</v>
      </c>
      <c r="K468">
        <v>0</v>
      </c>
      <c r="L468">
        <f t="shared" si="37"/>
        <v>1</v>
      </c>
      <c r="M468">
        <f t="shared" si="38"/>
        <v>0</v>
      </c>
      <c r="N468" s="119">
        <f t="shared" si="39"/>
        <v>0</v>
      </c>
      <c r="O468" s="119">
        <f t="shared" si="40"/>
        <v>0</v>
      </c>
    </row>
    <row r="469" spans="2:15" ht="15" customHeight="1" x14ac:dyDescent="0.25">
      <c r="B469" s="86" t="s">
        <v>895</v>
      </c>
      <c r="C469" s="87" t="s">
        <v>896</v>
      </c>
      <c r="D469" s="82" t="s">
        <v>16</v>
      </c>
      <c r="E469" s="230">
        <v>1</v>
      </c>
      <c r="F469" s="88">
        <v>1927980</v>
      </c>
      <c r="G469" s="89">
        <f t="shared" si="36"/>
        <v>1927980</v>
      </c>
      <c r="H469" s="118" t="str">
        <f t="array" ref="H469:K469">_xlfn.XLOOKUP(C469,'ESAP NEIVA FASE II UNIFICADO'!$C$6:$C$720,'ESAP NEIVA FASE II UNIFICADO'!$C$6:$F$720,"NO ESTA")</f>
        <v>SUMINISTRO E INSTALACION VALVULA BYPASS 2"</v>
      </c>
      <c r="I469" t="str">
        <v>UND</v>
      </c>
      <c r="J469">
        <v>1</v>
      </c>
      <c r="K469">
        <v>1978337</v>
      </c>
      <c r="L469">
        <f t="shared" si="37"/>
        <v>0</v>
      </c>
      <c r="M469">
        <f t="shared" si="38"/>
        <v>0</v>
      </c>
      <c r="N469" s="119">
        <f t="shared" si="39"/>
        <v>1</v>
      </c>
      <c r="O469" s="119">
        <f t="shared" si="40"/>
        <v>0</v>
      </c>
    </row>
    <row r="470" spans="2:15" ht="15" customHeight="1" x14ac:dyDescent="0.25">
      <c r="B470" s="86" t="s">
        <v>897</v>
      </c>
      <c r="C470" s="87" t="s">
        <v>898</v>
      </c>
      <c r="D470" s="82" t="s">
        <v>16</v>
      </c>
      <c r="E470" s="230">
        <v>2</v>
      </c>
      <c r="F470" s="88">
        <v>1176830</v>
      </c>
      <c r="G470" s="89">
        <f t="shared" si="36"/>
        <v>2353660</v>
      </c>
      <c r="H470" s="118" t="str">
        <f t="array" ref="H470:K470">_xlfn.XLOOKUP(C470,'ESAP NEIVA FASE II UNIFICADO'!$C$6:$C$720,'ESAP NEIVA FASE II UNIFICADO'!$C$6:$F$720,"NO ESTA")</f>
        <v>SUMINISTRO E INSTALACION SENSOR DIFERENCIAL DE PRESIÓN SISTEMA AGUA FRIA</v>
      </c>
      <c r="I470" t="str">
        <v>UND</v>
      </c>
      <c r="J470">
        <v>2</v>
      </c>
      <c r="K470">
        <v>1207567</v>
      </c>
      <c r="L470">
        <f t="shared" si="37"/>
        <v>0</v>
      </c>
      <c r="M470">
        <f t="shared" si="38"/>
        <v>0</v>
      </c>
      <c r="N470" s="119">
        <f t="shared" si="39"/>
        <v>2</v>
      </c>
      <c r="O470" s="119">
        <f t="shared" si="40"/>
        <v>0</v>
      </c>
    </row>
    <row r="471" spans="2:15" ht="15" customHeight="1" x14ac:dyDescent="0.25">
      <c r="B471" s="86" t="s">
        <v>899</v>
      </c>
      <c r="C471" s="87" t="s">
        <v>900</v>
      </c>
      <c r="D471" s="82" t="s">
        <v>16</v>
      </c>
      <c r="E471" s="230">
        <v>1</v>
      </c>
      <c r="F471" s="88">
        <v>845675</v>
      </c>
      <c r="G471" s="89">
        <f t="shared" si="36"/>
        <v>845675</v>
      </c>
      <c r="H471" s="118" t="str">
        <f t="array" ref="H471:K471">_xlfn.XLOOKUP(C471,'ESAP NEIVA FASE II UNIFICADO'!$C$6:$C$720,'ESAP NEIVA FASE II UNIFICADO'!$C$6:$F$720,"NO ESTA")</f>
        <v>SUMINISTRO E INSTALACION SENSOR DIFERENCIAL DE PRESIÓN SISTEMA AIRE UMAS</v>
      </c>
      <c r="I471" t="str">
        <v>UND</v>
      </c>
      <c r="J471">
        <v>1</v>
      </c>
      <c r="K471">
        <v>867763</v>
      </c>
      <c r="L471">
        <f t="shared" si="37"/>
        <v>0</v>
      </c>
      <c r="M471">
        <f t="shared" si="38"/>
        <v>0</v>
      </c>
      <c r="N471" s="119">
        <f t="shared" si="39"/>
        <v>1</v>
      </c>
      <c r="O471" s="119">
        <f t="shared" si="40"/>
        <v>0</v>
      </c>
    </row>
    <row r="472" spans="2:15" ht="15" customHeight="1" x14ac:dyDescent="0.25">
      <c r="B472" s="86" t="s">
        <v>901</v>
      </c>
      <c r="C472" s="87" t="s">
        <v>902</v>
      </c>
      <c r="D472" s="82" t="s">
        <v>16</v>
      </c>
      <c r="E472" s="230">
        <v>1</v>
      </c>
      <c r="F472" s="88">
        <v>845675</v>
      </c>
      <c r="G472" s="89">
        <f t="shared" si="36"/>
        <v>845675</v>
      </c>
      <c r="H472" s="118" t="str">
        <f t="array" ref="H472:K472">_xlfn.XLOOKUP(C472,'ESAP NEIVA FASE II UNIFICADO'!$C$6:$C$720,'ESAP NEIVA FASE II UNIFICADO'!$C$6:$F$720,"NO ESTA")</f>
        <v>SUMINISTRO E INSTALACION SENSOR DE FLUJO AIRE UMAS</v>
      </c>
      <c r="I472" t="str">
        <v>UND</v>
      </c>
      <c r="J472">
        <v>2</v>
      </c>
      <c r="K472">
        <v>867763</v>
      </c>
      <c r="L472">
        <f t="shared" si="37"/>
        <v>0</v>
      </c>
      <c r="M472">
        <f t="shared" si="38"/>
        <v>0</v>
      </c>
      <c r="N472" s="119">
        <f t="shared" si="39"/>
        <v>1</v>
      </c>
      <c r="O472" s="119">
        <f t="shared" si="40"/>
        <v>0</v>
      </c>
    </row>
    <row r="473" spans="2:15" ht="15" customHeight="1" x14ac:dyDescent="0.25">
      <c r="B473" s="86" t="s">
        <v>903</v>
      </c>
      <c r="C473" s="87" t="s">
        <v>904</v>
      </c>
      <c r="D473" s="82" t="s">
        <v>16</v>
      </c>
      <c r="E473" s="230">
        <v>2</v>
      </c>
      <c r="F473" s="88">
        <v>1076654</v>
      </c>
      <c r="G473" s="89">
        <f t="shared" si="36"/>
        <v>2153308</v>
      </c>
      <c r="H473" s="118" t="str">
        <f t="array" ref="H473:K473">_xlfn.XLOOKUP(C473,'ESAP NEIVA FASE II UNIFICADO'!$C$6:$C$720,'ESAP NEIVA FASE II UNIFICADO'!$C$6:$F$720,"NO ESTA")</f>
        <v>SUMINISTRO E INSTALACION SENSOR CO</v>
      </c>
      <c r="I473" t="str">
        <v>UND</v>
      </c>
      <c r="J473">
        <v>3</v>
      </c>
      <c r="K473">
        <v>1104774</v>
      </c>
      <c r="L473">
        <f t="shared" si="37"/>
        <v>0</v>
      </c>
      <c r="M473">
        <f t="shared" si="38"/>
        <v>0</v>
      </c>
      <c r="N473" s="119">
        <f t="shared" si="39"/>
        <v>2</v>
      </c>
      <c r="O473" s="119">
        <f t="shared" si="40"/>
        <v>0</v>
      </c>
    </row>
    <row r="474" spans="2:15" ht="15" customHeight="1" x14ac:dyDescent="0.25">
      <c r="B474" s="86" t="s">
        <v>905</v>
      </c>
      <c r="C474" s="87" t="s">
        <v>906</v>
      </c>
      <c r="D474" s="82" t="s">
        <v>16</v>
      </c>
      <c r="E474" s="230">
        <v>2</v>
      </c>
      <c r="F474" s="88">
        <v>322996</v>
      </c>
      <c r="G474" s="89">
        <f t="shared" si="36"/>
        <v>645992</v>
      </c>
      <c r="H474" s="118" t="str">
        <f t="array" ref="H474:K474">_xlfn.XLOOKUP(C474,'ESAP NEIVA FASE II UNIFICADO'!$C$6:$C$720,'ESAP NEIVA FASE II UNIFICADO'!$C$6:$F$720,"NO ESTA")</f>
        <v>SUMINISTRO E INSTALACION SENSOR CONTROL CO2 UMAS</v>
      </c>
      <c r="I474" t="str">
        <v>UND</v>
      </c>
      <c r="J474">
        <v>2</v>
      </c>
      <c r="K474">
        <v>331432</v>
      </c>
      <c r="L474">
        <f t="shared" si="37"/>
        <v>0</v>
      </c>
      <c r="M474">
        <f t="shared" si="38"/>
        <v>0</v>
      </c>
      <c r="N474" s="119">
        <f t="shared" si="39"/>
        <v>2</v>
      </c>
      <c r="O474" s="119">
        <f t="shared" si="40"/>
        <v>0</v>
      </c>
    </row>
    <row r="475" spans="2:15" ht="15" customHeight="1" x14ac:dyDescent="0.25">
      <c r="B475" s="74">
        <v>18</v>
      </c>
      <c r="C475" s="75" t="s">
        <v>907</v>
      </c>
      <c r="D475" s="76"/>
      <c r="E475" s="229"/>
      <c r="F475" s="78">
        <v>0</v>
      </c>
      <c r="G475" s="89">
        <f t="shared" si="36"/>
        <v>0</v>
      </c>
      <c r="H475" s="118" t="str">
        <f t="array" ref="H475:K475">_xlfn.XLOOKUP(C475,'ESAP NEIVA FASE II UNIFICADO'!$C$6:$C$720,'ESAP NEIVA FASE II UNIFICADO'!$C$6:$F$720,"NO ESTA")</f>
        <v>RED DE VOZ Y DATOS Cat. 6A BLINDADO LSZH (Low Smoke Zero Halogen)</v>
      </c>
      <c r="I475">
        <v>0</v>
      </c>
      <c r="J475">
        <v>0</v>
      </c>
      <c r="K475">
        <v>0</v>
      </c>
      <c r="L475">
        <f t="shared" si="37"/>
        <v>1</v>
      </c>
      <c r="M475">
        <f t="shared" si="38"/>
        <v>0</v>
      </c>
      <c r="N475" s="119">
        <f t="shared" si="39"/>
        <v>0</v>
      </c>
      <c r="O475" s="119">
        <f t="shared" si="40"/>
        <v>0</v>
      </c>
    </row>
    <row r="476" spans="2:15" ht="15" customHeight="1" x14ac:dyDescent="0.25">
      <c r="B476" s="80" t="s">
        <v>908</v>
      </c>
      <c r="C476" s="81" t="s">
        <v>909</v>
      </c>
      <c r="D476" s="82"/>
      <c r="E476" s="230"/>
      <c r="F476" s="90">
        <v>0</v>
      </c>
      <c r="G476" s="89">
        <f t="shared" si="36"/>
        <v>0</v>
      </c>
      <c r="H476" s="118" t="str">
        <f t="array" ref="H476:K476">_xlfn.XLOOKUP(C476,'ESAP NEIVA FASE II UNIFICADO'!$C$6:$C$720,'ESAP NEIVA FASE II UNIFICADO'!$C$6:$F$720,"NO ESTA")</f>
        <v>SUMINISTRO E INSTALACION DE TOMAS PUESTOS DE TRABAJO</v>
      </c>
      <c r="I476">
        <v>0</v>
      </c>
      <c r="J476">
        <v>0</v>
      </c>
      <c r="K476">
        <v>0</v>
      </c>
      <c r="L476">
        <f t="shared" si="37"/>
        <v>1</v>
      </c>
      <c r="M476">
        <f t="shared" si="38"/>
        <v>0</v>
      </c>
      <c r="N476" s="119">
        <f t="shared" si="39"/>
        <v>0</v>
      </c>
      <c r="O476" s="119">
        <f t="shared" si="40"/>
        <v>0</v>
      </c>
    </row>
    <row r="477" spans="2:15" ht="26.25" customHeight="1" x14ac:dyDescent="0.25">
      <c r="B477" s="86" t="s">
        <v>910</v>
      </c>
      <c r="C477" s="87" t="s">
        <v>911</v>
      </c>
      <c r="D477" s="82" t="s">
        <v>16</v>
      </c>
      <c r="E477" s="230">
        <v>64</v>
      </c>
      <c r="F477" s="88">
        <v>36636</v>
      </c>
      <c r="G477" s="89">
        <f t="shared" si="36"/>
        <v>2344704</v>
      </c>
      <c r="H477" s="118" t="str">
        <f t="array" ref="H477:K477">_xlfn.XLOOKUP(C477,'ESAP NEIVA FASE II UNIFICADO'!$C$6:$C$720,'ESAP NEIVA FASE II UNIFICADO'!$C$6:$F$720,"NO ESTA")</f>
        <v xml:space="preserve">SUMINISTRO E INSTALACION TOMAS SENCILLA RJ45 Cat. 6A DATOS BLINDADO INCLUYE MARQUILLAS </v>
      </c>
      <c r="I477" t="str">
        <v>UND</v>
      </c>
      <c r="J477">
        <v>172</v>
      </c>
      <c r="K477">
        <v>37593</v>
      </c>
      <c r="L477">
        <f t="shared" si="37"/>
        <v>0</v>
      </c>
      <c r="M477">
        <f t="shared" si="38"/>
        <v>0</v>
      </c>
      <c r="N477" s="119">
        <f t="shared" si="39"/>
        <v>64</v>
      </c>
      <c r="O477" s="119">
        <f t="shared" si="40"/>
        <v>0</v>
      </c>
    </row>
    <row r="478" spans="2:15" ht="26.25" customHeight="1" x14ac:dyDescent="0.25">
      <c r="B478" s="86" t="s">
        <v>912</v>
      </c>
      <c r="C478" s="87" t="s">
        <v>913</v>
      </c>
      <c r="D478" s="82" t="s">
        <v>16</v>
      </c>
      <c r="E478" s="230">
        <v>14</v>
      </c>
      <c r="F478" s="88">
        <v>36636</v>
      </c>
      <c r="G478" s="89">
        <f t="shared" si="36"/>
        <v>512904</v>
      </c>
      <c r="H478" s="118" t="str">
        <f t="array" ref="H478:K478">_xlfn.XLOOKUP(C478,'ESAP NEIVA FASE II UNIFICADO'!$C$6:$C$720,'ESAP NEIVA FASE II UNIFICADO'!$C$6:$F$720,"NO ESTA")</f>
        <v>SUMINISTRO E INSTALACION TOMAS SENCILLA RJ45 Cat. 6A VOZ BLINDADO INCLUYE MARQUILLAS</v>
      </c>
      <c r="I478" t="str">
        <v>UND</v>
      </c>
      <c r="J478">
        <v>38</v>
      </c>
      <c r="K478">
        <v>37593</v>
      </c>
      <c r="L478">
        <f t="shared" si="37"/>
        <v>0</v>
      </c>
      <c r="M478">
        <f t="shared" si="38"/>
        <v>0</v>
      </c>
      <c r="N478" s="119">
        <f t="shared" si="39"/>
        <v>14</v>
      </c>
      <c r="O478" s="119">
        <f t="shared" si="40"/>
        <v>0</v>
      </c>
    </row>
    <row r="479" spans="2:15" ht="15" customHeight="1" x14ac:dyDescent="0.25">
      <c r="B479" s="86" t="s">
        <v>914</v>
      </c>
      <c r="C479" s="87" t="s">
        <v>915</v>
      </c>
      <c r="D479" s="82" t="s">
        <v>16</v>
      </c>
      <c r="E479" s="230">
        <v>64</v>
      </c>
      <c r="F479" s="88">
        <v>9671</v>
      </c>
      <c r="G479" s="89">
        <f t="shared" si="36"/>
        <v>618944</v>
      </c>
      <c r="H479" s="118" t="str">
        <f t="array" ref="H479:K479">_xlfn.XLOOKUP(C479,'ESAP NEIVA FASE II UNIFICADO'!$C$6:$C$720,'ESAP NEIVA FASE II UNIFICADO'!$C$6:$F$720,"NO ESTA")</f>
        <v>SUMINISTRO E INSTALACION FACE PLATE DOBLE PARA TOMA RJ45</v>
      </c>
      <c r="I479" t="str">
        <v>UND</v>
      </c>
      <c r="J479">
        <v>172</v>
      </c>
      <c r="K479">
        <v>9923</v>
      </c>
      <c r="L479">
        <f t="shared" si="37"/>
        <v>0</v>
      </c>
      <c r="M479">
        <f t="shared" si="38"/>
        <v>0</v>
      </c>
      <c r="N479" s="119">
        <f t="shared" si="39"/>
        <v>64</v>
      </c>
      <c r="O479" s="119">
        <f t="shared" si="40"/>
        <v>0</v>
      </c>
    </row>
    <row r="480" spans="2:15" ht="15" customHeight="1" x14ac:dyDescent="0.25">
      <c r="B480" s="86" t="s">
        <v>916</v>
      </c>
      <c r="C480" s="87" t="s">
        <v>917</v>
      </c>
      <c r="D480" s="82" t="s">
        <v>16</v>
      </c>
      <c r="E480" s="230">
        <v>64</v>
      </c>
      <c r="F480" s="88">
        <v>44070</v>
      </c>
      <c r="G480" s="89">
        <f t="shared" si="36"/>
        <v>2820480</v>
      </c>
      <c r="H480" s="118" t="str">
        <f t="array" ref="H480:K480">_xlfn.XLOOKUP(C480,'ESAP NEIVA FASE II UNIFICADO'!$C$6:$C$720,'ESAP NEIVA FASE II UNIFICADO'!$C$6:$F$720,"NO ESTA")</f>
        <v>SUMINISTRO E INSTALACION PATCH CORD. RJ45-RJ45 1,5 m Cat. 6A BLINDADO</v>
      </c>
      <c r="I480" t="str">
        <v>UND</v>
      </c>
      <c r="J480">
        <v>172</v>
      </c>
      <c r="K480">
        <v>45221</v>
      </c>
      <c r="L480">
        <f t="shared" si="37"/>
        <v>0</v>
      </c>
      <c r="M480">
        <f t="shared" si="38"/>
        <v>0</v>
      </c>
      <c r="N480" s="119">
        <f t="shared" si="39"/>
        <v>64</v>
      </c>
      <c r="O480" s="119">
        <f t="shared" si="40"/>
        <v>0</v>
      </c>
    </row>
    <row r="481" spans="2:15" ht="15" customHeight="1" x14ac:dyDescent="0.25">
      <c r="B481" s="80" t="s">
        <v>918</v>
      </c>
      <c r="C481" s="81" t="s">
        <v>919</v>
      </c>
      <c r="D481" s="82"/>
      <c r="E481" s="230"/>
      <c r="F481" s="104">
        <v>0</v>
      </c>
      <c r="G481" s="89">
        <f t="shared" si="36"/>
        <v>0</v>
      </c>
      <c r="H481" s="118" t="str">
        <f t="array" ref="H481:K481">_xlfn.XLOOKUP(C481,'ESAP NEIVA FASE II UNIFICADO'!$C$6:$C$720,'ESAP NEIVA FASE II UNIFICADO'!$C$6:$F$720,"NO ESTA")</f>
        <v>SUMINISTRO E INSTALACION DE CABLES</v>
      </c>
      <c r="I481">
        <v>0</v>
      </c>
      <c r="J481">
        <v>0</v>
      </c>
      <c r="K481">
        <v>0</v>
      </c>
      <c r="L481">
        <f t="shared" si="37"/>
        <v>1</v>
      </c>
      <c r="M481">
        <f t="shared" si="38"/>
        <v>0</v>
      </c>
      <c r="N481" s="119">
        <f t="shared" si="39"/>
        <v>0</v>
      </c>
      <c r="O481" s="119">
        <f t="shared" si="40"/>
        <v>0</v>
      </c>
    </row>
    <row r="482" spans="2:15" ht="24.75" customHeight="1" x14ac:dyDescent="0.25">
      <c r="B482" s="86" t="s">
        <v>920</v>
      </c>
      <c r="C482" s="87" t="s">
        <v>921</v>
      </c>
      <c r="D482" s="82" t="s">
        <v>94</v>
      </c>
      <c r="E482" s="230">
        <v>1765</v>
      </c>
      <c r="F482" s="88">
        <v>4389</v>
      </c>
      <c r="G482" s="89">
        <f t="shared" si="36"/>
        <v>7746585</v>
      </c>
      <c r="H482" s="118" t="str">
        <f t="array" ref="H482:K482">_xlfn.XLOOKUP(C482,'ESAP NEIVA FASE II UNIFICADO'!$C$6:$C$720,'ESAP NEIVA FASE II UNIFICADO'!$C$6:$F$720,"NO ESTA")</f>
        <v>SUMINISTRO E INSTALACION CABLE 10 G F/UTP Cat. 6A CON CHAQUETA LSZH (LOW SMOKE ZERO HALOGEN)</v>
      </c>
      <c r="I482" t="str">
        <v>ML</v>
      </c>
      <c r="J482">
        <v>11247</v>
      </c>
      <c r="K482">
        <v>4503</v>
      </c>
      <c r="L482">
        <f t="shared" si="37"/>
        <v>0</v>
      </c>
      <c r="M482">
        <f t="shared" si="38"/>
        <v>0</v>
      </c>
      <c r="N482" s="119">
        <f t="shared" si="39"/>
        <v>1765</v>
      </c>
      <c r="O482" s="119">
        <f t="shared" si="40"/>
        <v>0</v>
      </c>
    </row>
    <row r="483" spans="2:15" ht="15" customHeight="1" x14ac:dyDescent="0.25">
      <c r="B483" s="80" t="s">
        <v>922</v>
      </c>
      <c r="C483" s="81" t="s">
        <v>923</v>
      </c>
      <c r="D483" s="82"/>
      <c r="E483" s="230"/>
      <c r="F483" s="104">
        <v>0</v>
      </c>
      <c r="G483" s="89">
        <f t="shared" si="36"/>
        <v>0</v>
      </c>
      <c r="H483" s="118" t="str">
        <f t="array" ref="H483:K483">_xlfn.XLOOKUP(C483,'ESAP NEIVA FASE II UNIFICADO'!$C$6:$C$720,'ESAP NEIVA FASE II UNIFICADO'!$C$6:$F$720,"NO ESTA")</f>
        <v xml:space="preserve">SUMINISTRO E INSTALACION DE ELEMENTOS DE ADMINISTRACIÓN </v>
      </c>
      <c r="I483">
        <v>0</v>
      </c>
      <c r="J483">
        <v>0</v>
      </c>
      <c r="K483">
        <v>0</v>
      </c>
      <c r="L483">
        <f t="shared" si="37"/>
        <v>1</v>
      </c>
      <c r="M483">
        <f t="shared" si="38"/>
        <v>0</v>
      </c>
      <c r="N483" s="119">
        <f t="shared" si="39"/>
        <v>0</v>
      </c>
      <c r="O483" s="119">
        <f t="shared" si="40"/>
        <v>0</v>
      </c>
    </row>
    <row r="484" spans="2:15" ht="15" customHeight="1" x14ac:dyDescent="0.25">
      <c r="B484" s="86" t="s">
        <v>924</v>
      </c>
      <c r="C484" s="87" t="s">
        <v>925</v>
      </c>
      <c r="D484" s="82" t="s">
        <v>16</v>
      </c>
      <c r="E484" s="230">
        <v>4</v>
      </c>
      <c r="F484" s="88">
        <v>261791</v>
      </c>
      <c r="G484" s="89">
        <f t="shared" si="36"/>
        <v>1047164</v>
      </c>
      <c r="H484" s="118" t="str">
        <f t="array" ref="H484:K484">_xlfn.XLOOKUP(C484,'ESAP NEIVA FASE II UNIFICADO'!$C$6:$C$720,'ESAP NEIVA FASE II UNIFICADO'!$C$6:$F$720,"NO ESTA")</f>
        <v>SUMINISTRO E INSTALACION HERRAJE PATVH PANEL 24 Pts Cat. 6A BLINDADO</v>
      </c>
      <c r="I484" t="str">
        <v>UND</v>
      </c>
      <c r="J484">
        <v>9</v>
      </c>
      <c r="K484">
        <v>268628</v>
      </c>
      <c r="L484">
        <f t="shared" si="37"/>
        <v>0</v>
      </c>
      <c r="M484">
        <f t="shared" si="38"/>
        <v>0</v>
      </c>
      <c r="N484" s="119">
        <f t="shared" si="39"/>
        <v>4</v>
      </c>
      <c r="O484" s="119">
        <f t="shared" si="40"/>
        <v>0</v>
      </c>
    </row>
    <row r="485" spans="2:15" ht="26.25" customHeight="1" x14ac:dyDescent="0.25">
      <c r="B485" s="86" t="s">
        <v>926</v>
      </c>
      <c r="C485" s="87" t="s">
        <v>927</v>
      </c>
      <c r="D485" s="82" t="s">
        <v>16</v>
      </c>
      <c r="E485" s="230">
        <v>64</v>
      </c>
      <c r="F485" s="88">
        <v>36638</v>
      </c>
      <c r="G485" s="89">
        <f t="shared" si="36"/>
        <v>2344832</v>
      </c>
      <c r="H485" s="118" t="str">
        <f t="array" ref="H485:K485">_xlfn.XLOOKUP(C485,'ESAP NEIVA FASE II UNIFICADO'!$C$6:$C$720,'ESAP NEIVA FASE II UNIFICADO'!$C$6:$F$720,"NO ESTA")</f>
        <v>SUMINISTRO E INSTALACION TOMA SENCILLA RJ45 Cat. 6A AZUL DATOS BLINDADO INCLUYE MARQUILLAS</v>
      </c>
      <c r="I485" t="str">
        <v>UND</v>
      </c>
      <c r="J485">
        <v>172</v>
      </c>
      <c r="K485">
        <v>37595</v>
      </c>
      <c r="L485">
        <f t="shared" si="37"/>
        <v>0</v>
      </c>
      <c r="M485">
        <f t="shared" si="38"/>
        <v>0</v>
      </c>
      <c r="N485" s="119">
        <f t="shared" si="39"/>
        <v>64</v>
      </c>
      <c r="O485" s="119">
        <f t="shared" si="40"/>
        <v>0</v>
      </c>
    </row>
    <row r="486" spans="2:15" ht="26.25" customHeight="1" x14ac:dyDescent="0.25">
      <c r="B486" s="86" t="s">
        <v>928</v>
      </c>
      <c r="C486" s="87" t="s">
        <v>929</v>
      </c>
      <c r="D486" s="82" t="s">
        <v>16</v>
      </c>
      <c r="E486" s="230">
        <v>14</v>
      </c>
      <c r="F486" s="88">
        <v>36638</v>
      </c>
      <c r="G486" s="89">
        <f t="shared" si="36"/>
        <v>512932</v>
      </c>
      <c r="H486" s="118" t="str">
        <f t="array" ref="H486:K486">_xlfn.XLOOKUP(C486,'ESAP NEIVA FASE II UNIFICADO'!$C$6:$C$720,'ESAP NEIVA FASE II UNIFICADO'!$C$6:$F$720,"NO ESTA")</f>
        <v>SUMINISTRO E INSTALACION TOMA SENCILLA RJ45 Cat. 6A ROJO VOZ BLINDADO INCLUYE MARQUILLAS</v>
      </c>
      <c r="I486" t="str">
        <v>UND</v>
      </c>
      <c r="J486">
        <v>38</v>
      </c>
      <c r="K486">
        <v>37595</v>
      </c>
      <c r="L486">
        <f t="shared" si="37"/>
        <v>0</v>
      </c>
      <c r="M486">
        <f t="shared" si="38"/>
        <v>0</v>
      </c>
      <c r="N486" s="119">
        <f t="shared" si="39"/>
        <v>14</v>
      </c>
      <c r="O486" s="119">
        <f t="shared" si="40"/>
        <v>0</v>
      </c>
    </row>
    <row r="487" spans="2:15" ht="15" customHeight="1" x14ac:dyDescent="0.25">
      <c r="B487" s="86" t="s">
        <v>930</v>
      </c>
      <c r="C487" s="87" t="s">
        <v>931</v>
      </c>
      <c r="D487" s="82" t="s">
        <v>16</v>
      </c>
      <c r="E487" s="230">
        <v>64</v>
      </c>
      <c r="F487" s="88">
        <v>46993</v>
      </c>
      <c r="G487" s="89">
        <f t="shared" si="36"/>
        <v>3007552</v>
      </c>
      <c r="H487" s="118" t="str">
        <f t="array" ref="H487:K487">_xlfn.XLOOKUP(C487,'ESAP NEIVA FASE II UNIFICADO'!$C$6:$C$720,'ESAP NEIVA FASE II UNIFICADO'!$C$6:$F$720,"NO ESTA")</f>
        <v>SUMINISTRO E INSTALACION PATCH CORD. RJ45-RJ45 3 m Cat. 6A DATOS BLINDADO</v>
      </c>
      <c r="I487" t="str">
        <v>UND</v>
      </c>
      <c r="J487">
        <v>172</v>
      </c>
      <c r="K487">
        <v>48221</v>
      </c>
      <c r="L487">
        <f t="shared" si="37"/>
        <v>0</v>
      </c>
      <c r="M487">
        <f t="shared" si="38"/>
        <v>0</v>
      </c>
      <c r="N487" s="119">
        <f t="shared" si="39"/>
        <v>64</v>
      </c>
      <c r="O487" s="119">
        <f t="shared" si="40"/>
        <v>0</v>
      </c>
    </row>
    <row r="488" spans="2:15" ht="15" customHeight="1" x14ac:dyDescent="0.25">
      <c r="B488" s="86" t="s">
        <v>932</v>
      </c>
      <c r="C488" s="87" t="s">
        <v>933</v>
      </c>
      <c r="D488" s="82" t="s">
        <v>16</v>
      </c>
      <c r="E488" s="230">
        <v>14</v>
      </c>
      <c r="F488" s="88">
        <v>46993</v>
      </c>
      <c r="G488" s="89">
        <f t="shared" si="36"/>
        <v>657902</v>
      </c>
      <c r="H488" s="118" t="str">
        <f t="array" ref="H488:K488">_xlfn.XLOOKUP(C488,'ESAP NEIVA FASE II UNIFICADO'!$C$6:$C$720,'ESAP NEIVA FASE II UNIFICADO'!$C$6:$F$720,"NO ESTA")</f>
        <v>SUMINISTRO E INSTALACION PATCH CORD. RJ45-RJ45 3 m Cat. 6A VOZ BLINDADO</v>
      </c>
      <c r="I488" t="str">
        <v>UND</v>
      </c>
      <c r="J488">
        <v>38</v>
      </c>
      <c r="K488">
        <v>48221</v>
      </c>
      <c r="L488">
        <f t="shared" si="37"/>
        <v>0</v>
      </c>
      <c r="M488">
        <f t="shared" si="38"/>
        <v>0</v>
      </c>
      <c r="N488" s="119">
        <f t="shared" si="39"/>
        <v>14</v>
      </c>
      <c r="O488" s="119">
        <f t="shared" si="40"/>
        <v>0</v>
      </c>
    </row>
    <row r="489" spans="2:15" ht="15" customHeight="1" x14ac:dyDescent="0.25">
      <c r="B489" s="86" t="s">
        <v>934</v>
      </c>
      <c r="C489" s="87" t="s">
        <v>935</v>
      </c>
      <c r="D489" s="82" t="s">
        <v>16</v>
      </c>
      <c r="E489" s="230">
        <v>4</v>
      </c>
      <c r="F489" s="88">
        <v>244338</v>
      </c>
      <c r="G489" s="89">
        <f t="shared" si="36"/>
        <v>977352</v>
      </c>
      <c r="H489" s="118" t="str">
        <f t="array" ref="H489:K489">_xlfn.XLOOKUP(C489,'ESAP NEIVA FASE II UNIFICADO'!$C$6:$C$720,'ESAP NEIVA FASE II UNIFICADO'!$C$6:$F$720,"NO ESTA")</f>
        <v>SUMINISTRO E INSTALACION ORGANIZADOR HORIZONTAL 2U</v>
      </c>
      <c r="I489" t="str">
        <v>UND</v>
      </c>
      <c r="J489">
        <v>9</v>
      </c>
      <c r="K489">
        <v>250719</v>
      </c>
      <c r="L489">
        <f t="shared" si="37"/>
        <v>0</v>
      </c>
      <c r="M489">
        <f t="shared" si="38"/>
        <v>0</v>
      </c>
      <c r="N489" s="119">
        <f t="shared" si="39"/>
        <v>4</v>
      </c>
      <c r="O489" s="119">
        <f t="shared" si="40"/>
        <v>0</v>
      </c>
    </row>
    <row r="490" spans="2:15" ht="15" customHeight="1" x14ac:dyDescent="0.25">
      <c r="B490" s="80" t="s">
        <v>936</v>
      </c>
      <c r="C490" s="81" t="s">
        <v>937</v>
      </c>
      <c r="D490" s="82"/>
      <c r="E490" s="230"/>
      <c r="F490" s="104">
        <v>0</v>
      </c>
      <c r="G490" s="89">
        <f t="shared" si="36"/>
        <v>0</v>
      </c>
      <c r="H490" s="118" t="str">
        <f t="array" ref="H490:K490">_xlfn.XLOOKUP(C490,'ESAP NEIVA FASE II UNIFICADO'!$C$6:$C$720,'ESAP NEIVA FASE II UNIFICADO'!$C$6:$F$720,"NO ESTA")</f>
        <v>SUMINISTRO E INSTALACIÓN INTEGRACIÓN TELEFÓNICA</v>
      </c>
      <c r="I490">
        <v>0</v>
      </c>
      <c r="J490">
        <v>0</v>
      </c>
      <c r="K490">
        <v>0</v>
      </c>
      <c r="L490">
        <f t="shared" si="37"/>
        <v>1</v>
      </c>
      <c r="M490">
        <f t="shared" si="38"/>
        <v>0</v>
      </c>
      <c r="N490" s="119">
        <f t="shared" si="39"/>
        <v>0</v>
      </c>
      <c r="O490" s="119">
        <f t="shared" si="40"/>
        <v>0</v>
      </c>
    </row>
    <row r="491" spans="2:15" ht="24.75" customHeight="1" x14ac:dyDescent="0.25">
      <c r="B491" s="86" t="s">
        <v>938</v>
      </c>
      <c r="C491" s="87" t="s">
        <v>939</v>
      </c>
      <c r="D491" s="82" t="s">
        <v>16</v>
      </c>
      <c r="E491" s="230">
        <v>1</v>
      </c>
      <c r="F491" s="88">
        <v>566952</v>
      </c>
      <c r="G491" s="89">
        <f t="shared" si="36"/>
        <v>566952</v>
      </c>
      <c r="H491" s="118" t="str">
        <f t="array" ref="H491:K491">_xlfn.XLOOKUP(C491,'ESAP NEIVA FASE II UNIFICADO'!$C$6:$C$720,'ESAP NEIVA FASE II UNIFICADO'!$C$6:$F$720,"NO ESTA")</f>
        <v>SUMINISTRO E INSTALACION PATCH PANEL 24 Pts Cat. 5E BLINDADO PARA INTEGRACIÓN TELEFONICA</v>
      </c>
      <c r="I491" t="str">
        <v>UND</v>
      </c>
      <c r="J491">
        <v>1</v>
      </c>
      <c r="K491">
        <v>581760</v>
      </c>
      <c r="L491">
        <f t="shared" si="37"/>
        <v>0</v>
      </c>
      <c r="M491">
        <f t="shared" si="38"/>
        <v>0</v>
      </c>
      <c r="N491" s="119">
        <f t="shared" si="39"/>
        <v>1</v>
      </c>
      <c r="O491" s="119">
        <f t="shared" si="40"/>
        <v>0</v>
      </c>
    </row>
    <row r="492" spans="2:15" ht="24.75" customHeight="1" x14ac:dyDescent="0.25">
      <c r="B492" s="86" t="s">
        <v>940</v>
      </c>
      <c r="C492" s="87" t="s">
        <v>941</v>
      </c>
      <c r="D492" s="82" t="s">
        <v>16</v>
      </c>
      <c r="E492" s="230">
        <v>14</v>
      </c>
      <c r="F492" s="88">
        <v>34436</v>
      </c>
      <c r="G492" s="89">
        <f t="shared" si="36"/>
        <v>482104</v>
      </c>
      <c r="H492" s="118" t="str">
        <f t="array" ref="H492:K492">_xlfn.XLOOKUP(C492,'ESAP NEIVA FASE II UNIFICADO'!$C$6:$C$720,'ESAP NEIVA FASE II UNIFICADO'!$C$6:$F$720,"NO ESTA")</f>
        <v>SUMINISTRO E INSTALACION PATCH CORD RJ45-RJ45 1m Cat 5E INTEGRACIÓN TELEFÓNICA INCLUYE MARQUILLAS</v>
      </c>
      <c r="I492" t="str">
        <v>UND</v>
      </c>
      <c r="J492">
        <v>38</v>
      </c>
      <c r="K492">
        <v>35336</v>
      </c>
      <c r="L492">
        <f t="shared" si="37"/>
        <v>0</v>
      </c>
      <c r="M492">
        <f t="shared" si="38"/>
        <v>0</v>
      </c>
      <c r="N492" s="119">
        <f t="shared" si="39"/>
        <v>14</v>
      </c>
      <c r="O492" s="119">
        <f t="shared" si="40"/>
        <v>0</v>
      </c>
    </row>
    <row r="493" spans="2:15" ht="15" customHeight="1" x14ac:dyDescent="0.25">
      <c r="B493" s="86" t="s">
        <v>942</v>
      </c>
      <c r="C493" s="87" t="s">
        <v>935</v>
      </c>
      <c r="D493" s="82" t="s">
        <v>16</v>
      </c>
      <c r="E493" s="230">
        <v>1</v>
      </c>
      <c r="F493" s="88">
        <v>244338</v>
      </c>
      <c r="G493" s="89">
        <f t="shared" si="36"/>
        <v>244338</v>
      </c>
      <c r="H493" s="118" t="str">
        <f t="array" ref="H493:K493">_xlfn.XLOOKUP(C493,'ESAP NEIVA FASE II UNIFICADO'!$C$6:$C$720,'ESAP NEIVA FASE II UNIFICADO'!$C$6:$F$720,"NO ESTA")</f>
        <v>SUMINISTRO E INSTALACION ORGANIZADOR HORIZONTAL 2U</v>
      </c>
      <c r="I493" t="str">
        <v>UND</v>
      </c>
      <c r="J493">
        <v>9</v>
      </c>
      <c r="K493">
        <v>250719</v>
      </c>
      <c r="L493">
        <f t="shared" si="37"/>
        <v>0</v>
      </c>
      <c r="M493">
        <f t="shared" si="38"/>
        <v>0</v>
      </c>
      <c r="N493" s="119">
        <f t="shared" si="39"/>
        <v>1</v>
      </c>
      <c r="O493" s="119">
        <f t="shared" si="40"/>
        <v>0</v>
      </c>
    </row>
    <row r="494" spans="2:15" ht="15" customHeight="1" x14ac:dyDescent="0.25">
      <c r="B494" s="80" t="s">
        <v>943</v>
      </c>
      <c r="C494" s="81" t="s">
        <v>944</v>
      </c>
      <c r="D494" s="82"/>
      <c r="E494" s="230"/>
      <c r="F494" s="104">
        <v>0</v>
      </c>
      <c r="G494" s="89">
        <f t="shared" si="36"/>
        <v>0</v>
      </c>
      <c r="H494" s="118" t="str">
        <f t="array" ref="H494:K494">_xlfn.XLOOKUP(C494,'ESAP NEIVA FASE II UNIFICADO'!$C$6:$C$720,'ESAP NEIVA FASE II UNIFICADO'!$C$6:$F$720,"NO ESTA")</f>
        <v>SUMINISTRO E INSTALACIÓN DE BACKBONE</v>
      </c>
      <c r="I494">
        <v>0</v>
      </c>
      <c r="J494">
        <v>0</v>
      </c>
      <c r="K494">
        <v>0</v>
      </c>
      <c r="L494">
        <f t="shared" si="37"/>
        <v>1</v>
      </c>
      <c r="M494">
        <f t="shared" si="38"/>
        <v>0</v>
      </c>
      <c r="N494" s="119">
        <f t="shared" si="39"/>
        <v>0</v>
      </c>
      <c r="O494" s="119">
        <f t="shared" si="40"/>
        <v>0</v>
      </c>
    </row>
    <row r="495" spans="2:15" ht="15" customHeight="1" x14ac:dyDescent="0.25">
      <c r="B495" s="86" t="s">
        <v>945</v>
      </c>
      <c r="C495" s="87" t="s">
        <v>946</v>
      </c>
      <c r="D495" s="82" t="s">
        <v>94</v>
      </c>
      <c r="E495" s="230">
        <v>12</v>
      </c>
      <c r="F495" s="88">
        <v>19104</v>
      </c>
      <c r="G495" s="89">
        <f t="shared" si="36"/>
        <v>229248</v>
      </c>
      <c r="H495" s="118" t="str">
        <f t="array" ref="H495:K495">_xlfn.XLOOKUP(C495,'ESAP NEIVA FASE II UNIFICADO'!$C$6:$C$720,'ESAP NEIVA FASE II UNIFICADO'!$C$6:$F$720,"NO ESTA")</f>
        <v>SUMINISTRO E INSTALACION FIBRA OPTICA 6 HILOS MULTIMODO 50/125 u.</v>
      </c>
      <c r="I495" t="str">
        <v>ML</v>
      </c>
      <c r="J495">
        <v>32</v>
      </c>
      <c r="K495">
        <v>19602</v>
      </c>
      <c r="L495">
        <f t="shared" si="37"/>
        <v>0</v>
      </c>
      <c r="M495">
        <f t="shared" si="38"/>
        <v>0</v>
      </c>
      <c r="N495" s="119">
        <f t="shared" si="39"/>
        <v>12</v>
      </c>
      <c r="O495" s="119">
        <f t="shared" si="40"/>
        <v>0</v>
      </c>
    </row>
    <row r="496" spans="2:15" ht="15" customHeight="1" x14ac:dyDescent="0.25">
      <c r="B496" s="86" t="s">
        <v>947</v>
      </c>
      <c r="C496" s="87" t="s">
        <v>948</v>
      </c>
      <c r="D496" s="82" t="s">
        <v>16</v>
      </c>
      <c r="E496" s="230">
        <v>2</v>
      </c>
      <c r="F496" s="88">
        <v>688690</v>
      </c>
      <c r="G496" s="89">
        <f t="shared" si="36"/>
        <v>1377380</v>
      </c>
      <c r="H496" s="118" t="str">
        <f t="array" ref="H496:K496">_xlfn.XLOOKUP(C496,'ESAP NEIVA FASE II UNIFICADO'!$C$6:$C$720,'ESAP NEIVA FASE II UNIFICADO'!$C$6:$F$720,"NO ESTA")</f>
        <v>SUMINISTRO E INSTALACION BANDEJA DE FIBRA OPTICA DE 24 PUERTOS</v>
      </c>
      <c r="I496" t="str">
        <v>UND</v>
      </c>
      <c r="J496">
        <v>2</v>
      </c>
      <c r="K496">
        <v>706677</v>
      </c>
      <c r="L496">
        <f t="shared" si="37"/>
        <v>0</v>
      </c>
      <c r="M496">
        <f t="shared" si="38"/>
        <v>0</v>
      </c>
      <c r="N496" s="119">
        <f t="shared" si="39"/>
        <v>2</v>
      </c>
      <c r="O496" s="119">
        <f t="shared" si="40"/>
        <v>0</v>
      </c>
    </row>
    <row r="497" spans="2:15" ht="15" customHeight="1" x14ac:dyDescent="0.25">
      <c r="B497" s="86" t="s">
        <v>949</v>
      </c>
      <c r="C497" s="87" t="s">
        <v>950</v>
      </c>
      <c r="D497" s="82" t="s">
        <v>16</v>
      </c>
      <c r="E497" s="230">
        <v>2</v>
      </c>
      <c r="F497" s="88">
        <v>244338</v>
      </c>
      <c r="G497" s="89">
        <f t="shared" si="36"/>
        <v>488676</v>
      </c>
      <c r="H497" s="118" t="str">
        <f t="array" ref="H497:K497">_xlfn.XLOOKUP(C497,'ESAP NEIVA FASE II UNIFICADO'!$C$6:$C$720,'ESAP NEIVA FASE II UNIFICADO'!$C$6:$F$720,"NO ESTA")</f>
        <v>SUMINISTRO E INSTALACION ORGANIZADOR HORIZONTAL 1U</v>
      </c>
      <c r="I497" t="str">
        <v>UND</v>
      </c>
      <c r="J497">
        <v>2</v>
      </c>
      <c r="K497">
        <v>250719</v>
      </c>
      <c r="L497">
        <f t="shared" si="37"/>
        <v>0</v>
      </c>
      <c r="M497">
        <f t="shared" si="38"/>
        <v>0</v>
      </c>
      <c r="N497" s="119">
        <f t="shared" si="39"/>
        <v>2</v>
      </c>
      <c r="O497" s="119">
        <f t="shared" si="40"/>
        <v>0</v>
      </c>
    </row>
    <row r="498" spans="2:15" ht="15" customHeight="1" x14ac:dyDescent="0.25">
      <c r="B498" s="80" t="s">
        <v>951</v>
      </c>
      <c r="C498" s="81" t="s">
        <v>952</v>
      </c>
      <c r="D498" s="82"/>
      <c r="E498" s="230"/>
      <c r="F498" s="104">
        <v>0</v>
      </c>
      <c r="G498" s="89">
        <f t="shared" si="36"/>
        <v>0</v>
      </c>
      <c r="H498" s="118" t="str">
        <f t="array" ref="H498:K498">_xlfn.XLOOKUP(C498,'ESAP NEIVA FASE II UNIFICADO'!$C$6:$C$720,'ESAP NEIVA FASE II UNIFICADO'!$C$6:$F$720,"NO ESTA")</f>
        <v xml:space="preserve">SUMINISTRO E INSTALACIÓN DE OTROS </v>
      </c>
      <c r="I498">
        <v>0</v>
      </c>
      <c r="J498">
        <v>0</v>
      </c>
      <c r="K498">
        <v>0</v>
      </c>
      <c r="L498">
        <f t="shared" si="37"/>
        <v>1</v>
      </c>
      <c r="M498">
        <f t="shared" si="38"/>
        <v>0</v>
      </c>
      <c r="N498" s="119">
        <f t="shared" si="39"/>
        <v>0</v>
      </c>
      <c r="O498" s="119">
        <f t="shared" si="40"/>
        <v>0</v>
      </c>
    </row>
    <row r="499" spans="2:15" ht="25.5" customHeight="1" x14ac:dyDescent="0.25">
      <c r="B499" s="86" t="s">
        <v>953</v>
      </c>
      <c r="C499" s="87" t="s">
        <v>954</v>
      </c>
      <c r="D499" s="82" t="s">
        <v>16</v>
      </c>
      <c r="E499" s="230">
        <v>1</v>
      </c>
      <c r="F499" s="88">
        <v>4390063</v>
      </c>
      <c r="G499" s="89">
        <f t="shared" si="36"/>
        <v>4390063</v>
      </c>
      <c r="H499" s="118" t="str">
        <f t="array" ref="H499:K499">_xlfn.XLOOKUP(C499,'ESAP NEIVA FASE II UNIFICADO'!$C$6:$C$720,'ESAP NEIVA FASE II UNIFICADO'!$C$6:$F$720,"NO ESTA")</f>
        <v>SUMINISTRO E INSTALACION GABINETE 2,10 m ALTO X 0,71 m PROFUNDO Y 0,81 m DE ANCHO</v>
      </c>
      <c r="I499" t="str">
        <v>UND</v>
      </c>
      <c r="J499">
        <v>3</v>
      </c>
      <c r="K499">
        <v>4504726</v>
      </c>
      <c r="L499">
        <f t="shared" si="37"/>
        <v>0</v>
      </c>
      <c r="M499">
        <f t="shared" si="38"/>
        <v>0</v>
      </c>
      <c r="N499" s="119">
        <f t="shared" si="39"/>
        <v>1</v>
      </c>
      <c r="O499" s="119">
        <f t="shared" si="40"/>
        <v>0</v>
      </c>
    </row>
    <row r="500" spans="2:15" ht="15" customHeight="1" x14ac:dyDescent="0.25">
      <c r="B500" s="86" t="s">
        <v>955</v>
      </c>
      <c r="C500" s="87" t="s">
        <v>956</v>
      </c>
      <c r="D500" s="82" t="s">
        <v>16</v>
      </c>
      <c r="E500" s="230">
        <v>2</v>
      </c>
      <c r="F500" s="88">
        <v>564171</v>
      </c>
      <c r="G500" s="89">
        <f t="shared" si="36"/>
        <v>1128342</v>
      </c>
      <c r="H500" s="118" t="str">
        <f t="array" ref="H500:K500">_xlfn.XLOOKUP(C500,'ESAP NEIVA FASE II UNIFICADO'!$C$6:$C$720,'ESAP NEIVA FASE II UNIFICADO'!$C$6:$F$720,"NO ESTA")</f>
        <v>SUMINISTRO E INSTALACION ORGANIZADOR VERTICAL</v>
      </c>
      <c r="I500" t="str">
        <v>UND</v>
      </c>
      <c r="J500">
        <v>6</v>
      </c>
      <c r="K500">
        <v>578906</v>
      </c>
      <c r="L500">
        <f t="shared" si="37"/>
        <v>0</v>
      </c>
      <c r="M500">
        <f t="shared" si="38"/>
        <v>0</v>
      </c>
      <c r="N500" s="119">
        <f t="shared" si="39"/>
        <v>2</v>
      </c>
      <c r="O500" s="119">
        <f t="shared" si="40"/>
        <v>0</v>
      </c>
    </row>
    <row r="501" spans="2:15" ht="26.25" customHeight="1" x14ac:dyDescent="0.25">
      <c r="B501" s="86" t="s">
        <v>957</v>
      </c>
      <c r="C501" s="87" t="s">
        <v>958</v>
      </c>
      <c r="D501" s="82" t="s">
        <v>16</v>
      </c>
      <c r="E501" s="230">
        <v>1</v>
      </c>
      <c r="F501" s="88">
        <v>488570</v>
      </c>
      <c r="G501" s="89">
        <f t="shared" si="36"/>
        <v>488570</v>
      </c>
      <c r="H501" s="118" t="str">
        <f t="array" ref="H501:K501">_xlfn.XLOOKUP(C501,'ESAP NEIVA FASE II UNIFICADO'!$C$6:$C$720,'ESAP NEIVA FASE II UNIFICADO'!$C$6:$F$720,"NO ESTA")</f>
        <v>SUMINISTRO E INSTALACION MULTITOMA CON 5 SALIDAS ELECTRICAS GRADO HOSPITALARIO</v>
      </c>
      <c r="I501" t="str">
        <v>UND</v>
      </c>
      <c r="J501">
        <v>3</v>
      </c>
      <c r="K501">
        <v>501331</v>
      </c>
      <c r="L501">
        <f t="shared" si="37"/>
        <v>0</v>
      </c>
      <c r="M501">
        <f t="shared" si="38"/>
        <v>0</v>
      </c>
      <c r="N501" s="119">
        <f t="shared" si="39"/>
        <v>1</v>
      </c>
      <c r="O501" s="119">
        <f t="shared" si="40"/>
        <v>0</v>
      </c>
    </row>
    <row r="502" spans="2:15" ht="26.25" customHeight="1" x14ac:dyDescent="0.25">
      <c r="B502" s="86" t="s">
        <v>959</v>
      </c>
      <c r="C502" s="87" t="s">
        <v>960</v>
      </c>
      <c r="D502" s="82" t="s">
        <v>94</v>
      </c>
      <c r="E502" s="230">
        <v>11</v>
      </c>
      <c r="F502" s="88">
        <v>4514</v>
      </c>
      <c r="G502" s="89">
        <f t="shared" si="36"/>
        <v>49654</v>
      </c>
      <c r="H502" s="118" t="str">
        <f t="array" ref="H502:K502">_xlfn.XLOOKUP(C502,'ESAP NEIVA FASE II UNIFICADO'!$C$6:$C$720,'ESAP NEIVA FASE II UNIFICADO'!$C$6:$F$720,"NO ESTA")</f>
        <v>SUMINISTRO E INSTALACION CABLE THHN No. 6 AWG VERDE. PARA ATERRIZAJE DE ELEMENTOS Y GABINATE</v>
      </c>
      <c r="I502" t="str">
        <v>ML</v>
      </c>
      <c r="J502">
        <v>29</v>
      </c>
      <c r="K502">
        <v>4631</v>
      </c>
      <c r="L502">
        <f t="shared" si="37"/>
        <v>0</v>
      </c>
      <c r="M502">
        <f t="shared" si="38"/>
        <v>0</v>
      </c>
      <c r="N502" s="119">
        <f t="shared" si="39"/>
        <v>11</v>
      </c>
      <c r="O502" s="119">
        <f t="shared" si="40"/>
        <v>0</v>
      </c>
    </row>
    <row r="503" spans="2:15" ht="15" customHeight="1" x14ac:dyDescent="0.25">
      <c r="B503" s="86" t="s">
        <v>961</v>
      </c>
      <c r="C503" s="87" t="s">
        <v>962</v>
      </c>
      <c r="D503" s="82" t="s">
        <v>94</v>
      </c>
      <c r="E503" s="230">
        <v>230</v>
      </c>
      <c r="F503" s="88">
        <v>150309</v>
      </c>
      <c r="G503" s="89">
        <f t="shared" si="36"/>
        <v>34571070</v>
      </c>
      <c r="H503" s="118" t="str">
        <f t="array" ref="H503:K503">_xlfn.XLOOKUP(C503,'ESAP NEIVA FASE II UNIFICADO'!$C$6:$C$720,'ESAP NEIVA FASE II UNIFICADO'!$C$6:$F$720,"NO ESTA")</f>
        <v>SUMINISTRO E INSTALACION BANDEJA TIPO MALLA DE 40 x 8 cm CON ACCESORIOS</v>
      </c>
      <c r="I503" t="str">
        <v>ML</v>
      </c>
      <c r="J503">
        <v>316</v>
      </c>
      <c r="K503">
        <v>154235</v>
      </c>
      <c r="L503">
        <f t="shared" si="37"/>
        <v>0</v>
      </c>
      <c r="M503">
        <f t="shared" si="38"/>
        <v>0</v>
      </c>
      <c r="N503" s="119">
        <f t="shared" si="39"/>
        <v>230</v>
      </c>
      <c r="O503" s="119">
        <f t="shared" si="40"/>
        <v>0</v>
      </c>
    </row>
    <row r="504" spans="2:15" ht="15" customHeight="1" x14ac:dyDescent="0.25">
      <c r="B504" s="86" t="s">
        <v>963</v>
      </c>
      <c r="C504" s="87" t="s">
        <v>964</v>
      </c>
      <c r="D504" s="82" t="s">
        <v>94</v>
      </c>
      <c r="E504" s="230">
        <v>91</v>
      </c>
      <c r="F504" s="88">
        <v>35614</v>
      </c>
      <c r="G504" s="89">
        <f t="shared" si="36"/>
        <v>3240874</v>
      </c>
      <c r="H504" s="118" t="str">
        <f t="array" ref="H504:K504">_xlfn.XLOOKUP(C504,'ESAP NEIVA FASE II UNIFICADO'!$C$6:$C$720,'ESAP NEIVA FASE II UNIFICADO'!$C$6:$F$720,"NO ESTA")</f>
        <v>SUMINISTRO E INSTALACION CANALETA METÁLICA DE 12 x 5 cm.</v>
      </c>
      <c r="I504" t="str">
        <v>ML</v>
      </c>
      <c r="J504">
        <v>245</v>
      </c>
      <c r="K504">
        <v>36543</v>
      </c>
      <c r="L504">
        <f t="shared" si="37"/>
        <v>0</v>
      </c>
      <c r="M504">
        <f t="shared" si="38"/>
        <v>0</v>
      </c>
      <c r="N504" s="119">
        <f t="shared" si="39"/>
        <v>91</v>
      </c>
      <c r="O504" s="119">
        <f t="shared" si="40"/>
        <v>0</v>
      </c>
    </row>
    <row r="505" spans="2:15" ht="15" customHeight="1" x14ac:dyDescent="0.25">
      <c r="B505" s="86" t="s">
        <v>965</v>
      </c>
      <c r="C505" s="87" t="s">
        <v>966</v>
      </c>
      <c r="D505" s="82" t="s">
        <v>94</v>
      </c>
      <c r="E505" s="230">
        <v>23</v>
      </c>
      <c r="F505" s="88">
        <v>19668</v>
      </c>
      <c r="G505" s="89">
        <f t="shared" si="36"/>
        <v>452364</v>
      </c>
      <c r="H505" s="118" t="str">
        <f t="array" ref="H505:K505">_xlfn.XLOOKUP(C505,'ESAP NEIVA FASE II UNIFICADO'!$C$6:$C$720,'ESAP NEIVA FASE II UNIFICADO'!$C$6:$F$720,"NO ESTA")</f>
        <v>SUMINISTRO E INSTALACION TUBERÍA EMT DE 1" INCLUYE ACCESORIOS</v>
      </c>
      <c r="I505" t="str">
        <v>ML</v>
      </c>
      <c r="J505">
        <v>64</v>
      </c>
      <c r="K505">
        <v>20181</v>
      </c>
      <c r="L505">
        <f t="shared" si="37"/>
        <v>0</v>
      </c>
      <c r="M505">
        <f t="shared" si="38"/>
        <v>0</v>
      </c>
      <c r="N505" s="119">
        <f t="shared" si="39"/>
        <v>23</v>
      </c>
      <c r="O505" s="119">
        <f t="shared" si="40"/>
        <v>0</v>
      </c>
    </row>
    <row r="506" spans="2:15" ht="15" customHeight="1" x14ac:dyDescent="0.25">
      <c r="B506" s="86" t="s">
        <v>967</v>
      </c>
      <c r="C506" s="87" t="s">
        <v>968</v>
      </c>
      <c r="D506" s="82" t="s">
        <v>94</v>
      </c>
      <c r="E506" s="230">
        <v>61</v>
      </c>
      <c r="F506" s="88">
        <v>15631</v>
      </c>
      <c r="G506" s="89">
        <f t="shared" si="36"/>
        <v>953491</v>
      </c>
      <c r="H506" s="118" t="str">
        <f t="array" ref="H506:K506">_xlfn.XLOOKUP(C506,'ESAP NEIVA FASE II UNIFICADO'!$C$6:$C$720,'ESAP NEIVA FASE II UNIFICADO'!$C$6:$F$720,"NO ESTA")</f>
        <v>SUMINISTRO E INSTALACION TUBERÍA EMT DE 3/4" INCLUYE ACCESORIOS</v>
      </c>
      <c r="I506" t="str">
        <v>ML</v>
      </c>
      <c r="J506">
        <v>166</v>
      </c>
      <c r="K506">
        <v>16039</v>
      </c>
      <c r="L506">
        <f t="shared" si="37"/>
        <v>0</v>
      </c>
      <c r="M506">
        <f t="shared" si="38"/>
        <v>0</v>
      </c>
      <c r="N506" s="119">
        <f t="shared" si="39"/>
        <v>61</v>
      </c>
      <c r="O506" s="119">
        <f t="shared" si="40"/>
        <v>0</v>
      </c>
    </row>
    <row r="507" spans="2:15" ht="15" customHeight="1" x14ac:dyDescent="0.25">
      <c r="B507" s="86" t="s">
        <v>969</v>
      </c>
      <c r="C507" s="87" t="s">
        <v>970</v>
      </c>
      <c r="D507" s="82" t="s">
        <v>94</v>
      </c>
      <c r="E507" s="230">
        <v>8</v>
      </c>
      <c r="F507" s="88">
        <v>5759</v>
      </c>
      <c r="G507" s="89">
        <f t="shared" si="36"/>
        <v>46072</v>
      </c>
      <c r="H507" s="118" t="str">
        <f t="array" ref="H507:K507">_xlfn.XLOOKUP(C507,'ESAP NEIVA FASE II UNIFICADO'!$C$6:$C$720,'ESAP NEIVA FASE II UNIFICADO'!$C$6:$F$720,"NO ESTA")</f>
        <v>SUMINISTRO E INSTALACION TUBERÍA PVC DE 1" INCLUYE ACCESORIOS</v>
      </c>
      <c r="I507" t="str">
        <v>ML</v>
      </c>
      <c r="J507">
        <v>22</v>
      </c>
      <c r="K507">
        <v>5910</v>
      </c>
      <c r="L507">
        <f t="shared" si="37"/>
        <v>0</v>
      </c>
      <c r="M507">
        <f t="shared" si="38"/>
        <v>0</v>
      </c>
      <c r="N507" s="119">
        <f t="shared" si="39"/>
        <v>8</v>
      </c>
      <c r="O507" s="119">
        <f t="shared" si="40"/>
        <v>0</v>
      </c>
    </row>
    <row r="508" spans="2:15" ht="15" customHeight="1" x14ac:dyDescent="0.25">
      <c r="B508" s="86" t="s">
        <v>971</v>
      </c>
      <c r="C508" s="87" t="s">
        <v>972</v>
      </c>
      <c r="D508" s="82" t="s">
        <v>94</v>
      </c>
      <c r="E508" s="230">
        <v>31</v>
      </c>
      <c r="F508" s="88">
        <v>4633</v>
      </c>
      <c r="G508" s="89">
        <f t="shared" si="36"/>
        <v>143623</v>
      </c>
      <c r="H508" s="118" t="str">
        <f t="array" ref="H508:K508">_xlfn.XLOOKUP(C508,'ESAP NEIVA FASE II UNIFICADO'!$C$6:$C$720,'ESAP NEIVA FASE II UNIFICADO'!$C$6:$F$720,"NO ESTA")</f>
        <v>SUMINISTRO E INSTALACION TUBERÍA PVC DE 3/4" INCLUYE ACCESORIOS</v>
      </c>
      <c r="I508" t="str">
        <v>ML</v>
      </c>
      <c r="J508">
        <v>84</v>
      </c>
      <c r="K508">
        <v>4755</v>
      </c>
      <c r="L508">
        <f t="shared" si="37"/>
        <v>0</v>
      </c>
      <c r="M508">
        <f t="shared" si="38"/>
        <v>0</v>
      </c>
      <c r="N508" s="119">
        <f t="shared" si="39"/>
        <v>31</v>
      </c>
      <c r="O508" s="119">
        <f t="shared" si="40"/>
        <v>0</v>
      </c>
    </row>
    <row r="509" spans="2:15" ht="15" customHeight="1" x14ac:dyDescent="0.25">
      <c r="B509" s="86" t="s">
        <v>973</v>
      </c>
      <c r="C509" s="87" t="s">
        <v>974</v>
      </c>
      <c r="D509" s="82" t="s">
        <v>16</v>
      </c>
      <c r="E509" s="230">
        <v>4</v>
      </c>
      <c r="F509" s="88">
        <v>751513</v>
      </c>
      <c r="G509" s="89">
        <f t="shared" si="36"/>
        <v>3006052</v>
      </c>
      <c r="H509" s="118" t="str">
        <f t="array" ref="H509:K509">_xlfn.XLOOKUP(C509,'ESAP NEIVA FASE II UNIFICADO'!$C$6:$C$720,'ESAP NEIVA FASE II UNIFICADO'!$C$6:$F$720,"NO ESTA")</f>
        <v>SUMINISTRO E INSTALACION PARRILLA ORGANIZADORA DE CABLES DE 1,20 x 0,6 m</v>
      </c>
      <c r="I509" t="str">
        <v>UND</v>
      </c>
      <c r="J509">
        <v>2</v>
      </c>
      <c r="K509">
        <v>771142</v>
      </c>
      <c r="L509">
        <f t="shared" si="37"/>
        <v>0</v>
      </c>
      <c r="M509">
        <f t="shared" si="38"/>
        <v>0</v>
      </c>
      <c r="N509" s="119">
        <f t="shared" si="39"/>
        <v>4</v>
      </c>
      <c r="O509" s="119">
        <f t="shared" si="40"/>
        <v>0</v>
      </c>
    </row>
    <row r="510" spans="2:15" ht="15" customHeight="1" x14ac:dyDescent="0.25">
      <c r="B510" s="86" t="s">
        <v>975</v>
      </c>
      <c r="C510" s="87" t="s">
        <v>976</v>
      </c>
      <c r="D510" s="82" t="s">
        <v>16</v>
      </c>
      <c r="E510" s="230">
        <v>4</v>
      </c>
      <c r="F510" s="88">
        <v>12598</v>
      </c>
      <c r="G510" s="89">
        <f t="shared" si="36"/>
        <v>50392</v>
      </c>
      <c r="H510" s="118" t="str">
        <f t="array" ref="H510:K510">_xlfn.XLOOKUP(C510,'ESAP NEIVA FASE II UNIFICADO'!$C$6:$C$720,'ESAP NEIVA FASE II UNIFICADO'!$C$6:$F$720,"NO ESTA")</f>
        <v>SUMINISTRO E INSTALACION CAJA DE PASO 10 x 10 m DOBLE FONDO</v>
      </c>
      <c r="I510" t="str">
        <v>UND</v>
      </c>
      <c r="J510">
        <v>4</v>
      </c>
      <c r="K510">
        <v>12928</v>
      </c>
      <c r="L510">
        <f t="shared" si="37"/>
        <v>0</v>
      </c>
      <c r="M510">
        <f t="shared" si="38"/>
        <v>0</v>
      </c>
      <c r="N510" s="119">
        <f t="shared" si="39"/>
        <v>4</v>
      </c>
      <c r="O510" s="119">
        <f t="shared" si="40"/>
        <v>0</v>
      </c>
    </row>
    <row r="511" spans="2:15" ht="15" customHeight="1" x14ac:dyDescent="0.25">
      <c r="B511" s="80" t="s">
        <v>977</v>
      </c>
      <c r="C511" s="81" t="s">
        <v>978</v>
      </c>
      <c r="D511" s="82"/>
      <c r="E511" s="230"/>
      <c r="F511" s="106">
        <v>0</v>
      </c>
      <c r="G511" s="89">
        <f t="shared" si="36"/>
        <v>0</v>
      </c>
      <c r="H511" s="118" t="str">
        <f t="array" ref="H511:K511">_xlfn.XLOOKUP(C511,'ESAP NEIVA FASE II UNIFICADO'!$C$6:$C$720,'ESAP NEIVA FASE II UNIFICADO'!$C$6:$F$720,"NO ESTA")</f>
        <v xml:space="preserve">SUMINISTRO E INSTALACIÓN DE REDES ELECTRICAS ESPECIALES </v>
      </c>
      <c r="I511">
        <v>0</v>
      </c>
      <c r="J511">
        <v>0</v>
      </c>
      <c r="K511">
        <v>0</v>
      </c>
      <c r="L511">
        <f t="shared" si="37"/>
        <v>1</v>
      </c>
      <c r="M511">
        <f t="shared" si="38"/>
        <v>0</v>
      </c>
      <c r="N511" s="119">
        <f t="shared" si="39"/>
        <v>0</v>
      </c>
      <c r="O511" s="119">
        <f t="shared" si="40"/>
        <v>0</v>
      </c>
    </row>
    <row r="512" spans="2:15" ht="15" customHeight="1" x14ac:dyDescent="0.25">
      <c r="B512" s="86" t="s">
        <v>979</v>
      </c>
      <c r="C512" s="87" t="s">
        <v>980</v>
      </c>
      <c r="D512" s="82" t="s">
        <v>16</v>
      </c>
      <c r="E512" s="230">
        <v>2</v>
      </c>
      <c r="F512" s="88">
        <v>62600</v>
      </c>
      <c r="G512" s="89">
        <f t="shared" si="36"/>
        <v>125200</v>
      </c>
      <c r="H512" s="118" t="str">
        <f t="array" ref="H512:K512">_xlfn.XLOOKUP(C512,'ESAP NEIVA FASE II UNIFICADO'!$C$6:$C$720,'ESAP NEIVA FASE II UNIFICADO'!$C$6:$F$720,"NO ESTA")</f>
        <v>SUMINISTRO E INSTALACION SALIDA TOMA NEMA L5-30 RAWELT</v>
      </c>
      <c r="I512" t="str">
        <v>UND</v>
      </c>
      <c r="J512">
        <v>2</v>
      </c>
      <c r="K512">
        <v>64235</v>
      </c>
      <c r="L512">
        <f t="shared" si="37"/>
        <v>0</v>
      </c>
      <c r="M512">
        <f t="shared" si="38"/>
        <v>0</v>
      </c>
      <c r="N512" s="119">
        <f t="shared" si="39"/>
        <v>2</v>
      </c>
      <c r="O512" s="119">
        <f t="shared" si="40"/>
        <v>0</v>
      </c>
    </row>
    <row r="513" spans="2:15" ht="29.25" customHeight="1" x14ac:dyDescent="0.25">
      <c r="B513" s="86" t="s">
        <v>981</v>
      </c>
      <c r="C513" s="87" t="s">
        <v>982</v>
      </c>
      <c r="D513" s="82" t="s">
        <v>94</v>
      </c>
      <c r="E513" s="230">
        <v>2</v>
      </c>
      <c r="F513" s="88">
        <v>6306</v>
      </c>
      <c r="G513" s="89">
        <f t="shared" si="36"/>
        <v>12612</v>
      </c>
      <c r="H513" s="118" t="str">
        <f t="array" ref="H513:K513">_xlfn.XLOOKUP(C513,'ESAP NEIVA FASE II UNIFICADO'!$C$6:$C$720,'ESAP NEIVA FASE II UNIFICADO'!$C$6:$F$720,"NO ESTA")</f>
        <v>SUMINISTRO E INSTALACION CIRCUITO PREENSAMBLADO AZUL MONOFÁSICO NORMAL PARA RACK</v>
      </c>
      <c r="I513" t="str">
        <v>ML</v>
      </c>
      <c r="J513">
        <v>2</v>
      </c>
      <c r="K513">
        <v>6470</v>
      </c>
      <c r="L513">
        <f t="shared" si="37"/>
        <v>0</v>
      </c>
      <c r="M513">
        <f t="shared" si="38"/>
        <v>0</v>
      </c>
      <c r="N513" s="119">
        <f t="shared" si="39"/>
        <v>2</v>
      </c>
      <c r="O513" s="119">
        <f t="shared" si="40"/>
        <v>0</v>
      </c>
    </row>
    <row r="514" spans="2:15" ht="29.25" customHeight="1" x14ac:dyDescent="0.25">
      <c r="B514" s="86" t="s">
        <v>983</v>
      </c>
      <c r="C514" s="87" t="s">
        <v>984</v>
      </c>
      <c r="D514" s="82" t="s">
        <v>94</v>
      </c>
      <c r="E514" s="230">
        <v>2</v>
      </c>
      <c r="F514" s="88">
        <v>6306</v>
      </c>
      <c r="G514" s="89">
        <f t="shared" si="36"/>
        <v>12612</v>
      </c>
      <c r="H514" s="118" t="str">
        <f t="array" ref="H514:K514">_xlfn.XLOOKUP(C514,'ESAP NEIVA FASE II UNIFICADO'!$C$6:$C$720,'ESAP NEIVA FASE II UNIFICADO'!$C$6:$F$720,"NO ESTA")</f>
        <v>SUMINISTRO E INSTALACION CIRCUITO PREENSAMBLADO ROJO MONOFÁSICO REGULADO PARA RACK</v>
      </c>
      <c r="I514" t="str">
        <v>ML</v>
      </c>
      <c r="J514">
        <v>2</v>
      </c>
      <c r="K514">
        <v>6470</v>
      </c>
      <c r="L514">
        <f t="shared" si="37"/>
        <v>0</v>
      </c>
      <c r="M514">
        <f t="shared" si="38"/>
        <v>0</v>
      </c>
      <c r="N514" s="119">
        <f t="shared" si="39"/>
        <v>2</v>
      </c>
      <c r="O514" s="119">
        <f t="shared" si="40"/>
        <v>0</v>
      </c>
    </row>
    <row r="515" spans="2:15" ht="15" customHeight="1" x14ac:dyDescent="0.25">
      <c r="B515" s="86" t="s">
        <v>985</v>
      </c>
      <c r="C515" s="87" t="s">
        <v>986</v>
      </c>
      <c r="D515" s="82" t="s">
        <v>16</v>
      </c>
      <c r="E515" s="230">
        <v>2</v>
      </c>
      <c r="F515" s="88">
        <v>616802</v>
      </c>
      <c r="G515" s="89">
        <f t="shared" si="36"/>
        <v>1233604</v>
      </c>
      <c r="H515" s="118" t="str">
        <f t="array" ref="H515:K515">_xlfn.XLOOKUP(C515,'ESAP NEIVA FASE II UNIFICADO'!$C$6:$C$720,'ESAP NEIVA FASE II UNIFICADO'!$C$6:$F$720,"NO ESTA")</f>
        <v>SUMINISTRO E INSTALACION BARRAJE DE PUESTA A TIERRA PARA RACK TGB</v>
      </c>
      <c r="I515" t="str">
        <v>UND</v>
      </c>
      <c r="J515">
        <v>2</v>
      </c>
      <c r="K515">
        <v>632913</v>
      </c>
      <c r="L515">
        <f t="shared" si="37"/>
        <v>0</v>
      </c>
      <c r="M515">
        <f t="shared" si="38"/>
        <v>0</v>
      </c>
      <c r="N515" s="119">
        <f t="shared" si="39"/>
        <v>2</v>
      </c>
      <c r="O515" s="119">
        <f t="shared" si="40"/>
        <v>0</v>
      </c>
    </row>
    <row r="516" spans="2:15" ht="15" customHeight="1" x14ac:dyDescent="0.25">
      <c r="B516" s="80" t="s">
        <v>987</v>
      </c>
      <c r="C516" s="81" t="s">
        <v>988</v>
      </c>
      <c r="D516" s="82"/>
      <c r="E516" s="230"/>
      <c r="F516" s="104">
        <v>0</v>
      </c>
      <c r="G516" s="89">
        <f t="shared" si="36"/>
        <v>0</v>
      </c>
      <c r="H516" s="118" t="str">
        <f t="array" ref="H516:K516">_xlfn.XLOOKUP(C516,'ESAP NEIVA FASE II UNIFICADO'!$C$6:$C$720,'ESAP NEIVA FASE II UNIFICADO'!$C$6:$F$720,"NO ESTA")</f>
        <v>SUMINISTRO E INSTALACION DE EQUIPOS ACTIVOS</v>
      </c>
      <c r="I516">
        <v>0</v>
      </c>
      <c r="J516">
        <v>0</v>
      </c>
      <c r="K516">
        <v>0</v>
      </c>
      <c r="L516">
        <f t="shared" si="37"/>
        <v>1</v>
      </c>
      <c r="M516">
        <f t="shared" si="38"/>
        <v>0</v>
      </c>
      <c r="N516" s="119">
        <f t="shared" si="39"/>
        <v>0</v>
      </c>
      <c r="O516" s="119">
        <f t="shared" si="40"/>
        <v>0</v>
      </c>
    </row>
    <row r="517" spans="2:15" ht="25.5" customHeight="1" x14ac:dyDescent="0.25">
      <c r="B517" s="86" t="s">
        <v>989</v>
      </c>
      <c r="C517" s="87" t="s">
        <v>990</v>
      </c>
      <c r="D517" s="82" t="s">
        <v>16</v>
      </c>
      <c r="E517" s="230">
        <v>1</v>
      </c>
      <c r="F517" s="88">
        <v>7157462</v>
      </c>
      <c r="G517" s="89">
        <f t="shared" si="36"/>
        <v>7157462</v>
      </c>
      <c r="H517" s="118" t="str">
        <f t="array" ref="H517:K517">_xlfn.XLOOKUP(C517,'ESAP NEIVA FASE II UNIFICADO'!$C$6:$C$720,'ESAP NEIVA FASE II UNIFICADO'!$C$6:$F$720,"NO ESTA")</f>
        <v xml:space="preserve">SUMINISTRO E INSTALACION SWITCHE DE BORDE DE 24 PoE PUERTOS GIGABIT ETHERNET 10/100/1000 Gbps CON PUERTO DE ADMINSITRACION POR CONSOLA </v>
      </c>
      <c r="I517" t="str">
        <v>UND</v>
      </c>
      <c r="J517">
        <v>13</v>
      </c>
      <c r="K517">
        <v>7344406</v>
      </c>
      <c r="L517">
        <f t="shared" si="37"/>
        <v>0</v>
      </c>
      <c r="M517">
        <f t="shared" si="38"/>
        <v>0</v>
      </c>
      <c r="N517" s="119">
        <f t="shared" si="39"/>
        <v>1</v>
      </c>
      <c r="O517" s="119">
        <f t="shared" si="40"/>
        <v>0</v>
      </c>
    </row>
    <row r="518" spans="2:15" ht="15" customHeight="1" x14ac:dyDescent="0.25">
      <c r="B518" s="86" t="s">
        <v>991</v>
      </c>
      <c r="C518" s="87" t="s">
        <v>992</v>
      </c>
      <c r="D518" s="82" t="s">
        <v>16</v>
      </c>
      <c r="E518" s="230">
        <v>1</v>
      </c>
      <c r="F518" s="88">
        <v>820212</v>
      </c>
      <c r="G518" s="89">
        <f t="shared" si="36"/>
        <v>820212</v>
      </c>
      <c r="H518" s="118" t="str">
        <f t="array" ref="H518:K518">_xlfn.XLOOKUP(C518,'ESAP NEIVA FASE II UNIFICADO'!$C$6:$C$720,'ESAP NEIVA FASE II UNIFICADO'!$C$6:$F$720,"NO ESTA")</f>
        <v>SUMINISTRO E INSTALACION MODULO SFP 10G</v>
      </c>
      <c r="I518" t="str">
        <v>UND</v>
      </c>
      <c r="J518">
        <v>0</v>
      </c>
      <c r="K518">
        <v>841635</v>
      </c>
      <c r="L518">
        <f t="shared" si="37"/>
        <v>1</v>
      </c>
      <c r="M518">
        <f t="shared" si="38"/>
        <v>820212</v>
      </c>
      <c r="N518" s="119">
        <f t="shared" si="39"/>
        <v>1</v>
      </c>
      <c r="O518" s="119">
        <f t="shared" si="40"/>
        <v>820212</v>
      </c>
    </row>
    <row r="519" spans="2:15" ht="24.75" customHeight="1" x14ac:dyDescent="0.25">
      <c r="B519" s="74">
        <v>19</v>
      </c>
      <c r="C519" s="75" t="s">
        <v>993</v>
      </c>
      <c r="D519" s="76"/>
      <c r="E519" s="229"/>
      <c r="F519" s="78">
        <v>0</v>
      </c>
      <c r="G519" s="89">
        <f t="shared" ref="G519:G540" si="41">ROUND(+F519*E519,2)</f>
        <v>0</v>
      </c>
      <c r="H519" s="118" t="str">
        <f t="array" ref="H519:K519">_xlfn.XLOOKUP(C519,'ESAP NEIVA FASE II UNIFICADO'!$C$6:$C$720,'ESAP NEIVA FASE II UNIFICADO'!$C$6:$F$720,"NO ESTA")</f>
        <v>SEGURIDAD ELÉCTRONICA (CCTV, CONTROL ACCESOS, DETECCION INCENDIOS Y SONIDO)</v>
      </c>
      <c r="I519">
        <v>0</v>
      </c>
      <c r="J519">
        <v>0</v>
      </c>
      <c r="K519">
        <v>0</v>
      </c>
      <c r="L519">
        <f t="shared" si="37"/>
        <v>1</v>
      </c>
      <c r="M519">
        <f t="shared" si="38"/>
        <v>0</v>
      </c>
      <c r="N519" s="119">
        <f t="shared" si="39"/>
        <v>0</v>
      </c>
      <c r="O519" s="119">
        <f t="shared" si="40"/>
        <v>0</v>
      </c>
    </row>
    <row r="520" spans="2:15" ht="15" customHeight="1" x14ac:dyDescent="0.25">
      <c r="B520" s="80" t="s">
        <v>994</v>
      </c>
      <c r="C520" s="81" t="s">
        <v>995</v>
      </c>
      <c r="D520" s="82"/>
      <c r="E520" s="230"/>
      <c r="F520" s="90">
        <v>0</v>
      </c>
      <c r="G520" s="89">
        <f t="shared" si="41"/>
        <v>0</v>
      </c>
      <c r="H520" s="118" t="str">
        <f t="array" ref="H520:K520">_xlfn.XLOOKUP(C520,'ESAP NEIVA FASE II UNIFICADO'!$C$6:$C$720,'ESAP NEIVA FASE II UNIFICADO'!$C$6:$F$720,"NO ESTA")</f>
        <v>SUMINISTRO E INSTALACION DE DETECCIÓN DE INDENDIO</v>
      </c>
      <c r="I520">
        <v>0</v>
      </c>
      <c r="J520">
        <v>0</v>
      </c>
      <c r="K520">
        <v>0</v>
      </c>
      <c r="L520">
        <f t="shared" si="37"/>
        <v>1</v>
      </c>
      <c r="M520">
        <f t="shared" si="38"/>
        <v>0</v>
      </c>
      <c r="N520" s="119">
        <f t="shared" si="39"/>
        <v>0</v>
      </c>
      <c r="O520" s="119">
        <f t="shared" si="40"/>
        <v>0</v>
      </c>
    </row>
    <row r="521" spans="2:15" ht="22.5" customHeight="1" x14ac:dyDescent="0.25">
      <c r="B521" s="86" t="s">
        <v>996</v>
      </c>
      <c r="C521" s="87" t="s">
        <v>997</v>
      </c>
      <c r="D521" s="82" t="s">
        <v>16</v>
      </c>
      <c r="E521" s="230">
        <v>3</v>
      </c>
      <c r="F521" s="88">
        <v>497032</v>
      </c>
      <c r="G521" s="89">
        <f t="shared" si="41"/>
        <v>1491096</v>
      </c>
      <c r="H521" s="118" t="str">
        <f t="array" ref="H521:K521">_xlfn.XLOOKUP(C521,'ESAP NEIVA FASE II UNIFICADO'!$C$6:$C$720,'ESAP NEIVA FASE II UNIFICADO'!$C$6:$F$720,"NO ESTA")</f>
        <v>SUMINISTRO E INSTALACION ESTACION MANUAL DIRECCIONABLE DE AVISO, CON CUBIERTA ACRILICA</v>
      </c>
      <c r="I521" t="str">
        <v>UND</v>
      </c>
      <c r="J521">
        <v>8</v>
      </c>
      <c r="K521">
        <v>503198</v>
      </c>
      <c r="L521">
        <f t="shared" si="37"/>
        <v>0</v>
      </c>
      <c r="M521">
        <f t="shared" si="38"/>
        <v>0</v>
      </c>
      <c r="N521" s="119">
        <f t="shared" si="39"/>
        <v>3</v>
      </c>
      <c r="O521" s="119">
        <f t="shared" si="40"/>
        <v>0</v>
      </c>
    </row>
    <row r="522" spans="2:15" ht="15" customHeight="1" x14ac:dyDescent="0.25">
      <c r="B522" s="86" t="s">
        <v>998</v>
      </c>
      <c r="C522" s="87" t="s">
        <v>999</v>
      </c>
      <c r="D522" s="82" t="s">
        <v>16</v>
      </c>
      <c r="E522" s="230">
        <v>3</v>
      </c>
      <c r="F522" s="88">
        <v>355685</v>
      </c>
      <c r="G522" s="89">
        <f t="shared" si="41"/>
        <v>1067055</v>
      </c>
      <c r="H522" s="118" t="str">
        <f t="array" ref="H522:K522">_xlfn.XLOOKUP(C522,'ESAP NEIVA FASE II UNIFICADO'!$C$6:$C$720,'ESAP NEIVA FASE II UNIFICADO'!$C$6:$F$720,"NO ESTA")</f>
        <v>SUMINISTRO E INSTALACION SIRENA / ESTROBO CON SUS MODULOS DE CONTROL</v>
      </c>
      <c r="I522" t="str">
        <v>UND</v>
      </c>
      <c r="J522">
        <v>8</v>
      </c>
      <c r="K522">
        <v>360098</v>
      </c>
      <c r="L522">
        <f t="shared" ref="L522:L540" si="42">+IF(J522&gt;0,0,1)</f>
        <v>0</v>
      </c>
      <c r="M522">
        <f t="shared" ref="M522:M540" si="43">IF(L522=1,F522,0)</f>
        <v>0</v>
      </c>
      <c r="N522" s="119">
        <f t="shared" ref="N522:N540" si="44">E522</f>
        <v>3</v>
      </c>
      <c r="O522" s="119">
        <f t="shared" si="40"/>
        <v>0</v>
      </c>
    </row>
    <row r="523" spans="2:15" ht="15" customHeight="1" x14ac:dyDescent="0.25">
      <c r="B523" s="86" t="s">
        <v>1000</v>
      </c>
      <c r="C523" s="87" t="s">
        <v>1001</v>
      </c>
      <c r="D523" s="82" t="s">
        <v>16</v>
      </c>
      <c r="E523" s="230">
        <v>46</v>
      </c>
      <c r="F523" s="88">
        <v>400099</v>
      </c>
      <c r="G523" s="89">
        <f t="shared" si="41"/>
        <v>18404554</v>
      </c>
      <c r="H523" s="118" t="str">
        <f t="array" ref="H523:K523">_xlfn.XLOOKUP(C523,'ESAP NEIVA FASE II UNIFICADO'!$C$6:$C$720,'ESAP NEIVA FASE II UNIFICADO'!$C$6:$F$720,"NO ESTA")</f>
        <v>SUMINISTRO E INSTALACION DETECTOR DE HUMO DIRECCIONABLE CON BASE</v>
      </c>
      <c r="I523" t="str">
        <v>UND</v>
      </c>
      <c r="J523">
        <v>96</v>
      </c>
      <c r="K523">
        <v>405062</v>
      </c>
      <c r="L523">
        <f t="shared" si="42"/>
        <v>0</v>
      </c>
      <c r="M523">
        <f t="shared" si="43"/>
        <v>0</v>
      </c>
      <c r="N523" s="119">
        <f t="shared" si="44"/>
        <v>46</v>
      </c>
      <c r="O523" s="119">
        <f t="shared" si="40"/>
        <v>0</v>
      </c>
    </row>
    <row r="524" spans="2:15" ht="15" customHeight="1" x14ac:dyDescent="0.25">
      <c r="B524" s="86" t="s">
        <v>1002</v>
      </c>
      <c r="C524" s="87" t="s">
        <v>1003</v>
      </c>
      <c r="D524" s="82" t="s">
        <v>16</v>
      </c>
      <c r="E524" s="230">
        <v>2</v>
      </c>
      <c r="F524" s="88">
        <v>374720</v>
      </c>
      <c r="G524" s="89">
        <f t="shared" si="41"/>
        <v>749440</v>
      </c>
      <c r="H524" s="118" t="str">
        <f t="array" ref="H524:K524">_xlfn.XLOOKUP(C524,'ESAP NEIVA FASE II UNIFICADO'!$C$6:$C$720,'ESAP NEIVA FASE II UNIFICADO'!$C$6:$F$720,"NO ESTA")</f>
        <v>SUMINISTRO E INSTALACION DETECTOR DE MONOXIDO DIRECCIONABLE CON BASE</v>
      </c>
      <c r="I524" t="str">
        <v>UND</v>
      </c>
      <c r="J524">
        <v>6</v>
      </c>
      <c r="K524">
        <v>379368</v>
      </c>
      <c r="L524">
        <f t="shared" si="42"/>
        <v>0</v>
      </c>
      <c r="M524">
        <f t="shared" si="43"/>
        <v>0</v>
      </c>
      <c r="N524" s="119">
        <f t="shared" si="44"/>
        <v>2</v>
      </c>
      <c r="O524" s="119">
        <f t="shared" ref="O524:O540" si="45">ROUND(M524*N524,2)</f>
        <v>0</v>
      </c>
    </row>
    <row r="525" spans="2:15" ht="15" customHeight="1" x14ac:dyDescent="0.25">
      <c r="B525" s="86" t="s">
        <v>1004</v>
      </c>
      <c r="C525" s="87" t="s">
        <v>1005</v>
      </c>
      <c r="D525" s="82" t="s">
        <v>16</v>
      </c>
      <c r="E525" s="230">
        <v>2</v>
      </c>
      <c r="F525" s="88">
        <v>395570</v>
      </c>
      <c r="G525" s="89">
        <f t="shared" si="41"/>
        <v>791140</v>
      </c>
      <c r="H525" s="118" t="str">
        <f t="array" ref="H525:K525">_xlfn.XLOOKUP(C525,'ESAP NEIVA FASE II UNIFICADO'!$C$6:$C$720,'ESAP NEIVA FASE II UNIFICADO'!$C$6:$F$720,"NO ESTA")</f>
        <v>SUMINISTRO E INSTALACION CITOFONO DE EMERGENCIA</v>
      </c>
      <c r="I525" t="str">
        <v>UND</v>
      </c>
      <c r="J525">
        <v>5</v>
      </c>
      <c r="K525">
        <v>400477</v>
      </c>
      <c r="L525">
        <f t="shared" si="42"/>
        <v>0</v>
      </c>
      <c r="M525">
        <f t="shared" si="43"/>
        <v>0</v>
      </c>
      <c r="N525" s="119">
        <f t="shared" si="44"/>
        <v>2</v>
      </c>
      <c r="O525" s="119">
        <f t="shared" si="45"/>
        <v>0</v>
      </c>
    </row>
    <row r="526" spans="2:15" ht="23.25" customHeight="1" x14ac:dyDescent="0.25">
      <c r="B526" s="86" t="s">
        <v>1006</v>
      </c>
      <c r="C526" s="87" t="s">
        <v>1007</v>
      </c>
      <c r="D526" s="82" t="s">
        <v>16</v>
      </c>
      <c r="E526" s="230">
        <v>1</v>
      </c>
      <c r="F526" s="88">
        <v>8308139</v>
      </c>
      <c r="G526" s="89">
        <f t="shared" si="41"/>
        <v>8308139</v>
      </c>
      <c r="H526" s="118" t="str">
        <f t="array" ref="H526:K526">_xlfn.XLOOKUP(C526,'ESAP NEIVA FASE II UNIFICADO'!$C$6:$C$720,'ESAP NEIVA FASE II UNIFICADO'!$C$6:$F$720,"NO ESTA")</f>
        <v xml:space="preserve">SUMINISTRO E INSTALACION CENTRAL DE DETECCION DE INCENDIO E INTRUSIÓN, CONSU GABINETE, FUENTE, CPU, DISPLAY Y TECLEDO, CON UN 30% DE RESERVA PARA AMPLIACIÓN. </v>
      </c>
      <c r="I526" t="str">
        <v>UND</v>
      </c>
      <c r="J526">
        <v>1</v>
      </c>
      <c r="K526">
        <v>8411205</v>
      </c>
      <c r="L526">
        <f t="shared" si="42"/>
        <v>0</v>
      </c>
      <c r="M526">
        <f t="shared" si="43"/>
        <v>0</v>
      </c>
      <c r="N526" s="119">
        <f t="shared" si="44"/>
        <v>1</v>
      </c>
      <c r="O526" s="119">
        <f t="shared" si="45"/>
        <v>0</v>
      </c>
    </row>
    <row r="527" spans="2:15" ht="15" customHeight="1" x14ac:dyDescent="0.25">
      <c r="B527" s="86" t="s">
        <v>1008</v>
      </c>
      <c r="C527" s="87" t="s">
        <v>1009</v>
      </c>
      <c r="D527" s="82" t="s">
        <v>94</v>
      </c>
      <c r="E527" s="230">
        <v>496</v>
      </c>
      <c r="F527" s="88">
        <v>5202</v>
      </c>
      <c r="G527" s="89">
        <f t="shared" si="41"/>
        <v>2580192</v>
      </c>
      <c r="H527" s="118" t="str">
        <f t="array" ref="H527:K527">_xlfn.XLOOKUP(C527,'ESAP NEIVA FASE II UNIFICADO'!$C$6:$C$720,'ESAP NEIVA FASE II UNIFICADO'!$C$6:$F$720,"NO ESTA")</f>
        <v>SUMINISTRO E INSTALACION CABLE BLINDADO 2 x 16 AWG FPL</v>
      </c>
      <c r="I527" t="str">
        <v>ML</v>
      </c>
      <c r="J527">
        <v>1277</v>
      </c>
      <c r="K527">
        <v>5267</v>
      </c>
      <c r="L527">
        <f t="shared" si="42"/>
        <v>0</v>
      </c>
      <c r="M527">
        <f t="shared" si="43"/>
        <v>0</v>
      </c>
      <c r="N527" s="119">
        <f t="shared" si="44"/>
        <v>496</v>
      </c>
      <c r="O527" s="119">
        <f t="shared" si="45"/>
        <v>0</v>
      </c>
    </row>
    <row r="528" spans="2:15" ht="15" customHeight="1" x14ac:dyDescent="0.25">
      <c r="B528" s="86" t="s">
        <v>1010</v>
      </c>
      <c r="C528" s="87" t="s">
        <v>968</v>
      </c>
      <c r="D528" s="82" t="s">
        <v>94</v>
      </c>
      <c r="E528" s="230">
        <v>456</v>
      </c>
      <c r="F528" s="88">
        <v>15842</v>
      </c>
      <c r="G528" s="89">
        <f t="shared" si="41"/>
        <v>7223952</v>
      </c>
      <c r="H528" s="118" t="str">
        <f t="array" ref="H528:K528">_xlfn.XLOOKUP(C528,'ESAP NEIVA FASE II UNIFICADO'!$C$6:$C$720,'ESAP NEIVA FASE II UNIFICADO'!$C$6:$F$720,"NO ESTA")</f>
        <v>SUMINISTRO E INSTALACION TUBERÍA EMT DE 3/4" INCLUYE ACCESORIOS</v>
      </c>
      <c r="I528" t="str">
        <v>ML</v>
      </c>
      <c r="J528">
        <v>166</v>
      </c>
      <c r="K528">
        <v>16039</v>
      </c>
      <c r="L528">
        <f t="shared" si="42"/>
        <v>0</v>
      </c>
      <c r="M528">
        <f t="shared" si="43"/>
        <v>0</v>
      </c>
      <c r="N528" s="119">
        <f t="shared" si="44"/>
        <v>456</v>
      </c>
      <c r="O528" s="119">
        <f t="shared" si="45"/>
        <v>0</v>
      </c>
    </row>
    <row r="529" spans="2:15" ht="15" customHeight="1" x14ac:dyDescent="0.25">
      <c r="B529" s="86" t="s">
        <v>1011</v>
      </c>
      <c r="C529" s="87" t="s">
        <v>972</v>
      </c>
      <c r="D529" s="82" t="s">
        <v>94</v>
      </c>
      <c r="E529" s="230">
        <v>7</v>
      </c>
      <c r="F529" s="88">
        <v>4696</v>
      </c>
      <c r="G529" s="89">
        <f t="shared" si="41"/>
        <v>32872</v>
      </c>
      <c r="H529" s="118" t="str">
        <f t="array" ref="H529:K529">_xlfn.XLOOKUP(C529,'ESAP NEIVA FASE II UNIFICADO'!$C$6:$C$720,'ESAP NEIVA FASE II UNIFICADO'!$C$6:$F$720,"NO ESTA")</f>
        <v>SUMINISTRO E INSTALACION TUBERÍA PVC DE 3/4" INCLUYE ACCESORIOS</v>
      </c>
      <c r="I529" t="str">
        <v>ML</v>
      </c>
      <c r="J529">
        <v>84</v>
      </c>
      <c r="K529">
        <v>4755</v>
      </c>
      <c r="L529">
        <f t="shared" si="42"/>
        <v>0</v>
      </c>
      <c r="M529">
        <f t="shared" si="43"/>
        <v>0</v>
      </c>
      <c r="N529" s="119">
        <f t="shared" si="44"/>
        <v>7</v>
      </c>
      <c r="O529" s="119">
        <f t="shared" si="45"/>
        <v>0</v>
      </c>
    </row>
    <row r="530" spans="2:15" ht="15" customHeight="1" x14ac:dyDescent="0.25">
      <c r="B530" s="86" t="s">
        <v>1012</v>
      </c>
      <c r="C530" s="87" t="s">
        <v>976</v>
      </c>
      <c r="D530" s="82" t="s">
        <v>16</v>
      </c>
      <c r="E530" s="230">
        <v>9</v>
      </c>
      <c r="F530" s="88">
        <v>12769</v>
      </c>
      <c r="G530" s="89">
        <f t="shared" si="41"/>
        <v>114921</v>
      </c>
      <c r="H530" s="118" t="str">
        <f t="array" ref="H530:K530">_xlfn.XLOOKUP(C530,'ESAP NEIVA FASE II UNIFICADO'!$C$6:$C$720,'ESAP NEIVA FASE II UNIFICADO'!$C$6:$F$720,"NO ESTA")</f>
        <v>SUMINISTRO E INSTALACION CAJA DE PASO 10 x 10 m DOBLE FONDO</v>
      </c>
      <c r="I530" t="str">
        <v>UND</v>
      </c>
      <c r="J530">
        <v>4</v>
      </c>
      <c r="K530">
        <v>12928</v>
      </c>
      <c r="L530">
        <f t="shared" si="42"/>
        <v>0</v>
      </c>
      <c r="M530">
        <f t="shared" si="43"/>
        <v>0</v>
      </c>
      <c r="N530" s="119">
        <f t="shared" si="44"/>
        <v>9</v>
      </c>
      <c r="O530" s="119">
        <f t="shared" si="45"/>
        <v>0</v>
      </c>
    </row>
    <row r="531" spans="2:15" ht="15" customHeight="1" x14ac:dyDescent="0.25">
      <c r="B531" s="74">
        <v>20</v>
      </c>
      <c r="C531" s="75" t="s">
        <v>1013</v>
      </c>
      <c r="D531" s="76"/>
      <c r="E531" s="229"/>
      <c r="F531" s="78">
        <v>0</v>
      </c>
      <c r="G531" s="89">
        <f t="shared" si="41"/>
        <v>0</v>
      </c>
      <c r="H531" s="118" t="str">
        <f t="array" ref="H531">_xlfn.XLOOKUP(C531,'ESAP NEIVA FASE II UNIFICADO'!$C$6:$C$720,'ESAP NEIVA FASE II UNIFICADO'!$C$6:$F$720,"NO ESTA")</f>
        <v>NO ESTA</v>
      </c>
      <c r="L531">
        <f t="shared" si="42"/>
        <v>1</v>
      </c>
      <c r="M531">
        <f t="shared" si="43"/>
        <v>0</v>
      </c>
      <c r="N531" s="119">
        <f t="shared" si="44"/>
        <v>0</v>
      </c>
      <c r="O531" s="119">
        <f t="shared" si="45"/>
        <v>0</v>
      </c>
    </row>
    <row r="532" spans="2:15" ht="23.25" customHeight="1" x14ac:dyDescent="0.25">
      <c r="B532" s="86" t="s">
        <v>1014</v>
      </c>
      <c r="C532" s="87" t="s">
        <v>1015</v>
      </c>
      <c r="D532" s="82" t="s">
        <v>13</v>
      </c>
      <c r="E532" s="230">
        <v>600</v>
      </c>
      <c r="F532" s="88">
        <v>23602</v>
      </c>
      <c r="G532" s="89">
        <f t="shared" si="41"/>
        <v>14161200</v>
      </c>
      <c r="H532" s="118" t="str">
        <f t="array" ref="H532">_xlfn.XLOOKUP(C532,'ESAP NEIVA FASE II UNIFICADO'!$C$6:$C$720,'ESAP NEIVA FASE II UNIFICADO'!$C$6:$F$720,"NO ESTA")</f>
        <v>NO ESTA</v>
      </c>
      <c r="L532">
        <f t="shared" si="42"/>
        <v>1</v>
      </c>
      <c r="M532">
        <f t="shared" si="43"/>
        <v>23602</v>
      </c>
      <c r="N532" s="119">
        <f t="shared" si="44"/>
        <v>600</v>
      </c>
      <c r="O532" s="119">
        <f t="shared" si="45"/>
        <v>14161200</v>
      </c>
    </row>
    <row r="533" spans="2:15" ht="23.25" customHeight="1" x14ac:dyDescent="0.25">
      <c r="B533" s="86" t="s">
        <v>1016</v>
      </c>
      <c r="C533" s="87" t="s">
        <v>1017</v>
      </c>
      <c r="D533" s="82" t="s">
        <v>13</v>
      </c>
      <c r="E533" s="230">
        <v>600</v>
      </c>
      <c r="F533" s="88">
        <v>20123</v>
      </c>
      <c r="G533" s="89">
        <f t="shared" si="41"/>
        <v>12073800</v>
      </c>
      <c r="H533" s="118" t="str">
        <f t="array" ref="H533">_xlfn.XLOOKUP(C533,'ESAP NEIVA FASE II UNIFICADO'!$C$6:$C$720,'ESAP NEIVA FASE II UNIFICADO'!$C$6:$F$720,"NO ESTA")</f>
        <v>NO ESTA</v>
      </c>
      <c r="L533">
        <f t="shared" si="42"/>
        <v>1</v>
      </c>
      <c r="M533">
        <f t="shared" si="43"/>
        <v>20123</v>
      </c>
      <c r="N533" s="119">
        <f t="shared" si="44"/>
        <v>600</v>
      </c>
      <c r="O533" s="119">
        <f t="shared" si="45"/>
        <v>12073800</v>
      </c>
    </row>
    <row r="534" spans="2:15" ht="15" customHeight="1" x14ac:dyDescent="0.25">
      <c r="B534" s="86" t="s">
        <v>1018</v>
      </c>
      <c r="C534" s="87" t="s">
        <v>1019</v>
      </c>
      <c r="D534" s="82" t="s">
        <v>94</v>
      </c>
      <c r="E534" s="230">
        <v>1500</v>
      </c>
      <c r="F534" s="88">
        <v>7269</v>
      </c>
      <c r="G534" s="89">
        <f t="shared" si="41"/>
        <v>10903500</v>
      </c>
      <c r="H534" s="118" t="str">
        <f t="array" ref="H534">_xlfn.XLOOKUP(C534,'ESAP NEIVA FASE II UNIFICADO'!$C$6:$C$720,'ESAP NEIVA FASE II UNIFICADO'!$C$6:$F$720,"NO ESTA")</f>
        <v>NO ESTA</v>
      </c>
      <c r="L534">
        <f t="shared" si="42"/>
        <v>1</v>
      </c>
      <c r="M534">
        <f t="shared" si="43"/>
        <v>7269</v>
      </c>
      <c r="N534" s="119">
        <f t="shared" si="44"/>
        <v>1500</v>
      </c>
      <c r="O534" s="119">
        <f t="shared" si="45"/>
        <v>10903500</v>
      </c>
    </row>
    <row r="535" spans="2:15" ht="27" customHeight="1" x14ac:dyDescent="0.25">
      <c r="B535" s="86" t="s">
        <v>1020</v>
      </c>
      <c r="C535" s="87" t="s">
        <v>1021</v>
      </c>
      <c r="D535" s="82" t="s">
        <v>13</v>
      </c>
      <c r="E535" s="230">
        <v>100</v>
      </c>
      <c r="F535" s="88">
        <v>153417</v>
      </c>
      <c r="G535" s="89">
        <f t="shared" si="41"/>
        <v>15341700</v>
      </c>
      <c r="H535" s="118" t="str">
        <f t="array" ref="H535">_xlfn.XLOOKUP(C535,'ESAP NEIVA FASE II UNIFICADO'!$C$6:$C$720,'ESAP NEIVA FASE II UNIFICADO'!$C$6:$F$720,"NO ESTA")</f>
        <v>NO ESTA</v>
      </c>
      <c r="L535">
        <f t="shared" si="42"/>
        <v>1</v>
      </c>
      <c r="M535">
        <f t="shared" si="43"/>
        <v>153417</v>
      </c>
      <c r="N535" s="119">
        <f t="shared" si="44"/>
        <v>100</v>
      </c>
      <c r="O535" s="119">
        <f t="shared" si="45"/>
        <v>15341700</v>
      </c>
    </row>
    <row r="536" spans="2:15" ht="15" customHeight="1" x14ac:dyDescent="0.25">
      <c r="B536" s="86" t="s">
        <v>1022</v>
      </c>
      <c r="C536" s="87" t="s">
        <v>1023</v>
      </c>
      <c r="D536" s="82" t="s">
        <v>55</v>
      </c>
      <c r="E536" s="230">
        <v>1072.0999999999999</v>
      </c>
      <c r="F536" s="88">
        <v>12766</v>
      </c>
      <c r="G536" s="89">
        <f t="shared" si="41"/>
        <v>13686428.6</v>
      </c>
      <c r="H536" s="118" t="str">
        <f t="array" ref="H536">_xlfn.XLOOKUP(C536,'ESAP NEIVA FASE II UNIFICADO'!$C$6:$C$720,'ESAP NEIVA FASE II UNIFICADO'!$C$6:$F$720,"NO ESTA")</f>
        <v>NO ESTA</v>
      </c>
      <c r="L536">
        <f t="shared" si="42"/>
        <v>1</v>
      </c>
      <c r="M536">
        <f t="shared" si="43"/>
        <v>12766</v>
      </c>
      <c r="N536" s="119">
        <f t="shared" si="44"/>
        <v>1072.0999999999999</v>
      </c>
      <c r="O536" s="119">
        <f t="shared" si="45"/>
        <v>13686428.6</v>
      </c>
    </row>
    <row r="537" spans="2:15" ht="38.25" customHeight="1" x14ac:dyDescent="0.25">
      <c r="B537" s="86" t="s">
        <v>1024</v>
      </c>
      <c r="C537" s="87" t="s">
        <v>1025</v>
      </c>
      <c r="D537" s="82" t="s">
        <v>16</v>
      </c>
      <c r="E537" s="230">
        <v>793</v>
      </c>
      <c r="F537" s="88">
        <v>16726</v>
      </c>
      <c r="G537" s="89">
        <f t="shared" si="41"/>
        <v>13263718</v>
      </c>
      <c r="H537" s="118" t="str">
        <f t="array" ref="H537">_xlfn.XLOOKUP(C537,'ESAP NEIVA FASE II UNIFICADO'!$C$6:$C$720,'ESAP NEIVA FASE II UNIFICADO'!$C$6:$F$720,"NO ESTA")</f>
        <v>NO ESTA</v>
      </c>
      <c r="L537">
        <f t="shared" si="42"/>
        <v>1</v>
      </c>
      <c r="M537">
        <f t="shared" si="43"/>
        <v>16726</v>
      </c>
      <c r="N537" s="119">
        <f t="shared" si="44"/>
        <v>793</v>
      </c>
      <c r="O537" s="119">
        <f t="shared" si="45"/>
        <v>13263718</v>
      </c>
    </row>
    <row r="538" spans="2:15" ht="38.25" customHeight="1" x14ac:dyDescent="0.25">
      <c r="B538" s="86" t="s">
        <v>1026</v>
      </c>
      <c r="C538" s="87" t="s">
        <v>1027</v>
      </c>
      <c r="D538" s="82" t="s">
        <v>13</v>
      </c>
      <c r="E538" s="230">
        <v>40</v>
      </c>
      <c r="F538" s="88">
        <v>106605</v>
      </c>
      <c r="G538" s="89">
        <f t="shared" si="41"/>
        <v>4264200</v>
      </c>
      <c r="H538" s="118" t="str">
        <f t="array" ref="H538">_xlfn.XLOOKUP(C538,'ESAP NEIVA FASE II UNIFICADO'!$C$6:$C$720,'ESAP NEIVA FASE II UNIFICADO'!$C$6:$F$720,"NO ESTA")</f>
        <v>NO ESTA</v>
      </c>
      <c r="L538">
        <f t="shared" si="42"/>
        <v>1</v>
      </c>
      <c r="M538">
        <f t="shared" si="43"/>
        <v>106605</v>
      </c>
      <c r="N538" s="119">
        <f t="shared" si="44"/>
        <v>40</v>
      </c>
      <c r="O538" s="119">
        <f t="shared" si="45"/>
        <v>4264200</v>
      </c>
    </row>
    <row r="539" spans="2:15" ht="37.15" customHeight="1" x14ac:dyDescent="0.25">
      <c r="B539" s="86" t="s">
        <v>1028</v>
      </c>
      <c r="C539" s="87" t="s">
        <v>1029</v>
      </c>
      <c r="D539" s="82" t="s">
        <v>13</v>
      </c>
      <c r="E539" s="230">
        <v>1316</v>
      </c>
      <c r="F539" s="88">
        <v>162722</v>
      </c>
      <c r="G539" s="89">
        <f t="shared" si="41"/>
        <v>214142152</v>
      </c>
      <c r="H539" s="118" t="str">
        <f t="array" ref="H539">_xlfn.XLOOKUP(C539,'ESAP NEIVA FASE II UNIFICADO'!$C$6:$C$720,'ESAP NEIVA FASE II UNIFICADO'!$C$6:$F$720,"NO ESTA")</f>
        <v>NO ESTA</v>
      </c>
      <c r="L539">
        <f t="shared" si="42"/>
        <v>1</v>
      </c>
      <c r="M539">
        <f t="shared" si="43"/>
        <v>162722</v>
      </c>
      <c r="N539" s="119">
        <f t="shared" si="44"/>
        <v>1316</v>
      </c>
      <c r="O539" s="119">
        <f t="shared" si="45"/>
        <v>214142152</v>
      </c>
    </row>
    <row r="540" spans="2:15" ht="18" x14ac:dyDescent="0.25">
      <c r="B540" s="86" t="s">
        <v>1030</v>
      </c>
      <c r="C540" s="87" t="s">
        <v>1031</v>
      </c>
      <c r="D540" s="82" t="s">
        <v>13</v>
      </c>
      <c r="E540" s="230">
        <v>700</v>
      </c>
      <c r="F540" s="88">
        <v>36898</v>
      </c>
      <c r="G540" s="89">
        <f t="shared" si="41"/>
        <v>25828600</v>
      </c>
      <c r="H540" s="118" t="str">
        <f t="array" ref="H540">_xlfn.XLOOKUP(C540,'ESAP NEIVA FASE II UNIFICADO'!$C$6:$C$720,'ESAP NEIVA FASE II UNIFICADO'!$C$6:$F$720,"NO ESTA")</f>
        <v>NO ESTA</v>
      </c>
      <c r="L540">
        <f t="shared" si="42"/>
        <v>1</v>
      </c>
      <c r="M540">
        <f t="shared" si="43"/>
        <v>36898</v>
      </c>
      <c r="N540" s="119">
        <f t="shared" si="44"/>
        <v>700</v>
      </c>
      <c r="O540" s="119">
        <f t="shared" si="45"/>
        <v>25828600</v>
      </c>
    </row>
    <row r="541" spans="2:15" ht="16.5" x14ac:dyDescent="0.25">
      <c r="B541" s="419" t="s">
        <v>1032</v>
      </c>
      <c r="C541" s="419"/>
      <c r="D541" s="419"/>
      <c r="E541" s="419"/>
      <c r="F541" s="107"/>
      <c r="G541" s="108">
        <f>+SUM(G6:G540)</f>
        <v>5936368268.3199978</v>
      </c>
      <c r="I541" s="108">
        <v>5830808778</v>
      </c>
      <c r="O541" s="108">
        <f>SUM(O1:O540)</f>
        <v>2698625711.309999</v>
      </c>
    </row>
    <row r="542" spans="2:15" ht="16.5" x14ac:dyDescent="0.25">
      <c r="B542" s="419" t="s">
        <v>1033</v>
      </c>
      <c r="C542" s="419"/>
      <c r="D542" s="419"/>
      <c r="E542" s="419"/>
      <c r="F542" s="109"/>
      <c r="G542" s="110">
        <f>+G543+G544+G545</f>
        <v>1545236660.2400002</v>
      </c>
      <c r="I542" s="95">
        <f>+I541-G541</f>
        <v>-105559490.31999779</v>
      </c>
      <c r="K542" s="95" t="e">
        <f>+I30-I542</f>
        <v>#VALUE!</v>
      </c>
    </row>
    <row r="543" spans="2:15" ht="16.5" x14ac:dyDescent="0.25">
      <c r="B543" s="420" t="s">
        <v>1034</v>
      </c>
      <c r="C543" s="420"/>
      <c r="D543" s="420"/>
      <c r="E543" s="420"/>
      <c r="F543" s="111">
        <v>0.20030000000000001</v>
      </c>
      <c r="G543" s="112">
        <f>ROUND(+$G$541*F543,2)</f>
        <v>1189054564.1400001</v>
      </c>
    </row>
    <row r="544" spans="2:15" ht="16.5" x14ac:dyDescent="0.25">
      <c r="B544" s="420" t="s">
        <v>1035</v>
      </c>
      <c r="C544" s="420"/>
      <c r="D544" s="420"/>
      <c r="E544" s="420"/>
      <c r="F544" s="113">
        <v>0.01</v>
      </c>
      <c r="G544" s="112">
        <f>ROUND(+$G$541*F544,2)</f>
        <v>59363682.68</v>
      </c>
    </row>
    <row r="545" spans="2:9" ht="16.5" x14ac:dyDescent="0.25">
      <c r="B545" s="420" t="s">
        <v>1036</v>
      </c>
      <c r="C545" s="420"/>
      <c r="D545" s="420"/>
      <c r="E545" s="420"/>
      <c r="F545" s="111">
        <v>0.05</v>
      </c>
      <c r="G545" s="112">
        <f>ROUND(+$G$541*F545,2)</f>
        <v>296818413.42000002</v>
      </c>
    </row>
    <row r="546" spans="2:9" ht="16.5" x14ac:dyDescent="0.3">
      <c r="B546" s="419" t="s">
        <v>1037</v>
      </c>
      <c r="C546" s="419"/>
      <c r="D546" s="419"/>
      <c r="E546" s="419"/>
      <c r="F546" s="114"/>
      <c r="G546" s="110">
        <f>+G541+G542</f>
        <v>7481604928.5599976</v>
      </c>
      <c r="I546" s="115">
        <f>'[3]Nieva 2021 trabajando 4'!K554-'Neiva 2022 FASE I ACTUAL (5)'!G548+50000000</f>
        <v>-66557706.109997749</v>
      </c>
    </row>
    <row r="547" spans="2:9" ht="16.5" x14ac:dyDescent="0.25">
      <c r="B547" s="420" t="s">
        <v>1038</v>
      </c>
      <c r="C547" s="420"/>
      <c r="D547" s="420"/>
      <c r="E547" s="420"/>
      <c r="F547" s="111">
        <v>0.19</v>
      </c>
      <c r="G547" s="112">
        <f>ROUND(+G545*F547,2)</f>
        <v>56395498.549999997</v>
      </c>
      <c r="I547" s="95"/>
    </row>
    <row r="548" spans="2:9" ht="16.5" x14ac:dyDescent="0.25">
      <c r="B548" s="419" t="s">
        <v>1039</v>
      </c>
      <c r="C548" s="419"/>
      <c r="D548" s="419"/>
      <c r="E548" s="419"/>
      <c r="F548" s="116"/>
      <c r="G548" s="108">
        <f>+G546+G547</f>
        <v>7538000427.1099977</v>
      </c>
      <c r="I548" s="108">
        <f>7403747930</f>
        <v>7403747930</v>
      </c>
    </row>
    <row r="549" spans="2:9" x14ac:dyDescent="0.3">
      <c r="G549" s="115"/>
    </row>
    <row r="550" spans="2:9" x14ac:dyDescent="0.3">
      <c r="G550" s="120"/>
    </row>
    <row r="551" spans="2:9" x14ac:dyDescent="0.3">
      <c r="G551" s="121"/>
      <c r="I551" s="121">
        <f>492000000/G548</f>
        <v>6.5269298503957296E-2</v>
      </c>
    </row>
    <row r="552" spans="2:9" x14ac:dyDescent="0.3">
      <c r="G552" s="121"/>
    </row>
    <row r="553" spans="2:9" x14ac:dyDescent="0.3">
      <c r="G553" s="115"/>
    </row>
    <row r="554" spans="2:9" x14ac:dyDescent="0.3">
      <c r="G554" s="122"/>
    </row>
    <row r="555" spans="2:9" x14ac:dyDescent="0.3">
      <c r="G555" s="115"/>
    </row>
  </sheetData>
  <mergeCells count="9">
    <mergeCell ref="B546:E546"/>
    <mergeCell ref="B547:E547"/>
    <mergeCell ref="B548:E548"/>
    <mergeCell ref="B1:G2"/>
    <mergeCell ref="B541:E541"/>
    <mergeCell ref="B542:E542"/>
    <mergeCell ref="B543:E543"/>
    <mergeCell ref="B544:E544"/>
    <mergeCell ref="B545:E545"/>
  </mergeCells>
  <conditionalFormatting sqref="H1:H1048576">
    <cfRule type="containsText" dxfId="61" priority="1" operator="containsText" text="NO ESTA">
      <formula>NOT(ISERROR(SEARCH("NO ESTA",H1)))</formula>
    </cfRule>
  </conditionalFormatting>
  <pageMargins left="0.70866141732283472" right="0.70866141732283472" top="0.74803149606299213" bottom="0.74803149606299213" header="0.31496062992125984" footer="0.31496062992125984"/>
  <pageSetup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2:Q1048576"/>
  <sheetViews>
    <sheetView view="pageBreakPreview" zoomScale="60" zoomScaleNormal="91" workbookViewId="0">
      <pane ySplit="5" topLeftCell="A709" activePane="bottomLeft" state="frozen"/>
      <selection activeCell="M553" sqref="M553"/>
      <selection pane="bottomLeft" activeCell="M553" sqref="M553"/>
    </sheetView>
  </sheetViews>
  <sheetFormatPr baseColWidth="10" defaultColWidth="11.42578125" defaultRowHeight="16.5" x14ac:dyDescent="0.3"/>
  <cols>
    <col min="1" max="1" width="4.5703125" customWidth="1"/>
    <col min="2" max="2" width="9" customWidth="1"/>
    <col min="3" max="3" width="62" customWidth="1"/>
    <col min="4" max="4" width="10.28515625" customWidth="1"/>
    <col min="5" max="5" width="15.42578125" style="69" customWidth="1"/>
    <col min="6" max="6" width="18.42578125" style="139" customWidth="1"/>
    <col min="7" max="7" width="17.42578125" style="139" customWidth="1"/>
    <col min="8" max="8" width="20.140625" style="1" hidden="1" customWidth="1"/>
    <col min="9" max="9" width="59.28515625" customWidth="1"/>
    <col min="11" max="11" width="14.85546875" bestFit="1" customWidth="1"/>
    <col min="13" max="13" width="16.28515625" style="118" customWidth="1"/>
    <col min="15" max="15" width="15.140625" customWidth="1"/>
    <col min="16" max="16" width="21.28515625" customWidth="1"/>
    <col min="17" max="17" width="17" customWidth="1"/>
  </cols>
  <sheetData>
    <row r="2" spans="2:16" ht="15" customHeight="1" x14ac:dyDescent="0.25">
      <c r="B2" s="427" t="s">
        <v>1042</v>
      </c>
      <c r="C2" s="427"/>
      <c r="D2" s="427"/>
      <c r="E2" s="427"/>
      <c r="F2" s="427"/>
      <c r="G2" s="427"/>
    </row>
    <row r="3" spans="2:16" ht="23.25" customHeight="1" x14ac:dyDescent="0.25">
      <c r="B3" s="427"/>
      <c r="C3" s="427"/>
      <c r="D3" s="427"/>
      <c r="E3" s="427"/>
      <c r="F3" s="427"/>
      <c r="G3" s="427"/>
      <c r="H3" s="1">
        <v>0.95279999999999998</v>
      </c>
    </row>
    <row r="4" spans="2:16" ht="27" customHeight="1" x14ac:dyDescent="0.25">
      <c r="B4" s="2" t="s">
        <v>1</v>
      </c>
      <c r="C4" s="2" t="s">
        <v>2</v>
      </c>
      <c r="D4" s="2" t="s">
        <v>3</v>
      </c>
      <c r="E4" s="3" t="s">
        <v>4</v>
      </c>
      <c r="F4" s="2" t="s">
        <v>5</v>
      </c>
      <c r="G4" s="2" t="s">
        <v>6</v>
      </c>
      <c r="I4" s="123" t="s">
        <v>1043</v>
      </c>
      <c r="J4" t="s">
        <v>16</v>
      </c>
      <c r="K4" t="s">
        <v>1044</v>
      </c>
      <c r="L4" t="s">
        <v>1045</v>
      </c>
      <c r="M4" s="118" t="s">
        <v>1046</v>
      </c>
    </row>
    <row r="5" spans="2:16" s="9" customFormat="1" ht="35.1" customHeight="1" x14ac:dyDescent="0.25">
      <c r="B5" s="4" t="s">
        <v>9</v>
      </c>
      <c r="C5" s="5" t="s">
        <v>10</v>
      </c>
      <c r="D5" s="6"/>
      <c r="E5" s="7"/>
      <c r="F5" s="125"/>
      <c r="G5" s="7"/>
      <c r="H5" s="8"/>
      <c r="M5" s="124"/>
      <c r="N5" s="153" t="s">
        <v>1047</v>
      </c>
      <c r="O5" s="153" t="s">
        <v>1048</v>
      </c>
      <c r="P5" s="154" t="s">
        <v>1041</v>
      </c>
    </row>
    <row r="6" spans="2:16" s="9" customFormat="1" ht="35.1" customHeight="1" x14ac:dyDescent="0.25">
      <c r="B6" s="10" t="s">
        <v>11</v>
      </c>
      <c r="C6" s="11" t="s">
        <v>12</v>
      </c>
      <c r="D6" s="10" t="s">
        <v>13</v>
      </c>
      <c r="E6" s="12">
        <v>295</v>
      </c>
      <c r="F6" s="126">
        <v>23484</v>
      </c>
      <c r="G6" s="126">
        <f t="shared" ref="G6:G15" si="0">ROUND(+F6*E6,2)</f>
        <v>6927780</v>
      </c>
      <c r="H6" s="8"/>
      <c r="I6" s="9" t="str">
        <f t="array" ref="I6:L6">_xlfn.XLOOKUP(C6,'Neiva 2021 FASE I UNIFICADO'!$C$6:$C$540,'Neiva 2021 FASE I UNIFICADO'!$C$6:$F$540,"NO ESTA")</f>
        <v>DESCAPOTE A MAQUINA (INCLUYE RETIRO)</v>
      </c>
      <c r="J6" s="9" t="str">
        <v>M2</v>
      </c>
      <c r="K6" s="9">
        <v>250</v>
      </c>
      <c r="L6" s="9">
        <v>25729</v>
      </c>
      <c r="M6" s="124" t="str">
        <f>IF(L6=0,0,(IF(F6&lt;L6, "FASE I","FASE II")))</f>
        <v>FASE I</v>
      </c>
      <c r="N6" s="155">
        <f t="shared" ref="N6:N69" si="1">E6+K6</f>
        <v>545</v>
      </c>
      <c r="O6" s="156">
        <f t="shared" ref="O6:O69" si="2">MAX(L6,F6)</f>
        <v>25729</v>
      </c>
      <c r="P6" s="156">
        <f t="shared" ref="P6:P69" si="3">N6*O6</f>
        <v>14022305</v>
      </c>
    </row>
    <row r="7" spans="2:16" s="9" customFormat="1" ht="35.1" customHeight="1" x14ac:dyDescent="0.25">
      <c r="B7" s="10" t="s">
        <v>1049</v>
      </c>
      <c r="C7" s="11" t="s">
        <v>1050</v>
      </c>
      <c r="D7" s="10" t="s">
        <v>13</v>
      </c>
      <c r="E7" s="12">
        <v>580</v>
      </c>
      <c r="F7" s="126">
        <v>3467</v>
      </c>
      <c r="G7" s="126">
        <f t="shared" si="0"/>
        <v>2010860</v>
      </c>
      <c r="H7" s="8"/>
      <c r="I7" s="9" t="str">
        <f t="array" ref="I7">_xlfn.XLOOKUP(C7,'Neiva 2021 FASE I UNIFICADO'!$C$6:$C$540,'Neiva 2021 FASE I UNIFICADO'!$C$6:$F$540,"NO ESTA")</f>
        <v>NO ESTA</v>
      </c>
      <c r="M7" s="124">
        <f>IF(L7=0,0,(IF(F7&lt;L7, "FASE I","FASE II")))</f>
        <v>0</v>
      </c>
      <c r="N7" s="155">
        <f t="shared" si="1"/>
        <v>580</v>
      </c>
      <c r="O7" s="156">
        <f t="shared" si="2"/>
        <v>3467</v>
      </c>
      <c r="P7" s="156">
        <f t="shared" si="3"/>
        <v>2010860</v>
      </c>
    </row>
    <row r="8" spans="2:16" s="9" customFormat="1" ht="35.1" customHeight="1" x14ac:dyDescent="0.25">
      <c r="B8" s="10" t="s">
        <v>1051</v>
      </c>
      <c r="C8" s="11" t="s">
        <v>1052</v>
      </c>
      <c r="D8" s="10" t="s">
        <v>94</v>
      </c>
      <c r="E8" s="12">
        <v>40</v>
      </c>
      <c r="F8" s="126">
        <v>33564</v>
      </c>
      <c r="G8" s="126">
        <f t="shared" si="0"/>
        <v>1342560</v>
      </c>
      <c r="H8" s="8"/>
      <c r="I8" s="9" t="str">
        <f t="array" ref="I8">_xlfn.XLOOKUP(C8,'Neiva 2021 FASE I UNIFICADO'!$C$6:$C$540,'Neiva 2021 FASE I UNIFICADO'!$C$6:$F$540,"NO ESTA")</f>
        <v>NO ESTA</v>
      </c>
      <c r="M8" s="124">
        <f t="shared" ref="M8:M71" si="4">IF(L8=0,0,(IF(F8&lt;L8, "FASE I","FASE II")))</f>
        <v>0</v>
      </c>
      <c r="N8" s="155">
        <f t="shared" si="1"/>
        <v>40</v>
      </c>
      <c r="O8" s="156">
        <f t="shared" si="2"/>
        <v>33564</v>
      </c>
      <c r="P8" s="156">
        <f t="shared" si="3"/>
        <v>1342560</v>
      </c>
    </row>
    <row r="9" spans="2:16" s="9" customFormat="1" ht="35.1" customHeight="1" x14ac:dyDescent="0.25">
      <c r="B9" s="10" t="s">
        <v>14</v>
      </c>
      <c r="C9" s="11" t="s">
        <v>15</v>
      </c>
      <c r="D9" s="10" t="s">
        <v>16</v>
      </c>
      <c r="E9" s="12">
        <v>0</v>
      </c>
      <c r="F9" s="126">
        <v>35057</v>
      </c>
      <c r="G9" s="126">
        <f t="shared" si="0"/>
        <v>0</v>
      </c>
      <c r="H9" s="8"/>
      <c r="I9" s="9" t="str">
        <f t="array" ref="I9:L9">_xlfn.XLOOKUP(C9,'Neiva 2021 FASE I UNIFICADO'!$C$6:$C$540,'Neiva 2021 FASE I UNIFICADO'!$C$6:$F$540,"NO ESTA")</f>
        <v>BARRERA DE PROTECCIÓN PARA ARBOLES EXISTENTES</v>
      </c>
      <c r="J9" s="9" t="str">
        <v>UND</v>
      </c>
      <c r="K9" s="9">
        <v>8</v>
      </c>
      <c r="L9" s="9">
        <v>32444</v>
      </c>
      <c r="M9" s="124" t="str">
        <f t="shared" si="4"/>
        <v>FASE II</v>
      </c>
      <c r="N9" s="155">
        <f t="shared" si="1"/>
        <v>8</v>
      </c>
      <c r="O9" s="156">
        <f t="shared" si="2"/>
        <v>35057</v>
      </c>
      <c r="P9" s="156">
        <f t="shared" si="3"/>
        <v>280456</v>
      </c>
    </row>
    <row r="10" spans="2:16" s="9" customFormat="1" ht="35.1" customHeight="1" x14ac:dyDescent="0.25">
      <c r="B10" s="13" t="s">
        <v>17</v>
      </c>
      <c r="C10" s="14" t="s">
        <v>18</v>
      </c>
      <c r="D10" s="13"/>
      <c r="E10" s="15"/>
      <c r="F10" s="126">
        <v>0</v>
      </c>
      <c r="G10" s="126">
        <f t="shared" si="0"/>
        <v>0</v>
      </c>
      <c r="H10" s="8"/>
      <c r="I10" s="9" t="str">
        <f t="array" ref="I10:L10">_xlfn.XLOOKUP(C10,'Neiva 2021 FASE I UNIFICADO'!$C$6:$C$540,'Neiva 2021 FASE I UNIFICADO'!$C$6:$F$540,"NO ESTA")</f>
        <v>INSTALACION SERVICIOS PROVISIONALES</v>
      </c>
      <c r="J10" s="9">
        <v>0</v>
      </c>
      <c r="K10" s="9">
        <v>0</v>
      </c>
      <c r="L10" s="9">
        <v>0</v>
      </c>
      <c r="M10" s="124">
        <f t="shared" si="4"/>
        <v>0</v>
      </c>
      <c r="N10" s="155">
        <f t="shared" si="1"/>
        <v>0</v>
      </c>
      <c r="O10" s="156">
        <f t="shared" si="2"/>
        <v>0</v>
      </c>
      <c r="P10" s="156">
        <f t="shared" si="3"/>
        <v>0</v>
      </c>
    </row>
    <row r="11" spans="2:16" s="9" customFormat="1" ht="35.1" customHeight="1" x14ac:dyDescent="0.25">
      <c r="B11" s="10" t="s">
        <v>1053</v>
      </c>
      <c r="C11" s="11" t="s">
        <v>1054</v>
      </c>
      <c r="D11" s="10" t="s">
        <v>374</v>
      </c>
      <c r="E11" s="12">
        <v>0</v>
      </c>
      <c r="F11" s="126">
        <v>549836</v>
      </c>
      <c r="G11" s="126">
        <f t="shared" si="0"/>
        <v>0</v>
      </c>
      <c r="H11" s="8"/>
      <c r="I11" s="9" t="str">
        <f t="array" ref="I11">_xlfn.XLOOKUP(C11,'Neiva 2021 FASE I UNIFICADO'!$C$6:$C$540,'Neiva 2021 FASE I UNIFICADO'!$C$6:$F$540,"NO ESTA")</f>
        <v>NO ESTA</v>
      </c>
      <c r="M11" s="124">
        <f t="shared" si="4"/>
        <v>0</v>
      </c>
      <c r="N11" s="155">
        <f t="shared" si="1"/>
        <v>0</v>
      </c>
      <c r="O11" s="156">
        <f t="shared" si="2"/>
        <v>549836</v>
      </c>
      <c r="P11" s="156">
        <f t="shared" si="3"/>
        <v>0</v>
      </c>
    </row>
    <row r="12" spans="2:16" s="9" customFormat="1" ht="35.1" customHeight="1" x14ac:dyDescent="0.25">
      <c r="B12" s="10" t="s">
        <v>1055</v>
      </c>
      <c r="C12" s="11" t="s">
        <v>1056</v>
      </c>
      <c r="D12" s="10" t="s">
        <v>374</v>
      </c>
      <c r="E12" s="12">
        <v>0</v>
      </c>
      <c r="F12" s="126">
        <v>3940517</v>
      </c>
      <c r="G12" s="126">
        <f t="shared" si="0"/>
        <v>0</v>
      </c>
      <c r="H12" s="8"/>
      <c r="I12" s="9" t="str">
        <f t="array" ref="I12">_xlfn.XLOOKUP(C12,'Neiva 2021 FASE I UNIFICADO'!$C$6:$C$540,'Neiva 2021 FASE I UNIFICADO'!$C$6:$F$540,"NO ESTA")</f>
        <v>NO ESTA</v>
      </c>
      <c r="M12" s="124">
        <f t="shared" si="4"/>
        <v>0</v>
      </c>
      <c r="N12" s="155">
        <f t="shared" si="1"/>
        <v>0</v>
      </c>
      <c r="O12" s="156">
        <f t="shared" si="2"/>
        <v>3940517</v>
      </c>
      <c r="P12" s="156">
        <f t="shared" si="3"/>
        <v>0</v>
      </c>
    </row>
    <row r="13" spans="2:16" s="9" customFormat="1" ht="35.1" customHeight="1" x14ac:dyDescent="0.25">
      <c r="B13" s="13" t="s">
        <v>19</v>
      </c>
      <c r="C13" s="14" t="s">
        <v>20</v>
      </c>
      <c r="D13" s="13"/>
      <c r="E13" s="15"/>
      <c r="F13" s="126">
        <v>0</v>
      </c>
      <c r="G13" s="126">
        <f t="shared" si="0"/>
        <v>0</v>
      </c>
      <c r="H13" s="8"/>
      <c r="I13" s="9" t="str">
        <f t="array" ref="I13:L13">_xlfn.XLOOKUP(C13,'Neiva 2021 FASE I UNIFICADO'!$C$6:$C$540,'Neiva 2021 FASE I UNIFICADO'!$C$6:$F$540,"NO ESTA")</f>
        <v>DEMOLICIONES</v>
      </c>
      <c r="J13" s="9">
        <v>0</v>
      </c>
      <c r="K13" s="9">
        <v>0</v>
      </c>
      <c r="L13" s="9">
        <v>0</v>
      </c>
      <c r="M13" s="124">
        <f t="shared" si="4"/>
        <v>0</v>
      </c>
      <c r="N13" s="155">
        <f t="shared" si="1"/>
        <v>0</v>
      </c>
      <c r="O13" s="156">
        <f t="shared" si="2"/>
        <v>0</v>
      </c>
      <c r="P13" s="156">
        <f t="shared" si="3"/>
        <v>0</v>
      </c>
    </row>
    <row r="14" spans="2:16" s="9" customFormat="1" ht="35.1" customHeight="1" x14ac:dyDescent="0.25">
      <c r="B14" s="10" t="s">
        <v>21</v>
      </c>
      <c r="C14" s="11" t="s">
        <v>1057</v>
      </c>
      <c r="D14" s="10" t="s">
        <v>13</v>
      </c>
      <c r="E14" s="12">
        <v>0</v>
      </c>
      <c r="F14" s="126">
        <v>16701</v>
      </c>
      <c r="G14" s="126">
        <f t="shared" si="0"/>
        <v>0</v>
      </c>
      <c r="H14" s="8"/>
      <c r="I14" s="9" t="str">
        <f t="array" ref="I14">_xlfn.XLOOKUP(C14,'Neiva 2021 FASE I UNIFICADO'!$C$6:$C$540,'Neiva 2021 FASE I UNIFICADO'!$C$6:$F$540,"NO ESTA")</f>
        <v>NO ESTA</v>
      </c>
      <c r="M14" s="124">
        <f t="shared" si="4"/>
        <v>0</v>
      </c>
      <c r="N14" s="155">
        <f t="shared" si="1"/>
        <v>0</v>
      </c>
      <c r="O14" s="156">
        <f t="shared" si="2"/>
        <v>16701</v>
      </c>
      <c r="P14" s="156">
        <f t="shared" si="3"/>
        <v>0</v>
      </c>
    </row>
    <row r="15" spans="2:16" s="9" customFormat="1" ht="35.1" customHeight="1" x14ac:dyDescent="0.25">
      <c r="B15" s="10" t="s">
        <v>23</v>
      </c>
      <c r="C15" s="11" t="s">
        <v>1058</v>
      </c>
      <c r="D15" s="10" t="s">
        <v>13</v>
      </c>
      <c r="E15" s="12">
        <v>0</v>
      </c>
      <c r="F15" s="126">
        <v>13104</v>
      </c>
      <c r="G15" s="126">
        <f t="shared" si="0"/>
        <v>0</v>
      </c>
      <c r="H15" s="8"/>
      <c r="I15" s="9" t="str">
        <f t="array" ref="I15">_xlfn.XLOOKUP(C15,'Neiva 2021 FASE I UNIFICADO'!$C$6:$C$540,'Neiva 2021 FASE I UNIFICADO'!$C$6:$F$540,"NO ESTA")</f>
        <v>NO ESTA</v>
      </c>
      <c r="M15" s="124">
        <f t="shared" si="4"/>
        <v>0</v>
      </c>
      <c r="N15" s="155">
        <f t="shared" si="1"/>
        <v>0</v>
      </c>
      <c r="O15" s="156">
        <f t="shared" si="2"/>
        <v>13104</v>
      </c>
      <c r="P15" s="156">
        <f t="shared" si="3"/>
        <v>0</v>
      </c>
    </row>
    <row r="16" spans="2:16" s="9" customFormat="1" ht="35.1" customHeight="1" x14ac:dyDescent="0.25">
      <c r="B16" s="16">
        <v>2</v>
      </c>
      <c r="C16" s="17" t="s">
        <v>25</v>
      </c>
      <c r="D16" s="17"/>
      <c r="E16" s="18"/>
      <c r="F16" s="127"/>
      <c r="G16" s="17"/>
      <c r="H16" s="8"/>
      <c r="M16" s="124">
        <f t="shared" si="4"/>
        <v>0</v>
      </c>
      <c r="N16" s="155">
        <f t="shared" si="1"/>
        <v>0</v>
      </c>
      <c r="O16" s="156">
        <f t="shared" si="2"/>
        <v>0</v>
      </c>
      <c r="P16" s="156">
        <f t="shared" si="3"/>
        <v>0</v>
      </c>
    </row>
    <row r="17" spans="2:16" s="9" customFormat="1" ht="35.1" customHeight="1" x14ac:dyDescent="0.25">
      <c r="B17" s="13" t="s">
        <v>26</v>
      </c>
      <c r="C17" s="14" t="s">
        <v>27</v>
      </c>
      <c r="D17" s="13"/>
      <c r="E17" s="15"/>
      <c r="F17" s="128"/>
      <c r="G17" s="19"/>
      <c r="H17" s="8"/>
      <c r="M17" s="124">
        <f t="shared" si="4"/>
        <v>0</v>
      </c>
      <c r="N17" s="155">
        <f t="shared" si="1"/>
        <v>0</v>
      </c>
      <c r="O17" s="156">
        <f t="shared" si="2"/>
        <v>0</v>
      </c>
      <c r="P17" s="156">
        <f t="shared" si="3"/>
        <v>0</v>
      </c>
    </row>
    <row r="18" spans="2:16" s="9" customFormat="1" ht="35.1" customHeight="1" x14ac:dyDescent="0.25">
      <c r="B18" s="10" t="s">
        <v>28</v>
      </c>
      <c r="C18" s="11" t="s">
        <v>29</v>
      </c>
      <c r="D18" s="10" t="s">
        <v>30</v>
      </c>
      <c r="E18" s="12">
        <v>400</v>
      </c>
      <c r="F18" s="126">
        <v>31642</v>
      </c>
      <c r="G18" s="126">
        <f>ROUND(+F18*E18,2)</f>
        <v>12656800</v>
      </c>
      <c r="H18" s="8"/>
      <c r="I18" s="9" t="str">
        <f t="array" ref="I18:L18">_xlfn.XLOOKUP(C18,'Neiva 2021 FASE I UNIFICADO'!$C$6:$C$540,'Neiva 2021 FASE I UNIFICADO'!$C$6:$F$540,"NO ESTA")</f>
        <v>EXCAVACIÓN MECÁNICA EN MATERIAL COMÚN (incluye cargue y retiro)</v>
      </c>
      <c r="J18" s="9" t="str">
        <v>M3</v>
      </c>
      <c r="K18" s="9">
        <v>0</v>
      </c>
      <c r="L18" s="9">
        <v>29285</v>
      </c>
      <c r="M18" s="124" t="str">
        <f t="shared" si="4"/>
        <v>FASE II</v>
      </c>
      <c r="N18" s="155">
        <f t="shared" si="1"/>
        <v>400</v>
      </c>
      <c r="O18" s="156">
        <f t="shared" si="2"/>
        <v>31642</v>
      </c>
      <c r="P18" s="156">
        <f t="shared" si="3"/>
        <v>12656800</v>
      </c>
    </row>
    <row r="19" spans="2:16" s="9" customFormat="1" ht="35.1" customHeight="1" x14ac:dyDescent="0.25">
      <c r="B19" s="10" t="s">
        <v>31</v>
      </c>
      <c r="C19" s="11" t="s">
        <v>32</v>
      </c>
      <c r="D19" s="10" t="s">
        <v>30</v>
      </c>
      <c r="E19" s="12">
        <v>57.945499999999981</v>
      </c>
      <c r="F19" s="126">
        <v>39971</v>
      </c>
      <c r="G19" s="126">
        <f>ROUND(+F19*E19,2)</f>
        <v>2316139.58</v>
      </c>
      <c r="H19" s="8"/>
      <c r="I19" s="9" t="str">
        <f t="array" ref="I19:L19">_xlfn.XLOOKUP(C19,'Neiva 2021 FASE I UNIFICADO'!$C$6:$C$540,'Neiva 2021 FASE I UNIFICADO'!$C$6:$F$540,"NO ESTA")</f>
        <v>EXCAVACIÓN MANUAL EN MATERIAL COMÚN (incluye cargue y retiro)</v>
      </c>
      <c r="J19" s="9" t="str">
        <v>M3</v>
      </c>
      <c r="K19" s="9">
        <v>299.45</v>
      </c>
      <c r="L19" s="9">
        <v>36993</v>
      </c>
      <c r="M19" s="124" t="str">
        <f t="shared" si="4"/>
        <v>FASE II</v>
      </c>
      <c r="N19" s="155">
        <f t="shared" si="1"/>
        <v>357.39549999999997</v>
      </c>
      <c r="O19" s="156">
        <f t="shared" si="2"/>
        <v>39971</v>
      </c>
      <c r="P19" s="156">
        <f t="shared" si="3"/>
        <v>14285455.530499998</v>
      </c>
    </row>
    <row r="20" spans="2:16" s="9" customFormat="1" ht="35.1" customHeight="1" x14ac:dyDescent="0.25">
      <c r="B20" s="10" t="s">
        <v>33</v>
      </c>
      <c r="C20" s="20" t="s">
        <v>34</v>
      </c>
      <c r="D20" s="10" t="s">
        <v>30</v>
      </c>
      <c r="E20" s="12">
        <v>56.107679999999959</v>
      </c>
      <c r="F20" s="126">
        <v>12500</v>
      </c>
      <c r="G20" s="126">
        <f>ROUND(+F20*E20,2)</f>
        <v>701346</v>
      </c>
      <c r="H20" s="8"/>
      <c r="I20" s="9" t="str">
        <f t="array" ref="I20:L20">_xlfn.XLOOKUP(C20,'Neiva 2021 FASE I UNIFICADO'!$C$6:$C$540,'Neiva 2021 FASE I UNIFICADO'!$C$6:$F$540,"NO ESTA")</f>
        <v>RELLENOS EN MATERIAL COMÚN, SELECCIONADO DE OBRA (Incluye Compactación)</v>
      </c>
      <c r="J20" s="9" t="str">
        <v>M3</v>
      </c>
      <c r="K20" s="9">
        <v>524.07000000000005</v>
      </c>
      <c r="L20" s="9">
        <v>11569</v>
      </c>
      <c r="M20" s="124" t="str">
        <f t="shared" si="4"/>
        <v>FASE II</v>
      </c>
      <c r="N20" s="155">
        <f t="shared" si="1"/>
        <v>580.17768000000001</v>
      </c>
      <c r="O20" s="156">
        <f t="shared" si="2"/>
        <v>12500</v>
      </c>
      <c r="P20" s="156">
        <f t="shared" si="3"/>
        <v>7252221</v>
      </c>
    </row>
    <row r="21" spans="2:16" s="9" customFormat="1" ht="35.1" customHeight="1" x14ac:dyDescent="0.25">
      <c r="B21" s="10" t="s">
        <v>35</v>
      </c>
      <c r="C21" s="11" t="s">
        <v>36</v>
      </c>
      <c r="D21" s="10" t="s">
        <v>30</v>
      </c>
      <c r="E21" s="12">
        <v>70.485000000000014</v>
      </c>
      <c r="F21" s="126">
        <v>62932</v>
      </c>
      <c r="G21" s="126">
        <f>ROUND(+F21*E21,2)</f>
        <v>4435762.0199999996</v>
      </c>
      <c r="H21" s="8"/>
      <c r="I21" s="9" t="str">
        <f t="array" ref="I21:L21">_xlfn.XLOOKUP(C21,'Neiva 2021 FASE I UNIFICADO'!$C$6:$C$540,'Neiva 2021 FASE I UNIFICADO'!$C$6:$F$540,"NO ESTA")</f>
        <v>RELLENO EN RECEBO COMÚN (Incluye Compactación)</v>
      </c>
      <c r="J21" s="9" t="str">
        <v>M3</v>
      </c>
      <c r="K21" s="9">
        <v>122.54</v>
      </c>
      <c r="L21" s="9">
        <v>58243</v>
      </c>
      <c r="M21" s="124" t="str">
        <f t="shared" si="4"/>
        <v>FASE II</v>
      </c>
      <c r="N21" s="155">
        <f t="shared" si="1"/>
        <v>193.02500000000003</v>
      </c>
      <c r="O21" s="156">
        <f t="shared" si="2"/>
        <v>62932</v>
      </c>
      <c r="P21" s="156">
        <f t="shared" si="3"/>
        <v>12147449.300000003</v>
      </c>
    </row>
    <row r="22" spans="2:16" s="9" customFormat="1" ht="35.1" customHeight="1" x14ac:dyDescent="0.25">
      <c r="B22" s="13" t="s">
        <v>37</v>
      </c>
      <c r="C22" s="14" t="s">
        <v>38</v>
      </c>
      <c r="D22" s="13"/>
      <c r="E22" s="15"/>
      <c r="F22" s="129"/>
      <c r="G22" s="140"/>
      <c r="H22" s="8"/>
      <c r="M22" s="124">
        <f t="shared" si="4"/>
        <v>0</v>
      </c>
      <c r="N22" s="155">
        <f t="shared" si="1"/>
        <v>0</v>
      </c>
      <c r="O22" s="156">
        <f t="shared" si="2"/>
        <v>0</v>
      </c>
      <c r="P22" s="156">
        <f t="shared" si="3"/>
        <v>0</v>
      </c>
    </row>
    <row r="23" spans="2:16" s="9" customFormat="1" ht="35.1" customHeight="1" x14ac:dyDescent="0.25">
      <c r="B23" s="21" t="s">
        <v>39</v>
      </c>
      <c r="C23" s="22" t="s">
        <v>40</v>
      </c>
      <c r="D23" s="23" t="s">
        <v>13</v>
      </c>
      <c r="E23" s="12">
        <v>72.123000000000047</v>
      </c>
      <c r="F23" s="126">
        <v>25442</v>
      </c>
      <c r="G23" s="126">
        <f>ROUND(+F23*E23,2)</f>
        <v>1834953.37</v>
      </c>
      <c r="H23" s="8"/>
      <c r="I23" s="9" t="str">
        <f t="array" ref="I23:L23">_xlfn.XLOOKUP(C23,'Neiva 2021 FASE I UNIFICADO'!$C$6:$C$540,'Neiva 2021 FASE I UNIFICADO'!$C$6:$F$540,"NO ESTA")</f>
        <v>CONCRETO POBRE DE LIMPIEZA  e=0.05 m</v>
      </c>
      <c r="J23" s="9" t="str">
        <v>M2</v>
      </c>
      <c r="K23" s="9">
        <v>1111.51</v>
      </c>
      <c r="L23" s="9">
        <v>22663</v>
      </c>
      <c r="M23" s="124" t="str">
        <f t="shared" si="4"/>
        <v>FASE II</v>
      </c>
      <c r="N23" s="155">
        <f t="shared" si="1"/>
        <v>1183.633</v>
      </c>
      <c r="O23" s="156">
        <f t="shared" si="2"/>
        <v>25442</v>
      </c>
      <c r="P23" s="156">
        <f t="shared" si="3"/>
        <v>30113990.786000002</v>
      </c>
    </row>
    <row r="24" spans="2:16" s="9" customFormat="1" ht="35.1" customHeight="1" x14ac:dyDescent="0.25">
      <c r="B24" s="21" t="s">
        <v>41</v>
      </c>
      <c r="C24" s="11" t="s">
        <v>42</v>
      </c>
      <c r="D24" s="10" t="s">
        <v>30</v>
      </c>
      <c r="E24" s="12">
        <v>36</v>
      </c>
      <c r="F24" s="126">
        <v>652838</v>
      </c>
      <c r="G24" s="126">
        <f>ROUND(+F24*E24,2)</f>
        <v>23502168</v>
      </c>
      <c r="H24" s="8"/>
      <c r="I24" s="9" t="str">
        <f t="array" ref="I24:L24">_xlfn.XLOOKUP(C24,'Neiva 2021 FASE I UNIFICADO'!$C$6:$C$540,'Neiva 2021 FASE I UNIFICADO'!$C$6:$F$540,"NO ESTA")</f>
        <v>CONCRETO PARA ZAPATAS DE 4000 psi</v>
      </c>
      <c r="J24" s="9" t="str">
        <v>M3</v>
      </c>
      <c r="K24" s="9">
        <v>46.48</v>
      </c>
      <c r="L24" s="9">
        <v>670304</v>
      </c>
      <c r="M24" s="124" t="str">
        <f t="shared" si="4"/>
        <v>FASE I</v>
      </c>
      <c r="N24" s="155">
        <f t="shared" si="1"/>
        <v>82.47999999999999</v>
      </c>
      <c r="O24" s="156">
        <f t="shared" si="2"/>
        <v>670304</v>
      </c>
      <c r="P24" s="156">
        <f t="shared" si="3"/>
        <v>55286673.919999994</v>
      </c>
    </row>
    <row r="25" spans="2:16" s="9" customFormat="1" ht="35.1" customHeight="1" x14ac:dyDescent="0.25">
      <c r="B25" s="21" t="s">
        <v>43</v>
      </c>
      <c r="C25" s="11" t="s">
        <v>44</v>
      </c>
      <c r="D25" s="10" t="s">
        <v>30</v>
      </c>
      <c r="E25" s="12">
        <v>36.5</v>
      </c>
      <c r="F25" s="126">
        <v>652838</v>
      </c>
      <c r="G25" s="126">
        <f>ROUND(+F25*E25,2)</f>
        <v>23828587</v>
      </c>
      <c r="H25" s="8"/>
      <c r="I25" s="9" t="str">
        <f t="array" ref="I25:L25">_xlfn.XLOOKUP(C25,'Neiva 2021 FASE I UNIFICADO'!$C$6:$C$540,'Neiva 2021 FASE I UNIFICADO'!$C$6:$F$540,"NO ESTA")</f>
        <v>VIGAS DE CIMENTACIÓN DE 4000 psi</v>
      </c>
      <c r="J25" s="9" t="str">
        <v>M3</v>
      </c>
      <c r="K25" s="9">
        <v>45.04</v>
      </c>
      <c r="L25" s="9">
        <v>670304</v>
      </c>
      <c r="M25" s="124" t="str">
        <f t="shared" si="4"/>
        <v>FASE I</v>
      </c>
      <c r="N25" s="155">
        <f t="shared" si="1"/>
        <v>81.539999999999992</v>
      </c>
      <c r="O25" s="156">
        <f t="shared" si="2"/>
        <v>670304</v>
      </c>
      <c r="P25" s="156">
        <f t="shared" si="3"/>
        <v>54656588.159999996</v>
      </c>
    </row>
    <row r="26" spans="2:16" s="9" customFormat="1" ht="35.1" customHeight="1" x14ac:dyDescent="0.25">
      <c r="B26" s="21" t="s">
        <v>45</v>
      </c>
      <c r="C26" s="11" t="s">
        <v>46</v>
      </c>
      <c r="D26" s="10" t="s">
        <v>30</v>
      </c>
      <c r="E26" s="12">
        <v>13</v>
      </c>
      <c r="F26" s="126">
        <v>795025</v>
      </c>
      <c r="G26" s="126">
        <f>ROUND(+F26*E26,2)</f>
        <v>10335325</v>
      </c>
      <c r="H26" s="8"/>
      <c r="I26" s="9" t="str">
        <f t="array" ref="I26:L26">_xlfn.XLOOKUP(C26,'Neiva 2021 FASE I UNIFICADO'!$C$6:$C$540,'Neiva 2021 FASE I UNIFICADO'!$C$6:$F$540,"NO ESTA")</f>
        <v>MURO DE CONTENCIÓN SOTANO EN CONCRETO DE 4000 PSI</v>
      </c>
      <c r="J26" s="9" t="str">
        <v>M3</v>
      </c>
      <c r="K26" s="9">
        <v>34.93</v>
      </c>
      <c r="L26" s="9">
        <v>742932</v>
      </c>
      <c r="M26" s="124" t="str">
        <f t="shared" si="4"/>
        <v>FASE II</v>
      </c>
      <c r="N26" s="155">
        <f t="shared" si="1"/>
        <v>47.93</v>
      </c>
      <c r="O26" s="156">
        <f t="shared" si="2"/>
        <v>795025</v>
      </c>
      <c r="P26" s="156">
        <f t="shared" si="3"/>
        <v>38105548.25</v>
      </c>
    </row>
    <row r="27" spans="2:16" s="9" customFormat="1" ht="35.1" customHeight="1" x14ac:dyDescent="0.25">
      <c r="B27" s="13" t="s">
        <v>47</v>
      </c>
      <c r="C27" s="14" t="s">
        <v>1059</v>
      </c>
      <c r="D27" s="13"/>
      <c r="E27" s="15"/>
      <c r="F27" s="129"/>
      <c r="G27" s="140"/>
      <c r="H27" s="8"/>
      <c r="M27" s="124">
        <f t="shared" si="4"/>
        <v>0</v>
      </c>
      <c r="N27" s="155">
        <f t="shared" si="1"/>
        <v>0</v>
      </c>
      <c r="O27" s="156">
        <f t="shared" si="2"/>
        <v>0</v>
      </c>
      <c r="P27" s="156">
        <f t="shared" si="3"/>
        <v>0</v>
      </c>
    </row>
    <row r="28" spans="2:16" s="9" customFormat="1" ht="35.1" customHeight="1" x14ac:dyDescent="0.25">
      <c r="B28" s="23" t="s">
        <v>49</v>
      </c>
      <c r="C28" s="11" t="s">
        <v>50</v>
      </c>
      <c r="D28" s="10" t="s">
        <v>30</v>
      </c>
      <c r="E28" s="12">
        <v>13.700000000000003</v>
      </c>
      <c r="F28" s="126">
        <v>821235</v>
      </c>
      <c r="G28" s="126">
        <f>ROUND(+F28*E28,2)</f>
        <v>11250919.5</v>
      </c>
      <c r="H28" s="8"/>
      <c r="I28" s="9" t="str">
        <f t="array" ref="I28:L28">_xlfn.XLOOKUP(C28,'Neiva 2021 FASE I UNIFICADO'!$C$6:$C$540,'Neiva 2021 FASE I UNIFICADO'!$C$6:$F$540,"NO ESTA")</f>
        <v>TANQUE DE ALMACENAMIENTO Y RESERVA EN CONCRETO DE 4000 PSI</v>
      </c>
      <c r="J28" s="9" t="str">
        <v>M3</v>
      </c>
      <c r="K28" s="9">
        <v>50.62</v>
      </c>
      <c r="L28" s="9">
        <v>742932</v>
      </c>
      <c r="M28" s="124" t="str">
        <f t="shared" si="4"/>
        <v>FASE II</v>
      </c>
      <c r="N28" s="155">
        <f t="shared" si="1"/>
        <v>64.319999999999993</v>
      </c>
      <c r="O28" s="156">
        <f t="shared" si="2"/>
        <v>821235</v>
      </c>
      <c r="P28" s="156">
        <f t="shared" si="3"/>
        <v>52821835.199999996</v>
      </c>
    </row>
    <row r="29" spans="2:16" s="9" customFormat="1" ht="35.1" customHeight="1" x14ac:dyDescent="0.25">
      <c r="B29" s="13" t="s">
        <v>51</v>
      </c>
      <c r="C29" s="24" t="s">
        <v>52</v>
      </c>
      <c r="D29" s="24"/>
      <c r="E29" s="15"/>
      <c r="F29" s="129"/>
      <c r="G29" s="140"/>
      <c r="H29" s="8"/>
      <c r="M29" s="124">
        <f t="shared" si="4"/>
        <v>0</v>
      </c>
      <c r="N29" s="155">
        <f t="shared" si="1"/>
        <v>0</v>
      </c>
      <c r="O29" s="156">
        <f t="shared" si="2"/>
        <v>0</v>
      </c>
      <c r="P29" s="156">
        <f t="shared" si="3"/>
        <v>0</v>
      </c>
    </row>
    <row r="30" spans="2:16" s="9" customFormat="1" ht="35.1" customHeight="1" x14ac:dyDescent="0.25">
      <c r="B30" s="10" t="s">
        <v>53</v>
      </c>
      <c r="C30" s="25" t="s">
        <v>54</v>
      </c>
      <c r="D30" s="10" t="s">
        <v>55</v>
      </c>
      <c r="E30" s="12">
        <v>8230.6999999999971</v>
      </c>
      <c r="F30" s="130">
        <v>5000</v>
      </c>
      <c r="G30" s="126">
        <f>ROUND(+F30*E30,2)</f>
        <v>41153500</v>
      </c>
      <c r="H30" s="26">
        <v>3687</v>
      </c>
      <c r="I30" s="9" t="str">
        <f t="array" ref="I30:L30">_xlfn.XLOOKUP(C30,'Neiva 2021 FASE I UNIFICADO'!$C$6:$C$540,'Neiva 2021 FASE I UNIFICADO'!$C$6:$F$540,"NO ESTA")</f>
        <v>ACERO DE REFUERZO 60000 psi Incluye ALAMBRE DE AMARRE</v>
      </c>
      <c r="J30" s="9" t="str">
        <v>KG</v>
      </c>
      <c r="K30" s="9">
        <v>16621.25</v>
      </c>
      <c r="L30" s="9">
        <v>5000</v>
      </c>
      <c r="M30" s="124" t="str">
        <f t="shared" si="4"/>
        <v>FASE II</v>
      </c>
      <c r="N30" s="155">
        <f t="shared" si="1"/>
        <v>24851.949999999997</v>
      </c>
      <c r="O30" s="156">
        <f t="shared" si="2"/>
        <v>5000</v>
      </c>
      <c r="P30" s="156">
        <f t="shared" si="3"/>
        <v>124259749.99999999</v>
      </c>
    </row>
    <row r="31" spans="2:16" s="9" customFormat="1" ht="35.1" customHeight="1" x14ac:dyDescent="0.25">
      <c r="B31" s="21" t="s">
        <v>56</v>
      </c>
      <c r="C31" s="25" t="s">
        <v>57</v>
      </c>
      <c r="D31" s="10" t="s">
        <v>13</v>
      </c>
      <c r="E31" s="12">
        <v>242.5</v>
      </c>
      <c r="F31" s="126">
        <f>+F30*1.5</f>
        <v>7500</v>
      </c>
      <c r="G31" s="126">
        <f>ROUND(+F31*E31,2)</f>
        <v>1818750</v>
      </c>
      <c r="H31" s="26">
        <v>5139</v>
      </c>
      <c r="I31" s="9" t="str">
        <f t="array" ref="I31:L31">_xlfn.XLOOKUP(C31,'Neiva 2021 FASE I UNIFICADO'!$C$6:$C$540,'Neiva 2021 FASE I UNIFICADO'!$C$6:$F$540,"NO ESTA")</f>
        <v>MALLA ELECTROSOLDADA PLACA CONTRAPISO Q84 Ø4 mm separación 15x15 cm o similar</v>
      </c>
      <c r="J31" s="9" t="str">
        <v>M2</v>
      </c>
      <c r="K31" s="9">
        <v>1871.1</v>
      </c>
      <c r="L31" s="9">
        <v>7500</v>
      </c>
      <c r="M31" s="124" t="str">
        <f t="shared" si="4"/>
        <v>FASE II</v>
      </c>
      <c r="N31" s="155">
        <f t="shared" si="1"/>
        <v>2113.6</v>
      </c>
      <c r="O31" s="156">
        <f t="shared" si="2"/>
        <v>7500</v>
      </c>
      <c r="P31" s="156">
        <f t="shared" si="3"/>
        <v>15852000</v>
      </c>
    </row>
    <row r="32" spans="2:16" s="9" customFormat="1" ht="35.1" customHeight="1" x14ac:dyDescent="0.25">
      <c r="B32" s="16">
        <v>3</v>
      </c>
      <c r="C32" s="17" t="s">
        <v>58</v>
      </c>
      <c r="D32" s="17"/>
      <c r="E32" s="18"/>
      <c r="F32" s="131"/>
      <c r="G32" s="17"/>
      <c r="H32" s="8"/>
      <c r="M32" s="124">
        <f t="shared" si="4"/>
        <v>0</v>
      </c>
      <c r="N32" s="155">
        <f t="shared" si="1"/>
        <v>0</v>
      </c>
      <c r="O32" s="156">
        <f t="shared" si="2"/>
        <v>0</v>
      </c>
      <c r="P32" s="156">
        <f t="shared" si="3"/>
        <v>0</v>
      </c>
    </row>
    <row r="33" spans="2:16" s="9" customFormat="1" ht="35.1" customHeight="1" x14ac:dyDescent="0.25">
      <c r="B33" s="13" t="s">
        <v>59</v>
      </c>
      <c r="C33" s="14" t="s">
        <v>60</v>
      </c>
      <c r="D33" s="13"/>
      <c r="E33" s="15"/>
      <c r="F33" s="129"/>
      <c r="G33" s="140"/>
      <c r="H33" s="8"/>
      <c r="M33" s="124">
        <f t="shared" si="4"/>
        <v>0</v>
      </c>
      <c r="N33" s="155">
        <f t="shared" si="1"/>
        <v>0</v>
      </c>
      <c r="O33" s="156">
        <f t="shared" si="2"/>
        <v>0</v>
      </c>
      <c r="P33" s="156">
        <f t="shared" si="3"/>
        <v>0</v>
      </c>
    </row>
    <row r="34" spans="2:16" s="9" customFormat="1" ht="35.1" customHeight="1" x14ac:dyDescent="0.25">
      <c r="B34" s="23" t="s">
        <v>61</v>
      </c>
      <c r="C34" s="11" t="s">
        <v>62</v>
      </c>
      <c r="D34" s="10" t="s">
        <v>30</v>
      </c>
      <c r="E34" s="12">
        <v>24.939999999999998</v>
      </c>
      <c r="F34" s="126">
        <v>789448</v>
      </c>
      <c r="G34" s="126">
        <f>ROUND(+F34*E34,2)</f>
        <v>19688833.120000001</v>
      </c>
      <c r="H34" s="8"/>
      <c r="I34" s="9" t="str">
        <f t="array" ref="I34:L34">_xlfn.XLOOKUP(C34,'Neiva 2021 FASE I UNIFICADO'!$C$6:$C$540,'Neiva 2021 FASE I UNIFICADO'!$C$6:$F$540,"NO ESTA")</f>
        <v>COLUMNAS EN CONCRETO DE 4000 psi</v>
      </c>
      <c r="J34" s="9" t="str">
        <v>M3</v>
      </c>
      <c r="K34" s="9">
        <v>247.78</v>
      </c>
      <c r="L34" s="9">
        <v>789448</v>
      </c>
      <c r="M34" s="124" t="str">
        <f t="shared" si="4"/>
        <v>FASE II</v>
      </c>
      <c r="N34" s="155">
        <f t="shared" si="1"/>
        <v>272.72000000000003</v>
      </c>
      <c r="O34" s="156">
        <f t="shared" si="2"/>
        <v>789448</v>
      </c>
      <c r="P34" s="156">
        <f t="shared" si="3"/>
        <v>215298258.56000003</v>
      </c>
    </row>
    <row r="35" spans="2:16" s="9" customFormat="1" ht="35.1" customHeight="1" x14ac:dyDescent="0.25">
      <c r="B35" s="23" t="s">
        <v>63</v>
      </c>
      <c r="C35" s="11" t="s">
        <v>64</v>
      </c>
      <c r="D35" s="10" t="s">
        <v>30</v>
      </c>
      <c r="E35" s="12">
        <v>15.569999999999993</v>
      </c>
      <c r="F35" s="126">
        <v>789448</v>
      </c>
      <c r="G35" s="126">
        <f>ROUND(+F35*E35,2)</f>
        <v>12291705.359999999</v>
      </c>
      <c r="H35" s="8"/>
      <c r="I35" s="9" t="str">
        <f t="array" ref="I35:L35">_xlfn.XLOOKUP(C35,'Neiva 2021 FASE I UNIFICADO'!$C$6:$C$540,'Neiva 2021 FASE I UNIFICADO'!$C$6:$F$540,"NO ESTA")</f>
        <v>PANTALLAS ASCENSORES Y ESCALERA EJES F2 Y K2 EN CONCRETO DE 4000 PSI</v>
      </c>
      <c r="J35" s="9" t="str">
        <v>M3</v>
      </c>
      <c r="K35" s="9">
        <v>152.63999999999999</v>
      </c>
      <c r="L35" s="9">
        <v>789448</v>
      </c>
      <c r="M35" s="124" t="str">
        <f t="shared" si="4"/>
        <v>FASE II</v>
      </c>
      <c r="N35" s="155">
        <f t="shared" si="1"/>
        <v>168.20999999999998</v>
      </c>
      <c r="O35" s="156">
        <f t="shared" si="2"/>
        <v>789448</v>
      </c>
      <c r="P35" s="156">
        <f t="shared" si="3"/>
        <v>132793048.07999998</v>
      </c>
    </row>
    <row r="36" spans="2:16" s="9" customFormat="1" ht="35.1" customHeight="1" x14ac:dyDescent="0.25">
      <c r="B36" s="13" t="s">
        <v>65</v>
      </c>
      <c r="C36" s="14" t="s">
        <v>66</v>
      </c>
      <c r="D36" s="13"/>
      <c r="E36" s="15"/>
      <c r="F36" s="129"/>
      <c r="G36" s="140"/>
      <c r="H36" s="8"/>
      <c r="M36" s="124">
        <f t="shared" si="4"/>
        <v>0</v>
      </c>
      <c r="N36" s="155">
        <f t="shared" si="1"/>
        <v>0</v>
      </c>
      <c r="O36" s="156">
        <f t="shared" si="2"/>
        <v>0</v>
      </c>
      <c r="P36" s="156">
        <f t="shared" si="3"/>
        <v>0</v>
      </c>
    </row>
    <row r="37" spans="2:16" s="9" customFormat="1" ht="35.1" customHeight="1" x14ac:dyDescent="0.25">
      <c r="B37" s="21" t="s">
        <v>67</v>
      </c>
      <c r="C37" s="11" t="s">
        <v>1060</v>
      </c>
      <c r="D37" s="23" t="s">
        <v>30</v>
      </c>
      <c r="E37" s="12">
        <v>0</v>
      </c>
      <c r="F37" s="126">
        <v>905780</v>
      </c>
      <c r="G37" s="126">
        <f>ROUND(+F37*E37,2)</f>
        <v>0</v>
      </c>
      <c r="H37" s="8"/>
      <c r="I37" s="9" t="str">
        <f t="array" ref="I37">_xlfn.XLOOKUP(C37,'Neiva 2021 FASE I UNIFICADO'!$C$6:$C$540,'Neiva 2021 FASE I UNIFICADO'!$C$6:$F$540,"NO ESTA")</f>
        <v>NO ESTA</v>
      </c>
      <c r="M37" s="124">
        <f t="shared" si="4"/>
        <v>0</v>
      </c>
      <c r="N37" s="155">
        <f t="shared" si="1"/>
        <v>0</v>
      </c>
      <c r="O37" s="156">
        <f t="shared" si="2"/>
        <v>905780</v>
      </c>
      <c r="P37" s="156">
        <f t="shared" si="3"/>
        <v>0</v>
      </c>
    </row>
    <row r="38" spans="2:16" s="9" customFormat="1" ht="35.1" customHeight="1" x14ac:dyDescent="0.25">
      <c r="B38" s="21" t="s">
        <v>69</v>
      </c>
      <c r="C38" s="11" t="s">
        <v>70</v>
      </c>
      <c r="D38" s="23" t="s">
        <v>13</v>
      </c>
      <c r="E38" s="12">
        <v>235.59999999999991</v>
      </c>
      <c r="F38" s="126">
        <v>95123</v>
      </c>
      <c r="G38" s="126">
        <f>ROUND(+F38*E38,2)</f>
        <v>22410978.800000001</v>
      </c>
      <c r="H38" s="8"/>
      <c r="I38" s="9" t="str">
        <f t="array" ref="I38:L38">_xlfn.XLOOKUP(C38,'Neiva 2021 FASE I UNIFICADO'!$C$6:$C$540,'Neiva 2021 FASE I UNIFICADO'!$C$6:$F$540,"NO ESTA")</f>
        <v>PLACA MACIZA CONTRAPISO CIMENTACION E: 15 cms</v>
      </c>
      <c r="J38" s="9" t="str">
        <v>M2</v>
      </c>
      <c r="K38" s="9">
        <v>1581</v>
      </c>
      <c r="L38" s="9">
        <v>95313</v>
      </c>
      <c r="M38" s="124" t="str">
        <f t="shared" si="4"/>
        <v>FASE I</v>
      </c>
      <c r="N38" s="155">
        <f t="shared" si="1"/>
        <v>1816.6</v>
      </c>
      <c r="O38" s="156">
        <f t="shared" si="2"/>
        <v>95313</v>
      </c>
      <c r="P38" s="156">
        <f t="shared" si="3"/>
        <v>173145595.79999998</v>
      </c>
    </row>
    <row r="39" spans="2:16" s="9" customFormat="1" ht="35.1" customHeight="1" x14ac:dyDescent="0.25">
      <c r="B39" s="21" t="s">
        <v>71</v>
      </c>
      <c r="C39" s="11" t="s">
        <v>72</v>
      </c>
      <c r="D39" s="23" t="s">
        <v>30</v>
      </c>
      <c r="E39" s="12">
        <v>0</v>
      </c>
      <c r="F39" s="126">
        <v>789448</v>
      </c>
      <c r="G39" s="126">
        <f>ROUND(+F39*E39,2)</f>
        <v>0</v>
      </c>
      <c r="H39" s="8"/>
      <c r="I39" s="9" t="str">
        <f t="array" ref="I39:L39">_xlfn.XLOOKUP(C39,'Neiva 2021 FASE I UNIFICADO'!$C$6:$C$540,'Neiva 2021 FASE I UNIFICADO'!$C$6:$F$540,"NO ESTA")</f>
        <v xml:space="preserve">PLACA MACIZA ZONA ASCENSOR 2DA PLANTA </v>
      </c>
      <c r="J39" s="9" t="str">
        <v>M3</v>
      </c>
      <c r="K39" s="9">
        <v>8.9</v>
      </c>
      <c r="L39" s="9">
        <v>705686</v>
      </c>
      <c r="M39" s="124" t="str">
        <f t="shared" si="4"/>
        <v>FASE II</v>
      </c>
      <c r="N39" s="155">
        <f t="shared" si="1"/>
        <v>8.9</v>
      </c>
      <c r="O39" s="156">
        <f t="shared" si="2"/>
        <v>789448</v>
      </c>
      <c r="P39" s="156">
        <f t="shared" si="3"/>
        <v>7026087.2000000002</v>
      </c>
    </row>
    <row r="40" spans="2:16" s="9" customFormat="1" ht="35.1" customHeight="1" x14ac:dyDescent="0.25">
      <c r="B40" s="13" t="s">
        <v>73</v>
      </c>
      <c r="C40" s="14" t="s">
        <v>74</v>
      </c>
      <c r="D40" s="13"/>
      <c r="E40" s="15"/>
      <c r="F40" s="129"/>
      <c r="G40" s="140"/>
      <c r="H40" s="8"/>
      <c r="M40" s="124">
        <f t="shared" si="4"/>
        <v>0</v>
      </c>
      <c r="N40" s="155">
        <f t="shared" si="1"/>
        <v>0</v>
      </c>
      <c r="O40" s="156">
        <f t="shared" si="2"/>
        <v>0</v>
      </c>
      <c r="P40" s="156">
        <f t="shared" si="3"/>
        <v>0</v>
      </c>
    </row>
    <row r="41" spans="2:16" s="9" customFormat="1" ht="35.1" customHeight="1" x14ac:dyDescent="0.25">
      <c r="B41" s="21" t="s">
        <v>75</v>
      </c>
      <c r="C41" s="25" t="s">
        <v>76</v>
      </c>
      <c r="D41" s="23" t="s">
        <v>30</v>
      </c>
      <c r="E41" s="12">
        <v>11.299999999999997</v>
      </c>
      <c r="F41" s="126">
        <v>795025</v>
      </c>
      <c r="G41" s="126">
        <f>ROUND(+F41*E41,2)</f>
        <v>8983782.5</v>
      </c>
      <c r="H41" s="8"/>
      <c r="I41" s="9" t="str">
        <f t="array" ref="I41:L41">_xlfn.XLOOKUP(C41,'Neiva 2021 FASE I UNIFICADO'!$C$6:$C$540,'Neiva 2021 FASE I UNIFICADO'!$C$6:$F$540,"NO ESTA")</f>
        <v>MURO EN CONCRETO DE 4000 PSI DESCOLGADO VIGA 00C 30x120</v>
      </c>
      <c r="J41" s="9" t="str">
        <v>M3</v>
      </c>
      <c r="K41" s="9">
        <v>73</v>
      </c>
      <c r="L41" s="9">
        <v>687672</v>
      </c>
      <c r="M41" s="124" t="str">
        <f t="shared" si="4"/>
        <v>FASE II</v>
      </c>
      <c r="N41" s="155">
        <f t="shared" si="1"/>
        <v>84.3</v>
      </c>
      <c r="O41" s="156">
        <f t="shared" si="2"/>
        <v>795025</v>
      </c>
      <c r="P41" s="156">
        <f t="shared" si="3"/>
        <v>67020607.5</v>
      </c>
    </row>
    <row r="42" spans="2:16" s="9" customFormat="1" ht="35.1" customHeight="1" x14ac:dyDescent="0.25">
      <c r="B42" s="21" t="s">
        <v>77</v>
      </c>
      <c r="C42" s="25" t="s">
        <v>78</v>
      </c>
      <c r="D42" s="23" t="s">
        <v>30</v>
      </c>
      <c r="E42" s="12">
        <v>15.900000000000006</v>
      </c>
      <c r="F42" s="126">
        <v>766762</v>
      </c>
      <c r="G42" s="126">
        <f>ROUND(+F42*E42,2)</f>
        <v>12191515.800000001</v>
      </c>
      <c r="H42" s="8"/>
      <c r="I42" s="9" t="str">
        <f t="array" ref="I42:L42">_xlfn.XLOOKUP(C42,'Neiva 2021 FASE I UNIFICADO'!$C$6:$C$540,'Neiva 2021 FASE I UNIFICADO'!$C$6:$F$540,"NO ESTA")</f>
        <v>MURO ESTRUCTURAL EN CONCRETO DE 4000 PSI FACHADA EXTERIOR</v>
      </c>
      <c r="J42" s="9" t="str">
        <v>M3</v>
      </c>
      <c r="K42" s="9">
        <v>109</v>
      </c>
      <c r="L42" s="9">
        <v>687672</v>
      </c>
      <c r="M42" s="124" t="str">
        <f t="shared" si="4"/>
        <v>FASE II</v>
      </c>
      <c r="N42" s="155">
        <f t="shared" si="1"/>
        <v>124.9</v>
      </c>
      <c r="O42" s="156">
        <f t="shared" si="2"/>
        <v>766762</v>
      </c>
      <c r="P42" s="156">
        <f t="shared" si="3"/>
        <v>95768573.799999997</v>
      </c>
    </row>
    <row r="43" spans="2:16" s="9" customFormat="1" ht="35.1" customHeight="1" x14ac:dyDescent="0.25">
      <c r="B43" s="21" t="s">
        <v>79</v>
      </c>
      <c r="C43" s="25" t="s">
        <v>80</v>
      </c>
      <c r="D43" s="10" t="s">
        <v>30</v>
      </c>
      <c r="E43" s="12">
        <v>4.7000000000000028</v>
      </c>
      <c r="F43" s="126">
        <v>910627</v>
      </c>
      <c r="G43" s="126">
        <f>ROUND(+F43*E43,2)</f>
        <v>4279946.9000000004</v>
      </c>
      <c r="H43" s="145" t="s">
        <v>1061</v>
      </c>
      <c r="I43" s="9" t="str">
        <f t="array" ref="I43:L43">_xlfn.XLOOKUP(C43,'Neiva 2021 FASE I UNIFICADO'!$C$6:$C$540,'Neiva 2021 FASE I UNIFICADO'!$C$6:$F$540,"NO ESTA")</f>
        <v>ESCALERAS INTERNAS</v>
      </c>
      <c r="J43" s="9" t="str">
        <v>M3</v>
      </c>
      <c r="K43" s="9">
        <v>30</v>
      </c>
      <c r="L43" s="9">
        <v>705686</v>
      </c>
      <c r="M43" s="124" t="str">
        <f t="shared" si="4"/>
        <v>FASE II</v>
      </c>
      <c r="N43" s="155">
        <f t="shared" si="1"/>
        <v>34.700000000000003</v>
      </c>
      <c r="O43" s="156">
        <f t="shared" si="2"/>
        <v>910627</v>
      </c>
      <c r="P43" s="156">
        <f t="shared" si="3"/>
        <v>31598756.900000002</v>
      </c>
    </row>
    <row r="44" spans="2:16" s="9" customFormat="1" ht="35.1" customHeight="1" x14ac:dyDescent="0.25">
      <c r="B44" s="21" t="s">
        <v>81</v>
      </c>
      <c r="C44" s="25" t="s">
        <v>82</v>
      </c>
      <c r="D44" s="10" t="s">
        <v>30</v>
      </c>
      <c r="E44" s="12">
        <v>2</v>
      </c>
      <c r="F44" s="126">
        <v>910627</v>
      </c>
      <c r="G44" s="126">
        <f>ROUND(+F44*E44,2)</f>
        <v>1821254</v>
      </c>
      <c r="H44" s="8"/>
      <c r="I44" s="9" t="str">
        <f t="array" ref="I44:L44">_xlfn.XLOOKUP(C44,'Neiva 2021 FASE I UNIFICADO'!$C$6:$C$540,'Neiva 2021 FASE I UNIFICADO'!$C$6:$F$540,"NO ESTA")</f>
        <v>ESCALERA ACCESO SEGUNDO (2DO) Y TERCER (3ER) PISO EJES 1 Y 4'</v>
      </c>
      <c r="J44" s="9" t="str">
        <v>M3</v>
      </c>
      <c r="K44" s="9">
        <v>17</v>
      </c>
      <c r="L44" s="9">
        <v>705686</v>
      </c>
      <c r="M44" s="124" t="str">
        <f t="shared" si="4"/>
        <v>FASE II</v>
      </c>
      <c r="N44" s="155">
        <f t="shared" si="1"/>
        <v>19</v>
      </c>
      <c r="O44" s="156">
        <f t="shared" si="2"/>
        <v>910627</v>
      </c>
      <c r="P44" s="156">
        <f t="shared" si="3"/>
        <v>17301913</v>
      </c>
    </row>
    <row r="45" spans="2:16" s="9" customFormat="1" ht="35.1" customHeight="1" x14ac:dyDescent="0.25">
      <c r="B45" s="21" t="s">
        <v>83</v>
      </c>
      <c r="C45" s="25" t="s">
        <v>84</v>
      </c>
      <c r="D45" s="23" t="s">
        <v>30</v>
      </c>
      <c r="E45" s="12">
        <v>9</v>
      </c>
      <c r="F45" s="126">
        <v>852120</v>
      </c>
      <c r="G45" s="126">
        <f>ROUND(+F45*E45,2)</f>
        <v>7669080</v>
      </c>
      <c r="H45" s="8">
        <f>ROUND(F45+F45*20%*$H$3,0)</f>
        <v>1014500</v>
      </c>
      <c r="I45" s="9" t="str">
        <f t="array" ref="I45:L45">_xlfn.XLOOKUP(C45,'Neiva 2021 FASE I UNIFICADO'!$C$6:$C$540,'Neiva 2021 FASE I UNIFICADO'!$C$6:$F$540,"NO ESTA")</f>
        <v>RAMPAS DE ACCESO Incluye ACERO DE REFUERZO</v>
      </c>
      <c r="J45" s="9" t="str">
        <v>M3</v>
      </c>
      <c r="K45" s="9">
        <v>63</v>
      </c>
      <c r="L45" s="9">
        <v>723230</v>
      </c>
      <c r="M45" s="124" t="str">
        <f t="shared" si="4"/>
        <v>FASE II</v>
      </c>
      <c r="N45" s="155">
        <f t="shared" si="1"/>
        <v>72</v>
      </c>
      <c r="O45" s="156">
        <f t="shared" si="2"/>
        <v>852120</v>
      </c>
      <c r="P45" s="156">
        <f t="shared" si="3"/>
        <v>61352640</v>
      </c>
    </row>
    <row r="46" spans="2:16" s="9" customFormat="1" ht="35.1" customHeight="1" x14ac:dyDescent="0.25">
      <c r="B46" s="13" t="s">
        <v>85</v>
      </c>
      <c r="C46" s="24" t="s">
        <v>86</v>
      </c>
      <c r="D46" s="24"/>
      <c r="E46" s="15"/>
      <c r="F46" s="129"/>
      <c r="G46" s="140"/>
      <c r="H46" s="8"/>
      <c r="M46" s="124">
        <f t="shared" si="4"/>
        <v>0</v>
      </c>
      <c r="N46" s="155">
        <f t="shared" si="1"/>
        <v>0</v>
      </c>
      <c r="O46" s="156">
        <f t="shared" si="2"/>
        <v>0</v>
      </c>
      <c r="P46" s="156">
        <f t="shared" si="3"/>
        <v>0</v>
      </c>
    </row>
    <row r="47" spans="2:16" s="9" customFormat="1" ht="35.1" customHeight="1" x14ac:dyDescent="0.25">
      <c r="B47" s="10" t="s">
        <v>87</v>
      </c>
      <c r="C47" s="20" t="s">
        <v>54</v>
      </c>
      <c r="D47" s="10" t="s">
        <v>55</v>
      </c>
      <c r="E47" s="12">
        <v>84343.400000000023</v>
      </c>
      <c r="F47" s="126">
        <v>5000</v>
      </c>
      <c r="G47" s="126">
        <f>ROUND(+F47*E47,2)</f>
        <v>421717000</v>
      </c>
      <c r="H47" s="8"/>
      <c r="I47" s="9" t="str">
        <f t="array" ref="I47:L47">_xlfn.XLOOKUP(C47,'Neiva 2021 FASE I UNIFICADO'!$C$6:$C$540,'Neiva 2021 FASE I UNIFICADO'!$C$6:$F$540,"NO ESTA")</f>
        <v>ACERO DE REFUERZO 60000 psi Incluye ALAMBRE DE AMARRE</v>
      </c>
      <c r="J47" s="9" t="str">
        <v>KG</v>
      </c>
      <c r="K47" s="9">
        <v>16621.25</v>
      </c>
      <c r="L47" s="9">
        <v>5000</v>
      </c>
      <c r="M47" s="124" t="str">
        <f t="shared" si="4"/>
        <v>FASE II</v>
      </c>
      <c r="N47" s="155">
        <f t="shared" si="1"/>
        <v>100964.65000000002</v>
      </c>
      <c r="O47" s="156">
        <f t="shared" si="2"/>
        <v>5000</v>
      </c>
      <c r="P47" s="156">
        <f t="shared" si="3"/>
        <v>504823250.00000012</v>
      </c>
    </row>
    <row r="48" spans="2:16" s="9" customFormat="1" ht="35.1" customHeight="1" x14ac:dyDescent="0.25">
      <c r="B48" s="21" t="s">
        <v>88</v>
      </c>
      <c r="C48" s="22" t="s">
        <v>89</v>
      </c>
      <c r="D48" s="10" t="s">
        <v>13</v>
      </c>
      <c r="E48" s="12">
        <v>938.19999999999982</v>
      </c>
      <c r="F48" s="126">
        <v>7500</v>
      </c>
      <c r="G48" s="126">
        <f>ROUND(+F48*E48,2)</f>
        <v>7036500</v>
      </c>
      <c r="H48" s="8"/>
      <c r="I48" s="9" t="str">
        <f t="array" ref="I48:L48">_xlfn.XLOOKUP(C48,'Neiva 2021 FASE I UNIFICADO'!$C$6:$C$540,'Neiva 2021 FASE I UNIFICADO'!$C$6:$F$540,"NO ESTA")</f>
        <v>MALLA ELECTROSOLDADA PLACA ENTREPISO Q85 Ø4 mm separación 15x15 cm o similar</v>
      </c>
      <c r="J48" s="9" t="str">
        <v>M2</v>
      </c>
      <c r="K48" s="9">
        <v>6220.01</v>
      </c>
      <c r="L48" s="9">
        <v>7500</v>
      </c>
      <c r="M48" s="124" t="str">
        <f t="shared" si="4"/>
        <v>FASE II</v>
      </c>
      <c r="N48" s="155">
        <f t="shared" si="1"/>
        <v>7158.21</v>
      </c>
      <c r="O48" s="156">
        <f t="shared" si="2"/>
        <v>7500</v>
      </c>
      <c r="P48" s="156">
        <f t="shared" si="3"/>
        <v>53686575</v>
      </c>
    </row>
    <row r="49" spans="2:16" s="9" customFormat="1" ht="35.1" customHeight="1" x14ac:dyDescent="0.25">
      <c r="B49" s="13" t="s">
        <v>90</v>
      </c>
      <c r="C49" s="24" t="s">
        <v>91</v>
      </c>
      <c r="D49" s="24"/>
      <c r="E49" s="15"/>
      <c r="F49" s="129"/>
      <c r="G49" s="140"/>
      <c r="H49" s="8"/>
      <c r="M49" s="124">
        <f t="shared" si="4"/>
        <v>0</v>
      </c>
      <c r="N49" s="155">
        <f t="shared" si="1"/>
        <v>0</v>
      </c>
      <c r="O49" s="156">
        <f t="shared" si="2"/>
        <v>0</v>
      </c>
      <c r="P49" s="156">
        <f t="shared" si="3"/>
        <v>0</v>
      </c>
    </row>
    <row r="50" spans="2:16" s="9" customFormat="1" ht="35.1" customHeight="1" x14ac:dyDescent="0.25">
      <c r="B50" s="10" t="s">
        <v>92</v>
      </c>
      <c r="C50" s="20" t="s">
        <v>93</v>
      </c>
      <c r="D50" s="10" t="s">
        <v>94</v>
      </c>
      <c r="E50" s="12">
        <v>14.099999999999994</v>
      </c>
      <c r="F50" s="126">
        <v>109392</v>
      </c>
      <c r="G50" s="126">
        <f>ROUND(+F50*E50,2)</f>
        <v>1542427.2</v>
      </c>
      <c r="H50" s="8">
        <f>ROUND(+F50*(1+$H$3),0)</f>
        <v>213621</v>
      </c>
      <c r="I50" s="9" t="str">
        <f t="array" ref="I50:L50">_xlfn.XLOOKUP(C50,'Neiva 2021 FASE I UNIFICADO'!$C$6:$C$540,'Neiva 2021 FASE I UNIFICADO'!$C$6:$F$540,"NO ESTA")</f>
        <v>CERCHA METALICA CUBIERTA</v>
      </c>
      <c r="J50" s="9" t="str">
        <v>ML</v>
      </c>
      <c r="K50" s="9">
        <v>194</v>
      </c>
      <c r="L50" s="9">
        <v>102216</v>
      </c>
      <c r="M50" s="124" t="str">
        <f t="shared" si="4"/>
        <v>FASE II</v>
      </c>
      <c r="N50" s="155">
        <f t="shared" si="1"/>
        <v>208.1</v>
      </c>
      <c r="O50" s="156">
        <f t="shared" si="2"/>
        <v>109392</v>
      </c>
      <c r="P50" s="156">
        <f t="shared" si="3"/>
        <v>22764475.199999999</v>
      </c>
    </row>
    <row r="51" spans="2:16" s="9" customFormat="1" ht="35.1" customHeight="1" x14ac:dyDescent="0.25">
      <c r="B51" s="10" t="s">
        <v>95</v>
      </c>
      <c r="C51" s="20" t="s">
        <v>96</v>
      </c>
      <c r="D51" s="10" t="s">
        <v>94</v>
      </c>
      <c r="E51" s="12">
        <v>28.599999999999994</v>
      </c>
      <c r="F51" s="126">
        <v>78264</v>
      </c>
      <c r="G51" s="126">
        <f>ROUND(+F51*E51,2)</f>
        <v>2238350.4</v>
      </c>
      <c r="H51" s="8">
        <f>ROUND(+F51*(1+$H$3),0)</f>
        <v>152834</v>
      </c>
      <c r="I51" s="9" t="str">
        <f t="array" ref="I51:L51">_xlfn.XLOOKUP(C51,'Neiva 2021 FASE I UNIFICADO'!$C$6:$C$540,'Neiva 2021 FASE I UNIFICADO'!$C$6:$F$540,"NO ESTA")</f>
        <v>CORREAS METALICAS CUBIERTA</v>
      </c>
      <c r="J51" s="9" t="str">
        <v>ML</v>
      </c>
      <c r="K51" s="9">
        <v>1240</v>
      </c>
      <c r="L51" s="9">
        <v>72433</v>
      </c>
      <c r="M51" s="124" t="str">
        <f t="shared" si="4"/>
        <v>FASE II</v>
      </c>
      <c r="N51" s="155">
        <f t="shared" si="1"/>
        <v>1268.5999999999999</v>
      </c>
      <c r="O51" s="156">
        <f t="shared" si="2"/>
        <v>78264</v>
      </c>
      <c r="P51" s="156">
        <f t="shared" si="3"/>
        <v>99285710.399999991</v>
      </c>
    </row>
    <row r="52" spans="2:16" s="9" customFormat="1" ht="35.1" customHeight="1" x14ac:dyDescent="0.25">
      <c r="B52" s="10" t="s">
        <v>97</v>
      </c>
      <c r="C52" s="22" t="s">
        <v>98</v>
      </c>
      <c r="D52" s="23" t="s">
        <v>13</v>
      </c>
      <c r="E52" s="12">
        <v>488.5</v>
      </c>
      <c r="F52" s="126">
        <v>103483</v>
      </c>
      <c r="G52" s="126">
        <f>ROUND(+F52*E52,2)</f>
        <v>50551445.5</v>
      </c>
      <c r="H52" s="8"/>
      <c r="I52" s="9" t="str">
        <f t="array" ref="I52:L52">_xlfn.XLOOKUP(C52,'Neiva 2021 FASE I UNIFICADO'!$C$6:$C$540,'Neiva 2021 FASE I UNIFICADO'!$C$6:$F$540,"NO ESTA")</f>
        <v>CUBIERTA TIPO SANDWICH</v>
      </c>
      <c r="J52" s="9" t="str">
        <v>M2</v>
      </c>
      <c r="K52" s="9">
        <v>508</v>
      </c>
      <c r="L52" s="9">
        <v>95772</v>
      </c>
      <c r="M52" s="124" t="str">
        <f t="shared" si="4"/>
        <v>FASE II</v>
      </c>
      <c r="N52" s="155">
        <f t="shared" si="1"/>
        <v>996.5</v>
      </c>
      <c r="O52" s="156">
        <f t="shared" si="2"/>
        <v>103483</v>
      </c>
      <c r="P52" s="156">
        <f t="shared" si="3"/>
        <v>103120809.5</v>
      </c>
    </row>
    <row r="53" spans="2:16" s="9" customFormat="1" ht="35.1" customHeight="1" x14ac:dyDescent="0.25">
      <c r="B53" s="16">
        <v>4</v>
      </c>
      <c r="C53" s="17" t="s">
        <v>99</v>
      </c>
      <c r="D53" s="17"/>
      <c r="E53" s="18"/>
      <c r="F53" s="127"/>
      <c r="G53" s="17"/>
      <c r="H53" s="8"/>
      <c r="M53" s="124">
        <f t="shared" si="4"/>
        <v>0</v>
      </c>
      <c r="N53" s="155">
        <f t="shared" si="1"/>
        <v>0</v>
      </c>
      <c r="O53" s="156">
        <f t="shared" si="2"/>
        <v>0</v>
      </c>
      <c r="P53" s="156">
        <f t="shared" si="3"/>
        <v>0</v>
      </c>
    </row>
    <row r="54" spans="2:16" s="9" customFormat="1" ht="35.1" customHeight="1" x14ac:dyDescent="0.25">
      <c r="B54" s="13" t="s">
        <v>100</v>
      </c>
      <c r="C54" s="14" t="s">
        <v>101</v>
      </c>
      <c r="D54" s="27"/>
      <c r="E54" s="15"/>
      <c r="F54" s="126">
        <v>0</v>
      </c>
      <c r="G54" s="126">
        <f>ROUND(+F54*E54,2)</f>
        <v>0</v>
      </c>
      <c r="H54" s="8"/>
      <c r="I54" s="9" t="str">
        <f t="array" ref="I54:L54">_xlfn.XLOOKUP(C54,'Neiva 2021 FASE I UNIFICADO'!$C$6:$C$540,'Neiva 2021 FASE I UNIFICADO'!$C$6:$F$540,"NO ESTA")</f>
        <v>SUMINISTRO E INSTALACION DE CIELOS RASOS PISO 1</v>
      </c>
      <c r="J54" s="9">
        <v>0</v>
      </c>
      <c r="K54" s="9">
        <v>0</v>
      </c>
      <c r="L54" s="9">
        <v>0</v>
      </c>
      <c r="M54" s="124">
        <f t="shared" si="4"/>
        <v>0</v>
      </c>
      <c r="N54" s="155">
        <f t="shared" si="1"/>
        <v>0</v>
      </c>
      <c r="O54" s="156">
        <f t="shared" si="2"/>
        <v>0</v>
      </c>
      <c r="P54" s="156">
        <f t="shared" si="3"/>
        <v>0</v>
      </c>
    </row>
    <row r="55" spans="2:16" s="9" customFormat="1" ht="35.1" customHeight="1" x14ac:dyDescent="0.25">
      <c r="B55" s="23" t="s">
        <v>102</v>
      </c>
      <c r="C55" s="22" t="s">
        <v>1062</v>
      </c>
      <c r="D55" s="23" t="s">
        <v>13</v>
      </c>
      <c r="E55" s="12">
        <v>0</v>
      </c>
      <c r="F55" s="126">
        <v>52673</v>
      </c>
      <c r="G55" s="126">
        <f>ROUND(+F55*E55,2)</f>
        <v>0</v>
      </c>
      <c r="H55" s="8"/>
      <c r="I55" s="9" t="str">
        <f t="array" ref="I55">_xlfn.XLOOKUP(C55,'Neiva 2021 FASE I UNIFICADO'!$C$6:$C$540,'Neiva 2021 FASE I UNIFICADO'!$C$6:$F$540,"NO ESTA")</f>
        <v>NO ESTA</v>
      </c>
      <c r="M55" s="124">
        <f t="shared" si="4"/>
        <v>0</v>
      </c>
      <c r="N55" s="155">
        <f t="shared" si="1"/>
        <v>0</v>
      </c>
      <c r="O55" s="156">
        <f t="shared" si="2"/>
        <v>52673</v>
      </c>
      <c r="P55" s="156">
        <f t="shared" si="3"/>
        <v>0</v>
      </c>
    </row>
    <row r="56" spans="2:16" s="9" customFormat="1" ht="35.1" customHeight="1" x14ac:dyDescent="0.25">
      <c r="B56" s="23" t="s">
        <v>104</v>
      </c>
      <c r="C56" s="22" t="s">
        <v>105</v>
      </c>
      <c r="D56" s="23" t="s">
        <v>13</v>
      </c>
      <c r="E56" s="12">
        <v>0</v>
      </c>
      <c r="F56" s="126">
        <v>52673</v>
      </c>
      <c r="G56" s="126">
        <f>ROUND(+F56*E56,2)</f>
        <v>0</v>
      </c>
      <c r="H56" s="8"/>
      <c r="I56" s="9" t="str">
        <f t="array" ref="I56:L56">_xlfn.XLOOKUP(C56,'Neiva 2021 FASE I UNIFICADO'!$C$6:$C$540,'Neiva 2021 FASE I UNIFICADO'!$C$6:$F$540,"NO ESTA")</f>
        <v>SUMINISTRO E INSTALACION CIELO RASO EN DRYWALL LAMINA BLANCA PINTADO A 3 MANOS PINTURA VINILO TIPO 1  BLANCA Ref. Planos 09511</v>
      </c>
      <c r="J56" s="9" t="str">
        <v>M2</v>
      </c>
      <c r="K56" s="9">
        <v>388.43</v>
      </c>
      <c r="L56" s="9">
        <v>41614</v>
      </c>
      <c r="M56" s="124" t="str">
        <f t="shared" si="4"/>
        <v>FASE II</v>
      </c>
      <c r="N56" s="155">
        <f t="shared" si="1"/>
        <v>388.43</v>
      </c>
      <c r="O56" s="156">
        <f t="shared" si="2"/>
        <v>52673</v>
      </c>
      <c r="P56" s="156">
        <f t="shared" si="3"/>
        <v>20459773.390000001</v>
      </c>
    </row>
    <row r="57" spans="2:16" s="9" customFormat="1" ht="35.1" customHeight="1" x14ac:dyDescent="0.25">
      <c r="B57" s="28" t="s">
        <v>1063</v>
      </c>
      <c r="C57" s="29" t="s">
        <v>1064</v>
      </c>
      <c r="D57" s="30"/>
      <c r="E57" s="31"/>
      <c r="F57" s="129"/>
      <c r="G57" s="140"/>
      <c r="H57" s="8"/>
      <c r="I57" s="9" t="str">
        <f t="array" ref="I57">_xlfn.XLOOKUP(C57,'Neiva 2021 FASE I UNIFICADO'!$C$6:$C$540,'Neiva 2021 FASE I UNIFICADO'!$C$6:$F$540,"NO ESTA")</f>
        <v>NO ESTA</v>
      </c>
      <c r="M57" s="124">
        <f t="shared" si="4"/>
        <v>0</v>
      </c>
      <c r="N57" s="155">
        <f t="shared" si="1"/>
        <v>0</v>
      </c>
      <c r="O57" s="156">
        <f t="shared" si="2"/>
        <v>0</v>
      </c>
      <c r="P57" s="156">
        <f t="shared" si="3"/>
        <v>0</v>
      </c>
    </row>
    <row r="58" spans="2:16" s="9" customFormat="1" ht="49.15" customHeight="1" x14ac:dyDescent="0.25">
      <c r="B58" s="23" t="s">
        <v>1065</v>
      </c>
      <c r="C58" s="22" t="s">
        <v>103</v>
      </c>
      <c r="D58" s="23" t="s">
        <v>13</v>
      </c>
      <c r="E58" s="12">
        <v>68.989999999999995</v>
      </c>
      <c r="F58" s="126">
        <v>52673</v>
      </c>
      <c r="G58" s="126">
        <f>ROUND(+F58*E58,2)</f>
        <v>3633910.27</v>
      </c>
      <c r="H58" s="8"/>
      <c r="I58" s="9" t="str">
        <f t="array" ref="I58:L58">_xlfn.XLOOKUP(C58,'Neiva 2021 FASE I UNIFICADO'!$C$6:$C$540,'Neiva 2021 FASE I UNIFICADO'!$C$6:$F$540,"NO ESTA")</f>
        <v>SUMINISTRO E INSTALACION CIELO RASO EN DRYWALL LAMINA VERDE RH  PINTADO A 3 MANOS PINTURA VINILO TIPO 1 o similar  BLANCA Ref. Planos 09512</v>
      </c>
      <c r="J58" s="9" t="str">
        <v>M2</v>
      </c>
      <c r="K58" s="9">
        <v>59.86</v>
      </c>
      <c r="L58" s="9">
        <v>41614</v>
      </c>
      <c r="M58" s="124" t="str">
        <f t="shared" si="4"/>
        <v>FASE II</v>
      </c>
      <c r="N58" s="155">
        <f t="shared" si="1"/>
        <v>128.85</v>
      </c>
      <c r="O58" s="156">
        <f t="shared" si="2"/>
        <v>52673</v>
      </c>
      <c r="P58" s="156">
        <f t="shared" si="3"/>
        <v>6786916.0499999998</v>
      </c>
    </row>
    <row r="59" spans="2:16" s="9" customFormat="1" ht="35.1" customHeight="1" x14ac:dyDescent="0.25">
      <c r="B59" s="23" t="s">
        <v>1066</v>
      </c>
      <c r="C59" s="22" t="s">
        <v>105</v>
      </c>
      <c r="D59" s="23" t="s">
        <v>13</v>
      </c>
      <c r="E59" s="12">
        <v>701.75</v>
      </c>
      <c r="F59" s="126">
        <v>52673</v>
      </c>
      <c r="G59" s="126">
        <f>ROUND(+F59*E59,2)</f>
        <v>36963277.75</v>
      </c>
      <c r="H59" s="8"/>
      <c r="I59" s="9" t="str">
        <f t="array" ref="I59:L59">_xlfn.XLOOKUP(C59,'Neiva 2021 FASE I UNIFICADO'!$C$6:$C$540,'Neiva 2021 FASE I UNIFICADO'!$C$6:$F$540,"NO ESTA")</f>
        <v>SUMINISTRO E INSTALACION CIELO RASO EN DRYWALL LAMINA BLANCA PINTADO A 3 MANOS PINTURA VINILO TIPO 1  BLANCA Ref. Planos 09511</v>
      </c>
      <c r="J59" s="9" t="str">
        <v>M2</v>
      </c>
      <c r="K59" s="9">
        <v>388.43</v>
      </c>
      <c r="L59" s="9">
        <v>41614</v>
      </c>
      <c r="M59" s="124" t="str">
        <f t="shared" si="4"/>
        <v>FASE II</v>
      </c>
      <c r="N59" s="155">
        <f t="shared" si="1"/>
        <v>1090.18</v>
      </c>
      <c r="O59" s="156">
        <f t="shared" si="2"/>
        <v>52673</v>
      </c>
      <c r="P59" s="156">
        <f t="shared" si="3"/>
        <v>57423051.140000001</v>
      </c>
    </row>
    <row r="60" spans="2:16" s="9" customFormat="1" ht="35.1" customHeight="1" x14ac:dyDescent="0.25">
      <c r="B60" s="13" t="s">
        <v>1067</v>
      </c>
      <c r="C60" s="14" t="s">
        <v>1068</v>
      </c>
      <c r="D60" s="27"/>
      <c r="E60" s="15"/>
      <c r="F60" s="129"/>
      <c r="G60" s="140"/>
      <c r="H60" s="8"/>
      <c r="I60" s="9" t="str">
        <f t="array" ref="I60">_xlfn.XLOOKUP(C60,'Neiva 2021 FASE I UNIFICADO'!$C$6:$C$540,'Neiva 2021 FASE I UNIFICADO'!$C$6:$F$540,"NO ESTA")</f>
        <v>NO ESTA</v>
      </c>
      <c r="M60" s="124">
        <f t="shared" si="4"/>
        <v>0</v>
      </c>
      <c r="N60" s="155">
        <f t="shared" si="1"/>
        <v>0</v>
      </c>
      <c r="O60" s="156">
        <f t="shared" si="2"/>
        <v>0</v>
      </c>
      <c r="P60" s="156">
        <f t="shared" si="3"/>
        <v>0</v>
      </c>
    </row>
    <row r="61" spans="2:16" s="9" customFormat="1" ht="46.15" customHeight="1" x14ac:dyDescent="0.25">
      <c r="B61" s="23" t="s">
        <v>1069</v>
      </c>
      <c r="C61" s="22" t="s">
        <v>103</v>
      </c>
      <c r="D61" s="23" t="s">
        <v>13</v>
      </c>
      <c r="E61" s="12">
        <v>68.989999999999995</v>
      </c>
      <c r="F61" s="126">
        <v>72889</v>
      </c>
      <c r="G61" s="126">
        <f>ROUND(+F61*E61,2)</f>
        <v>5028612.1100000003</v>
      </c>
      <c r="H61" s="8"/>
      <c r="I61" s="9" t="str">
        <f t="array" ref="I61:L61">_xlfn.XLOOKUP(C61,'Neiva 2021 FASE I UNIFICADO'!$C$6:$C$540,'Neiva 2021 FASE I UNIFICADO'!$C$6:$F$540,"NO ESTA")</f>
        <v>SUMINISTRO E INSTALACION CIELO RASO EN DRYWALL LAMINA VERDE RH  PINTADO A 3 MANOS PINTURA VINILO TIPO 1 o similar  BLANCA Ref. Planos 09512</v>
      </c>
      <c r="J61" s="9" t="str">
        <v>M2</v>
      </c>
      <c r="K61" s="9">
        <v>59.86</v>
      </c>
      <c r="L61" s="9">
        <v>41614</v>
      </c>
      <c r="M61" s="124" t="str">
        <f t="shared" si="4"/>
        <v>FASE II</v>
      </c>
      <c r="N61" s="155">
        <f t="shared" si="1"/>
        <v>128.85</v>
      </c>
      <c r="O61" s="156">
        <f t="shared" si="2"/>
        <v>72889</v>
      </c>
      <c r="P61" s="156">
        <f t="shared" si="3"/>
        <v>9391747.6500000004</v>
      </c>
    </row>
    <row r="62" spans="2:16" s="9" customFormat="1" ht="35.1" customHeight="1" x14ac:dyDescent="0.25">
      <c r="B62" s="23" t="s">
        <v>1070</v>
      </c>
      <c r="C62" s="22" t="s">
        <v>105</v>
      </c>
      <c r="D62" s="23" t="s">
        <v>13</v>
      </c>
      <c r="E62" s="12">
        <v>565.59</v>
      </c>
      <c r="F62" s="126">
        <v>69024</v>
      </c>
      <c r="G62" s="126">
        <f>ROUND(+F62*E62,2)</f>
        <v>39039284.159999996</v>
      </c>
      <c r="H62" s="8"/>
      <c r="I62" s="9" t="str">
        <f t="array" ref="I62:L62">_xlfn.XLOOKUP(C62,'Neiva 2021 FASE I UNIFICADO'!$C$6:$C$540,'Neiva 2021 FASE I UNIFICADO'!$C$6:$F$540,"NO ESTA")</f>
        <v>SUMINISTRO E INSTALACION CIELO RASO EN DRYWALL LAMINA BLANCA PINTADO A 3 MANOS PINTURA VINILO TIPO 1  BLANCA Ref. Planos 09511</v>
      </c>
      <c r="J62" s="9" t="str">
        <v>M2</v>
      </c>
      <c r="K62" s="9">
        <v>388.43</v>
      </c>
      <c r="L62" s="9">
        <v>41614</v>
      </c>
      <c r="M62" s="124" t="str">
        <f t="shared" si="4"/>
        <v>FASE II</v>
      </c>
      <c r="N62" s="155">
        <f t="shared" si="1"/>
        <v>954.02</v>
      </c>
      <c r="O62" s="156">
        <f t="shared" si="2"/>
        <v>69024</v>
      </c>
      <c r="P62" s="156">
        <f t="shared" si="3"/>
        <v>65850276.479999997</v>
      </c>
    </row>
    <row r="63" spans="2:16" s="9" customFormat="1" ht="35.1" customHeight="1" x14ac:dyDescent="0.25">
      <c r="B63" s="32" t="s">
        <v>1071</v>
      </c>
      <c r="C63" s="14" t="s">
        <v>1072</v>
      </c>
      <c r="D63" s="27"/>
      <c r="E63" s="15"/>
      <c r="F63" s="129"/>
      <c r="G63" s="140"/>
      <c r="H63" s="8"/>
      <c r="I63" s="9" t="str">
        <f t="array" ref="I63">_xlfn.XLOOKUP(C63,'Neiva 2021 FASE I UNIFICADO'!$C$6:$C$540,'Neiva 2021 FASE I UNIFICADO'!$C$6:$F$540,"NO ESTA")</f>
        <v>NO ESTA</v>
      </c>
      <c r="M63" s="124">
        <f t="shared" si="4"/>
        <v>0</v>
      </c>
      <c r="N63" s="155">
        <f t="shared" si="1"/>
        <v>0</v>
      </c>
      <c r="O63" s="156">
        <f t="shared" si="2"/>
        <v>0</v>
      </c>
      <c r="P63" s="156">
        <f t="shared" si="3"/>
        <v>0</v>
      </c>
    </row>
    <row r="64" spans="2:16" s="9" customFormat="1" ht="50.45" customHeight="1" x14ac:dyDescent="0.25">
      <c r="B64" s="23" t="s">
        <v>1073</v>
      </c>
      <c r="C64" s="22" t="s">
        <v>103</v>
      </c>
      <c r="D64" s="23" t="s">
        <v>13</v>
      </c>
      <c r="E64" s="12">
        <v>51.89</v>
      </c>
      <c r="F64" s="126">
        <v>72889</v>
      </c>
      <c r="G64" s="126">
        <f>ROUND(+F64*E64,2)</f>
        <v>3782210.21</v>
      </c>
      <c r="H64" s="8"/>
      <c r="I64" s="9" t="str">
        <f t="array" ref="I64:L64">_xlfn.XLOOKUP(C64,'Neiva 2021 FASE I UNIFICADO'!$C$6:$C$540,'Neiva 2021 FASE I UNIFICADO'!$C$6:$F$540,"NO ESTA")</f>
        <v>SUMINISTRO E INSTALACION CIELO RASO EN DRYWALL LAMINA VERDE RH  PINTADO A 3 MANOS PINTURA VINILO TIPO 1 o similar  BLANCA Ref. Planos 09512</v>
      </c>
      <c r="J64" s="9" t="str">
        <v>M2</v>
      </c>
      <c r="K64" s="9">
        <v>59.86</v>
      </c>
      <c r="L64" s="9">
        <v>41614</v>
      </c>
      <c r="M64" s="124" t="str">
        <f t="shared" si="4"/>
        <v>FASE II</v>
      </c>
      <c r="N64" s="155">
        <f t="shared" si="1"/>
        <v>111.75</v>
      </c>
      <c r="O64" s="156">
        <f t="shared" si="2"/>
        <v>72889</v>
      </c>
      <c r="P64" s="156">
        <f t="shared" si="3"/>
        <v>8145345.75</v>
      </c>
    </row>
    <row r="65" spans="2:16" s="9" customFormat="1" ht="35.1" customHeight="1" x14ac:dyDescent="0.25">
      <c r="B65" s="23" t="s">
        <v>1074</v>
      </c>
      <c r="C65" s="22" t="s">
        <v>105</v>
      </c>
      <c r="D65" s="23" t="s">
        <v>13</v>
      </c>
      <c r="E65" s="12">
        <v>1250.28</v>
      </c>
      <c r="F65" s="126">
        <v>69024</v>
      </c>
      <c r="G65" s="126">
        <f>ROUND(+F65*E65,2)</f>
        <v>86299326.719999999</v>
      </c>
      <c r="H65" s="8"/>
      <c r="I65" s="9" t="str">
        <f t="array" ref="I65:L65">_xlfn.XLOOKUP(C65,'Neiva 2021 FASE I UNIFICADO'!$C$6:$C$540,'Neiva 2021 FASE I UNIFICADO'!$C$6:$F$540,"NO ESTA")</f>
        <v>SUMINISTRO E INSTALACION CIELO RASO EN DRYWALL LAMINA BLANCA PINTADO A 3 MANOS PINTURA VINILO TIPO 1  BLANCA Ref. Planos 09511</v>
      </c>
      <c r="J65" s="9" t="str">
        <v>M2</v>
      </c>
      <c r="K65" s="9">
        <v>388.43</v>
      </c>
      <c r="L65" s="9">
        <v>41614</v>
      </c>
      <c r="M65" s="124" t="str">
        <f t="shared" si="4"/>
        <v>FASE II</v>
      </c>
      <c r="N65" s="155">
        <f t="shared" si="1"/>
        <v>1638.71</v>
      </c>
      <c r="O65" s="156">
        <f t="shared" si="2"/>
        <v>69024</v>
      </c>
      <c r="P65" s="156">
        <f t="shared" si="3"/>
        <v>113110319.04000001</v>
      </c>
    </row>
    <row r="66" spans="2:16" s="9" customFormat="1" ht="35.1" customHeight="1" x14ac:dyDescent="0.25">
      <c r="B66" s="23" t="s">
        <v>1075</v>
      </c>
      <c r="C66" s="22" t="s">
        <v>1076</v>
      </c>
      <c r="D66" s="23" t="s">
        <v>94</v>
      </c>
      <c r="E66" s="12">
        <v>250.05600000000001</v>
      </c>
      <c r="F66" s="126">
        <v>17522</v>
      </c>
      <c r="G66" s="126">
        <f>ROUND(+F66*E66,2)</f>
        <v>4381481.2300000004</v>
      </c>
      <c r="H66" s="8"/>
      <c r="I66" s="9" t="str">
        <f t="array" ref="I66">_xlfn.XLOOKUP(C66,'Neiva 2021 FASE I UNIFICADO'!$C$6:$C$540,'Neiva 2021 FASE I UNIFICADO'!$C$6:$F$540,"NO ESTA")</f>
        <v>NO ESTA</v>
      </c>
      <c r="M66" s="124">
        <f t="shared" si="4"/>
        <v>0</v>
      </c>
      <c r="N66" s="155">
        <f t="shared" si="1"/>
        <v>250.05600000000001</v>
      </c>
      <c r="O66" s="156">
        <f t="shared" si="2"/>
        <v>17522</v>
      </c>
      <c r="P66" s="156">
        <f t="shared" si="3"/>
        <v>4381481.2319999998</v>
      </c>
    </row>
    <row r="67" spans="2:16" s="9" customFormat="1" ht="35.1" customHeight="1" x14ac:dyDescent="0.25">
      <c r="B67" s="23" t="s">
        <v>1077</v>
      </c>
      <c r="C67" s="22" t="s">
        <v>1078</v>
      </c>
      <c r="D67" s="23" t="s">
        <v>13</v>
      </c>
      <c r="E67" s="12">
        <v>149.82</v>
      </c>
      <c r="F67" s="126">
        <v>48102</v>
      </c>
      <c r="G67" s="126">
        <f>ROUND(+F67*E67,2)</f>
        <v>7206641.6399999997</v>
      </c>
      <c r="H67" s="8"/>
      <c r="I67" s="9" t="str">
        <f t="array" ref="I67">_xlfn.XLOOKUP(C67,'Neiva 2021 FASE I UNIFICADO'!$C$6:$C$540,'Neiva 2021 FASE I UNIFICADO'!$C$6:$F$540,"NO ESTA")</f>
        <v>NO ESTA</v>
      </c>
      <c r="M67" s="124">
        <f t="shared" si="4"/>
        <v>0</v>
      </c>
      <c r="N67" s="155">
        <f t="shared" si="1"/>
        <v>149.82</v>
      </c>
      <c r="O67" s="156">
        <f t="shared" si="2"/>
        <v>48102</v>
      </c>
      <c r="P67" s="156">
        <f t="shared" si="3"/>
        <v>7206641.6399999997</v>
      </c>
    </row>
    <row r="68" spans="2:16" s="9" customFormat="1" ht="35.1" customHeight="1" x14ac:dyDescent="0.25">
      <c r="B68" s="16">
        <v>5</v>
      </c>
      <c r="C68" s="17" t="s">
        <v>106</v>
      </c>
      <c r="D68" s="17"/>
      <c r="E68" s="18"/>
      <c r="F68" s="127"/>
      <c r="G68" s="17"/>
      <c r="H68" s="8"/>
      <c r="M68" s="124">
        <f t="shared" si="4"/>
        <v>0</v>
      </c>
      <c r="N68" s="155">
        <f t="shared" si="1"/>
        <v>0</v>
      </c>
      <c r="O68" s="156">
        <f t="shared" si="2"/>
        <v>0</v>
      </c>
      <c r="P68" s="156">
        <f t="shared" si="3"/>
        <v>0</v>
      </c>
    </row>
    <row r="69" spans="2:16" s="9" customFormat="1" ht="35.1" customHeight="1" x14ac:dyDescent="0.25">
      <c r="B69" s="13" t="s">
        <v>107</v>
      </c>
      <c r="C69" s="24" t="s">
        <v>108</v>
      </c>
      <c r="D69" s="24"/>
      <c r="E69" s="15"/>
      <c r="F69" s="129"/>
      <c r="G69" s="140"/>
      <c r="H69" s="8"/>
      <c r="M69" s="124">
        <f t="shared" si="4"/>
        <v>0</v>
      </c>
      <c r="N69" s="155">
        <f t="shared" si="1"/>
        <v>0</v>
      </c>
      <c r="O69" s="156">
        <f t="shared" si="2"/>
        <v>0</v>
      </c>
      <c r="P69" s="156">
        <f t="shared" si="3"/>
        <v>0</v>
      </c>
    </row>
    <row r="70" spans="2:16" s="9" customFormat="1" ht="35.1" customHeight="1" x14ac:dyDescent="0.25">
      <c r="B70" s="23" t="s">
        <v>109</v>
      </c>
      <c r="C70" s="11" t="s">
        <v>110</v>
      </c>
      <c r="D70" s="10" t="s">
        <v>30</v>
      </c>
      <c r="E70" s="12">
        <v>0</v>
      </c>
      <c r="F70" s="126">
        <v>821235</v>
      </c>
      <c r="G70" s="141">
        <f t="shared" ref="G70:G79" si="5">ROUND(+F70*E70,2)</f>
        <v>0</v>
      </c>
      <c r="H70" s="8"/>
      <c r="I70" s="9" t="str">
        <f t="array" ref="I70:L70">_xlfn.XLOOKUP(C70,'Neiva 2021 FASE I UNIFICADO'!$C$6:$C$540,'Neiva 2021 FASE I UNIFICADO'!$C$6:$F$540,"NO ESTA")</f>
        <v>MURO EN CONCRETO DE 4000 PSI e=0.12 m Ver. Planos Tipo Muro M-1</v>
      </c>
      <c r="J70" s="9" t="str">
        <v>M3</v>
      </c>
      <c r="K70" s="9">
        <v>0.73</v>
      </c>
      <c r="L70" s="9">
        <v>687672</v>
      </c>
      <c r="M70" s="124" t="str">
        <f t="shared" si="4"/>
        <v>FASE II</v>
      </c>
      <c r="N70" s="155">
        <f t="shared" ref="N70:N133" si="6">E70+K70</f>
        <v>0.73</v>
      </c>
      <c r="O70" s="156">
        <f t="shared" ref="O70:O133" si="7">MAX(L70,F70)</f>
        <v>821235</v>
      </c>
      <c r="P70" s="156">
        <f t="shared" ref="P70:P133" si="8">N70*O70</f>
        <v>599501.54999999993</v>
      </c>
    </row>
    <row r="71" spans="2:16" s="9" customFormat="1" ht="35.1" customHeight="1" x14ac:dyDescent="0.25">
      <c r="B71" s="23" t="s">
        <v>111</v>
      </c>
      <c r="C71" s="11" t="s">
        <v>112</v>
      </c>
      <c r="D71" s="10" t="s">
        <v>30</v>
      </c>
      <c r="E71" s="12">
        <v>11.33</v>
      </c>
      <c r="F71" s="126">
        <v>821235</v>
      </c>
      <c r="G71" s="126">
        <f t="shared" si="5"/>
        <v>9304592.5500000007</v>
      </c>
      <c r="H71" s="8"/>
      <c r="I71" s="9" t="str">
        <f t="array" ref="I71:L71">_xlfn.XLOOKUP(C71,'Neiva 2021 FASE I UNIFICADO'!$C$6:$C$540,'Neiva 2021 FASE I UNIFICADO'!$C$6:$F$540,"NO ESTA")</f>
        <v>MURO EN CONCRETO DE 4000 PSI e=0.15 m Ver. Planos Tipo Muro M-2</v>
      </c>
      <c r="J71" s="9" t="str">
        <v>M3</v>
      </c>
      <c r="K71" s="9">
        <v>11.33</v>
      </c>
      <c r="L71" s="9">
        <v>687672</v>
      </c>
      <c r="M71" s="124" t="str">
        <f t="shared" si="4"/>
        <v>FASE II</v>
      </c>
      <c r="N71" s="155">
        <f t="shared" si="6"/>
        <v>22.66</v>
      </c>
      <c r="O71" s="156">
        <f t="shared" si="7"/>
        <v>821235</v>
      </c>
      <c r="P71" s="156">
        <f t="shared" si="8"/>
        <v>18609185.100000001</v>
      </c>
    </row>
    <row r="72" spans="2:16" s="9" customFormat="1" ht="35.1" customHeight="1" x14ac:dyDescent="0.25">
      <c r="B72" s="23" t="s">
        <v>113</v>
      </c>
      <c r="C72" s="11" t="s">
        <v>114</v>
      </c>
      <c r="D72" s="10" t="s">
        <v>30</v>
      </c>
      <c r="E72" s="12">
        <v>95.594999999999999</v>
      </c>
      <c r="F72" s="126">
        <v>821235</v>
      </c>
      <c r="G72" s="126">
        <f t="shared" si="5"/>
        <v>78505959.829999998</v>
      </c>
      <c r="H72" s="8"/>
      <c r="I72" s="9" t="str">
        <f t="array" ref="I72:L72">_xlfn.XLOOKUP(C72,'Neiva 2021 FASE I UNIFICADO'!$C$6:$C$540,'Neiva 2021 FASE I UNIFICADO'!$C$6:$F$540,"NO ESTA")</f>
        <v>MURO EN CONCRETO DE 4000 PSI e=0.25 m Ver. Planos Tipo Muro M-3</v>
      </c>
      <c r="J72" s="9" t="str">
        <v>M3</v>
      </c>
      <c r="K72" s="9">
        <v>95.6</v>
      </c>
      <c r="L72" s="9">
        <v>687672</v>
      </c>
      <c r="M72" s="124" t="str">
        <f t="shared" ref="M72:M135" si="9">IF(L72=0,0,(IF(F72&lt;L72, "FASE I","FASE II")))</f>
        <v>FASE II</v>
      </c>
      <c r="N72" s="155">
        <f t="shared" si="6"/>
        <v>191.19499999999999</v>
      </c>
      <c r="O72" s="156">
        <f t="shared" si="7"/>
        <v>821235</v>
      </c>
      <c r="P72" s="156">
        <f t="shared" si="8"/>
        <v>157016025.82499999</v>
      </c>
    </row>
    <row r="73" spans="2:16" s="9" customFormat="1" ht="35.1" customHeight="1" x14ac:dyDescent="0.25">
      <c r="B73" s="23" t="s">
        <v>115</v>
      </c>
      <c r="C73" s="11" t="s">
        <v>116</v>
      </c>
      <c r="D73" s="10" t="s">
        <v>30</v>
      </c>
      <c r="E73" s="12">
        <v>20.12</v>
      </c>
      <c r="F73" s="126">
        <v>821235</v>
      </c>
      <c r="G73" s="126">
        <f t="shared" si="5"/>
        <v>16523248.199999999</v>
      </c>
      <c r="H73" s="8"/>
      <c r="I73" s="9" t="str">
        <f t="array" ref="I73:L73">_xlfn.XLOOKUP(C73,'Neiva 2021 FASE I UNIFICADO'!$C$6:$C$540,'Neiva 2021 FASE I UNIFICADO'!$C$6:$F$540,"NO ESTA")</f>
        <v>MURO EN CONCRETO DE 4000 PSI e=0.30 m Ver. Planos Tipo Muro M-4</v>
      </c>
      <c r="J73" s="9" t="str">
        <v>M3</v>
      </c>
      <c r="K73" s="9">
        <v>20.12</v>
      </c>
      <c r="L73" s="9">
        <v>687672</v>
      </c>
      <c r="M73" s="124" t="str">
        <f t="shared" si="9"/>
        <v>FASE II</v>
      </c>
      <c r="N73" s="155">
        <f t="shared" si="6"/>
        <v>40.24</v>
      </c>
      <c r="O73" s="156">
        <f t="shared" si="7"/>
        <v>821235</v>
      </c>
      <c r="P73" s="156">
        <f t="shared" si="8"/>
        <v>33046496.400000002</v>
      </c>
    </row>
    <row r="74" spans="2:16" s="9" customFormat="1" ht="35.1" customHeight="1" x14ac:dyDescent="0.25">
      <c r="B74" s="23" t="s">
        <v>117</v>
      </c>
      <c r="C74" s="11" t="s">
        <v>118</v>
      </c>
      <c r="D74" s="10" t="s">
        <v>30</v>
      </c>
      <c r="E74" s="12">
        <v>80.484999999999999</v>
      </c>
      <c r="F74" s="126">
        <v>821235</v>
      </c>
      <c r="G74" s="126">
        <f t="shared" si="5"/>
        <v>66097098.979999997</v>
      </c>
      <c r="H74" s="8"/>
      <c r="I74" s="9" t="str">
        <f t="array" ref="I74:L74">_xlfn.XLOOKUP(C74,'Neiva 2021 FASE I UNIFICADO'!$C$6:$C$540,'Neiva 2021 FASE I UNIFICADO'!$C$6:$F$540,"NO ESTA")</f>
        <v>MURO EN CONCRETO DE 4000 PSI e=0.40 m Ver. Planos Tipo Muro M-5</v>
      </c>
      <c r="J74" s="9" t="str">
        <v>M3</v>
      </c>
      <c r="K74" s="9">
        <v>80.489999999999995</v>
      </c>
      <c r="L74" s="9">
        <v>687672</v>
      </c>
      <c r="M74" s="124" t="str">
        <f t="shared" si="9"/>
        <v>FASE II</v>
      </c>
      <c r="N74" s="155">
        <f t="shared" si="6"/>
        <v>160.97499999999999</v>
      </c>
      <c r="O74" s="156">
        <f t="shared" si="7"/>
        <v>821235</v>
      </c>
      <c r="P74" s="156">
        <f t="shared" si="8"/>
        <v>132198304.125</v>
      </c>
    </row>
    <row r="75" spans="2:16" s="9" customFormat="1" ht="35.1" customHeight="1" x14ac:dyDescent="0.25">
      <c r="B75" s="23" t="s">
        <v>119</v>
      </c>
      <c r="C75" s="11" t="s">
        <v>120</v>
      </c>
      <c r="D75" s="10" t="s">
        <v>13</v>
      </c>
      <c r="E75" s="12">
        <v>79.69</v>
      </c>
      <c r="F75" s="126">
        <v>141317</v>
      </c>
      <c r="G75" s="126">
        <f t="shared" si="5"/>
        <v>11261551.73</v>
      </c>
      <c r="H75" s="8"/>
      <c r="I75" s="9" t="str">
        <f t="array" ref="I75:L75">_xlfn.XLOOKUP(C75,'Neiva 2021 FASE I UNIFICADO'!$C$6:$C$540,'Neiva 2021 FASE I UNIFICADO'!$C$6:$F$540,"NO ESTA")</f>
        <v>MURO EN LADRILLO GRAN FORMATO e= 0.12 m Ref. Tierra Ver. Planos Tipo Muro M-6</v>
      </c>
      <c r="J75" s="9" t="str">
        <v>M2</v>
      </c>
      <c r="K75" s="9">
        <v>79.69</v>
      </c>
      <c r="L75" s="9">
        <v>146012</v>
      </c>
      <c r="M75" s="124" t="str">
        <f t="shared" si="9"/>
        <v>FASE I</v>
      </c>
      <c r="N75" s="155">
        <f t="shared" si="6"/>
        <v>159.38</v>
      </c>
      <c r="O75" s="156">
        <f t="shared" si="7"/>
        <v>146012</v>
      </c>
      <c r="P75" s="156">
        <f t="shared" si="8"/>
        <v>23271392.559999999</v>
      </c>
    </row>
    <row r="76" spans="2:16" s="9" customFormat="1" ht="35.1" customHeight="1" x14ac:dyDescent="0.25">
      <c r="B76" s="23" t="s">
        <v>121</v>
      </c>
      <c r="C76" s="22" t="s">
        <v>122</v>
      </c>
      <c r="D76" s="23" t="s">
        <v>13</v>
      </c>
      <c r="E76" s="12">
        <v>21.32</v>
      </c>
      <c r="F76" s="126">
        <v>186538</v>
      </c>
      <c r="G76" s="126">
        <f t="shared" si="5"/>
        <v>3976990.16</v>
      </c>
      <c r="H76" s="8"/>
      <c r="I76" s="9" t="str">
        <f t="array" ref="I76:L76">_xlfn.XLOOKUP(C76,'Neiva 2021 FASE I UNIFICADO'!$C$6:$C$540,'Neiva 2021 FASE I UNIFICADO'!$C$6:$F$540,"NO ESTA")</f>
        <v xml:space="preserve">MURO EN LADRILLO GRAN FORMATO e= 0.25 m Ref. Tierra Ver. Planos Tipo Muro M-7 </v>
      </c>
      <c r="J76" s="9" t="str">
        <v>M2</v>
      </c>
      <c r="K76" s="9">
        <v>21.32</v>
      </c>
      <c r="L76" s="9">
        <v>292026</v>
      </c>
      <c r="M76" s="124" t="str">
        <f t="shared" si="9"/>
        <v>FASE I</v>
      </c>
      <c r="N76" s="155">
        <f t="shared" si="6"/>
        <v>42.64</v>
      </c>
      <c r="O76" s="156">
        <f t="shared" si="7"/>
        <v>292026</v>
      </c>
      <c r="P76" s="156">
        <f t="shared" si="8"/>
        <v>12451988.640000001</v>
      </c>
    </row>
    <row r="77" spans="2:16" s="9" customFormat="1" ht="35.1" customHeight="1" x14ac:dyDescent="0.25">
      <c r="B77" s="13" t="s">
        <v>123</v>
      </c>
      <c r="C77" s="24" t="s">
        <v>124</v>
      </c>
      <c r="D77" s="24"/>
      <c r="E77" s="15"/>
      <c r="F77" s="126">
        <v>0</v>
      </c>
      <c r="G77" s="126">
        <f t="shared" si="5"/>
        <v>0</v>
      </c>
      <c r="H77" s="8"/>
      <c r="I77" s="9" t="str">
        <f t="array" ref="I77:L77">_xlfn.XLOOKUP(C77,'Neiva 2021 FASE I UNIFICADO'!$C$6:$C$540,'Neiva 2021 FASE I UNIFICADO'!$C$6:$F$540,"NO ESTA")</f>
        <v>CONSTRUCCIÓN MUROS ARQUITECTONICOS EXTERIORES</v>
      </c>
      <c r="J77" s="9">
        <v>0</v>
      </c>
      <c r="K77" s="9">
        <v>0</v>
      </c>
      <c r="L77" s="9">
        <v>0</v>
      </c>
      <c r="M77" s="124">
        <f t="shared" si="9"/>
        <v>0</v>
      </c>
      <c r="N77" s="155">
        <f t="shared" si="6"/>
        <v>0</v>
      </c>
      <c r="O77" s="156">
        <f t="shared" si="7"/>
        <v>0</v>
      </c>
      <c r="P77" s="156">
        <f t="shared" si="8"/>
        <v>0</v>
      </c>
    </row>
    <row r="78" spans="2:16" s="9" customFormat="1" ht="35.1" customHeight="1" x14ac:dyDescent="0.25">
      <c r="B78" s="23" t="s">
        <v>125</v>
      </c>
      <c r="C78" s="11" t="s">
        <v>1079</v>
      </c>
      <c r="D78" s="10" t="s">
        <v>30</v>
      </c>
      <c r="E78" s="12">
        <v>0</v>
      </c>
      <c r="F78" s="126">
        <v>821235</v>
      </c>
      <c r="G78" s="126">
        <f t="shared" si="5"/>
        <v>0</v>
      </c>
      <c r="H78" s="8"/>
      <c r="I78" s="9" t="str">
        <f t="array" ref="I78">_xlfn.XLOOKUP(C78,'Neiva 2021 FASE I UNIFICADO'!$C$6:$C$540,'Neiva 2021 FASE I UNIFICADO'!$C$6:$F$540,"NO ESTA")</f>
        <v>NO ESTA</v>
      </c>
      <c r="M78" s="124">
        <f t="shared" si="9"/>
        <v>0</v>
      </c>
      <c r="N78" s="155">
        <f t="shared" si="6"/>
        <v>0</v>
      </c>
      <c r="O78" s="156">
        <f t="shared" si="7"/>
        <v>821235</v>
      </c>
      <c r="P78" s="156">
        <f t="shared" si="8"/>
        <v>0</v>
      </c>
    </row>
    <row r="79" spans="2:16" s="9" customFormat="1" ht="35.1" customHeight="1" x14ac:dyDescent="0.25">
      <c r="B79" s="23" t="s">
        <v>126</v>
      </c>
      <c r="C79" s="11" t="s">
        <v>1080</v>
      </c>
      <c r="D79" s="10" t="s">
        <v>30</v>
      </c>
      <c r="E79" s="12">
        <v>0</v>
      </c>
      <c r="F79" s="126">
        <v>821235</v>
      </c>
      <c r="G79" s="126">
        <f t="shared" si="5"/>
        <v>0</v>
      </c>
      <c r="H79" s="8"/>
      <c r="I79" s="9" t="str">
        <f t="array" ref="I79">_xlfn.XLOOKUP(C79,'Neiva 2021 FASE I UNIFICADO'!$C$6:$C$540,'Neiva 2021 FASE I UNIFICADO'!$C$6:$F$540,"NO ESTA")</f>
        <v>NO ESTA</v>
      </c>
      <c r="M79" s="124">
        <f t="shared" si="9"/>
        <v>0</v>
      </c>
      <c r="N79" s="155">
        <f t="shared" si="6"/>
        <v>0</v>
      </c>
      <c r="O79" s="156">
        <f t="shared" si="7"/>
        <v>821235</v>
      </c>
      <c r="P79" s="156">
        <f t="shared" si="8"/>
        <v>0</v>
      </c>
    </row>
    <row r="80" spans="2:16" s="9" customFormat="1" ht="35.1" customHeight="1" x14ac:dyDescent="0.25">
      <c r="B80" s="13" t="s">
        <v>127</v>
      </c>
      <c r="C80" s="14" t="s">
        <v>128</v>
      </c>
      <c r="D80" s="13"/>
      <c r="E80" s="15"/>
      <c r="F80" s="129"/>
      <c r="G80" s="140"/>
      <c r="H80" s="8"/>
      <c r="M80" s="124">
        <f t="shared" si="9"/>
        <v>0</v>
      </c>
      <c r="N80" s="155">
        <f t="shared" si="6"/>
        <v>0</v>
      </c>
      <c r="O80" s="156">
        <f t="shared" si="7"/>
        <v>0</v>
      </c>
      <c r="P80" s="156">
        <f t="shared" si="8"/>
        <v>0</v>
      </c>
    </row>
    <row r="81" spans="2:16" s="9" customFormat="1" ht="35.1" customHeight="1" x14ac:dyDescent="0.25">
      <c r="B81" s="23" t="s">
        <v>129</v>
      </c>
      <c r="C81" s="87" t="s">
        <v>130</v>
      </c>
      <c r="D81" s="10" t="s">
        <v>13</v>
      </c>
      <c r="E81" s="12">
        <v>91.915000000000006</v>
      </c>
      <c r="F81" s="126">
        <v>102358</v>
      </c>
      <c r="G81" s="126">
        <f t="shared" ref="G81:G86" si="10">ROUND(+F81*E81,2)</f>
        <v>9408235.5700000003</v>
      </c>
      <c r="H81" s="8"/>
      <c r="I81" s="9" t="str">
        <f t="array" ref="I81:L81">_xlfn.XLOOKUP(C81,'Neiva 2021 FASE I UNIFICADO'!$C$6:$C$540,'Neiva 2021 FASE I UNIFICADO'!$C$6:$F$540,"NO ESTA")</f>
        <v>ENCHAPE DE MURO BAÑOS PORCELANATO GRIS 30*40CM</v>
      </c>
      <c r="J81" s="9" t="str">
        <v>M2</v>
      </c>
      <c r="K81" s="9">
        <v>91.92</v>
      </c>
      <c r="L81" s="9">
        <v>105344</v>
      </c>
      <c r="M81" s="124" t="str">
        <f t="shared" si="9"/>
        <v>FASE I</v>
      </c>
      <c r="N81" s="155">
        <f t="shared" si="6"/>
        <v>183.83500000000001</v>
      </c>
      <c r="O81" s="156">
        <f t="shared" si="7"/>
        <v>105344</v>
      </c>
      <c r="P81" s="156">
        <f t="shared" si="8"/>
        <v>19365914.240000002</v>
      </c>
    </row>
    <row r="82" spans="2:16" s="9" customFormat="1" ht="35.1" customHeight="1" x14ac:dyDescent="0.25">
      <c r="B82" s="23" t="s">
        <v>131</v>
      </c>
      <c r="C82" s="87" t="s">
        <v>112</v>
      </c>
      <c r="D82" s="10" t="s">
        <v>30</v>
      </c>
      <c r="E82" s="12">
        <v>29.659999999999997</v>
      </c>
      <c r="F82" s="126">
        <v>821235</v>
      </c>
      <c r="G82" s="126">
        <f t="shared" si="10"/>
        <v>24357830.100000001</v>
      </c>
      <c r="H82" s="8"/>
      <c r="I82" s="9" t="str">
        <f t="array" ref="I82:L82">_xlfn.XLOOKUP(C82,'Neiva 2021 FASE I UNIFICADO'!$C$6:$C$540,'Neiva 2021 FASE I UNIFICADO'!$C$6:$F$540,"NO ESTA")</f>
        <v>MURO EN CONCRETO DE 4000 PSI e=0.15 m Ver. Planos Tipo Muro M-2</v>
      </c>
      <c r="J82" s="9" t="str">
        <v>M3</v>
      </c>
      <c r="K82" s="9">
        <v>11.33</v>
      </c>
      <c r="L82" s="9">
        <v>687672</v>
      </c>
      <c r="M82" s="124" t="str">
        <f t="shared" si="9"/>
        <v>FASE II</v>
      </c>
      <c r="N82" s="155">
        <f t="shared" si="6"/>
        <v>40.989999999999995</v>
      </c>
      <c r="O82" s="156">
        <f t="shared" si="7"/>
        <v>821235</v>
      </c>
      <c r="P82" s="156">
        <f t="shared" si="8"/>
        <v>33662422.649999999</v>
      </c>
    </row>
    <row r="83" spans="2:16" s="9" customFormat="1" ht="35.1" customHeight="1" x14ac:dyDescent="0.25">
      <c r="B83" s="23" t="s">
        <v>132</v>
      </c>
      <c r="C83" s="87" t="s">
        <v>114</v>
      </c>
      <c r="D83" s="10" t="s">
        <v>30</v>
      </c>
      <c r="E83" s="12">
        <v>8.76</v>
      </c>
      <c r="F83" s="126">
        <v>821235</v>
      </c>
      <c r="G83" s="126">
        <f t="shared" si="10"/>
        <v>7194018.5999999996</v>
      </c>
      <c r="H83" s="8"/>
      <c r="I83" s="9" t="str">
        <f t="array" ref="I83:L83">_xlfn.XLOOKUP(C83,'Neiva 2021 FASE I UNIFICADO'!$C$6:$C$540,'Neiva 2021 FASE I UNIFICADO'!$C$6:$F$540,"NO ESTA")</f>
        <v>MURO EN CONCRETO DE 4000 PSI e=0.25 m Ver. Planos Tipo Muro M-3</v>
      </c>
      <c r="J83" s="9" t="str">
        <v>M3</v>
      </c>
      <c r="K83" s="9">
        <v>95.6</v>
      </c>
      <c r="L83" s="9">
        <v>687672</v>
      </c>
      <c r="M83" s="124" t="str">
        <f t="shared" si="9"/>
        <v>FASE II</v>
      </c>
      <c r="N83" s="155">
        <f t="shared" si="6"/>
        <v>104.36</v>
      </c>
      <c r="O83" s="156">
        <f t="shared" si="7"/>
        <v>821235</v>
      </c>
      <c r="P83" s="156">
        <f t="shared" si="8"/>
        <v>85704084.599999994</v>
      </c>
    </row>
    <row r="84" spans="2:16" s="9" customFormat="1" ht="35.1" customHeight="1" x14ac:dyDescent="0.25">
      <c r="B84" s="23" t="s">
        <v>133</v>
      </c>
      <c r="C84" s="87" t="s">
        <v>118</v>
      </c>
      <c r="D84" s="10" t="s">
        <v>30</v>
      </c>
      <c r="E84" s="12">
        <v>54.390000000000008</v>
      </c>
      <c r="F84" s="126">
        <v>821235</v>
      </c>
      <c r="G84" s="126">
        <f t="shared" si="10"/>
        <v>44666971.649999999</v>
      </c>
      <c r="H84" s="8"/>
      <c r="I84" s="9" t="str">
        <f t="array" ref="I84:L84">_xlfn.XLOOKUP(C84,'Neiva 2021 FASE I UNIFICADO'!$C$6:$C$540,'Neiva 2021 FASE I UNIFICADO'!$C$6:$F$540,"NO ESTA")</f>
        <v>MURO EN CONCRETO DE 4000 PSI e=0.40 m Ver. Planos Tipo Muro M-5</v>
      </c>
      <c r="J84" s="9" t="str">
        <v>M3</v>
      </c>
      <c r="K84" s="9">
        <v>80.489999999999995</v>
      </c>
      <c r="L84" s="9">
        <v>687672</v>
      </c>
      <c r="M84" s="124" t="str">
        <f t="shared" si="9"/>
        <v>FASE II</v>
      </c>
      <c r="N84" s="155">
        <f t="shared" si="6"/>
        <v>134.88</v>
      </c>
      <c r="O84" s="156">
        <f t="shared" si="7"/>
        <v>821235</v>
      </c>
      <c r="P84" s="156">
        <f t="shared" si="8"/>
        <v>110768176.8</v>
      </c>
    </row>
    <row r="85" spans="2:16" s="9" customFormat="1" ht="35.1" customHeight="1" x14ac:dyDescent="0.25">
      <c r="B85" s="23" t="s">
        <v>135</v>
      </c>
      <c r="C85" s="87" t="s">
        <v>120</v>
      </c>
      <c r="D85" s="10" t="s">
        <v>13</v>
      </c>
      <c r="E85" s="12">
        <v>204.56</v>
      </c>
      <c r="F85" s="126">
        <v>141317</v>
      </c>
      <c r="G85" s="126">
        <f t="shared" si="10"/>
        <v>28907805.52</v>
      </c>
      <c r="H85" s="8"/>
      <c r="I85" s="9" t="str">
        <f t="array" ref="I85:L85">_xlfn.XLOOKUP(C85,'Neiva 2021 FASE I UNIFICADO'!$C$6:$C$540,'Neiva 2021 FASE I UNIFICADO'!$C$6:$F$540,"NO ESTA")</f>
        <v>MURO EN LADRILLO GRAN FORMATO e= 0.12 m Ref. Tierra Ver. Planos Tipo Muro M-6</v>
      </c>
      <c r="J85" s="9" t="str">
        <v>M2</v>
      </c>
      <c r="K85" s="9">
        <v>79.69</v>
      </c>
      <c r="L85" s="9">
        <v>146012</v>
      </c>
      <c r="M85" s="124" t="str">
        <f t="shared" si="9"/>
        <v>FASE I</v>
      </c>
      <c r="N85" s="155">
        <f t="shared" si="6"/>
        <v>284.25</v>
      </c>
      <c r="O85" s="156">
        <f t="shared" si="7"/>
        <v>146012</v>
      </c>
      <c r="P85" s="156">
        <f t="shared" si="8"/>
        <v>41503911</v>
      </c>
    </row>
    <row r="86" spans="2:16" s="9" customFormat="1" ht="35.1" customHeight="1" x14ac:dyDescent="0.25">
      <c r="B86" s="23" t="s">
        <v>136</v>
      </c>
      <c r="C86" s="87" t="s">
        <v>122</v>
      </c>
      <c r="D86" s="23" t="s">
        <v>13</v>
      </c>
      <c r="E86" s="12">
        <v>76.37</v>
      </c>
      <c r="F86" s="126">
        <v>186538</v>
      </c>
      <c r="G86" s="126">
        <f t="shared" si="10"/>
        <v>14245907.060000001</v>
      </c>
      <c r="H86" s="8"/>
      <c r="I86" s="9" t="str">
        <f t="array" ref="I86:L86">_xlfn.XLOOKUP(C86,'Neiva 2021 FASE I UNIFICADO'!$C$6:$C$540,'Neiva 2021 FASE I UNIFICADO'!$C$6:$F$540,"NO ESTA")</f>
        <v xml:space="preserve">MURO EN LADRILLO GRAN FORMATO e= 0.25 m Ref. Tierra Ver. Planos Tipo Muro M-7 </v>
      </c>
      <c r="J86" s="9" t="str">
        <v>M2</v>
      </c>
      <c r="K86" s="9">
        <v>21.32</v>
      </c>
      <c r="L86" s="9">
        <v>292026</v>
      </c>
      <c r="M86" s="124" t="str">
        <f t="shared" si="9"/>
        <v>FASE I</v>
      </c>
      <c r="N86" s="155">
        <f t="shared" si="6"/>
        <v>97.69</v>
      </c>
      <c r="O86" s="156">
        <f t="shared" si="7"/>
        <v>292026</v>
      </c>
      <c r="P86" s="156">
        <f t="shared" si="8"/>
        <v>28528019.939999998</v>
      </c>
    </row>
    <row r="87" spans="2:16" s="9" customFormat="1" ht="35.1" customHeight="1" x14ac:dyDescent="0.25">
      <c r="B87" s="13" t="s">
        <v>137</v>
      </c>
      <c r="C87" s="14" t="s">
        <v>138</v>
      </c>
      <c r="D87" s="13"/>
      <c r="E87" s="15"/>
      <c r="F87" s="129"/>
      <c r="G87" s="140"/>
      <c r="H87" s="8"/>
      <c r="M87" s="124">
        <f t="shared" si="9"/>
        <v>0</v>
      </c>
      <c r="N87" s="155">
        <f t="shared" si="6"/>
        <v>0</v>
      </c>
      <c r="O87" s="156">
        <f t="shared" si="7"/>
        <v>0</v>
      </c>
      <c r="P87" s="156">
        <f t="shared" si="8"/>
        <v>0</v>
      </c>
    </row>
    <row r="88" spans="2:16" s="9" customFormat="1" ht="35.1" customHeight="1" x14ac:dyDescent="0.25">
      <c r="B88" s="23" t="s">
        <v>139</v>
      </c>
      <c r="C88" s="87" t="s">
        <v>130</v>
      </c>
      <c r="D88" s="10" t="s">
        <v>13</v>
      </c>
      <c r="E88" s="12">
        <v>89.605000000000004</v>
      </c>
      <c r="F88" s="126">
        <v>102358</v>
      </c>
      <c r="G88" s="126">
        <f t="shared" ref="G88:G93" si="11">ROUND(+F88*E88,2)</f>
        <v>9171788.5899999999</v>
      </c>
      <c r="H88" s="8"/>
      <c r="I88" s="9" t="str">
        <f t="array" ref="I88:L88">_xlfn.XLOOKUP(C88,'Neiva 2021 FASE I UNIFICADO'!$C$6:$C$540,'Neiva 2021 FASE I UNIFICADO'!$C$6:$F$540,"NO ESTA")</f>
        <v>ENCHAPE DE MURO BAÑOS PORCELANATO GRIS 30*40CM</v>
      </c>
      <c r="J88" s="9" t="str">
        <v>M2</v>
      </c>
      <c r="K88" s="9">
        <v>91.92</v>
      </c>
      <c r="L88" s="9">
        <v>105344</v>
      </c>
      <c r="M88" s="124" t="str">
        <f t="shared" si="9"/>
        <v>FASE I</v>
      </c>
      <c r="N88" s="155">
        <f t="shared" si="6"/>
        <v>181.52500000000001</v>
      </c>
      <c r="O88" s="156">
        <f t="shared" si="7"/>
        <v>105344</v>
      </c>
      <c r="P88" s="156">
        <f t="shared" si="8"/>
        <v>19122569.600000001</v>
      </c>
    </row>
    <row r="89" spans="2:16" s="9" customFormat="1" ht="35.1" customHeight="1" x14ac:dyDescent="0.25">
      <c r="B89" s="23" t="s">
        <v>140</v>
      </c>
      <c r="C89" s="87" t="s">
        <v>112</v>
      </c>
      <c r="D89" s="10" t="s">
        <v>30</v>
      </c>
      <c r="E89" s="12">
        <v>1.1200000000000001</v>
      </c>
      <c r="F89" s="126">
        <v>821235</v>
      </c>
      <c r="G89" s="126">
        <f t="shared" si="11"/>
        <v>919783.2</v>
      </c>
      <c r="H89" s="8"/>
      <c r="I89" s="9" t="str">
        <f t="array" ref="I89:L89">_xlfn.XLOOKUP(C89,'Neiva 2021 FASE I UNIFICADO'!$C$6:$C$540,'Neiva 2021 FASE I UNIFICADO'!$C$6:$F$540,"NO ESTA")</f>
        <v>MURO EN CONCRETO DE 4000 PSI e=0.15 m Ver. Planos Tipo Muro M-2</v>
      </c>
      <c r="J89" s="9" t="str">
        <v>M3</v>
      </c>
      <c r="K89" s="9">
        <v>11.33</v>
      </c>
      <c r="L89" s="9">
        <v>687672</v>
      </c>
      <c r="M89" s="124" t="str">
        <f t="shared" si="9"/>
        <v>FASE II</v>
      </c>
      <c r="N89" s="155">
        <f t="shared" si="6"/>
        <v>12.45</v>
      </c>
      <c r="O89" s="156">
        <f t="shared" si="7"/>
        <v>821235</v>
      </c>
      <c r="P89" s="156">
        <f t="shared" si="8"/>
        <v>10224375.75</v>
      </c>
    </row>
    <row r="90" spans="2:16" s="9" customFormat="1" ht="35.1" customHeight="1" x14ac:dyDescent="0.25">
      <c r="B90" s="23" t="s">
        <v>141</v>
      </c>
      <c r="C90" s="87" t="s">
        <v>114</v>
      </c>
      <c r="D90" s="10" t="s">
        <v>30</v>
      </c>
      <c r="E90" s="12">
        <v>31.71</v>
      </c>
      <c r="F90" s="126">
        <v>821235</v>
      </c>
      <c r="G90" s="126">
        <f t="shared" si="11"/>
        <v>26041361.850000001</v>
      </c>
      <c r="H90" s="8"/>
      <c r="I90" s="9" t="str">
        <f t="array" ref="I90:L90">_xlfn.XLOOKUP(C90,'Neiva 2021 FASE I UNIFICADO'!$C$6:$C$540,'Neiva 2021 FASE I UNIFICADO'!$C$6:$F$540,"NO ESTA")</f>
        <v>MURO EN CONCRETO DE 4000 PSI e=0.25 m Ver. Planos Tipo Muro M-3</v>
      </c>
      <c r="J90" s="9" t="str">
        <v>M3</v>
      </c>
      <c r="K90" s="9">
        <v>95.6</v>
      </c>
      <c r="L90" s="9">
        <v>687672</v>
      </c>
      <c r="M90" s="124" t="str">
        <f t="shared" si="9"/>
        <v>FASE II</v>
      </c>
      <c r="N90" s="155">
        <f t="shared" si="6"/>
        <v>127.31</v>
      </c>
      <c r="O90" s="156">
        <f t="shared" si="7"/>
        <v>821235</v>
      </c>
      <c r="P90" s="156">
        <f t="shared" si="8"/>
        <v>104551427.85000001</v>
      </c>
    </row>
    <row r="91" spans="2:16" s="9" customFormat="1" ht="35.1" customHeight="1" x14ac:dyDescent="0.25">
      <c r="B91" s="23" t="s">
        <v>142</v>
      </c>
      <c r="C91" s="87" t="s">
        <v>118</v>
      </c>
      <c r="D91" s="10" t="s">
        <v>30</v>
      </c>
      <c r="E91" s="12">
        <v>81.89</v>
      </c>
      <c r="F91" s="126">
        <v>821235</v>
      </c>
      <c r="G91" s="126">
        <f t="shared" si="11"/>
        <v>67250934.150000006</v>
      </c>
      <c r="H91" s="8"/>
      <c r="I91" s="9" t="str">
        <f t="array" ref="I91:L91">_xlfn.XLOOKUP(C91,'Neiva 2021 FASE I UNIFICADO'!$C$6:$C$540,'Neiva 2021 FASE I UNIFICADO'!$C$6:$F$540,"NO ESTA")</f>
        <v>MURO EN CONCRETO DE 4000 PSI e=0.40 m Ver. Planos Tipo Muro M-5</v>
      </c>
      <c r="J91" s="9" t="str">
        <v>M3</v>
      </c>
      <c r="K91" s="9">
        <v>80.489999999999995</v>
      </c>
      <c r="L91" s="9">
        <v>687672</v>
      </c>
      <c r="M91" s="124" t="str">
        <f t="shared" si="9"/>
        <v>FASE II</v>
      </c>
      <c r="N91" s="155">
        <f t="shared" si="6"/>
        <v>162.38</v>
      </c>
      <c r="O91" s="156">
        <f t="shared" si="7"/>
        <v>821235</v>
      </c>
      <c r="P91" s="156">
        <f t="shared" si="8"/>
        <v>133352139.3</v>
      </c>
    </row>
    <row r="92" spans="2:16" s="9" customFormat="1" ht="35.1" customHeight="1" x14ac:dyDescent="0.25">
      <c r="B92" s="23" t="s">
        <v>143</v>
      </c>
      <c r="C92" s="87" t="s">
        <v>120</v>
      </c>
      <c r="D92" s="10" t="s">
        <v>13</v>
      </c>
      <c r="E92" s="12">
        <v>139.68</v>
      </c>
      <c r="F92" s="126">
        <v>141317</v>
      </c>
      <c r="G92" s="126">
        <f t="shared" si="11"/>
        <v>19739158.559999999</v>
      </c>
      <c r="H92" s="8"/>
      <c r="I92" s="9" t="str">
        <f t="array" ref="I92:L92">_xlfn.XLOOKUP(C92,'Neiva 2021 FASE I UNIFICADO'!$C$6:$C$540,'Neiva 2021 FASE I UNIFICADO'!$C$6:$F$540,"NO ESTA")</f>
        <v>MURO EN LADRILLO GRAN FORMATO e= 0.12 m Ref. Tierra Ver. Planos Tipo Muro M-6</v>
      </c>
      <c r="J92" s="9" t="str">
        <v>M2</v>
      </c>
      <c r="K92" s="9">
        <v>79.69</v>
      </c>
      <c r="L92" s="9">
        <v>146012</v>
      </c>
      <c r="M92" s="124" t="str">
        <f t="shared" si="9"/>
        <v>FASE I</v>
      </c>
      <c r="N92" s="155">
        <f t="shared" si="6"/>
        <v>219.37</v>
      </c>
      <c r="O92" s="156">
        <f t="shared" si="7"/>
        <v>146012</v>
      </c>
      <c r="P92" s="156">
        <f t="shared" si="8"/>
        <v>32030652.440000001</v>
      </c>
    </row>
    <row r="93" spans="2:16" s="9" customFormat="1" ht="35.1" customHeight="1" x14ac:dyDescent="0.25">
      <c r="B93" s="23" t="s">
        <v>144</v>
      </c>
      <c r="C93" s="87" t="s">
        <v>122</v>
      </c>
      <c r="D93" s="10" t="s">
        <v>13</v>
      </c>
      <c r="E93" s="12">
        <v>124.47</v>
      </c>
      <c r="F93" s="126">
        <v>186538</v>
      </c>
      <c r="G93" s="126">
        <f t="shared" si="11"/>
        <v>23218384.859999999</v>
      </c>
      <c r="H93" s="8"/>
      <c r="I93" s="9" t="str">
        <f t="array" ref="I93:L93">_xlfn.XLOOKUP(C93,'Neiva 2021 FASE I UNIFICADO'!$C$6:$C$540,'Neiva 2021 FASE I UNIFICADO'!$C$6:$F$540,"NO ESTA")</f>
        <v xml:space="preserve">MURO EN LADRILLO GRAN FORMATO e= 0.25 m Ref. Tierra Ver. Planos Tipo Muro M-7 </v>
      </c>
      <c r="J93" s="9" t="str">
        <v>M2</v>
      </c>
      <c r="K93" s="9">
        <v>21.32</v>
      </c>
      <c r="L93" s="9">
        <v>292026</v>
      </c>
      <c r="M93" s="124" t="str">
        <f t="shared" si="9"/>
        <v>FASE I</v>
      </c>
      <c r="N93" s="155">
        <f t="shared" si="6"/>
        <v>145.79</v>
      </c>
      <c r="O93" s="156">
        <f t="shared" si="7"/>
        <v>292026</v>
      </c>
      <c r="P93" s="156">
        <f t="shared" si="8"/>
        <v>42574470.539999999</v>
      </c>
    </row>
    <row r="94" spans="2:16" s="9" customFormat="1" ht="35.1" customHeight="1" x14ac:dyDescent="0.25">
      <c r="B94" s="13" t="s">
        <v>1081</v>
      </c>
      <c r="C94" s="14" t="s">
        <v>1082</v>
      </c>
      <c r="D94" s="13"/>
      <c r="E94" s="15"/>
      <c r="F94" s="129"/>
      <c r="G94" s="140"/>
      <c r="H94" s="8"/>
      <c r="I94" s="9" t="str">
        <f t="array" ref="I94">_xlfn.XLOOKUP(C94,'Neiva 2021 FASE I UNIFICADO'!$C$6:$C$540,'Neiva 2021 FASE I UNIFICADO'!$C$6:$F$540,"NO ESTA")</f>
        <v>NO ESTA</v>
      </c>
      <c r="M94" s="124">
        <f t="shared" si="9"/>
        <v>0</v>
      </c>
      <c r="N94" s="155">
        <f t="shared" si="6"/>
        <v>0</v>
      </c>
      <c r="O94" s="156">
        <f t="shared" si="7"/>
        <v>0</v>
      </c>
      <c r="P94" s="156">
        <f t="shared" si="8"/>
        <v>0</v>
      </c>
    </row>
    <row r="95" spans="2:16" s="9" customFormat="1" ht="35.1" customHeight="1" x14ac:dyDescent="0.25">
      <c r="B95" s="23" t="s">
        <v>1083</v>
      </c>
      <c r="C95" s="87" t="s">
        <v>130</v>
      </c>
      <c r="D95" s="23" t="s">
        <v>13</v>
      </c>
      <c r="E95" s="12">
        <v>179.21</v>
      </c>
      <c r="F95" s="126">
        <v>102358</v>
      </c>
      <c r="G95" s="126">
        <f t="shared" ref="G95:G100" si="12">ROUND(+F95*E95,2)</f>
        <v>18343577.18</v>
      </c>
      <c r="H95" s="8"/>
      <c r="I95" s="9" t="str">
        <f t="array" ref="I95:L95">_xlfn.XLOOKUP(C95,'Neiva 2021 FASE I UNIFICADO'!$C$6:$C$540,'Neiva 2021 FASE I UNIFICADO'!$C$6:$F$540,"NO ESTA")</f>
        <v>ENCHAPE DE MURO BAÑOS PORCELANATO GRIS 30*40CM</v>
      </c>
      <c r="J95" s="9" t="str">
        <v>M2</v>
      </c>
      <c r="K95" s="9">
        <v>91.92</v>
      </c>
      <c r="L95" s="9">
        <v>105344</v>
      </c>
      <c r="M95" s="124" t="str">
        <f t="shared" si="9"/>
        <v>FASE I</v>
      </c>
      <c r="N95" s="155">
        <f t="shared" si="6"/>
        <v>271.13</v>
      </c>
      <c r="O95" s="156">
        <f t="shared" si="7"/>
        <v>105344</v>
      </c>
      <c r="P95" s="156">
        <f t="shared" si="8"/>
        <v>28561918.719999999</v>
      </c>
    </row>
    <row r="96" spans="2:16" s="9" customFormat="1" ht="35.1" customHeight="1" x14ac:dyDescent="0.25">
      <c r="B96" s="23" t="s">
        <v>1084</v>
      </c>
      <c r="C96" s="87" t="s">
        <v>112</v>
      </c>
      <c r="D96" s="23" t="s">
        <v>30</v>
      </c>
      <c r="E96" s="12">
        <v>1.45</v>
      </c>
      <c r="F96" s="126">
        <v>821235</v>
      </c>
      <c r="G96" s="126">
        <f t="shared" si="12"/>
        <v>1190790.75</v>
      </c>
      <c r="H96" s="8"/>
      <c r="I96" s="9" t="str">
        <f t="array" ref="I96:L96">_xlfn.XLOOKUP(C96,'Neiva 2021 FASE I UNIFICADO'!$C$6:$C$540,'Neiva 2021 FASE I UNIFICADO'!$C$6:$F$540,"NO ESTA")</f>
        <v>MURO EN CONCRETO DE 4000 PSI e=0.15 m Ver. Planos Tipo Muro M-2</v>
      </c>
      <c r="J96" s="9" t="str">
        <v>M3</v>
      </c>
      <c r="K96" s="9">
        <v>11.33</v>
      </c>
      <c r="L96" s="9">
        <v>687672</v>
      </c>
      <c r="M96" s="124" t="str">
        <f t="shared" si="9"/>
        <v>FASE II</v>
      </c>
      <c r="N96" s="155">
        <f t="shared" si="6"/>
        <v>12.78</v>
      </c>
      <c r="O96" s="156">
        <f t="shared" si="7"/>
        <v>821235</v>
      </c>
      <c r="P96" s="156">
        <f t="shared" si="8"/>
        <v>10495383.299999999</v>
      </c>
    </row>
    <row r="97" spans="2:16" s="9" customFormat="1" ht="35.1" customHeight="1" x14ac:dyDescent="0.25">
      <c r="B97" s="23" t="s">
        <v>1085</v>
      </c>
      <c r="C97" s="87" t="s">
        <v>114</v>
      </c>
      <c r="D97" s="23" t="s">
        <v>30</v>
      </c>
      <c r="E97" s="12">
        <v>31.54</v>
      </c>
      <c r="F97" s="126">
        <v>821235</v>
      </c>
      <c r="G97" s="126">
        <f t="shared" si="12"/>
        <v>25901751.899999999</v>
      </c>
      <c r="H97" s="8"/>
      <c r="I97" s="9" t="str">
        <f t="array" ref="I97:L97">_xlfn.XLOOKUP(C97,'Neiva 2021 FASE I UNIFICADO'!$C$6:$C$540,'Neiva 2021 FASE I UNIFICADO'!$C$6:$F$540,"NO ESTA")</f>
        <v>MURO EN CONCRETO DE 4000 PSI e=0.25 m Ver. Planos Tipo Muro M-3</v>
      </c>
      <c r="J97" s="9" t="str">
        <v>M3</v>
      </c>
      <c r="K97" s="9">
        <v>95.6</v>
      </c>
      <c r="L97" s="9">
        <v>687672</v>
      </c>
      <c r="M97" s="124" t="str">
        <f t="shared" si="9"/>
        <v>FASE II</v>
      </c>
      <c r="N97" s="155">
        <f t="shared" si="6"/>
        <v>127.13999999999999</v>
      </c>
      <c r="O97" s="156">
        <f t="shared" si="7"/>
        <v>821235</v>
      </c>
      <c r="P97" s="156">
        <f t="shared" si="8"/>
        <v>104411817.89999999</v>
      </c>
    </row>
    <row r="98" spans="2:16" s="9" customFormat="1" ht="35.1" customHeight="1" x14ac:dyDescent="0.25">
      <c r="B98" s="23" t="s">
        <v>1086</v>
      </c>
      <c r="C98" s="87" t="s">
        <v>118</v>
      </c>
      <c r="D98" s="23" t="s">
        <v>30</v>
      </c>
      <c r="E98" s="12">
        <v>69.08</v>
      </c>
      <c r="F98" s="126">
        <v>821235</v>
      </c>
      <c r="G98" s="126">
        <f t="shared" si="12"/>
        <v>56730913.799999997</v>
      </c>
      <c r="H98" s="8"/>
      <c r="I98" s="9" t="str">
        <f t="array" ref="I98:L98">_xlfn.XLOOKUP(C98,'Neiva 2021 FASE I UNIFICADO'!$C$6:$C$540,'Neiva 2021 FASE I UNIFICADO'!$C$6:$F$540,"NO ESTA")</f>
        <v>MURO EN CONCRETO DE 4000 PSI e=0.40 m Ver. Planos Tipo Muro M-5</v>
      </c>
      <c r="J98" s="9" t="str">
        <v>M3</v>
      </c>
      <c r="K98" s="9">
        <v>80.489999999999995</v>
      </c>
      <c r="L98" s="9">
        <v>687672</v>
      </c>
      <c r="M98" s="124" t="str">
        <f t="shared" si="9"/>
        <v>FASE II</v>
      </c>
      <c r="N98" s="155">
        <f t="shared" si="6"/>
        <v>149.57</v>
      </c>
      <c r="O98" s="156">
        <f t="shared" si="7"/>
        <v>821235</v>
      </c>
      <c r="P98" s="156">
        <f t="shared" si="8"/>
        <v>122832118.94999999</v>
      </c>
    </row>
    <row r="99" spans="2:16" s="9" customFormat="1" ht="35.1" customHeight="1" x14ac:dyDescent="0.25">
      <c r="B99" s="23" t="s">
        <v>1087</v>
      </c>
      <c r="C99" s="87" t="s">
        <v>120</v>
      </c>
      <c r="D99" s="23" t="s">
        <v>13</v>
      </c>
      <c r="E99" s="12">
        <v>276.55</v>
      </c>
      <c r="F99" s="126">
        <v>157768</v>
      </c>
      <c r="G99" s="126">
        <f t="shared" si="12"/>
        <v>43630740.399999999</v>
      </c>
      <c r="H99" s="8"/>
      <c r="I99" s="9" t="str">
        <f t="array" ref="I99:L99">_xlfn.XLOOKUP(C99,'Neiva 2021 FASE I UNIFICADO'!$C$6:$C$540,'Neiva 2021 FASE I UNIFICADO'!$C$6:$F$540,"NO ESTA")</f>
        <v>MURO EN LADRILLO GRAN FORMATO e= 0.12 m Ref. Tierra Ver. Planos Tipo Muro M-6</v>
      </c>
      <c r="J99" s="9" t="str">
        <v>M2</v>
      </c>
      <c r="K99" s="9">
        <v>79.69</v>
      </c>
      <c r="L99" s="9">
        <v>146012</v>
      </c>
      <c r="M99" s="124" t="str">
        <f t="shared" si="9"/>
        <v>FASE II</v>
      </c>
      <c r="N99" s="155">
        <f t="shared" si="6"/>
        <v>356.24</v>
      </c>
      <c r="O99" s="156">
        <f t="shared" si="7"/>
        <v>157768</v>
      </c>
      <c r="P99" s="156">
        <f t="shared" si="8"/>
        <v>56203272.32</v>
      </c>
    </row>
    <row r="100" spans="2:16" s="9" customFormat="1" ht="35.1" customHeight="1" x14ac:dyDescent="0.25">
      <c r="B100" s="23" t="s">
        <v>1088</v>
      </c>
      <c r="C100" s="87" t="s">
        <v>122</v>
      </c>
      <c r="D100" s="23" t="s">
        <v>13</v>
      </c>
      <c r="E100" s="12">
        <v>132.12</v>
      </c>
      <c r="F100" s="126">
        <v>315534</v>
      </c>
      <c r="G100" s="126">
        <f t="shared" si="12"/>
        <v>41688352.079999998</v>
      </c>
      <c r="H100" s="8"/>
      <c r="I100" s="9" t="str">
        <f t="array" ref="I100:L100">_xlfn.XLOOKUP(C100,'Neiva 2021 FASE I UNIFICADO'!$C$6:$C$540,'Neiva 2021 FASE I UNIFICADO'!$C$6:$F$540,"NO ESTA")</f>
        <v xml:space="preserve">MURO EN LADRILLO GRAN FORMATO e= 0.25 m Ref. Tierra Ver. Planos Tipo Muro M-7 </v>
      </c>
      <c r="J100" s="9" t="str">
        <v>M2</v>
      </c>
      <c r="K100" s="9">
        <v>21.32</v>
      </c>
      <c r="L100" s="9">
        <v>292026</v>
      </c>
      <c r="M100" s="124" t="str">
        <f t="shared" si="9"/>
        <v>FASE II</v>
      </c>
      <c r="N100" s="155">
        <f t="shared" si="6"/>
        <v>153.44</v>
      </c>
      <c r="O100" s="156">
        <f t="shared" si="7"/>
        <v>315534</v>
      </c>
      <c r="P100" s="156">
        <f t="shared" si="8"/>
        <v>48415536.960000001</v>
      </c>
    </row>
    <row r="101" spans="2:16" s="9" customFormat="1" ht="35.1" customHeight="1" x14ac:dyDescent="0.25">
      <c r="B101" s="13" t="s">
        <v>1089</v>
      </c>
      <c r="C101" s="14" t="s">
        <v>1090</v>
      </c>
      <c r="D101" s="13"/>
      <c r="E101" s="15"/>
      <c r="F101" s="129"/>
      <c r="G101" s="140"/>
      <c r="H101" s="8"/>
      <c r="I101" s="9" t="str">
        <f t="array" ref="I101">_xlfn.XLOOKUP(C101,'Neiva 2021 FASE I UNIFICADO'!$C$6:$C$540,'Neiva 2021 FASE I UNIFICADO'!$C$6:$F$540,"NO ESTA")</f>
        <v>NO ESTA</v>
      </c>
      <c r="M101" s="124">
        <f t="shared" si="9"/>
        <v>0</v>
      </c>
      <c r="N101" s="155">
        <f t="shared" si="6"/>
        <v>0</v>
      </c>
      <c r="O101" s="156">
        <f t="shared" si="7"/>
        <v>0</v>
      </c>
      <c r="P101" s="156">
        <f t="shared" si="8"/>
        <v>0</v>
      </c>
    </row>
    <row r="102" spans="2:16" s="9" customFormat="1" ht="35.1" customHeight="1" x14ac:dyDescent="0.25">
      <c r="B102" s="10" t="s">
        <v>1091</v>
      </c>
      <c r="C102" s="87" t="s">
        <v>130</v>
      </c>
      <c r="D102" s="10" t="s">
        <v>13</v>
      </c>
      <c r="E102" s="12">
        <v>142.06</v>
      </c>
      <c r="F102" s="126">
        <v>102358</v>
      </c>
      <c r="G102" s="126">
        <f t="shared" ref="G102:G107" si="13">ROUND(+F102*E102,2)</f>
        <v>14540977.48</v>
      </c>
      <c r="H102" s="8"/>
      <c r="I102" s="9" t="str">
        <f t="array" ref="I102:L102">_xlfn.XLOOKUP(C102,'Neiva 2021 FASE I UNIFICADO'!$C$6:$C$540,'Neiva 2021 FASE I UNIFICADO'!$C$6:$F$540,"NO ESTA")</f>
        <v>ENCHAPE DE MURO BAÑOS PORCELANATO GRIS 30*40CM</v>
      </c>
      <c r="J102" s="9" t="str">
        <v>M2</v>
      </c>
      <c r="K102" s="9">
        <v>91.92</v>
      </c>
      <c r="L102" s="9">
        <v>105344</v>
      </c>
      <c r="M102" s="124" t="str">
        <f t="shared" si="9"/>
        <v>FASE I</v>
      </c>
      <c r="N102" s="155">
        <f t="shared" si="6"/>
        <v>233.98000000000002</v>
      </c>
      <c r="O102" s="156">
        <f t="shared" si="7"/>
        <v>105344</v>
      </c>
      <c r="P102" s="156">
        <f t="shared" si="8"/>
        <v>24648389.120000001</v>
      </c>
    </row>
    <row r="103" spans="2:16" s="9" customFormat="1" ht="35.1" customHeight="1" x14ac:dyDescent="0.25">
      <c r="B103" s="10" t="s">
        <v>1092</v>
      </c>
      <c r="C103" s="87" t="s">
        <v>112</v>
      </c>
      <c r="D103" s="10" t="s">
        <v>30</v>
      </c>
      <c r="E103" s="12">
        <v>1.25</v>
      </c>
      <c r="F103" s="126">
        <v>821235</v>
      </c>
      <c r="G103" s="126">
        <f t="shared" si="13"/>
        <v>1026543.75</v>
      </c>
      <c r="H103" s="8"/>
      <c r="I103" s="9" t="str">
        <f t="array" ref="I103:L103">_xlfn.XLOOKUP(C103,'Neiva 2021 FASE I UNIFICADO'!$C$6:$C$540,'Neiva 2021 FASE I UNIFICADO'!$C$6:$F$540,"NO ESTA")</f>
        <v>MURO EN CONCRETO DE 4000 PSI e=0.15 m Ver. Planos Tipo Muro M-2</v>
      </c>
      <c r="J103" s="9" t="str">
        <v>M3</v>
      </c>
      <c r="K103" s="9">
        <v>11.33</v>
      </c>
      <c r="L103" s="9">
        <v>687672</v>
      </c>
      <c r="M103" s="124" t="str">
        <f t="shared" si="9"/>
        <v>FASE II</v>
      </c>
      <c r="N103" s="155">
        <f t="shared" si="6"/>
        <v>12.58</v>
      </c>
      <c r="O103" s="156">
        <f t="shared" si="7"/>
        <v>821235</v>
      </c>
      <c r="P103" s="156">
        <f t="shared" si="8"/>
        <v>10331136.300000001</v>
      </c>
    </row>
    <row r="104" spans="2:16" s="9" customFormat="1" ht="35.1" customHeight="1" x14ac:dyDescent="0.25">
      <c r="B104" s="10" t="s">
        <v>1093</v>
      </c>
      <c r="C104" s="87" t="s">
        <v>114</v>
      </c>
      <c r="D104" s="10" t="s">
        <v>30</v>
      </c>
      <c r="E104" s="12">
        <v>27.45</v>
      </c>
      <c r="F104" s="126">
        <v>821235</v>
      </c>
      <c r="G104" s="126">
        <f t="shared" si="13"/>
        <v>22542900.75</v>
      </c>
      <c r="H104" s="8"/>
      <c r="I104" s="9" t="str">
        <f t="array" ref="I104:L104">_xlfn.XLOOKUP(C104,'Neiva 2021 FASE I UNIFICADO'!$C$6:$C$540,'Neiva 2021 FASE I UNIFICADO'!$C$6:$F$540,"NO ESTA")</f>
        <v>MURO EN CONCRETO DE 4000 PSI e=0.25 m Ver. Planos Tipo Muro M-3</v>
      </c>
      <c r="J104" s="9" t="str">
        <v>M3</v>
      </c>
      <c r="K104" s="9">
        <v>95.6</v>
      </c>
      <c r="L104" s="9">
        <v>687672</v>
      </c>
      <c r="M104" s="124" t="str">
        <f t="shared" si="9"/>
        <v>FASE II</v>
      </c>
      <c r="N104" s="155">
        <f t="shared" si="6"/>
        <v>123.05</v>
      </c>
      <c r="O104" s="156">
        <f t="shared" si="7"/>
        <v>821235</v>
      </c>
      <c r="P104" s="156">
        <f t="shared" si="8"/>
        <v>101052966.75</v>
      </c>
    </row>
    <row r="105" spans="2:16" s="9" customFormat="1" ht="35.1" customHeight="1" x14ac:dyDescent="0.25">
      <c r="B105" s="10" t="s">
        <v>1094</v>
      </c>
      <c r="C105" s="87" t="s">
        <v>118</v>
      </c>
      <c r="D105" s="10" t="s">
        <v>30</v>
      </c>
      <c r="E105" s="12">
        <v>14.01</v>
      </c>
      <c r="F105" s="126">
        <v>821235</v>
      </c>
      <c r="G105" s="126">
        <f t="shared" si="13"/>
        <v>11505502.35</v>
      </c>
      <c r="H105" s="8"/>
      <c r="I105" s="9" t="str">
        <f t="array" ref="I105:L105">_xlfn.XLOOKUP(C105,'Neiva 2021 FASE I UNIFICADO'!$C$6:$C$540,'Neiva 2021 FASE I UNIFICADO'!$C$6:$F$540,"NO ESTA")</f>
        <v>MURO EN CONCRETO DE 4000 PSI e=0.40 m Ver. Planos Tipo Muro M-5</v>
      </c>
      <c r="J105" s="9" t="str">
        <v>M3</v>
      </c>
      <c r="K105" s="9">
        <v>80.489999999999995</v>
      </c>
      <c r="L105" s="9">
        <v>687672</v>
      </c>
      <c r="M105" s="124" t="str">
        <f t="shared" si="9"/>
        <v>FASE II</v>
      </c>
      <c r="N105" s="155">
        <f t="shared" si="6"/>
        <v>94.5</v>
      </c>
      <c r="O105" s="156">
        <f t="shared" si="7"/>
        <v>821235</v>
      </c>
      <c r="P105" s="156">
        <f t="shared" si="8"/>
        <v>77606707.5</v>
      </c>
    </row>
    <row r="106" spans="2:16" s="9" customFormat="1" ht="35.1" customHeight="1" x14ac:dyDescent="0.25">
      <c r="B106" s="10" t="s">
        <v>1095</v>
      </c>
      <c r="C106" s="87" t="s">
        <v>120</v>
      </c>
      <c r="D106" s="10" t="s">
        <v>13</v>
      </c>
      <c r="E106" s="12">
        <v>316.99</v>
      </c>
      <c r="F106" s="126">
        <v>157768</v>
      </c>
      <c r="G106" s="126">
        <f t="shared" si="13"/>
        <v>50010878.32</v>
      </c>
      <c r="H106" s="8"/>
      <c r="I106" s="9" t="str">
        <f t="array" ref="I106:L106">_xlfn.XLOOKUP(C106,'Neiva 2021 FASE I UNIFICADO'!$C$6:$C$540,'Neiva 2021 FASE I UNIFICADO'!$C$6:$F$540,"NO ESTA")</f>
        <v>MURO EN LADRILLO GRAN FORMATO e= 0.12 m Ref. Tierra Ver. Planos Tipo Muro M-6</v>
      </c>
      <c r="J106" s="9" t="str">
        <v>M2</v>
      </c>
      <c r="K106" s="9">
        <v>79.69</v>
      </c>
      <c r="L106" s="9">
        <v>146012</v>
      </c>
      <c r="M106" s="124" t="str">
        <f t="shared" si="9"/>
        <v>FASE II</v>
      </c>
      <c r="N106" s="155">
        <f t="shared" si="6"/>
        <v>396.68</v>
      </c>
      <c r="O106" s="156">
        <f t="shared" si="7"/>
        <v>157768</v>
      </c>
      <c r="P106" s="156">
        <f t="shared" si="8"/>
        <v>62583410.240000002</v>
      </c>
    </row>
    <row r="107" spans="2:16" s="9" customFormat="1" ht="35.1" customHeight="1" x14ac:dyDescent="0.25">
      <c r="B107" s="10" t="s">
        <v>1096</v>
      </c>
      <c r="C107" s="87" t="s">
        <v>122</v>
      </c>
      <c r="D107" s="10" t="s">
        <v>13</v>
      </c>
      <c r="E107" s="12">
        <v>112.85</v>
      </c>
      <c r="F107" s="126">
        <v>315534</v>
      </c>
      <c r="G107" s="126">
        <f t="shared" si="13"/>
        <v>35608011.899999999</v>
      </c>
      <c r="H107" s="8"/>
      <c r="I107" s="9" t="str">
        <f t="array" ref="I107:L107">_xlfn.XLOOKUP(C107,'Neiva 2021 FASE I UNIFICADO'!$C$6:$C$540,'Neiva 2021 FASE I UNIFICADO'!$C$6:$F$540,"NO ESTA")</f>
        <v xml:space="preserve">MURO EN LADRILLO GRAN FORMATO e= 0.25 m Ref. Tierra Ver. Planos Tipo Muro M-7 </v>
      </c>
      <c r="J107" s="9" t="str">
        <v>M2</v>
      </c>
      <c r="K107" s="9">
        <v>21.32</v>
      </c>
      <c r="L107" s="9">
        <v>292026</v>
      </c>
      <c r="M107" s="124" t="str">
        <f t="shared" si="9"/>
        <v>FASE II</v>
      </c>
      <c r="N107" s="155">
        <f t="shared" si="6"/>
        <v>134.16999999999999</v>
      </c>
      <c r="O107" s="156">
        <f t="shared" si="7"/>
        <v>315534</v>
      </c>
      <c r="P107" s="156">
        <f t="shared" si="8"/>
        <v>42335196.779999994</v>
      </c>
    </row>
    <row r="108" spans="2:16" s="9" customFormat="1" ht="35.1" customHeight="1" x14ac:dyDescent="0.25">
      <c r="B108" s="13" t="s">
        <v>1097</v>
      </c>
      <c r="C108" s="14" t="s">
        <v>1098</v>
      </c>
      <c r="D108" s="13"/>
      <c r="E108" s="15"/>
      <c r="F108" s="129"/>
      <c r="G108" s="140"/>
      <c r="H108" s="8"/>
      <c r="I108" s="9" t="str">
        <f t="array" ref="I108">_xlfn.XLOOKUP(C108,'Neiva 2021 FASE I UNIFICADO'!$C$6:$C$540,'Neiva 2021 FASE I UNIFICADO'!$C$6:$F$540,"NO ESTA")</f>
        <v>NO ESTA</v>
      </c>
      <c r="M108" s="124">
        <f t="shared" si="9"/>
        <v>0</v>
      </c>
      <c r="N108" s="155">
        <f t="shared" si="6"/>
        <v>0</v>
      </c>
      <c r="O108" s="156">
        <f t="shared" si="7"/>
        <v>0</v>
      </c>
      <c r="P108" s="156">
        <f t="shared" si="8"/>
        <v>0</v>
      </c>
    </row>
    <row r="109" spans="2:16" s="9" customFormat="1" ht="35.1" customHeight="1" x14ac:dyDescent="0.25">
      <c r="B109" s="10" t="s">
        <v>1099</v>
      </c>
      <c r="C109" s="11" t="s">
        <v>1100</v>
      </c>
      <c r="D109" s="10" t="s">
        <v>13</v>
      </c>
      <c r="E109" s="12">
        <v>94.59</v>
      </c>
      <c r="F109" s="126">
        <v>54150</v>
      </c>
      <c r="G109" s="126">
        <f>ROUND(+F109*E109,2)</f>
        <v>5122048.5</v>
      </c>
      <c r="H109" s="8"/>
      <c r="I109" s="9" t="str">
        <f t="array" ref="I109">_xlfn.XLOOKUP(C109,'Neiva 2021 FASE I UNIFICADO'!$C$6:$C$540,'Neiva 2021 FASE I UNIFICADO'!$C$6:$F$540,"NO ESTA")</f>
        <v>NO ESTA</v>
      </c>
      <c r="M109" s="124">
        <f t="shared" si="9"/>
        <v>0</v>
      </c>
      <c r="N109" s="155">
        <f t="shared" si="6"/>
        <v>94.59</v>
      </c>
      <c r="O109" s="156">
        <f t="shared" si="7"/>
        <v>54150</v>
      </c>
      <c r="P109" s="156">
        <f t="shared" si="8"/>
        <v>5122048.5</v>
      </c>
    </row>
    <row r="110" spans="2:16" s="9" customFormat="1" ht="35.1" customHeight="1" x14ac:dyDescent="0.25">
      <c r="B110" s="10" t="s">
        <v>1101</v>
      </c>
      <c r="C110" s="87" t="s">
        <v>112</v>
      </c>
      <c r="D110" s="10" t="s">
        <v>30</v>
      </c>
      <c r="E110" s="12">
        <v>26.75</v>
      </c>
      <c r="F110" s="126">
        <v>821235</v>
      </c>
      <c r="G110" s="126">
        <f>ROUND(+F110*E110,2)</f>
        <v>21968036.25</v>
      </c>
      <c r="H110" s="8"/>
      <c r="I110" s="9" t="str">
        <f t="array" ref="I110:L110">_xlfn.XLOOKUP(C110,'Neiva 2021 FASE I UNIFICADO'!$C$6:$C$540,'Neiva 2021 FASE I UNIFICADO'!$C$6:$F$540,"NO ESTA")</f>
        <v>MURO EN CONCRETO DE 4000 PSI e=0.15 m Ver. Planos Tipo Muro M-2</v>
      </c>
      <c r="J110" s="9" t="str">
        <v>M3</v>
      </c>
      <c r="K110" s="9">
        <v>11.33</v>
      </c>
      <c r="L110" s="9">
        <v>687672</v>
      </c>
      <c r="M110" s="124" t="str">
        <f t="shared" si="9"/>
        <v>FASE II</v>
      </c>
      <c r="N110" s="155">
        <f t="shared" si="6"/>
        <v>38.08</v>
      </c>
      <c r="O110" s="156">
        <f t="shared" si="7"/>
        <v>821235</v>
      </c>
      <c r="P110" s="156">
        <f t="shared" si="8"/>
        <v>31272628.799999997</v>
      </c>
    </row>
    <row r="111" spans="2:16" s="9" customFormat="1" ht="35.1" customHeight="1" x14ac:dyDescent="0.25">
      <c r="B111" s="10" t="s">
        <v>1102</v>
      </c>
      <c r="C111" s="87" t="s">
        <v>114</v>
      </c>
      <c r="D111" s="10" t="s">
        <v>30</v>
      </c>
      <c r="E111" s="12">
        <v>33.22</v>
      </c>
      <c r="F111" s="126">
        <v>821235</v>
      </c>
      <c r="G111" s="126">
        <f>ROUND(+F111*E111,2)</f>
        <v>27281426.699999999</v>
      </c>
      <c r="H111" s="8"/>
      <c r="I111" s="9" t="str">
        <f t="array" ref="I111:L111">_xlfn.XLOOKUP(C111,'Neiva 2021 FASE I UNIFICADO'!$C$6:$C$540,'Neiva 2021 FASE I UNIFICADO'!$C$6:$F$540,"NO ESTA")</f>
        <v>MURO EN CONCRETO DE 4000 PSI e=0.25 m Ver. Planos Tipo Muro M-3</v>
      </c>
      <c r="J111" s="9" t="str">
        <v>M3</v>
      </c>
      <c r="K111" s="9">
        <v>95.6</v>
      </c>
      <c r="L111" s="9">
        <v>687672</v>
      </c>
      <c r="M111" s="124" t="str">
        <f t="shared" si="9"/>
        <v>FASE II</v>
      </c>
      <c r="N111" s="155">
        <f t="shared" si="6"/>
        <v>128.82</v>
      </c>
      <c r="O111" s="156">
        <f t="shared" si="7"/>
        <v>821235</v>
      </c>
      <c r="P111" s="156">
        <f t="shared" si="8"/>
        <v>105791492.69999999</v>
      </c>
    </row>
    <row r="112" spans="2:16" s="9" customFormat="1" ht="35.1" customHeight="1" x14ac:dyDescent="0.25">
      <c r="B112" s="33">
        <v>6</v>
      </c>
      <c r="C112" s="34" t="s">
        <v>145</v>
      </c>
      <c r="D112" s="34"/>
      <c r="E112" s="35"/>
      <c r="F112" s="132"/>
      <c r="G112" s="142"/>
      <c r="H112" s="8"/>
      <c r="M112" s="124">
        <f t="shared" si="9"/>
        <v>0</v>
      </c>
      <c r="N112" s="155">
        <f t="shared" si="6"/>
        <v>0</v>
      </c>
      <c r="O112" s="156">
        <f t="shared" si="7"/>
        <v>0</v>
      </c>
      <c r="P112" s="156">
        <f t="shared" si="8"/>
        <v>0</v>
      </c>
    </row>
    <row r="113" spans="2:16" s="9" customFormat="1" ht="35.1" customHeight="1" x14ac:dyDescent="0.25">
      <c r="B113" s="13" t="s">
        <v>146</v>
      </c>
      <c r="C113" s="14" t="s">
        <v>147</v>
      </c>
      <c r="D113" s="13"/>
      <c r="E113" s="15"/>
      <c r="F113" s="126">
        <v>0</v>
      </c>
      <c r="G113" s="126">
        <f>ROUND(+F113*E113,2)</f>
        <v>0</v>
      </c>
      <c r="H113" s="8"/>
      <c r="I113" s="9" t="str">
        <f t="array" ref="I113:L113">_xlfn.XLOOKUP(C113,'Neiva 2021 FASE I UNIFICADO'!$C$6:$C$540,'Neiva 2021 FASE I UNIFICADO'!$C$6:$F$540,"NO ESTA")</f>
        <v>SUMINISTRO E INSTALACIÓN PISOS SEMISOTANO</v>
      </c>
      <c r="J113" s="9">
        <v>0</v>
      </c>
      <c r="K113" s="9">
        <v>0</v>
      </c>
      <c r="L113" s="9">
        <v>0</v>
      </c>
      <c r="M113" s="124">
        <f t="shared" si="9"/>
        <v>0</v>
      </c>
      <c r="N113" s="155">
        <f t="shared" si="6"/>
        <v>0</v>
      </c>
      <c r="O113" s="156">
        <f t="shared" si="7"/>
        <v>0</v>
      </c>
      <c r="P113" s="156">
        <f t="shared" si="8"/>
        <v>0</v>
      </c>
    </row>
    <row r="114" spans="2:16" s="9" customFormat="1" ht="35.1" customHeight="1" x14ac:dyDescent="0.25">
      <c r="B114" s="23" t="s">
        <v>148</v>
      </c>
      <c r="C114" s="22" t="s">
        <v>149</v>
      </c>
      <c r="D114" s="23" t="s">
        <v>13</v>
      </c>
      <c r="E114" s="12">
        <v>0</v>
      </c>
      <c r="F114" s="126">
        <v>89287</v>
      </c>
      <c r="G114" s="126">
        <f>ROUND(+F114*E114,2)</f>
        <v>0</v>
      </c>
      <c r="H114" s="8"/>
      <c r="I114" s="9" t="str">
        <f t="array" ref="I114:L114">_xlfn.XLOOKUP(C114,'Neiva 2021 FASE I UNIFICADO'!$C$6:$C$540,'Neiva 2021 FASE I UNIFICADO'!$C$6:$F$540,"NO ESTA")</f>
        <v xml:space="preserve">ANDEN INTERNO EN CONCRETO DE 2500 PSI CON ACABADO CEMENTO PULIDO Ref. Planos 03318 </v>
      </c>
      <c r="J114" s="9" t="str">
        <v>M2</v>
      </c>
      <c r="K114" s="9">
        <v>457.19</v>
      </c>
      <c r="L114" s="9">
        <v>89579</v>
      </c>
      <c r="M114" s="124" t="str">
        <f t="shared" si="9"/>
        <v>FASE I</v>
      </c>
      <c r="N114" s="155">
        <f t="shared" si="6"/>
        <v>457.19</v>
      </c>
      <c r="O114" s="156">
        <f t="shared" si="7"/>
        <v>89579</v>
      </c>
      <c r="P114" s="156">
        <f t="shared" si="8"/>
        <v>40954623.009999998</v>
      </c>
    </row>
    <row r="115" spans="2:16" s="9" customFormat="1" ht="35.1" customHeight="1" x14ac:dyDescent="0.25">
      <c r="B115" s="23" t="s">
        <v>150</v>
      </c>
      <c r="C115" s="22" t="s">
        <v>151</v>
      </c>
      <c r="D115" s="23" t="s">
        <v>13</v>
      </c>
      <c r="E115" s="12">
        <v>0</v>
      </c>
      <c r="F115" s="126">
        <v>8211</v>
      </c>
      <c r="G115" s="126">
        <f>ROUND(+F115*E115,2)</f>
        <v>0</v>
      </c>
      <c r="H115" s="8"/>
      <c r="I115" s="9" t="str">
        <f t="array" ref="I115:L115">_xlfn.XLOOKUP(C115,'Neiva 2021 FASE I UNIFICADO'!$C$6:$C$540,'Neiva 2021 FASE I UNIFICADO'!$C$6:$F$540,"NO ESTA")</f>
        <v>ACABADO DE PISO DE CONCRETO GRIS PULIDO   Ref. Planos 09650-1</v>
      </c>
      <c r="J115" s="9" t="str">
        <v>M2</v>
      </c>
      <c r="K115" s="9">
        <v>1963.08</v>
      </c>
      <c r="L115" s="9">
        <v>7314</v>
      </c>
      <c r="M115" s="124" t="str">
        <f t="shared" si="9"/>
        <v>FASE II</v>
      </c>
      <c r="N115" s="155">
        <f t="shared" si="6"/>
        <v>1963.08</v>
      </c>
      <c r="O115" s="156">
        <f t="shared" si="7"/>
        <v>8211</v>
      </c>
      <c r="P115" s="156">
        <f t="shared" si="8"/>
        <v>16118849.879999999</v>
      </c>
    </row>
    <row r="116" spans="2:16" s="9" customFormat="1" ht="35.1" customHeight="1" x14ac:dyDescent="0.25">
      <c r="B116" s="10" t="s">
        <v>152</v>
      </c>
      <c r="C116" s="11" t="s">
        <v>153</v>
      </c>
      <c r="D116" s="10" t="s">
        <v>13</v>
      </c>
      <c r="E116" s="12">
        <v>0</v>
      </c>
      <c r="F116" s="126">
        <v>108210</v>
      </c>
      <c r="G116" s="126">
        <f>ROUND(+F116*E116,2)</f>
        <v>0</v>
      </c>
      <c r="H116" s="8"/>
      <c r="I116" s="9" t="str">
        <f t="array" ref="I116:L116">_xlfn.XLOOKUP(C116,'Neiva 2021 FASE I UNIFICADO'!$C$6:$C$540,'Neiva 2021 FASE I UNIFICADO'!$C$6:$F$540,"NO ESTA")</f>
        <v>SUMINISTRO E INSTALACION PISO TABLETA ZONAS COMUNES Incluye ALISTADO Referencia  ALFA 30 X 30 HUILA Ref. Planos 09610.1</v>
      </c>
      <c r="J116" s="9" t="str">
        <v>M2</v>
      </c>
      <c r="K116" s="9">
        <v>1.4</v>
      </c>
      <c r="L116" s="9">
        <v>102488</v>
      </c>
      <c r="M116" s="124" t="str">
        <f t="shared" si="9"/>
        <v>FASE II</v>
      </c>
      <c r="N116" s="155">
        <f t="shared" si="6"/>
        <v>1.4</v>
      </c>
      <c r="O116" s="156">
        <f t="shared" si="7"/>
        <v>108210</v>
      </c>
      <c r="P116" s="156">
        <f t="shared" si="8"/>
        <v>151494</v>
      </c>
    </row>
    <row r="117" spans="2:16" s="9" customFormat="1" ht="35.1" customHeight="1" x14ac:dyDescent="0.25">
      <c r="B117" s="13" t="s">
        <v>154</v>
      </c>
      <c r="C117" s="24" t="s">
        <v>155</v>
      </c>
      <c r="D117" s="24"/>
      <c r="E117" s="15"/>
      <c r="F117" s="129"/>
      <c r="G117" s="140"/>
      <c r="H117" s="8"/>
      <c r="M117" s="124">
        <f t="shared" si="9"/>
        <v>0</v>
      </c>
      <c r="N117" s="155">
        <f t="shared" si="6"/>
        <v>0</v>
      </c>
      <c r="O117" s="156">
        <f t="shared" si="7"/>
        <v>0</v>
      </c>
      <c r="P117" s="156">
        <f t="shared" si="8"/>
        <v>0</v>
      </c>
    </row>
    <row r="118" spans="2:16" s="9" customFormat="1" ht="35.1" customHeight="1" x14ac:dyDescent="0.25">
      <c r="B118" s="23" t="s">
        <v>156</v>
      </c>
      <c r="C118" s="22" t="s">
        <v>157</v>
      </c>
      <c r="D118" s="23" t="s">
        <v>13</v>
      </c>
      <c r="E118" s="12">
        <v>1832.0720000000001</v>
      </c>
      <c r="F118" s="126">
        <v>91697</v>
      </c>
      <c r="G118" s="126">
        <f>ROUND(+F118*E118,2)</f>
        <v>167995506.18000001</v>
      </c>
      <c r="H118" s="8"/>
      <c r="I118" s="9" t="str">
        <f t="array" ref="I118:L118">_xlfn.XLOOKUP(C118,'Neiva 2021 FASE I UNIFICADO'!$C$6:$C$540,'Neiva 2021 FASE I UNIFICADO'!$C$6:$F$540,"NO ESTA")</f>
        <v>SUMINISTRO E INSTALACION ANDEN EN LOSETA PREFABRICADA Referencia A50  GRIS 40 X 40 incluye alistadio - (Especificación Cartilla Andenes IDU-2011)</v>
      </c>
      <c r="J118" s="9" t="str">
        <v>M2</v>
      </c>
      <c r="K118" s="9">
        <v>45.8</v>
      </c>
      <c r="L118" s="9">
        <v>84865</v>
      </c>
      <c r="M118" s="124" t="str">
        <f t="shared" si="9"/>
        <v>FASE II</v>
      </c>
      <c r="N118" s="155">
        <f t="shared" si="6"/>
        <v>1877.8720000000001</v>
      </c>
      <c r="O118" s="156">
        <f t="shared" si="7"/>
        <v>91697</v>
      </c>
      <c r="P118" s="156">
        <f t="shared" si="8"/>
        <v>172195228.78400001</v>
      </c>
    </row>
    <row r="119" spans="2:16" s="9" customFormat="1" ht="35.1" customHeight="1" x14ac:dyDescent="0.25">
      <c r="B119" s="23" t="s">
        <v>158</v>
      </c>
      <c r="C119" s="22" t="s">
        <v>159</v>
      </c>
      <c r="D119" s="23" t="s">
        <v>13</v>
      </c>
      <c r="E119" s="12">
        <v>183.66400000000002</v>
      </c>
      <c r="F119" s="126">
        <v>96306</v>
      </c>
      <c r="G119" s="126">
        <f>ROUND(+F119*E119,2)</f>
        <v>17687945.18</v>
      </c>
      <c r="H119" s="8"/>
      <c r="I119" s="9" t="str">
        <f t="array" ref="I119:L119">_xlfn.XLOOKUP(C119,'Neiva 2021 FASE I UNIFICADO'!$C$6:$C$540,'Neiva 2021 FASE I UNIFICADO'!$C$6:$F$540,"NO ESTA")</f>
        <v>SUMINISTRO E INSTALACION JARDIN Ref. Planos A2900 (Incluye material aislante, impermeabilizante, tierra, abonos y plantas ornamentales)</v>
      </c>
      <c r="J119" s="9" t="str">
        <v>M2</v>
      </c>
      <c r="K119" s="9">
        <v>4.59</v>
      </c>
      <c r="L119" s="9">
        <v>89130</v>
      </c>
      <c r="M119" s="124" t="str">
        <f t="shared" si="9"/>
        <v>FASE II</v>
      </c>
      <c r="N119" s="155">
        <f t="shared" si="6"/>
        <v>188.25400000000002</v>
      </c>
      <c r="O119" s="156">
        <f t="shared" si="7"/>
        <v>96306</v>
      </c>
      <c r="P119" s="156">
        <f t="shared" si="8"/>
        <v>18129989.724000003</v>
      </c>
    </row>
    <row r="120" spans="2:16" s="9" customFormat="1" ht="35.1" customHeight="1" x14ac:dyDescent="0.25">
      <c r="B120" s="13" t="s">
        <v>160</v>
      </c>
      <c r="C120" s="24" t="s">
        <v>161</v>
      </c>
      <c r="D120" s="24"/>
      <c r="E120" s="15"/>
      <c r="F120" s="129"/>
      <c r="G120" s="140"/>
      <c r="H120" s="8"/>
      <c r="M120" s="124">
        <f t="shared" si="9"/>
        <v>0</v>
      </c>
      <c r="N120" s="155">
        <f t="shared" si="6"/>
        <v>0</v>
      </c>
      <c r="O120" s="156">
        <f t="shared" si="7"/>
        <v>0</v>
      </c>
      <c r="P120" s="156">
        <f t="shared" si="8"/>
        <v>0</v>
      </c>
    </row>
    <row r="121" spans="2:16" s="9" customFormat="1" ht="35.1" customHeight="1" x14ac:dyDescent="0.25">
      <c r="B121" s="23" t="s">
        <v>162</v>
      </c>
      <c r="C121" s="22" t="s">
        <v>153</v>
      </c>
      <c r="D121" s="23" t="s">
        <v>13</v>
      </c>
      <c r="E121" s="12">
        <v>513.95999999999992</v>
      </c>
      <c r="F121" s="126">
        <v>108210</v>
      </c>
      <c r="G121" s="126">
        <f>ROUND(+F121*E121,2)</f>
        <v>55615611.600000001</v>
      </c>
      <c r="H121" s="8"/>
      <c r="I121" s="9" t="str">
        <f t="array" ref="I121:L121">_xlfn.XLOOKUP(C121,'Neiva 2021 FASE I UNIFICADO'!$C$6:$C$540,'Neiva 2021 FASE I UNIFICADO'!$C$6:$F$540,"NO ESTA")</f>
        <v>SUMINISTRO E INSTALACION PISO TABLETA ZONAS COMUNES Incluye ALISTADO Referencia  ALFA 30 X 30 HUILA Ref. Planos 09610.1</v>
      </c>
      <c r="J121" s="9" t="str">
        <v>M2</v>
      </c>
      <c r="K121" s="9">
        <v>1.4</v>
      </c>
      <c r="L121" s="9">
        <v>102488</v>
      </c>
      <c r="M121" s="124" t="str">
        <f t="shared" si="9"/>
        <v>FASE II</v>
      </c>
      <c r="N121" s="155">
        <f t="shared" si="6"/>
        <v>515.3599999999999</v>
      </c>
      <c r="O121" s="156">
        <f t="shared" si="7"/>
        <v>108210</v>
      </c>
      <c r="P121" s="156">
        <f t="shared" si="8"/>
        <v>55767105.599999987</v>
      </c>
    </row>
    <row r="122" spans="2:16" s="9" customFormat="1" ht="35.1" customHeight="1" x14ac:dyDescent="0.25">
      <c r="B122" s="23" t="s">
        <v>163</v>
      </c>
      <c r="C122" s="22" t="s">
        <v>164</v>
      </c>
      <c r="D122" s="23" t="s">
        <v>13</v>
      </c>
      <c r="E122" s="12">
        <v>230.83</v>
      </c>
      <c r="F122" s="126">
        <v>70614</v>
      </c>
      <c r="G122" s="126">
        <f>ROUND(+F122*E122,2)</f>
        <v>16299829.619999999</v>
      </c>
      <c r="H122" s="8"/>
      <c r="I122" s="9" t="str">
        <f t="array" ref="I122:L122">_xlfn.XLOOKUP(C122,'Neiva 2021 FASE I UNIFICADO'!$C$6:$C$540,'Neiva 2021 FASE I UNIFICADO'!$C$6:$F$540,"NO ESTA")</f>
        <v>SUMINISTRO E INSTALACION PISO LOSETA PREFABRICADA GRIS Referencia A30 DE 40X60 - (Especificación Cartilla Andenes IDU-2011)  Ref. Planos 09620.8</v>
      </c>
      <c r="J122" s="9" t="str">
        <v>M2</v>
      </c>
      <c r="K122" s="9">
        <v>576.27</v>
      </c>
      <c r="L122" s="9">
        <v>67225</v>
      </c>
      <c r="M122" s="124" t="str">
        <f t="shared" si="9"/>
        <v>FASE II</v>
      </c>
      <c r="N122" s="155">
        <f t="shared" si="6"/>
        <v>807.1</v>
      </c>
      <c r="O122" s="156">
        <f t="shared" si="7"/>
        <v>70614</v>
      </c>
      <c r="P122" s="156">
        <f t="shared" si="8"/>
        <v>56992559.399999999</v>
      </c>
    </row>
    <row r="123" spans="2:16" s="9" customFormat="1" ht="35.1" customHeight="1" x14ac:dyDescent="0.25">
      <c r="B123" s="23" t="s">
        <v>165</v>
      </c>
      <c r="C123" s="22" t="s">
        <v>166</v>
      </c>
      <c r="D123" s="23" t="s">
        <v>13</v>
      </c>
      <c r="E123" s="12">
        <v>11.069999999999999</v>
      </c>
      <c r="F123" s="126">
        <v>47066</v>
      </c>
      <c r="G123" s="126">
        <f>ROUND(+F123*E123,2)</f>
        <v>521020.62</v>
      </c>
      <c r="H123" s="8"/>
      <c r="I123" s="9" t="str">
        <f t="array" ref="I123:L123">_xlfn.XLOOKUP(C123,'Neiva 2021 FASE I UNIFICADO'!$C$6:$C$540,'Neiva 2021 FASE I UNIFICADO'!$C$6:$F$540,"NO ESTA")</f>
        <v>SUMINISTRO E INSTALACION PISO EN VINILO GRIS TARIMA Ref. Planos 09650.1</v>
      </c>
      <c r="J123" s="9" t="str">
        <v>M2</v>
      </c>
      <c r="K123" s="9">
        <v>33.11</v>
      </c>
      <c r="L123" s="9">
        <v>45103</v>
      </c>
      <c r="M123" s="124" t="str">
        <f t="shared" si="9"/>
        <v>FASE II</v>
      </c>
      <c r="N123" s="155">
        <f t="shared" si="6"/>
        <v>44.18</v>
      </c>
      <c r="O123" s="156">
        <f t="shared" si="7"/>
        <v>47066</v>
      </c>
      <c r="P123" s="156">
        <f t="shared" si="8"/>
        <v>2079375.88</v>
      </c>
    </row>
    <row r="124" spans="2:16" s="9" customFormat="1" ht="35.1" customHeight="1" x14ac:dyDescent="0.25">
      <c r="B124" s="23" t="s">
        <v>167</v>
      </c>
      <c r="C124" s="22" t="s">
        <v>168</v>
      </c>
      <c r="D124" s="23" t="s">
        <v>13</v>
      </c>
      <c r="E124" s="12">
        <v>12.31</v>
      </c>
      <c r="F124" s="126">
        <v>102069</v>
      </c>
      <c r="G124" s="126">
        <f>ROUND(+F124*E124,2)</f>
        <v>1256469.3899999999</v>
      </c>
      <c r="H124" s="8"/>
      <c r="I124" s="9" t="str">
        <f t="array" ref="I124:L124">_xlfn.XLOOKUP(C124,'Neiva 2021 FASE I UNIFICADO'!$C$6:$C$540,'Neiva 2021 FASE I UNIFICADO'!$C$6:$F$540,"NO ESTA")</f>
        <v>SUMINISTRO E INSTALACION PISO EN ALFOMBRA Referencia TRAFICO PESADO Ref. Planos 09680.A1</v>
      </c>
      <c r="J124" s="9" t="str">
        <v>M2</v>
      </c>
      <c r="K124" s="9">
        <v>297.04000000000002</v>
      </c>
      <c r="L124" s="9">
        <v>97000</v>
      </c>
      <c r="M124" s="124" t="str">
        <f t="shared" si="9"/>
        <v>FASE II</v>
      </c>
      <c r="N124" s="155">
        <f t="shared" si="6"/>
        <v>309.35000000000002</v>
      </c>
      <c r="O124" s="156">
        <f t="shared" si="7"/>
        <v>102069</v>
      </c>
      <c r="P124" s="156">
        <f t="shared" si="8"/>
        <v>31575045.150000002</v>
      </c>
    </row>
    <row r="125" spans="2:16" s="9" customFormat="1" ht="35.1" customHeight="1" x14ac:dyDescent="0.25">
      <c r="B125" s="23" t="s">
        <v>169</v>
      </c>
      <c r="C125" s="22" t="s">
        <v>159</v>
      </c>
      <c r="D125" s="23" t="s">
        <v>13</v>
      </c>
      <c r="E125" s="12">
        <v>106.58</v>
      </c>
      <c r="F125" s="126">
        <v>92820</v>
      </c>
      <c r="G125" s="126">
        <f>ROUND(+F125*E125,2)</f>
        <v>9892755.5999999996</v>
      </c>
      <c r="H125" s="8"/>
      <c r="I125" s="9" t="str">
        <f t="array" ref="I125:L125">_xlfn.XLOOKUP(C125,'Neiva 2021 FASE I UNIFICADO'!$C$6:$C$540,'Neiva 2021 FASE I UNIFICADO'!$C$6:$F$540,"NO ESTA")</f>
        <v>SUMINISTRO E INSTALACION JARDIN Ref. Planos A2900 (Incluye material aislante, impermeabilizante, tierra, abonos y plantas ornamentales)</v>
      </c>
      <c r="J125" s="9" t="str">
        <v>M2</v>
      </c>
      <c r="K125" s="9">
        <v>4.59</v>
      </c>
      <c r="L125" s="9">
        <v>89130</v>
      </c>
      <c r="M125" s="124" t="str">
        <f t="shared" si="9"/>
        <v>FASE II</v>
      </c>
      <c r="N125" s="155">
        <f t="shared" si="6"/>
        <v>111.17</v>
      </c>
      <c r="O125" s="156">
        <f t="shared" si="7"/>
        <v>92820</v>
      </c>
      <c r="P125" s="156">
        <f t="shared" si="8"/>
        <v>10318799.4</v>
      </c>
    </row>
    <row r="126" spans="2:16" s="9" customFormat="1" ht="35.1" customHeight="1" x14ac:dyDescent="0.25">
      <c r="B126" s="36" t="s">
        <v>170</v>
      </c>
      <c r="C126" s="37" t="s">
        <v>171</v>
      </c>
      <c r="D126" s="38"/>
      <c r="E126" s="39"/>
      <c r="F126" s="129"/>
      <c r="G126" s="140"/>
      <c r="H126" s="8"/>
      <c r="M126" s="124">
        <f t="shared" si="9"/>
        <v>0</v>
      </c>
      <c r="N126" s="155">
        <f t="shared" si="6"/>
        <v>0</v>
      </c>
      <c r="O126" s="156">
        <f t="shared" si="7"/>
        <v>0</v>
      </c>
      <c r="P126" s="156">
        <f t="shared" si="8"/>
        <v>0</v>
      </c>
    </row>
    <row r="127" spans="2:16" s="9" customFormat="1" ht="35.1" customHeight="1" x14ac:dyDescent="0.25">
      <c r="B127" s="23" t="s">
        <v>172</v>
      </c>
      <c r="C127" s="22" t="s">
        <v>153</v>
      </c>
      <c r="D127" s="23" t="s">
        <v>13</v>
      </c>
      <c r="E127" s="12">
        <v>482.95999999999992</v>
      </c>
      <c r="F127" s="126">
        <v>108210</v>
      </c>
      <c r="G127" s="126">
        <f>ROUND(+F127*E127,2)</f>
        <v>52261101.600000001</v>
      </c>
      <c r="H127" s="8"/>
      <c r="I127" s="9" t="str">
        <f t="array" ref="I127:L127">_xlfn.XLOOKUP(C127,'Neiva 2021 FASE I UNIFICADO'!$C$6:$C$540,'Neiva 2021 FASE I UNIFICADO'!$C$6:$F$540,"NO ESTA")</f>
        <v>SUMINISTRO E INSTALACION PISO TABLETA ZONAS COMUNES Incluye ALISTADO Referencia  ALFA 30 X 30 HUILA Ref. Planos 09610.1</v>
      </c>
      <c r="J127" s="9" t="str">
        <v>M2</v>
      </c>
      <c r="K127" s="9">
        <v>1.4</v>
      </c>
      <c r="L127" s="9">
        <v>102488</v>
      </c>
      <c r="M127" s="124" t="str">
        <f t="shared" si="9"/>
        <v>FASE II</v>
      </c>
      <c r="N127" s="155">
        <f t="shared" si="6"/>
        <v>484.3599999999999</v>
      </c>
      <c r="O127" s="156">
        <f t="shared" si="7"/>
        <v>108210</v>
      </c>
      <c r="P127" s="156">
        <f t="shared" si="8"/>
        <v>52412595.599999987</v>
      </c>
    </row>
    <row r="128" spans="2:16" s="9" customFormat="1" ht="35.1" customHeight="1" x14ac:dyDescent="0.25">
      <c r="B128" s="23" t="s">
        <v>173</v>
      </c>
      <c r="C128" s="22" t="s">
        <v>164</v>
      </c>
      <c r="D128" s="23" t="s">
        <v>13</v>
      </c>
      <c r="E128" s="12">
        <v>80.070000000000007</v>
      </c>
      <c r="F128" s="126">
        <v>70614</v>
      </c>
      <c r="G128" s="126">
        <f>ROUND(+F128*E128,2)</f>
        <v>5654062.9800000004</v>
      </c>
      <c r="H128" s="8"/>
      <c r="I128" s="9" t="str">
        <f t="array" ref="I128:L128">_xlfn.XLOOKUP(C128,'Neiva 2021 FASE I UNIFICADO'!$C$6:$C$540,'Neiva 2021 FASE I UNIFICADO'!$C$6:$F$540,"NO ESTA")</f>
        <v>SUMINISTRO E INSTALACION PISO LOSETA PREFABRICADA GRIS Referencia A30 DE 40X60 - (Especificación Cartilla Andenes IDU-2011)  Ref. Planos 09620.8</v>
      </c>
      <c r="J128" s="9" t="str">
        <v>M2</v>
      </c>
      <c r="K128" s="9">
        <v>576.27</v>
      </c>
      <c r="L128" s="9">
        <v>67225</v>
      </c>
      <c r="M128" s="124" t="str">
        <f t="shared" si="9"/>
        <v>FASE II</v>
      </c>
      <c r="N128" s="155">
        <f t="shared" si="6"/>
        <v>656.34</v>
      </c>
      <c r="O128" s="156">
        <f t="shared" si="7"/>
        <v>70614</v>
      </c>
      <c r="P128" s="156">
        <f t="shared" si="8"/>
        <v>46346792.760000005</v>
      </c>
    </row>
    <row r="129" spans="2:16" s="9" customFormat="1" ht="35.1" customHeight="1" x14ac:dyDescent="0.25">
      <c r="B129" s="23" t="s">
        <v>174</v>
      </c>
      <c r="C129" s="22" t="s">
        <v>159</v>
      </c>
      <c r="D129" s="23" t="s">
        <v>13</v>
      </c>
      <c r="E129" s="12">
        <v>52.37</v>
      </c>
      <c r="F129" s="126">
        <v>92820</v>
      </c>
      <c r="G129" s="126">
        <f>ROUND(+F129*E129,2)</f>
        <v>4860983.4000000004</v>
      </c>
      <c r="H129" s="8"/>
      <c r="I129" s="9" t="str">
        <f t="array" ref="I129:L129">_xlfn.XLOOKUP(C129,'Neiva 2021 FASE I UNIFICADO'!$C$6:$C$540,'Neiva 2021 FASE I UNIFICADO'!$C$6:$F$540,"NO ESTA")</f>
        <v>SUMINISTRO E INSTALACION JARDIN Ref. Planos A2900 (Incluye material aislante, impermeabilizante, tierra, abonos y plantas ornamentales)</v>
      </c>
      <c r="J129" s="9" t="str">
        <v>M2</v>
      </c>
      <c r="K129" s="9">
        <v>4.59</v>
      </c>
      <c r="L129" s="9">
        <v>89130</v>
      </c>
      <c r="M129" s="124" t="str">
        <f t="shared" si="9"/>
        <v>FASE II</v>
      </c>
      <c r="N129" s="155">
        <f t="shared" si="6"/>
        <v>56.959999999999994</v>
      </c>
      <c r="O129" s="156">
        <f t="shared" si="7"/>
        <v>92820</v>
      </c>
      <c r="P129" s="156">
        <f t="shared" si="8"/>
        <v>5287027.1999999993</v>
      </c>
    </row>
    <row r="130" spans="2:16" s="9" customFormat="1" ht="35.1" customHeight="1" x14ac:dyDescent="0.25">
      <c r="B130" s="13" t="s">
        <v>1103</v>
      </c>
      <c r="C130" s="14" t="s">
        <v>1104</v>
      </c>
      <c r="D130" s="27"/>
      <c r="E130" s="15"/>
      <c r="F130" s="129"/>
      <c r="G130" s="140"/>
      <c r="H130" s="8"/>
      <c r="I130" s="9" t="str">
        <f t="array" ref="I130">_xlfn.XLOOKUP(C130,'Neiva 2021 FASE I UNIFICADO'!$C$6:$C$540,'Neiva 2021 FASE I UNIFICADO'!$C$6:$F$540,"NO ESTA")</f>
        <v>NO ESTA</v>
      </c>
      <c r="M130" s="124">
        <f t="shared" si="9"/>
        <v>0</v>
      </c>
      <c r="N130" s="155">
        <f t="shared" si="6"/>
        <v>0</v>
      </c>
      <c r="O130" s="156">
        <f t="shared" si="7"/>
        <v>0</v>
      </c>
      <c r="P130" s="156">
        <f t="shared" si="8"/>
        <v>0</v>
      </c>
    </row>
    <row r="131" spans="2:16" s="9" customFormat="1" ht="35.1" customHeight="1" x14ac:dyDescent="0.25">
      <c r="B131" s="23" t="s">
        <v>1105</v>
      </c>
      <c r="C131" s="22" t="s">
        <v>153</v>
      </c>
      <c r="D131" s="23" t="s">
        <v>13</v>
      </c>
      <c r="E131" s="12">
        <v>1159.8800000000001</v>
      </c>
      <c r="F131" s="126">
        <v>121544</v>
      </c>
      <c r="G131" s="126">
        <f>ROUND(+F131*E131,2)</f>
        <v>140976454.72</v>
      </c>
      <c r="H131" s="8"/>
      <c r="I131" s="9" t="str">
        <f t="array" ref="I131:L131">_xlfn.XLOOKUP(C131,'Neiva 2021 FASE I UNIFICADO'!$C$6:$C$540,'Neiva 2021 FASE I UNIFICADO'!$C$6:$F$540,"NO ESTA")</f>
        <v>SUMINISTRO E INSTALACION PISO TABLETA ZONAS COMUNES Incluye ALISTADO Referencia  ALFA 30 X 30 HUILA Ref. Planos 09610.1</v>
      </c>
      <c r="J131" s="9" t="str">
        <v>M2</v>
      </c>
      <c r="K131" s="9">
        <v>1.4</v>
      </c>
      <c r="L131" s="9">
        <v>102488</v>
      </c>
      <c r="M131" s="124" t="str">
        <f t="shared" si="9"/>
        <v>FASE II</v>
      </c>
      <c r="N131" s="155">
        <f t="shared" si="6"/>
        <v>1161.2800000000002</v>
      </c>
      <c r="O131" s="156">
        <f t="shared" si="7"/>
        <v>121544</v>
      </c>
      <c r="P131" s="156">
        <f t="shared" si="8"/>
        <v>141146616.32000002</v>
      </c>
    </row>
    <row r="132" spans="2:16" s="9" customFormat="1" ht="35.1" customHeight="1" x14ac:dyDescent="0.25">
      <c r="B132" s="23" t="s">
        <v>1106</v>
      </c>
      <c r="C132" s="22" t="s">
        <v>164</v>
      </c>
      <c r="D132" s="23" t="s">
        <v>13</v>
      </c>
      <c r="E132" s="12">
        <v>53.48</v>
      </c>
      <c r="F132" s="126">
        <v>70614</v>
      </c>
      <c r="G132" s="126">
        <f>ROUND(+F132*E132,2)</f>
        <v>3776436.72</v>
      </c>
      <c r="H132" s="8"/>
      <c r="I132" s="9" t="str">
        <f t="array" ref="I132:L132">_xlfn.XLOOKUP(C132,'Neiva 2021 FASE I UNIFICADO'!$C$6:$C$540,'Neiva 2021 FASE I UNIFICADO'!$C$6:$F$540,"NO ESTA")</f>
        <v>SUMINISTRO E INSTALACION PISO LOSETA PREFABRICADA GRIS Referencia A30 DE 40X60 - (Especificación Cartilla Andenes IDU-2011)  Ref. Planos 09620.8</v>
      </c>
      <c r="J132" s="9" t="str">
        <v>M2</v>
      </c>
      <c r="K132" s="9">
        <v>576.27</v>
      </c>
      <c r="L132" s="9">
        <v>67225</v>
      </c>
      <c r="M132" s="124" t="str">
        <f t="shared" si="9"/>
        <v>FASE II</v>
      </c>
      <c r="N132" s="155">
        <f t="shared" si="6"/>
        <v>629.75</v>
      </c>
      <c r="O132" s="156">
        <f t="shared" si="7"/>
        <v>70614</v>
      </c>
      <c r="P132" s="156">
        <f t="shared" si="8"/>
        <v>44469166.5</v>
      </c>
    </row>
    <row r="133" spans="2:16" s="9" customFormat="1" ht="35.1" customHeight="1" x14ac:dyDescent="0.25">
      <c r="B133" s="23" t="s">
        <v>1107</v>
      </c>
      <c r="C133" s="22" t="s">
        <v>159</v>
      </c>
      <c r="D133" s="23" t="s">
        <v>13</v>
      </c>
      <c r="E133" s="12">
        <v>9</v>
      </c>
      <c r="F133" s="126">
        <v>96306</v>
      </c>
      <c r="G133" s="126">
        <f>ROUND(+F133*E133,2)</f>
        <v>866754</v>
      </c>
      <c r="H133" s="8"/>
      <c r="I133" s="9" t="str">
        <f t="array" ref="I133:L133">_xlfn.XLOOKUP(C133,'Neiva 2021 FASE I UNIFICADO'!$C$6:$C$540,'Neiva 2021 FASE I UNIFICADO'!$C$6:$F$540,"NO ESTA")</f>
        <v>SUMINISTRO E INSTALACION JARDIN Ref. Planos A2900 (Incluye material aislante, impermeabilizante, tierra, abonos y plantas ornamentales)</v>
      </c>
      <c r="J133" s="9" t="str">
        <v>M2</v>
      </c>
      <c r="K133" s="9">
        <v>4.59</v>
      </c>
      <c r="L133" s="9">
        <v>89130</v>
      </c>
      <c r="M133" s="124" t="str">
        <f t="shared" si="9"/>
        <v>FASE II</v>
      </c>
      <c r="N133" s="155">
        <f t="shared" si="6"/>
        <v>13.59</v>
      </c>
      <c r="O133" s="156">
        <f t="shared" si="7"/>
        <v>96306</v>
      </c>
      <c r="P133" s="156">
        <f t="shared" si="8"/>
        <v>1308798.54</v>
      </c>
    </row>
    <row r="134" spans="2:16" s="9" customFormat="1" ht="35.1" customHeight="1" x14ac:dyDescent="0.25">
      <c r="B134" s="13" t="s">
        <v>1108</v>
      </c>
      <c r="C134" s="14" t="s">
        <v>1109</v>
      </c>
      <c r="D134" s="27"/>
      <c r="E134" s="15"/>
      <c r="F134" s="129"/>
      <c r="G134" s="140"/>
      <c r="H134" s="8"/>
      <c r="I134" s="9" t="str">
        <f t="array" ref="I134">_xlfn.XLOOKUP(C134,'Neiva 2021 FASE I UNIFICADO'!$C$6:$C$540,'Neiva 2021 FASE I UNIFICADO'!$C$6:$F$540,"NO ESTA")</f>
        <v>NO ESTA</v>
      </c>
      <c r="M134" s="124">
        <f t="shared" si="9"/>
        <v>0</v>
      </c>
      <c r="N134" s="155">
        <f t="shared" ref="N134:N197" si="14">E134+K134</f>
        <v>0</v>
      </c>
      <c r="O134" s="156">
        <f t="shared" ref="O134:O197" si="15">MAX(L134,F134)</f>
        <v>0</v>
      </c>
      <c r="P134" s="156">
        <f t="shared" ref="P134:P197" si="16">N134*O134</f>
        <v>0</v>
      </c>
    </row>
    <row r="135" spans="2:16" s="9" customFormat="1" ht="35.1" customHeight="1" x14ac:dyDescent="0.25">
      <c r="B135" s="23" t="s">
        <v>1110</v>
      </c>
      <c r="C135" s="22" t="s">
        <v>153</v>
      </c>
      <c r="D135" s="23" t="s">
        <v>13</v>
      </c>
      <c r="E135" s="12">
        <v>949.13</v>
      </c>
      <c r="F135" s="126">
        <v>121544</v>
      </c>
      <c r="G135" s="126">
        <f>ROUND(+F135*E135,2)</f>
        <v>115361056.72</v>
      </c>
      <c r="H135" s="8"/>
      <c r="I135" s="9" t="str">
        <f t="array" ref="I135:L135">_xlfn.XLOOKUP(C135,'Neiva 2021 FASE I UNIFICADO'!$C$6:$C$540,'Neiva 2021 FASE I UNIFICADO'!$C$6:$F$540,"NO ESTA")</f>
        <v>SUMINISTRO E INSTALACION PISO TABLETA ZONAS COMUNES Incluye ALISTADO Referencia  ALFA 30 X 30 HUILA Ref. Planos 09610.1</v>
      </c>
      <c r="J135" s="9" t="str">
        <v>M2</v>
      </c>
      <c r="K135" s="9">
        <v>1.4</v>
      </c>
      <c r="L135" s="9">
        <v>102488</v>
      </c>
      <c r="M135" s="124" t="str">
        <f t="shared" si="9"/>
        <v>FASE II</v>
      </c>
      <c r="N135" s="155">
        <f t="shared" si="14"/>
        <v>950.53</v>
      </c>
      <c r="O135" s="156">
        <f t="shared" si="15"/>
        <v>121544</v>
      </c>
      <c r="P135" s="156">
        <f t="shared" si="16"/>
        <v>115531218.31999999</v>
      </c>
    </row>
    <row r="136" spans="2:16" s="9" customFormat="1" ht="35.1" customHeight="1" x14ac:dyDescent="0.25">
      <c r="B136" s="23" t="s">
        <v>1111</v>
      </c>
      <c r="C136" s="22" t="s">
        <v>159</v>
      </c>
      <c r="D136" s="23" t="s">
        <v>13</v>
      </c>
      <c r="E136" s="12">
        <v>56.54</v>
      </c>
      <c r="F136" s="126">
        <v>96306</v>
      </c>
      <c r="G136" s="126">
        <f>ROUND(+F136*E136,2)</f>
        <v>5445141.2400000002</v>
      </c>
      <c r="H136" s="8"/>
      <c r="I136" s="9" t="str">
        <f t="array" ref="I136:L136">_xlfn.XLOOKUP(C136,'Neiva 2021 FASE I UNIFICADO'!$C$6:$C$540,'Neiva 2021 FASE I UNIFICADO'!$C$6:$F$540,"NO ESTA")</f>
        <v>SUMINISTRO E INSTALACION JARDIN Ref. Planos A2900 (Incluye material aislante, impermeabilizante, tierra, abonos y plantas ornamentales)</v>
      </c>
      <c r="J136" s="9" t="str">
        <v>M2</v>
      </c>
      <c r="K136" s="9">
        <v>4.59</v>
      </c>
      <c r="L136" s="9">
        <v>89130</v>
      </c>
      <c r="M136" s="124" t="str">
        <f t="shared" ref="M136:M199" si="17">IF(L136=0,0,(IF(F136&lt;L136, "FASE I","FASE II")))</f>
        <v>FASE II</v>
      </c>
      <c r="N136" s="155">
        <f t="shared" si="14"/>
        <v>61.129999999999995</v>
      </c>
      <c r="O136" s="156">
        <f t="shared" si="15"/>
        <v>96306</v>
      </c>
      <c r="P136" s="156">
        <f t="shared" si="16"/>
        <v>5887185.7799999993</v>
      </c>
    </row>
    <row r="137" spans="2:16" s="9" customFormat="1" ht="35.1" customHeight="1" x14ac:dyDescent="0.25">
      <c r="B137" s="16">
        <v>7</v>
      </c>
      <c r="C137" s="17" t="s">
        <v>175</v>
      </c>
      <c r="D137" s="17"/>
      <c r="E137" s="18"/>
      <c r="F137" s="133"/>
      <c r="G137" s="143"/>
      <c r="H137" s="8"/>
      <c r="M137" s="124">
        <f t="shared" si="17"/>
        <v>0</v>
      </c>
      <c r="N137" s="155">
        <f t="shared" si="14"/>
        <v>0</v>
      </c>
      <c r="O137" s="156">
        <f t="shared" si="15"/>
        <v>0</v>
      </c>
      <c r="P137" s="156">
        <f t="shared" si="16"/>
        <v>0</v>
      </c>
    </row>
    <row r="138" spans="2:16" s="9" customFormat="1" ht="35.1" customHeight="1" x14ac:dyDescent="0.25">
      <c r="B138" s="13" t="s">
        <v>176</v>
      </c>
      <c r="C138" s="24" t="s">
        <v>177</v>
      </c>
      <c r="D138" s="24"/>
      <c r="E138" s="15"/>
      <c r="F138" s="126">
        <v>0</v>
      </c>
      <c r="G138" s="126">
        <f t="shared" ref="G138:G148" si="18">ROUND(+F138*E138,2)</f>
        <v>0</v>
      </c>
      <c r="H138" s="8"/>
      <c r="I138" s="9" t="str">
        <f t="array" ref="I138:L138">_xlfn.XLOOKUP(C138,'Neiva 2021 FASE I UNIFICADO'!$C$6:$C$540,'Neiva 2021 FASE I UNIFICADO'!$C$6:$F$540,"NO ESTA")</f>
        <v>SUMINISTRO E INSTALACION VENTANAS ESPACIO PUBLICO</v>
      </c>
      <c r="J138" s="9">
        <v>0</v>
      </c>
      <c r="K138" s="9">
        <v>0</v>
      </c>
      <c r="L138" s="9">
        <v>0</v>
      </c>
      <c r="M138" s="124">
        <f t="shared" si="17"/>
        <v>0</v>
      </c>
      <c r="N138" s="155">
        <f t="shared" si="14"/>
        <v>0</v>
      </c>
      <c r="O138" s="156">
        <f t="shared" si="15"/>
        <v>0</v>
      </c>
      <c r="P138" s="156">
        <f t="shared" si="16"/>
        <v>0</v>
      </c>
    </row>
    <row r="139" spans="2:16" s="9" customFormat="1" ht="35.1" customHeight="1" x14ac:dyDescent="0.25">
      <c r="B139" s="23" t="s">
        <v>178</v>
      </c>
      <c r="C139" s="22" t="s">
        <v>1112</v>
      </c>
      <c r="D139" s="10" t="s">
        <v>13</v>
      </c>
      <c r="E139" s="12">
        <v>0</v>
      </c>
      <c r="F139" s="126">
        <v>267475</v>
      </c>
      <c r="G139" s="126">
        <f t="shared" si="18"/>
        <v>0</v>
      </c>
      <c r="H139" s="8"/>
      <c r="I139" s="9" t="str">
        <f t="array" ref="I139">_xlfn.XLOOKUP(C139,'Neiva 2021 FASE I UNIFICADO'!$C$6:$C$540,'Neiva 2021 FASE I UNIFICADO'!$C$6:$F$540,"NO ESTA")</f>
        <v>NO ESTA</v>
      </c>
      <c r="M139" s="124">
        <f t="shared" si="17"/>
        <v>0</v>
      </c>
      <c r="N139" s="155">
        <f t="shared" si="14"/>
        <v>0</v>
      </c>
      <c r="O139" s="156">
        <f t="shared" si="15"/>
        <v>267475</v>
      </c>
      <c r="P139" s="156">
        <f t="shared" si="16"/>
        <v>0</v>
      </c>
    </row>
    <row r="140" spans="2:16" s="9" customFormat="1" ht="35.1" customHeight="1" x14ac:dyDescent="0.25">
      <c r="B140" s="13" t="s">
        <v>180</v>
      </c>
      <c r="C140" s="14" t="s">
        <v>181</v>
      </c>
      <c r="D140" s="13"/>
      <c r="E140" s="15"/>
      <c r="F140" s="126">
        <v>0</v>
      </c>
      <c r="G140" s="126">
        <f t="shared" si="18"/>
        <v>0</v>
      </c>
      <c r="H140" s="8"/>
      <c r="I140" s="9" t="str">
        <f t="array" ref="I140:L140">_xlfn.XLOOKUP(C140,'Neiva 2021 FASE I UNIFICADO'!$C$6:$C$540,'Neiva 2021 FASE I UNIFICADO'!$C$6:$F$540,"NO ESTA")</f>
        <v>SUMINISTRO E INSTALACION VENTANAS PISO 1</v>
      </c>
      <c r="J140" s="9">
        <v>0</v>
      </c>
      <c r="K140" s="9">
        <v>0</v>
      </c>
      <c r="L140" s="9">
        <v>0</v>
      </c>
      <c r="M140" s="124">
        <f t="shared" si="17"/>
        <v>0</v>
      </c>
      <c r="N140" s="155">
        <f t="shared" si="14"/>
        <v>0</v>
      </c>
      <c r="O140" s="156">
        <f t="shared" si="15"/>
        <v>0</v>
      </c>
      <c r="P140" s="156">
        <f t="shared" si="16"/>
        <v>0</v>
      </c>
    </row>
    <row r="141" spans="2:16" s="9" customFormat="1" ht="35.1" customHeight="1" x14ac:dyDescent="0.25">
      <c r="B141" s="23" t="s">
        <v>182</v>
      </c>
      <c r="C141" s="22" t="s">
        <v>183</v>
      </c>
      <c r="D141" s="10" t="s">
        <v>13</v>
      </c>
      <c r="E141" s="12">
        <v>0</v>
      </c>
      <c r="F141" s="126">
        <v>267475</v>
      </c>
      <c r="G141" s="126">
        <f t="shared" si="18"/>
        <v>0</v>
      </c>
      <c r="H141" s="8"/>
      <c r="I141" s="9" t="str">
        <f t="array" ref="I141:L141">_xlfn.XLOOKUP(C141,'Neiva 2021 FASE I UNIFICADO'!$C$6:$C$540,'Neiva 2021 FASE I UNIFICADO'!$C$6:$F$540,"NO ESTA")</f>
        <v>SUMINISTRO E INSTALACION VENTANA EN ALUMINIO o similar TIPO V3 Incluye VIDRIO Referencia SOLARBAN Ver NOTAS GENERALES DE PLANCHA</v>
      </c>
      <c r="J141" s="9" t="str">
        <v>M2</v>
      </c>
      <c r="K141" s="9">
        <v>0.55000000000000004</v>
      </c>
      <c r="L141" s="9">
        <v>247547</v>
      </c>
      <c r="M141" s="124" t="str">
        <f t="shared" si="17"/>
        <v>FASE II</v>
      </c>
      <c r="N141" s="155">
        <f t="shared" si="14"/>
        <v>0.55000000000000004</v>
      </c>
      <c r="O141" s="156">
        <f t="shared" si="15"/>
        <v>267475</v>
      </c>
      <c r="P141" s="156">
        <f t="shared" si="16"/>
        <v>147111.25</v>
      </c>
    </row>
    <row r="142" spans="2:16" s="9" customFormat="1" ht="35.1" customHeight="1" x14ac:dyDescent="0.25">
      <c r="B142" s="23" t="s">
        <v>184</v>
      </c>
      <c r="C142" s="22" t="s">
        <v>1113</v>
      </c>
      <c r="D142" s="10" t="s">
        <v>13</v>
      </c>
      <c r="E142" s="12">
        <v>0</v>
      </c>
      <c r="F142" s="126">
        <v>267475</v>
      </c>
      <c r="G142" s="126">
        <f t="shared" si="18"/>
        <v>0</v>
      </c>
      <c r="H142" s="8"/>
      <c r="I142" s="9" t="str">
        <f t="array" ref="I142">_xlfn.XLOOKUP(C142,'Neiva 2021 FASE I UNIFICADO'!$C$6:$C$540,'Neiva 2021 FASE I UNIFICADO'!$C$6:$F$540,"NO ESTA")</f>
        <v>NO ESTA</v>
      </c>
      <c r="M142" s="124">
        <f t="shared" si="17"/>
        <v>0</v>
      </c>
      <c r="N142" s="155">
        <f t="shared" si="14"/>
        <v>0</v>
      </c>
      <c r="O142" s="156">
        <f t="shared" si="15"/>
        <v>267475</v>
      </c>
      <c r="P142" s="156">
        <f t="shared" si="16"/>
        <v>0</v>
      </c>
    </row>
    <row r="143" spans="2:16" s="9" customFormat="1" ht="35.1" customHeight="1" x14ac:dyDescent="0.25">
      <c r="B143" s="13" t="s">
        <v>186</v>
      </c>
      <c r="C143" s="14" t="s">
        <v>187</v>
      </c>
      <c r="D143" s="13"/>
      <c r="E143" s="15"/>
      <c r="F143" s="126">
        <v>0</v>
      </c>
      <c r="G143" s="126">
        <f t="shared" si="18"/>
        <v>0</v>
      </c>
      <c r="H143" s="8"/>
      <c r="I143" s="9" t="str">
        <f t="array" ref="I143:L143">_xlfn.XLOOKUP(C143,'Neiva 2021 FASE I UNIFICADO'!$C$6:$C$540,'Neiva 2021 FASE I UNIFICADO'!$C$6:$F$540,"NO ESTA")</f>
        <v>SUMINISTRO E INSTALACION VENTANAS PISO 2</v>
      </c>
      <c r="J143" s="9">
        <v>0</v>
      </c>
      <c r="K143" s="9">
        <v>0</v>
      </c>
      <c r="L143" s="9">
        <v>0</v>
      </c>
      <c r="M143" s="124">
        <f t="shared" si="17"/>
        <v>0</v>
      </c>
      <c r="N143" s="155">
        <f t="shared" si="14"/>
        <v>0</v>
      </c>
      <c r="O143" s="156">
        <f t="shared" si="15"/>
        <v>0</v>
      </c>
      <c r="P143" s="156">
        <f t="shared" si="16"/>
        <v>0</v>
      </c>
    </row>
    <row r="144" spans="2:16" s="9" customFormat="1" ht="35.1" customHeight="1" x14ac:dyDescent="0.25">
      <c r="B144" s="23" t="s">
        <v>188</v>
      </c>
      <c r="C144" s="22" t="s">
        <v>189</v>
      </c>
      <c r="D144" s="10" t="s">
        <v>13</v>
      </c>
      <c r="E144" s="12">
        <v>0</v>
      </c>
      <c r="F144" s="126">
        <v>267475</v>
      </c>
      <c r="G144" s="126">
        <f t="shared" si="18"/>
        <v>0</v>
      </c>
      <c r="H144" s="8"/>
      <c r="I144" s="9" t="str">
        <f t="array" ref="I144:L144">_xlfn.XLOOKUP(C144,'Neiva 2021 FASE I UNIFICADO'!$C$6:$C$540,'Neiva 2021 FASE I UNIFICADO'!$C$6:$F$540,"NO ESTA")</f>
        <v>SUMINISTRO E INSTALACION VENTANA EN ALUMINIO o similar TIPO V1 Incluye VIDRIO Referencia SOLARBAN Ver NOTAS GENERALES DE PLANCHA</v>
      </c>
      <c r="J144" s="9" t="str">
        <v>M2</v>
      </c>
      <c r="K144" s="9">
        <v>0.05</v>
      </c>
      <c r="L144" s="9">
        <v>247547</v>
      </c>
      <c r="M144" s="124" t="str">
        <f t="shared" si="17"/>
        <v>FASE II</v>
      </c>
      <c r="N144" s="155">
        <f t="shared" si="14"/>
        <v>0.05</v>
      </c>
      <c r="O144" s="156">
        <f t="shared" si="15"/>
        <v>267475</v>
      </c>
      <c r="P144" s="156">
        <f t="shared" si="16"/>
        <v>13373.75</v>
      </c>
    </row>
    <row r="145" spans="2:16" s="9" customFormat="1" ht="35.1" customHeight="1" x14ac:dyDescent="0.25">
      <c r="B145" s="23" t="s">
        <v>190</v>
      </c>
      <c r="C145" s="22" t="s">
        <v>191</v>
      </c>
      <c r="D145" s="10" t="s">
        <v>13</v>
      </c>
      <c r="E145" s="12">
        <v>0</v>
      </c>
      <c r="F145" s="126">
        <v>267475</v>
      </c>
      <c r="G145" s="126">
        <f t="shared" si="18"/>
        <v>0</v>
      </c>
      <c r="H145" s="8"/>
      <c r="I145" s="9" t="str">
        <f t="array" ref="I145:L145">_xlfn.XLOOKUP(C145,'Neiva 2021 FASE I UNIFICADO'!$C$6:$C$540,'Neiva 2021 FASE I UNIFICADO'!$C$6:$F$540,"NO ESTA")</f>
        <v>SUMINISTRO E INSTALACION VENTANA EN ALUMINIO o similar TIPO V2 Incluye VIDRIO Referencia SOLARBAN Ver NOTAS GENERALES DE PLANCHA</v>
      </c>
      <c r="J145" s="9" t="str">
        <v>M2</v>
      </c>
      <c r="K145" s="9">
        <v>0.32</v>
      </c>
      <c r="L145" s="9">
        <v>247547</v>
      </c>
      <c r="M145" s="124" t="str">
        <f t="shared" si="17"/>
        <v>FASE II</v>
      </c>
      <c r="N145" s="155">
        <f t="shared" si="14"/>
        <v>0.32</v>
      </c>
      <c r="O145" s="156">
        <f t="shared" si="15"/>
        <v>267475</v>
      </c>
      <c r="P145" s="156">
        <f t="shared" si="16"/>
        <v>85592</v>
      </c>
    </row>
    <row r="146" spans="2:16" s="9" customFormat="1" ht="35.1" customHeight="1" x14ac:dyDescent="0.25">
      <c r="B146" s="23" t="s">
        <v>192</v>
      </c>
      <c r="C146" s="22" t="s">
        <v>183</v>
      </c>
      <c r="D146" s="10" t="s">
        <v>13</v>
      </c>
      <c r="E146" s="12">
        <v>0</v>
      </c>
      <c r="F146" s="126">
        <v>267475</v>
      </c>
      <c r="G146" s="126">
        <f t="shared" si="18"/>
        <v>0</v>
      </c>
      <c r="H146" s="8"/>
      <c r="I146" s="9" t="str">
        <f t="array" ref="I146:L146">_xlfn.XLOOKUP(C146,'Neiva 2021 FASE I UNIFICADO'!$C$6:$C$540,'Neiva 2021 FASE I UNIFICADO'!$C$6:$F$540,"NO ESTA")</f>
        <v>SUMINISTRO E INSTALACION VENTANA EN ALUMINIO o similar TIPO V3 Incluye VIDRIO Referencia SOLARBAN Ver NOTAS GENERALES DE PLANCHA</v>
      </c>
      <c r="J146" s="9" t="str">
        <v>M2</v>
      </c>
      <c r="K146" s="9">
        <v>0.55000000000000004</v>
      </c>
      <c r="L146" s="9">
        <v>247547</v>
      </c>
      <c r="M146" s="124" t="str">
        <f t="shared" si="17"/>
        <v>FASE II</v>
      </c>
      <c r="N146" s="155">
        <f t="shared" si="14"/>
        <v>0.55000000000000004</v>
      </c>
      <c r="O146" s="156">
        <f t="shared" si="15"/>
        <v>267475</v>
      </c>
      <c r="P146" s="156">
        <f t="shared" si="16"/>
        <v>147111.25</v>
      </c>
    </row>
    <row r="147" spans="2:16" s="9" customFormat="1" ht="35.1" customHeight="1" x14ac:dyDescent="0.25">
      <c r="B147" s="23" t="s">
        <v>193</v>
      </c>
      <c r="C147" s="22" t="s">
        <v>1114</v>
      </c>
      <c r="D147" s="10" t="s">
        <v>13</v>
      </c>
      <c r="E147" s="12">
        <v>0</v>
      </c>
      <c r="F147" s="126">
        <v>267475</v>
      </c>
      <c r="G147" s="126">
        <f t="shared" si="18"/>
        <v>0</v>
      </c>
      <c r="H147" s="8"/>
      <c r="I147" s="9" t="str">
        <f t="array" ref="I147">_xlfn.XLOOKUP(C147,'Neiva 2021 FASE I UNIFICADO'!$C$6:$C$540,'Neiva 2021 FASE I UNIFICADO'!$C$6:$F$540,"NO ESTA")</f>
        <v>NO ESTA</v>
      </c>
      <c r="M147" s="124">
        <f t="shared" si="17"/>
        <v>0</v>
      </c>
      <c r="N147" s="155">
        <f t="shared" si="14"/>
        <v>0</v>
      </c>
      <c r="O147" s="156">
        <f t="shared" si="15"/>
        <v>267475</v>
      </c>
      <c r="P147" s="156">
        <f t="shared" si="16"/>
        <v>0</v>
      </c>
    </row>
    <row r="148" spans="2:16" s="9" customFormat="1" ht="35.1" customHeight="1" x14ac:dyDescent="0.25">
      <c r="B148" s="23" t="s">
        <v>194</v>
      </c>
      <c r="C148" s="22" t="s">
        <v>195</v>
      </c>
      <c r="D148" s="10" t="s">
        <v>13</v>
      </c>
      <c r="E148" s="12">
        <v>0</v>
      </c>
      <c r="F148" s="126">
        <v>267475</v>
      </c>
      <c r="G148" s="126">
        <f t="shared" si="18"/>
        <v>0</v>
      </c>
      <c r="H148" s="8"/>
      <c r="I148" s="9" t="str">
        <f t="array" ref="I148:L148">_xlfn.XLOOKUP(C148,'Neiva 2021 FASE I UNIFICADO'!$C$6:$C$540,'Neiva 2021 FASE I UNIFICADO'!$C$6:$F$540,"NO ESTA")</f>
        <v>SUMINISTRO E INSTALACION VENTANA EN ALUMINIO o similar TIPO V5 Incluye VIDRIO Referencia SOLARBAN Ver NOTAS GENERALES DE PLANCHA</v>
      </c>
      <c r="J148" s="9" t="str">
        <v>M2</v>
      </c>
      <c r="K148" s="9">
        <v>0.36</v>
      </c>
      <c r="L148" s="9">
        <v>247547</v>
      </c>
      <c r="M148" s="124" t="str">
        <f t="shared" si="17"/>
        <v>FASE II</v>
      </c>
      <c r="N148" s="155">
        <f t="shared" si="14"/>
        <v>0.36</v>
      </c>
      <c r="O148" s="156">
        <f t="shared" si="15"/>
        <v>267475</v>
      </c>
      <c r="P148" s="156">
        <f t="shared" si="16"/>
        <v>96291</v>
      </c>
    </row>
    <row r="149" spans="2:16" s="9" customFormat="1" ht="35.1" customHeight="1" x14ac:dyDescent="0.25">
      <c r="B149" s="13" t="s">
        <v>1115</v>
      </c>
      <c r="C149" s="14" t="s">
        <v>1116</v>
      </c>
      <c r="D149" s="13"/>
      <c r="E149" s="15"/>
      <c r="F149" s="129"/>
      <c r="G149" s="140"/>
      <c r="H149" s="8"/>
      <c r="I149" s="9" t="str">
        <f t="array" ref="I149">_xlfn.XLOOKUP(C149,'Neiva 2021 FASE I UNIFICADO'!$C$6:$C$540,'Neiva 2021 FASE I UNIFICADO'!$C$6:$F$540,"NO ESTA")</f>
        <v>NO ESTA</v>
      </c>
      <c r="M149" s="124">
        <f t="shared" si="17"/>
        <v>0</v>
      </c>
      <c r="N149" s="155">
        <f t="shared" si="14"/>
        <v>0</v>
      </c>
      <c r="O149" s="156">
        <f t="shared" si="15"/>
        <v>0</v>
      </c>
      <c r="P149" s="156">
        <f t="shared" si="16"/>
        <v>0</v>
      </c>
    </row>
    <row r="150" spans="2:16" s="9" customFormat="1" ht="35.1" customHeight="1" x14ac:dyDescent="0.25">
      <c r="B150" s="23" t="s">
        <v>1117</v>
      </c>
      <c r="C150" s="22" t="s">
        <v>189</v>
      </c>
      <c r="D150" s="10" t="s">
        <v>13</v>
      </c>
      <c r="E150" s="12">
        <v>0.54</v>
      </c>
      <c r="F150" s="126">
        <v>268159</v>
      </c>
      <c r="G150" s="126">
        <f>ROUND(+F150*E150,2)</f>
        <v>144805.85999999999</v>
      </c>
      <c r="H150" s="8"/>
      <c r="I150" s="9" t="str">
        <f t="array" ref="I150:L150">_xlfn.XLOOKUP(C150,'Neiva 2021 FASE I UNIFICADO'!$C$6:$C$540,'Neiva 2021 FASE I UNIFICADO'!$C$6:$F$540,"NO ESTA")</f>
        <v>SUMINISTRO E INSTALACION VENTANA EN ALUMINIO o similar TIPO V1 Incluye VIDRIO Referencia SOLARBAN Ver NOTAS GENERALES DE PLANCHA</v>
      </c>
      <c r="J150" s="9" t="str">
        <v>M2</v>
      </c>
      <c r="K150" s="9">
        <v>0.05</v>
      </c>
      <c r="L150" s="9">
        <v>247547</v>
      </c>
      <c r="M150" s="124" t="str">
        <f t="shared" si="17"/>
        <v>FASE II</v>
      </c>
      <c r="N150" s="155">
        <f t="shared" si="14"/>
        <v>0.59000000000000008</v>
      </c>
      <c r="O150" s="156">
        <f t="shared" si="15"/>
        <v>268159</v>
      </c>
      <c r="P150" s="156">
        <f t="shared" si="16"/>
        <v>158213.81000000003</v>
      </c>
    </row>
    <row r="151" spans="2:16" s="9" customFormat="1" ht="35.1" customHeight="1" x14ac:dyDescent="0.25">
      <c r="B151" s="23" t="s">
        <v>1118</v>
      </c>
      <c r="C151" s="22" t="s">
        <v>191</v>
      </c>
      <c r="D151" s="10" t="s">
        <v>13</v>
      </c>
      <c r="E151" s="12">
        <v>2.38</v>
      </c>
      <c r="F151" s="126">
        <v>268159</v>
      </c>
      <c r="G151" s="126">
        <f>ROUND(+F151*E151,2)</f>
        <v>638218.42000000004</v>
      </c>
      <c r="H151" s="8"/>
      <c r="I151" s="9" t="str">
        <f t="array" ref="I151:L151">_xlfn.XLOOKUP(C151,'Neiva 2021 FASE I UNIFICADO'!$C$6:$C$540,'Neiva 2021 FASE I UNIFICADO'!$C$6:$F$540,"NO ESTA")</f>
        <v>SUMINISTRO E INSTALACION VENTANA EN ALUMINIO o similar TIPO V2 Incluye VIDRIO Referencia SOLARBAN Ver NOTAS GENERALES DE PLANCHA</v>
      </c>
      <c r="J151" s="9" t="str">
        <v>M2</v>
      </c>
      <c r="K151" s="9">
        <v>0.32</v>
      </c>
      <c r="L151" s="9">
        <v>247547</v>
      </c>
      <c r="M151" s="124" t="str">
        <f t="shared" si="17"/>
        <v>FASE II</v>
      </c>
      <c r="N151" s="155">
        <f t="shared" si="14"/>
        <v>2.6999999999999997</v>
      </c>
      <c r="O151" s="156">
        <f t="shared" si="15"/>
        <v>268159</v>
      </c>
      <c r="P151" s="156">
        <f t="shared" si="16"/>
        <v>724029.29999999993</v>
      </c>
    </row>
    <row r="152" spans="2:16" s="9" customFormat="1" ht="35.1" customHeight="1" x14ac:dyDescent="0.25">
      <c r="B152" s="23" t="s">
        <v>1119</v>
      </c>
      <c r="C152" s="22" t="s">
        <v>183</v>
      </c>
      <c r="D152" s="10" t="s">
        <v>13</v>
      </c>
      <c r="E152" s="12">
        <v>3.45</v>
      </c>
      <c r="F152" s="126">
        <v>268159</v>
      </c>
      <c r="G152" s="126">
        <f>ROUND(+F152*E152,2)</f>
        <v>925148.55</v>
      </c>
      <c r="H152" s="8"/>
      <c r="I152" s="9" t="str">
        <f t="array" ref="I152:L152">_xlfn.XLOOKUP(C152,'Neiva 2021 FASE I UNIFICADO'!$C$6:$C$540,'Neiva 2021 FASE I UNIFICADO'!$C$6:$F$540,"NO ESTA")</f>
        <v>SUMINISTRO E INSTALACION VENTANA EN ALUMINIO o similar TIPO V3 Incluye VIDRIO Referencia SOLARBAN Ver NOTAS GENERALES DE PLANCHA</v>
      </c>
      <c r="J152" s="9" t="str">
        <v>M2</v>
      </c>
      <c r="K152" s="9">
        <v>0.55000000000000004</v>
      </c>
      <c r="L152" s="9">
        <v>247547</v>
      </c>
      <c r="M152" s="124" t="str">
        <f t="shared" si="17"/>
        <v>FASE II</v>
      </c>
      <c r="N152" s="155">
        <f t="shared" si="14"/>
        <v>4</v>
      </c>
      <c r="O152" s="156">
        <f t="shared" si="15"/>
        <v>268159</v>
      </c>
      <c r="P152" s="156">
        <f t="shared" si="16"/>
        <v>1072636</v>
      </c>
    </row>
    <row r="153" spans="2:16" s="9" customFormat="1" ht="35.1" customHeight="1" x14ac:dyDescent="0.25">
      <c r="B153" s="23" t="s">
        <v>1120</v>
      </c>
      <c r="C153" s="22" t="s">
        <v>195</v>
      </c>
      <c r="D153" s="10" t="s">
        <v>13</v>
      </c>
      <c r="E153" s="12">
        <v>1.8</v>
      </c>
      <c r="F153" s="126">
        <v>268159</v>
      </c>
      <c r="G153" s="126">
        <f>ROUND(+F153*E153,2)</f>
        <v>482686.2</v>
      </c>
      <c r="H153" s="8"/>
      <c r="I153" s="9" t="str">
        <f t="array" ref="I153:L153">_xlfn.XLOOKUP(C153,'Neiva 2021 FASE I UNIFICADO'!$C$6:$C$540,'Neiva 2021 FASE I UNIFICADO'!$C$6:$F$540,"NO ESTA")</f>
        <v>SUMINISTRO E INSTALACION VENTANA EN ALUMINIO o similar TIPO V5 Incluye VIDRIO Referencia SOLARBAN Ver NOTAS GENERALES DE PLANCHA</v>
      </c>
      <c r="J153" s="9" t="str">
        <v>M2</v>
      </c>
      <c r="K153" s="9">
        <v>0.36</v>
      </c>
      <c r="L153" s="9">
        <v>247547</v>
      </c>
      <c r="M153" s="124" t="str">
        <f t="shared" si="17"/>
        <v>FASE II</v>
      </c>
      <c r="N153" s="155">
        <f t="shared" si="14"/>
        <v>2.16</v>
      </c>
      <c r="O153" s="156">
        <f t="shared" si="15"/>
        <v>268159</v>
      </c>
      <c r="P153" s="156">
        <f t="shared" si="16"/>
        <v>579223.44000000006</v>
      </c>
    </row>
    <row r="154" spans="2:16" s="9" customFormat="1" ht="35.1" customHeight="1" x14ac:dyDescent="0.25">
      <c r="B154" s="13" t="s">
        <v>1121</v>
      </c>
      <c r="C154" s="14" t="s">
        <v>1122</v>
      </c>
      <c r="D154" s="13"/>
      <c r="E154" s="15"/>
      <c r="F154" s="129"/>
      <c r="G154" s="140"/>
      <c r="H154" s="8"/>
      <c r="I154" s="9" t="str">
        <f t="array" ref="I154">_xlfn.XLOOKUP(C154,'Neiva 2021 FASE I UNIFICADO'!$C$6:$C$540,'Neiva 2021 FASE I UNIFICADO'!$C$6:$F$540,"NO ESTA")</f>
        <v>NO ESTA</v>
      </c>
      <c r="M154" s="124">
        <f t="shared" si="17"/>
        <v>0</v>
      </c>
      <c r="N154" s="155">
        <f t="shared" si="14"/>
        <v>0</v>
      </c>
      <c r="O154" s="156">
        <f t="shared" si="15"/>
        <v>0</v>
      </c>
      <c r="P154" s="156">
        <f t="shared" si="16"/>
        <v>0</v>
      </c>
    </row>
    <row r="155" spans="2:16" s="9" customFormat="1" ht="35.1" customHeight="1" x14ac:dyDescent="0.25">
      <c r="B155" s="23" t="s">
        <v>1123</v>
      </c>
      <c r="C155" s="22" t="s">
        <v>183</v>
      </c>
      <c r="D155" s="10" t="s">
        <v>13</v>
      </c>
      <c r="E155" s="12">
        <v>3.45</v>
      </c>
      <c r="F155" s="126">
        <v>268159</v>
      </c>
      <c r="G155" s="126">
        <f>ROUND(+F155*E155,2)</f>
        <v>925148.55</v>
      </c>
      <c r="H155" s="8"/>
      <c r="I155" s="9" t="str">
        <f t="array" ref="I155:L155">_xlfn.XLOOKUP(C155,'Neiva 2021 FASE I UNIFICADO'!$C$6:$C$540,'Neiva 2021 FASE I UNIFICADO'!$C$6:$F$540,"NO ESTA")</f>
        <v>SUMINISTRO E INSTALACION VENTANA EN ALUMINIO o similar TIPO V3 Incluye VIDRIO Referencia SOLARBAN Ver NOTAS GENERALES DE PLANCHA</v>
      </c>
      <c r="J155" s="9" t="str">
        <v>M2</v>
      </c>
      <c r="K155" s="9">
        <v>0.55000000000000004</v>
      </c>
      <c r="L155" s="9">
        <v>247547</v>
      </c>
      <c r="M155" s="124" t="str">
        <f t="shared" si="17"/>
        <v>FASE II</v>
      </c>
      <c r="N155" s="155">
        <f t="shared" si="14"/>
        <v>4</v>
      </c>
      <c r="O155" s="156">
        <f t="shared" si="15"/>
        <v>268159</v>
      </c>
      <c r="P155" s="156">
        <f t="shared" si="16"/>
        <v>1072636</v>
      </c>
    </row>
    <row r="156" spans="2:16" s="9" customFormat="1" ht="35.1" customHeight="1" x14ac:dyDescent="0.25">
      <c r="B156" s="16">
        <v>8</v>
      </c>
      <c r="C156" s="17" t="s">
        <v>196</v>
      </c>
      <c r="D156" s="17"/>
      <c r="E156" s="18"/>
      <c r="F156" s="133"/>
      <c r="G156" s="143"/>
      <c r="H156" s="8"/>
      <c r="M156" s="124">
        <f t="shared" si="17"/>
        <v>0</v>
      </c>
      <c r="N156" s="155">
        <f t="shared" si="14"/>
        <v>0</v>
      </c>
      <c r="O156" s="156">
        <f t="shared" si="15"/>
        <v>0</v>
      </c>
      <c r="P156" s="156">
        <f t="shared" si="16"/>
        <v>0</v>
      </c>
    </row>
    <row r="157" spans="2:16" s="9" customFormat="1" ht="35.1" customHeight="1" x14ac:dyDescent="0.25">
      <c r="B157" s="13" t="s">
        <v>197</v>
      </c>
      <c r="C157" s="14" t="s">
        <v>198</v>
      </c>
      <c r="D157" s="13"/>
      <c r="E157" s="15"/>
      <c r="F157" s="129"/>
      <c r="G157" s="140"/>
      <c r="H157" s="8"/>
      <c r="M157" s="124">
        <f t="shared" si="17"/>
        <v>0</v>
      </c>
      <c r="N157" s="155">
        <f t="shared" si="14"/>
        <v>0</v>
      </c>
      <c r="O157" s="156">
        <f t="shared" si="15"/>
        <v>0</v>
      </c>
      <c r="P157" s="156">
        <f t="shared" si="16"/>
        <v>0</v>
      </c>
    </row>
    <row r="158" spans="2:16" s="9" customFormat="1" ht="35.1" customHeight="1" x14ac:dyDescent="0.25">
      <c r="B158" s="23" t="s">
        <v>199</v>
      </c>
      <c r="C158" s="22" t="s">
        <v>200</v>
      </c>
      <c r="D158" s="10" t="s">
        <v>13</v>
      </c>
      <c r="E158" s="12">
        <v>44.879999999999995</v>
      </c>
      <c r="F158" s="126">
        <v>311887</v>
      </c>
      <c r="G158" s="126">
        <f>ROUND(+F158*E158,2)</f>
        <v>13997488.560000001</v>
      </c>
      <c r="H158" s="8"/>
      <c r="I158" s="9" t="str">
        <f t="array" ref="I158:L158">_xlfn.XLOOKUP(C158,'Neiva 2021 FASE I UNIFICADO'!$C$6:$C$540,'Neiva 2021 FASE I UNIFICADO'!$C$6:$F$540,"NO ESTA")</f>
        <v>SUMINISTRO E INSTALACION VENTANAL INTERIOR EN ALUMINIO o similar TIPO V-0 Incluye VIDRIO Referencia TRASLUCIDO TEMPLADO 10MM Ver NOTAS GENERALES DE PLANCHA</v>
      </c>
      <c r="J158" s="9" t="str">
        <v>M2</v>
      </c>
      <c r="K158" s="9">
        <v>16.32</v>
      </c>
      <c r="L158" s="9">
        <v>288650</v>
      </c>
      <c r="M158" s="124" t="str">
        <f t="shared" si="17"/>
        <v>FASE II</v>
      </c>
      <c r="N158" s="155">
        <f t="shared" si="14"/>
        <v>61.199999999999996</v>
      </c>
      <c r="O158" s="156">
        <f t="shared" si="15"/>
        <v>311887</v>
      </c>
      <c r="P158" s="156">
        <f t="shared" si="16"/>
        <v>19087484.399999999</v>
      </c>
    </row>
    <row r="159" spans="2:16" s="9" customFormat="1" ht="35.1" customHeight="1" x14ac:dyDescent="0.25">
      <c r="B159" s="23" t="s">
        <v>201</v>
      </c>
      <c r="C159" s="22" t="s">
        <v>202</v>
      </c>
      <c r="D159" s="10" t="s">
        <v>13</v>
      </c>
      <c r="E159" s="12">
        <v>111.41999999999999</v>
      </c>
      <c r="F159" s="126">
        <v>353438</v>
      </c>
      <c r="G159" s="126">
        <f>ROUND(+F159*E159,2)</f>
        <v>39380061.960000001</v>
      </c>
      <c r="H159" s="8"/>
      <c r="I159" s="9" t="str">
        <f t="array" ref="I159:L159">_xlfn.XLOOKUP(C159,'Neiva 2021 FASE I UNIFICADO'!$C$6:$C$540,'Neiva 2021 FASE I UNIFICADO'!$C$6:$F$540,"NO ESTA")</f>
        <v>SUMINISTRO E INSTALACION VENTANAL PERFIL 12cm EN ALUMINIO o similar TIPO V-1 Incluye VIDRIO Referencia SOLARBAN Ver NOTAS GENERALES DE PLANCHA</v>
      </c>
      <c r="J159" s="9" t="str">
        <v>M2</v>
      </c>
      <c r="K159" s="9">
        <v>111.43</v>
      </c>
      <c r="L159" s="9">
        <v>327106</v>
      </c>
      <c r="M159" s="124" t="str">
        <f t="shared" si="17"/>
        <v>FASE II</v>
      </c>
      <c r="N159" s="155">
        <f t="shared" si="14"/>
        <v>222.85</v>
      </c>
      <c r="O159" s="156">
        <f t="shared" si="15"/>
        <v>353438</v>
      </c>
      <c r="P159" s="156">
        <f t="shared" si="16"/>
        <v>78763658.299999997</v>
      </c>
    </row>
    <row r="160" spans="2:16" s="9" customFormat="1" ht="35.1" customHeight="1" x14ac:dyDescent="0.25">
      <c r="B160" s="23" t="s">
        <v>203</v>
      </c>
      <c r="C160" s="22" t="s">
        <v>204</v>
      </c>
      <c r="D160" s="10" t="s">
        <v>13</v>
      </c>
      <c r="E160" s="12">
        <v>17.010000000000002</v>
      </c>
      <c r="F160" s="126">
        <v>369778</v>
      </c>
      <c r="G160" s="126">
        <f>ROUND(+F160*E160,2)</f>
        <v>6289923.7800000003</v>
      </c>
      <c r="H160" s="8"/>
      <c r="I160" s="9" t="str">
        <f t="array" ref="I160:L160">_xlfn.XLOOKUP(C160,'Neiva 2021 FASE I UNIFICADO'!$C$6:$C$540,'Neiva 2021 FASE I UNIFICADO'!$C$6:$F$540,"NO ESTA")</f>
        <v>SUMINISTRO E INSTALACION VENTANAL DOBLE ALTURA EN ALUMINIO o similar TIPO V-4 Incluye VIDRIO Referencia SOLARBAN Ver NOTAS GENERALES DE PLANCHA</v>
      </c>
      <c r="J160" s="9" t="str">
        <v>M2</v>
      </c>
      <c r="K160" s="9">
        <v>17.010000000000002</v>
      </c>
      <c r="L160" s="9">
        <v>342227</v>
      </c>
      <c r="M160" s="124" t="str">
        <f t="shared" si="17"/>
        <v>FASE II</v>
      </c>
      <c r="N160" s="155">
        <f t="shared" si="14"/>
        <v>34.020000000000003</v>
      </c>
      <c r="O160" s="156">
        <f t="shared" si="15"/>
        <v>369778</v>
      </c>
      <c r="P160" s="156">
        <f t="shared" si="16"/>
        <v>12579847.560000001</v>
      </c>
    </row>
    <row r="161" spans="2:16" s="9" customFormat="1" ht="35.1" customHeight="1" x14ac:dyDescent="0.25">
      <c r="B161" s="23" t="s">
        <v>205</v>
      </c>
      <c r="C161" s="22" t="s">
        <v>206</v>
      </c>
      <c r="D161" s="10" t="s">
        <v>13</v>
      </c>
      <c r="E161" s="12">
        <v>13.059999999999999</v>
      </c>
      <c r="F161" s="126">
        <v>369778</v>
      </c>
      <c r="G161" s="126">
        <f>ROUND(+F161*E161,2)</f>
        <v>4829300.68</v>
      </c>
      <c r="H161" s="8"/>
      <c r="I161" s="9" t="str">
        <f t="array" ref="I161:L161">_xlfn.XLOOKUP(C161,'Neiva 2021 FASE I UNIFICADO'!$C$6:$C$540,'Neiva 2021 FASE I UNIFICADO'!$C$6:$F$540,"NO ESTA")</f>
        <v>SUMINISTRO E INSTALACIONVENTANAL DOBLE ALTURA LIBRE EN ALUMINIO o similar TIPO V-5 Incluye VIDRIO Referencia SOLARBAN Ver NOTAS GENERALES DE PLANCHA</v>
      </c>
      <c r="J161" s="9" t="str">
        <v>M2</v>
      </c>
      <c r="K161" s="9">
        <v>13.07</v>
      </c>
      <c r="L161" s="9">
        <v>342227</v>
      </c>
      <c r="M161" s="124" t="str">
        <f t="shared" si="17"/>
        <v>FASE II</v>
      </c>
      <c r="N161" s="155">
        <f t="shared" si="14"/>
        <v>26.13</v>
      </c>
      <c r="O161" s="156">
        <f t="shared" si="15"/>
        <v>369778</v>
      </c>
      <c r="P161" s="156">
        <f t="shared" si="16"/>
        <v>9662299.1399999987</v>
      </c>
    </row>
    <row r="162" spans="2:16" s="9" customFormat="1" ht="35.1" customHeight="1" x14ac:dyDescent="0.25">
      <c r="B162" s="13" t="s">
        <v>207</v>
      </c>
      <c r="C162" s="14" t="s">
        <v>208</v>
      </c>
      <c r="D162" s="13"/>
      <c r="E162" s="15"/>
      <c r="F162" s="129"/>
      <c r="G162" s="140"/>
      <c r="H162" s="8"/>
      <c r="M162" s="124">
        <f t="shared" si="17"/>
        <v>0</v>
      </c>
      <c r="N162" s="155">
        <f t="shared" si="14"/>
        <v>0</v>
      </c>
      <c r="O162" s="156">
        <f t="shared" si="15"/>
        <v>0</v>
      </c>
      <c r="P162" s="156">
        <f t="shared" si="16"/>
        <v>0</v>
      </c>
    </row>
    <row r="163" spans="2:16" s="9" customFormat="1" ht="35.1" customHeight="1" x14ac:dyDescent="0.25">
      <c r="B163" s="23" t="s">
        <v>209</v>
      </c>
      <c r="C163" s="22" t="s">
        <v>210</v>
      </c>
      <c r="D163" s="10" t="s">
        <v>13</v>
      </c>
      <c r="E163" s="12">
        <v>221.89</v>
      </c>
      <c r="F163" s="126">
        <v>247305</v>
      </c>
      <c r="G163" s="126">
        <f t="shared" ref="G163:G169" si="19">ROUND(+F163*E163,2)</f>
        <v>54874506.450000003</v>
      </c>
      <c r="H163" s="8"/>
      <c r="I163" s="9" t="str">
        <f t="array" ref="I163:L163">_xlfn.XLOOKUP(C163,'Neiva 2021 FASE I UNIFICADO'!$C$6:$C$540,'Neiva 2021 FASE I UNIFICADO'!$C$6:$F$540,"NO ESTA")</f>
        <v>SUMINISTRO E INSTALACION CORTASOL Referencia 84R TIPO CS-1 Ver NOTAS GENERALES DE PLANCHA</v>
      </c>
      <c r="J163" s="9" t="str">
        <v>M2</v>
      </c>
      <c r="K163" s="9">
        <v>21.89</v>
      </c>
      <c r="L163" s="9">
        <v>228879</v>
      </c>
      <c r="M163" s="124" t="str">
        <f t="shared" si="17"/>
        <v>FASE II</v>
      </c>
      <c r="N163" s="155">
        <f t="shared" si="14"/>
        <v>243.77999999999997</v>
      </c>
      <c r="O163" s="156">
        <f t="shared" si="15"/>
        <v>247305</v>
      </c>
      <c r="P163" s="156">
        <f t="shared" si="16"/>
        <v>60288012.899999991</v>
      </c>
    </row>
    <row r="164" spans="2:16" s="9" customFormat="1" ht="35.1" customHeight="1" x14ac:dyDescent="0.25">
      <c r="B164" s="23" t="s">
        <v>211</v>
      </c>
      <c r="C164" s="22" t="s">
        <v>200</v>
      </c>
      <c r="D164" s="10" t="s">
        <v>13</v>
      </c>
      <c r="E164" s="12">
        <v>13.48</v>
      </c>
      <c r="F164" s="126">
        <v>311887</v>
      </c>
      <c r="G164" s="126">
        <f t="shared" si="19"/>
        <v>4204236.76</v>
      </c>
      <c r="H164" s="8"/>
      <c r="I164" s="9" t="str">
        <f t="array" ref="I164:L164">_xlfn.XLOOKUP(C164,'Neiva 2021 FASE I UNIFICADO'!$C$6:$C$540,'Neiva 2021 FASE I UNIFICADO'!$C$6:$F$540,"NO ESTA")</f>
        <v>SUMINISTRO E INSTALACION VENTANAL INTERIOR EN ALUMINIO o similar TIPO V-0 Incluye VIDRIO Referencia TRASLUCIDO TEMPLADO 10MM Ver NOTAS GENERALES DE PLANCHA</v>
      </c>
      <c r="J164" s="9" t="str">
        <v>M2</v>
      </c>
      <c r="K164" s="9">
        <v>16.32</v>
      </c>
      <c r="L164" s="9">
        <v>288650</v>
      </c>
      <c r="M164" s="124" t="str">
        <f t="shared" si="17"/>
        <v>FASE II</v>
      </c>
      <c r="N164" s="155">
        <f t="shared" si="14"/>
        <v>29.8</v>
      </c>
      <c r="O164" s="156">
        <f t="shared" si="15"/>
        <v>311887</v>
      </c>
      <c r="P164" s="156">
        <f t="shared" si="16"/>
        <v>9294232.5999999996</v>
      </c>
    </row>
    <row r="165" spans="2:16" s="9" customFormat="1" ht="35.1" customHeight="1" x14ac:dyDescent="0.25">
      <c r="B165" s="23" t="s">
        <v>212</v>
      </c>
      <c r="C165" s="22" t="s">
        <v>202</v>
      </c>
      <c r="D165" s="10" t="s">
        <v>13</v>
      </c>
      <c r="E165" s="12">
        <v>29.999999999999996</v>
      </c>
      <c r="F165" s="126">
        <v>353438</v>
      </c>
      <c r="G165" s="126">
        <f t="shared" si="19"/>
        <v>10603140</v>
      </c>
      <c r="H165" s="8"/>
      <c r="I165" s="9" t="str">
        <f t="array" ref="I165:L165">_xlfn.XLOOKUP(C165,'Neiva 2021 FASE I UNIFICADO'!$C$6:$C$540,'Neiva 2021 FASE I UNIFICADO'!$C$6:$F$540,"NO ESTA")</f>
        <v>SUMINISTRO E INSTALACION VENTANAL PERFIL 12cm EN ALUMINIO o similar TIPO V-1 Incluye VIDRIO Referencia SOLARBAN Ver NOTAS GENERALES DE PLANCHA</v>
      </c>
      <c r="J165" s="9" t="str">
        <v>M2</v>
      </c>
      <c r="K165" s="9">
        <v>111.43</v>
      </c>
      <c r="L165" s="9">
        <v>327106</v>
      </c>
      <c r="M165" s="124" t="str">
        <f t="shared" si="17"/>
        <v>FASE II</v>
      </c>
      <c r="N165" s="155">
        <f t="shared" si="14"/>
        <v>141.43</v>
      </c>
      <c r="O165" s="156">
        <f t="shared" si="15"/>
        <v>353438</v>
      </c>
      <c r="P165" s="156">
        <f t="shared" si="16"/>
        <v>49986736.340000004</v>
      </c>
    </row>
    <row r="166" spans="2:16" s="9" customFormat="1" ht="35.1" customHeight="1" x14ac:dyDescent="0.25">
      <c r="B166" s="23" t="s">
        <v>213</v>
      </c>
      <c r="C166" s="22" t="s">
        <v>214</v>
      </c>
      <c r="D166" s="10" t="s">
        <v>13</v>
      </c>
      <c r="E166" s="12">
        <v>78.760000000000005</v>
      </c>
      <c r="F166" s="126">
        <v>353438</v>
      </c>
      <c r="G166" s="126">
        <f t="shared" si="19"/>
        <v>27836776.879999999</v>
      </c>
      <c r="H166" s="8"/>
      <c r="I166" s="9" t="str">
        <f t="array" ref="I166:L166">_xlfn.XLOOKUP(C166,'Neiva 2021 FASE I UNIFICADO'!$C$6:$C$540,'Neiva 2021 FASE I UNIFICADO'!$C$6:$F$540,"NO ESTA")</f>
        <v>SUMINISTRO E INSTALACION VENTANAL PERFIL 12cm  AULAS COMPLETO EN ALUMINIO o similar TIPO V-2 Incluye VIDRIO Referencia SOLARBAN Ver NOTAS GENERALES DE PLANCHA</v>
      </c>
      <c r="J166" s="9" t="str">
        <v>M2</v>
      </c>
      <c r="K166" s="9">
        <v>63.83</v>
      </c>
      <c r="L166" s="9">
        <v>327106</v>
      </c>
      <c r="M166" s="124" t="str">
        <f t="shared" si="17"/>
        <v>FASE II</v>
      </c>
      <c r="N166" s="155">
        <f t="shared" si="14"/>
        <v>142.59</v>
      </c>
      <c r="O166" s="156">
        <f t="shared" si="15"/>
        <v>353438</v>
      </c>
      <c r="P166" s="156">
        <f t="shared" si="16"/>
        <v>50396724.420000002</v>
      </c>
    </row>
    <row r="167" spans="2:16" s="9" customFormat="1" ht="35.1" customHeight="1" x14ac:dyDescent="0.25">
      <c r="B167" s="23" t="s">
        <v>215</v>
      </c>
      <c r="C167" s="22" t="s">
        <v>216</v>
      </c>
      <c r="D167" s="10" t="s">
        <v>13</v>
      </c>
      <c r="E167" s="12">
        <v>78.989999999999995</v>
      </c>
      <c r="F167" s="126">
        <v>366927</v>
      </c>
      <c r="G167" s="126">
        <f t="shared" si="19"/>
        <v>28983563.73</v>
      </c>
      <c r="H167" s="8"/>
      <c r="I167" s="9" t="str">
        <f t="array" ref="I167:L167">_xlfn.XLOOKUP(C167,'Neiva 2021 FASE I UNIFICADO'!$C$6:$C$540,'Neiva 2021 FASE I UNIFICADO'!$C$6:$F$540,"NO ESTA")</f>
        <v>SUMINISTRO E INSTALACION VENTANAL PERFIL 15cm EN ALUMINIO o similar TIPO V-3 Incluye VIDRIO Referencia SOLARBAN Ver NOTAS GENERALES DE PLANCHA</v>
      </c>
      <c r="J167" s="9" t="str">
        <v>M2</v>
      </c>
      <c r="K167" s="9">
        <v>7.99</v>
      </c>
      <c r="L167" s="9">
        <v>339589</v>
      </c>
      <c r="M167" s="124" t="str">
        <f t="shared" si="17"/>
        <v>FASE II</v>
      </c>
      <c r="N167" s="155">
        <f t="shared" si="14"/>
        <v>86.97999999999999</v>
      </c>
      <c r="O167" s="156">
        <f t="shared" si="15"/>
        <v>366927</v>
      </c>
      <c r="P167" s="156">
        <f t="shared" si="16"/>
        <v>31915310.459999997</v>
      </c>
    </row>
    <row r="168" spans="2:16" s="9" customFormat="1" ht="35.1" customHeight="1" x14ac:dyDescent="0.25">
      <c r="B168" s="23" t="s">
        <v>217</v>
      </c>
      <c r="C168" s="22" t="s">
        <v>218</v>
      </c>
      <c r="D168" s="10" t="s">
        <v>13</v>
      </c>
      <c r="E168" s="12">
        <v>11.76</v>
      </c>
      <c r="F168" s="126">
        <v>369778</v>
      </c>
      <c r="G168" s="126">
        <f t="shared" si="19"/>
        <v>4348589.28</v>
      </c>
      <c r="H168" s="8"/>
      <c r="I168" s="9" t="str">
        <f t="array" ref="I168:L168">_xlfn.XLOOKUP(C168,'Neiva 2021 FASE I UNIFICADO'!$C$6:$C$540,'Neiva 2021 FASE I UNIFICADO'!$C$6:$F$540,"NO ESTA")</f>
        <v>SUMINISTRO E INSTALACION VENTANAL DOBLE ALTURA LIBRE EN ALUMINIO o similar TIPO V-5 Incluye VIDRIO Referencia SOLARBAN Ver NOTAS GENERALES DE PLANCHA</v>
      </c>
      <c r="J168" s="9" t="str">
        <v>M2</v>
      </c>
      <c r="K168" s="9">
        <v>11.76</v>
      </c>
      <c r="L168" s="9">
        <v>342227</v>
      </c>
      <c r="M168" s="124" t="str">
        <f t="shared" si="17"/>
        <v>FASE II</v>
      </c>
      <c r="N168" s="155">
        <f t="shared" si="14"/>
        <v>23.52</v>
      </c>
      <c r="O168" s="156">
        <f t="shared" si="15"/>
        <v>369778</v>
      </c>
      <c r="P168" s="156">
        <f t="shared" si="16"/>
        <v>8697178.5600000005</v>
      </c>
    </row>
    <row r="169" spans="2:16" s="9" customFormat="1" ht="35.1" customHeight="1" x14ac:dyDescent="0.25">
      <c r="B169" s="23" t="s">
        <v>219</v>
      </c>
      <c r="C169" s="11" t="s">
        <v>220</v>
      </c>
      <c r="D169" s="10" t="s">
        <v>13</v>
      </c>
      <c r="E169" s="12">
        <v>15.659999999999998</v>
      </c>
      <c r="F169" s="126">
        <v>411981</v>
      </c>
      <c r="G169" s="126">
        <f t="shared" si="19"/>
        <v>6451622.46</v>
      </c>
      <c r="H169" s="8"/>
      <c r="I169" s="9" t="str">
        <f t="array" ref="I169:L169">_xlfn.XLOOKUP(C169,'Neiva 2021 FASE I UNIFICADO'!$C$6:$C$540,'Neiva 2021 FASE I UNIFICADO'!$C$6:$F$540,"NO ESTA")</f>
        <v>SUMINISTRO E INSTALACION VENTANAL INTERIOR PERFIL 15cm SALONES EN ALUMINIO o similar TIPO V-6Incluye VIDRIO Referencia TRASLUCIDO TEMPLADO 10MM Ver NOTAS GENERALES DE PLANCHA</v>
      </c>
      <c r="J169" s="9" t="str">
        <v>M2</v>
      </c>
      <c r="K169" s="9">
        <v>10.72</v>
      </c>
      <c r="L169" s="9">
        <v>381287</v>
      </c>
      <c r="M169" s="124" t="str">
        <f t="shared" si="17"/>
        <v>FASE II</v>
      </c>
      <c r="N169" s="155">
        <f t="shared" si="14"/>
        <v>26.38</v>
      </c>
      <c r="O169" s="156">
        <f t="shared" si="15"/>
        <v>411981</v>
      </c>
      <c r="P169" s="156">
        <f t="shared" si="16"/>
        <v>10868058.779999999</v>
      </c>
    </row>
    <row r="170" spans="2:16" s="9" customFormat="1" ht="35.1" customHeight="1" x14ac:dyDescent="0.25">
      <c r="B170" s="13" t="s">
        <v>1124</v>
      </c>
      <c r="C170" s="14" t="s">
        <v>1125</v>
      </c>
      <c r="D170" s="13"/>
      <c r="E170" s="15"/>
      <c r="F170" s="129"/>
      <c r="G170" s="140"/>
      <c r="H170" s="8"/>
      <c r="I170" s="9" t="str">
        <f t="array" ref="I170">_xlfn.XLOOKUP(C170,'Neiva 2021 FASE I UNIFICADO'!$C$6:$C$540,'Neiva 2021 FASE I UNIFICADO'!$C$6:$F$540,"NO ESTA")</f>
        <v>NO ESTA</v>
      </c>
      <c r="M170" s="124">
        <f t="shared" si="17"/>
        <v>0</v>
      </c>
      <c r="N170" s="155">
        <f t="shared" si="14"/>
        <v>0</v>
      </c>
      <c r="O170" s="156">
        <f t="shared" si="15"/>
        <v>0</v>
      </c>
      <c r="P170" s="156">
        <f t="shared" si="16"/>
        <v>0</v>
      </c>
    </row>
    <row r="171" spans="2:16" s="9" customFormat="1" ht="35.1" customHeight="1" x14ac:dyDescent="0.25">
      <c r="B171" s="23" t="s">
        <v>1126</v>
      </c>
      <c r="C171" s="22" t="s">
        <v>210</v>
      </c>
      <c r="D171" s="10" t="s">
        <v>13</v>
      </c>
      <c r="E171" s="12">
        <v>181.07</v>
      </c>
      <c r="F171" s="126">
        <v>249572</v>
      </c>
      <c r="G171" s="126">
        <f t="shared" ref="G171:G176" si="20">ROUND(+F171*E171,2)</f>
        <v>45190002.039999999</v>
      </c>
      <c r="H171" s="8"/>
      <c r="I171" s="9" t="str">
        <f t="array" ref="I171:L171">_xlfn.XLOOKUP(C171,'Neiva 2021 FASE I UNIFICADO'!$C$6:$C$540,'Neiva 2021 FASE I UNIFICADO'!$C$6:$F$540,"NO ESTA")</f>
        <v>SUMINISTRO E INSTALACION CORTASOL Referencia 84R TIPO CS-1 Ver NOTAS GENERALES DE PLANCHA</v>
      </c>
      <c r="J171" s="9" t="str">
        <v>M2</v>
      </c>
      <c r="K171" s="9">
        <v>21.89</v>
      </c>
      <c r="L171" s="9">
        <v>228879</v>
      </c>
      <c r="M171" s="124" t="str">
        <f t="shared" si="17"/>
        <v>FASE II</v>
      </c>
      <c r="N171" s="155">
        <f t="shared" si="14"/>
        <v>202.95999999999998</v>
      </c>
      <c r="O171" s="156">
        <f t="shared" si="15"/>
        <v>249572</v>
      </c>
      <c r="P171" s="156">
        <f t="shared" si="16"/>
        <v>50653133.119999997</v>
      </c>
    </row>
    <row r="172" spans="2:16" s="9" customFormat="1" ht="35.1" customHeight="1" x14ac:dyDescent="0.25">
      <c r="B172" s="23" t="s">
        <v>1127</v>
      </c>
      <c r="C172" s="22" t="s">
        <v>1128</v>
      </c>
      <c r="D172" s="10" t="s">
        <v>13</v>
      </c>
      <c r="E172" s="12">
        <v>34.630000000000003</v>
      </c>
      <c r="F172" s="126">
        <v>311887</v>
      </c>
      <c r="G172" s="126">
        <f t="shared" si="20"/>
        <v>10800646.810000001</v>
      </c>
      <c r="H172" s="8"/>
      <c r="I172" s="9" t="str">
        <f t="array" ref="I172">_xlfn.XLOOKUP(C172,'Neiva 2021 FASE I UNIFICADO'!$C$6:$C$540,'Neiva 2021 FASE I UNIFICADO'!$C$6:$F$540,"NO ESTA")</f>
        <v>NO ESTA</v>
      </c>
      <c r="M172" s="124">
        <f t="shared" si="17"/>
        <v>0</v>
      </c>
      <c r="N172" s="155">
        <f t="shared" si="14"/>
        <v>34.630000000000003</v>
      </c>
      <c r="O172" s="156">
        <f t="shared" si="15"/>
        <v>311887</v>
      </c>
      <c r="P172" s="156">
        <f t="shared" si="16"/>
        <v>10800646.810000001</v>
      </c>
    </row>
    <row r="173" spans="2:16" s="9" customFormat="1" ht="35.1" customHeight="1" x14ac:dyDescent="0.25">
      <c r="B173" s="23" t="s">
        <v>1129</v>
      </c>
      <c r="C173" s="22" t="s">
        <v>202</v>
      </c>
      <c r="D173" s="10" t="s">
        <v>13</v>
      </c>
      <c r="E173" s="12">
        <v>87.57</v>
      </c>
      <c r="F173" s="126">
        <v>353438</v>
      </c>
      <c r="G173" s="126">
        <f t="shared" si="20"/>
        <v>30950565.66</v>
      </c>
      <c r="H173" s="8"/>
      <c r="I173" s="9" t="str">
        <f t="array" ref="I173:L173">_xlfn.XLOOKUP(C173,'Neiva 2021 FASE I UNIFICADO'!$C$6:$C$540,'Neiva 2021 FASE I UNIFICADO'!$C$6:$F$540,"NO ESTA")</f>
        <v>SUMINISTRO E INSTALACION VENTANAL PERFIL 12cm EN ALUMINIO o similar TIPO V-1 Incluye VIDRIO Referencia SOLARBAN Ver NOTAS GENERALES DE PLANCHA</v>
      </c>
      <c r="J173" s="9" t="str">
        <v>M2</v>
      </c>
      <c r="K173" s="9">
        <v>111.43</v>
      </c>
      <c r="L173" s="9">
        <v>327106</v>
      </c>
      <c r="M173" s="124" t="str">
        <f t="shared" si="17"/>
        <v>FASE II</v>
      </c>
      <c r="N173" s="155">
        <f t="shared" si="14"/>
        <v>199</v>
      </c>
      <c r="O173" s="156">
        <f t="shared" si="15"/>
        <v>353438</v>
      </c>
      <c r="P173" s="156">
        <f t="shared" si="16"/>
        <v>70334162</v>
      </c>
    </row>
    <row r="174" spans="2:16" s="9" customFormat="1" ht="35.1" customHeight="1" x14ac:dyDescent="0.25">
      <c r="B174" s="23" t="s">
        <v>1130</v>
      </c>
      <c r="C174" s="22" t="s">
        <v>214</v>
      </c>
      <c r="D174" s="10" t="s">
        <v>13</v>
      </c>
      <c r="E174" s="12">
        <v>157.53</v>
      </c>
      <c r="F174" s="126">
        <v>353438</v>
      </c>
      <c r="G174" s="126">
        <f t="shared" si="20"/>
        <v>55677088.140000001</v>
      </c>
      <c r="H174" s="8"/>
      <c r="I174" s="9" t="str">
        <f t="array" ref="I174:L174">_xlfn.XLOOKUP(C174,'Neiva 2021 FASE I UNIFICADO'!$C$6:$C$540,'Neiva 2021 FASE I UNIFICADO'!$C$6:$F$540,"NO ESTA")</f>
        <v>SUMINISTRO E INSTALACION VENTANAL PERFIL 12cm  AULAS COMPLETO EN ALUMINIO o similar TIPO V-2 Incluye VIDRIO Referencia SOLARBAN Ver NOTAS GENERALES DE PLANCHA</v>
      </c>
      <c r="J174" s="9" t="str">
        <v>M2</v>
      </c>
      <c r="K174" s="9">
        <v>63.83</v>
      </c>
      <c r="L174" s="9">
        <v>327106</v>
      </c>
      <c r="M174" s="124" t="str">
        <f t="shared" si="17"/>
        <v>FASE II</v>
      </c>
      <c r="N174" s="155">
        <f t="shared" si="14"/>
        <v>221.36</v>
      </c>
      <c r="O174" s="156">
        <f t="shared" si="15"/>
        <v>353438</v>
      </c>
      <c r="P174" s="156">
        <f t="shared" si="16"/>
        <v>78237035.680000007</v>
      </c>
    </row>
    <row r="175" spans="2:16" s="9" customFormat="1" ht="35.1" customHeight="1" x14ac:dyDescent="0.25">
      <c r="B175" s="23" t="s">
        <v>1131</v>
      </c>
      <c r="C175" s="22" t="s">
        <v>204</v>
      </c>
      <c r="D175" s="10" t="s">
        <v>13</v>
      </c>
      <c r="E175" s="12">
        <v>148.13999999999999</v>
      </c>
      <c r="F175" s="126">
        <v>369778</v>
      </c>
      <c r="G175" s="126">
        <f t="shared" si="20"/>
        <v>54778912.920000002</v>
      </c>
      <c r="H175" s="8"/>
      <c r="I175" s="9" t="str">
        <f t="array" ref="I175:L175">_xlfn.XLOOKUP(C175,'Neiva 2021 FASE I UNIFICADO'!$C$6:$C$540,'Neiva 2021 FASE I UNIFICADO'!$C$6:$F$540,"NO ESTA")</f>
        <v>SUMINISTRO E INSTALACION VENTANAL DOBLE ALTURA EN ALUMINIO o similar TIPO V-4 Incluye VIDRIO Referencia SOLARBAN Ver NOTAS GENERALES DE PLANCHA</v>
      </c>
      <c r="J175" s="9" t="str">
        <v>M2</v>
      </c>
      <c r="K175" s="9">
        <v>17.010000000000002</v>
      </c>
      <c r="L175" s="9">
        <v>342227</v>
      </c>
      <c r="M175" s="124" t="str">
        <f t="shared" si="17"/>
        <v>FASE II</v>
      </c>
      <c r="N175" s="155">
        <f t="shared" si="14"/>
        <v>165.14999999999998</v>
      </c>
      <c r="O175" s="156">
        <f t="shared" si="15"/>
        <v>369778</v>
      </c>
      <c r="P175" s="156">
        <f t="shared" si="16"/>
        <v>61068836.699999988</v>
      </c>
    </row>
    <row r="176" spans="2:16" s="9" customFormat="1" ht="35.1" customHeight="1" x14ac:dyDescent="0.25">
      <c r="B176" s="23" t="s">
        <v>1132</v>
      </c>
      <c r="C176" s="11" t="s">
        <v>1133</v>
      </c>
      <c r="D176" s="10" t="s">
        <v>13</v>
      </c>
      <c r="E176" s="12">
        <v>31.33</v>
      </c>
      <c r="F176" s="126">
        <v>411981</v>
      </c>
      <c r="G176" s="126">
        <f t="shared" si="20"/>
        <v>12907364.73</v>
      </c>
      <c r="H176" s="8"/>
      <c r="I176" s="9" t="str">
        <f t="array" ref="I176">_xlfn.XLOOKUP(C176,'Neiva 2021 FASE I UNIFICADO'!$C$6:$C$540,'Neiva 2021 FASE I UNIFICADO'!$C$6:$F$540,"NO ESTA")</f>
        <v>NO ESTA</v>
      </c>
      <c r="M176" s="124">
        <f t="shared" si="17"/>
        <v>0</v>
      </c>
      <c r="N176" s="155">
        <f t="shared" si="14"/>
        <v>31.33</v>
      </c>
      <c r="O176" s="156">
        <f t="shared" si="15"/>
        <v>411981</v>
      </c>
      <c r="P176" s="156">
        <f t="shared" si="16"/>
        <v>12907364.729999999</v>
      </c>
    </row>
    <row r="177" spans="2:16" s="9" customFormat="1" ht="35.1" customHeight="1" x14ac:dyDescent="0.25">
      <c r="B177" s="13" t="s">
        <v>1134</v>
      </c>
      <c r="C177" s="14" t="s">
        <v>1135</v>
      </c>
      <c r="D177" s="13"/>
      <c r="E177" s="15"/>
      <c r="F177" s="129"/>
      <c r="G177" s="140"/>
      <c r="H177" s="8"/>
      <c r="I177" s="9" t="str">
        <f t="array" ref="I177">_xlfn.XLOOKUP(C177,'Neiva 2021 FASE I UNIFICADO'!$C$6:$C$540,'Neiva 2021 FASE I UNIFICADO'!$C$6:$F$540,"NO ESTA")</f>
        <v>NO ESTA</v>
      </c>
      <c r="M177" s="124">
        <f t="shared" si="17"/>
        <v>0</v>
      </c>
      <c r="N177" s="155">
        <f t="shared" si="14"/>
        <v>0</v>
      </c>
      <c r="O177" s="156">
        <f t="shared" si="15"/>
        <v>0</v>
      </c>
      <c r="P177" s="156">
        <f t="shared" si="16"/>
        <v>0</v>
      </c>
    </row>
    <row r="178" spans="2:16" s="9" customFormat="1" ht="35.1" customHeight="1" x14ac:dyDescent="0.25">
      <c r="B178" s="23" t="s">
        <v>1136</v>
      </c>
      <c r="C178" s="22" t="s">
        <v>210</v>
      </c>
      <c r="D178" s="10" t="s">
        <v>13</v>
      </c>
      <c r="E178" s="12">
        <v>41.36</v>
      </c>
      <c r="F178" s="126">
        <v>249572</v>
      </c>
      <c r="G178" s="126">
        <f t="shared" ref="G178:G183" si="21">ROUND(+F178*E178,2)</f>
        <v>10322297.92</v>
      </c>
      <c r="H178" s="8"/>
      <c r="I178" s="9" t="str">
        <f t="array" ref="I178:L178">_xlfn.XLOOKUP(C178,'Neiva 2021 FASE I UNIFICADO'!$C$6:$C$540,'Neiva 2021 FASE I UNIFICADO'!$C$6:$F$540,"NO ESTA")</f>
        <v>SUMINISTRO E INSTALACION CORTASOL Referencia 84R TIPO CS-1 Ver NOTAS GENERALES DE PLANCHA</v>
      </c>
      <c r="J178" s="9" t="str">
        <v>M2</v>
      </c>
      <c r="K178" s="9">
        <v>21.89</v>
      </c>
      <c r="L178" s="9">
        <v>228879</v>
      </c>
      <c r="M178" s="124" t="str">
        <f t="shared" si="17"/>
        <v>FASE II</v>
      </c>
      <c r="N178" s="155">
        <f t="shared" si="14"/>
        <v>63.25</v>
      </c>
      <c r="O178" s="156">
        <f t="shared" si="15"/>
        <v>249572</v>
      </c>
      <c r="P178" s="156">
        <f t="shared" si="16"/>
        <v>15785429</v>
      </c>
    </row>
    <row r="179" spans="2:16" s="9" customFormat="1" ht="35.1" customHeight="1" x14ac:dyDescent="0.25">
      <c r="B179" s="23" t="s">
        <v>1137</v>
      </c>
      <c r="C179" s="22" t="s">
        <v>1128</v>
      </c>
      <c r="D179" s="10" t="s">
        <v>13</v>
      </c>
      <c r="E179" s="12">
        <v>124.89</v>
      </c>
      <c r="F179" s="126">
        <v>311887</v>
      </c>
      <c r="G179" s="126">
        <f t="shared" si="21"/>
        <v>38951567.43</v>
      </c>
      <c r="H179" s="8"/>
      <c r="I179" s="9" t="str">
        <f t="array" ref="I179">_xlfn.XLOOKUP(C179,'Neiva 2021 FASE I UNIFICADO'!$C$6:$C$540,'Neiva 2021 FASE I UNIFICADO'!$C$6:$F$540,"NO ESTA")</f>
        <v>NO ESTA</v>
      </c>
      <c r="M179" s="124">
        <f t="shared" si="17"/>
        <v>0</v>
      </c>
      <c r="N179" s="155">
        <f t="shared" si="14"/>
        <v>124.89</v>
      </c>
      <c r="O179" s="156">
        <f t="shared" si="15"/>
        <v>311887</v>
      </c>
      <c r="P179" s="156">
        <f t="shared" si="16"/>
        <v>38951567.43</v>
      </c>
    </row>
    <row r="180" spans="2:16" s="9" customFormat="1" ht="35.1" customHeight="1" x14ac:dyDescent="0.25">
      <c r="B180" s="23" t="s">
        <v>1138</v>
      </c>
      <c r="C180" s="22" t="s">
        <v>202</v>
      </c>
      <c r="D180" s="10" t="s">
        <v>13</v>
      </c>
      <c r="E180" s="12">
        <v>82.95</v>
      </c>
      <c r="F180" s="126">
        <v>353438</v>
      </c>
      <c r="G180" s="126">
        <f t="shared" si="21"/>
        <v>29317682.100000001</v>
      </c>
      <c r="H180" s="8"/>
      <c r="I180" s="9" t="str">
        <f t="array" ref="I180:L180">_xlfn.XLOOKUP(C180,'Neiva 2021 FASE I UNIFICADO'!$C$6:$C$540,'Neiva 2021 FASE I UNIFICADO'!$C$6:$F$540,"NO ESTA")</f>
        <v>SUMINISTRO E INSTALACION VENTANAL PERFIL 12cm EN ALUMINIO o similar TIPO V-1 Incluye VIDRIO Referencia SOLARBAN Ver NOTAS GENERALES DE PLANCHA</v>
      </c>
      <c r="J180" s="9" t="str">
        <v>M2</v>
      </c>
      <c r="K180" s="9">
        <v>111.43</v>
      </c>
      <c r="L180" s="9">
        <v>327106</v>
      </c>
      <c r="M180" s="124" t="str">
        <f t="shared" si="17"/>
        <v>FASE II</v>
      </c>
      <c r="N180" s="155">
        <f t="shared" si="14"/>
        <v>194.38</v>
      </c>
      <c r="O180" s="156">
        <f t="shared" si="15"/>
        <v>353438</v>
      </c>
      <c r="P180" s="156">
        <f t="shared" si="16"/>
        <v>68701278.439999998</v>
      </c>
    </row>
    <row r="181" spans="2:16" s="9" customFormat="1" ht="35.1" customHeight="1" x14ac:dyDescent="0.25">
      <c r="B181" s="10" t="s">
        <v>1139</v>
      </c>
      <c r="C181" s="11" t="s">
        <v>214</v>
      </c>
      <c r="D181" s="10" t="s">
        <v>13</v>
      </c>
      <c r="E181" s="12">
        <v>157.53</v>
      </c>
      <c r="F181" s="126">
        <v>353438</v>
      </c>
      <c r="G181" s="126">
        <f t="shared" si="21"/>
        <v>55677088.140000001</v>
      </c>
      <c r="H181" s="8"/>
      <c r="I181" s="9" t="str">
        <f t="array" ref="I181:L181">_xlfn.XLOOKUP(C181,'Neiva 2021 FASE I UNIFICADO'!$C$6:$C$540,'Neiva 2021 FASE I UNIFICADO'!$C$6:$F$540,"NO ESTA")</f>
        <v>SUMINISTRO E INSTALACION VENTANAL PERFIL 12cm  AULAS COMPLETO EN ALUMINIO o similar TIPO V-2 Incluye VIDRIO Referencia SOLARBAN Ver NOTAS GENERALES DE PLANCHA</v>
      </c>
      <c r="J181" s="9" t="str">
        <v>M2</v>
      </c>
      <c r="K181" s="9">
        <v>63.83</v>
      </c>
      <c r="L181" s="9">
        <v>327106</v>
      </c>
      <c r="M181" s="124" t="str">
        <f t="shared" si="17"/>
        <v>FASE II</v>
      </c>
      <c r="N181" s="155">
        <f t="shared" si="14"/>
        <v>221.36</v>
      </c>
      <c r="O181" s="156">
        <f t="shared" si="15"/>
        <v>353438</v>
      </c>
      <c r="P181" s="156">
        <f t="shared" si="16"/>
        <v>78237035.680000007</v>
      </c>
    </row>
    <row r="182" spans="2:16" s="9" customFormat="1" ht="35.1" customHeight="1" x14ac:dyDescent="0.25">
      <c r="B182" s="10" t="s">
        <v>1140</v>
      </c>
      <c r="C182" s="11" t="s">
        <v>216</v>
      </c>
      <c r="D182" s="10" t="s">
        <v>13</v>
      </c>
      <c r="E182" s="12">
        <v>84.61</v>
      </c>
      <c r="F182" s="126">
        <v>366927</v>
      </c>
      <c r="G182" s="126">
        <f t="shared" si="21"/>
        <v>31045693.469999999</v>
      </c>
      <c r="H182" s="8"/>
      <c r="I182" s="9" t="str">
        <f t="array" ref="I182:L182">_xlfn.XLOOKUP(C182,'Neiva 2021 FASE I UNIFICADO'!$C$6:$C$540,'Neiva 2021 FASE I UNIFICADO'!$C$6:$F$540,"NO ESTA")</f>
        <v>SUMINISTRO E INSTALACION VENTANAL PERFIL 15cm EN ALUMINIO o similar TIPO V-3 Incluye VIDRIO Referencia SOLARBAN Ver NOTAS GENERALES DE PLANCHA</v>
      </c>
      <c r="J182" s="9" t="str">
        <v>M2</v>
      </c>
      <c r="K182" s="9">
        <v>7.99</v>
      </c>
      <c r="L182" s="9">
        <v>339589</v>
      </c>
      <c r="M182" s="124" t="str">
        <f t="shared" si="17"/>
        <v>FASE II</v>
      </c>
      <c r="N182" s="155">
        <f t="shared" si="14"/>
        <v>92.6</v>
      </c>
      <c r="O182" s="156">
        <f t="shared" si="15"/>
        <v>366927</v>
      </c>
      <c r="P182" s="156">
        <f t="shared" si="16"/>
        <v>33977440.199999996</v>
      </c>
    </row>
    <row r="183" spans="2:16" s="9" customFormat="1" ht="35.1" customHeight="1" x14ac:dyDescent="0.25">
      <c r="B183" s="10" t="s">
        <v>1141</v>
      </c>
      <c r="C183" s="11" t="s">
        <v>220</v>
      </c>
      <c r="D183" s="10" t="s">
        <v>13</v>
      </c>
      <c r="E183" s="12">
        <v>31.96</v>
      </c>
      <c r="F183" s="126">
        <v>411981</v>
      </c>
      <c r="G183" s="126">
        <f t="shared" si="21"/>
        <v>13166912.76</v>
      </c>
      <c r="H183" s="8"/>
      <c r="I183" s="9" t="str">
        <f t="array" ref="I183:L183">_xlfn.XLOOKUP(C183,'Neiva 2021 FASE I UNIFICADO'!$C$6:$C$540,'Neiva 2021 FASE I UNIFICADO'!$C$6:$F$540,"NO ESTA")</f>
        <v>SUMINISTRO E INSTALACION VENTANAL INTERIOR PERFIL 15cm SALONES EN ALUMINIO o similar TIPO V-6Incluye VIDRIO Referencia TRASLUCIDO TEMPLADO 10MM Ver NOTAS GENERALES DE PLANCHA</v>
      </c>
      <c r="J183" s="9" t="str">
        <v>M2</v>
      </c>
      <c r="K183" s="9">
        <v>10.72</v>
      </c>
      <c r="L183" s="9">
        <v>381287</v>
      </c>
      <c r="M183" s="124" t="str">
        <f t="shared" si="17"/>
        <v>FASE II</v>
      </c>
      <c r="N183" s="155">
        <f t="shared" si="14"/>
        <v>42.68</v>
      </c>
      <c r="O183" s="156">
        <f t="shared" si="15"/>
        <v>411981</v>
      </c>
      <c r="P183" s="156">
        <f t="shared" si="16"/>
        <v>17583349.079999998</v>
      </c>
    </row>
    <row r="184" spans="2:16" s="9" customFormat="1" ht="35.1" customHeight="1" x14ac:dyDescent="0.25">
      <c r="B184" s="16">
        <v>9</v>
      </c>
      <c r="C184" s="17" t="s">
        <v>221</v>
      </c>
      <c r="D184" s="17"/>
      <c r="E184" s="18"/>
      <c r="F184" s="133"/>
      <c r="G184" s="143"/>
      <c r="H184" s="8"/>
      <c r="M184" s="124">
        <f t="shared" si="17"/>
        <v>0</v>
      </c>
      <c r="N184" s="155">
        <f t="shared" si="14"/>
        <v>0</v>
      </c>
      <c r="O184" s="156">
        <f t="shared" si="15"/>
        <v>0</v>
      </c>
      <c r="P184" s="156">
        <f t="shared" si="16"/>
        <v>0</v>
      </c>
    </row>
    <row r="185" spans="2:16" s="9" customFormat="1" ht="35.1" customHeight="1" x14ac:dyDescent="0.25">
      <c r="B185" s="13" t="s">
        <v>222</v>
      </c>
      <c r="C185" s="14" t="s">
        <v>223</v>
      </c>
      <c r="D185" s="13"/>
      <c r="E185" s="15"/>
      <c r="F185" s="126">
        <v>0</v>
      </c>
      <c r="G185" s="126">
        <f t="shared" ref="G185:G197" si="22">ROUND(+F185*E185,2)</f>
        <v>0</v>
      </c>
      <c r="H185" s="8"/>
      <c r="M185" s="124">
        <f t="shared" si="17"/>
        <v>0</v>
      </c>
      <c r="N185" s="155">
        <f t="shared" si="14"/>
        <v>0</v>
      </c>
      <c r="O185" s="156">
        <f t="shared" si="15"/>
        <v>0</v>
      </c>
      <c r="P185" s="156">
        <f t="shared" si="16"/>
        <v>0</v>
      </c>
    </row>
    <row r="186" spans="2:16" s="9" customFormat="1" ht="35.1" customHeight="1" x14ac:dyDescent="0.25">
      <c r="B186" s="23" t="s">
        <v>224</v>
      </c>
      <c r="C186" s="22" t="s">
        <v>225</v>
      </c>
      <c r="D186" s="10" t="s">
        <v>13</v>
      </c>
      <c r="E186" s="12">
        <v>0</v>
      </c>
      <c r="F186" s="126">
        <v>1381990</v>
      </c>
      <c r="G186" s="126">
        <f t="shared" si="22"/>
        <v>0</v>
      </c>
      <c r="H186" s="8"/>
      <c r="M186" s="124">
        <f t="shared" si="17"/>
        <v>0</v>
      </c>
      <c r="N186" s="155">
        <f t="shared" si="14"/>
        <v>0</v>
      </c>
      <c r="O186" s="156">
        <f t="shared" si="15"/>
        <v>1381990</v>
      </c>
      <c r="P186" s="156">
        <f t="shared" si="16"/>
        <v>0</v>
      </c>
    </row>
    <row r="187" spans="2:16" s="9" customFormat="1" ht="35.1" customHeight="1" x14ac:dyDescent="0.25">
      <c r="B187" s="23" t="s">
        <v>226</v>
      </c>
      <c r="C187" s="22" t="s">
        <v>227</v>
      </c>
      <c r="D187" s="10" t="s">
        <v>13</v>
      </c>
      <c r="E187" s="12">
        <v>0</v>
      </c>
      <c r="F187" s="126">
        <v>131548</v>
      </c>
      <c r="G187" s="126">
        <f t="shared" si="22"/>
        <v>0</v>
      </c>
      <c r="H187" s="8"/>
      <c r="M187" s="124">
        <f t="shared" si="17"/>
        <v>0</v>
      </c>
      <c r="N187" s="155">
        <f t="shared" si="14"/>
        <v>0</v>
      </c>
      <c r="O187" s="156">
        <f t="shared" si="15"/>
        <v>131548</v>
      </c>
      <c r="P187" s="156">
        <f t="shared" si="16"/>
        <v>0</v>
      </c>
    </row>
    <row r="188" spans="2:16" s="9" customFormat="1" ht="35.1" customHeight="1" x14ac:dyDescent="0.25">
      <c r="B188" s="23" t="s">
        <v>228</v>
      </c>
      <c r="C188" s="22" t="s">
        <v>229</v>
      </c>
      <c r="D188" s="10" t="s">
        <v>13</v>
      </c>
      <c r="E188" s="12">
        <v>0</v>
      </c>
      <c r="F188" s="126">
        <v>154697</v>
      </c>
      <c r="G188" s="126">
        <f t="shared" si="22"/>
        <v>0</v>
      </c>
      <c r="H188" s="8"/>
      <c r="M188" s="124">
        <f t="shared" si="17"/>
        <v>0</v>
      </c>
      <c r="N188" s="155">
        <f t="shared" si="14"/>
        <v>0</v>
      </c>
      <c r="O188" s="156">
        <f t="shared" si="15"/>
        <v>154697</v>
      </c>
      <c r="P188" s="156">
        <f t="shared" si="16"/>
        <v>0</v>
      </c>
    </row>
    <row r="189" spans="2:16" s="9" customFormat="1" ht="35.1" customHeight="1" x14ac:dyDescent="0.25">
      <c r="B189" s="23" t="s">
        <v>230</v>
      </c>
      <c r="C189" s="22" t="s">
        <v>1142</v>
      </c>
      <c r="D189" s="10" t="s">
        <v>13</v>
      </c>
      <c r="E189" s="12">
        <v>0</v>
      </c>
      <c r="F189" s="126">
        <v>252212</v>
      </c>
      <c r="G189" s="126">
        <f t="shared" si="22"/>
        <v>0</v>
      </c>
      <c r="H189" s="8"/>
      <c r="M189" s="124">
        <f t="shared" si="17"/>
        <v>0</v>
      </c>
      <c r="N189" s="155">
        <f t="shared" si="14"/>
        <v>0</v>
      </c>
      <c r="O189" s="156">
        <f t="shared" si="15"/>
        <v>252212</v>
      </c>
      <c r="P189" s="156">
        <f t="shared" si="16"/>
        <v>0</v>
      </c>
    </row>
    <row r="190" spans="2:16" s="9" customFormat="1" ht="35.1" customHeight="1" x14ac:dyDescent="0.25">
      <c r="B190" s="13" t="s">
        <v>232</v>
      </c>
      <c r="C190" s="14" t="s">
        <v>233</v>
      </c>
      <c r="D190" s="27"/>
      <c r="E190" s="15"/>
      <c r="F190" s="126">
        <v>0</v>
      </c>
      <c r="G190" s="126">
        <f t="shared" si="22"/>
        <v>0</v>
      </c>
      <c r="H190" s="8"/>
      <c r="M190" s="124">
        <f t="shared" si="17"/>
        <v>0</v>
      </c>
      <c r="N190" s="155">
        <f t="shared" si="14"/>
        <v>0</v>
      </c>
      <c r="O190" s="156">
        <f t="shared" si="15"/>
        <v>0</v>
      </c>
      <c r="P190" s="156">
        <f t="shared" si="16"/>
        <v>0</v>
      </c>
    </row>
    <row r="191" spans="2:16" s="9" customFormat="1" ht="35.1" customHeight="1" x14ac:dyDescent="0.25">
      <c r="B191" s="23" t="s">
        <v>234</v>
      </c>
      <c r="C191" s="22" t="s">
        <v>225</v>
      </c>
      <c r="D191" s="10" t="s">
        <v>13</v>
      </c>
      <c r="E191" s="12">
        <v>0</v>
      </c>
      <c r="F191" s="126">
        <v>1381990</v>
      </c>
      <c r="G191" s="126">
        <f t="shared" si="22"/>
        <v>0</v>
      </c>
      <c r="H191" s="8"/>
      <c r="M191" s="124">
        <f t="shared" si="17"/>
        <v>0</v>
      </c>
      <c r="N191" s="155">
        <f t="shared" si="14"/>
        <v>0</v>
      </c>
      <c r="O191" s="156">
        <f t="shared" si="15"/>
        <v>1381990</v>
      </c>
      <c r="P191" s="156">
        <f t="shared" si="16"/>
        <v>0</v>
      </c>
    </row>
    <row r="192" spans="2:16" s="9" customFormat="1" ht="35.1" customHeight="1" x14ac:dyDescent="0.25">
      <c r="B192" s="23" t="s">
        <v>235</v>
      </c>
      <c r="C192" s="22" t="s">
        <v>227</v>
      </c>
      <c r="D192" s="10" t="s">
        <v>13</v>
      </c>
      <c r="E192" s="12">
        <v>0</v>
      </c>
      <c r="F192" s="126">
        <v>131548</v>
      </c>
      <c r="G192" s="126">
        <f t="shared" si="22"/>
        <v>0</v>
      </c>
      <c r="H192" s="8"/>
      <c r="M192" s="124">
        <f t="shared" si="17"/>
        <v>0</v>
      </c>
      <c r="N192" s="155">
        <f t="shared" si="14"/>
        <v>0</v>
      </c>
      <c r="O192" s="156">
        <f t="shared" si="15"/>
        <v>131548</v>
      </c>
      <c r="P192" s="156">
        <f t="shared" si="16"/>
        <v>0</v>
      </c>
    </row>
    <row r="193" spans="2:16" s="9" customFormat="1" ht="35.1" customHeight="1" x14ac:dyDescent="0.25">
      <c r="B193" s="23" t="s">
        <v>236</v>
      </c>
      <c r="C193" s="22" t="s">
        <v>237</v>
      </c>
      <c r="D193" s="10" t="s">
        <v>13</v>
      </c>
      <c r="E193" s="12">
        <v>0</v>
      </c>
      <c r="F193" s="126">
        <v>731553</v>
      </c>
      <c r="G193" s="126">
        <f t="shared" si="22"/>
        <v>0</v>
      </c>
      <c r="H193" s="8"/>
      <c r="M193" s="124">
        <f t="shared" si="17"/>
        <v>0</v>
      </c>
      <c r="N193" s="155">
        <f t="shared" si="14"/>
        <v>0</v>
      </c>
      <c r="O193" s="156">
        <f t="shared" si="15"/>
        <v>731553</v>
      </c>
      <c r="P193" s="156">
        <f t="shared" si="16"/>
        <v>0</v>
      </c>
    </row>
    <row r="194" spans="2:16" s="9" customFormat="1" ht="35.1" customHeight="1" x14ac:dyDescent="0.25">
      <c r="B194" s="23" t="s">
        <v>238</v>
      </c>
      <c r="C194" s="22" t="s">
        <v>239</v>
      </c>
      <c r="D194" s="10" t="s">
        <v>13</v>
      </c>
      <c r="E194" s="12">
        <v>0</v>
      </c>
      <c r="F194" s="126">
        <v>731553</v>
      </c>
      <c r="G194" s="126">
        <f t="shared" si="22"/>
        <v>0</v>
      </c>
      <c r="H194" s="8"/>
      <c r="M194" s="124">
        <f t="shared" si="17"/>
        <v>0</v>
      </c>
      <c r="N194" s="155">
        <f t="shared" si="14"/>
        <v>0</v>
      </c>
      <c r="O194" s="156">
        <f t="shared" si="15"/>
        <v>731553</v>
      </c>
      <c r="P194" s="156">
        <f t="shared" si="16"/>
        <v>0</v>
      </c>
    </row>
    <row r="195" spans="2:16" s="9" customFormat="1" ht="35.1" customHeight="1" x14ac:dyDescent="0.25">
      <c r="B195" s="23" t="s">
        <v>240</v>
      </c>
      <c r="C195" s="22" t="s">
        <v>241</v>
      </c>
      <c r="D195" s="10" t="s">
        <v>13</v>
      </c>
      <c r="E195" s="12">
        <v>0</v>
      </c>
      <c r="F195" s="126">
        <v>731553</v>
      </c>
      <c r="G195" s="126">
        <f t="shared" si="22"/>
        <v>0</v>
      </c>
      <c r="H195" s="8"/>
      <c r="M195" s="124">
        <f t="shared" si="17"/>
        <v>0</v>
      </c>
      <c r="N195" s="155">
        <f t="shared" si="14"/>
        <v>0</v>
      </c>
      <c r="O195" s="156">
        <f t="shared" si="15"/>
        <v>731553</v>
      </c>
      <c r="P195" s="156">
        <f t="shared" si="16"/>
        <v>0</v>
      </c>
    </row>
    <row r="196" spans="2:16" s="9" customFormat="1" ht="35.1" customHeight="1" x14ac:dyDescent="0.25">
      <c r="B196" s="23" t="s">
        <v>242</v>
      </c>
      <c r="C196" s="22" t="s">
        <v>229</v>
      </c>
      <c r="D196" s="10" t="s">
        <v>13</v>
      </c>
      <c r="E196" s="12">
        <v>0</v>
      </c>
      <c r="F196" s="126">
        <v>154697</v>
      </c>
      <c r="G196" s="126">
        <f t="shared" si="22"/>
        <v>0</v>
      </c>
      <c r="H196" s="8"/>
      <c r="M196" s="124">
        <f t="shared" si="17"/>
        <v>0</v>
      </c>
      <c r="N196" s="155">
        <f t="shared" si="14"/>
        <v>0</v>
      </c>
      <c r="O196" s="156">
        <f t="shared" si="15"/>
        <v>154697</v>
      </c>
      <c r="P196" s="156">
        <f t="shared" si="16"/>
        <v>0</v>
      </c>
    </row>
    <row r="197" spans="2:16" s="9" customFormat="1" ht="35.1" customHeight="1" x14ac:dyDescent="0.25">
      <c r="B197" s="23" t="s">
        <v>243</v>
      </c>
      <c r="C197" s="22" t="s">
        <v>244</v>
      </c>
      <c r="D197" s="10" t="s">
        <v>13</v>
      </c>
      <c r="E197" s="12">
        <v>0</v>
      </c>
      <c r="F197" s="126">
        <v>579822</v>
      </c>
      <c r="G197" s="126">
        <f t="shared" si="22"/>
        <v>0</v>
      </c>
      <c r="H197" s="8"/>
      <c r="M197" s="124">
        <f t="shared" si="17"/>
        <v>0</v>
      </c>
      <c r="N197" s="155">
        <f t="shared" si="14"/>
        <v>0</v>
      </c>
      <c r="O197" s="156">
        <f t="shared" si="15"/>
        <v>579822</v>
      </c>
      <c r="P197" s="156">
        <f t="shared" si="16"/>
        <v>0</v>
      </c>
    </row>
    <row r="198" spans="2:16" s="9" customFormat="1" ht="35.1" customHeight="1" x14ac:dyDescent="0.25">
      <c r="B198" s="13" t="s">
        <v>245</v>
      </c>
      <c r="C198" s="14" t="s">
        <v>246</v>
      </c>
      <c r="D198" s="13"/>
      <c r="E198" s="15"/>
      <c r="F198" s="129"/>
      <c r="G198" s="140"/>
      <c r="H198" s="8"/>
      <c r="M198" s="124">
        <f t="shared" si="17"/>
        <v>0</v>
      </c>
      <c r="N198" s="155">
        <f t="shared" ref="N198:N261" si="23">E198+K198</f>
        <v>0</v>
      </c>
      <c r="O198" s="156">
        <f t="shared" ref="O198:O261" si="24">MAX(L198,F198)</f>
        <v>0</v>
      </c>
      <c r="P198" s="156">
        <f t="shared" ref="P198:P261" si="25">N198*O198</f>
        <v>0</v>
      </c>
    </row>
    <row r="199" spans="2:16" s="9" customFormat="1" ht="35.1" customHeight="1" x14ac:dyDescent="0.25">
      <c r="B199" s="23" t="s">
        <v>247</v>
      </c>
      <c r="C199" s="22" t="s">
        <v>225</v>
      </c>
      <c r="D199" s="10" t="s">
        <v>13</v>
      </c>
      <c r="E199" s="12">
        <v>2.2000000000000002</v>
      </c>
      <c r="F199" s="126">
        <v>1381990</v>
      </c>
      <c r="G199" s="126">
        <f t="shared" ref="G199:G204" si="26">ROUND(+F199*E199,2)</f>
        <v>3040378</v>
      </c>
      <c r="H199" s="8"/>
      <c r="I199" s="9" t="str">
        <f t="array" ref="I199:L199">_xlfn.XLOOKUP(C199,'Neiva 2021 FASE I UNIFICADO'!$C$6:$C$540,'Neiva 2021 FASE I UNIFICADO'!$C$6:$F$540,"NO ESTA")</f>
        <v>SUMINISTRO E INSTALACION PUERTA DE EVACUACIÓN TIPO P-1 Ver NOTAS GENERALES DE PLANCHA</v>
      </c>
      <c r="J199" s="9" t="str">
        <v>M2</v>
      </c>
      <c r="K199" s="9">
        <v>4.4000000000000004</v>
      </c>
      <c r="L199" s="9">
        <v>1279025</v>
      </c>
      <c r="M199" s="124" t="str">
        <f t="shared" si="17"/>
        <v>FASE II</v>
      </c>
      <c r="N199" s="155">
        <f t="shared" si="23"/>
        <v>6.6000000000000005</v>
      </c>
      <c r="O199" s="156">
        <f t="shared" si="24"/>
        <v>1381990</v>
      </c>
      <c r="P199" s="156">
        <f t="shared" si="25"/>
        <v>9121134</v>
      </c>
    </row>
    <row r="200" spans="2:16" s="9" customFormat="1" ht="35.1" customHeight="1" x14ac:dyDescent="0.25">
      <c r="B200" s="23" t="s">
        <v>248</v>
      </c>
      <c r="C200" s="22" t="s">
        <v>227</v>
      </c>
      <c r="D200" s="10" t="s">
        <v>13</v>
      </c>
      <c r="E200" s="12">
        <v>2.16</v>
      </c>
      <c r="F200" s="126">
        <v>131548</v>
      </c>
      <c r="G200" s="126">
        <f t="shared" si="26"/>
        <v>284143.68</v>
      </c>
      <c r="H200" s="8">
        <f>ROUND(F200*(1+$H$3),0)</f>
        <v>256887</v>
      </c>
      <c r="I200" s="9" t="str">
        <f t="array" ref="I200:L200">_xlfn.XLOOKUP(C200,'Neiva 2021 FASE I UNIFICADO'!$C$6:$C$540,'Neiva 2021 FASE I UNIFICADO'!$C$6:$F$540,"NO ESTA")</f>
        <v>SUMINISTRO E INSTALACION PUERTA METALICA DEPOSITOS TIPO P-2 Ver NOTAS GENERALES DE PLANCHA</v>
      </c>
      <c r="J200" s="9" t="str">
        <v>M2</v>
      </c>
      <c r="K200" s="9">
        <v>15.12</v>
      </c>
      <c r="L200" s="9">
        <v>121747</v>
      </c>
      <c r="M200" s="124" t="str">
        <f t="shared" ref="M200:M263" si="27">IF(L200=0,0,(IF(F200&lt;L200, "FASE I","FASE II")))</f>
        <v>FASE II</v>
      </c>
      <c r="N200" s="155">
        <f t="shared" si="23"/>
        <v>17.28</v>
      </c>
      <c r="O200" s="156">
        <f t="shared" si="24"/>
        <v>131548</v>
      </c>
      <c r="P200" s="156">
        <f t="shared" si="25"/>
        <v>2273149.44</v>
      </c>
    </row>
    <row r="201" spans="2:16" s="9" customFormat="1" ht="35.1" customHeight="1" x14ac:dyDescent="0.25">
      <c r="B201" s="23" t="s">
        <v>249</v>
      </c>
      <c r="C201" s="22" t="s">
        <v>237</v>
      </c>
      <c r="D201" s="10" t="s">
        <v>13</v>
      </c>
      <c r="E201" s="12">
        <v>4.8</v>
      </c>
      <c r="F201" s="126">
        <v>731553</v>
      </c>
      <c r="G201" s="126">
        <f t="shared" si="26"/>
        <v>3511454.4</v>
      </c>
      <c r="H201" s="8"/>
      <c r="I201" s="9" t="str">
        <f t="array" ref="I201:L201">_xlfn.XLOOKUP(C201,'Neiva 2021 FASE I UNIFICADO'!$C$6:$C$540,'Neiva 2021 FASE I UNIFICADO'!$C$6:$F$540,"NO ESTA")</f>
        <v>SUMINISTRO E INSTALACION PUERTA DIVISORIA DE MADERA TIPO P-3 Ver NOTAS GENERALES DE PLANCHA</v>
      </c>
      <c r="J201" s="9" t="str">
        <v>M2</v>
      </c>
      <c r="K201" s="9">
        <v>2.4</v>
      </c>
      <c r="L201" s="9">
        <v>677048</v>
      </c>
      <c r="M201" s="124" t="str">
        <f t="shared" si="27"/>
        <v>FASE II</v>
      </c>
      <c r="N201" s="155">
        <f t="shared" si="23"/>
        <v>7.1999999999999993</v>
      </c>
      <c r="O201" s="156">
        <f t="shared" si="24"/>
        <v>731553</v>
      </c>
      <c r="P201" s="156">
        <f t="shared" si="25"/>
        <v>5267181.5999999996</v>
      </c>
    </row>
    <row r="202" spans="2:16" s="9" customFormat="1" ht="35.1" customHeight="1" x14ac:dyDescent="0.25">
      <c r="B202" s="23" t="s">
        <v>250</v>
      </c>
      <c r="C202" s="22" t="s">
        <v>239</v>
      </c>
      <c r="D202" s="10" t="s">
        <v>13</v>
      </c>
      <c r="E202" s="12">
        <v>2.16</v>
      </c>
      <c r="F202" s="126">
        <v>731553</v>
      </c>
      <c r="G202" s="126">
        <f t="shared" si="26"/>
        <v>1580154.48</v>
      </c>
      <c r="H202" s="8"/>
      <c r="I202" s="9" t="str">
        <f t="array" ref="I202:L202">_xlfn.XLOOKUP(C202,'Neiva 2021 FASE I UNIFICADO'!$C$6:$C$540,'Neiva 2021 FASE I UNIFICADO'!$C$6:$F$540,"NO ESTA")</f>
        <v>SUMINISTRO E INSTALACION PUERTA DIVISORIA DE MADERA TIPO P-4 Ver NOTAS GENERALES DE PLANCHA</v>
      </c>
      <c r="J202" s="9" t="str">
        <v>M2</v>
      </c>
      <c r="K202" s="9">
        <v>12.96</v>
      </c>
      <c r="L202" s="9">
        <v>677048</v>
      </c>
      <c r="M202" s="124" t="str">
        <f t="shared" si="27"/>
        <v>FASE II</v>
      </c>
      <c r="N202" s="155">
        <f t="shared" si="23"/>
        <v>15.120000000000001</v>
      </c>
      <c r="O202" s="156">
        <f t="shared" si="24"/>
        <v>731553</v>
      </c>
      <c r="P202" s="156">
        <f t="shared" si="25"/>
        <v>11061081.360000001</v>
      </c>
    </row>
    <row r="203" spans="2:16" s="9" customFormat="1" ht="35.1" customHeight="1" x14ac:dyDescent="0.25">
      <c r="B203" s="23" t="s">
        <v>251</v>
      </c>
      <c r="C203" s="22" t="s">
        <v>241</v>
      </c>
      <c r="D203" s="10" t="s">
        <v>13</v>
      </c>
      <c r="E203" s="12">
        <v>2.88</v>
      </c>
      <c r="F203" s="126">
        <v>731553</v>
      </c>
      <c r="G203" s="126">
        <f t="shared" si="26"/>
        <v>2106872.64</v>
      </c>
      <c r="H203" s="8"/>
      <c r="I203" s="9" t="str">
        <f t="array" ref="I203:L203">_xlfn.XLOOKUP(C203,'Neiva 2021 FASE I UNIFICADO'!$C$6:$C$540,'Neiva 2021 FASE I UNIFICADO'!$C$6:$F$540,"NO ESTA")</f>
        <v>SUMINISTRO E INSTALACION PUERTA DIVISORIA DE MADERA TIPO P-5 Ver NOTAS GENERALES DE PLANCHA</v>
      </c>
      <c r="J203" s="9" t="str">
        <v>M2</v>
      </c>
      <c r="K203" s="9">
        <v>5.76</v>
      </c>
      <c r="L203" s="9">
        <v>677048</v>
      </c>
      <c r="M203" s="124" t="str">
        <f t="shared" si="27"/>
        <v>FASE II</v>
      </c>
      <c r="N203" s="155">
        <f t="shared" si="23"/>
        <v>8.64</v>
      </c>
      <c r="O203" s="156">
        <f t="shared" si="24"/>
        <v>731553</v>
      </c>
      <c r="P203" s="156">
        <f t="shared" si="25"/>
        <v>6320617.9200000009</v>
      </c>
    </row>
    <row r="204" spans="2:16" s="9" customFormat="1" ht="35.1" customHeight="1" x14ac:dyDescent="0.25">
      <c r="B204" s="23" t="s">
        <v>252</v>
      </c>
      <c r="C204" s="22" t="s">
        <v>244</v>
      </c>
      <c r="D204" s="10" t="s">
        <v>13</v>
      </c>
      <c r="E204" s="12">
        <v>14.3</v>
      </c>
      <c r="F204" s="126">
        <v>579822</v>
      </c>
      <c r="G204" s="126">
        <f t="shared" si="26"/>
        <v>8291454.5999999996</v>
      </c>
      <c r="H204" s="8"/>
      <c r="I204" s="9" t="str">
        <f t="array" ref="I204:L204">_xlfn.XLOOKUP(C204,'Neiva 2021 FASE I UNIFICADO'!$C$6:$C$540,'Neiva 2021 FASE I UNIFICADO'!$C$6:$F$540,"NO ESTA")</f>
        <v>SUMINISTRO E INSTALACION PUERTA DIVISORIA EN VIDRIO TIPO PV1 Ver NOTAS GENERALES DE PLANCHA</v>
      </c>
      <c r="J204" s="9" t="str">
        <v>M2</v>
      </c>
      <c r="K204" s="9">
        <v>24.8</v>
      </c>
      <c r="L204" s="9">
        <v>536623</v>
      </c>
      <c r="M204" s="124" t="str">
        <f t="shared" si="27"/>
        <v>FASE II</v>
      </c>
      <c r="N204" s="155">
        <f t="shared" si="23"/>
        <v>39.1</v>
      </c>
      <c r="O204" s="156">
        <f t="shared" si="24"/>
        <v>579822</v>
      </c>
      <c r="P204" s="156">
        <f t="shared" si="25"/>
        <v>22671040.199999999</v>
      </c>
    </row>
    <row r="205" spans="2:16" s="9" customFormat="1" ht="35.1" customHeight="1" x14ac:dyDescent="0.25">
      <c r="B205" s="13" t="s">
        <v>1143</v>
      </c>
      <c r="C205" s="14" t="s">
        <v>1144</v>
      </c>
      <c r="D205" s="13"/>
      <c r="E205" s="15"/>
      <c r="F205" s="129"/>
      <c r="G205" s="140"/>
      <c r="H205" s="8"/>
      <c r="I205" s="9" t="str">
        <f t="array" ref="I205">_xlfn.XLOOKUP(C205,'Neiva 2021 FASE I UNIFICADO'!$C$6:$C$540,'Neiva 2021 FASE I UNIFICADO'!$C$6:$F$540,"NO ESTA")</f>
        <v>NO ESTA</v>
      </c>
      <c r="M205" s="124">
        <f t="shared" si="27"/>
        <v>0</v>
      </c>
      <c r="N205" s="155">
        <f t="shared" si="23"/>
        <v>0</v>
      </c>
      <c r="O205" s="156">
        <f t="shared" si="24"/>
        <v>0</v>
      </c>
      <c r="P205" s="156">
        <f t="shared" si="25"/>
        <v>0</v>
      </c>
    </row>
    <row r="206" spans="2:16" s="9" customFormat="1" ht="35.1" customHeight="1" x14ac:dyDescent="0.25">
      <c r="B206" s="23" t="s">
        <v>1145</v>
      </c>
      <c r="C206" s="22" t="s">
        <v>225</v>
      </c>
      <c r="D206" s="10" t="s">
        <v>13</v>
      </c>
      <c r="E206" s="12">
        <v>4.4000000000000004</v>
      </c>
      <c r="F206" s="126">
        <v>1381990</v>
      </c>
      <c r="G206" s="126">
        <f t="shared" ref="G206:G211" si="28">ROUND(+F206*E206,2)</f>
        <v>6080756</v>
      </c>
      <c r="H206" s="8"/>
      <c r="I206" s="9" t="str">
        <f t="array" ref="I206:L206">_xlfn.XLOOKUP(C206,'Neiva 2021 FASE I UNIFICADO'!$C$6:$C$540,'Neiva 2021 FASE I UNIFICADO'!$C$6:$F$540,"NO ESTA")</f>
        <v>SUMINISTRO E INSTALACION PUERTA DE EVACUACIÓN TIPO P-1 Ver NOTAS GENERALES DE PLANCHA</v>
      </c>
      <c r="J206" s="9" t="str">
        <v>M2</v>
      </c>
      <c r="K206" s="9">
        <v>4.4000000000000004</v>
      </c>
      <c r="L206" s="9">
        <v>1279025</v>
      </c>
      <c r="M206" s="124" t="str">
        <f t="shared" si="27"/>
        <v>FASE II</v>
      </c>
      <c r="N206" s="155">
        <f t="shared" si="23"/>
        <v>8.8000000000000007</v>
      </c>
      <c r="O206" s="156">
        <f t="shared" si="24"/>
        <v>1381990</v>
      </c>
      <c r="P206" s="156">
        <f t="shared" si="25"/>
        <v>12161512.000000002</v>
      </c>
    </row>
    <row r="207" spans="2:16" s="9" customFormat="1" ht="35.1" customHeight="1" x14ac:dyDescent="0.25">
      <c r="B207" s="23" t="s">
        <v>1146</v>
      </c>
      <c r="C207" s="22" t="s">
        <v>227</v>
      </c>
      <c r="D207" s="10" t="s">
        <v>13</v>
      </c>
      <c r="E207" s="12">
        <v>4.32</v>
      </c>
      <c r="F207" s="126">
        <v>131548</v>
      </c>
      <c r="G207" s="126">
        <f t="shared" si="28"/>
        <v>568287.36</v>
      </c>
      <c r="H207" s="8">
        <f>ROUND(F207*(1+$H$3),0)</f>
        <v>256887</v>
      </c>
      <c r="I207" s="9" t="str">
        <f t="array" ref="I207:L207">_xlfn.XLOOKUP(C207,'Neiva 2021 FASE I UNIFICADO'!$C$6:$C$540,'Neiva 2021 FASE I UNIFICADO'!$C$6:$F$540,"NO ESTA")</f>
        <v>SUMINISTRO E INSTALACION PUERTA METALICA DEPOSITOS TIPO P-2 Ver NOTAS GENERALES DE PLANCHA</v>
      </c>
      <c r="J207" s="9" t="str">
        <v>M2</v>
      </c>
      <c r="K207" s="9">
        <v>15.12</v>
      </c>
      <c r="L207" s="9">
        <v>121747</v>
      </c>
      <c r="M207" s="124" t="str">
        <f t="shared" si="27"/>
        <v>FASE II</v>
      </c>
      <c r="N207" s="155">
        <f t="shared" si="23"/>
        <v>19.439999999999998</v>
      </c>
      <c r="O207" s="156">
        <f t="shared" si="24"/>
        <v>131548</v>
      </c>
      <c r="P207" s="156">
        <f t="shared" si="25"/>
        <v>2557293.1199999996</v>
      </c>
    </row>
    <row r="208" spans="2:16" s="9" customFormat="1" ht="35.1" customHeight="1" x14ac:dyDescent="0.25">
      <c r="B208" s="23" t="s">
        <v>1147</v>
      </c>
      <c r="C208" s="22" t="s">
        <v>237</v>
      </c>
      <c r="D208" s="10" t="s">
        <v>13</v>
      </c>
      <c r="E208" s="12">
        <v>7.2</v>
      </c>
      <c r="F208" s="126">
        <v>731553</v>
      </c>
      <c r="G208" s="126">
        <f t="shared" si="28"/>
        <v>5267181.5999999996</v>
      </c>
      <c r="H208" s="8"/>
      <c r="I208" s="9" t="str">
        <f t="array" ref="I208:L208">_xlfn.XLOOKUP(C208,'Neiva 2021 FASE I UNIFICADO'!$C$6:$C$540,'Neiva 2021 FASE I UNIFICADO'!$C$6:$F$540,"NO ESTA")</f>
        <v>SUMINISTRO E INSTALACION PUERTA DIVISORIA DE MADERA TIPO P-3 Ver NOTAS GENERALES DE PLANCHA</v>
      </c>
      <c r="J208" s="9" t="str">
        <v>M2</v>
      </c>
      <c r="K208" s="9">
        <v>2.4</v>
      </c>
      <c r="L208" s="9">
        <v>677048</v>
      </c>
      <c r="M208" s="124" t="str">
        <f t="shared" si="27"/>
        <v>FASE II</v>
      </c>
      <c r="N208" s="155">
        <f t="shared" si="23"/>
        <v>9.6</v>
      </c>
      <c r="O208" s="156">
        <f t="shared" si="24"/>
        <v>731553</v>
      </c>
      <c r="P208" s="156">
        <f t="shared" si="25"/>
        <v>7022908.7999999998</v>
      </c>
    </row>
    <row r="209" spans="2:16" s="9" customFormat="1" ht="35.1" customHeight="1" x14ac:dyDescent="0.25">
      <c r="B209" s="23" t="s">
        <v>1148</v>
      </c>
      <c r="C209" s="22" t="s">
        <v>239</v>
      </c>
      <c r="D209" s="10" t="s">
        <v>13</v>
      </c>
      <c r="E209" s="12">
        <v>2.16</v>
      </c>
      <c r="F209" s="126">
        <v>731553</v>
      </c>
      <c r="G209" s="126">
        <f t="shared" si="28"/>
        <v>1580154.48</v>
      </c>
      <c r="H209" s="8"/>
      <c r="I209" s="9" t="str">
        <f t="array" ref="I209:L209">_xlfn.XLOOKUP(C209,'Neiva 2021 FASE I UNIFICADO'!$C$6:$C$540,'Neiva 2021 FASE I UNIFICADO'!$C$6:$F$540,"NO ESTA")</f>
        <v>SUMINISTRO E INSTALACION PUERTA DIVISORIA DE MADERA TIPO P-4 Ver NOTAS GENERALES DE PLANCHA</v>
      </c>
      <c r="J209" s="9" t="str">
        <v>M2</v>
      </c>
      <c r="K209" s="9">
        <v>12.96</v>
      </c>
      <c r="L209" s="9">
        <v>677048</v>
      </c>
      <c r="M209" s="124" t="str">
        <f t="shared" si="27"/>
        <v>FASE II</v>
      </c>
      <c r="N209" s="155">
        <f t="shared" si="23"/>
        <v>15.120000000000001</v>
      </c>
      <c r="O209" s="156">
        <f t="shared" si="24"/>
        <v>731553</v>
      </c>
      <c r="P209" s="156">
        <f t="shared" si="25"/>
        <v>11061081.360000001</v>
      </c>
    </row>
    <row r="210" spans="2:16" s="9" customFormat="1" ht="35.1" customHeight="1" x14ac:dyDescent="0.25">
      <c r="B210" s="23" t="s">
        <v>1149</v>
      </c>
      <c r="C210" s="22" t="s">
        <v>241</v>
      </c>
      <c r="D210" s="10" t="s">
        <v>13</v>
      </c>
      <c r="E210" s="12">
        <v>5.76</v>
      </c>
      <c r="F210" s="126">
        <v>731553</v>
      </c>
      <c r="G210" s="126">
        <f t="shared" si="28"/>
        <v>4213745.28</v>
      </c>
      <c r="H210" s="8"/>
      <c r="I210" s="9" t="str">
        <f t="array" ref="I210:L210">_xlfn.XLOOKUP(C210,'Neiva 2021 FASE I UNIFICADO'!$C$6:$C$540,'Neiva 2021 FASE I UNIFICADO'!$C$6:$F$540,"NO ESTA")</f>
        <v>SUMINISTRO E INSTALACION PUERTA DIVISORIA DE MADERA TIPO P-5 Ver NOTAS GENERALES DE PLANCHA</v>
      </c>
      <c r="J210" s="9" t="str">
        <v>M2</v>
      </c>
      <c r="K210" s="9">
        <v>5.76</v>
      </c>
      <c r="L210" s="9">
        <v>677048</v>
      </c>
      <c r="M210" s="124" t="str">
        <f t="shared" si="27"/>
        <v>FASE II</v>
      </c>
      <c r="N210" s="155">
        <f t="shared" si="23"/>
        <v>11.52</v>
      </c>
      <c r="O210" s="156">
        <f t="shared" si="24"/>
        <v>731553</v>
      </c>
      <c r="P210" s="156">
        <f t="shared" si="25"/>
        <v>8427490.5600000005</v>
      </c>
    </row>
    <row r="211" spans="2:16" s="9" customFormat="1" ht="35.1" customHeight="1" x14ac:dyDescent="0.25">
      <c r="B211" s="23" t="s">
        <v>1150</v>
      </c>
      <c r="C211" s="22" t="s">
        <v>244</v>
      </c>
      <c r="D211" s="10" t="s">
        <v>13</v>
      </c>
      <c r="E211" s="12">
        <v>24.12</v>
      </c>
      <c r="F211" s="126">
        <v>579822</v>
      </c>
      <c r="G211" s="126">
        <f t="shared" si="28"/>
        <v>13985306.640000001</v>
      </c>
      <c r="H211" s="8"/>
      <c r="I211" s="9" t="str">
        <f t="array" ref="I211:L211">_xlfn.XLOOKUP(C211,'Neiva 2021 FASE I UNIFICADO'!$C$6:$C$540,'Neiva 2021 FASE I UNIFICADO'!$C$6:$F$540,"NO ESTA")</f>
        <v>SUMINISTRO E INSTALACION PUERTA DIVISORIA EN VIDRIO TIPO PV1 Ver NOTAS GENERALES DE PLANCHA</v>
      </c>
      <c r="J211" s="9" t="str">
        <v>M2</v>
      </c>
      <c r="K211" s="9">
        <v>24.8</v>
      </c>
      <c r="L211" s="9">
        <v>536623</v>
      </c>
      <c r="M211" s="124" t="str">
        <f t="shared" si="27"/>
        <v>FASE II</v>
      </c>
      <c r="N211" s="155">
        <f t="shared" si="23"/>
        <v>48.92</v>
      </c>
      <c r="O211" s="156">
        <f t="shared" si="24"/>
        <v>579822</v>
      </c>
      <c r="P211" s="156">
        <f t="shared" si="25"/>
        <v>28364892.240000002</v>
      </c>
    </row>
    <row r="212" spans="2:16" s="9" customFormat="1" ht="35.1" customHeight="1" x14ac:dyDescent="0.25">
      <c r="B212" s="13" t="s">
        <v>1151</v>
      </c>
      <c r="C212" s="14" t="s">
        <v>1152</v>
      </c>
      <c r="D212" s="13"/>
      <c r="E212" s="15"/>
      <c r="F212" s="129"/>
      <c r="G212" s="140"/>
      <c r="H212" s="8"/>
      <c r="I212" s="9" t="str">
        <f t="array" ref="I212">_xlfn.XLOOKUP(C212,'Neiva 2021 FASE I UNIFICADO'!$C$6:$C$540,'Neiva 2021 FASE I UNIFICADO'!$C$6:$F$540,"NO ESTA")</f>
        <v>NO ESTA</v>
      </c>
      <c r="M212" s="124">
        <f t="shared" si="27"/>
        <v>0</v>
      </c>
      <c r="N212" s="155">
        <f t="shared" si="23"/>
        <v>0</v>
      </c>
      <c r="O212" s="156">
        <f t="shared" si="24"/>
        <v>0</v>
      </c>
      <c r="P212" s="156">
        <f t="shared" si="25"/>
        <v>0</v>
      </c>
    </row>
    <row r="213" spans="2:16" s="9" customFormat="1" ht="35.1" customHeight="1" x14ac:dyDescent="0.25">
      <c r="B213" s="23" t="s">
        <v>1153</v>
      </c>
      <c r="C213" s="22" t="s">
        <v>225</v>
      </c>
      <c r="D213" s="10" t="s">
        <v>13</v>
      </c>
      <c r="E213" s="12">
        <v>4.4000000000000004</v>
      </c>
      <c r="F213" s="126">
        <v>1381990</v>
      </c>
      <c r="G213" s="126">
        <f t="shared" ref="G213:G220" si="29">ROUND(+F213*E213,2)</f>
        <v>6080756</v>
      </c>
      <c r="H213" s="8"/>
      <c r="I213" s="9" t="str">
        <f t="array" ref="I213:L213">_xlfn.XLOOKUP(C213,'Neiva 2021 FASE I UNIFICADO'!$C$6:$C$540,'Neiva 2021 FASE I UNIFICADO'!$C$6:$F$540,"NO ESTA")</f>
        <v>SUMINISTRO E INSTALACION PUERTA DE EVACUACIÓN TIPO P-1 Ver NOTAS GENERALES DE PLANCHA</v>
      </c>
      <c r="J213" s="9" t="str">
        <v>M2</v>
      </c>
      <c r="K213" s="9">
        <v>4.4000000000000004</v>
      </c>
      <c r="L213" s="9">
        <v>1279025</v>
      </c>
      <c r="M213" s="124" t="str">
        <f t="shared" si="27"/>
        <v>FASE II</v>
      </c>
      <c r="N213" s="155">
        <f t="shared" si="23"/>
        <v>8.8000000000000007</v>
      </c>
      <c r="O213" s="156">
        <f t="shared" si="24"/>
        <v>1381990</v>
      </c>
      <c r="P213" s="156">
        <f t="shared" si="25"/>
        <v>12161512.000000002</v>
      </c>
    </row>
    <row r="214" spans="2:16" s="9" customFormat="1" ht="35.1" customHeight="1" x14ac:dyDescent="0.25">
      <c r="B214" s="23" t="s">
        <v>1154</v>
      </c>
      <c r="C214" s="22" t="s">
        <v>227</v>
      </c>
      <c r="D214" s="10" t="s">
        <v>13</v>
      </c>
      <c r="E214" s="12">
        <v>4.32</v>
      </c>
      <c r="F214" s="126">
        <v>131548</v>
      </c>
      <c r="G214" s="126">
        <f t="shared" si="29"/>
        <v>568287.36</v>
      </c>
      <c r="H214" s="8">
        <f>ROUND(F214*(1+$H$3),0)</f>
        <v>256887</v>
      </c>
      <c r="I214" s="9" t="str">
        <f t="array" ref="I214:L214">_xlfn.XLOOKUP(C214,'Neiva 2021 FASE I UNIFICADO'!$C$6:$C$540,'Neiva 2021 FASE I UNIFICADO'!$C$6:$F$540,"NO ESTA")</f>
        <v>SUMINISTRO E INSTALACION PUERTA METALICA DEPOSITOS TIPO P-2 Ver NOTAS GENERALES DE PLANCHA</v>
      </c>
      <c r="J214" s="9" t="str">
        <v>M2</v>
      </c>
      <c r="K214" s="9">
        <v>15.12</v>
      </c>
      <c r="L214" s="9">
        <v>121747</v>
      </c>
      <c r="M214" s="124" t="str">
        <f t="shared" si="27"/>
        <v>FASE II</v>
      </c>
      <c r="N214" s="155">
        <f t="shared" si="23"/>
        <v>19.439999999999998</v>
      </c>
      <c r="O214" s="156">
        <f t="shared" si="24"/>
        <v>131548</v>
      </c>
      <c r="P214" s="156">
        <f t="shared" si="25"/>
        <v>2557293.1199999996</v>
      </c>
    </row>
    <row r="215" spans="2:16" s="9" customFormat="1" ht="35.1" customHeight="1" x14ac:dyDescent="0.25">
      <c r="B215" s="23" t="s">
        <v>1155</v>
      </c>
      <c r="C215" s="22" t="s">
        <v>237</v>
      </c>
      <c r="D215" s="10" t="s">
        <v>13</v>
      </c>
      <c r="E215" s="12">
        <v>4.8</v>
      </c>
      <c r="F215" s="126">
        <v>731553</v>
      </c>
      <c r="G215" s="126">
        <f t="shared" si="29"/>
        <v>3511454.4</v>
      </c>
      <c r="H215" s="8"/>
      <c r="I215" s="9" t="str">
        <f t="array" ref="I215:L215">_xlfn.XLOOKUP(C215,'Neiva 2021 FASE I UNIFICADO'!$C$6:$C$540,'Neiva 2021 FASE I UNIFICADO'!$C$6:$F$540,"NO ESTA")</f>
        <v>SUMINISTRO E INSTALACION PUERTA DIVISORIA DE MADERA TIPO P-3 Ver NOTAS GENERALES DE PLANCHA</v>
      </c>
      <c r="J215" s="9" t="str">
        <v>M2</v>
      </c>
      <c r="K215" s="9">
        <v>2.4</v>
      </c>
      <c r="L215" s="9">
        <v>677048</v>
      </c>
      <c r="M215" s="124" t="str">
        <f t="shared" si="27"/>
        <v>FASE II</v>
      </c>
      <c r="N215" s="155">
        <f t="shared" si="23"/>
        <v>7.1999999999999993</v>
      </c>
      <c r="O215" s="156">
        <f t="shared" si="24"/>
        <v>731553</v>
      </c>
      <c r="P215" s="156">
        <f t="shared" si="25"/>
        <v>5267181.5999999996</v>
      </c>
    </row>
    <row r="216" spans="2:16" s="9" customFormat="1" ht="35.1" customHeight="1" x14ac:dyDescent="0.25">
      <c r="B216" s="23" t="s">
        <v>1156</v>
      </c>
      <c r="C216" s="22" t="s">
        <v>239</v>
      </c>
      <c r="D216" s="10" t="s">
        <v>13</v>
      </c>
      <c r="E216" s="12">
        <v>2.16</v>
      </c>
      <c r="F216" s="126">
        <v>731553</v>
      </c>
      <c r="G216" s="126">
        <f t="shared" si="29"/>
        <v>1580154.48</v>
      </c>
      <c r="H216" s="8"/>
      <c r="I216" s="9" t="str">
        <f t="array" ref="I216:L216">_xlfn.XLOOKUP(C216,'Neiva 2021 FASE I UNIFICADO'!$C$6:$C$540,'Neiva 2021 FASE I UNIFICADO'!$C$6:$F$540,"NO ESTA")</f>
        <v>SUMINISTRO E INSTALACION PUERTA DIVISORIA DE MADERA TIPO P-4 Ver NOTAS GENERALES DE PLANCHA</v>
      </c>
      <c r="J216" s="9" t="str">
        <v>M2</v>
      </c>
      <c r="K216" s="9">
        <v>12.96</v>
      </c>
      <c r="L216" s="9">
        <v>677048</v>
      </c>
      <c r="M216" s="124" t="str">
        <f t="shared" si="27"/>
        <v>FASE II</v>
      </c>
      <c r="N216" s="155">
        <f t="shared" si="23"/>
        <v>15.120000000000001</v>
      </c>
      <c r="O216" s="156">
        <f t="shared" si="24"/>
        <v>731553</v>
      </c>
      <c r="P216" s="156">
        <f t="shared" si="25"/>
        <v>11061081.360000001</v>
      </c>
    </row>
    <row r="217" spans="2:16" s="9" customFormat="1" ht="35.1" customHeight="1" x14ac:dyDescent="0.25">
      <c r="B217" s="23" t="s">
        <v>1157</v>
      </c>
      <c r="C217" s="22" t="s">
        <v>241</v>
      </c>
      <c r="D217" s="10" t="s">
        <v>13</v>
      </c>
      <c r="E217" s="12">
        <v>3.84</v>
      </c>
      <c r="F217" s="126">
        <v>731553</v>
      </c>
      <c r="G217" s="126">
        <f t="shared" si="29"/>
        <v>2809163.52</v>
      </c>
      <c r="H217" s="8"/>
      <c r="I217" s="9" t="str">
        <f t="array" ref="I217:L217">_xlfn.XLOOKUP(C217,'Neiva 2021 FASE I UNIFICADO'!$C$6:$C$540,'Neiva 2021 FASE I UNIFICADO'!$C$6:$F$540,"NO ESTA")</f>
        <v>SUMINISTRO E INSTALACION PUERTA DIVISORIA DE MADERA TIPO P-5 Ver NOTAS GENERALES DE PLANCHA</v>
      </c>
      <c r="J217" s="9" t="str">
        <v>M2</v>
      </c>
      <c r="K217" s="9">
        <v>5.76</v>
      </c>
      <c r="L217" s="9">
        <v>677048</v>
      </c>
      <c r="M217" s="124" t="str">
        <f t="shared" si="27"/>
        <v>FASE II</v>
      </c>
      <c r="N217" s="155">
        <f t="shared" si="23"/>
        <v>9.6</v>
      </c>
      <c r="O217" s="156">
        <f t="shared" si="24"/>
        <v>731553</v>
      </c>
      <c r="P217" s="156">
        <f t="shared" si="25"/>
        <v>7022908.7999999998</v>
      </c>
    </row>
    <row r="218" spans="2:16" s="9" customFormat="1" ht="35.1" customHeight="1" x14ac:dyDescent="0.25">
      <c r="B218" s="23" t="s">
        <v>1158</v>
      </c>
      <c r="C218" s="22" t="s">
        <v>1159</v>
      </c>
      <c r="D218" s="10" t="s">
        <v>13</v>
      </c>
      <c r="E218" s="12">
        <v>3.36</v>
      </c>
      <c r="F218" s="126">
        <v>731553</v>
      </c>
      <c r="G218" s="126">
        <f t="shared" si="29"/>
        <v>2458018.08</v>
      </c>
      <c r="H218" s="8"/>
      <c r="I218" s="9" t="str">
        <f t="array" ref="I218">_xlfn.XLOOKUP(C218,'Neiva 2021 FASE I UNIFICADO'!$C$6:$C$540,'Neiva 2021 FASE I UNIFICADO'!$C$6:$F$540,"NO ESTA")</f>
        <v>NO ESTA</v>
      </c>
      <c r="M218" s="124">
        <f t="shared" si="27"/>
        <v>0</v>
      </c>
      <c r="N218" s="155">
        <f t="shared" si="23"/>
        <v>3.36</v>
      </c>
      <c r="O218" s="156">
        <f t="shared" si="24"/>
        <v>731553</v>
      </c>
      <c r="P218" s="156">
        <f t="shared" si="25"/>
        <v>2458018.08</v>
      </c>
    </row>
    <row r="219" spans="2:16" s="9" customFormat="1" ht="35.1" customHeight="1" x14ac:dyDescent="0.25">
      <c r="B219" s="23" t="s">
        <v>1160</v>
      </c>
      <c r="C219" s="22" t="s">
        <v>229</v>
      </c>
      <c r="D219" s="10" t="s">
        <v>13</v>
      </c>
      <c r="E219" s="12">
        <v>4.8</v>
      </c>
      <c r="F219" s="126">
        <v>731553</v>
      </c>
      <c r="G219" s="126">
        <f t="shared" si="29"/>
        <v>3511454.4</v>
      </c>
      <c r="H219" s="8">
        <f>ROUND(F219*(1+$H$3),0)</f>
        <v>1428577</v>
      </c>
      <c r="I219" s="9" t="str">
        <f t="array" ref="I219:L219">_xlfn.XLOOKUP(C219,'Neiva 2021 FASE I UNIFICADO'!$C$6:$C$540,'Neiva 2021 FASE I UNIFICADO'!$C$6:$F$540,"NO ESTA")</f>
        <v>SUMINISTRO E INSTALACION PUERTA METALICA DOBLE HOJA TIPO P-7 Ver NOTAS GENERALES DE PLANCHA</v>
      </c>
      <c r="J219" s="9" t="str">
        <v>M2</v>
      </c>
      <c r="K219" s="9">
        <v>33.6</v>
      </c>
      <c r="L219" s="9">
        <v>143171</v>
      </c>
      <c r="M219" s="124" t="str">
        <f t="shared" si="27"/>
        <v>FASE II</v>
      </c>
      <c r="N219" s="155">
        <f t="shared" si="23"/>
        <v>38.4</v>
      </c>
      <c r="O219" s="156">
        <f t="shared" si="24"/>
        <v>731553</v>
      </c>
      <c r="P219" s="156">
        <f t="shared" si="25"/>
        <v>28091635.199999999</v>
      </c>
    </row>
    <row r="220" spans="2:16" s="9" customFormat="1" ht="35.1" customHeight="1" x14ac:dyDescent="0.25">
      <c r="B220" s="23" t="s">
        <v>1161</v>
      </c>
      <c r="C220" s="22" t="s">
        <v>244</v>
      </c>
      <c r="D220" s="10" t="s">
        <v>13</v>
      </c>
      <c r="E220" s="12">
        <v>24.89</v>
      </c>
      <c r="F220" s="126">
        <v>579822</v>
      </c>
      <c r="G220" s="126">
        <f t="shared" si="29"/>
        <v>14431769.58</v>
      </c>
      <c r="H220" s="8"/>
      <c r="I220" s="9" t="str">
        <f t="array" ref="I220:L220">_xlfn.XLOOKUP(C220,'Neiva 2021 FASE I UNIFICADO'!$C$6:$C$540,'Neiva 2021 FASE I UNIFICADO'!$C$6:$F$540,"NO ESTA")</f>
        <v>SUMINISTRO E INSTALACION PUERTA DIVISORIA EN VIDRIO TIPO PV1 Ver NOTAS GENERALES DE PLANCHA</v>
      </c>
      <c r="J220" s="9" t="str">
        <v>M2</v>
      </c>
      <c r="K220" s="9">
        <v>24.8</v>
      </c>
      <c r="L220" s="9">
        <v>536623</v>
      </c>
      <c r="M220" s="124" t="str">
        <f t="shared" si="27"/>
        <v>FASE II</v>
      </c>
      <c r="N220" s="155">
        <f t="shared" si="23"/>
        <v>49.69</v>
      </c>
      <c r="O220" s="156">
        <f t="shared" si="24"/>
        <v>579822</v>
      </c>
      <c r="P220" s="156">
        <f t="shared" si="25"/>
        <v>28811355.18</v>
      </c>
    </row>
    <row r="221" spans="2:16" s="9" customFormat="1" ht="35.1" customHeight="1" x14ac:dyDescent="0.25">
      <c r="B221" s="13" t="s">
        <v>1162</v>
      </c>
      <c r="C221" s="14" t="s">
        <v>1163</v>
      </c>
      <c r="D221" s="13"/>
      <c r="E221" s="15"/>
      <c r="F221" s="129"/>
      <c r="G221" s="140"/>
      <c r="H221" s="8"/>
      <c r="I221" s="9" t="str">
        <f t="array" ref="I221">_xlfn.XLOOKUP(C221,'Neiva 2021 FASE I UNIFICADO'!$C$6:$C$540,'Neiva 2021 FASE I UNIFICADO'!$C$6:$F$540,"NO ESTA")</f>
        <v>NO ESTA</v>
      </c>
      <c r="M221" s="124">
        <f t="shared" si="27"/>
        <v>0</v>
      </c>
      <c r="N221" s="155">
        <f t="shared" si="23"/>
        <v>0</v>
      </c>
      <c r="O221" s="156">
        <f t="shared" si="24"/>
        <v>0</v>
      </c>
      <c r="P221" s="156">
        <f t="shared" si="25"/>
        <v>0</v>
      </c>
    </row>
    <row r="222" spans="2:16" s="9" customFormat="1" ht="35.1" customHeight="1" x14ac:dyDescent="0.25">
      <c r="B222" s="23" t="s">
        <v>1164</v>
      </c>
      <c r="C222" s="22" t="s">
        <v>225</v>
      </c>
      <c r="D222" s="10" t="s">
        <v>13</v>
      </c>
      <c r="E222" s="12">
        <v>2.2000000000000002</v>
      </c>
      <c r="F222" s="126">
        <v>1381990</v>
      </c>
      <c r="G222" s="126">
        <f>ROUND(+F222*E222,2)</f>
        <v>3040378</v>
      </c>
      <c r="H222" s="8"/>
      <c r="I222" s="9" t="str">
        <f t="array" ref="I222:L222">_xlfn.XLOOKUP(C222,'Neiva 2021 FASE I UNIFICADO'!$C$6:$C$540,'Neiva 2021 FASE I UNIFICADO'!$C$6:$F$540,"NO ESTA")</f>
        <v>SUMINISTRO E INSTALACION PUERTA DE EVACUACIÓN TIPO P-1 Ver NOTAS GENERALES DE PLANCHA</v>
      </c>
      <c r="J222" s="9" t="str">
        <v>M2</v>
      </c>
      <c r="K222" s="9">
        <v>4.4000000000000004</v>
      </c>
      <c r="L222" s="9">
        <v>1279025</v>
      </c>
      <c r="M222" s="124" t="str">
        <f t="shared" si="27"/>
        <v>FASE II</v>
      </c>
      <c r="N222" s="155">
        <f t="shared" si="23"/>
        <v>6.6000000000000005</v>
      </c>
      <c r="O222" s="156">
        <f t="shared" si="24"/>
        <v>1381990</v>
      </c>
      <c r="P222" s="156">
        <f t="shared" si="25"/>
        <v>9121134</v>
      </c>
    </row>
    <row r="223" spans="2:16" s="9" customFormat="1" ht="35.1" customHeight="1" x14ac:dyDescent="0.25">
      <c r="B223" s="33">
        <v>10</v>
      </c>
      <c r="C223" s="34" t="s">
        <v>253</v>
      </c>
      <c r="D223" s="34"/>
      <c r="E223" s="35"/>
      <c r="F223" s="134"/>
      <c r="G223" s="144"/>
      <c r="H223" s="8"/>
      <c r="I223" s="9" t="str">
        <f t="array" ref="I223:L223">_xlfn.XLOOKUP(C223,'Neiva 2021 FASE I UNIFICADO'!$C$6:$C$540,'Neiva 2021 FASE I UNIFICADO'!$C$6:$F$540,"NO ESTA")</f>
        <v>OTROS ARQUITECTONICOS</v>
      </c>
      <c r="J223" s="9">
        <v>0</v>
      </c>
      <c r="K223" s="9">
        <v>0</v>
      </c>
      <c r="L223" s="9">
        <v>0</v>
      </c>
      <c r="M223" s="124">
        <f t="shared" si="27"/>
        <v>0</v>
      </c>
      <c r="N223" s="155">
        <f t="shared" si="23"/>
        <v>0</v>
      </c>
      <c r="O223" s="156">
        <f t="shared" si="24"/>
        <v>0</v>
      </c>
      <c r="P223" s="156">
        <f t="shared" si="25"/>
        <v>0</v>
      </c>
    </row>
    <row r="224" spans="2:16" s="9" customFormat="1" ht="35.1" customHeight="1" x14ac:dyDescent="0.25">
      <c r="B224" s="40" t="s">
        <v>1165</v>
      </c>
      <c r="C224" s="14" t="s">
        <v>1166</v>
      </c>
      <c r="D224" s="13"/>
      <c r="E224" s="15"/>
      <c r="F224" s="129"/>
      <c r="G224" s="140"/>
      <c r="H224" s="8"/>
      <c r="I224" s="9" t="str">
        <f t="array" ref="I224">_xlfn.XLOOKUP(C224,'Neiva 2021 FASE I UNIFICADO'!$C$6:$C$540,'Neiva 2021 FASE I UNIFICADO'!$C$6:$F$540,"NO ESTA")</f>
        <v>NO ESTA</v>
      </c>
      <c r="M224" s="124">
        <f t="shared" si="27"/>
        <v>0</v>
      </c>
      <c r="N224" s="155">
        <f t="shared" si="23"/>
        <v>0</v>
      </c>
      <c r="O224" s="156">
        <f t="shared" si="24"/>
        <v>0</v>
      </c>
      <c r="P224" s="156">
        <f t="shared" si="25"/>
        <v>0</v>
      </c>
    </row>
    <row r="225" spans="2:16" s="9" customFormat="1" ht="35.1" customHeight="1" x14ac:dyDescent="0.25">
      <c r="B225" s="23" t="s">
        <v>1167</v>
      </c>
      <c r="C225" s="22" t="s">
        <v>1168</v>
      </c>
      <c r="D225" s="23" t="s">
        <v>16</v>
      </c>
      <c r="E225" s="12">
        <v>2</v>
      </c>
      <c r="F225" s="126">
        <v>133775855</v>
      </c>
      <c r="G225" s="126">
        <f>ROUND(+F225*E225,2)</f>
        <v>267551710</v>
      </c>
      <c r="H225" s="8"/>
      <c r="I225" s="9" t="str">
        <f t="array" ref="I225">_xlfn.XLOOKUP(C225,'Neiva 2021 FASE I UNIFICADO'!$C$6:$C$540,'Neiva 2021 FASE I UNIFICADO'!$C$6:$F$540,"NO ESTA")</f>
        <v>NO ESTA</v>
      </c>
      <c r="M225" s="124">
        <f t="shared" si="27"/>
        <v>0</v>
      </c>
      <c r="N225" s="155">
        <f t="shared" si="23"/>
        <v>2</v>
      </c>
      <c r="O225" s="156">
        <f t="shared" si="24"/>
        <v>133775855</v>
      </c>
      <c r="P225" s="156">
        <f t="shared" si="25"/>
        <v>267551710</v>
      </c>
    </row>
    <row r="226" spans="2:16" s="9" customFormat="1" ht="35.1" customHeight="1" x14ac:dyDescent="0.25">
      <c r="B226" s="41" t="s">
        <v>254</v>
      </c>
      <c r="C226" s="14" t="s">
        <v>255</v>
      </c>
      <c r="D226" s="13"/>
      <c r="E226" s="15"/>
      <c r="F226" s="129"/>
      <c r="G226" s="140"/>
      <c r="H226" s="8"/>
      <c r="I226" s="9" t="str">
        <f t="array" ref="I226:L226">_xlfn.XLOOKUP(C226,'Neiva 2021 FASE I UNIFICADO'!$C$6:$C$540,'Neiva 2021 FASE I UNIFICADO'!$C$6:$F$540,"NO ESTA")</f>
        <v>SUMINISTRO E INSTALACIÓN DE BARANDAS</v>
      </c>
      <c r="J226" s="9">
        <v>0</v>
      </c>
      <c r="K226" s="9">
        <v>0</v>
      </c>
      <c r="L226" s="9">
        <v>0</v>
      </c>
      <c r="M226" s="124">
        <f t="shared" si="27"/>
        <v>0</v>
      </c>
      <c r="N226" s="155">
        <f t="shared" si="23"/>
        <v>0</v>
      </c>
      <c r="O226" s="156">
        <f t="shared" si="24"/>
        <v>0</v>
      </c>
      <c r="P226" s="156">
        <f t="shared" si="25"/>
        <v>0</v>
      </c>
    </row>
    <row r="227" spans="2:16" s="9" customFormat="1" ht="35.1" customHeight="1" x14ac:dyDescent="0.25">
      <c r="B227" s="10" t="s">
        <v>256</v>
      </c>
      <c r="C227" s="22" t="s">
        <v>257</v>
      </c>
      <c r="D227" s="23" t="s">
        <v>94</v>
      </c>
      <c r="E227" s="12">
        <v>288.39999999999998</v>
      </c>
      <c r="F227" s="126">
        <v>592889</v>
      </c>
      <c r="G227" s="126">
        <f>ROUND(+F227*E227,2)</f>
        <v>170989187.59999999</v>
      </c>
      <c r="H227" s="8"/>
      <c r="I227" s="9" t="str">
        <f t="array" ref="I227:L227">_xlfn.XLOOKUP(C227,'Neiva 2021 FASE I UNIFICADO'!$C$6:$C$540,'Neiva 2021 FASE I UNIFICADO'!$C$6:$F$540,"NO ESTA")</f>
        <v>SUMINISTRO E INSTALACION BARANDA TIPO B1 EN ACERO INOXIDABLE (Incluye todos los accesorios para su instalación)</v>
      </c>
      <c r="J227" s="9" t="str">
        <v>ML</v>
      </c>
      <c r="K227" s="9">
        <v>106</v>
      </c>
      <c r="L227" s="9">
        <v>616205</v>
      </c>
      <c r="M227" s="124" t="str">
        <f t="shared" si="27"/>
        <v>FASE I</v>
      </c>
      <c r="N227" s="155">
        <f t="shared" si="23"/>
        <v>394.4</v>
      </c>
      <c r="O227" s="156">
        <f t="shared" si="24"/>
        <v>616205</v>
      </c>
      <c r="P227" s="156">
        <f t="shared" si="25"/>
        <v>243031252</v>
      </c>
    </row>
    <row r="228" spans="2:16" s="9" customFormat="1" ht="35.1" customHeight="1" x14ac:dyDescent="0.25">
      <c r="B228" s="10" t="s">
        <v>258</v>
      </c>
      <c r="C228" s="22" t="s">
        <v>259</v>
      </c>
      <c r="D228" s="23" t="s">
        <v>94</v>
      </c>
      <c r="E228" s="12">
        <v>44.13</v>
      </c>
      <c r="F228" s="126">
        <v>253859</v>
      </c>
      <c r="G228" s="126">
        <f>ROUND(+F228*E228,2)</f>
        <v>11202797.67</v>
      </c>
      <c r="H228" s="8"/>
      <c r="I228" s="9" t="str">
        <f t="array" ref="I228:L228">_xlfn.XLOOKUP(C228,'Neiva 2021 FASE I UNIFICADO'!$C$6:$C$540,'Neiva 2021 FASE I UNIFICADO'!$C$6:$F$540,"NO ESTA")</f>
        <v>SUMINISTRO E INSTALACION PASAMANOS PUNTO FIJO No. 1 (Incluye todos los accesorios para su instalación)</v>
      </c>
      <c r="J228" s="9" t="str">
        <v>ML</v>
      </c>
      <c r="K228" s="9">
        <v>16</v>
      </c>
      <c r="L228" s="9">
        <v>234945</v>
      </c>
      <c r="M228" s="124" t="str">
        <f t="shared" si="27"/>
        <v>FASE II</v>
      </c>
      <c r="N228" s="155">
        <f t="shared" si="23"/>
        <v>60.13</v>
      </c>
      <c r="O228" s="156">
        <f t="shared" si="24"/>
        <v>253859</v>
      </c>
      <c r="P228" s="156">
        <f t="shared" si="25"/>
        <v>15264541.67</v>
      </c>
    </row>
    <row r="229" spans="2:16" s="9" customFormat="1" ht="35.1" customHeight="1" x14ac:dyDescent="0.25">
      <c r="B229" s="41" t="s">
        <v>260</v>
      </c>
      <c r="C229" s="24" t="s">
        <v>261</v>
      </c>
      <c r="D229" s="24"/>
      <c r="E229" s="15"/>
      <c r="F229" s="129"/>
      <c r="G229" s="140"/>
      <c r="H229" s="8"/>
      <c r="I229" s="9" t="str">
        <f t="array" ref="I229:L229">_xlfn.XLOOKUP(C229,'Neiva 2021 FASE I UNIFICADO'!$C$6:$C$540,'Neiva 2021 FASE I UNIFICADO'!$C$6:$F$540,"NO ESTA")</f>
        <v>SUMINISTRO E INSTALACIÓN DE DIVISIONES DE BAÑOS</v>
      </c>
      <c r="J229" s="9">
        <v>0</v>
      </c>
      <c r="K229" s="9">
        <v>0</v>
      </c>
      <c r="L229" s="9">
        <v>0</v>
      </c>
      <c r="M229" s="124">
        <f t="shared" si="27"/>
        <v>0</v>
      </c>
      <c r="N229" s="155">
        <f t="shared" si="23"/>
        <v>0</v>
      </c>
      <c r="O229" s="156">
        <f t="shared" si="24"/>
        <v>0</v>
      </c>
      <c r="P229" s="156">
        <f t="shared" si="25"/>
        <v>0</v>
      </c>
    </row>
    <row r="230" spans="2:16" s="9" customFormat="1" ht="35.1" customHeight="1" x14ac:dyDescent="0.25">
      <c r="B230" s="10" t="s">
        <v>262</v>
      </c>
      <c r="C230" s="22" t="s">
        <v>263</v>
      </c>
      <c r="D230" s="23" t="s">
        <v>13</v>
      </c>
      <c r="E230" s="12">
        <v>83.5</v>
      </c>
      <c r="F230" s="126">
        <v>608913</v>
      </c>
      <c r="G230" s="126">
        <f>ROUND(+F230*E230,2)</f>
        <v>50844235.5</v>
      </c>
      <c r="H230" s="8"/>
      <c r="I230" s="9" t="str">
        <f t="array" ref="I230:L230">_xlfn.XLOOKUP(C230,'Neiva 2021 FASE I UNIFICADO'!$C$6:$C$540,'Neiva 2021 FASE I UNIFICADO'!$C$6:$F$540,"NO ESTA")</f>
        <v>SUMINISTRO E INSTALACION DIVISION EN ACERO INOXIDABLE BAÑOS (Incluye todos los accesorios para su instalación)</v>
      </c>
      <c r="J230" s="9" t="str">
        <v>M2</v>
      </c>
      <c r="K230" s="9">
        <v>83.5</v>
      </c>
      <c r="L230" s="9">
        <v>563546</v>
      </c>
      <c r="M230" s="124" t="str">
        <f t="shared" si="27"/>
        <v>FASE II</v>
      </c>
      <c r="N230" s="155">
        <f t="shared" si="23"/>
        <v>167</v>
      </c>
      <c r="O230" s="156">
        <f t="shared" si="24"/>
        <v>608913</v>
      </c>
      <c r="P230" s="156">
        <f t="shared" si="25"/>
        <v>101688471</v>
      </c>
    </row>
    <row r="231" spans="2:16" s="9" customFormat="1" ht="35.1" customHeight="1" x14ac:dyDescent="0.25">
      <c r="B231" s="33">
        <v>11</v>
      </c>
      <c r="C231" s="34" t="s">
        <v>1169</v>
      </c>
      <c r="D231" s="34"/>
      <c r="E231" s="35"/>
      <c r="F231" s="132"/>
      <c r="G231" s="144"/>
      <c r="H231" s="8"/>
      <c r="I231" s="9" t="str">
        <f t="array" ref="I231">_xlfn.XLOOKUP(C231,'Neiva 2021 FASE I UNIFICADO'!$C$6:$C$540,'Neiva 2021 FASE I UNIFICADO'!$C$6:$F$540,"NO ESTA")</f>
        <v>NO ESTA</v>
      </c>
      <c r="M231" s="124">
        <f t="shared" si="27"/>
        <v>0</v>
      </c>
      <c r="N231" s="155">
        <f t="shared" si="23"/>
        <v>0</v>
      </c>
      <c r="O231" s="156">
        <f t="shared" si="24"/>
        <v>0</v>
      </c>
      <c r="P231" s="156">
        <f t="shared" si="25"/>
        <v>0</v>
      </c>
    </row>
    <row r="232" spans="2:16" s="9" customFormat="1" ht="35.1" customHeight="1" x14ac:dyDescent="0.25">
      <c r="B232" s="13" t="s">
        <v>1170</v>
      </c>
      <c r="C232" s="14" t="s">
        <v>10</v>
      </c>
      <c r="D232" s="13"/>
      <c r="E232" s="15"/>
      <c r="F232" s="129"/>
      <c r="G232" s="140"/>
      <c r="H232" s="8"/>
      <c r="I232" s="9" t="str">
        <f t="array" ref="I232">_xlfn.XLOOKUP(C232,'Neiva 2021 FASE I UNIFICADO'!$C$6:$C$540,'Neiva 2021 FASE I UNIFICADO'!$C$6:$F$540,"NO ESTA")</f>
        <v>NO ESTA</v>
      </c>
      <c r="M232" s="124">
        <f t="shared" si="27"/>
        <v>0</v>
      </c>
      <c r="N232" s="155">
        <f t="shared" si="23"/>
        <v>0</v>
      </c>
      <c r="O232" s="156">
        <f t="shared" si="24"/>
        <v>0</v>
      </c>
      <c r="P232" s="156">
        <f t="shared" si="25"/>
        <v>0</v>
      </c>
    </row>
    <row r="233" spans="2:16" s="9" customFormat="1" ht="35.1" customHeight="1" x14ac:dyDescent="0.25">
      <c r="B233" s="23" t="s">
        <v>1171</v>
      </c>
      <c r="C233" s="22" t="s">
        <v>1050</v>
      </c>
      <c r="D233" s="23" t="s">
        <v>13</v>
      </c>
      <c r="E233" s="12">
        <v>745.71560000000011</v>
      </c>
      <c r="F233" s="126">
        <v>3467</v>
      </c>
      <c r="G233" s="126">
        <f>ROUND(+F233*E233,2)</f>
        <v>2585395.9900000002</v>
      </c>
      <c r="H233" s="8"/>
      <c r="I233" s="9" t="str">
        <f t="array" ref="I233">_xlfn.XLOOKUP(C233,'Neiva 2021 FASE I UNIFICADO'!$C$6:$C$540,'Neiva 2021 FASE I UNIFICADO'!$C$6:$F$540,"NO ESTA")</f>
        <v>NO ESTA</v>
      </c>
      <c r="M233" s="124">
        <f t="shared" si="27"/>
        <v>0</v>
      </c>
      <c r="N233" s="155">
        <f t="shared" si="23"/>
        <v>745.71560000000011</v>
      </c>
      <c r="O233" s="156">
        <f t="shared" si="24"/>
        <v>3467</v>
      </c>
      <c r="P233" s="156">
        <f t="shared" si="25"/>
        <v>2585395.9852000005</v>
      </c>
    </row>
    <row r="234" spans="2:16" s="9" customFormat="1" ht="35.1" customHeight="1" x14ac:dyDescent="0.25">
      <c r="B234" s="23" t="s">
        <v>1172</v>
      </c>
      <c r="C234" s="22" t="s">
        <v>12</v>
      </c>
      <c r="D234" s="23" t="s">
        <v>13</v>
      </c>
      <c r="E234" s="12">
        <v>745.71560000000011</v>
      </c>
      <c r="F234" s="126">
        <v>23484</v>
      </c>
      <c r="G234" s="126">
        <f>ROUND(+F234*E234,2)</f>
        <v>17512385.149999999</v>
      </c>
      <c r="H234" s="8"/>
      <c r="I234" s="9" t="str">
        <f t="array" ref="I234:L234">_xlfn.XLOOKUP(C234,'Neiva 2021 FASE I UNIFICADO'!$C$6:$C$540,'Neiva 2021 FASE I UNIFICADO'!$C$6:$F$540,"NO ESTA")</f>
        <v>DESCAPOTE A MAQUINA (INCLUYE RETIRO)</v>
      </c>
      <c r="J234" s="9" t="str">
        <v>M2</v>
      </c>
      <c r="K234" s="9">
        <v>250</v>
      </c>
      <c r="L234" s="9">
        <v>25729</v>
      </c>
      <c r="M234" s="124" t="str">
        <f t="shared" si="27"/>
        <v>FASE I</v>
      </c>
      <c r="N234" s="155">
        <f t="shared" si="23"/>
        <v>995.71560000000011</v>
      </c>
      <c r="O234" s="156">
        <f t="shared" si="24"/>
        <v>25729</v>
      </c>
      <c r="P234" s="156">
        <f t="shared" si="25"/>
        <v>25618766.672400001</v>
      </c>
    </row>
    <row r="235" spans="2:16" s="9" customFormat="1" ht="35.1" customHeight="1" x14ac:dyDescent="0.25">
      <c r="B235" s="23" t="s">
        <v>1173</v>
      </c>
      <c r="C235" s="22" t="s">
        <v>1052</v>
      </c>
      <c r="D235" s="23" t="s">
        <v>94</v>
      </c>
      <c r="E235" s="12">
        <v>110.98</v>
      </c>
      <c r="F235" s="126">
        <v>34489</v>
      </c>
      <c r="G235" s="126">
        <f>ROUND(+F235*E235,2)</f>
        <v>3827589.22</v>
      </c>
      <c r="H235" s="8"/>
      <c r="I235" s="9" t="str">
        <f t="array" ref="I235">_xlfn.XLOOKUP(C235,'Neiva 2021 FASE I UNIFICADO'!$C$6:$C$540,'Neiva 2021 FASE I UNIFICADO'!$C$6:$F$540,"NO ESTA")</f>
        <v>NO ESTA</v>
      </c>
      <c r="M235" s="124">
        <f t="shared" si="27"/>
        <v>0</v>
      </c>
      <c r="N235" s="155">
        <f t="shared" si="23"/>
        <v>110.98</v>
      </c>
      <c r="O235" s="156">
        <f t="shared" si="24"/>
        <v>34489</v>
      </c>
      <c r="P235" s="156">
        <f t="shared" si="25"/>
        <v>3827589.22</v>
      </c>
    </row>
    <row r="236" spans="2:16" s="9" customFormat="1" ht="35.1" customHeight="1" x14ac:dyDescent="0.25">
      <c r="B236" s="13" t="s">
        <v>1174</v>
      </c>
      <c r="C236" s="14" t="s">
        <v>18</v>
      </c>
      <c r="D236" s="13"/>
      <c r="E236" s="15"/>
      <c r="F236" s="129"/>
      <c r="G236" s="140"/>
      <c r="H236" s="8"/>
      <c r="I236" s="9" t="str">
        <f t="array" ref="I236:L236">_xlfn.XLOOKUP(C236,'Neiva 2021 FASE I UNIFICADO'!$C$6:$C$540,'Neiva 2021 FASE I UNIFICADO'!$C$6:$F$540,"NO ESTA")</f>
        <v>INSTALACION SERVICIOS PROVISIONALES</v>
      </c>
      <c r="J236" s="9">
        <v>0</v>
      </c>
      <c r="K236" s="9">
        <v>0</v>
      </c>
      <c r="L236" s="9">
        <v>0</v>
      </c>
      <c r="M236" s="124">
        <f t="shared" si="27"/>
        <v>0</v>
      </c>
      <c r="N236" s="155">
        <f t="shared" si="23"/>
        <v>0</v>
      </c>
      <c r="O236" s="156">
        <f t="shared" si="24"/>
        <v>0</v>
      </c>
      <c r="P236" s="156">
        <f t="shared" si="25"/>
        <v>0</v>
      </c>
    </row>
    <row r="237" spans="2:16" s="9" customFormat="1" ht="35.1" customHeight="1" x14ac:dyDescent="0.25">
      <c r="B237" s="23" t="s">
        <v>1175</v>
      </c>
      <c r="C237" s="22" t="s">
        <v>1176</v>
      </c>
      <c r="D237" s="23" t="s">
        <v>374</v>
      </c>
      <c r="E237" s="12">
        <v>1</v>
      </c>
      <c r="F237" s="126">
        <v>549836</v>
      </c>
      <c r="G237" s="126">
        <f>ROUND(+F237*E237,2)</f>
        <v>549836</v>
      </c>
      <c r="H237" s="8"/>
      <c r="I237" s="9" t="str">
        <f t="array" ref="I237">_xlfn.XLOOKUP(C237,'Neiva 2021 FASE I UNIFICADO'!$C$6:$C$540,'Neiva 2021 FASE I UNIFICADO'!$C$6:$F$540,"NO ESTA")</f>
        <v>NO ESTA</v>
      </c>
      <c r="M237" s="124">
        <f t="shared" si="27"/>
        <v>0</v>
      </c>
      <c r="N237" s="155">
        <f t="shared" si="23"/>
        <v>1</v>
      </c>
      <c r="O237" s="156">
        <f t="shared" si="24"/>
        <v>549836</v>
      </c>
      <c r="P237" s="156">
        <f t="shared" si="25"/>
        <v>549836</v>
      </c>
    </row>
    <row r="238" spans="2:16" s="9" customFormat="1" ht="35.1" customHeight="1" x14ac:dyDescent="0.25">
      <c r="B238" s="23" t="s">
        <v>1177</v>
      </c>
      <c r="C238" s="22" t="s">
        <v>1178</v>
      </c>
      <c r="D238" s="23" t="s">
        <v>374</v>
      </c>
      <c r="E238" s="12">
        <v>1</v>
      </c>
      <c r="F238" s="126">
        <v>3940517</v>
      </c>
      <c r="G238" s="126">
        <f>ROUND(+F238*E238,2)</f>
        <v>3940517</v>
      </c>
      <c r="H238" s="8"/>
      <c r="I238" s="9" t="str">
        <f t="array" ref="I238">_xlfn.XLOOKUP(C238,'Neiva 2021 FASE I UNIFICADO'!$C$6:$C$540,'Neiva 2021 FASE I UNIFICADO'!$C$6:$F$540,"NO ESTA")</f>
        <v>NO ESTA</v>
      </c>
      <c r="M238" s="124">
        <f t="shared" si="27"/>
        <v>0</v>
      </c>
      <c r="N238" s="155">
        <f t="shared" si="23"/>
        <v>1</v>
      </c>
      <c r="O238" s="156">
        <f t="shared" si="24"/>
        <v>3940517</v>
      </c>
      <c r="P238" s="156">
        <f t="shared" si="25"/>
        <v>3940517</v>
      </c>
    </row>
    <row r="239" spans="2:16" s="9" customFormat="1" ht="35.1" customHeight="1" x14ac:dyDescent="0.25">
      <c r="B239" s="13" t="s">
        <v>1179</v>
      </c>
      <c r="C239" s="14" t="s">
        <v>20</v>
      </c>
      <c r="D239" s="13"/>
      <c r="E239" s="15"/>
      <c r="F239" s="129"/>
      <c r="G239" s="140"/>
      <c r="H239" s="8"/>
      <c r="I239" s="9" t="str">
        <f t="array" ref="I239:L239">_xlfn.XLOOKUP(C239,'Neiva 2021 FASE I UNIFICADO'!$C$6:$C$540,'Neiva 2021 FASE I UNIFICADO'!$C$6:$F$540,"NO ESTA")</f>
        <v>DEMOLICIONES</v>
      </c>
      <c r="J239" s="9">
        <v>0</v>
      </c>
      <c r="K239" s="9">
        <v>0</v>
      </c>
      <c r="L239" s="9">
        <v>0</v>
      </c>
      <c r="M239" s="124">
        <f t="shared" si="27"/>
        <v>0</v>
      </c>
      <c r="N239" s="155">
        <f t="shared" si="23"/>
        <v>0</v>
      </c>
      <c r="O239" s="156">
        <f t="shared" si="24"/>
        <v>0</v>
      </c>
      <c r="P239" s="156">
        <f t="shared" si="25"/>
        <v>0</v>
      </c>
    </row>
    <row r="240" spans="2:16" s="9" customFormat="1" ht="35.1" customHeight="1" x14ac:dyDescent="0.25">
      <c r="B240" s="23" t="s">
        <v>1180</v>
      </c>
      <c r="C240" s="22" t="s">
        <v>1181</v>
      </c>
      <c r="D240" s="23" t="s">
        <v>1182</v>
      </c>
      <c r="E240" s="12">
        <v>1</v>
      </c>
      <c r="F240" s="126">
        <v>1927050</v>
      </c>
      <c r="G240" s="126">
        <f>ROUND(+F240*E240,2)</f>
        <v>1927050</v>
      </c>
      <c r="H240" s="8"/>
      <c r="I240" s="9" t="str">
        <f t="array" ref="I240">_xlfn.XLOOKUP(C240,'Neiva 2021 FASE I UNIFICADO'!$C$6:$C$540,'Neiva 2021 FASE I UNIFICADO'!$C$6:$F$540,"NO ESTA")</f>
        <v>NO ESTA</v>
      </c>
      <c r="M240" s="124">
        <f t="shared" si="27"/>
        <v>0</v>
      </c>
      <c r="N240" s="155">
        <f t="shared" si="23"/>
        <v>1</v>
      </c>
      <c r="O240" s="156">
        <f t="shared" si="24"/>
        <v>1927050</v>
      </c>
      <c r="P240" s="156">
        <f t="shared" si="25"/>
        <v>1927050</v>
      </c>
    </row>
    <row r="241" spans="2:16" s="9" customFormat="1" ht="35.1" customHeight="1" x14ac:dyDescent="0.25">
      <c r="B241" s="13" t="s">
        <v>1183</v>
      </c>
      <c r="C241" s="14" t="s">
        <v>1184</v>
      </c>
      <c r="D241" s="13"/>
      <c r="E241" s="15"/>
      <c r="F241" s="129"/>
      <c r="G241" s="140"/>
      <c r="H241" s="8"/>
      <c r="I241" s="9" t="str">
        <f t="array" ref="I241">_xlfn.XLOOKUP(C241,'Neiva 2021 FASE I UNIFICADO'!$C$6:$C$540,'Neiva 2021 FASE I UNIFICADO'!$C$6:$F$540,"NO ESTA")</f>
        <v>NO ESTA</v>
      </c>
      <c r="M241" s="124">
        <f t="shared" si="27"/>
        <v>0</v>
      </c>
      <c r="N241" s="155">
        <f t="shared" si="23"/>
        <v>0</v>
      </c>
      <c r="O241" s="156">
        <f t="shared" si="24"/>
        <v>0</v>
      </c>
      <c r="P241" s="156">
        <f t="shared" si="25"/>
        <v>0</v>
      </c>
    </row>
    <row r="242" spans="2:16" s="9" customFormat="1" ht="35.1" customHeight="1" x14ac:dyDescent="0.25">
      <c r="B242" s="10" t="s">
        <v>1185</v>
      </c>
      <c r="C242" s="11" t="s">
        <v>1186</v>
      </c>
      <c r="D242" s="10" t="s">
        <v>30</v>
      </c>
      <c r="E242" s="12">
        <v>79.201499999999996</v>
      </c>
      <c r="F242" s="126">
        <v>31642</v>
      </c>
      <c r="G242" s="126">
        <f>ROUND(+F242*E242,2)</f>
        <v>2506093.86</v>
      </c>
      <c r="H242" s="8"/>
      <c r="I242" s="9" t="str">
        <f t="array" ref="I242">_xlfn.XLOOKUP(C242,'Neiva 2021 FASE I UNIFICADO'!$C$6:$C$540,'Neiva 2021 FASE I UNIFICADO'!$C$6:$F$540,"NO ESTA")</f>
        <v>NO ESTA</v>
      </c>
      <c r="M242" s="124">
        <f t="shared" si="27"/>
        <v>0</v>
      </c>
      <c r="N242" s="155">
        <f t="shared" si="23"/>
        <v>79.201499999999996</v>
      </c>
      <c r="O242" s="156">
        <f t="shared" si="24"/>
        <v>31642</v>
      </c>
      <c r="P242" s="156">
        <f t="shared" si="25"/>
        <v>2506093.8629999999</v>
      </c>
    </row>
    <row r="243" spans="2:16" s="9" customFormat="1" ht="35.1" customHeight="1" x14ac:dyDescent="0.25">
      <c r="B243" s="10" t="s">
        <v>1187</v>
      </c>
      <c r="C243" s="20" t="s">
        <v>1188</v>
      </c>
      <c r="D243" s="10" t="s">
        <v>30</v>
      </c>
      <c r="E243" s="12">
        <v>110</v>
      </c>
      <c r="F243" s="126">
        <v>143745</v>
      </c>
      <c r="G243" s="126">
        <f>ROUND(+F243*E243,2)</f>
        <v>15811950</v>
      </c>
      <c r="H243" s="8"/>
      <c r="I243" s="9" t="str">
        <f t="array" ref="I243">_xlfn.XLOOKUP(C243,'Neiva 2021 FASE I UNIFICADO'!$C$6:$C$540,'Neiva 2021 FASE I UNIFICADO'!$C$6:$F$540,"NO ESTA")</f>
        <v>NO ESTA</v>
      </c>
      <c r="M243" s="124">
        <f t="shared" si="27"/>
        <v>0</v>
      </c>
      <c r="N243" s="155">
        <f t="shared" si="23"/>
        <v>110</v>
      </c>
      <c r="O243" s="156">
        <f t="shared" si="24"/>
        <v>143745</v>
      </c>
      <c r="P243" s="156">
        <f t="shared" si="25"/>
        <v>15811950</v>
      </c>
    </row>
    <row r="244" spans="2:16" s="9" customFormat="1" ht="35.1" customHeight="1" x14ac:dyDescent="0.25">
      <c r="B244" s="10" t="s">
        <v>1189</v>
      </c>
      <c r="C244" s="22" t="s">
        <v>422</v>
      </c>
      <c r="D244" s="10" t="s">
        <v>30</v>
      </c>
      <c r="E244" s="12">
        <v>64.790000000000006</v>
      </c>
      <c r="F244" s="126">
        <v>75587</v>
      </c>
      <c r="G244" s="126">
        <f>ROUND(+F244*E244,2)</f>
        <v>4897281.7300000004</v>
      </c>
      <c r="H244" s="8"/>
      <c r="I244" s="9" t="str">
        <f t="array" ref="I244:L244">_xlfn.XLOOKUP(C244,'Neiva 2021 FASE I UNIFICADO'!$C$6:$C$540,'Neiva 2021 FASE I UNIFICADO'!$C$6:$F$540,"NO ESTA")</f>
        <v xml:space="preserve">RELLENO EN ARENA INCLUYE TRANSPORTE Y COLOCACIÓN       </v>
      </c>
      <c r="J244" s="9" t="str">
        <v xml:space="preserve">M3   </v>
      </c>
      <c r="K244" s="9">
        <v>28</v>
      </c>
      <c r="L244" s="9">
        <v>69956</v>
      </c>
      <c r="M244" s="124" t="str">
        <f t="shared" si="27"/>
        <v>FASE II</v>
      </c>
      <c r="N244" s="155">
        <f t="shared" si="23"/>
        <v>92.79</v>
      </c>
      <c r="O244" s="156">
        <f t="shared" si="24"/>
        <v>75587</v>
      </c>
      <c r="P244" s="156">
        <f t="shared" si="25"/>
        <v>7013717.7300000004</v>
      </c>
    </row>
    <row r="245" spans="2:16" s="9" customFormat="1" ht="35.1" customHeight="1" x14ac:dyDescent="0.25">
      <c r="B245" s="10" t="s">
        <v>1190</v>
      </c>
      <c r="C245" s="11" t="s">
        <v>1191</v>
      </c>
      <c r="D245" s="10" t="s">
        <v>30</v>
      </c>
      <c r="E245" s="12">
        <v>2</v>
      </c>
      <c r="F245" s="126">
        <v>518935</v>
      </c>
      <c r="G245" s="126">
        <f>ROUND(+F245*E245,2)</f>
        <v>1037870</v>
      </c>
      <c r="H245" s="8"/>
      <c r="I245" s="9" t="str">
        <f t="array" ref="I245">_xlfn.XLOOKUP(C245,'Neiva 2021 FASE I UNIFICADO'!$C$6:$C$540,'Neiva 2021 FASE I UNIFICADO'!$C$6:$F$540,"NO ESTA")</f>
        <v>NO ESTA</v>
      </c>
      <c r="M245" s="124">
        <f t="shared" si="27"/>
        <v>0</v>
      </c>
      <c r="N245" s="155">
        <f t="shared" si="23"/>
        <v>2</v>
      </c>
      <c r="O245" s="156">
        <f t="shared" si="24"/>
        <v>518935</v>
      </c>
      <c r="P245" s="156">
        <f t="shared" si="25"/>
        <v>1037870</v>
      </c>
    </row>
    <row r="246" spans="2:16" s="9" customFormat="1" ht="35.1" customHeight="1" x14ac:dyDescent="0.25">
      <c r="B246" s="10" t="s">
        <v>1192</v>
      </c>
      <c r="C246" s="11" t="s">
        <v>1193</v>
      </c>
      <c r="D246" s="10" t="s">
        <v>30</v>
      </c>
      <c r="E246" s="12">
        <v>139.05000000000001</v>
      </c>
      <c r="F246" s="126">
        <v>34334</v>
      </c>
      <c r="G246" s="126">
        <f>ROUND(+F246*E246,2)</f>
        <v>4774142.7</v>
      </c>
      <c r="H246" s="8"/>
      <c r="I246" s="9" t="str">
        <f t="array" ref="I246">_xlfn.XLOOKUP(C246,'Neiva 2021 FASE I UNIFICADO'!$C$6:$C$540,'Neiva 2021 FASE I UNIFICADO'!$C$6:$F$540,"NO ESTA")</f>
        <v>NO ESTA</v>
      </c>
      <c r="M246" s="124">
        <f t="shared" si="27"/>
        <v>0</v>
      </c>
      <c r="N246" s="155">
        <f t="shared" si="23"/>
        <v>139.05000000000001</v>
      </c>
      <c r="O246" s="156">
        <f t="shared" si="24"/>
        <v>34334</v>
      </c>
      <c r="P246" s="156">
        <f t="shared" si="25"/>
        <v>4774142.7</v>
      </c>
    </row>
    <row r="247" spans="2:16" s="9" customFormat="1" ht="35.1" customHeight="1" x14ac:dyDescent="0.25">
      <c r="B247" s="32" t="s">
        <v>1194</v>
      </c>
      <c r="C247" s="14" t="s">
        <v>1195</v>
      </c>
      <c r="D247" s="24"/>
      <c r="E247" s="15"/>
      <c r="F247" s="129"/>
      <c r="G247" s="140"/>
      <c r="H247" s="8"/>
      <c r="I247" s="9" t="str">
        <f t="array" ref="I247">_xlfn.XLOOKUP(C247,'Neiva 2021 FASE I UNIFICADO'!$C$6:$C$540,'Neiva 2021 FASE I UNIFICADO'!$C$6:$F$540,"NO ESTA")</f>
        <v>NO ESTA</v>
      </c>
      <c r="M247" s="124">
        <f t="shared" si="27"/>
        <v>0</v>
      </c>
      <c r="N247" s="155">
        <f t="shared" si="23"/>
        <v>0</v>
      </c>
      <c r="O247" s="156">
        <f t="shared" si="24"/>
        <v>0</v>
      </c>
      <c r="P247" s="156">
        <f t="shared" si="25"/>
        <v>0</v>
      </c>
    </row>
    <row r="248" spans="2:16" s="9" customFormat="1" ht="35.1" customHeight="1" x14ac:dyDescent="0.25">
      <c r="B248" s="10" t="s">
        <v>1196</v>
      </c>
      <c r="C248" s="20" t="s">
        <v>1197</v>
      </c>
      <c r="D248" s="10" t="s">
        <v>13</v>
      </c>
      <c r="E248" s="12">
        <v>185.11</v>
      </c>
      <c r="F248" s="126">
        <v>77740</v>
      </c>
      <c r="G248" s="126">
        <f>ROUND(+F248*E248,2)</f>
        <v>14390451.4</v>
      </c>
      <c r="H248" s="8"/>
      <c r="I248" s="9" t="str">
        <f t="array" ref="I248">_xlfn.XLOOKUP(C248,'Neiva 2021 FASE I UNIFICADO'!$C$6:$C$540,'Neiva 2021 FASE I UNIFICADO'!$C$6:$F$540,"NO ESTA")</f>
        <v>NO ESTA</v>
      </c>
      <c r="M248" s="124">
        <f t="shared" si="27"/>
        <v>0</v>
      </c>
      <c r="N248" s="155">
        <f t="shared" si="23"/>
        <v>185.11</v>
      </c>
      <c r="O248" s="156">
        <f t="shared" si="24"/>
        <v>77740</v>
      </c>
      <c r="P248" s="156">
        <f t="shared" si="25"/>
        <v>14390451.4</v>
      </c>
    </row>
    <row r="249" spans="2:16" s="9" customFormat="1" ht="35.1" customHeight="1" x14ac:dyDescent="0.25">
      <c r="B249" s="10" t="s">
        <v>1198</v>
      </c>
      <c r="C249" s="11" t="s">
        <v>1199</v>
      </c>
      <c r="D249" s="10" t="s">
        <v>94</v>
      </c>
      <c r="E249" s="12">
        <v>72.05</v>
      </c>
      <c r="F249" s="126">
        <v>46234</v>
      </c>
      <c r="G249" s="126">
        <f>ROUND(+F249*E249,2)</f>
        <v>3331159.7</v>
      </c>
      <c r="H249" s="8"/>
      <c r="I249" s="9" t="str">
        <f t="array" ref="I249">_xlfn.XLOOKUP(C249,'Neiva 2021 FASE I UNIFICADO'!$C$6:$C$540,'Neiva 2021 FASE I UNIFICADO'!$C$6:$F$540,"NO ESTA")</f>
        <v>NO ESTA</v>
      </c>
      <c r="M249" s="124">
        <f t="shared" si="27"/>
        <v>0</v>
      </c>
      <c r="N249" s="155">
        <f t="shared" si="23"/>
        <v>72.05</v>
      </c>
      <c r="O249" s="156">
        <f t="shared" si="24"/>
        <v>46234</v>
      </c>
      <c r="P249" s="156">
        <f t="shared" si="25"/>
        <v>3331159.6999999997</v>
      </c>
    </row>
    <row r="250" spans="2:16" s="9" customFormat="1" ht="35.1" customHeight="1" x14ac:dyDescent="0.25">
      <c r="B250" s="10" t="s">
        <v>1200</v>
      </c>
      <c r="C250" s="11" t="s">
        <v>1201</v>
      </c>
      <c r="D250" s="10" t="s">
        <v>94</v>
      </c>
      <c r="E250" s="12">
        <v>303.41000000000003</v>
      </c>
      <c r="F250" s="126">
        <v>70666</v>
      </c>
      <c r="G250" s="126">
        <f>ROUND(+F250*E250,2)</f>
        <v>21440771.059999999</v>
      </c>
      <c r="H250" s="8"/>
      <c r="I250" s="9" t="str">
        <f t="array" ref="I250">_xlfn.XLOOKUP(C250,'Neiva 2021 FASE I UNIFICADO'!$C$6:$C$540,'Neiva 2021 FASE I UNIFICADO'!$C$6:$F$540,"NO ESTA")</f>
        <v>NO ESTA</v>
      </c>
      <c r="M250" s="124">
        <f t="shared" si="27"/>
        <v>0</v>
      </c>
      <c r="N250" s="155">
        <f t="shared" si="23"/>
        <v>303.41000000000003</v>
      </c>
      <c r="O250" s="156">
        <f t="shared" si="24"/>
        <v>70666</v>
      </c>
      <c r="P250" s="156">
        <f t="shared" si="25"/>
        <v>21440771.060000002</v>
      </c>
    </row>
    <row r="251" spans="2:16" s="9" customFormat="1" ht="35.1" customHeight="1" x14ac:dyDescent="0.25">
      <c r="B251" s="10" t="s">
        <v>1202</v>
      </c>
      <c r="C251" s="11" t="s">
        <v>1203</v>
      </c>
      <c r="D251" s="10" t="s">
        <v>13</v>
      </c>
      <c r="E251" s="12">
        <v>433</v>
      </c>
      <c r="F251" s="126">
        <v>15630</v>
      </c>
      <c r="G251" s="126">
        <f>ROUND(+F251*E251,2)</f>
        <v>6767790</v>
      </c>
      <c r="H251" s="8"/>
      <c r="I251" s="9" t="str">
        <f t="array" ref="I251">_xlfn.XLOOKUP(C251,'Neiva 2021 FASE I UNIFICADO'!$C$6:$C$540,'Neiva 2021 FASE I UNIFICADO'!$C$6:$F$540,"NO ESTA")</f>
        <v>NO ESTA</v>
      </c>
      <c r="M251" s="124">
        <f t="shared" si="27"/>
        <v>0</v>
      </c>
      <c r="N251" s="155">
        <f t="shared" si="23"/>
        <v>433</v>
      </c>
      <c r="O251" s="156">
        <f t="shared" si="24"/>
        <v>15630</v>
      </c>
      <c r="P251" s="156">
        <f t="shared" si="25"/>
        <v>6767790</v>
      </c>
    </row>
    <row r="252" spans="2:16" s="9" customFormat="1" ht="35.1" customHeight="1" x14ac:dyDescent="0.25">
      <c r="B252" s="13" t="s">
        <v>1204</v>
      </c>
      <c r="C252" s="14" t="s">
        <v>1205</v>
      </c>
      <c r="D252" s="13"/>
      <c r="E252" s="15"/>
      <c r="F252" s="129"/>
      <c r="G252" s="140"/>
      <c r="H252" s="8"/>
      <c r="I252" s="9" t="str">
        <f t="array" ref="I252">_xlfn.XLOOKUP(C252,'Neiva 2021 FASE I UNIFICADO'!$C$6:$C$540,'Neiva 2021 FASE I UNIFICADO'!$C$6:$F$540,"NO ESTA")</f>
        <v>NO ESTA</v>
      </c>
      <c r="M252" s="124">
        <f t="shared" si="27"/>
        <v>0</v>
      </c>
      <c r="N252" s="155">
        <f t="shared" si="23"/>
        <v>0</v>
      </c>
      <c r="O252" s="156">
        <f t="shared" si="24"/>
        <v>0</v>
      </c>
      <c r="P252" s="156">
        <f t="shared" si="25"/>
        <v>0</v>
      </c>
    </row>
    <row r="253" spans="2:16" s="9" customFormat="1" ht="35.1" customHeight="1" x14ac:dyDescent="0.25">
      <c r="B253" s="23" t="s">
        <v>1206</v>
      </c>
      <c r="C253" s="11" t="s">
        <v>1207</v>
      </c>
      <c r="D253" s="10" t="s">
        <v>16</v>
      </c>
      <c r="E253" s="12">
        <v>4</v>
      </c>
      <c r="F253" s="126">
        <v>770952</v>
      </c>
      <c r="G253" s="126">
        <f t="shared" ref="G253:G258" si="30">ROUND(+F253*E253,2)</f>
        <v>3083808</v>
      </c>
      <c r="H253" s="8"/>
      <c r="I253" s="9" t="str">
        <f t="array" ref="I253">_xlfn.XLOOKUP(C253,'Neiva 2021 FASE I UNIFICADO'!$C$6:$C$540,'Neiva 2021 FASE I UNIFICADO'!$C$6:$F$540,"NO ESTA")</f>
        <v>NO ESTA</v>
      </c>
      <c r="M253" s="124">
        <f t="shared" si="27"/>
        <v>0</v>
      </c>
      <c r="N253" s="155">
        <f t="shared" si="23"/>
        <v>4</v>
      </c>
      <c r="O253" s="156">
        <f t="shared" si="24"/>
        <v>770952</v>
      </c>
      <c r="P253" s="156">
        <f t="shared" si="25"/>
        <v>3083808</v>
      </c>
    </row>
    <row r="254" spans="2:16" s="9" customFormat="1" ht="35.1" customHeight="1" x14ac:dyDescent="0.25">
      <c r="B254" s="23" t="s">
        <v>1208</v>
      </c>
      <c r="C254" s="11" t="s">
        <v>1209</v>
      </c>
      <c r="D254" s="10" t="s">
        <v>16</v>
      </c>
      <c r="E254" s="12">
        <v>6</v>
      </c>
      <c r="F254" s="126">
        <v>385502</v>
      </c>
      <c r="G254" s="126">
        <f t="shared" si="30"/>
        <v>2313012</v>
      </c>
      <c r="H254" s="8"/>
      <c r="I254" s="9" t="str">
        <f t="array" ref="I254">_xlfn.XLOOKUP(C254,'Neiva 2021 FASE I UNIFICADO'!$C$6:$C$540,'Neiva 2021 FASE I UNIFICADO'!$C$6:$F$540,"NO ESTA")</f>
        <v>NO ESTA</v>
      </c>
      <c r="M254" s="124">
        <f t="shared" si="27"/>
        <v>0</v>
      </c>
      <c r="N254" s="155">
        <f t="shared" si="23"/>
        <v>6</v>
      </c>
      <c r="O254" s="156">
        <f t="shared" si="24"/>
        <v>385502</v>
      </c>
      <c r="P254" s="156">
        <f t="shared" si="25"/>
        <v>2313012</v>
      </c>
    </row>
    <row r="255" spans="2:16" s="9" customFormat="1" ht="35.1" customHeight="1" x14ac:dyDescent="0.25">
      <c r="B255" s="23" t="s">
        <v>1210</v>
      </c>
      <c r="C255" s="11" t="s">
        <v>1211</v>
      </c>
      <c r="D255" s="10" t="s">
        <v>16</v>
      </c>
      <c r="E255" s="12">
        <v>1</v>
      </c>
      <c r="F255" s="126">
        <v>9636031</v>
      </c>
      <c r="G255" s="126">
        <f t="shared" si="30"/>
        <v>9636031</v>
      </c>
      <c r="H255" s="8"/>
      <c r="I255" s="9" t="str">
        <f t="array" ref="I255">_xlfn.XLOOKUP(C255,'Neiva 2021 FASE I UNIFICADO'!$C$6:$C$540,'Neiva 2021 FASE I UNIFICADO'!$C$6:$F$540,"NO ESTA")</f>
        <v>NO ESTA</v>
      </c>
      <c r="M255" s="124">
        <f t="shared" si="27"/>
        <v>0</v>
      </c>
      <c r="N255" s="155">
        <f t="shared" si="23"/>
        <v>1</v>
      </c>
      <c r="O255" s="156">
        <f t="shared" si="24"/>
        <v>9636031</v>
      </c>
      <c r="P255" s="156">
        <f t="shared" si="25"/>
        <v>9636031</v>
      </c>
    </row>
    <row r="256" spans="2:16" s="9" customFormat="1" ht="35.1" customHeight="1" x14ac:dyDescent="0.25">
      <c r="B256" s="23" t="s">
        <v>1212</v>
      </c>
      <c r="C256" s="22" t="s">
        <v>1213</v>
      </c>
      <c r="D256" s="10" t="s">
        <v>16</v>
      </c>
      <c r="E256" s="12">
        <v>3</v>
      </c>
      <c r="F256" s="126">
        <v>231670</v>
      </c>
      <c r="G256" s="126">
        <f t="shared" si="30"/>
        <v>695010</v>
      </c>
      <c r="H256" s="8"/>
      <c r="I256" s="9" t="str">
        <f t="array" ref="I256">_xlfn.XLOOKUP(C256,'Neiva 2021 FASE I UNIFICADO'!$C$6:$C$540,'Neiva 2021 FASE I UNIFICADO'!$C$6:$F$540,"NO ESTA")</f>
        <v>NO ESTA</v>
      </c>
      <c r="M256" s="124">
        <f t="shared" si="27"/>
        <v>0</v>
      </c>
      <c r="N256" s="155">
        <f t="shared" si="23"/>
        <v>3</v>
      </c>
      <c r="O256" s="156">
        <f t="shared" si="24"/>
        <v>231670</v>
      </c>
      <c r="P256" s="156">
        <f t="shared" si="25"/>
        <v>695010</v>
      </c>
    </row>
    <row r="257" spans="2:16" s="9" customFormat="1" ht="35.1" customHeight="1" x14ac:dyDescent="0.25">
      <c r="B257" s="23" t="s">
        <v>1214</v>
      </c>
      <c r="C257" s="22" t="s">
        <v>1215</v>
      </c>
      <c r="D257" s="10" t="s">
        <v>16</v>
      </c>
      <c r="E257" s="12">
        <v>3</v>
      </c>
      <c r="F257" s="126">
        <v>321336</v>
      </c>
      <c r="G257" s="126">
        <f t="shared" si="30"/>
        <v>964008</v>
      </c>
      <c r="H257" s="8"/>
      <c r="I257" s="9" t="str">
        <f t="array" ref="I257">_xlfn.XLOOKUP(C257,'Neiva 2021 FASE I UNIFICADO'!$C$6:$C$540,'Neiva 2021 FASE I UNIFICADO'!$C$6:$F$540,"NO ESTA")</f>
        <v>NO ESTA</v>
      </c>
      <c r="M257" s="124">
        <f t="shared" si="27"/>
        <v>0</v>
      </c>
      <c r="N257" s="155">
        <f t="shared" si="23"/>
        <v>3</v>
      </c>
      <c r="O257" s="156">
        <f t="shared" si="24"/>
        <v>321336</v>
      </c>
      <c r="P257" s="156">
        <f t="shared" si="25"/>
        <v>964008</v>
      </c>
    </row>
    <row r="258" spans="2:16" s="9" customFormat="1" ht="35.1" customHeight="1" x14ac:dyDescent="0.25">
      <c r="B258" s="23" t="s">
        <v>1216</v>
      </c>
      <c r="C258" s="22" t="s">
        <v>1217</v>
      </c>
      <c r="D258" s="10" t="s">
        <v>16</v>
      </c>
      <c r="E258" s="12">
        <v>1</v>
      </c>
      <c r="F258" s="126">
        <v>385571</v>
      </c>
      <c r="G258" s="126">
        <f t="shared" si="30"/>
        <v>385571</v>
      </c>
      <c r="H258" s="8"/>
      <c r="I258" s="9" t="str">
        <f t="array" ref="I258">_xlfn.XLOOKUP(C258,'Neiva 2021 FASE I UNIFICADO'!$C$6:$C$540,'Neiva 2021 FASE I UNIFICADO'!$C$6:$F$540,"NO ESTA")</f>
        <v>NO ESTA</v>
      </c>
      <c r="M258" s="124">
        <f t="shared" si="27"/>
        <v>0</v>
      </c>
      <c r="N258" s="155">
        <f t="shared" si="23"/>
        <v>1</v>
      </c>
      <c r="O258" s="156">
        <f t="shared" si="24"/>
        <v>385571</v>
      </c>
      <c r="P258" s="156">
        <f t="shared" si="25"/>
        <v>385571</v>
      </c>
    </row>
    <row r="259" spans="2:16" s="9" customFormat="1" ht="35.1" customHeight="1" x14ac:dyDescent="0.25">
      <c r="B259" s="13" t="s">
        <v>1218</v>
      </c>
      <c r="C259" s="14" t="s">
        <v>1219</v>
      </c>
      <c r="D259" s="13"/>
      <c r="E259" s="15"/>
      <c r="F259" s="129"/>
      <c r="G259" s="140"/>
      <c r="H259" s="8"/>
      <c r="I259" s="9" t="str">
        <f t="array" ref="I259">_xlfn.XLOOKUP(C259,'Neiva 2021 FASE I UNIFICADO'!$C$6:$C$540,'Neiva 2021 FASE I UNIFICADO'!$C$6:$F$540,"NO ESTA")</f>
        <v>NO ESTA</v>
      </c>
      <c r="M259" s="124">
        <f t="shared" si="27"/>
        <v>0</v>
      </c>
      <c r="N259" s="155">
        <f t="shared" si="23"/>
        <v>0</v>
      </c>
      <c r="O259" s="156">
        <f t="shared" si="24"/>
        <v>0</v>
      </c>
      <c r="P259" s="156">
        <f t="shared" si="25"/>
        <v>0</v>
      </c>
    </row>
    <row r="260" spans="2:16" s="9" customFormat="1" ht="35.1" customHeight="1" x14ac:dyDescent="0.25">
      <c r="B260" s="10" t="s">
        <v>1220</v>
      </c>
      <c r="C260" s="11" t="s">
        <v>1221</v>
      </c>
      <c r="D260" s="10" t="s">
        <v>16</v>
      </c>
      <c r="E260" s="12">
        <v>8</v>
      </c>
      <c r="F260" s="126">
        <v>3218117</v>
      </c>
      <c r="G260" s="126">
        <f>ROUND(+F260*E260,2)</f>
        <v>25744936</v>
      </c>
      <c r="H260" s="8"/>
      <c r="I260" s="9" t="str">
        <f t="array" ref="I260">_xlfn.XLOOKUP(C260,'Neiva 2021 FASE I UNIFICADO'!$C$6:$C$540,'Neiva 2021 FASE I UNIFICADO'!$C$6:$F$540,"NO ESTA")</f>
        <v>NO ESTA</v>
      </c>
      <c r="M260" s="124">
        <f t="shared" si="27"/>
        <v>0</v>
      </c>
      <c r="N260" s="155">
        <f t="shared" si="23"/>
        <v>8</v>
      </c>
      <c r="O260" s="156">
        <f t="shared" si="24"/>
        <v>3218117</v>
      </c>
      <c r="P260" s="156">
        <f t="shared" si="25"/>
        <v>25744936</v>
      </c>
    </row>
    <row r="261" spans="2:16" s="9" customFormat="1" ht="35.1" customHeight="1" x14ac:dyDescent="0.25">
      <c r="B261" s="33">
        <v>12</v>
      </c>
      <c r="C261" s="34" t="s">
        <v>264</v>
      </c>
      <c r="D261" s="34"/>
      <c r="E261" s="35"/>
      <c r="F261" s="132"/>
      <c r="G261" s="144"/>
      <c r="H261" s="8"/>
      <c r="M261" s="124">
        <f t="shared" si="27"/>
        <v>0</v>
      </c>
      <c r="N261" s="155">
        <f t="shared" si="23"/>
        <v>0</v>
      </c>
      <c r="O261" s="156">
        <f t="shared" si="24"/>
        <v>0</v>
      </c>
      <c r="P261" s="156">
        <f t="shared" si="25"/>
        <v>0</v>
      </c>
    </row>
    <row r="262" spans="2:16" s="9" customFormat="1" ht="35.1" customHeight="1" x14ac:dyDescent="0.25">
      <c r="B262" s="42" t="s">
        <v>265</v>
      </c>
      <c r="C262" s="43" t="s">
        <v>266</v>
      </c>
      <c r="D262" s="24"/>
      <c r="E262" s="15"/>
      <c r="F262" s="129"/>
      <c r="G262" s="140"/>
      <c r="H262" s="8"/>
      <c r="M262" s="124">
        <f t="shared" si="27"/>
        <v>0</v>
      </c>
      <c r="N262" s="155">
        <f t="shared" ref="N262:N325" si="31">E262+K262</f>
        <v>0</v>
      </c>
      <c r="O262" s="156">
        <f t="shared" ref="O262:O325" si="32">MAX(L262,F262)</f>
        <v>0</v>
      </c>
      <c r="P262" s="156">
        <f t="shared" ref="P262:P325" si="33">N262*O262</f>
        <v>0</v>
      </c>
    </row>
    <row r="263" spans="2:16" s="9" customFormat="1" ht="35.1" customHeight="1" x14ac:dyDescent="0.25">
      <c r="B263" s="44" t="s">
        <v>267</v>
      </c>
      <c r="C263" s="22" t="s">
        <v>268</v>
      </c>
      <c r="D263" s="23" t="s">
        <v>269</v>
      </c>
      <c r="E263" s="12">
        <v>121</v>
      </c>
      <c r="F263" s="126">
        <v>12676</v>
      </c>
      <c r="G263" s="126">
        <f t="shared" ref="G263:G291" si="34">ROUND(+F263*E263,2)</f>
        <v>1533796</v>
      </c>
      <c r="H263" s="8"/>
      <c r="I263" s="9" t="str">
        <f t="array" ref="I263:L263">_xlfn.XLOOKUP(C263,'Neiva 2021 FASE I UNIFICADO'!$C$6:$C$540,'Neiva 2021 FASE I UNIFICADO'!$C$6:$F$540,"NO ESTA")</f>
        <v>SUMINISTRO E INSTALACIÓN TUBERIA PVC-P DIAMETRO 1/2" RDE 9</v>
      </c>
      <c r="J263" s="9" t="str">
        <v xml:space="preserve">ML   </v>
      </c>
      <c r="K263" s="9">
        <v>45</v>
      </c>
      <c r="L263" s="9">
        <v>11732</v>
      </c>
      <c r="M263" s="124" t="str">
        <f t="shared" si="27"/>
        <v>FASE II</v>
      </c>
      <c r="N263" s="155">
        <f t="shared" si="31"/>
        <v>166</v>
      </c>
      <c r="O263" s="156">
        <f t="shared" si="32"/>
        <v>12676</v>
      </c>
      <c r="P263" s="156">
        <f t="shared" si="33"/>
        <v>2104216</v>
      </c>
    </row>
    <row r="264" spans="2:16" s="9" customFormat="1" ht="35.1" customHeight="1" x14ac:dyDescent="0.25">
      <c r="B264" s="44" t="s">
        <v>270</v>
      </c>
      <c r="C264" s="22" t="s">
        <v>271</v>
      </c>
      <c r="D264" s="23" t="s">
        <v>269</v>
      </c>
      <c r="E264" s="12">
        <v>49</v>
      </c>
      <c r="F264" s="126">
        <v>18861</v>
      </c>
      <c r="G264" s="126">
        <f t="shared" si="34"/>
        <v>924189</v>
      </c>
      <c r="H264" s="8"/>
      <c r="I264" s="9" t="str">
        <f t="array" ref="I264:L264">_xlfn.XLOOKUP(C264,'Neiva 2021 FASE I UNIFICADO'!$C$6:$C$540,'Neiva 2021 FASE I UNIFICADO'!$C$6:$F$540,"NO ESTA")</f>
        <v>SUMINISTRO E INSTALACIÓN TUBERIA PCV-P DIAMETRO 3/4" RDE 11</v>
      </c>
      <c r="J264" s="9" t="str">
        <v xml:space="preserve">ML   </v>
      </c>
      <c r="K264" s="9">
        <v>18</v>
      </c>
      <c r="L264" s="9">
        <v>17455</v>
      </c>
      <c r="M264" s="124" t="str">
        <f t="shared" ref="M264:M327" si="35">IF(L264=0,0,(IF(F264&lt;L264, "FASE I","FASE II")))</f>
        <v>FASE II</v>
      </c>
      <c r="N264" s="155">
        <f t="shared" si="31"/>
        <v>67</v>
      </c>
      <c r="O264" s="156">
        <f t="shared" si="32"/>
        <v>18861</v>
      </c>
      <c r="P264" s="156">
        <f t="shared" si="33"/>
        <v>1263687</v>
      </c>
    </row>
    <row r="265" spans="2:16" s="9" customFormat="1" ht="35.1" customHeight="1" x14ac:dyDescent="0.25">
      <c r="B265" s="44" t="s">
        <v>272</v>
      </c>
      <c r="C265" s="22" t="s">
        <v>273</v>
      </c>
      <c r="D265" s="23" t="s">
        <v>269</v>
      </c>
      <c r="E265" s="12">
        <v>40</v>
      </c>
      <c r="F265" s="126">
        <v>19999</v>
      </c>
      <c r="G265" s="126">
        <f t="shared" si="34"/>
        <v>799960</v>
      </c>
      <c r="H265" s="8"/>
      <c r="I265" s="9" t="str">
        <f t="array" ref="I265:L265">_xlfn.XLOOKUP(C265,'Neiva 2021 FASE I UNIFICADO'!$C$6:$C$540,'Neiva 2021 FASE I UNIFICADO'!$C$6:$F$540,"NO ESTA")</f>
        <v>SUMINISTRO E INSTALACIÓN TUBERIA PCV-P DIAMETRO 1" RDE 13,5</v>
      </c>
      <c r="J265" s="9" t="str">
        <v xml:space="preserve">ML   </v>
      </c>
      <c r="K265" s="9">
        <v>15</v>
      </c>
      <c r="L265" s="9">
        <v>18509</v>
      </c>
      <c r="M265" s="124" t="str">
        <f t="shared" si="35"/>
        <v>FASE II</v>
      </c>
      <c r="N265" s="155">
        <f t="shared" si="31"/>
        <v>55</v>
      </c>
      <c r="O265" s="156">
        <f t="shared" si="32"/>
        <v>19999</v>
      </c>
      <c r="P265" s="156">
        <f t="shared" si="33"/>
        <v>1099945</v>
      </c>
    </row>
    <row r="266" spans="2:16" s="9" customFormat="1" ht="35.1" customHeight="1" x14ac:dyDescent="0.25">
      <c r="B266" s="44" t="s">
        <v>274</v>
      </c>
      <c r="C266" s="22" t="s">
        <v>275</v>
      </c>
      <c r="D266" s="23" t="s">
        <v>269</v>
      </c>
      <c r="E266" s="12">
        <v>64</v>
      </c>
      <c r="F266" s="126">
        <v>21245</v>
      </c>
      <c r="G266" s="126">
        <f t="shared" si="34"/>
        <v>1359680</v>
      </c>
      <c r="H266" s="8"/>
      <c r="I266" s="9" t="str">
        <f t="array" ref="I266:L266">_xlfn.XLOOKUP(C266,'Neiva 2021 FASE I UNIFICADO'!$C$6:$C$540,'Neiva 2021 FASE I UNIFICADO'!$C$6:$F$540,"NO ESTA")</f>
        <v>SUMINISTRO E INSTALACIÓN TUBERIA PCV-P DIAMETRO 1 1/4" RDE 21</v>
      </c>
      <c r="J266" s="9" t="str">
        <v xml:space="preserve">ML   </v>
      </c>
      <c r="K266" s="9">
        <v>23</v>
      </c>
      <c r="L266" s="9">
        <v>19662</v>
      </c>
      <c r="M266" s="124" t="str">
        <f t="shared" si="35"/>
        <v>FASE II</v>
      </c>
      <c r="N266" s="155">
        <f t="shared" si="31"/>
        <v>87</v>
      </c>
      <c r="O266" s="156">
        <f t="shared" si="32"/>
        <v>21245</v>
      </c>
      <c r="P266" s="156">
        <f t="shared" si="33"/>
        <v>1848315</v>
      </c>
    </row>
    <row r="267" spans="2:16" s="9" customFormat="1" ht="35.1" customHeight="1" x14ac:dyDescent="0.25">
      <c r="B267" s="44" t="s">
        <v>276</v>
      </c>
      <c r="C267" s="22" t="s">
        <v>277</v>
      </c>
      <c r="D267" s="23" t="s">
        <v>269</v>
      </c>
      <c r="E267" s="12">
        <v>57</v>
      </c>
      <c r="F267" s="126">
        <v>27309</v>
      </c>
      <c r="G267" s="126">
        <f t="shared" si="34"/>
        <v>1556613</v>
      </c>
      <c r="H267" s="8"/>
      <c r="I267" s="9" t="str">
        <f t="array" ref="I267:L267">_xlfn.XLOOKUP(C267,'Neiva 2021 FASE I UNIFICADO'!$C$6:$C$540,'Neiva 2021 FASE I UNIFICADO'!$C$6:$F$540,"NO ESTA")</f>
        <v>SUMINISTRO E INSTALACIÓN TUBERIA PCV-P DIAMETRO 1 1/2" RDE 21</v>
      </c>
      <c r="J267" s="9" t="str">
        <v xml:space="preserve">ML   </v>
      </c>
      <c r="K267" s="9">
        <v>21</v>
      </c>
      <c r="L267" s="9">
        <v>25274</v>
      </c>
      <c r="M267" s="124" t="str">
        <f t="shared" si="35"/>
        <v>FASE II</v>
      </c>
      <c r="N267" s="155">
        <f t="shared" si="31"/>
        <v>78</v>
      </c>
      <c r="O267" s="156">
        <f t="shared" si="32"/>
        <v>27309</v>
      </c>
      <c r="P267" s="156">
        <f t="shared" si="33"/>
        <v>2130102</v>
      </c>
    </row>
    <row r="268" spans="2:16" s="9" customFormat="1" ht="35.1" customHeight="1" x14ac:dyDescent="0.25">
      <c r="B268" s="44" t="s">
        <v>278</v>
      </c>
      <c r="C268" s="22" t="s">
        <v>279</v>
      </c>
      <c r="D268" s="23" t="s">
        <v>269</v>
      </c>
      <c r="E268" s="12">
        <v>90</v>
      </c>
      <c r="F268" s="126">
        <v>39097</v>
      </c>
      <c r="G268" s="126">
        <f t="shared" si="34"/>
        <v>3518730</v>
      </c>
      <c r="H268" s="8"/>
      <c r="I268" s="9" t="str">
        <f t="array" ref="I268:L268">_xlfn.XLOOKUP(C268,'Neiva 2021 FASE I UNIFICADO'!$C$6:$C$540,'Neiva 2021 FASE I UNIFICADO'!$C$6:$F$540,"NO ESTA")</f>
        <v>SUMINISTRO E INSTALACIÓN TUBERIA PCV-P DIAMETRO 2" RDE 21</v>
      </c>
      <c r="J268" s="9" t="str">
        <v xml:space="preserve">ML   </v>
      </c>
      <c r="K268" s="9">
        <v>33</v>
      </c>
      <c r="L268" s="9">
        <v>36185</v>
      </c>
      <c r="M268" s="124" t="str">
        <f t="shared" si="35"/>
        <v>FASE II</v>
      </c>
      <c r="N268" s="155">
        <f t="shared" si="31"/>
        <v>123</v>
      </c>
      <c r="O268" s="156">
        <f t="shared" si="32"/>
        <v>39097</v>
      </c>
      <c r="P268" s="156">
        <f t="shared" si="33"/>
        <v>4808931</v>
      </c>
    </row>
    <row r="269" spans="2:16" s="9" customFormat="1" ht="35.1" customHeight="1" x14ac:dyDescent="0.25">
      <c r="B269" s="44" t="s">
        <v>280</v>
      </c>
      <c r="C269" s="22" t="s">
        <v>281</v>
      </c>
      <c r="D269" s="23" t="s">
        <v>269</v>
      </c>
      <c r="E269" s="12">
        <v>18</v>
      </c>
      <c r="F269" s="126">
        <v>52773</v>
      </c>
      <c r="G269" s="126">
        <f t="shared" si="34"/>
        <v>949914</v>
      </c>
      <c r="H269" s="8"/>
      <c r="I269" s="9" t="str">
        <f t="array" ref="I269:L269">_xlfn.XLOOKUP(C269,'Neiva 2021 FASE I UNIFICADO'!$C$6:$C$540,'Neiva 2021 FASE I UNIFICADO'!$C$6:$F$540,"NO ESTA")</f>
        <v>SUMINISTRO E INSTALACIÓN TUBERIA PCV-P DIAMETRO 2 1/2" RDE 21</v>
      </c>
      <c r="J269" s="9" t="str">
        <v xml:space="preserve">ML   </v>
      </c>
      <c r="K269" s="9">
        <v>7</v>
      </c>
      <c r="L269" s="9">
        <v>48841</v>
      </c>
      <c r="M269" s="124" t="str">
        <f t="shared" si="35"/>
        <v>FASE II</v>
      </c>
      <c r="N269" s="155">
        <f t="shared" si="31"/>
        <v>25</v>
      </c>
      <c r="O269" s="156">
        <f t="shared" si="32"/>
        <v>52773</v>
      </c>
      <c r="P269" s="156">
        <f t="shared" si="33"/>
        <v>1319325</v>
      </c>
    </row>
    <row r="270" spans="2:16" s="9" customFormat="1" ht="35.1" customHeight="1" x14ac:dyDescent="0.25">
      <c r="B270" s="44" t="s">
        <v>282</v>
      </c>
      <c r="C270" s="22" t="s">
        <v>283</v>
      </c>
      <c r="D270" s="23" t="s">
        <v>284</v>
      </c>
      <c r="E270" s="12">
        <v>105</v>
      </c>
      <c r="F270" s="126">
        <v>3281</v>
      </c>
      <c r="G270" s="126">
        <f t="shared" si="34"/>
        <v>344505</v>
      </c>
      <c r="H270" s="8"/>
      <c r="I270" s="9" t="str">
        <f t="array" ref="I270:L270">_xlfn.XLOOKUP(C270,'Neiva 2021 FASE I UNIFICADO'!$C$6:$C$540,'Neiva 2021 FASE I UNIFICADO'!$C$6:$F$540,"NO ESTA")</f>
        <v>SUMINISTRO E INSTALACIÓN ACCESORIOS PVC-P 1/2" SCH 40</v>
      </c>
      <c r="J270" s="9" t="str">
        <v xml:space="preserve">UN   </v>
      </c>
      <c r="K270" s="9">
        <v>39</v>
      </c>
      <c r="L270" s="9">
        <v>3037</v>
      </c>
      <c r="M270" s="124" t="str">
        <f t="shared" si="35"/>
        <v>FASE II</v>
      </c>
      <c r="N270" s="155">
        <f t="shared" si="31"/>
        <v>144</v>
      </c>
      <c r="O270" s="156">
        <f t="shared" si="32"/>
        <v>3281</v>
      </c>
      <c r="P270" s="156">
        <f t="shared" si="33"/>
        <v>472464</v>
      </c>
    </row>
    <row r="271" spans="2:16" s="9" customFormat="1" ht="35.1" customHeight="1" x14ac:dyDescent="0.25">
      <c r="B271" s="44" t="s">
        <v>285</v>
      </c>
      <c r="C271" s="22" t="s">
        <v>286</v>
      </c>
      <c r="D271" s="23" t="s">
        <v>284</v>
      </c>
      <c r="E271" s="12">
        <v>38</v>
      </c>
      <c r="F271" s="126">
        <v>3896</v>
      </c>
      <c r="G271" s="126">
        <f t="shared" si="34"/>
        <v>148048</v>
      </c>
      <c r="H271" s="8"/>
      <c r="I271" s="9" t="str">
        <f t="array" ref="I271:L271">_xlfn.XLOOKUP(C271,'Neiva 2021 FASE I UNIFICADO'!$C$6:$C$540,'Neiva 2021 FASE I UNIFICADO'!$C$6:$F$540,"NO ESTA")</f>
        <v>SUMINISTRO E INSTALACIÓN ACCESORIOS PVC-P 3/4" SCH 40</v>
      </c>
      <c r="J271" s="9" t="str">
        <v xml:space="preserve">UN   </v>
      </c>
      <c r="K271" s="9">
        <v>14</v>
      </c>
      <c r="L271" s="9">
        <v>3606</v>
      </c>
      <c r="M271" s="124" t="str">
        <f t="shared" si="35"/>
        <v>FASE II</v>
      </c>
      <c r="N271" s="155">
        <f t="shared" si="31"/>
        <v>52</v>
      </c>
      <c r="O271" s="156">
        <f t="shared" si="32"/>
        <v>3896</v>
      </c>
      <c r="P271" s="156">
        <f t="shared" si="33"/>
        <v>202592</v>
      </c>
    </row>
    <row r="272" spans="2:16" s="9" customFormat="1" ht="35.1" customHeight="1" x14ac:dyDescent="0.25">
      <c r="B272" s="44" t="s">
        <v>287</v>
      </c>
      <c r="C272" s="22" t="s">
        <v>288</v>
      </c>
      <c r="D272" s="23" t="s">
        <v>284</v>
      </c>
      <c r="E272" s="12">
        <v>30</v>
      </c>
      <c r="F272" s="126">
        <v>4602</v>
      </c>
      <c r="G272" s="126">
        <f t="shared" si="34"/>
        <v>138060</v>
      </c>
      <c r="H272" s="8"/>
      <c r="I272" s="9" t="str">
        <f t="array" ref="I272:L272">_xlfn.XLOOKUP(C272,'Neiva 2021 FASE I UNIFICADO'!$C$6:$C$540,'Neiva 2021 FASE I UNIFICADO'!$C$6:$F$540,"NO ESTA")</f>
        <v>SUMINISTRO E INSTALACIÓN ACCESORIOS PVC-P 1" SCH 40</v>
      </c>
      <c r="J272" s="9" t="str">
        <v xml:space="preserve">UN   </v>
      </c>
      <c r="K272" s="9">
        <v>11</v>
      </c>
      <c r="L272" s="9">
        <v>4260</v>
      </c>
      <c r="M272" s="124" t="str">
        <f t="shared" si="35"/>
        <v>FASE II</v>
      </c>
      <c r="N272" s="155">
        <f t="shared" si="31"/>
        <v>41</v>
      </c>
      <c r="O272" s="156">
        <f t="shared" si="32"/>
        <v>4602</v>
      </c>
      <c r="P272" s="156">
        <f t="shared" si="33"/>
        <v>188682</v>
      </c>
    </row>
    <row r="273" spans="2:16" s="9" customFormat="1" ht="35.1" customHeight="1" x14ac:dyDescent="0.25">
      <c r="B273" s="44" t="s">
        <v>289</v>
      </c>
      <c r="C273" s="22" t="s">
        <v>290</v>
      </c>
      <c r="D273" s="23" t="s">
        <v>284</v>
      </c>
      <c r="E273" s="12">
        <v>96</v>
      </c>
      <c r="F273" s="126">
        <v>7266</v>
      </c>
      <c r="G273" s="126">
        <f t="shared" si="34"/>
        <v>697536</v>
      </c>
      <c r="H273" s="8"/>
      <c r="I273" s="9" t="str">
        <f t="array" ref="I273:L273">_xlfn.XLOOKUP(C273,'Neiva 2021 FASE I UNIFICADO'!$C$6:$C$540,'Neiva 2021 FASE I UNIFICADO'!$C$6:$F$540,"NO ESTA")</f>
        <v>SUMINISTRO E INSTALACIÓN ACCESORIOS PVC-P 1 1/4" SCH 40</v>
      </c>
      <c r="J273" s="9" t="str">
        <v xml:space="preserve">UN   </v>
      </c>
      <c r="K273" s="9">
        <v>35</v>
      </c>
      <c r="L273" s="9">
        <v>6724</v>
      </c>
      <c r="M273" s="124" t="str">
        <f t="shared" si="35"/>
        <v>FASE II</v>
      </c>
      <c r="N273" s="155">
        <f t="shared" si="31"/>
        <v>131</v>
      </c>
      <c r="O273" s="156">
        <f t="shared" si="32"/>
        <v>7266</v>
      </c>
      <c r="P273" s="156">
        <f t="shared" si="33"/>
        <v>951846</v>
      </c>
    </row>
    <row r="274" spans="2:16" s="9" customFormat="1" ht="35.1" customHeight="1" x14ac:dyDescent="0.25">
      <c r="B274" s="44" t="s">
        <v>291</v>
      </c>
      <c r="C274" s="22" t="s">
        <v>292</v>
      </c>
      <c r="D274" s="23" t="s">
        <v>284</v>
      </c>
      <c r="E274" s="12">
        <v>82</v>
      </c>
      <c r="F274" s="126">
        <v>8958</v>
      </c>
      <c r="G274" s="126">
        <f t="shared" si="34"/>
        <v>734556</v>
      </c>
      <c r="H274" s="8"/>
      <c r="I274" s="9" t="str">
        <f t="array" ref="I274:L274">_xlfn.XLOOKUP(C274,'Neiva 2021 FASE I UNIFICADO'!$C$6:$C$540,'Neiva 2021 FASE I UNIFICADO'!$C$6:$F$540,"NO ESTA")</f>
        <v xml:space="preserve">SUMINISTRO E INSTALACIÓN ACCESORIOS PVC-P 1 1/2" SCH 40                                                </v>
      </c>
      <c r="J274" s="9" t="str">
        <v xml:space="preserve">UN   </v>
      </c>
      <c r="K274" s="9">
        <v>30</v>
      </c>
      <c r="L274" s="9">
        <v>8290</v>
      </c>
      <c r="M274" s="124" t="str">
        <f t="shared" si="35"/>
        <v>FASE II</v>
      </c>
      <c r="N274" s="155">
        <f t="shared" si="31"/>
        <v>112</v>
      </c>
      <c r="O274" s="156">
        <f t="shared" si="32"/>
        <v>8958</v>
      </c>
      <c r="P274" s="156">
        <f t="shared" si="33"/>
        <v>1003296</v>
      </c>
    </row>
    <row r="275" spans="2:16" s="9" customFormat="1" ht="35.1" customHeight="1" x14ac:dyDescent="0.25">
      <c r="B275" s="44" t="s">
        <v>293</v>
      </c>
      <c r="C275" s="22" t="s">
        <v>294</v>
      </c>
      <c r="D275" s="23" t="s">
        <v>284</v>
      </c>
      <c r="E275" s="12">
        <v>55</v>
      </c>
      <c r="F275" s="126">
        <v>12209</v>
      </c>
      <c r="G275" s="126">
        <f t="shared" si="34"/>
        <v>671495</v>
      </c>
      <c r="H275" s="8"/>
      <c r="I275" s="9" t="str">
        <f t="array" ref="I275:L275">_xlfn.XLOOKUP(C275,'Neiva 2021 FASE I UNIFICADO'!$C$6:$C$540,'Neiva 2021 FASE I UNIFICADO'!$C$6:$F$540,"NO ESTA")</f>
        <v>SUMINISTRO E INSTALACIÓN ACCESORIOS PVC-P 2" SCH 40</v>
      </c>
      <c r="J275" s="9" t="str">
        <v xml:space="preserve">UN   </v>
      </c>
      <c r="K275" s="9">
        <v>21</v>
      </c>
      <c r="L275" s="9">
        <v>11299</v>
      </c>
      <c r="M275" s="124" t="str">
        <f t="shared" si="35"/>
        <v>FASE II</v>
      </c>
      <c r="N275" s="155">
        <f t="shared" si="31"/>
        <v>76</v>
      </c>
      <c r="O275" s="156">
        <f t="shared" si="32"/>
        <v>12209</v>
      </c>
      <c r="P275" s="156">
        <f t="shared" si="33"/>
        <v>927884</v>
      </c>
    </row>
    <row r="276" spans="2:16" s="9" customFormat="1" ht="35.1" customHeight="1" x14ac:dyDescent="0.25">
      <c r="B276" s="44" t="s">
        <v>295</v>
      </c>
      <c r="C276" s="22" t="s">
        <v>296</v>
      </c>
      <c r="D276" s="23" t="s">
        <v>284</v>
      </c>
      <c r="E276" s="12">
        <v>12</v>
      </c>
      <c r="F276" s="126">
        <v>29710</v>
      </c>
      <c r="G276" s="126">
        <f t="shared" si="34"/>
        <v>356520</v>
      </c>
      <c r="H276" s="8"/>
      <c r="I276" s="9" t="str">
        <f t="array" ref="I276:L276">_xlfn.XLOOKUP(C276,'Neiva 2021 FASE I UNIFICADO'!$C$6:$C$540,'Neiva 2021 FASE I UNIFICADO'!$C$6:$F$540,"NO ESTA")</f>
        <v xml:space="preserve">SUMINISTRO E INSTALACIÓN ACCESORIOS PVC-P 2 1/2" SCH 40                                           </v>
      </c>
      <c r="J276" s="9" t="str">
        <v xml:space="preserve">UN   </v>
      </c>
      <c r="K276" s="9">
        <v>4</v>
      </c>
      <c r="L276" s="9">
        <v>27497</v>
      </c>
      <c r="M276" s="124" t="str">
        <f t="shared" si="35"/>
        <v>FASE II</v>
      </c>
      <c r="N276" s="155">
        <f t="shared" si="31"/>
        <v>16</v>
      </c>
      <c r="O276" s="156">
        <f t="shared" si="32"/>
        <v>29710</v>
      </c>
      <c r="P276" s="156">
        <f t="shared" si="33"/>
        <v>475360</v>
      </c>
    </row>
    <row r="277" spans="2:16" s="9" customFormat="1" ht="35.1" customHeight="1" x14ac:dyDescent="0.25">
      <c r="B277" s="44" t="s">
        <v>297</v>
      </c>
      <c r="C277" s="22" t="s">
        <v>298</v>
      </c>
      <c r="D277" s="23" t="s">
        <v>284</v>
      </c>
      <c r="E277" s="12">
        <v>49</v>
      </c>
      <c r="F277" s="126">
        <v>1705</v>
      </c>
      <c r="G277" s="126">
        <f t="shared" si="34"/>
        <v>83545</v>
      </c>
      <c r="H277" s="8"/>
      <c r="I277" s="9" t="str">
        <f t="array" ref="I277:L277">_xlfn.XLOOKUP(C277,'Neiva 2021 FASE I UNIFICADO'!$C$6:$C$540,'Neiva 2021 FASE I UNIFICADO'!$C$6:$F$540,"NO ESTA")</f>
        <v xml:space="preserve">SUMINISTRO E INSTALACIÓN SOPORTE DE 1/2"                                                                 </v>
      </c>
      <c r="J277" s="9" t="str">
        <v xml:space="preserve">UN   </v>
      </c>
      <c r="K277" s="9">
        <v>18</v>
      </c>
      <c r="L277" s="9">
        <v>1578</v>
      </c>
      <c r="M277" s="124" t="str">
        <f t="shared" si="35"/>
        <v>FASE II</v>
      </c>
      <c r="N277" s="155">
        <f t="shared" si="31"/>
        <v>67</v>
      </c>
      <c r="O277" s="156">
        <f t="shared" si="32"/>
        <v>1705</v>
      </c>
      <c r="P277" s="156">
        <f t="shared" si="33"/>
        <v>114235</v>
      </c>
    </row>
    <row r="278" spans="2:16" s="9" customFormat="1" ht="35.1" customHeight="1" x14ac:dyDescent="0.25">
      <c r="B278" s="44" t="s">
        <v>299</v>
      </c>
      <c r="C278" s="22" t="s">
        <v>300</v>
      </c>
      <c r="D278" s="23" t="s">
        <v>284</v>
      </c>
      <c r="E278" s="12">
        <v>18</v>
      </c>
      <c r="F278" s="126">
        <v>2289</v>
      </c>
      <c r="G278" s="126">
        <f t="shared" si="34"/>
        <v>41202</v>
      </c>
      <c r="H278" s="8"/>
      <c r="I278" s="9" t="str">
        <f t="array" ref="I278:L278">_xlfn.XLOOKUP(C278,'Neiva 2021 FASE I UNIFICADO'!$C$6:$C$540,'Neiva 2021 FASE I UNIFICADO'!$C$6:$F$540,"NO ESTA")</f>
        <v xml:space="preserve">SUMINISTRO E INSTALACIÓN SOPORTE DE 3/4"                                                                 </v>
      </c>
      <c r="J278" s="9" t="str">
        <v xml:space="preserve">UN   </v>
      </c>
      <c r="K278" s="9">
        <v>6</v>
      </c>
      <c r="L278" s="9">
        <v>2120</v>
      </c>
      <c r="M278" s="124" t="str">
        <f t="shared" si="35"/>
        <v>FASE II</v>
      </c>
      <c r="N278" s="155">
        <f t="shared" si="31"/>
        <v>24</v>
      </c>
      <c r="O278" s="156">
        <f t="shared" si="32"/>
        <v>2289</v>
      </c>
      <c r="P278" s="156">
        <f t="shared" si="33"/>
        <v>54936</v>
      </c>
    </row>
    <row r="279" spans="2:16" s="9" customFormat="1" ht="35.1" customHeight="1" x14ac:dyDescent="0.25">
      <c r="B279" s="44" t="s">
        <v>301</v>
      </c>
      <c r="C279" s="22" t="s">
        <v>302</v>
      </c>
      <c r="D279" s="23" t="s">
        <v>284</v>
      </c>
      <c r="E279" s="12">
        <v>18</v>
      </c>
      <c r="F279" s="126">
        <v>2761</v>
      </c>
      <c r="G279" s="126">
        <f t="shared" si="34"/>
        <v>49698</v>
      </c>
      <c r="H279" s="8"/>
      <c r="I279" s="9" t="str">
        <f t="array" ref="I279:L279">_xlfn.XLOOKUP(C279,'Neiva 2021 FASE I UNIFICADO'!$C$6:$C$540,'Neiva 2021 FASE I UNIFICADO'!$C$6:$F$540,"NO ESTA")</f>
        <v xml:space="preserve">SUMINISTRO E INSTALACIÓN SOPORTE DE 1"                                                                   </v>
      </c>
      <c r="J279" s="9" t="str">
        <v xml:space="preserve">UN   </v>
      </c>
      <c r="K279" s="9">
        <v>6</v>
      </c>
      <c r="L279" s="9">
        <v>2555</v>
      </c>
      <c r="M279" s="124" t="str">
        <f t="shared" si="35"/>
        <v>FASE II</v>
      </c>
      <c r="N279" s="155">
        <f t="shared" si="31"/>
        <v>24</v>
      </c>
      <c r="O279" s="156">
        <f t="shared" si="32"/>
        <v>2761</v>
      </c>
      <c r="P279" s="156">
        <f t="shared" si="33"/>
        <v>66264</v>
      </c>
    </row>
    <row r="280" spans="2:16" s="9" customFormat="1" ht="35.1" customHeight="1" x14ac:dyDescent="0.25">
      <c r="B280" s="44" t="s">
        <v>303</v>
      </c>
      <c r="C280" s="22" t="s">
        <v>304</v>
      </c>
      <c r="D280" s="23" t="s">
        <v>284</v>
      </c>
      <c r="E280" s="12">
        <v>26</v>
      </c>
      <c r="F280" s="126">
        <v>3131</v>
      </c>
      <c r="G280" s="126">
        <f t="shared" si="34"/>
        <v>81406</v>
      </c>
      <c r="H280" s="8"/>
      <c r="I280" s="9" t="str">
        <f t="array" ref="I280:L280">_xlfn.XLOOKUP(C280,'Neiva 2021 FASE I UNIFICADO'!$C$6:$C$540,'Neiva 2021 FASE I UNIFICADO'!$C$6:$F$540,"NO ESTA")</f>
        <v xml:space="preserve">SUMINISTRO E INSTALACIÓN SOPORTE DE 1 1/4"                                                               </v>
      </c>
      <c r="J280" s="9" t="str">
        <v xml:space="preserve">UN   </v>
      </c>
      <c r="K280" s="9">
        <v>10</v>
      </c>
      <c r="L280" s="9">
        <v>2898</v>
      </c>
      <c r="M280" s="124" t="str">
        <f t="shared" si="35"/>
        <v>FASE II</v>
      </c>
      <c r="N280" s="155">
        <f t="shared" si="31"/>
        <v>36</v>
      </c>
      <c r="O280" s="156">
        <f t="shared" si="32"/>
        <v>3131</v>
      </c>
      <c r="P280" s="156">
        <f t="shared" si="33"/>
        <v>112716</v>
      </c>
    </row>
    <row r="281" spans="2:16" s="9" customFormat="1" ht="35.1" customHeight="1" x14ac:dyDescent="0.25">
      <c r="B281" s="44" t="s">
        <v>305</v>
      </c>
      <c r="C281" s="45" t="s">
        <v>306</v>
      </c>
      <c r="D281" s="23" t="s">
        <v>284</v>
      </c>
      <c r="E281" s="12">
        <v>24</v>
      </c>
      <c r="F281" s="126">
        <v>3791</v>
      </c>
      <c r="G281" s="126">
        <f t="shared" si="34"/>
        <v>90984</v>
      </c>
      <c r="H281" s="8"/>
      <c r="I281" s="9" t="str">
        <f t="array" ref="I281:L281">_xlfn.XLOOKUP(C281,'Neiva 2021 FASE I UNIFICADO'!$C$6:$C$540,'Neiva 2021 FASE I UNIFICADO'!$C$6:$F$540,"NO ESTA")</f>
        <v xml:space="preserve">SUMINISTRO E INSTALACIÓN SOPORTE DE 1 1/2"                                                               </v>
      </c>
      <c r="J281" s="9" t="str">
        <v xml:space="preserve">UN   </v>
      </c>
      <c r="K281" s="9">
        <v>9</v>
      </c>
      <c r="L281" s="9">
        <v>3509</v>
      </c>
      <c r="M281" s="124" t="str">
        <f t="shared" si="35"/>
        <v>FASE II</v>
      </c>
      <c r="N281" s="155">
        <f t="shared" si="31"/>
        <v>33</v>
      </c>
      <c r="O281" s="156">
        <f t="shared" si="32"/>
        <v>3791</v>
      </c>
      <c r="P281" s="156">
        <f t="shared" si="33"/>
        <v>125103</v>
      </c>
    </row>
    <row r="282" spans="2:16" s="9" customFormat="1" ht="35.1" customHeight="1" x14ac:dyDescent="0.25">
      <c r="B282" s="44" t="s">
        <v>307</v>
      </c>
      <c r="C282" s="22" t="s">
        <v>308</v>
      </c>
      <c r="D282" s="23" t="s">
        <v>284</v>
      </c>
      <c r="E282" s="12">
        <v>31</v>
      </c>
      <c r="F282" s="126">
        <v>4884</v>
      </c>
      <c r="G282" s="126">
        <f t="shared" si="34"/>
        <v>151404</v>
      </c>
      <c r="H282" s="8"/>
      <c r="I282" s="9" t="str">
        <f t="array" ref="I282:L282">_xlfn.XLOOKUP(C282,'Neiva 2021 FASE I UNIFICADO'!$C$6:$C$540,'Neiva 2021 FASE I UNIFICADO'!$C$6:$F$540,"NO ESTA")</f>
        <v xml:space="preserve">SUMINISTRO E INSTALACIÓN SOPORTE DE 2"                                                                   </v>
      </c>
      <c r="J282" s="9" t="str">
        <v xml:space="preserve">UN   </v>
      </c>
      <c r="K282" s="9">
        <v>11</v>
      </c>
      <c r="L282" s="9">
        <v>4520</v>
      </c>
      <c r="M282" s="124" t="str">
        <f t="shared" si="35"/>
        <v>FASE II</v>
      </c>
      <c r="N282" s="155">
        <f t="shared" si="31"/>
        <v>42</v>
      </c>
      <c r="O282" s="156">
        <f t="shared" si="32"/>
        <v>4884</v>
      </c>
      <c r="P282" s="156">
        <f t="shared" si="33"/>
        <v>205128</v>
      </c>
    </row>
    <row r="283" spans="2:16" s="9" customFormat="1" ht="35.1" customHeight="1" x14ac:dyDescent="0.25">
      <c r="B283" s="44" t="s">
        <v>309</v>
      </c>
      <c r="C283" s="22" t="s">
        <v>310</v>
      </c>
      <c r="D283" s="23" t="s">
        <v>284</v>
      </c>
      <c r="E283" s="12">
        <v>7</v>
      </c>
      <c r="F283" s="126">
        <v>5644</v>
      </c>
      <c r="G283" s="135">
        <f t="shared" si="34"/>
        <v>39508</v>
      </c>
      <c r="H283" s="8"/>
      <c r="I283" s="9" t="str">
        <f t="array" ref="I283:L283">_xlfn.XLOOKUP(C283,'Neiva 2021 FASE I UNIFICADO'!$C$6:$C$540,'Neiva 2021 FASE I UNIFICADO'!$C$6:$F$540,"NO ESTA")</f>
        <v xml:space="preserve">SUMINISTRO E INSTALACIÓN SOPORTE DE 2 1/2"                                                               </v>
      </c>
      <c r="J283" s="9" t="str">
        <v xml:space="preserve">UN   </v>
      </c>
      <c r="K283" s="9">
        <v>3</v>
      </c>
      <c r="L283" s="9">
        <v>5223</v>
      </c>
      <c r="M283" s="124" t="str">
        <f t="shared" si="35"/>
        <v>FASE II</v>
      </c>
      <c r="N283" s="155">
        <f t="shared" si="31"/>
        <v>10</v>
      </c>
      <c r="O283" s="156">
        <f t="shared" si="32"/>
        <v>5644</v>
      </c>
      <c r="P283" s="156">
        <f t="shared" si="33"/>
        <v>56440</v>
      </c>
    </row>
    <row r="284" spans="2:16" s="9" customFormat="1" ht="35.1" customHeight="1" x14ac:dyDescent="0.25">
      <c r="B284" s="44" t="s">
        <v>311</v>
      </c>
      <c r="C284" s="22" t="s">
        <v>312</v>
      </c>
      <c r="D284" s="23" t="s">
        <v>284</v>
      </c>
      <c r="E284" s="46">
        <v>41</v>
      </c>
      <c r="F284" s="135">
        <v>64227</v>
      </c>
      <c r="G284" s="126">
        <f t="shared" si="34"/>
        <v>2633307</v>
      </c>
      <c r="H284" s="8"/>
      <c r="I284" s="9" t="str">
        <f t="array" ref="I284:L284">_xlfn.XLOOKUP(C284,'Neiva 2021 FASE I UNIFICADO'!$C$6:$C$540,'Neiva 2021 FASE I UNIFICADO'!$C$6:$F$540,"NO ESTA")</f>
        <v xml:space="preserve">SUMINISTRO E INSTALACIÓN PUNTO HIDRÁULICO PVC-P 1/2"                                                      </v>
      </c>
      <c r="J284" s="9" t="str">
        <v xml:space="preserve">UN   </v>
      </c>
      <c r="K284" s="9">
        <v>15</v>
      </c>
      <c r="L284" s="9">
        <v>59442</v>
      </c>
      <c r="M284" s="124" t="str">
        <f t="shared" si="35"/>
        <v>FASE II</v>
      </c>
      <c r="N284" s="155">
        <f t="shared" si="31"/>
        <v>56</v>
      </c>
      <c r="O284" s="156">
        <f t="shared" si="32"/>
        <v>64227</v>
      </c>
      <c r="P284" s="156">
        <f t="shared" si="33"/>
        <v>3596712</v>
      </c>
    </row>
    <row r="285" spans="2:16" s="9" customFormat="1" ht="35.1" customHeight="1" x14ac:dyDescent="0.25">
      <c r="B285" s="44" t="s">
        <v>313</v>
      </c>
      <c r="C285" s="22" t="s">
        <v>314</v>
      </c>
      <c r="D285" s="23" t="s">
        <v>284</v>
      </c>
      <c r="E285" s="12">
        <v>14</v>
      </c>
      <c r="F285" s="126">
        <v>68433</v>
      </c>
      <c r="G285" s="126">
        <f t="shared" si="34"/>
        <v>958062</v>
      </c>
      <c r="H285" s="8"/>
      <c r="I285" s="9" t="str">
        <f t="array" ref="I285:L285">_xlfn.XLOOKUP(C285,'Neiva 2021 FASE I UNIFICADO'!$C$6:$C$540,'Neiva 2021 FASE I UNIFICADO'!$C$6:$F$540,"NO ESTA")</f>
        <v xml:space="preserve">SUMINISTRO E INSTALACIÓN PUNTO HIDRÁULICO PVC-P 3/4"                                                      </v>
      </c>
      <c r="J285" s="9" t="str">
        <v xml:space="preserve">UN   </v>
      </c>
      <c r="K285" s="9">
        <v>5</v>
      </c>
      <c r="L285" s="9">
        <v>63334</v>
      </c>
      <c r="M285" s="124" t="str">
        <f t="shared" si="35"/>
        <v>FASE II</v>
      </c>
      <c r="N285" s="155">
        <f t="shared" si="31"/>
        <v>19</v>
      </c>
      <c r="O285" s="156">
        <f t="shared" si="32"/>
        <v>68433</v>
      </c>
      <c r="P285" s="156">
        <f t="shared" si="33"/>
        <v>1300227</v>
      </c>
    </row>
    <row r="286" spans="2:16" s="9" customFormat="1" ht="35.1" customHeight="1" x14ac:dyDescent="0.25">
      <c r="B286" s="44" t="s">
        <v>315</v>
      </c>
      <c r="C286" s="22" t="s">
        <v>316</v>
      </c>
      <c r="D286" s="23" t="s">
        <v>284</v>
      </c>
      <c r="E286" s="12">
        <v>39</v>
      </c>
      <c r="F286" s="126">
        <v>97439</v>
      </c>
      <c r="G286" s="126">
        <f t="shared" si="34"/>
        <v>3800121</v>
      </c>
      <c r="H286" s="8"/>
      <c r="I286" s="9" t="str">
        <f t="array" ref="I286:L286">_xlfn.XLOOKUP(C286,'Neiva 2021 FASE I UNIFICADO'!$C$6:$C$540,'Neiva 2021 FASE I UNIFICADO'!$C$6:$F$540,"NO ESTA")</f>
        <v xml:space="preserve">SUMINISTRO E INSTALACIÓN PUNTO HIDRÁULICO PVC-P 1 1/4"                                                    </v>
      </c>
      <c r="J286" s="9" t="str">
        <v xml:space="preserve">UN   </v>
      </c>
      <c r="K286" s="9">
        <v>15</v>
      </c>
      <c r="L286" s="9">
        <v>90180</v>
      </c>
      <c r="M286" s="124" t="str">
        <f t="shared" si="35"/>
        <v>FASE II</v>
      </c>
      <c r="N286" s="155">
        <f t="shared" si="31"/>
        <v>54</v>
      </c>
      <c r="O286" s="156">
        <f t="shared" si="32"/>
        <v>97439</v>
      </c>
      <c r="P286" s="156">
        <f t="shared" si="33"/>
        <v>5261706</v>
      </c>
    </row>
    <row r="287" spans="2:16" s="9" customFormat="1" ht="35.1" customHeight="1" x14ac:dyDescent="0.25">
      <c r="B287" s="44" t="s">
        <v>317</v>
      </c>
      <c r="C287" s="22" t="s">
        <v>318</v>
      </c>
      <c r="D287" s="23" t="s">
        <v>284</v>
      </c>
      <c r="E287" s="12">
        <v>12</v>
      </c>
      <c r="F287" s="126">
        <v>63313</v>
      </c>
      <c r="G287" s="126">
        <f t="shared" si="34"/>
        <v>759756</v>
      </c>
      <c r="H287" s="8"/>
      <c r="I287" s="9" t="str">
        <f t="array" ref="I287:L287">_xlfn.XLOOKUP(C287,'Neiva 2021 FASE I UNIFICADO'!$C$6:$C$540,'Neiva 2021 FASE I UNIFICADO'!$C$6:$F$540,"NO ESTA")</f>
        <v xml:space="preserve">SUMINISTRO E INSTALACIÓN REGISTRO CORTINA ROSCAR 1/2"                                                   </v>
      </c>
      <c r="J287" s="9" t="str">
        <v xml:space="preserve">UN   </v>
      </c>
      <c r="K287" s="9">
        <v>5</v>
      </c>
      <c r="L287" s="9">
        <v>58595</v>
      </c>
      <c r="M287" s="124" t="str">
        <f t="shared" si="35"/>
        <v>FASE II</v>
      </c>
      <c r="N287" s="155">
        <f t="shared" si="31"/>
        <v>17</v>
      </c>
      <c r="O287" s="156">
        <f t="shared" si="32"/>
        <v>63313</v>
      </c>
      <c r="P287" s="156">
        <f t="shared" si="33"/>
        <v>1076321</v>
      </c>
    </row>
    <row r="288" spans="2:16" s="9" customFormat="1" ht="35.1" customHeight="1" x14ac:dyDescent="0.25">
      <c r="B288" s="44" t="s">
        <v>319</v>
      </c>
      <c r="C288" s="22" t="s">
        <v>320</v>
      </c>
      <c r="D288" s="23" t="s">
        <v>284</v>
      </c>
      <c r="E288" s="12">
        <v>6</v>
      </c>
      <c r="F288" s="126">
        <v>164084</v>
      </c>
      <c r="G288" s="126">
        <f t="shared" si="34"/>
        <v>984504</v>
      </c>
      <c r="H288" s="8"/>
      <c r="I288" s="9" t="str">
        <f t="array" ref="I288:L288">_xlfn.XLOOKUP(C288,'Neiva 2021 FASE I UNIFICADO'!$C$6:$C$540,'Neiva 2021 FASE I UNIFICADO'!$C$6:$F$540,"NO ESTA")</f>
        <v xml:space="preserve">SUMINISTRO E INSTALACIÓN REGISTRO CORTINA P/D ROSCAR 1 1/4"                                                 </v>
      </c>
      <c r="J288" s="9" t="str">
        <v xml:space="preserve">UN   </v>
      </c>
      <c r="K288" s="9">
        <v>2</v>
      </c>
      <c r="L288" s="9">
        <v>151859</v>
      </c>
      <c r="M288" s="124" t="str">
        <f t="shared" si="35"/>
        <v>FASE II</v>
      </c>
      <c r="N288" s="155">
        <f t="shared" si="31"/>
        <v>8</v>
      </c>
      <c r="O288" s="156">
        <f t="shared" si="32"/>
        <v>164084</v>
      </c>
      <c r="P288" s="156">
        <f t="shared" si="33"/>
        <v>1312672</v>
      </c>
    </row>
    <row r="289" spans="2:16" s="9" customFormat="1" ht="35.1" customHeight="1" x14ac:dyDescent="0.25">
      <c r="B289" s="44" t="s">
        <v>321</v>
      </c>
      <c r="C289" s="22" t="s">
        <v>322</v>
      </c>
      <c r="D289" s="23" t="s">
        <v>284</v>
      </c>
      <c r="E289" s="12">
        <v>6</v>
      </c>
      <c r="F289" s="126">
        <v>222753</v>
      </c>
      <c r="G289" s="126">
        <f t="shared" si="34"/>
        <v>1336518</v>
      </c>
      <c r="H289" s="8"/>
      <c r="I289" s="9" t="str">
        <f t="array" ref="I289:L289">_xlfn.XLOOKUP(C289,'Neiva 2021 FASE I UNIFICADO'!$C$6:$C$540,'Neiva 2021 FASE I UNIFICADO'!$C$6:$F$540,"NO ESTA")</f>
        <v xml:space="preserve">SUMINISTRO E INSTALACIÓN REGISTRO CORTINA P/D ROSCAR 1 1/2"                                                 </v>
      </c>
      <c r="J289" s="9" t="str">
        <v xml:space="preserve">UN   </v>
      </c>
      <c r="K289" s="9">
        <v>2</v>
      </c>
      <c r="L289" s="9">
        <v>206156</v>
      </c>
      <c r="M289" s="124" t="str">
        <f t="shared" si="35"/>
        <v>FASE II</v>
      </c>
      <c r="N289" s="155">
        <f t="shared" si="31"/>
        <v>8</v>
      </c>
      <c r="O289" s="156">
        <f t="shared" si="32"/>
        <v>222753</v>
      </c>
      <c r="P289" s="156">
        <f t="shared" si="33"/>
        <v>1782024</v>
      </c>
    </row>
    <row r="290" spans="2:16" s="9" customFormat="1" ht="35.1" customHeight="1" x14ac:dyDescent="0.25">
      <c r="B290" s="44" t="s">
        <v>323</v>
      </c>
      <c r="C290" s="22" t="s">
        <v>324</v>
      </c>
      <c r="D290" s="23" t="s">
        <v>284</v>
      </c>
      <c r="E290" s="12">
        <v>0</v>
      </c>
      <c r="F290" s="126">
        <v>108436</v>
      </c>
      <c r="G290" s="141">
        <f t="shared" si="34"/>
        <v>0</v>
      </c>
      <c r="H290" s="8"/>
      <c r="I290" s="9" t="str">
        <f t="array" ref="I290:L290">_xlfn.XLOOKUP(C290,'Neiva 2021 FASE I UNIFICADO'!$C$6:$C$540,'Neiva 2021 FASE I UNIFICADO'!$C$6:$F$540,"NO ESTA")</f>
        <v xml:space="preserve">SUMINISTRO E INSTALACIÓN VÁLVULA FLOTADOR 1"                                                           </v>
      </c>
      <c r="J290" s="9" t="str">
        <v xml:space="preserve">UN   </v>
      </c>
      <c r="K290" s="9">
        <v>2</v>
      </c>
      <c r="L290" s="9">
        <v>100357</v>
      </c>
      <c r="M290" s="124" t="str">
        <f t="shared" si="35"/>
        <v>FASE II</v>
      </c>
      <c r="N290" s="155">
        <f t="shared" si="31"/>
        <v>2</v>
      </c>
      <c r="O290" s="156">
        <f t="shared" si="32"/>
        <v>108436</v>
      </c>
      <c r="P290" s="156">
        <f t="shared" si="33"/>
        <v>216872</v>
      </c>
    </row>
    <row r="291" spans="2:16" s="9" customFormat="1" ht="35.1" customHeight="1" x14ac:dyDescent="0.25">
      <c r="B291" s="44" t="s">
        <v>325</v>
      </c>
      <c r="C291" s="22" t="s">
        <v>326</v>
      </c>
      <c r="D291" s="23" t="s">
        <v>284</v>
      </c>
      <c r="E291" s="12">
        <v>0</v>
      </c>
      <c r="F291" s="126">
        <v>169565</v>
      </c>
      <c r="G291" s="141">
        <f t="shared" si="34"/>
        <v>0</v>
      </c>
      <c r="H291" s="8"/>
      <c r="I291" s="9" t="str">
        <f t="array" ref="I291:L291">_xlfn.XLOOKUP(C291,'Neiva 2021 FASE I UNIFICADO'!$C$6:$C$540,'Neiva 2021 FASE I UNIFICADO'!$C$6:$F$540,"NO ESTA")</f>
        <v xml:space="preserve">SUMINISTRO E INSTALACIÓN MEDIDOR VELOCIMETRICO  3/4"                                                   </v>
      </c>
      <c r="J291" s="9" t="str">
        <v xml:space="preserve">UN   </v>
      </c>
      <c r="K291" s="9">
        <v>1</v>
      </c>
      <c r="L291" s="9">
        <v>156932</v>
      </c>
      <c r="M291" s="124" t="str">
        <f t="shared" si="35"/>
        <v>FASE II</v>
      </c>
      <c r="N291" s="155">
        <f t="shared" si="31"/>
        <v>1</v>
      </c>
      <c r="O291" s="156">
        <f t="shared" si="32"/>
        <v>169565</v>
      </c>
      <c r="P291" s="156">
        <f t="shared" si="33"/>
        <v>169565</v>
      </c>
    </row>
    <row r="292" spans="2:16" s="9" customFormat="1" ht="35.1" customHeight="1" x14ac:dyDescent="0.25">
      <c r="B292" s="47" t="s">
        <v>327</v>
      </c>
      <c r="C292" s="24" t="s">
        <v>328</v>
      </c>
      <c r="D292" s="24"/>
      <c r="E292" s="15"/>
      <c r="F292" s="129"/>
      <c r="G292" s="140"/>
      <c r="H292" s="8"/>
      <c r="I292" s="9" t="str">
        <f t="array" ref="I292:L292">_xlfn.XLOOKUP(C292,'Neiva 2021 FASE I UNIFICADO'!$C$6:$C$540,'Neiva 2021 FASE I UNIFICADO'!$C$6:$F$540,"NO ESTA")</f>
        <v xml:space="preserve">SUMINISTRO E INSTALACION RED DESAGÜES AGUAS RESIDUALES                                                                              </v>
      </c>
      <c r="J292" s="9">
        <v>0</v>
      </c>
      <c r="K292" s="9">
        <v>0</v>
      </c>
      <c r="L292" s="9">
        <v>0</v>
      </c>
      <c r="M292" s="124">
        <f t="shared" si="35"/>
        <v>0</v>
      </c>
      <c r="N292" s="155">
        <f t="shared" si="31"/>
        <v>0</v>
      </c>
      <c r="O292" s="156">
        <f t="shared" si="32"/>
        <v>0</v>
      </c>
      <c r="P292" s="156">
        <f t="shared" si="33"/>
        <v>0</v>
      </c>
    </row>
    <row r="293" spans="2:16" s="9" customFormat="1" ht="35.1" customHeight="1" x14ac:dyDescent="0.25">
      <c r="B293" s="10" t="s">
        <v>329</v>
      </c>
      <c r="C293" s="48" t="s">
        <v>330</v>
      </c>
      <c r="D293" s="23" t="s">
        <v>269</v>
      </c>
      <c r="E293" s="12">
        <v>34</v>
      </c>
      <c r="F293" s="126">
        <v>24554</v>
      </c>
      <c r="G293" s="126">
        <f t="shared" ref="G293:G311" si="36">ROUND(+F293*E293,2)</f>
        <v>834836</v>
      </c>
      <c r="H293" s="8"/>
      <c r="I293" s="9" t="str">
        <f t="array" ref="I293:L293">_xlfn.XLOOKUP(C293,'Neiva 2021 FASE I UNIFICADO'!$C$6:$C$540,'Neiva 2021 FASE I UNIFICADO'!$C$6:$F$540,"NO ESTA")</f>
        <v xml:space="preserve">SUMINISTRO E INSTALACIÓN TUBERIA PVC-S DIAMETRO 2"                                                                        </v>
      </c>
      <c r="J293" s="9" t="str">
        <v xml:space="preserve">ML   </v>
      </c>
      <c r="K293" s="9">
        <v>12</v>
      </c>
      <c r="L293" s="9">
        <v>22725</v>
      </c>
      <c r="M293" s="124" t="str">
        <f t="shared" si="35"/>
        <v>FASE II</v>
      </c>
      <c r="N293" s="155">
        <f t="shared" si="31"/>
        <v>46</v>
      </c>
      <c r="O293" s="156">
        <f t="shared" si="32"/>
        <v>24554</v>
      </c>
      <c r="P293" s="156">
        <f t="shared" si="33"/>
        <v>1129484</v>
      </c>
    </row>
    <row r="294" spans="2:16" s="9" customFormat="1" ht="35.1" customHeight="1" x14ac:dyDescent="0.25">
      <c r="B294" s="10" t="s">
        <v>331</v>
      </c>
      <c r="C294" s="22" t="s">
        <v>332</v>
      </c>
      <c r="D294" s="23" t="s">
        <v>269</v>
      </c>
      <c r="E294" s="12">
        <v>157</v>
      </c>
      <c r="F294" s="126">
        <v>36135</v>
      </c>
      <c r="G294" s="126">
        <f t="shared" si="36"/>
        <v>5673195</v>
      </c>
      <c r="H294" s="8"/>
      <c r="I294" s="9" t="str">
        <f t="array" ref="I294:L294">_xlfn.XLOOKUP(C294,'Neiva 2021 FASE I UNIFICADO'!$C$6:$C$540,'Neiva 2021 FASE I UNIFICADO'!$C$6:$F$540,"NO ESTA")</f>
        <v xml:space="preserve">SUMINISTRO E INSTALACIÓN TUBERIA PVC-S DIAMETRO 3"                                                                        </v>
      </c>
      <c r="J294" s="9" t="str">
        <v xml:space="preserve">ML   </v>
      </c>
      <c r="K294" s="9">
        <v>58</v>
      </c>
      <c r="L294" s="9">
        <v>33443</v>
      </c>
      <c r="M294" s="124" t="str">
        <f t="shared" si="35"/>
        <v>FASE II</v>
      </c>
      <c r="N294" s="155">
        <f t="shared" si="31"/>
        <v>215</v>
      </c>
      <c r="O294" s="156">
        <f t="shared" si="32"/>
        <v>36135</v>
      </c>
      <c r="P294" s="156">
        <f t="shared" si="33"/>
        <v>7769025</v>
      </c>
    </row>
    <row r="295" spans="2:16" s="9" customFormat="1" ht="35.1" customHeight="1" x14ac:dyDescent="0.25">
      <c r="B295" s="10" t="s">
        <v>333</v>
      </c>
      <c r="C295" s="22" t="s">
        <v>334</v>
      </c>
      <c r="D295" s="23" t="s">
        <v>269</v>
      </c>
      <c r="E295" s="12">
        <v>272</v>
      </c>
      <c r="F295" s="126">
        <v>51550</v>
      </c>
      <c r="G295" s="126">
        <f t="shared" si="36"/>
        <v>14021600</v>
      </c>
      <c r="H295" s="8"/>
      <c r="I295" s="9" t="str">
        <f t="array" ref="I295:L295">_xlfn.XLOOKUP(C295,'Neiva 2021 FASE I UNIFICADO'!$C$6:$C$540,'Neiva 2021 FASE I UNIFICADO'!$C$6:$F$540,"NO ESTA")</f>
        <v xml:space="preserve">SUMINISTRO E INSTALACIÓN TUBERÍA PVC-S DIAMETRO 4"                                                                        </v>
      </c>
      <c r="J295" s="9" t="str">
        <v xml:space="preserve">ML   </v>
      </c>
      <c r="K295" s="9">
        <v>101</v>
      </c>
      <c r="L295" s="9">
        <v>47709</v>
      </c>
      <c r="M295" s="124" t="str">
        <f t="shared" si="35"/>
        <v>FASE II</v>
      </c>
      <c r="N295" s="155">
        <f t="shared" si="31"/>
        <v>373</v>
      </c>
      <c r="O295" s="156">
        <f t="shared" si="32"/>
        <v>51550</v>
      </c>
      <c r="P295" s="156">
        <f t="shared" si="33"/>
        <v>19228150</v>
      </c>
    </row>
    <row r="296" spans="2:16" s="9" customFormat="1" ht="35.1" customHeight="1" x14ac:dyDescent="0.25">
      <c r="B296" s="10" t="s">
        <v>335</v>
      </c>
      <c r="C296" s="22" t="s">
        <v>336</v>
      </c>
      <c r="D296" s="23" t="s">
        <v>269</v>
      </c>
      <c r="E296" s="12">
        <v>72</v>
      </c>
      <c r="F296" s="126">
        <v>21367</v>
      </c>
      <c r="G296" s="126">
        <f t="shared" si="36"/>
        <v>1538424</v>
      </c>
      <c r="H296" s="8"/>
      <c r="I296" s="9" t="str">
        <f t="array" ref="I296:L296">_xlfn.XLOOKUP(C296,'Neiva 2021 FASE I UNIFICADO'!$C$6:$C$540,'Neiva 2021 FASE I UNIFICADO'!$C$6:$F$540,"NO ESTA")</f>
        <v xml:space="preserve">SUMINISTRO E INSTALACIÓN TUBERIA PVC-VENT DIAMETRO 2"                                                                     </v>
      </c>
      <c r="J296" s="9" t="str">
        <v xml:space="preserve">ML   </v>
      </c>
      <c r="K296" s="9">
        <v>26</v>
      </c>
      <c r="L296" s="9">
        <v>19775</v>
      </c>
      <c r="M296" s="124" t="str">
        <f t="shared" si="35"/>
        <v>FASE II</v>
      </c>
      <c r="N296" s="155">
        <f t="shared" si="31"/>
        <v>98</v>
      </c>
      <c r="O296" s="156">
        <f t="shared" si="32"/>
        <v>21367</v>
      </c>
      <c r="P296" s="156">
        <f t="shared" si="33"/>
        <v>2093966</v>
      </c>
    </row>
    <row r="297" spans="2:16" s="9" customFormat="1" ht="35.1" customHeight="1" x14ac:dyDescent="0.25">
      <c r="B297" s="10" t="s">
        <v>337</v>
      </c>
      <c r="C297" s="22" t="s">
        <v>338</v>
      </c>
      <c r="D297" s="23" t="s">
        <v>269</v>
      </c>
      <c r="E297" s="12">
        <v>97</v>
      </c>
      <c r="F297" s="126">
        <v>31767</v>
      </c>
      <c r="G297" s="126">
        <f t="shared" si="36"/>
        <v>3081399</v>
      </c>
      <c r="H297" s="8"/>
      <c r="I297" s="9" t="str">
        <f t="array" ref="I297:L297">_xlfn.XLOOKUP(C297,'Neiva 2021 FASE I UNIFICADO'!$C$6:$C$540,'Neiva 2021 FASE I UNIFICADO'!$C$6:$F$540,"NO ESTA")</f>
        <v xml:space="preserve">SUMINISTRO E INSTALACIÓN TUBERIA PVC-VENT DIAMETRO 3"                                                                     </v>
      </c>
      <c r="J297" s="9" t="str">
        <v xml:space="preserve">ML   </v>
      </c>
      <c r="K297" s="9">
        <v>36</v>
      </c>
      <c r="L297" s="9">
        <v>29401</v>
      </c>
      <c r="M297" s="124" t="str">
        <f t="shared" si="35"/>
        <v>FASE II</v>
      </c>
      <c r="N297" s="155">
        <f t="shared" si="31"/>
        <v>133</v>
      </c>
      <c r="O297" s="156">
        <f t="shared" si="32"/>
        <v>31767</v>
      </c>
      <c r="P297" s="156">
        <f t="shared" si="33"/>
        <v>4225011</v>
      </c>
    </row>
    <row r="298" spans="2:16" s="9" customFormat="1" ht="35.1" customHeight="1" x14ac:dyDescent="0.25">
      <c r="B298" s="10" t="s">
        <v>339</v>
      </c>
      <c r="C298" s="22" t="s">
        <v>340</v>
      </c>
      <c r="D298" s="23" t="s">
        <v>284</v>
      </c>
      <c r="E298" s="12">
        <v>122</v>
      </c>
      <c r="F298" s="126">
        <v>7512</v>
      </c>
      <c r="G298" s="126">
        <f t="shared" si="36"/>
        <v>916464</v>
      </c>
      <c r="H298" s="8"/>
      <c r="I298" s="9" t="str">
        <f t="array" ref="I298:L298">_xlfn.XLOOKUP(C298,'Neiva 2021 FASE I UNIFICADO'!$C$6:$C$540,'Neiva 2021 FASE I UNIFICADO'!$C$6:$F$540,"NO ESTA")</f>
        <v xml:space="preserve">SUMINISTRO E INSTALACIÓN ACCESORIOS PVC-S DIAMETRO  2"                                                             </v>
      </c>
      <c r="J298" s="9" t="str">
        <v xml:space="preserve">UN   </v>
      </c>
      <c r="K298" s="9">
        <v>45</v>
      </c>
      <c r="L298" s="9">
        <v>6952</v>
      </c>
      <c r="M298" s="124" t="str">
        <f t="shared" si="35"/>
        <v>FASE II</v>
      </c>
      <c r="N298" s="155">
        <f t="shared" si="31"/>
        <v>167</v>
      </c>
      <c r="O298" s="156">
        <f t="shared" si="32"/>
        <v>7512</v>
      </c>
      <c r="P298" s="156">
        <f t="shared" si="33"/>
        <v>1254504</v>
      </c>
    </row>
    <row r="299" spans="2:16" s="9" customFormat="1" ht="35.1" customHeight="1" x14ac:dyDescent="0.25">
      <c r="B299" s="10" t="s">
        <v>341</v>
      </c>
      <c r="C299" s="22" t="s">
        <v>342</v>
      </c>
      <c r="D299" s="23" t="s">
        <v>284</v>
      </c>
      <c r="E299" s="12">
        <v>161</v>
      </c>
      <c r="F299" s="126">
        <v>10700</v>
      </c>
      <c r="G299" s="126">
        <f t="shared" si="36"/>
        <v>1722700</v>
      </c>
      <c r="H299" s="8"/>
      <c r="I299" s="9" t="str">
        <f t="array" ref="I299:L299">_xlfn.XLOOKUP(C299,'Neiva 2021 FASE I UNIFICADO'!$C$6:$C$540,'Neiva 2021 FASE I UNIFICADO'!$C$6:$F$540,"NO ESTA")</f>
        <v xml:space="preserve">SUMINISTRO E INSTALACIÓN ACCESORIOS PVC-S DIAMETRO  3"                                                             </v>
      </c>
      <c r="J299" s="9" t="str">
        <v xml:space="preserve">UN   </v>
      </c>
      <c r="K299" s="9">
        <v>60</v>
      </c>
      <c r="L299" s="9">
        <v>9904</v>
      </c>
      <c r="M299" s="124" t="str">
        <f t="shared" si="35"/>
        <v>FASE II</v>
      </c>
      <c r="N299" s="155">
        <f t="shared" si="31"/>
        <v>221</v>
      </c>
      <c r="O299" s="156">
        <f t="shared" si="32"/>
        <v>10700</v>
      </c>
      <c r="P299" s="156">
        <f t="shared" si="33"/>
        <v>2364700</v>
      </c>
    </row>
    <row r="300" spans="2:16" s="9" customFormat="1" ht="35.1" customHeight="1" x14ac:dyDescent="0.25">
      <c r="B300" s="10" t="s">
        <v>343</v>
      </c>
      <c r="C300" s="22" t="s">
        <v>344</v>
      </c>
      <c r="D300" s="23" t="s">
        <v>284</v>
      </c>
      <c r="E300" s="12">
        <v>288</v>
      </c>
      <c r="F300" s="126">
        <v>15725</v>
      </c>
      <c r="G300" s="126">
        <f t="shared" si="36"/>
        <v>4528800</v>
      </c>
      <c r="H300" s="8"/>
      <c r="I300" s="9" t="str">
        <f t="array" ref="I300:L300">_xlfn.XLOOKUP(C300,'Neiva 2021 FASE I UNIFICADO'!$C$6:$C$540,'Neiva 2021 FASE I UNIFICADO'!$C$6:$F$540,"NO ESTA")</f>
        <v xml:space="preserve">SUMINISTRO E INSTALACIÓN ACCESORIOS PVC-S DIAMETRO  4"                                                             </v>
      </c>
      <c r="J300" s="9" t="str">
        <v xml:space="preserve">UN   </v>
      </c>
      <c r="K300" s="9">
        <v>106</v>
      </c>
      <c r="L300" s="9">
        <v>14553</v>
      </c>
      <c r="M300" s="124" t="str">
        <f t="shared" si="35"/>
        <v>FASE II</v>
      </c>
      <c r="N300" s="155">
        <f t="shared" si="31"/>
        <v>394</v>
      </c>
      <c r="O300" s="156">
        <f t="shared" si="32"/>
        <v>15725</v>
      </c>
      <c r="P300" s="156">
        <f t="shared" si="33"/>
        <v>6195650</v>
      </c>
    </row>
    <row r="301" spans="2:16" s="9" customFormat="1" ht="35.1" customHeight="1" x14ac:dyDescent="0.25">
      <c r="B301" s="10" t="s">
        <v>345</v>
      </c>
      <c r="C301" s="22" t="s">
        <v>346</v>
      </c>
      <c r="D301" s="23" t="s">
        <v>284</v>
      </c>
      <c r="E301" s="12">
        <v>14</v>
      </c>
      <c r="F301" s="126">
        <v>4884</v>
      </c>
      <c r="G301" s="126">
        <f t="shared" si="36"/>
        <v>68376</v>
      </c>
      <c r="H301" s="8"/>
      <c r="I301" s="9" t="str">
        <f t="array" ref="I301:L301">_xlfn.XLOOKUP(C301,'Neiva 2021 FASE I UNIFICADO'!$C$6:$C$540,'Neiva 2021 FASE I UNIFICADO'!$C$6:$F$540,"NO ESTA")</f>
        <v xml:space="preserve">SUMINISTRO E INSTALACIÓN SOPORTE 2"                                                                   </v>
      </c>
      <c r="J301" s="9" t="str">
        <v xml:space="preserve">UN   </v>
      </c>
      <c r="K301" s="9">
        <v>5</v>
      </c>
      <c r="L301" s="9">
        <v>4520</v>
      </c>
      <c r="M301" s="124" t="str">
        <f t="shared" si="35"/>
        <v>FASE II</v>
      </c>
      <c r="N301" s="155">
        <f t="shared" si="31"/>
        <v>19</v>
      </c>
      <c r="O301" s="156">
        <f t="shared" si="32"/>
        <v>4884</v>
      </c>
      <c r="P301" s="156">
        <f t="shared" si="33"/>
        <v>92796</v>
      </c>
    </row>
    <row r="302" spans="2:16" s="9" customFormat="1" ht="35.1" customHeight="1" x14ac:dyDescent="0.25">
      <c r="B302" s="10" t="s">
        <v>347</v>
      </c>
      <c r="C302" s="22" t="s">
        <v>348</v>
      </c>
      <c r="D302" s="23" t="s">
        <v>284</v>
      </c>
      <c r="E302" s="12">
        <v>64</v>
      </c>
      <c r="F302" s="126">
        <v>6212</v>
      </c>
      <c r="G302" s="126">
        <f t="shared" si="36"/>
        <v>397568</v>
      </c>
      <c r="H302" s="8"/>
      <c r="I302" s="9" t="str">
        <f t="array" ref="I302:L302">_xlfn.XLOOKUP(C302,'Neiva 2021 FASE I UNIFICADO'!$C$6:$C$540,'Neiva 2021 FASE I UNIFICADO'!$C$6:$F$540,"NO ESTA")</f>
        <v xml:space="preserve">SUMINISTRO E INSTALACIÓN SOPORTE 3"                                                                   </v>
      </c>
      <c r="J302" s="9" t="str">
        <v xml:space="preserve">UN   </v>
      </c>
      <c r="K302" s="9">
        <v>23</v>
      </c>
      <c r="L302" s="9">
        <v>5749</v>
      </c>
      <c r="M302" s="124" t="str">
        <f t="shared" si="35"/>
        <v>FASE II</v>
      </c>
      <c r="N302" s="155">
        <f t="shared" si="31"/>
        <v>87</v>
      </c>
      <c r="O302" s="156">
        <f t="shared" si="32"/>
        <v>6212</v>
      </c>
      <c r="P302" s="156">
        <f t="shared" si="33"/>
        <v>540444</v>
      </c>
    </row>
    <row r="303" spans="2:16" s="9" customFormat="1" ht="35.1" customHeight="1" x14ac:dyDescent="0.25">
      <c r="B303" s="10" t="s">
        <v>349</v>
      </c>
      <c r="C303" s="22" t="s">
        <v>350</v>
      </c>
      <c r="D303" s="23" t="s">
        <v>284</v>
      </c>
      <c r="E303" s="12">
        <v>101</v>
      </c>
      <c r="F303" s="126">
        <v>12329</v>
      </c>
      <c r="G303" s="126">
        <f t="shared" si="36"/>
        <v>1245229</v>
      </c>
      <c r="H303" s="8"/>
      <c r="I303" s="9" t="str">
        <f t="array" ref="I303:L303">_xlfn.XLOOKUP(C303,'Neiva 2021 FASE I UNIFICADO'!$C$6:$C$540,'Neiva 2021 FASE I UNIFICADO'!$C$6:$F$540,"NO ESTA")</f>
        <v xml:space="preserve">SUMINISTRO E INSTALACIÓN SOPORTE 4"                                                                   </v>
      </c>
      <c r="J303" s="9" t="str">
        <v xml:space="preserve">UN   </v>
      </c>
      <c r="K303" s="9">
        <v>38</v>
      </c>
      <c r="L303" s="9">
        <v>11411</v>
      </c>
      <c r="M303" s="124" t="str">
        <f t="shared" si="35"/>
        <v>FASE II</v>
      </c>
      <c r="N303" s="155">
        <f t="shared" si="31"/>
        <v>139</v>
      </c>
      <c r="O303" s="156">
        <f t="shared" si="32"/>
        <v>12329</v>
      </c>
      <c r="P303" s="156">
        <f t="shared" si="33"/>
        <v>1713731</v>
      </c>
    </row>
    <row r="304" spans="2:16" s="9" customFormat="1" ht="35.1" customHeight="1" x14ac:dyDescent="0.25">
      <c r="B304" s="10" t="s">
        <v>351</v>
      </c>
      <c r="C304" s="22" t="s">
        <v>352</v>
      </c>
      <c r="D304" s="23" t="s">
        <v>284</v>
      </c>
      <c r="E304" s="12">
        <v>36</v>
      </c>
      <c r="F304" s="126">
        <v>41384</v>
      </c>
      <c r="G304" s="126">
        <f t="shared" si="36"/>
        <v>1489824</v>
      </c>
      <c r="H304" s="8"/>
      <c r="I304" s="9" t="str">
        <f t="array" ref="I304:L304">_xlfn.XLOOKUP(C304,'Neiva 2021 FASE I UNIFICADO'!$C$6:$C$540,'Neiva 2021 FASE I UNIFICADO'!$C$6:$F$540,"NO ESTA")</f>
        <v xml:space="preserve">SUMINISTRO E INSTALACIÓN SALIDA SANITARIA 2"                                    </v>
      </c>
      <c r="J304" s="9" t="str">
        <v xml:space="preserve">UN   </v>
      </c>
      <c r="K304" s="9">
        <v>14</v>
      </c>
      <c r="L304" s="9">
        <v>38301</v>
      </c>
      <c r="M304" s="124" t="str">
        <f t="shared" si="35"/>
        <v>FASE II</v>
      </c>
      <c r="N304" s="155">
        <f t="shared" si="31"/>
        <v>50</v>
      </c>
      <c r="O304" s="156">
        <f t="shared" si="32"/>
        <v>41384</v>
      </c>
      <c r="P304" s="156">
        <f t="shared" si="33"/>
        <v>2069200</v>
      </c>
    </row>
    <row r="305" spans="2:16" s="9" customFormat="1" ht="35.1" customHeight="1" x14ac:dyDescent="0.25">
      <c r="B305" s="10" t="s">
        <v>353</v>
      </c>
      <c r="C305" s="22" t="s">
        <v>354</v>
      </c>
      <c r="D305" s="23" t="s">
        <v>284</v>
      </c>
      <c r="E305" s="12">
        <v>23</v>
      </c>
      <c r="F305" s="126">
        <v>50021</v>
      </c>
      <c r="G305" s="126">
        <f t="shared" si="36"/>
        <v>1150483</v>
      </c>
      <c r="H305" s="8"/>
      <c r="I305" s="9" t="str">
        <f t="array" ref="I305:L305">_xlfn.XLOOKUP(C305,'Neiva 2021 FASE I UNIFICADO'!$C$6:$C$540,'Neiva 2021 FASE I UNIFICADO'!$C$6:$F$540,"NO ESTA")</f>
        <v xml:space="preserve">SUMINISTRO E INSTALACIÓN SALIDA SANITARIA 3"                                    </v>
      </c>
      <c r="J305" s="9" t="str">
        <v xml:space="preserve">UN   </v>
      </c>
      <c r="K305" s="9">
        <v>9</v>
      </c>
      <c r="L305" s="9">
        <v>46295</v>
      </c>
      <c r="M305" s="124" t="str">
        <f t="shared" si="35"/>
        <v>FASE II</v>
      </c>
      <c r="N305" s="155">
        <f t="shared" si="31"/>
        <v>32</v>
      </c>
      <c r="O305" s="156">
        <f t="shared" si="32"/>
        <v>50021</v>
      </c>
      <c r="P305" s="156">
        <f t="shared" si="33"/>
        <v>1600672</v>
      </c>
    </row>
    <row r="306" spans="2:16" s="9" customFormat="1" ht="35.1" customHeight="1" x14ac:dyDescent="0.25">
      <c r="B306" s="10" t="s">
        <v>355</v>
      </c>
      <c r="C306" s="22" t="s">
        <v>356</v>
      </c>
      <c r="D306" s="23" t="s">
        <v>284</v>
      </c>
      <c r="E306" s="12">
        <v>42</v>
      </c>
      <c r="F306" s="126">
        <v>61472</v>
      </c>
      <c r="G306" s="126">
        <f t="shared" si="36"/>
        <v>2581824</v>
      </c>
      <c r="H306" s="8"/>
      <c r="I306" s="9" t="str">
        <f t="array" ref="I306:L306">_xlfn.XLOOKUP(C306,'Neiva 2021 FASE I UNIFICADO'!$C$6:$C$540,'Neiva 2021 FASE I UNIFICADO'!$C$6:$F$540,"NO ESTA")</f>
        <v xml:space="preserve">SUMINISTRO E INSTALACIÓN SALIDA SANITARIA 4"                                    </v>
      </c>
      <c r="J306" s="9" t="str">
        <v xml:space="preserve">UN   </v>
      </c>
      <c r="K306" s="9">
        <v>16</v>
      </c>
      <c r="L306" s="9">
        <v>56892</v>
      </c>
      <c r="M306" s="124" t="str">
        <f t="shared" si="35"/>
        <v>FASE II</v>
      </c>
      <c r="N306" s="155">
        <f t="shared" si="31"/>
        <v>58</v>
      </c>
      <c r="O306" s="156">
        <f t="shared" si="32"/>
        <v>61472</v>
      </c>
      <c r="P306" s="156">
        <f t="shared" si="33"/>
        <v>3565376</v>
      </c>
    </row>
    <row r="307" spans="2:16" s="9" customFormat="1" ht="35.1" customHeight="1" x14ac:dyDescent="0.25">
      <c r="B307" s="10" t="s">
        <v>357</v>
      </c>
      <c r="C307" s="22" t="s">
        <v>358</v>
      </c>
      <c r="D307" s="23" t="s">
        <v>284</v>
      </c>
      <c r="E307" s="12">
        <v>1</v>
      </c>
      <c r="F307" s="126">
        <v>542308</v>
      </c>
      <c r="G307" s="126">
        <f t="shared" si="36"/>
        <v>542308</v>
      </c>
      <c r="H307" s="8"/>
      <c r="I307" s="9" t="str">
        <f t="array" ref="I307:L307">_xlfn.XLOOKUP(C307,'Neiva 2021 FASE I UNIFICADO'!$C$6:$C$540,'Neiva 2021 FASE I UNIFICADO'!$C$6:$F$540,"NO ESTA")</f>
        <v xml:space="preserve">SUMINISTRO Y CONSTRUCCIÓN CAJA DE INSPECCIÓN 0.80mX0.80m H mäx:1.0m                                                                    </v>
      </c>
      <c r="J307" s="9" t="str">
        <v xml:space="preserve">UN   </v>
      </c>
      <c r="K307" s="9">
        <v>1</v>
      </c>
      <c r="L307" s="9">
        <v>501903</v>
      </c>
      <c r="M307" s="124" t="str">
        <f t="shared" si="35"/>
        <v>FASE II</v>
      </c>
      <c r="N307" s="155">
        <f t="shared" si="31"/>
        <v>2</v>
      </c>
      <c r="O307" s="156">
        <f t="shared" si="32"/>
        <v>542308</v>
      </c>
      <c r="P307" s="156">
        <f t="shared" si="33"/>
        <v>1084616</v>
      </c>
    </row>
    <row r="308" spans="2:16" s="9" customFormat="1" ht="35.1" customHeight="1" x14ac:dyDescent="0.25">
      <c r="B308" s="10" t="s">
        <v>359</v>
      </c>
      <c r="C308" s="22" t="s">
        <v>360</v>
      </c>
      <c r="D308" s="23" t="s">
        <v>269</v>
      </c>
      <c r="E308" s="12">
        <v>29</v>
      </c>
      <c r="F308" s="126">
        <v>45798</v>
      </c>
      <c r="G308" s="126">
        <f t="shared" si="36"/>
        <v>1328142</v>
      </c>
      <c r="H308" s="8"/>
      <c r="I308" s="9" t="str">
        <f t="array" ref="I308:L308">_xlfn.XLOOKUP(C308,'Neiva 2021 FASE I UNIFICADO'!$C$6:$C$540,'Neiva 2021 FASE I UNIFICADO'!$C$6:$F$540,"NO ESTA")</f>
        <v xml:space="preserve">SUMINISTRO E INSTALACIÓN TUBERIA PVC-ALC DIAMETRO 160mm                                                                   </v>
      </c>
      <c r="J308" s="9" t="str">
        <v xml:space="preserve">ML   </v>
      </c>
      <c r="K308" s="9">
        <v>11</v>
      </c>
      <c r="L308" s="9">
        <v>42386</v>
      </c>
      <c r="M308" s="124" t="str">
        <f t="shared" si="35"/>
        <v>FASE II</v>
      </c>
      <c r="N308" s="155">
        <f t="shared" si="31"/>
        <v>40</v>
      </c>
      <c r="O308" s="156">
        <f t="shared" si="32"/>
        <v>45798</v>
      </c>
      <c r="P308" s="156">
        <f t="shared" si="33"/>
        <v>1831920</v>
      </c>
    </row>
    <row r="309" spans="2:16" s="9" customFormat="1" ht="35.1" customHeight="1" x14ac:dyDescent="0.25">
      <c r="B309" s="10" t="s">
        <v>361</v>
      </c>
      <c r="C309" s="22" t="s">
        <v>362</v>
      </c>
      <c r="D309" s="23" t="s">
        <v>269</v>
      </c>
      <c r="E309" s="12">
        <v>7</v>
      </c>
      <c r="F309" s="126">
        <v>63955</v>
      </c>
      <c r="G309" s="126">
        <f t="shared" si="36"/>
        <v>447685</v>
      </c>
      <c r="H309" s="8"/>
      <c r="I309" s="9" t="str">
        <f t="array" ref="I309:L309">_xlfn.XLOOKUP(C309,'Neiva 2021 FASE I UNIFICADO'!$C$6:$C$540,'Neiva 2021 FASE I UNIFICADO'!$C$6:$F$540,"NO ESTA")</f>
        <v xml:space="preserve">SUMINISTRO E INSTALACIÓN TUBERIA PVC-ALC DIAMETRO 200mm                                                                   </v>
      </c>
      <c r="J309" s="9" t="str">
        <v xml:space="preserve">ML   </v>
      </c>
      <c r="K309" s="9">
        <v>3</v>
      </c>
      <c r="L309" s="9">
        <v>59190</v>
      </c>
      <c r="M309" s="124" t="str">
        <f t="shared" si="35"/>
        <v>FASE II</v>
      </c>
      <c r="N309" s="155">
        <f t="shared" si="31"/>
        <v>10</v>
      </c>
      <c r="O309" s="156">
        <f t="shared" si="32"/>
        <v>63955</v>
      </c>
      <c r="P309" s="156">
        <f t="shared" si="33"/>
        <v>639550</v>
      </c>
    </row>
    <row r="310" spans="2:16" s="9" customFormat="1" ht="35.1" customHeight="1" x14ac:dyDescent="0.25">
      <c r="B310" s="10" t="s">
        <v>363</v>
      </c>
      <c r="C310" s="22" t="s">
        <v>364</v>
      </c>
      <c r="D310" s="23" t="s">
        <v>269</v>
      </c>
      <c r="E310" s="12">
        <v>29</v>
      </c>
      <c r="F310" s="126">
        <v>97168</v>
      </c>
      <c r="G310" s="126">
        <f t="shared" si="36"/>
        <v>2817872</v>
      </c>
      <c r="H310" s="8"/>
      <c r="I310" s="9" t="str">
        <f t="array" ref="I310:L310">_xlfn.XLOOKUP(C310,'Neiva 2021 FASE I UNIFICADO'!$C$6:$C$540,'Neiva 2021 FASE I UNIFICADO'!$C$6:$F$540,"NO ESTA")</f>
        <v xml:space="preserve">SUMINISTRO E INSTALACIÓN TUBERÍA PVC-P DIAMETRO 4"                                                        </v>
      </c>
      <c r="J310" s="9" t="str">
        <v xml:space="preserve">ML   </v>
      </c>
      <c r="K310" s="9">
        <v>11</v>
      </c>
      <c r="L310" s="9">
        <v>89928</v>
      </c>
      <c r="M310" s="124" t="str">
        <f t="shared" si="35"/>
        <v>FASE II</v>
      </c>
      <c r="N310" s="155">
        <f t="shared" si="31"/>
        <v>40</v>
      </c>
      <c r="O310" s="156">
        <f t="shared" si="32"/>
        <v>97168</v>
      </c>
      <c r="P310" s="156">
        <f t="shared" si="33"/>
        <v>3886720</v>
      </c>
    </row>
    <row r="311" spans="2:16" s="9" customFormat="1" ht="35.1" customHeight="1" x14ac:dyDescent="0.25">
      <c r="B311" s="10" t="s">
        <v>365</v>
      </c>
      <c r="C311" s="22" t="s">
        <v>366</v>
      </c>
      <c r="D311" s="23" t="s">
        <v>284</v>
      </c>
      <c r="E311" s="12">
        <v>15</v>
      </c>
      <c r="F311" s="126">
        <v>78251</v>
      </c>
      <c r="G311" s="126">
        <f t="shared" si="36"/>
        <v>1173765</v>
      </c>
      <c r="H311" s="8"/>
      <c r="I311" s="9" t="str">
        <f t="array" ref="I311:L311">_xlfn.XLOOKUP(C311,'Neiva 2021 FASE I UNIFICADO'!$C$6:$C$540,'Neiva 2021 FASE I UNIFICADO'!$C$6:$F$540,"NO ESTA")</f>
        <v xml:space="preserve">SUMINISTRO E INSTALACIÓN ACCESORIOS PVC-P DIAMETRO 4"                                                             </v>
      </c>
      <c r="J311" s="9" t="str">
        <v xml:space="preserve">UN   </v>
      </c>
      <c r="K311" s="9">
        <v>5</v>
      </c>
      <c r="L311" s="9">
        <v>72421</v>
      </c>
      <c r="M311" s="124" t="str">
        <f t="shared" si="35"/>
        <v>FASE II</v>
      </c>
      <c r="N311" s="155">
        <f t="shared" si="31"/>
        <v>20</v>
      </c>
      <c r="O311" s="156">
        <f t="shared" si="32"/>
        <v>78251</v>
      </c>
      <c r="P311" s="156">
        <f t="shared" si="33"/>
        <v>1565020</v>
      </c>
    </row>
    <row r="312" spans="2:16" s="9" customFormat="1" ht="35.1" customHeight="1" x14ac:dyDescent="0.25">
      <c r="B312" s="47" t="s">
        <v>367</v>
      </c>
      <c r="C312" s="24" t="s">
        <v>368</v>
      </c>
      <c r="D312" s="24" t="s">
        <v>369</v>
      </c>
      <c r="E312" s="15"/>
      <c r="F312" s="129"/>
      <c r="G312" s="140"/>
      <c r="H312" s="8"/>
      <c r="I312" s="9" t="str">
        <f t="array" ref="I312:L312">_xlfn.XLOOKUP(C312,'Neiva 2021 FASE I UNIFICADO'!$C$6:$C$540,'Neiva 2021 FASE I UNIFICADO'!$C$6:$F$540,"NO ESTA")</f>
        <v>SUMINISTRO E INSTALACIÓN DE APARATOS SANITARIOS</v>
      </c>
      <c r="J312" s="9" t="str">
        <v xml:space="preserve">     </v>
      </c>
      <c r="K312" s="9">
        <v>0</v>
      </c>
      <c r="L312" s="9">
        <v>0</v>
      </c>
      <c r="M312" s="124">
        <f t="shared" si="35"/>
        <v>0</v>
      </c>
      <c r="N312" s="155">
        <f t="shared" si="31"/>
        <v>0</v>
      </c>
      <c r="O312" s="156">
        <f t="shared" si="32"/>
        <v>0</v>
      </c>
      <c r="P312" s="156">
        <f t="shared" si="33"/>
        <v>0</v>
      </c>
    </row>
    <row r="313" spans="2:16" s="9" customFormat="1" ht="35.1" customHeight="1" x14ac:dyDescent="0.25">
      <c r="B313" s="23" t="s">
        <v>370</v>
      </c>
      <c r="C313" s="87" t="s">
        <v>371</v>
      </c>
      <c r="D313" s="23" t="s">
        <v>284</v>
      </c>
      <c r="E313" s="12">
        <v>24</v>
      </c>
      <c r="F313" s="126">
        <v>1105824</v>
      </c>
      <c r="G313" s="126">
        <f t="shared" ref="G313:G320" si="37">ROUND(+F313*E313,2)</f>
        <v>26539776</v>
      </c>
      <c r="H313" s="8"/>
      <c r="I313" s="9" t="str">
        <f t="array" ref="I313:L313">_xlfn.XLOOKUP(C313,'Neiva 2021 FASE I UNIFICADO'!$C$6:$C$540,'Neiva 2021 FASE I UNIFICADO'!$C$6:$F$540,"NO ESTA")</f>
        <v>SUMINISTRO E INSTALACIÓN SANITARIO INSTITUCIONAL incluye FLUXOMETRO</v>
      </c>
      <c r="J313" s="9" t="str">
        <v xml:space="preserve">UN   </v>
      </c>
      <c r="K313" s="9">
        <v>28</v>
      </c>
      <c r="L313" s="9">
        <v>1023434</v>
      </c>
      <c r="M313" s="124" t="str">
        <f t="shared" si="35"/>
        <v>FASE II</v>
      </c>
      <c r="N313" s="155">
        <f t="shared" si="31"/>
        <v>52</v>
      </c>
      <c r="O313" s="156">
        <f t="shared" si="32"/>
        <v>1105824</v>
      </c>
      <c r="P313" s="156">
        <f t="shared" si="33"/>
        <v>57502848</v>
      </c>
    </row>
    <row r="314" spans="2:16" s="9" customFormat="1" ht="35.1" customHeight="1" x14ac:dyDescent="0.25">
      <c r="B314" s="23" t="s">
        <v>372</v>
      </c>
      <c r="C314" s="87" t="s">
        <v>373</v>
      </c>
      <c r="D314" s="23" t="s">
        <v>374</v>
      </c>
      <c r="E314" s="12">
        <v>4</v>
      </c>
      <c r="F314" s="126">
        <v>670042</v>
      </c>
      <c r="G314" s="126">
        <f t="shared" si="37"/>
        <v>2680168</v>
      </c>
      <c r="H314" s="8"/>
      <c r="I314" s="9" t="str">
        <f t="array" ref="I314:L314">_xlfn.XLOOKUP(C314,'Neiva 2021 FASE I UNIFICADO'!$C$6:$C$540,'Neiva 2021 FASE I UNIFICADO'!$C$6:$F$540,"NO ESTA")</f>
        <v xml:space="preserve">SUMINISTRO E INSTALACIÓN SANITARIO DE BAJO CONSUMO </v>
      </c>
      <c r="J314" s="9" t="str">
        <v>UN</v>
      </c>
      <c r="K314" s="9">
        <v>4</v>
      </c>
      <c r="L314" s="9">
        <v>620120</v>
      </c>
      <c r="M314" s="124" t="str">
        <f t="shared" si="35"/>
        <v>FASE II</v>
      </c>
      <c r="N314" s="155">
        <f t="shared" si="31"/>
        <v>8</v>
      </c>
      <c r="O314" s="156">
        <f t="shared" si="32"/>
        <v>670042</v>
      </c>
      <c r="P314" s="156">
        <f t="shared" si="33"/>
        <v>5360336</v>
      </c>
    </row>
    <row r="315" spans="2:16" s="9" customFormat="1" ht="35.1" customHeight="1" x14ac:dyDescent="0.25">
      <c r="B315" s="23" t="s">
        <v>375</v>
      </c>
      <c r="C315" s="87" t="s">
        <v>376</v>
      </c>
      <c r="D315" s="23" t="s">
        <v>284</v>
      </c>
      <c r="E315" s="12">
        <v>9</v>
      </c>
      <c r="F315" s="126">
        <v>757710</v>
      </c>
      <c r="G315" s="126">
        <f t="shared" si="37"/>
        <v>6819390</v>
      </c>
      <c r="H315" s="8"/>
      <c r="I315" s="9" t="str">
        <f t="array" ref="I315:L315">_xlfn.XLOOKUP(C315,'Neiva 2021 FASE I UNIFICADO'!$C$6:$C$540,'Neiva 2021 FASE I UNIFICADO'!$C$6:$F$540,"NO ESTA")</f>
        <v>SUMINISTRO E INSTALACIÓN ORINAL</v>
      </c>
      <c r="J315" s="9" t="str">
        <v xml:space="preserve">UN   </v>
      </c>
      <c r="K315" s="9">
        <v>12</v>
      </c>
      <c r="L315" s="9">
        <v>701257</v>
      </c>
      <c r="M315" s="124" t="str">
        <f t="shared" si="35"/>
        <v>FASE II</v>
      </c>
      <c r="N315" s="155">
        <f t="shared" si="31"/>
        <v>21</v>
      </c>
      <c r="O315" s="156">
        <f t="shared" si="32"/>
        <v>757710</v>
      </c>
      <c r="P315" s="156">
        <f t="shared" si="33"/>
        <v>15911910</v>
      </c>
    </row>
    <row r="316" spans="2:16" s="9" customFormat="1" ht="35.1" customHeight="1" x14ac:dyDescent="0.25">
      <c r="B316" s="23" t="s">
        <v>377</v>
      </c>
      <c r="C316" s="11" t="s">
        <v>378</v>
      </c>
      <c r="D316" s="23" t="s">
        <v>94</v>
      </c>
      <c r="E316" s="12">
        <v>13</v>
      </c>
      <c r="F316" s="126">
        <v>218116</v>
      </c>
      <c r="G316" s="126">
        <f t="shared" si="37"/>
        <v>2835508</v>
      </c>
      <c r="H316" s="8"/>
      <c r="I316" s="9" t="str">
        <f t="array" ref="I316:L316">_xlfn.XLOOKUP(C316,'Neiva 2021 FASE I UNIFICADO'!$C$6:$C$540,'Neiva 2021 FASE I UNIFICADO'!$C$6:$F$540,"NO ESTA")</f>
        <v>SUMINISTRO E INSTALACIÓN MESÓN EN GRANITO NEGRO ABSOLUTO o similar, ANCHO 0.60m</v>
      </c>
      <c r="J316" s="9" t="str">
        <v>ML</v>
      </c>
      <c r="K316" s="9">
        <v>14</v>
      </c>
      <c r="L316" s="9">
        <v>201866</v>
      </c>
      <c r="M316" s="124" t="str">
        <f t="shared" si="35"/>
        <v>FASE II</v>
      </c>
      <c r="N316" s="155">
        <f t="shared" si="31"/>
        <v>27</v>
      </c>
      <c r="O316" s="156">
        <f t="shared" si="32"/>
        <v>218116</v>
      </c>
      <c r="P316" s="156">
        <f t="shared" si="33"/>
        <v>5889132</v>
      </c>
    </row>
    <row r="317" spans="2:16" s="9" customFormat="1" ht="35.1" customHeight="1" x14ac:dyDescent="0.25">
      <c r="B317" s="23" t="s">
        <v>379</v>
      </c>
      <c r="C317" s="87" t="s">
        <v>380</v>
      </c>
      <c r="D317" s="23" t="s">
        <v>284</v>
      </c>
      <c r="E317" s="12">
        <v>18</v>
      </c>
      <c r="F317" s="126">
        <v>588854</v>
      </c>
      <c r="G317" s="126">
        <f t="shared" si="37"/>
        <v>10599372</v>
      </c>
      <c r="H317" s="8"/>
      <c r="I317" s="9" t="str">
        <f t="array" ref="I317:L317">_xlfn.XLOOKUP(C317,'Neiva 2021 FASE I UNIFICADO'!$C$6:$C$540,'Neiva 2021 FASE I UNIFICADO'!$C$6:$F$540,"NO ESTA")</f>
        <v xml:space="preserve">SUMINISTRO E INSTALACIÓN LAVAMANOS SOBREPONER </v>
      </c>
      <c r="J317" s="9" t="str">
        <v xml:space="preserve">UN   </v>
      </c>
      <c r="K317" s="9">
        <v>20</v>
      </c>
      <c r="L317" s="9">
        <v>544981</v>
      </c>
      <c r="M317" s="124" t="str">
        <f t="shared" si="35"/>
        <v>FASE II</v>
      </c>
      <c r="N317" s="155">
        <f t="shared" si="31"/>
        <v>38</v>
      </c>
      <c r="O317" s="156">
        <f t="shared" si="32"/>
        <v>588854</v>
      </c>
      <c r="P317" s="156">
        <f t="shared" si="33"/>
        <v>22376452</v>
      </c>
    </row>
    <row r="318" spans="2:16" s="9" customFormat="1" ht="35.1" customHeight="1" x14ac:dyDescent="0.25">
      <c r="B318" s="23" t="s">
        <v>381</v>
      </c>
      <c r="C318" s="87" t="s">
        <v>382</v>
      </c>
      <c r="D318" s="23" t="s">
        <v>284</v>
      </c>
      <c r="E318" s="12">
        <v>3</v>
      </c>
      <c r="F318" s="126">
        <v>556929</v>
      </c>
      <c r="G318" s="126">
        <f t="shared" si="37"/>
        <v>1670787</v>
      </c>
      <c r="H318" s="8"/>
      <c r="I318" s="9" t="str">
        <f t="array" ref="I318:L318">_xlfn.XLOOKUP(C318,'Neiva 2021 FASE I UNIFICADO'!$C$6:$C$540,'Neiva 2021 FASE I UNIFICADO'!$C$6:$F$540,"NO ESTA")</f>
        <v>SUMINISTRO E INSTALACIÓN LAVAMANOS PEDESTAL</v>
      </c>
      <c r="J318" s="9" t="str">
        <v xml:space="preserve">UN   </v>
      </c>
      <c r="K318" s="9">
        <v>3</v>
      </c>
      <c r="L318" s="9">
        <v>515435</v>
      </c>
      <c r="M318" s="124" t="str">
        <f t="shared" si="35"/>
        <v>FASE II</v>
      </c>
      <c r="N318" s="155">
        <f t="shared" si="31"/>
        <v>6</v>
      </c>
      <c r="O318" s="156">
        <f t="shared" si="32"/>
        <v>556929</v>
      </c>
      <c r="P318" s="156">
        <f t="shared" si="33"/>
        <v>3341574</v>
      </c>
    </row>
    <row r="319" spans="2:16" s="9" customFormat="1" ht="35.1" customHeight="1" x14ac:dyDescent="0.25">
      <c r="B319" s="23" t="s">
        <v>383</v>
      </c>
      <c r="C319" s="11" t="s">
        <v>384</v>
      </c>
      <c r="D319" s="23" t="s">
        <v>13</v>
      </c>
      <c r="E319" s="12">
        <v>11</v>
      </c>
      <c r="F319" s="126">
        <v>90851</v>
      </c>
      <c r="G319" s="126">
        <f t="shared" si="37"/>
        <v>999361</v>
      </c>
      <c r="H319" s="8"/>
      <c r="I319" s="9" t="str">
        <f t="array" ref="I319:L319">_xlfn.XLOOKUP(C319,'Neiva 2021 FASE I UNIFICADO'!$C$6:$C$540,'Neiva 2021 FASE I UNIFICADO'!$C$6:$F$540,"NO ESTA")</f>
        <v>SUMINISTRO E INSTALACIÓN ESPEJO e=4MM PEGADO SOBRE BASTIDOR EN ALUMINIO DE 2X1</v>
      </c>
      <c r="J319" s="9" t="str">
        <v>M2</v>
      </c>
      <c r="K319" s="9">
        <v>12</v>
      </c>
      <c r="L319" s="9">
        <v>84082</v>
      </c>
      <c r="M319" s="124" t="str">
        <f t="shared" si="35"/>
        <v>FASE II</v>
      </c>
      <c r="N319" s="155">
        <f t="shared" si="31"/>
        <v>23</v>
      </c>
      <c r="O319" s="156">
        <f t="shared" si="32"/>
        <v>90851</v>
      </c>
      <c r="P319" s="156">
        <f t="shared" si="33"/>
        <v>2089573</v>
      </c>
    </row>
    <row r="320" spans="2:16" s="9" customFormat="1" ht="35.1" customHeight="1" x14ac:dyDescent="0.25">
      <c r="B320" s="23" t="s">
        <v>385</v>
      </c>
      <c r="C320" s="11" t="s">
        <v>386</v>
      </c>
      <c r="D320" s="23" t="s">
        <v>284</v>
      </c>
      <c r="E320" s="12">
        <v>1</v>
      </c>
      <c r="F320" s="126">
        <v>44128</v>
      </c>
      <c r="G320" s="126">
        <f t="shared" si="37"/>
        <v>44128</v>
      </c>
      <c r="H320" s="8"/>
      <c r="I320" s="9" t="str">
        <f t="array" ref="I320:L320">_xlfn.XLOOKUP(C320,'Neiva 2021 FASE I UNIFICADO'!$C$6:$C$540,'Neiva 2021 FASE I UNIFICADO'!$C$6:$F$540,"NO ESTA")</f>
        <v>SUMINISTRO E INSTALACIÓN LLAVES MANGUERA</v>
      </c>
      <c r="J320" s="9" t="str">
        <v xml:space="preserve">UN   </v>
      </c>
      <c r="K320" s="9">
        <v>2</v>
      </c>
      <c r="L320" s="9">
        <v>40840</v>
      </c>
      <c r="M320" s="124" t="str">
        <f t="shared" si="35"/>
        <v>FASE II</v>
      </c>
      <c r="N320" s="155">
        <f t="shared" si="31"/>
        <v>3</v>
      </c>
      <c r="O320" s="156">
        <f t="shared" si="32"/>
        <v>44128</v>
      </c>
      <c r="P320" s="156">
        <f t="shared" si="33"/>
        <v>132384</v>
      </c>
    </row>
    <row r="321" spans="2:16" s="9" customFormat="1" ht="35.1" customHeight="1" x14ac:dyDescent="0.25">
      <c r="B321" s="47" t="s">
        <v>387</v>
      </c>
      <c r="C321" s="24" t="s">
        <v>388</v>
      </c>
      <c r="D321" s="24"/>
      <c r="E321" s="15"/>
      <c r="F321" s="129"/>
      <c r="G321" s="140"/>
      <c r="H321" s="8"/>
      <c r="I321" s="9" t="str">
        <f t="array" ref="I321:L321">_xlfn.XLOOKUP(C321,'Neiva 2021 FASE I UNIFICADO'!$C$6:$C$540,'Neiva 2021 FASE I UNIFICADO'!$C$6:$F$540,"NO ESTA")</f>
        <v xml:space="preserve">SUMINISTRO E INSTALACION RED DESAGÜES AGUAS LLUVIAS                                                                                 </v>
      </c>
      <c r="J321" s="9">
        <v>0</v>
      </c>
      <c r="K321" s="9">
        <v>0</v>
      </c>
      <c r="L321" s="9">
        <v>0</v>
      </c>
      <c r="M321" s="124">
        <f t="shared" si="35"/>
        <v>0</v>
      </c>
      <c r="N321" s="155">
        <f t="shared" si="31"/>
        <v>0</v>
      </c>
      <c r="O321" s="156">
        <f t="shared" si="32"/>
        <v>0</v>
      </c>
      <c r="P321" s="156">
        <f t="shared" si="33"/>
        <v>0</v>
      </c>
    </row>
    <row r="322" spans="2:16" s="9" customFormat="1" ht="35.1" customHeight="1" x14ac:dyDescent="0.25">
      <c r="B322" s="23" t="s">
        <v>389</v>
      </c>
      <c r="C322" s="22" t="s">
        <v>390</v>
      </c>
      <c r="D322" s="23" t="s">
        <v>269</v>
      </c>
      <c r="E322" s="12">
        <v>248</v>
      </c>
      <c r="F322" s="126">
        <v>36135</v>
      </c>
      <c r="G322" s="126">
        <f t="shared" ref="G322:G344" si="38">ROUND(+F322*E322,2)</f>
        <v>8961480</v>
      </c>
      <c r="H322" s="8"/>
      <c r="I322" s="9" t="str">
        <f t="array" ref="I322:L322">_xlfn.XLOOKUP(C322,'Neiva 2021 FASE I UNIFICADO'!$C$6:$C$540,'Neiva 2021 FASE I UNIFICADO'!$C$6:$F$540,"NO ESTA")</f>
        <v xml:space="preserve">SUMINISTRO E INSTALACIÓN TUBERIA PVC-S DIAMETRO  3 PUL                                                                 </v>
      </c>
      <c r="J322" s="9" t="str">
        <v xml:space="preserve">ML   </v>
      </c>
      <c r="K322" s="9">
        <v>92</v>
      </c>
      <c r="L322" s="9">
        <v>33443</v>
      </c>
      <c r="M322" s="124" t="str">
        <f t="shared" si="35"/>
        <v>FASE II</v>
      </c>
      <c r="N322" s="155">
        <f t="shared" si="31"/>
        <v>340</v>
      </c>
      <c r="O322" s="156">
        <f t="shared" si="32"/>
        <v>36135</v>
      </c>
      <c r="P322" s="156">
        <f t="shared" si="33"/>
        <v>12285900</v>
      </c>
    </row>
    <row r="323" spans="2:16" s="9" customFormat="1" ht="35.1" customHeight="1" x14ac:dyDescent="0.25">
      <c r="B323" s="23" t="s">
        <v>391</v>
      </c>
      <c r="C323" s="11" t="s">
        <v>392</v>
      </c>
      <c r="D323" s="10" t="s">
        <v>269</v>
      </c>
      <c r="E323" s="12">
        <v>122</v>
      </c>
      <c r="F323" s="126">
        <v>51550</v>
      </c>
      <c r="G323" s="126">
        <f t="shared" si="38"/>
        <v>6289100</v>
      </c>
      <c r="H323" s="8"/>
      <c r="I323" s="9" t="str">
        <f t="array" ref="I323:L323">_xlfn.XLOOKUP(C323,'Neiva 2021 FASE I UNIFICADO'!$C$6:$C$540,'Neiva 2021 FASE I UNIFICADO'!$C$6:$F$540,"NO ESTA")</f>
        <v xml:space="preserve">SUMINISTRO E INSTALACIÓN TUBERIA PVC-S DIAMETRO 4 PUL                                                                 </v>
      </c>
      <c r="J323" s="9" t="str">
        <v xml:space="preserve">ML   </v>
      </c>
      <c r="K323" s="9">
        <v>45</v>
      </c>
      <c r="L323" s="9">
        <v>47709</v>
      </c>
      <c r="M323" s="124" t="str">
        <f t="shared" si="35"/>
        <v>FASE II</v>
      </c>
      <c r="N323" s="155">
        <f t="shared" si="31"/>
        <v>167</v>
      </c>
      <c r="O323" s="156">
        <f t="shared" si="32"/>
        <v>51550</v>
      </c>
      <c r="P323" s="156">
        <f t="shared" si="33"/>
        <v>8608850</v>
      </c>
    </row>
    <row r="324" spans="2:16" s="9" customFormat="1" ht="35.1" customHeight="1" x14ac:dyDescent="0.25">
      <c r="B324" s="23" t="s">
        <v>393</v>
      </c>
      <c r="C324" s="11" t="s">
        <v>394</v>
      </c>
      <c r="D324" s="10" t="s">
        <v>269</v>
      </c>
      <c r="E324" s="12">
        <v>161</v>
      </c>
      <c r="F324" s="126">
        <v>93160</v>
      </c>
      <c r="G324" s="126">
        <f t="shared" si="38"/>
        <v>14998760</v>
      </c>
      <c r="H324" s="8"/>
      <c r="I324" s="9" t="str">
        <f t="array" ref="I324:L324">_xlfn.XLOOKUP(C324,'Neiva 2021 FASE I UNIFICADO'!$C$6:$C$540,'Neiva 2021 FASE I UNIFICADO'!$C$6:$F$540,"NO ESTA")</f>
        <v xml:space="preserve">SUMINISTRO E INSTALACIÓN TUBERIA PVC-S DIAMETRO 6 PUL                                                                 </v>
      </c>
      <c r="J324" s="9" t="str">
        <v xml:space="preserve">ML   </v>
      </c>
      <c r="K324" s="9">
        <v>60</v>
      </c>
      <c r="L324" s="9">
        <v>86220</v>
      </c>
      <c r="M324" s="124" t="str">
        <f t="shared" si="35"/>
        <v>FASE II</v>
      </c>
      <c r="N324" s="155">
        <f t="shared" si="31"/>
        <v>221</v>
      </c>
      <c r="O324" s="156">
        <f t="shared" si="32"/>
        <v>93160</v>
      </c>
      <c r="P324" s="156">
        <f t="shared" si="33"/>
        <v>20588360</v>
      </c>
    </row>
    <row r="325" spans="2:16" s="9" customFormat="1" ht="35.1" customHeight="1" x14ac:dyDescent="0.25">
      <c r="B325" s="23" t="s">
        <v>395</v>
      </c>
      <c r="C325" s="11" t="s">
        <v>396</v>
      </c>
      <c r="D325" s="10" t="s">
        <v>374</v>
      </c>
      <c r="E325" s="12">
        <v>101</v>
      </c>
      <c r="F325" s="126">
        <v>10700</v>
      </c>
      <c r="G325" s="126">
        <f t="shared" si="38"/>
        <v>1080700</v>
      </c>
      <c r="H325" s="8"/>
      <c r="I325" s="9" t="str">
        <f t="array" ref="I325:L325">_xlfn.XLOOKUP(C325,'Neiva 2021 FASE I UNIFICADO'!$C$6:$C$540,'Neiva 2021 FASE I UNIFICADO'!$C$6:$F$540,"NO ESTA")</f>
        <v xml:space="preserve">SUMINISTRO E INSTALACIÓN ACCESORIOS PVC-S DIAMETRO 3"                                                             </v>
      </c>
      <c r="J325" s="9" t="str">
        <v>UN</v>
      </c>
      <c r="K325" s="9">
        <v>38</v>
      </c>
      <c r="L325" s="9">
        <v>9904</v>
      </c>
      <c r="M325" s="124" t="str">
        <f t="shared" si="35"/>
        <v>FASE II</v>
      </c>
      <c r="N325" s="155">
        <f t="shared" si="31"/>
        <v>139</v>
      </c>
      <c r="O325" s="156">
        <f t="shared" si="32"/>
        <v>10700</v>
      </c>
      <c r="P325" s="156">
        <f t="shared" si="33"/>
        <v>1487300</v>
      </c>
    </row>
    <row r="326" spans="2:16" s="9" customFormat="1" ht="35.1" customHeight="1" x14ac:dyDescent="0.25">
      <c r="B326" s="23" t="s">
        <v>397</v>
      </c>
      <c r="C326" s="49" t="s">
        <v>398</v>
      </c>
      <c r="D326" s="10" t="s">
        <v>374</v>
      </c>
      <c r="E326" s="12">
        <v>58</v>
      </c>
      <c r="F326" s="126">
        <v>15725</v>
      </c>
      <c r="G326" s="126">
        <f t="shared" si="38"/>
        <v>912050</v>
      </c>
      <c r="H326" s="8"/>
      <c r="I326" s="9" t="str">
        <f t="array" ref="I326:L326">_xlfn.XLOOKUP(C326,'Neiva 2021 FASE I UNIFICADO'!$C$6:$C$540,'Neiva 2021 FASE I UNIFICADO'!$C$6:$F$540,"NO ESTA")</f>
        <v xml:space="preserve">SUMINISTRO E INSTALACIÓN ACCESORIOS PVC-S DIAMETRO 4"                                                             </v>
      </c>
      <c r="J326" s="9" t="str">
        <v>UN</v>
      </c>
      <c r="K326" s="9">
        <v>21</v>
      </c>
      <c r="L326" s="9">
        <v>14553</v>
      </c>
      <c r="M326" s="124" t="str">
        <f t="shared" si="35"/>
        <v>FASE II</v>
      </c>
      <c r="N326" s="155">
        <f t="shared" ref="N326:N389" si="39">E326+K326</f>
        <v>79</v>
      </c>
      <c r="O326" s="156">
        <f t="shared" ref="O326:O389" si="40">MAX(L326,F326)</f>
        <v>15725</v>
      </c>
      <c r="P326" s="156">
        <f t="shared" ref="P326:P389" si="41">N326*O326</f>
        <v>1242275</v>
      </c>
    </row>
    <row r="327" spans="2:16" s="9" customFormat="1" ht="35.1" customHeight="1" x14ac:dyDescent="0.25">
      <c r="B327" s="23" t="s">
        <v>399</v>
      </c>
      <c r="C327" s="11" t="s">
        <v>400</v>
      </c>
      <c r="D327" s="10" t="s">
        <v>374</v>
      </c>
      <c r="E327" s="12">
        <v>68</v>
      </c>
      <c r="F327" s="126">
        <v>74938</v>
      </c>
      <c r="G327" s="126">
        <f t="shared" si="38"/>
        <v>5095784</v>
      </c>
      <c r="H327" s="8"/>
      <c r="I327" s="9" t="str">
        <f t="array" ref="I327:L327">_xlfn.XLOOKUP(C327,'Neiva 2021 FASE I UNIFICADO'!$C$6:$C$540,'Neiva 2021 FASE I UNIFICADO'!$C$6:$F$540,"NO ESTA")</f>
        <v xml:space="preserve">SUMINISTRO E INSTALACIÓN ACCESORIOS PVC-S DIAMETRO 6"                                                             </v>
      </c>
      <c r="J327" s="9" t="str">
        <v>UN</v>
      </c>
      <c r="K327" s="9">
        <v>25</v>
      </c>
      <c r="L327" s="9">
        <v>69355</v>
      </c>
      <c r="M327" s="124" t="str">
        <f t="shared" si="35"/>
        <v>FASE II</v>
      </c>
      <c r="N327" s="155">
        <f t="shared" si="39"/>
        <v>93</v>
      </c>
      <c r="O327" s="156">
        <f t="shared" si="40"/>
        <v>74938</v>
      </c>
      <c r="P327" s="156">
        <f t="shared" si="41"/>
        <v>6969234</v>
      </c>
    </row>
    <row r="328" spans="2:16" s="9" customFormat="1" ht="35.1" customHeight="1" x14ac:dyDescent="0.25">
      <c r="B328" s="23" t="s">
        <v>401</v>
      </c>
      <c r="C328" s="11" t="s">
        <v>402</v>
      </c>
      <c r="D328" s="10" t="s">
        <v>269</v>
      </c>
      <c r="E328" s="12">
        <v>31</v>
      </c>
      <c r="F328" s="126">
        <v>50021</v>
      </c>
      <c r="G328" s="126">
        <f t="shared" si="38"/>
        <v>1550651</v>
      </c>
      <c r="H328" s="8"/>
      <c r="I328" s="9" t="str">
        <f t="array" ref="I328:L328">_xlfn.XLOOKUP(C328,'Neiva 2021 FASE I UNIFICADO'!$C$6:$C$540,'Neiva 2021 FASE I UNIFICADO'!$C$6:$F$540,"NO ESTA")</f>
        <v xml:space="preserve">SUMINISTRO E INSTALACIÓN SALIDA SANITARIA DIAMETRO 3 PULG                                                               </v>
      </c>
      <c r="J328" s="9" t="str">
        <v xml:space="preserve">ML   </v>
      </c>
      <c r="K328" s="9">
        <v>12</v>
      </c>
      <c r="L328" s="9">
        <v>46295</v>
      </c>
      <c r="M328" s="124" t="str">
        <f t="shared" ref="M328:M391" si="42">IF(L328=0,0,(IF(F328&lt;L328, "FASE I","FASE II")))</f>
        <v>FASE II</v>
      </c>
      <c r="N328" s="155">
        <f t="shared" si="39"/>
        <v>43</v>
      </c>
      <c r="O328" s="156">
        <f t="shared" si="40"/>
        <v>50021</v>
      </c>
      <c r="P328" s="156">
        <f t="shared" si="41"/>
        <v>2150903</v>
      </c>
    </row>
    <row r="329" spans="2:16" s="9" customFormat="1" ht="35.1" customHeight="1" x14ac:dyDescent="0.25">
      <c r="B329" s="23" t="s">
        <v>403</v>
      </c>
      <c r="C329" s="11" t="s">
        <v>404</v>
      </c>
      <c r="D329" s="10" t="s">
        <v>269</v>
      </c>
      <c r="E329" s="12">
        <v>23</v>
      </c>
      <c r="F329" s="126">
        <v>61472</v>
      </c>
      <c r="G329" s="126">
        <f t="shared" si="38"/>
        <v>1413856</v>
      </c>
      <c r="H329" s="8"/>
      <c r="I329" s="9" t="str">
        <f t="array" ref="I329:L329">_xlfn.XLOOKUP(C329,'Neiva 2021 FASE I UNIFICADO'!$C$6:$C$540,'Neiva 2021 FASE I UNIFICADO'!$C$6:$F$540,"NO ESTA")</f>
        <v xml:space="preserve">SUMINISTRO E INSTALACIÓN SALIDA SANITARIA DIAMETRO 4 PULG                                                               </v>
      </c>
      <c r="J329" s="9" t="str">
        <v xml:space="preserve">ML   </v>
      </c>
      <c r="K329" s="9">
        <v>8</v>
      </c>
      <c r="L329" s="9">
        <v>56892</v>
      </c>
      <c r="M329" s="124" t="str">
        <f t="shared" si="42"/>
        <v>FASE II</v>
      </c>
      <c r="N329" s="155">
        <f t="shared" si="39"/>
        <v>31</v>
      </c>
      <c r="O329" s="156">
        <f t="shared" si="40"/>
        <v>61472</v>
      </c>
      <c r="P329" s="156">
        <f t="shared" si="41"/>
        <v>1905632</v>
      </c>
    </row>
    <row r="330" spans="2:16" s="9" customFormat="1" ht="35.1" customHeight="1" x14ac:dyDescent="0.25">
      <c r="B330" s="23" t="s">
        <v>405</v>
      </c>
      <c r="C330" s="11" t="s">
        <v>406</v>
      </c>
      <c r="D330" s="10" t="s">
        <v>269</v>
      </c>
      <c r="E330" s="12">
        <v>0</v>
      </c>
      <c r="F330" s="126">
        <v>53541</v>
      </c>
      <c r="G330" s="126">
        <f t="shared" si="38"/>
        <v>0</v>
      </c>
      <c r="H330" s="8"/>
      <c r="I330" s="9" t="str">
        <f t="array" ref="I330:L330">_xlfn.XLOOKUP(C330,'Neiva 2021 FASE I UNIFICADO'!$C$6:$C$540,'Neiva 2021 FASE I UNIFICADO'!$C$6:$F$540,"NO ESTA")</f>
        <v xml:space="preserve">SUMINISTRO E INSTALACIÓN POLIETILENO PEAD PARA FILTRO 90 mm                                                                  </v>
      </c>
      <c r="J330" s="9" t="str">
        <v xml:space="preserve">ML   </v>
      </c>
      <c r="K330" s="9">
        <v>50</v>
      </c>
      <c r="L330" s="9">
        <v>49552</v>
      </c>
      <c r="M330" s="124" t="str">
        <f t="shared" si="42"/>
        <v>FASE II</v>
      </c>
      <c r="N330" s="155">
        <f t="shared" si="39"/>
        <v>50</v>
      </c>
      <c r="O330" s="156">
        <f t="shared" si="40"/>
        <v>53541</v>
      </c>
      <c r="P330" s="156">
        <f t="shared" si="41"/>
        <v>2677050</v>
      </c>
    </row>
    <row r="331" spans="2:16" s="9" customFormat="1" ht="35.1" customHeight="1" x14ac:dyDescent="0.25">
      <c r="B331" s="23" t="s">
        <v>407</v>
      </c>
      <c r="C331" s="11" t="s">
        <v>408</v>
      </c>
      <c r="D331" s="10" t="s">
        <v>269</v>
      </c>
      <c r="E331" s="12">
        <v>0</v>
      </c>
      <c r="F331" s="126">
        <v>27913</v>
      </c>
      <c r="G331" s="126">
        <f t="shared" si="38"/>
        <v>0</v>
      </c>
      <c r="H331" s="8"/>
      <c r="I331" s="9" t="str">
        <f t="array" ref="I331:L331">_xlfn.XLOOKUP(C331,'Neiva 2021 FASE I UNIFICADO'!$C$6:$C$540,'Neiva 2021 FASE I UNIFICADO'!$C$6:$F$540,"NO ESTA")</f>
        <v xml:space="preserve">SUMINISTRO E INSTALACIÓN TUBERIA PVC-ALC 90 mm                                                                  </v>
      </c>
      <c r="J331" s="9" t="str">
        <v xml:space="preserve">ML   </v>
      </c>
      <c r="K331" s="9">
        <v>30</v>
      </c>
      <c r="L331" s="9">
        <v>25833</v>
      </c>
      <c r="M331" s="124" t="str">
        <f t="shared" si="42"/>
        <v>FASE II</v>
      </c>
      <c r="N331" s="155">
        <f t="shared" si="39"/>
        <v>30</v>
      </c>
      <c r="O331" s="156">
        <f t="shared" si="40"/>
        <v>27913</v>
      </c>
      <c r="P331" s="156">
        <f t="shared" si="41"/>
        <v>837390</v>
      </c>
    </row>
    <row r="332" spans="2:16" s="9" customFormat="1" ht="35.1" customHeight="1" x14ac:dyDescent="0.25">
      <c r="B332" s="23" t="s">
        <v>409</v>
      </c>
      <c r="C332" s="11" t="s">
        <v>410</v>
      </c>
      <c r="D332" s="10" t="s">
        <v>269</v>
      </c>
      <c r="E332" s="12">
        <v>0</v>
      </c>
      <c r="F332" s="126">
        <v>34303</v>
      </c>
      <c r="G332" s="126">
        <f t="shared" si="38"/>
        <v>0</v>
      </c>
      <c r="H332" s="8"/>
      <c r="I332" s="9" t="str">
        <f t="array" ref="I332:L332">_xlfn.XLOOKUP(C332,'Neiva 2021 FASE I UNIFICADO'!$C$6:$C$540,'Neiva 2021 FASE I UNIFICADO'!$C$6:$F$540,"NO ESTA")</f>
        <v xml:space="preserve">SUMINISTRO E INSTALACIÓN TUBERIA PVC-ALC 110 mm                                                                 </v>
      </c>
      <c r="J332" s="9" t="str">
        <v xml:space="preserve">ML   </v>
      </c>
      <c r="K332" s="9">
        <v>15</v>
      </c>
      <c r="L332" s="9">
        <v>31747</v>
      </c>
      <c r="M332" s="124" t="str">
        <f t="shared" si="42"/>
        <v>FASE II</v>
      </c>
      <c r="N332" s="155">
        <f t="shared" si="39"/>
        <v>15</v>
      </c>
      <c r="O332" s="156">
        <f t="shared" si="40"/>
        <v>34303</v>
      </c>
      <c r="P332" s="156">
        <f t="shared" si="41"/>
        <v>514545</v>
      </c>
    </row>
    <row r="333" spans="2:16" s="9" customFormat="1" ht="35.1" customHeight="1" x14ac:dyDescent="0.25">
      <c r="B333" s="23" t="s">
        <v>411</v>
      </c>
      <c r="C333" s="11" t="s">
        <v>412</v>
      </c>
      <c r="D333" s="10" t="s">
        <v>269</v>
      </c>
      <c r="E333" s="12">
        <v>0</v>
      </c>
      <c r="F333" s="126">
        <v>45798</v>
      </c>
      <c r="G333" s="126">
        <f t="shared" si="38"/>
        <v>0</v>
      </c>
      <c r="H333" s="8"/>
      <c r="I333" s="9" t="str">
        <f t="array" ref="I333:L333">_xlfn.XLOOKUP(C333,'Neiva 2021 FASE I UNIFICADO'!$C$6:$C$540,'Neiva 2021 FASE I UNIFICADO'!$C$6:$F$540,"NO ESTA")</f>
        <v xml:space="preserve">SUMINISTRO E INSTALACIÓN TUBERIA PVC-ALC 160 mm                                                                 </v>
      </c>
      <c r="J333" s="9" t="str">
        <v xml:space="preserve">ML   </v>
      </c>
      <c r="K333" s="9">
        <v>70</v>
      </c>
      <c r="L333" s="9">
        <v>42386</v>
      </c>
      <c r="M333" s="124" t="str">
        <f t="shared" si="42"/>
        <v>FASE II</v>
      </c>
      <c r="N333" s="155">
        <f t="shared" si="39"/>
        <v>70</v>
      </c>
      <c r="O333" s="156">
        <f t="shared" si="40"/>
        <v>45798</v>
      </c>
      <c r="P333" s="156">
        <f t="shared" si="41"/>
        <v>3205860</v>
      </c>
    </row>
    <row r="334" spans="2:16" s="9" customFormat="1" ht="35.1" customHeight="1" x14ac:dyDescent="0.25">
      <c r="B334" s="23" t="s">
        <v>413</v>
      </c>
      <c r="C334" s="11" t="s">
        <v>414</v>
      </c>
      <c r="D334" s="10" t="s">
        <v>269</v>
      </c>
      <c r="E334" s="12">
        <v>0</v>
      </c>
      <c r="F334" s="126">
        <v>79901</v>
      </c>
      <c r="G334" s="126">
        <f t="shared" si="38"/>
        <v>0</v>
      </c>
      <c r="H334" s="8"/>
      <c r="I334" s="9" t="str">
        <f t="array" ref="I334:L334">_xlfn.XLOOKUP(C334,'Neiva 2021 FASE I UNIFICADO'!$C$6:$C$540,'Neiva 2021 FASE I UNIFICADO'!$C$6:$F$540,"NO ESTA")</f>
        <v xml:space="preserve">SUMINISTRO E INSTALACIÓN TUBERIA PVC-ALC 250mm                                                                   </v>
      </c>
      <c r="J334" s="9" t="str">
        <v xml:space="preserve">ML   </v>
      </c>
      <c r="K334" s="9">
        <v>20</v>
      </c>
      <c r="L334" s="9">
        <v>73947</v>
      </c>
      <c r="M334" s="124" t="str">
        <f t="shared" si="42"/>
        <v>FASE II</v>
      </c>
      <c r="N334" s="155">
        <f t="shared" si="39"/>
        <v>20</v>
      </c>
      <c r="O334" s="156">
        <f t="shared" si="40"/>
        <v>79901</v>
      </c>
      <c r="P334" s="156">
        <f t="shared" si="41"/>
        <v>1598020</v>
      </c>
    </row>
    <row r="335" spans="2:16" s="9" customFormat="1" ht="35.1" customHeight="1" x14ac:dyDescent="0.25">
      <c r="B335" s="23" t="s">
        <v>415</v>
      </c>
      <c r="C335" s="11" t="s">
        <v>358</v>
      </c>
      <c r="D335" s="10" t="s">
        <v>284</v>
      </c>
      <c r="E335" s="12">
        <v>0</v>
      </c>
      <c r="F335" s="126">
        <v>542308</v>
      </c>
      <c r="G335" s="126">
        <f t="shared" si="38"/>
        <v>0</v>
      </c>
      <c r="H335" s="8"/>
      <c r="I335" s="9" t="str">
        <f t="array" ref="I335:L335">_xlfn.XLOOKUP(C335,'Neiva 2021 FASE I UNIFICADO'!$C$6:$C$540,'Neiva 2021 FASE I UNIFICADO'!$C$6:$F$540,"NO ESTA")</f>
        <v xml:space="preserve">SUMINISTRO Y CONSTRUCCIÓN CAJA DE INSPECCIÓN 0.80mX0.80m H mäx:1.0m                                                                    </v>
      </c>
      <c r="J335" s="9" t="str">
        <v xml:space="preserve">UN   </v>
      </c>
      <c r="K335" s="9">
        <v>1</v>
      </c>
      <c r="L335" s="9">
        <v>501903</v>
      </c>
      <c r="M335" s="124" t="str">
        <f t="shared" si="42"/>
        <v>FASE II</v>
      </c>
      <c r="N335" s="155">
        <f t="shared" si="39"/>
        <v>1</v>
      </c>
      <c r="O335" s="156">
        <f t="shared" si="40"/>
        <v>542308</v>
      </c>
      <c r="P335" s="156">
        <f t="shared" si="41"/>
        <v>542308</v>
      </c>
    </row>
    <row r="336" spans="2:16" s="9" customFormat="1" ht="35.1" customHeight="1" x14ac:dyDescent="0.25">
      <c r="B336" s="47" t="s">
        <v>416</v>
      </c>
      <c r="C336" s="24" t="s">
        <v>417</v>
      </c>
      <c r="D336" s="24" t="s">
        <v>369</v>
      </c>
      <c r="E336" s="15"/>
      <c r="F336" s="126">
        <v>0</v>
      </c>
      <c r="G336" s="126">
        <f t="shared" si="38"/>
        <v>0</v>
      </c>
      <c r="H336" s="8"/>
      <c r="I336" s="9" t="str">
        <f t="array" ref="I336:L336">_xlfn.XLOOKUP(C336,'Neiva 2021 FASE I UNIFICADO'!$C$6:$C$540,'Neiva 2021 FASE I UNIFICADO'!$C$6:$F$540,"NO ESTA")</f>
        <v xml:space="preserve">EXCAVACIONES Y RELLENOS                                                                                       </v>
      </c>
      <c r="J336" s="9">
        <v>0</v>
      </c>
      <c r="K336" s="9">
        <v>0</v>
      </c>
      <c r="L336" s="9">
        <v>0</v>
      </c>
      <c r="M336" s="124">
        <f t="shared" si="42"/>
        <v>0</v>
      </c>
      <c r="N336" s="155">
        <f t="shared" si="39"/>
        <v>0</v>
      </c>
      <c r="O336" s="156">
        <f t="shared" si="40"/>
        <v>0</v>
      </c>
      <c r="P336" s="156">
        <f t="shared" si="41"/>
        <v>0</v>
      </c>
    </row>
    <row r="337" spans="2:16" s="9" customFormat="1" ht="35.1" customHeight="1" x14ac:dyDescent="0.25">
      <c r="B337" s="10" t="s">
        <v>418</v>
      </c>
      <c r="C337" s="11" t="s">
        <v>1222</v>
      </c>
      <c r="D337" s="10" t="s">
        <v>420</v>
      </c>
      <c r="E337" s="12">
        <v>0</v>
      </c>
      <c r="F337" s="126">
        <v>39971</v>
      </c>
      <c r="G337" s="126">
        <f t="shared" si="38"/>
        <v>0</v>
      </c>
      <c r="H337" s="8"/>
      <c r="I337" s="9" t="str">
        <f t="array" ref="I337">_xlfn.XLOOKUP(C337,'Neiva 2021 FASE I UNIFICADO'!$C$6:$C$540,'Neiva 2021 FASE I UNIFICADO'!$C$6:$F$540,"NO ESTA")</f>
        <v>NO ESTA</v>
      </c>
      <c r="M337" s="124">
        <f t="shared" si="42"/>
        <v>0</v>
      </c>
      <c r="N337" s="155">
        <f t="shared" si="39"/>
        <v>0</v>
      </c>
      <c r="O337" s="156">
        <f t="shared" si="40"/>
        <v>39971</v>
      </c>
      <c r="P337" s="156">
        <f t="shared" si="41"/>
        <v>0</v>
      </c>
    </row>
    <row r="338" spans="2:16" s="9" customFormat="1" ht="35.1" customHeight="1" x14ac:dyDescent="0.25">
      <c r="B338" s="10" t="s">
        <v>421</v>
      </c>
      <c r="C338" s="11" t="s">
        <v>422</v>
      </c>
      <c r="D338" s="10" t="s">
        <v>420</v>
      </c>
      <c r="E338" s="12">
        <v>0</v>
      </c>
      <c r="F338" s="126">
        <v>75587</v>
      </c>
      <c r="G338" s="126">
        <f t="shared" si="38"/>
        <v>0</v>
      </c>
      <c r="H338" s="8"/>
      <c r="I338" s="9" t="str">
        <f t="array" ref="I338:L338">_xlfn.XLOOKUP(C338,'Neiva 2021 FASE I UNIFICADO'!$C$6:$C$540,'Neiva 2021 FASE I UNIFICADO'!$C$6:$F$540,"NO ESTA")</f>
        <v xml:space="preserve">RELLENO EN ARENA INCLUYE TRANSPORTE Y COLOCACIÓN       </v>
      </c>
      <c r="J338" s="9" t="str">
        <v xml:space="preserve">M3   </v>
      </c>
      <c r="K338" s="9">
        <v>28</v>
      </c>
      <c r="L338" s="9">
        <v>69956</v>
      </c>
      <c r="M338" s="124" t="str">
        <f t="shared" si="42"/>
        <v>FASE II</v>
      </c>
      <c r="N338" s="155">
        <f t="shared" si="39"/>
        <v>28</v>
      </c>
      <c r="O338" s="156">
        <f t="shared" si="40"/>
        <v>75587</v>
      </c>
      <c r="P338" s="156">
        <f t="shared" si="41"/>
        <v>2116436</v>
      </c>
    </row>
    <row r="339" spans="2:16" s="9" customFormat="1" ht="35.1" customHeight="1" x14ac:dyDescent="0.25">
      <c r="B339" s="10" t="s">
        <v>423</v>
      </c>
      <c r="C339" s="11" t="s">
        <v>36</v>
      </c>
      <c r="D339" s="10" t="s">
        <v>420</v>
      </c>
      <c r="E339" s="12">
        <v>0</v>
      </c>
      <c r="F339" s="126">
        <v>62932</v>
      </c>
      <c r="G339" s="126">
        <f t="shared" si="38"/>
        <v>0</v>
      </c>
      <c r="H339" s="8"/>
      <c r="I339" s="9" t="str">
        <f t="array" ref="I339:L339">_xlfn.XLOOKUP(C339,'Neiva 2021 FASE I UNIFICADO'!$C$6:$C$540,'Neiva 2021 FASE I UNIFICADO'!$C$6:$F$540,"NO ESTA")</f>
        <v>RELLENO EN RECEBO COMÚN (Incluye Compactación)</v>
      </c>
      <c r="J339" s="9" t="str">
        <v>M3</v>
      </c>
      <c r="K339" s="9">
        <v>122.54</v>
      </c>
      <c r="L339" s="9">
        <v>58243</v>
      </c>
      <c r="M339" s="124" t="str">
        <f t="shared" si="42"/>
        <v>FASE II</v>
      </c>
      <c r="N339" s="155">
        <f t="shared" si="39"/>
        <v>122.54</v>
      </c>
      <c r="O339" s="156">
        <f t="shared" si="40"/>
        <v>62932</v>
      </c>
      <c r="P339" s="156">
        <f t="shared" si="41"/>
        <v>7711687.2800000003</v>
      </c>
    </row>
    <row r="340" spans="2:16" s="9" customFormat="1" ht="35.1" customHeight="1" x14ac:dyDescent="0.25">
      <c r="B340" s="10" t="s">
        <v>424</v>
      </c>
      <c r="C340" s="11" t="s">
        <v>425</v>
      </c>
      <c r="D340" s="10" t="s">
        <v>420</v>
      </c>
      <c r="E340" s="12">
        <v>0</v>
      </c>
      <c r="F340" s="126">
        <v>12500</v>
      </c>
      <c r="G340" s="126">
        <f t="shared" si="38"/>
        <v>0</v>
      </c>
      <c r="H340" s="8"/>
      <c r="I340" s="9" t="str">
        <f t="array" ref="I340:L340">_xlfn.XLOOKUP(C340,'Neiva 2021 FASE I UNIFICADO'!$C$6:$C$540,'Neiva 2021 FASE I UNIFICADO'!$C$6:$F$540,"NO ESTA")</f>
        <v>RELLENO EN MATERIAL COMÚN SELECCIONADO DE OBRA (Incluye Compactación)</v>
      </c>
      <c r="J340" s="9" t="str">
        <v xml:space="preserve">M3   </v>
      </c>
      <c r="K340" s="9">
        <v>37</v>
      </c>
      <c r="L340" s="9">
        <v>11569</v>
      </c>
      <c r="M340" s="124" t="str">
        <f t="shared" si="42"/>
        <v>FASE II</v>
      </c>
      <c r="N340" s="155">
        <f t="shared" si="39"/>
        <v>37</v>
      </c>
      <c r="O340" s="156">
        <f t="shared" si="40"/>
        <v>12500</v>
      </c>
      <c r="P340" s="156">
        <f t="shared" si="41"/>
        <v>462500</v>
      </c>
    </row>
    <row r="341" spans="2:16" s="9" customFormat="1" ht="35.1" customHeight="1" x14ac:dyDescent="0.25">
      <c r="B341" s="47" t="s">
        <v>426</v>
      </c>
      <c r="C341" s="24" t="s">
        <v>427</v>
      </c>
      <c r="D341" s="24" t="s">
        <v>369</v>
      </c>
      <c r="E341" s="15"/>
      <c r="F341" s="126">
        <v>0</v>
      </c>
      <c r="G341" s="126">
        <f t="shared" si="38"/>
        <v>0</v>
      </c>
      <c r="H341" s="8"/>
      <c r="I341" s="9" t="str">
        <f t="array" ref="I341:L341">_xlfn.XLOOKUP(C341,'Neiva 2021 FASE I UNIFICADO'!$C$6:$C$540,'Neiva 2021 FASE I UNIFICADO'!$C$6:$F$540,"NO ESTA")</f>
        <v xml:space="preserve">SUMINISTRO E INSTALACION DE EQUIPOS DE BOMBEO                                                                                             </v>
      </c>
      <c r="J341" s="9">
        <v>0</v>
      </c>
      <c r="K341" s="9">
        <v>0</v>
      </c>
      <c r="L341" s="9">
        <v>0</v>
      </c>
      <c r="M341" s="124">
        <f t="shared" si="42"/>
        <v>0</v>
      </c>
      <c r="N341" s="155">
        <f t="shared" si="39"/>
        <v>0</v>
      </c>
      <c r="O341" s="156">
        <f t="shared" si="40"/>
        <v>0</v>
      </c>
      <c r="P341" s="156">
        <f t="shared" si="41"/>
        <v>0</v>
      </c>
    </row>
    <row r="342" spans="2:16" s="9" customFormat="1" ht="35.1" customHeight="1" x14ac:dyDescent="0.25">
      <c r="B342" s="10" t="s">
        <v>428</v>
      </c>
      <c r="C342" s="11" t="s">
        <v>1223</v>
      </c>
      <c r="D342" s="10" t="s">
        <v>374</v>
      </c>
      <c r="E342" s="12">
        <v>0</v>
      </c>
      <c r="F342" s="126">
        <v>34968236</v>
      </c>
      <c r="G342" s="126">
        <f t="shared" si="38"/>
        <v>0</v>
      </c>
      <c r="H342" s="8"/>
      <c r="I342" s="9" t="str">
        <f t="array" ref="I342">_xlfn.XLOOKUP(C342,'Neiva 2021 FASE I UNIFICADO'!$C$6:$C$540,'Neiva 2021 FASE I UNIFICADO'!$C$6:$F$540,"NO ESTA")</f>
        <v>NO ESTA</v>
      </c>
      <c r="M342" s="124">
        <f t="shared" si="42"/>
        <v>0</v>
      </c>
      <c r="N342" s="155">
        <f t="shared" si="39"/>
        <v>0</v>
      </c>
      <c r="O342" s="156">
        <f t="shared" si="40"/>
        <v>34968236</v>
      </c>
      <c r="P342" s="156">
        <f t="shared" si="41"/>
        <v>0</v>
      </c>
    </row>
    <row r="343" spans="2:16" s="9" customFormat="1" ht="35.1" customHeight="1" x14ac:dyDescent="0.25">
      <c r="B343" s="10" t="s">
        <v>430</v>
      </c>
      <c r="C343" s="11" t="s">
        <v>1224</v>
      </c>
      <c r="D343" s="10" t="s">
        <v>374</v>
      </c>
      <c r="E343" s="12">
        <v>0</v>
      </c>
      <c r="F343" s="126">
        <v>95772561</v>
      </c>
      <c r="G343" s="126">
        <f t="shared" si="38"/>
        <v>0</v>
      </c>
      <c r="H343" s="8"/>
      <c r="I343" s="9" t="str">
        <f t="array" ref="I343">_xlfn.XLOOKUP(C343,'Neiva 2021 FASE I UNIFICADO'!$C$6:$C$540,'Neiva 2021 FASE I UNIFICADO'!$C$6:$F$540,"NO ESTA")</f>
        <v>NO ESTA</v>
      </c>
      <c r="M343" s="124">
        <f t="shared" si="42"/>
        <v>0</v>
      </c>
      <c r="N343" s="155">
        <f t="shared" si="39"/>
        <v>0</v>
      </c>
      <c r="O343" s="156">
        <f t="shared" si="40"/>
        <v>95772561</v>
      </c>
      <c r="P343" s="156">
        <f t="shared" si="41"/>
        <v>0</v>
      </c>
    </row>
    <row r="344" spans="2:16" s="9" customFormat="1" ht="35.1" customHeight="1" x14ac:dyDescent="0.25">
      <c r="B344" s="23" t="s">
        <v>432</v>
      </c>
      <c r="C344" s="11" t="s">
        <v>433</v>
      </c>
      <c r="D344" s="10" t="s">
        <v>374</v>
      </c>
      <c r="E344" s="12">
        <v>0</v>
      </c>
      <c r="F344" s="126">
        <v>14095722</v>
      </c>
      <c r="G344" s="126">
        <f t="shared" si="38"/>
        <v>0</v>
      </c>
      <c r="H344" s="8"/>
      <c r="I344" s="9" t="str">
        <f t="array" ref="I344:L344">_xlfn.XLOOKUP(C344,'Neiva 2021 FASE I UNIFICADO'!$C$6:$C$540,'Neiva 2021 FASE I UNIFICADO'!$C$6:$F$540,"NO ESTA")</f>
        <v xml:space="preserve">SUMINISTRO E INSTALACIÓN DE EQUIPO EYECTOR 2 BOMBAS 3HP C/U </v>
      </c>
      <c r="J344" s="9" t="str">
        <v>UN</v>
      </c>
      <c r="K344" s="9">
        <v>1</v>
      </c>
      <c r="L344" s="9">
        <v>13045522</v>
      </c>
      <c r="M344" s="124" t="str">
        <f t="shared" si="42"/>
        <v>FASE II</v>
      </c>
      <c r="N344" s="155">
        <f t="shared" si="39"/>
        <v>1</v>
      </c>
      <c r="O344" s="156">
        <f t="shared" si="40"/>
        <v>14095722</v>
      </c>
      <c r="P344" s="156">
        <f t="shared" si="41"/>
        <v>14095722</v>
      </c>
    </row>
    <row r="345" spans="2:16" s="9" customFormat="1" ht="35.1" customHeight="1" x14ac:dyDescent="0.25">
      <c r="B345" s="16">
        <v>13</v>
      </c>
      <c r="C345" s="17" t="s">
        <v>434</v>
      </c>
      <c r="D345" s="17"/>
      <c r="E345" s="18"/>
      <c r="F345" s="133"/>
      <c r="G345" s="143"/>
      <c r="H345" s="8"/>
      <c r="M345" s="124">
        <f t="shared" si="42"/>
        <v>0</v>
      </c>
      <c r="N345" s="155">
        <f t="shared" si="39"/>
        <v>0</v>
      </c>
      <c r="O345" s="156">
        <f t="shared" si="40"/>
        <v>0</v>
      </c>
      <c r="P345" s="156">
        <f t="shared" si="41"/>
        <v>0</v>
      </c>
    </row>
    <row r="346" spans="2:16" s="9" customFormat="1" ht="35.1" customHeight="1" x14ac:dyDescent="0.25">
      <c r="B346" s="50" t="s">
        <v>435</v>
      </c>
      <c r="C346" s="51" t="s">
        <v>436</v>
      </c>
      <c r="D346" s="51"/>
      <c r="E346" s="52"/>
      <c r="F346" s="129"/>
      <c r="G346" s="140"/>
      <c r="H346" s="8"/>
      <c r="M346" s="124">
        <f t="shared" si="42"/>
        <v>0</v>
      </c>
      <c r="N346" s="155">
        <f t="shared" si="39"/>
        <v>0</v>
      </c>
      <c r="O346" s="156">
        <f t="shared" si="40"/>
        <v>0</v>
      </c>
      <c r="P346" s="156">
        <f t="shared" si="41"/>
        <v>0</v>
      </c>
    </row>
    <row r="347" spans="2:16" s="9" customFormat="1" ht="35.1" customHeight="1" x14ac:dyDescent="0.25">
      <c r="B347" s="23" t="s">
        <v>437</v>
      </c>
      <c r="C347" s="22" t="s">
        <v>438</v>
      </c>
      <c r="D347" s="23" t="s">
        <v>269</v>
      </c>
      <c r="E347" s="12">
        <v>694</v>
      </c>
      <c r="F347" s="126">
        <v>24331</v>
      </c>
      <c r="G347" s="126">
        <f t="shared" ref="G347:G359" si="43">ROUND(+F347*E347,2)</f>
        <v>16885714</v>
      </c>
      <c r="H347" s="8">
        <f>ROUND(F347*(1+$H$3),0)</f>
        <v>47514</v>
      </c>
      <c r="I347" s="9" t="str">
        <f t="array" ref="I347:L347">_xlfn.XLOOKUP(C347,'Neiva 2021 FASE I UNIFICADO'!$C$6:$C$540,'Neiva 2021 FASE I UNIFICADO'!$C$6:$F$540,"NO ESTA")</f>
        <v xml:space="preserve">SUMINISTRO E INSTALACIÓN TUBERIA ACERO 1" SCH 40 INCLUYE. SOPORTES Y ADITAMENTOS                                 </v>
      </c>
      <c r="J347" s="9" t="str">
        <v xml:space="preserve">ML   </v>
      </c>
      <c r="K347" s="9">
        <v>257</v>
      </c>
      <c r="L347" s="9">
        <v>22518</v>
      </c>
      <c r="M347" s="124" t="str">
        <f t="shared" si="42"/>
        <v>FASE II</v>
      </c>
      <c r="N347" s="155">
        <f t="shared" si="39"/>
        <v>951</v>
      </c>
      <c r="O347" s="156">
        <f t="shared" si="40"/>
        <v>24331</v>
      </c>
      <c r="P347" s="156">
        <f t="shared" si="41"/>
        <v>23138781</v>
      </c>
    </row>
    <row r="348" spans="2:16" s="9" customFormat="1" ht="35.1" customHeight="1" x14ac:dyDescent="0.25">
      <c r="B348" s="23" t="s">
        <v>439</v>
      </c>
      <c r="C348" s="22" t="s">
        <v>440</v>
      </c>
      <c r="D348" s="23" t="s">
        <v>269</v>
      </c>
      <c r="E348" s="12">
        <v>350</v>
      </c>
      <c r="F348" s="126">
        <v>52113</v>
      </c>
      <c r="G348" s="126">
        <f t="shared" si="43"/>
        <v>18239550</v>
      </c>
      <c r="H348" s="8">
        <f t="shared" ref="H348:H357" si="44">ROUND(F348*(1+$H$3),0)</f>
        <v>101766</v>
      </c>
      <c r="I348" s="9" t="str">
        <f t="array" ref="I348:L348">_xlfn.XLOOKUP(C348,'Neiva 2021 FASE I UNIFICADO'!$C$6:$C$540,'Neiva 2021 FASE I UNIFICADO'!$C$6:$F$540,"NO ESTA")</f>
        <v xml:space="preserve">SUMINISTRO E INSTALACIÓN TUBERIA ACERO 2" SCH 40 INCLUYE. SOPORTES Y ADITAMENTOS                                 </v>
      </c>
      <c r="J348" s="9" t="str">
        <v xml:space="preserve">ML   </v>
      </c>
      <c r="K348" s="9">
        <v>129</v>
      </c>
      <c r="L348" s="9">
        <v>48230</v>
      </c>
      <c r="M348" s="124" t="str">
        <f t="shared" si="42"/>
        <v>FASE II</v>
      </c>
      <c r="N348" s="155">
        <f t="shared" si="39"/>
        <v>479</v>
      </c>
      <c r="O348" s="156">
        <f t="shared" si="40"/>
        <v>52113</v>
      </c>
      <c r="P348" s="156">
        <f t="shared" si="41"/>
        <v>24962127</v>
      </c>
    </row>
    <row r="349" spans="2:16" s="9" customFormat="1" ht="35.1" customHeight="1" x14ac:dyDescent="0.25">
      <c r="B349" s="23" t="s">
        <v>441</v>
      </c>
      <c r="C349" s="22" t="s">
        <v>442</v>
      </c>
      <c r="D349" s="23" t="s">
        <v>269</v>
      </c>
      <c r="E349" s="12">
        <v>301</v>
      </c>
      <c r="F349" s="126">
        <v>97096</v>
      </c>
      <c r="G349" s="126">
        <f t="shared" si="43"/>
        <v>29225896</v>
      </c>
      <c r="H349" s="8">
        <f t="shared" si="44"/>
        <v>189609</v>
      </c>
      <c r="I349" s="9" t="str">
        <f t="array" ref="I349:L349">_xlfn.XLOOKUP(C349,'Neiva 2021 FASE I UNIFICADO'!$C$6:$C$540,'Neiva 2021 FASE I UNIFICADO'!$C$6:$F$540,"NO ESTA")</f>
        <v xml:space="preserve">SUMINISTRO E INSTALACIÓN TUBERIA ACERO 3" SCH 40 INCLUYE. SOPORTES Y ADITAMENTOS                                 </v>
      </c>
      <c r="J349" s="9" t="str">
        <v xml:space="preserve">ML   </v>
      </c>
      <c r="K349" s="9">
        <v>112</v>
      </c>
      <c r="L349" s="9">
        <v>89862</v>
      </c>
      <c r="M349" s="124" t="str">
        <f t="shared" si="42"/>
        <v>FASE II</v>
      </c>
      <c r="N349" s="155">
        <f t="shared" si="39"/>
        <v>413</v>
      </c>
      <c r="O349" s="156">
        <f t="shared" si="40"/>
        <v>97096</v>
      </c>
      <c r="P349" s="156">
        <f t="shared" si="41"/>
        <v>40100648</v>
      </c>
    </row>
    <row r="350" spans="2:16" s="9" customFormat="1" ht="35.1" customHeight="1" x14ac:dyDescent="0.25">
      <c r="B350" s="23" t="s">
        <v>443</v>
      </c>
      <c r="C350" s="22" t="s">
        <v>444</v>
      </c>
      <c r="D350" s="23" t="s">
        <v>269</v>
      </c>
      <c r="E350" s="12">
        <v>44</v>
      </c>
      <c r="F350" s="126">
        <v>137013</v>
      </c>
      <c r="G350" s="126">
        <f t="shared" si="43"/>
        <v>6028572</v>
      </c>
      <c r="H350" s="8">
        <f t="shared" si="44"/>
        <v>267559</v>
      </c>
      <c r="I350" s="9" t="str">
        <f t="array" ref="I350:L350">_xlfn.XLOOKUP(C350,'Neiva 2021 FASE I UNIFICADO'!$C$6:$C$540,'Neiva 2021 FASE I UNIFICADO'!$C$6:$F$540,"NO ESTA")</f>
        <v xml:space="preserve">SUMINISTRO E INSTALACIÓN TUBERIA ACERO 4" SCH 40 INCLUYE. SOPORTES Y ADITAMENTOS                                 </v>
      </c>
      <c r="J350" s="9" t="str">
        <v xml:space="preserve">ML   </v>
      </c>
      <c r="K350" s="9">
        <v>16</v>
      </c>
      <c r="L350" s="9">
        <v>126806</v>
      </c>
      <c r="M350" s="124" t="str">
        <f t="shared" si="42"/>
        <v>FASE II</v>
      </c>
      <c r="N350" s="155">
        <f t="shared" si="39"/>
        <v>60</v>
      </c>
      <c r="O350" s="156">
        <f t="shared" si="40"/>
        <v>137013</v>
      </c>
      <c r="P350" s="156">
        <f t="shared" si="41"/>
        <v>8220780</v>
      </c>
    </row>
    <row r="351" spans="2:16" s="9" customFormat="1" ht="35.1" customHeight="1" x14ac:dyDescent="0.25">
      <c r="B351" s="23" t="s">
        <v>445</v>
      </c>
      <c r="C351" s="22" t="s">
        <v>446</v>
      </c>
      <c r="D351" s="23" t="s">
        <v>284</v>
      </c>
      <c r="E351" s="12">
        <v>256</v>
      </c>
      <c r="F351" s="126">
        <v>8196</v>
      </c>
      <c r="G351" s="126">
        <f t="shared" si="43"/>
        <v>2098176</v>
      </c>
      <c r="H351" s="8">
        <f t="shared" si="44"/>
        <v>16005</v>
      </c>
      <c r="I351" s="9" t="str">
        <f t="array" ref="I351:L351">_xlfn.XLOOKUP(C351,'Neiva 2021 FASE I UNIFICADO'!$C$6:$C$540,'Neiva 2021 FASE I UNIFICADO'!$C$6:$F$540,"NO ESTA")</f>
        <v xml:space="preserve">SUMINISTRO E INSTALACIÓN ACCESORIOS ACERO NEGRO 1"                                                       </v>
      </c>
      <c r="J351" s="9" t="str">
        <v xml:space="preserve">UN   </v>
      </c>
      <c r="K351" s="9">
        <v>95</v>
      </c>
      <c r="L351" s="9">
        <v>7586</v>
      </c>
      <c r="M351" s="124" t="str">
        <f t="shared" si="42"/>
        <v>FASE II</v>
      </c>
      <c r="N351" s="155">
        <f t="shared" si="39"/>
        <v>351</v>
      </c>
      <c r="O351" s="156">
        <f t="shared" si="40"/>
        <v>8196</v>
      </c>
      <c r="P351" s="156">
        <f t="shared" si="41"/>
        <v>2876796</v>
      </c>
    </row>
    <row r="352" spans="2:16" s="9" customFormat="1" ht="35.1" customHeight="1" x14ac:dyDescent="0.25">
      <c r="B352" s="23" t="s">
        <v>447</v>
      </c>
      <c r="C352" s="22" t="s">
        <v>448</v>
      </c>
      <c r="D352" s="23" t="s">
        <v>284</v>
      </c>
      <c r="E352" s="12">
        <v>95</v>
      </c>
      <c r="F352" s="126">
        <v>17833</v>
      </c>
      <c r="G352" s="126">
        <f t="shared" si="43"/>
        <v>1694135</v>
      </c>
      <c r="H352" s="8">
        <f t="shared" si="44"/>
        <v>34824</v>
      </c>
      <c r="I352" s="9" t="str">
        <f t="array" ref="I352:L352">_xlfn.XLOOKUP(C352,'Neiva 2021 FASE I UNIFICADO'!$C$6:$C$540,'Neiva 2021 FASE I UNIFICADO'!$C$6:$F$540,"NO ESTA")</f>
        <v xml:space="preserve">SUMINISTRO E INSTALACIÓN ACCESORIOS ACERO NEGRO 2"                                                       </v>
      </c>
      <c r="J352" s="9" t="str">
        <v xml:space="preserve">UN   </v>
      </c>
      <c r="K352" s="9">
        <v>35</v>
      </c>
      <c r="L352" s="9">
        <v>16504</v>
      </c>
      <c r="M352" s="124" t="str">
        <f t="shared" si="42"/>
        <v>FASE II</v>
      </c>
      <c r="N352" s="155">
        <f t="shared" si="39"/>
        <v>130</v>
      </c>
      <c r="O352" s="156">
        <f t="shared" si="40"/>
        <v>17833</v>
      </c>
      <c r="P352" s="156">
        <f t="shared" si="41"/>
        <v>2318290</v>
      </c>
    </row>
    <row r="353" spans="2:16" s="9" customFormat="1" ht="35.1" customHeight="1" x14ac:dyDescent="0.25">
      <c r="B353" s="23" t="s">
        <v>449</v>
      </c>
      <c r="C353" s="22" t="s">
        <v>450</v>
      </c>
      <c r="D353" s="23" t="s">
        <v>284</v>
      </c>
      <c r="E353" s="12">
        <v>128</v>
      </c>
      <c r="F353" s="126">
        <v>27612</v>
      </c>
      <c r="G353" s="126">
        <f t="shared" si="43"/>
        <v>3534336</v>
      </c>
      <c r="H353" s="8">
        <f t="shared" si="44"/>
        <v>53921</v>
      </c>
      <c r="I353" s="9" t="str">
        <f t="array" ref="I353:L353">_xlfn.XLOOKUP(C353,'Neiva 2021 FASE I UNIFICADO'!$C$6:$C$540,'Neiva 2021 FASE I UNIFICADO'!$C$6:$F$540,"NO ESTA")</f>
        <v xml:space="preserve">SUMINISTRO E INSTALACIÓN ACCESORIOS ACERO NEGRO 3"                                                       </v>
      </c>
      <c r="J353" s="9" t="str">
        <v xml:space="preserve">UN   </v>
      </c>
      <c r="K353" s="9">
        <v>48</v>
      </c>
      <c r="L353" s="9">
        <v>25555</v>
      </c>
      <c r="M353" s="124" t="str">
        <f t="shared" si="42"/>
        <v>FASE II</v>
      </c>
      <c r="N353" s="155">
        <f t="shared" si="39"/>
        <v>176</v>
      </c>
      <c r="O353" s="156">
        <f t="shared" si="40"/>
        <v>27612</v>
      </c>
      <c r="P353" s="156">
        <f t="shared" si="41"/>
        <v>4859712</v>
      </c>
    </row>
    <row r="354" spans="2:16" s="9" customFormat="1" ht="35.1" customHeight="1" x14ac:dyDescent="0.25">
      <c r="B354" s="23" t="s">
        <v>451</v>
      </c>
      <c r="C354" s="22" t="s">
        <v>452</v>
      </c>
      <c r="D354" s="23" t="s">
        <v>284</v>
      </c>
      <c r="E354" s="12">
        <v>19</v>
      </c>
      <c r="F354" s="126">
        <v>43148</v>
      </c>
      <c r="G354" s="126">
        <f t="shared" si="43"/>
        <v>819812</v>
      </c>
      <c r="H354" s="8">
        <f t="shared" si="44"/>
        <v>84259</v>
      </c>
      <c r="I354" s="9" t="str">
        <f t="array" ref="I354:L354">_xlfn.XLOOKUP(C354,'Neiva 2021 FASE I UNIFICADO'!$C$6:$C$540,'Neiva 2021 FASE I UNIFICADO'!$C$6:$F$540,"NO ESTA")</f>
        <v xml:space="preserve">SUMINISTRO E INSTALACIÓN ACCESORIOS ACERO NEGRO 4"                                                       </v>
      </c>
      <c r="J354" s="9" t="str">
        <v xml:space="preserve">UN   </v>
      </c>
      <c r="K354" s="9">
        <v>7</v>
      </c>
      <c r="L354" s="9">
        <v>39933</v>
      </c>
      <c r="M354" s="124" t="str">
        <f t="shared" si="42"/>
        <v>FASE II</v>
      </c>
      <c r="N354" s="155">
        <f t="shared" si="39"/>
        <v>26</v>
      </c>
      <c r="O354" s="156">
        <f t="shared" si="40"/>
        <v>43148</v>
      </c>
      <c r="P354" s="156">
        <f t="shared" si="41"/>
        <v>1121848</v>
      </c>
    </row>
    <row r="355" spans="2:16" s="9" customFormat="1" ht="35.1" customHeight="1" x14ac:dyDescent="0.25">
      <c r="B355" s="23" t="s">
        <v>453</v>
      </c>
      <c r="C355" s="22" t="s">
        <v>454</v>
      </c>
      <c r="D355" s="23" t="s">
        <v>284</v>
      </c>
      <c r="E355" s="12">
        <v>55</v>
      </c>
      <c r="F355" s="126">
        <v>8320</v>
      </c>
      <c r="G355" s="126">
        <f t="shared" si="43"/>
        <v>457600</v>
      </c>
      <c r="H355" s="8">
        <f t="shared" si="44"/>
        <v>16247</v>
      </c>
      <c r="I355" s="9" t="str">
        <f t="array" ref="I355:L355">_xlfn.XLOOKUP(C355,'Neiva 2021 FASE I UNIFICADO'!$C$6:$C$540,'Neiva 2021 FASE I UNIFICADO'!$C$6:$F$540,"NO ESTA")</f>
        <v xml:space="preserve">SUMINISTRO E INSTALACIÓN ACOPLES HIERRO FUNDIDO DIAMETRO 2"                                                      </v>
      </c>
      <c r="J355" s="9" t="str">
        <v xml:space="preserve">UN   </v>
      </c>
      <c r="K355" s="9">
        <v>21</v>
      </c>
      <c r="L355" s="9">
        <v>7700</v>
      </c>
      <c r="M355" s="124" t="str">
        <f t="shared" si="42"/>
        <v>FASE II</v>
      </c>
      <c r="N355" s="155">
        <f t="shared" si="39"/>
        <v>76</v>
      </c>
      <c r="O355" s="156">
        <f t="shared" si="40"/>
        <v>8320</v>
      </c>
      <c r="P355" s="156">
        <f t="shared" si="41"/>
        <v>632320</v>
      </c>
    </row>
    <row r="356" spans="2:16" s="9" customFormat="1" ht="35.1" customHeight="1" x14ac:dyDescent="0.25">
      <c r="B356" s="23" t="s">
        <v>455</v>
      </c>
      <c r="C356" s="22" t="s">
        <v>456</v>
      </c>
      <c r="D356" s="23" t="s">
        <v>284</v>
      </c>
      <c r="E356" s="12">
        <v>58</v>
      </c>
      <c r="F356" s="126">
        <v>11043</v>
      </c>
      <c r="G356" s="126">
        <f t="shared" si="43"/>
        <v>640494</v>
      </c>
      <c r="H356" s="8">
        <f t="shared" si="44"/>
        <v>21565</v>
      </c>
      <c r="I356" s="9" t="str">
        <f t="array" ref="I356:L356">_xlfn.XLOOKUP(C356,'Neiva 2021 FASE I UNIFICADO'!$C$6:$C$540,'Neiva 2021 FASE I UNIFICADO'!$C$6:$F$540,"NO ESTA")</f>
        <v xml:space="preserve">SUMINISTRO E INSTALACIÓN ACOPLES HIERRO FUNDIDO DIAMETRO 3"                                                       </v>
      </c>
      <c r="J356" s="9" t="str">
        <v xml:space="preserve">UN   </v>
      </c>
      <c r="K356" s="9">
        <v>22</v>
      </c>
      <c r="L356" s="9">
        <v>10220</v>
      </c>
      <c r="M356" s="124" t="str">
        <f t="shared" si="42"/>
        <v>FASE II</v>
      </c>
      <c r="N356" s="155">
        <f t="shared" si="39"/>
        <v>80</v>
      </c>
      <c r="O356" s="156">
        <f t="shared" si="40"/>
        <v>11043</v>
      </c>
      <c r="P356" s="156">
        <f t="shared" si="41"/>
        <v>883440</v>
      </c>
    </row>
    <row r="357" spans="2:16" s="9" customFormat="1" ht="35.1" customHeight="1" x14ac:dyDescent="0.25">
      <c r="B357" s="23" t="s">
        <v>457</v>
      </c>
      <c r="C357" s="22" t="s">
        <v>458</v>
      </c>
      <c r="D357" s="23" t="s">
        <v>284</v>
      </c>
      <c r="E357" s="12">
        <v>9</v>
      </c>
      <c r="F357" s="126">
        <v>13663</v>
      </c>
      <c r="G357" s="126">
        <f t="shared" si="43"/>
        <v>122967</v>
      </c>
      <c r="H357" s="8">
        <f t="shared" si="44"/>
        <v>26681</v>
      </c>
      <c r="I357" s="9" t="str">
        <f t="array" ref="I357:L357">_xlfn.XLOOKUP(C357,'Neiva 2021 FASE I UNIFICADO'!$C$6:$C$540,'Neiva 2021 FASE I UNIFICADO'!$C$6:$F$540,"NO ESTA")</f>
        <v xml:space="preserve">SUMINISTRO E INSTALACIÓN ACOPLES HIERRO FUNDIDO DIAMETRO 4"                                                       </v>
      </c>
      <c r="J357" s="9" t="str">
        <v xml:space="preserve">UN   </v>
      </c>
      <c r="K357" s="9">
        <v>3</v>
      </c>
      <c r="L357" s="9">
        <v>12644</v>
      </c>
      <c r="M357" s="124" t="str">
        <f t="shared" si="42"/>
        <v>FASE II</v>
      </c>
      <c r="N357" s="155">
        <f t="shared" si="39"/>
        <v>12</v>
      </c>
      <c r="O357" s="156">
        <f t="shared" si="40"/>
        <v>13663</v>
      </c>
      <c r="P357" s="156">
        <f t="shared" si="41"/>
        <v>163956</v>
      </c>
    </row>
    <row r="358" spans="2:16" s="9" customFormat="1" ht="35.1" customHeight="1" x14ac:dyDescent="0.25">
      <c r="B358" s="23" t="s">
        <v>459</v>
      </c>
      <c r="C358" s="22" t="s">
        <v>460</v>
      </c>
      <c r="D358" s="23" t="s">
        <v>269</v>
      </c>
      <c r="E358" s="12">
        <v>602</v>
      </c>
      <c r="F358" s="126">
        <v>5888</v>
      </c>
      <c r="G358" s="126">
        <f t="shared" si="43"/>
        <v>3544576</v>
      </c>
      <c r="H358" s="8"/>
      <c r="I358" s="9" t="str">
        <f t="array" ref="I358:L358">_xlfn.XLOOKUP(C358,'Neiva 2021 FASE I UNIFICADO'!$C$6:$C$540,'Neiva 2021 FASE I UNIFICADO'!$C$6:$F$540,"NO ESTA")</f>
        <v xml:space="preserve">SUMINISTRO Y APLICACIÓN PINTURA RED DE INCENDIO DIAMETRO DE 1" A 2"                                                              </v>
      </c>
      <c r="J358" s="9" t="str">
        <v xml:space="preserve">ML   </v>
      </c>
      <c r="K358" s="9">
        <v>222</v>
      </c>
      <c r="L358" s="9">
        <v>5448</v>
      </c>
      <c r="M358" s="124" t="str">
        <f t="shared" si="42"/>
        <v>FASE II</v>
      </c>
      <c r="N358" s="155">
        <f t="shared" si="39"/>
        <v>824</v>
      </c>
      <c r="O358" s="156">
        <f t="shared" si="40"/>
        <v>5888</v>
      </c>
      <c r="P358" s="156">
        <f t="shared" si="41"/>
        <v>4851712</v>
      </c>
    </row>
    <row r="359" spans="2:16" s="9" customFormat="1" ht="35.1" customHeight="1" x14ac:dyDescent="0.25">
      <c r="B359" s="23" t="s">
        <v>461</v>
      </c>
      <c r="C359" s="22" t="s">
        <v>462</v>
      </c>
      <c r="D359" s="23" t="s">
        <v>269</v>
      </c>
      <c r="E359" s="12">
        <v>107</v>
      </c>
      <c r="F359" s="126">
        <v>10014</v>
      </c>
      <c r="G359" s="126">
        <f t="shared" si="43"/>
        <v>1071498</v>
      </c>
      <c r="H359" s="8"/>
      <c r="I359" s="9" t="str">
        <f t="array" ref="I359:L359">_xlfn.XLOOKUP(C359,'Neiva 2021 FASE I UNIFICADO'!$C$6:$C$540,'Neiva 2021 FASE I UNIFICADO'!$C$6:$F$540,"NO ESTA")</f>
        <v xml:space="preserve">SUMINISTRO Y APLICACIÓN PINTURA RED DE INCENDIO DIAMETRO DE  2 1/2" A 4"                                                          </v>
      </c>
      <c r="J359" s="9" t="str">
        <v xml:space="preserve">ML   </v>
      </c>
      <c r="K359" s="9">
        <v>40</v>
      </c>
      <c r="L359" s="9">
        <v>9269</v>
      </c>
      <c r="M359" s="124" t="str">
        <f t="shared" si="42"/>
        <v>FASE II</v>
      </c>
      <c r="N359" s="155">
        <f t="shared" si="39"/>
        <v>147</v>
      </c>
      <c r="O359" s="156">
        <f t="shared" si="40"/>
        <v>10014</v>
      </c>
      <c r="P359" s="156">
        <f t="shared" si="41"/>
        <v>1472058</v>
      </c>
    </row>
    <row r="360" spans="2:16" s="9" customFormat="1" ht="35.1" customHeight="1" x14ac:dyDescent="0.25">
      <c r="B360" s="50" t="s">
        <v>463</v>
      </c>
      <c r="C360" s="51" t="s">
        <v>464</v>
      </c>
      <c r="D360" s="51"/>
      <c r="E360" s="52"/>
      <c r="F360" s="129"/>
      <c r="G360" s="140"/>
      <c r="H360" s="8"/>
      <c r="I360" s="9" t="str">
        <f t="array" ref="I360:L360">_xlfn.XLOOKUP(C360,'Neiva 2021 FASE I UNIFICADO'!$C$6:$C$540,'Neiva 2021 FASE I UNIFICADO'!$C$6:$F$540,"NO ESTA")</f>
        <v>SUMINISTRO E INSTALACION ELEMENTOS RED CONTRA INCENDIO</v>
      </c>
      <c r="J360" s="9">
        <v>0</v>
      </c>
      <c r="K360" s="9">
        <v>0</v>
      </c>
      <c r="L360" s="9">
        <v>0</v>
      </c>
      <c r="M360" s="124">
        <f t="shared" si="42"/>
        <v>0</v>
      </c>
      <c r="N360" s="155">
        <f t="shared" si="39"/>
        <v>0</v>
      </c>
      <c r="O360" s="156">
        <f t="shared" si="40"/>
        <v>0</v>
      </c>
      <c r="P360" s="156">
        <f t="shared" si="41"/>
        <v>0</v>
      </c>
    </row>
    <row r="361" spans="2:16" s="9" customFormat="1" ht="35.1" customHeight="1" x14ac:dyDescent="0.25">
      <c r="B361" s="23" t="s">
        <v>465</v>
      </c>
      <c r="C361" s="22" t="s">
        <v>466</v>
      </c>
      <c r="D361" s="23" t="s">
        <v>284</v>
      </c>
      <c r="E361" s="12">
        <v>276</v>
      </c>
      <c r="F361" s="126">
        <v>59366</v>
      </c>
      <c r="G361" s="126">
        <f t="shared" ref="G361:G375" si="45">ROUND(+F361*E361,2)</f>
        <v>16385016</v>
      </c>
      <c r="H361" s="8"/>
      <c r="I361" s="9" t="str">
        <f t="array" ref="I361:L361">_xlfn.XLOOKUP(C361,'Neiva 2021 FASE I UNIFICADO'!$C$6:$C$540,'Neiva 2021 FASE I UNIFICADO'!$C$6:$F$540,"NO ESTA")</f>
        <v xml:space="preserve">SUMINISTRO E INSTALACIÓN ROCIADOR PENDENT K:5.6                                                          </v>
      </c>
      <c r="J361" s="9" t="str">
        <v xml:space="preserve">UN   </v>
      </c>
      <c r="K361" s="9">
        <v>102</v>
      </c>
      <c r="L361" s="9">
        <v>54943</v>
      </c>
      <c r="M361" s="124" t="str">
        <f t="shared" si="42"/>
        <v>FASE II</v>
      </c>
      <c r="N361" s="155">
        <f t="shared" si="39"/>
        <v>378</v>
      </c>
      <c r="O361" s="156">
        <f t="shared" si="40"/>
        <v>59366</v>
      </c>
      <c r="P361" s="156">
        <f t="shared" si="41"/>
        <v>22440348</v>
      </c>
    </row>
    <row r="362" spans="2:16" s="9" customFormat="1" ht="35.1" customHeight="1" x14ac:dyDescent="0.25">
      <c r="B362" s="23" t="s">
        <v>467</v>
      </c>
      <c r="C362" s="22" t="s">
        <v>468</v>
      </c>
      <c r="D362" s="23" t="s">
        <v>284</v>
      </c>
      <c r="E362" s="12">
        <v>38</v>
      </c>
      <c r="F362" s="126">
        <v>38899</v>
      </c>
      <c r="G362" s="126">
        <f t="shared" si="45"/>
        <v>1478162</v>
      </c>
      <c r="H362" s="8"/>
      <c r="I362" s="9" t="str">
        <f t="array" ref="I362:L362">_xlfn.XLOOKUP(C362,'Neiva 2021 FASE I UNIFICADO'!$C$6:$C$540,'Neiva 2021 FASE I UNIFICADO'!$C$6:$F$540,"NO ESTA")</f>
        <v xml:space="preserve">SUMINISTRO E INSTALACIÓN ROCIADOR MONTANTE K:5.6                                                          </v>
      </c>
      <c r="J362" s="9" t="str">
        <v xml:space="preserve">UN   </v>
      </c>
      <c r="K362" s="9">
        <v>14</v>
      </c>
      <c r="L362" s="9">
        <v>36002</v>
      </c>
      <c r="M362" s="124" t="str">
        <f t="shared" si="42"/>
        <v>FASE II</v>
      </c>
      <c r="N362" s="155">
        <f t="shared" si="39"/>
        <v>52</v>
      </c>
      <c r="O362" s="156">
        <f t="shared" si="40"/>
        <v>38899</v>
      </c>
      <c r="P362" s="156">
        <f t="shared" si="41"/>
        <v>2022748</v>
      </c>
    </row>
    <row r="363" spans="2:16" s="9" customFormat="1" ht="35.1" customHeight="1" x14ac:dyDescent="0.25">
      <c r="B363" s="23" t="s">
        <v>469</v>
      </c>
      <c r="C363" s="22" t="s">
        <v>470</v>
      </c>
      <c r="D363" s="23" t="s">
        <v>284</v>
      </c>
      <c r="E363" s="12">
        <v>27</v>
      </c>
      <c r="F363" s="126">
        <v>128366</v>
      </c>
      <c r="G363" s="126">
        <f t="shared" si="45"/>
        <v>3465882</v>
      </c>
      <c r="H363" s="8"/>
      <c r="I363" s="9" t="str">
        <f t="array" ref="I363:L363">_xlfn.XLOOKUP(C363,'Neiva 2021 FASE I UNIFICADO'!$C$6:$C$540,'Neiva 2021 FASE I UNIFICADO'!$C$6:$F$540,"NO ESTA")</f>
        <v xml:space="preserve">SUMINISTRO E INSTALACIÓN ROCIADOR PENDENT K:11.2                                                          </v>
      </c>
      <c r="J363" s="9" t="str">
        <v xml:space="preserve">UN   </v>
      </c>
      <c r="K363" s="9">
        <v>10</v>
      </c>
      <c r="L363" s="9">
        <v>118801</v>
      </c>
      <c r="M363" s="124" t="str">
        <f t="shared" si="42"/>
        <v>FASE II</v>
      </c>
      <c r="N363" s="155">
        <f t="shared" si="39"/>
        <v>37</v>
      </c>
      <c r="O363" s="156">
        <f t="shared" si="40"/>
        <v>128366</v>
      </c>
      <c r="P363" s="156">
        <f t="shared" si="41"/>
        <v>4749542</v>
      </c>
    </row>
    <row r="364" spans="2:16" s="9" customFormat="1" ht="35.1" customHeight="1" x14ac:dyDescent="0.25">
      <c r="B364" s="23" t="s">
        <v>471</v>
      </c>
      <c r="C364" s="22" t="s">
        <v>472</v>
      </c>
      <c r="D364" s="23" t="s">
        <v>284</v>
      </c>
      <c r="E364" s="12">
        <v>341</v>
      </c>
      <c r="F364" s="126">
        <v>46856</v>
      </c>
      <c r="G364" s="126">
        <f t="shared" si="45"/>
        <v>15977896</v>
      </c>
      <c r="H364" s="8"/>
      <c r="I364" s="9" t="str">
        <f t="array" ref="I364:L364">_xlfn.XLOOKUP(C364,'Neiva 2021 FASE I UNIFICADO'!$C$6:$C$540,'Neiva 2021 FASE I UNIFICADO'!$C$6:$F$540,"NO ESTA")</f>
        <v xml:space="preserve">SUMINISTRO E INSTALACIÓN PUNTO HIDRÁULICO PARA ROCIADOR                                                  </v>
      </c>
      <c r="J364" s="9" t="str">
        <v xml:space="preserve">UN   </v>
      </c>
      <c r="K364" s="9">
        <v>126</v>
      </c>
      <c r="L364" s="9">
        <v>43364</v>
      </c>
      <c r="M364" s="124" t="str">
        <f t="shared" si="42"/>
        <v>FASE II</v>
      </c>
      <c r="N364" s="155">
        <f t="shared" si="39"/>
        <v>467</v>
      </c>
      <c r="O364" s="156">
        <f t="shared" si="40"/>
        <v>46856</v>
      </c>
      <c r="P364" s="156">
        <f t="shared" si="41"/>
        <v>21881752</v>
      </c>
    </row>
    <row r="365" spans="2:16" s="9" customFormat="1" ht="35.1" customHeight="1" x14ac:dyDescent="0.25">
      <c r="B365" s="23" t="s">
        <v>473</v>
      </c>
      <c r="C365" s="22" t="s">
        <v>474</v>
      </c>
      <c r="D365" s="23" t="s">
        <v>284</v>
      </c>
      <c r="E365" s="12">
        <v>2</v>
      </c>
      <c r="F365" s="126">
        <v>4184551</v>
      </c>
      <c r="G365" s="126">
        <f t="shared" si="45"/>
        <v>8369102</v>
      </c>
      <c r="H365" s="8"/>
      <c r="I365" s="9" t="str">
        <f t="array" ref="I365:L365">_xlfn.XLOOKUP(C365,'Neiva 2021 FASE I UNIFICADO'!$C$6:$C$540,'Neiva 2021 FASE I UNIFICADO'!$C$6:$F$540,"NO ESTA")</f>
        <v xml:space="preserve">SUMINISTRO E INSTALACIÓN ESTACIÓN DE CONTROL, PRUEBA Y DRENAJE 3"                                        </v>
      </c>
      <c r="J365" s="9" t="str">
        <v xml:space="preserve">UN   </v>
      </c>
      <c r="K365" s="9">
        <v>3</v>
      </c>
      <c r="L365" s="9">
        <v>3872781</v>
      </c>
      <c r="M365" s="124" t="str">
        <f t="shared" si="42"/>
        <v>FASE II</v>
      </c>
      <c r="N365" s="155">
        <f t="shared" si="39"/>
        <v>5</v>
      </c>
      <c r="O365" s="156">
        <f t="shared" si="40"/>
        <v>4184551</v>
      </c>
      <c r="P365" s="156">
        <f t="shared" si="41"/>
        <v>20922755</v>
      </c>
    </row>
    <row r="366" spans="2:16" s="9" customFormat="1" ht="35.1" customHeight="1" x14ac:dyDescent="0.25">
      <c r="B366" s="23" t="s">
        <v>475</v>
      </c>
      <c r="C366" s="22" t="s">
        <v>476</v>
      </c>
      <c r="D366" s="23" t="s">
        <v>284</v>
      </c>
      <c r="E366" s="12">
        <v>7</v>
      </c>
      <c r="F366" s="126">
        <v>80107</v>
      </c>
      <c r="G366" s="126">
        <f t="shared" si="45"/>
        <v>560749</v>
      </c>
      <c r="H366" s="8"/>
      <c r="I366" s="9" t="str">
        <f t="array" ref="I366:L366">_xlfn.XLOOKUP(C366,'Neiva 2021 FASE I UNIFICADO'!$C$6:$C$540,'Neiva 2021 FASE I UNIFICADO'!$C$6:$F$540,"NO ESTA")</f>
        <v xml:space="preserve">SUMINISTRO E INSTALACIÓN VÁLVULA TOMA Y DESC. AIRE 1" INCENDIO                                           </v>
      </c>
      <c r="J366" s="9" t="str">
        <v xml:space="preserve">UN   </v>
      </c>
      <c r="K366" s="9">
        <v>3</v>
      </c>
      <c r="L366" s="9">
        <v>74140</v>
      </c>
      <c r="M366" s="124" t="str">
        <f t="shared" si="42"/>
        <v>FASE II</v>
      </c>
      <c r="N366" s="155">
        <f t="shared" si="39"/>
        <v>10</v>
      </c>
      <c r="O366" s="156">
        <f t="shared" si="40"/>
        <v>80107</v>
      </c>
      <c r="P366" s="156">
        <f t="shared" si="41"/>
        <v>801070</v>
      </c>
    </row>
    <row r="367" spans="2:16" s="9" customFormat="1" ht="35.1" customHeight="1" x14ac:dyDescent="0.25">
      <c r="B367" s="23" t="s">
        <v>477</v>
      </c>
      <c r="C367" s="22" t="s">
        <v>478</v>
      </c>
      <c r="D367" s="23" t="s">
        <v>284</v>
      </c>
      <c r="E367" s="12">
        <v>1</v>
      </c>
      <c r="F367" s="126">
        <v>1486386</v>
      </c>
      <c r="G367" s="126">
        <f t="shared" si="45"/>
        <v>1486386</v>
      </c>
      <c r="H367" s="8"/>
      <c r="I367" s="9" t="str">
        <f t="array" ref="I367:L367">_xlfn.XLOOKUP(C367,'Neiva 2021 FASE I UNIFICADO'!$C$6:$C$540,'Neiva 2021 FASE I UNIFICADO'!$C$6:$F$540,"NO ESTA")</f>
        <v xml:space="preserve">SUMINISTRO E INSTALACIÓN SIAMESA DE INYECCIÓN                                                            </v>
      </c>
      <c r="J367" s="9" t="str">
        <v xml:space="preserve">UN   </v>
      </c>
      <c r="K367" s="9">
        <v>1</v>
      </c>
      <c r="L367" s="9">
        <v>1375643</v>
      </c>
      <c r="M367" s="124" t="str">
        <f t="shared" si="42"/>
        <v>FASE II</v>
      </c>
      <c r="N367" s="155">
        <f t="shared" si="39"/>
        <v>2</v>
      </c>
      <c r="O367" s="156">
        <f t="shared" si="40"/>
        <v>1486386</v>
      </c>
      <c r="P367" s="156">
        <f t="shared" si="41"/>
        <v>2972772</v>
      </c>
    </row>
    <row r="368" spans="2:16" s="9" customFormat="1" ht="35.1" customHeight="1" x14ac:dyDescent="0.25">
      <c r="B368" s="23" t="s">
        <v>479</v>
      </c>
      <c r="C368" s="22" t="s">
        <v>480</v>
      </c>
      <c r="D368" s="23" t="s">
        <v>284</v>
      </c>
      <c r="E368" s="12">
        <v>0</v>
      </c>
      <c r="F368" s="126">
        <v>5375637</v>
      </c>
      <c r="G368" s="126">
        <f t="shared" si="45"/>
        <v>0</v>
      </c>
      <c r="H368" s="8"/>
      <c r="I368" s="9" t="str">
        <f t="array" ref="I368:L368">_xlfn.XLOOKUP(C368,'Neiva 2021 FASE I UNIFICADO'!$C$6:$C$540,'Neiva 2021 FASE I UNIFICADO'!$C$6:$F$540,"NO ESTA")</f>
        <v xml:space="preserve">SUMINISTRO E INSTALACIÓN CABEZAL DE PRUEBAS                                                         </v>
      </c>
      <c r="J368" s="9" t="str">
        <v xml:space="preserve">UN   </v>
      </c>
      <c r="K368" s="9">
        <v>1</v>
      </c>
      <c r="L368" s="9">
        <v>4975125</v>
      </c>
      <c r="M368" s="124" t="str">
        <f t="shared" si="42"/>
        <v>FASE II</v>
      </c>
      <c r="N368" s="155">
        <f t="shared" si="39"/>
        <v>1</v>
      </c>
      <c r="O368" s="156">
        <f t="shared" si="40"/>
        <v>5375637</v>
      </c>
      <c r="P368" s="156">
        <f t="shared" si="41"/>
        <v>5375637</v>
      </c>
    </row>
    <row r="369" spans="2:16" s="9" customFormat="1" ht="35.1" customHeight="1" x14ac:dyDescent="0.25">
      <c r="B369" s="23" t="s">
        <v>481</v>
      </c>
      <c r="C369" s="22" t="s">
        <v>482</v>
      </c>
      <c r="D369" s="23" t="s">
        <v>284</v>
      </c>
      <c r="E369" s="12">
        <v>0</v>
      </c>
      <c r="F369" s="126">
        <v>429459</v>
      </c>
      <c r="G369" s="126">
        <f t="shared" si="45"/>
        <v>0</v>
      </c>
      <c r="H369" s="8"/>
      <c r="I369" s="9" t="str">
        <f t="array" ref="I369:L369">_xlfn.XLOOKUP(C369,'Neiva 2021 FASE I UNIFICADO'!$C$6:$C$540,'Neiva 2021 FASE I UNIFICADO'!$C$6:$F$540,"NO ESTA")</f>
        <v xml:space="preserve">SUMINISTRO E INSTALACIÓN CHEQUE RANURADO 4"                                                              </v>
      </c>
      <c r="J369" s="9" t="str">
        <v xml:space="preserve">UN   </v>
      </c>
      <c r="K369" s="9">
        <v>1</v>
      </c>
      <c r="L369" s="9">
        <v>397462</v>
      </c>
      <c r="M369" s="124" t="str">
        <f t="shared" si="42"/>
        <v>FASE II</v>
      </c>
      <c r="N369" s="155">
        <f t="shared" si="39"/>
        <v>1</v>
      </c>
      <c r="O369" s="156">
        <f t="shared" si="40"/>
        <v>429459</v>
      </c>
      <c r="P369" s="156">
        <f t="shared" si="41"/>
        <v>429459</v>
      </c>
    </row>
    <row r="370" spans="2:16" s="9" customFormat="1" ht="35.1" customHeight="1" x14ac:dyDescent="0.25">
      <c r="B370" s="23" t="s">
        <v>483</v>
      </c>
      <c r="C370" s="22" t="s">
        <v>484</v>
      </c>
      <c r="D370" s="23" t="s">
        <v>284</v>
      </c>
      <c r="E370" s="12">
        <v>0</v>
      </c>
      <c r="F370" s="126">
        <v>1544969</v>
      </c>
      <c r="G370" s="126">
        <f t="shared" si="45"/>
        <v>0</v>
      </c>
      <c r="H370" s="8"/>
      <c r="I370" s="9" t="str">
        <f t="array" ref="I370:L370">_xlfn.XLOOKUP(C370,'Neiva 2021 FASE I UNIFICADO'!$C$6:$C$540,'Neiva 2021 FASE I UNIFICADO'!$C$6:$F$540,"NO ESTA")</f>
        <v xml:space="preserve">SUMINISTRO E INSTALACIÓN VÁLVULA OS&amp;Y 4"                                                                 </v>
      </c>
      <c r="J370" s="9" t="str">
        <v xml:space="preserve">UN   </v>
      </c>
      <c r="K370" s="9">
        <v>1</v>
      </c>
      <c r="L370" s="9">
        <v>1429860</v>
      </c>
      <c r="M370" s="124" t="str">
        <f t="shared" si="42"/>
        <v>FASE II</v>
      </c>
      <c r="N370" s="155">
        <f t="shared" si="39"/>
        <v>1</v>
      </c>
      <c r="O370" s="156">
        <f t="shared" si="40"/>
        <v>1544969</v>
      </c>
      <c r="P370" s="156">
        <f t="shared" si="41"/>
        <v>1544969</v>
      </c>
    </row>
    <row r="371" spans="2:16" s="9" customFormat="1" ht="35.1" customHeight="1" x14ac:dyDescent="0.25">
      <c r="B371" s="23" t="s">
        <v>485</v>
      </c>
      <c r="C371" s="22" t="s">
        <v>486</v>
      </c>
      <c r="D371" s="23" t="s">
        <v>284</v>
      </c>
      <c r="E371" s="12">
        <v>15</v>
      </c>
      <c r="F371" s="126">
        <v>139754</v>
      </c>
      <c r="G371" s="126">
        <f t="shared" si="45"/>
        <v>2096310</v>
      </c>
      <c r="H371" s="8"/>
      <c r="I371" s="9" t="str">
        <f t="array" ref="I371:L371">_xlfn.XLOOKUP(C371,'Neiva 2021 FASE I UNIFICADO'!$C$6:$C$540,'Neiva 2021 FASE I UNIFICADO'!$C$6:$F$540,"NO ESTA")</f>
        <v xml:space="preserve">SUMINISTRO E INSTALACIÓN SOPORTE LONGITUDINAL 4 VÍAS 3"                                                               </v>
      </c>
      <c r="J371" s="9" t="str">
        <v xml:space="preserve">UN   </v>
      </c>
      <c r="K371" s="9">
        <v>5</v>
      </c>
      <c r="L371" s="9">
        <v>129341</v>
      </c>
      <c r="M371" s="124" t="str">
        <f t="shared" si="42"/>
        <v>FASE II</v>
      </c>
      <c r="N371" s="155">
        <f t="shared" si="39"/>
        <v>20</v>
      </c>
      <c r="O371" s="156">
        <f t="shared" si="40"/>
        <v>139754</v>
      </c>
      <c r="P371" s="156">
        <f t="shared" si="41"/>
        <v>2795080</v>
      </c>
    </row>
    <row r="372" spans="2:16" s="9" customFormat="1" ht="35.1" customHeight="1" x14ac:dyDescent="0.25">
      <c r="B372" s="23" t="s">
        <v>487</v>
      </c>
      <c r="C372" s="22" t="s">
        <v>488</v>
      </c>
      <c r="D372" s="23" t="s">
        <v>284</v>
      </c>
      <c r="E372" s="12">
        <v>2</v>
      </c>
      <c r="F372" s="126">
        <v>281071</v>
      </c>
      <c r="G372" s="126">
        <f t="shared" si="45"/>
        <v>562142</v>
      </c>
      <c r="H372" s="8"/>
      <c r="I372" s="9" t="str">
        <f t="array" ref="I372:L372">_xlfn.XLOOKUP(C372,'Neiva 2021 FASE I UNIFICADO'!$C$6:$C$540,'Neiva 2021 FASE I UNIFICADO'!$C$6:$F$540,"NO ESTA")</f>
        <v xml:space="preserve">SUMINISTRO E INSTALACIÓN SOPORTE LONGITUDINAL 4 VÍAS 4"                                                               </v>
      </c>
      <c r="J372" s="9" t="str">
        <v xml:space="preserve">UN   </v>
      </c>
      <c r="K372" s="9">
        <v>1</v>
      </c>
      <c r="L372" s="9">
        <v>260130</v>
      </c>
      <c r="M372" s="124" t="str">
        <f t="shared" si="42"/>
        <v>FASE II</v>
      </c>
      <c r="N372" s="155">
        <f t="shared" si="39"/>
        <v>3</v>
      </c>
      <c r="O372" s="156">
        <f t="shared" si="40"/>
        <v>281071</v>
      </c>
      <c r="P372" s="156">
        <f t="shared" si="41"/>
        <v>843213</v>
      </c>
    </row>
    <row r="373" spans="2:16" s="9" customFormat="1" ht="35.1" customHeight="1" x14ac:dyDescent="0.25">
      <c r="B373" s="23" t="s">
        <v>489</v>
      </c>
      <c r="C373" s="22" t="s">
        <v>490</v>
      </c>
      <c r="D373" s="23" t="s">
        <v>284</v>
      </c>
      <c r="E373" s="12">
        <v>32</v>
      </c>
      <c r="F373" s="126">
        <v>120195</v>
      </c>
      <c r="G373" s="126">
        <f t="shared" si="45"/>
        <v>3846240</v>
      </c>
      <c r="H373" s="8"/>
      <c r="I373" s="9" t="str">
        <f t="array" ref="I373:L373">_xlfn.XLOOKUP(C373,'Neiva 2021 FASE I UNIFICADO'!$C$6:$C$540,'Neiva 2021 FASE I UNIFICADO'!$C$6:$F$540,"NO ESTA")</f>
        <v xml:space="preserve">SUMINISTRO E INSTALACIÓN SOPORTE LATERAL 2 VÍAS 2"                                                       </v>
      </c>
      <c r="J373" s="9" t="str">
        <v xml:space="preserve">UN   </v>
      </c>
      <c r="K373" s="9">
        <v>12</v>
      </c>
      <c r="L373" s="9">
        <v>111240</v>
      </c>
      <c r="M373" s="124" t="str">
        <f t="shared" si="42"/>
        <v>FASE II</v>
      </c>
      <c r="N373" s="155">
        <f t="shared" si="39"/>
        <v>44</v>
      </c>
      <c r="O373" s="156">
        <f t="shared" si="40"/>
        <v>120195</v>
      </c>
      <c r="P373" s="156">
        <f t="shared" si="41"/>
        <v>5288580</v>
      </c>
    </row>
    <row r="374" spans="2:16" s="9" customFormat="1" ht="35.1" customHeight="1" x14ac:dyDescent="0.25">
      <c r="B374" s="23" t="s">
        <v>491</v>
      </c>
      <c r="C374" s="22" t="s">
        <v>492</v>
      </c>
      <c r="D374" s="23" t="s">
        <v>284</v>
      </c>
      <c r="E374" s="12">
        <v>27</v>
      </c>
      <c r="F374" s="126">
        <v>126619</v>
      </c>
      <c r="G374" s="126">
        <f t="shared" si="45"/>
        <v>3418713</v>
      </c>
      <c r="H374" s="8"/>
      <c r="I374" s="9" t="str">
        <f t="array" ref="I374:L374">_xlfn.XLOOKUP(C374,'Neiva 2021 FASE I UNIFICADO'!$C$6:$C$540,'Neiva 2021 FASE I UNIFICADO'!$C$6:$F$540,"NO ESTA")</f>
        <v xml:space="preserve">SUMINISTRO E INSTALACIÓN SOPORTE LATERAL 2 VÍAS 3"                                                       </v>
      </c>
      <c r="J374" s="9" t="str">
        <v xml:space="preserve">UN   </v>
      </c>
      <c r="K374" s="9">
        <v>10</v>
      </c>
      <c r="L374" s="9">
        <v>117185</v>
      </c>
      <c r="M374" s="124" t="str">
        <f t="shared" si="42"/>
        <v>FASE II</v>
      </c>
      <c r="N374" s="155">
        <f t="shared" si="39"/>
        <v>37</v>
      </c>
      <c r="O374" s="156">
        <f t="shared" si="40"/>
        <v>126619</v>
      </c>
      <c r="P374" s="156">
        <f t="shared" si="41"/>
        <v>4684903</v>
      </c>
    </row>
    <row r="375" spans="2:16" s="9" customFormat="1" ht="35.1" customHeight="1" x14ac:dyDescent="0.25">
      <c r="B375" s="23" t="s">
        <v>493</v>
      </c>
      <c r="C375" s="22" t="s">
        <v>494</v>
      </c>
      <c r="D375" s="23" t="s">
        <v>284</v>
      </c>
      <c r="E375" s="12">
        <v>6</v>
      </c>
      <c r="F375" s="126">
        <v>1605959</v>
      </c>
      <c r="G375" s="126">
        <f t="shared" si="45"/>
        <v>9635754</v>
      </c>
      <c r="H375" s="8"/>
      <c r="I375" s="9" t="str">
        <f t="array" ref="I375:L375">_xlfn.XLOOKUP(C375,'Neiva 2021 FASE I UNIFICADO'!$C$6:$C$540,'Neiva 2021 FASE I UNIFICADO'!$C$6:$F$540,"NO ESTA")</f>
        <v xml:space="preserve">SUMINISTRO E INSTALACIÓN GABINETE TIPO II </v>
      </c>
      <c r="J375" s="9" t="str">
        <v xml:space="preserve">UN   </v>
      </c>
      <c r="K375" s="9">
        <v>2</v>
      </c>
      <c r="L375" s="9">
        <v>1486307</v>
      </c>
      <c r="M375" s="124" t="str">
        <f t="shared" si="42"/>
        <v>FASE II</v>
      </c>
      <c r="N375" s="155">
        <f t="shared" si="39"/>
        <v>8</v>
      </c>
      <c r="O375" s="156">
        <f t="shared" si="40"/>
        <v>1605959</v>
      </c>
      <c r="P375" s="156">
        <f t="shared" si="41"/>
        <v>12847672</v>
      </c>
    </row>
    <row r="376" spans="2:16" s="9" customFormat="1" ht="35.1" customHeight="1" x14ac:dyDescent="0.25">
      <c r="B376" s="33">
        <v>14</v>
      </c>
      <c r="C376" s="34" t="s">
        <v>495</v>
      </c>
      <c r="D376" s="34"/>
      <c r="E376" s="35"/>
      <c r="F376" s="132"/>
      <c r="G376" s="142"/>
      <c r="H376" s="8"/>
      <c r="I376" s="9" t="str">
        <f t="array" ref="I376:L376">_xlfn.XLOOKUP(C376,'Neiva 2021 FASE I UNIFICADO'!$C$6:$C$540,'Neiva 2021 FASE I UNIFICADO'!$C$6:$F$540,"NO ESTA")</f>
        <v>SALIDAS DE ALUMBRADO Y TOMACORRIENTES ELÉCTRICOS</v>
      </c>
      <c r="J376" s="9">
        <v>0</v>
      </c>
      <c r="K376" s="9">
        <v>0</v>
      </c>
      <c r="L376" s="9">
        <v>0</v>
      </c>
      <c r="M376" s="124">
        <f t="shared" si="42"/>
        <v>0</v>
      </c>
      <c r="N376" s="155">
        <f t="shared" si="39"/>
        <v>0</v>
      </c>
      <c r="O376" s="156">
        <f t="shared" si="40"/>
        <v>0</v>
      </c>
      <c r="P376" s="156">
        <f t="shared" si="41"/>
        <v>0</v>
      </c>
    </row>
    <row r="377" spans="2:16" s="9" customFormat="1" ht="35.1" customHeight="1" x14ac:dyDescent="0.25">
      <c r="B377" s="47" t="s">
        <v>496</v>
      </c>
      <c r="C377" s="43" t="s">
        <v>497</v>
      </c>
      <c r="D377" s="24"/>
      <c r="E377" s="15"/>
      <c r="F377" s="129"/>
      <c r="G377" s="140"/>
      <c r="H377" s="8"/>
      <c r="I377" s="9" t="str">
        <f t="array" ref="I377:L377">_xlfn.XLOOKUP(C377,'Neiva 2021 FASE I UNIFICADO'!$C$6:$C$540,'Neiva 2021 FASE I UNIFICADO'!$C$6:$F$540,"NO ESTA")</f>
        <v>SUMINISTRO E INSTALACIÓN SALIDAS DE ALUMBRADO EN TUBERIA PVC INCRUSTRADA (NO SE INCLUYE LAS LUMINARIAS)</v>
      </c>
      <c r="J377" s="9">
        <v>0</v>
      </c>
      <c r="K377" s="9">
        <v>0</v>
      </c>
      <c r="L377" s="9">
        <v>0</v>
      </c>
      <c r="M377" s="124">
        <f t="shared" si="42"/>
        <v>0</v>
      </c>
      <c r="N377" s="155">
        <f t="shared" si="39"/>
        <v>0</v>
      </c>
      <c r="O377" s="156">
        <f t="shared" si="40"/>
        <v>0</v>
      </c>
      <c r="P377" s="156">
        <f t="shared" si="41"/>
        <v>0</v>
      </c>
    </row>
    <row r="378" spans="2:16" s="9" customFormat="1" ht="35.1" customHeight="1" x14ac:dyDescent="0.25">
      <c r="B378" s="23" t="s">
        <v>498</v>
      </c>
      <c r="C378" s="87" t="s">
        <v>499</v>
      </c>
      <c r="D378" s="23" t="s">
        <v>374</v>
      </c>
      <c r="E378" s="12">
        <v>153</v>
      </c>
      <c r="F378" s="126">
        <v>83078</v>
      </c>
      <c r="G378" s="126">
        <f t="shared" ref="G378:G393" si="46">ROUND(+F378*E378,2)</f>
        <v>12710934</v>
      </c>
      <c r="H378" s="8"/>
      <c r="I378" s="9" t="str">
        <f t="array" ref="I378:L378">_xlfn.XLOOKUP(C378,'Neiva 2021 FASE I UNIFICADO'!$C$6:$C$540,'Neiva 2021 FASE I UNIFICADO'!$C$6:$F$540,"NO ESTA")</f>
        <v>SUMINISTRO E INSTALACIÓN SALIDA PARA LAMPARA LED DE 1x28 W</v>
      </c>
      <c r="J378" s="9" t="str">
        <v>UN</v>
      </c>
      <c r="K378" s="9">
        <v>57</v>
      </c>
      <c r="L378" s="9">
        <v>76889</v>
      </c>
      <c r="M378" s="124" t="str">
        <f t="shared" si="42"/>
        <v>FASE II</v>
      </c>
      <c r="N378" s="155">
        <f t="shared" si="39"/>
        <v>210</v>
      </c>
      <c r="O378" s="156">
        <f t="shared" si="40"/>
        <v>83078</v>
      </c>
      <c r="P378" s="156">
        <f t="shared" si="41"/>
        <v>17446380</v>
      </c>
    </row>
    <row r="379" spans="2:16" s="9" customFormat="1" ht="35.1" customHeight="1" x14ac:dyDescent="0.25">
      <c r="B379" s="23" t="s">
        <v>500</v>
      </c>
      <c r="C379" s="87" t="s">
        <v>501</v>
      </c>
      <c r="D379" s="23" t="s">
        <v>374</v>
      </c>
      <c r="E379" s="12">
        <v>82</v>
      </c>
      <c r="F379" s="126">
        <v>75156</v>
      </c>
      <c r="G379" s="126">
        <f t="shared" si="46"/>
        <v>6162792</v>
      </c>
      <c r="H379" s="8"/>
      <c r="I379" s="9" t="str">
        <f t="array" ref="I379:L379">_xlfn.XLOOKUP(C379,'Neiva 2021 FASE I UNIFICADO'!$C$6:$C$540,'Neiva 2021 FASE I UNIFICADO'!$C$6:$F$540,"NO ESTA")</f>
        <v>SUMINISTRO E INSTALACIÓN SALIDA PARA LAMPARA LED DE 2x54 W</v>
      </c>
      <c r="J379" s="9" t="str">
        <v>UN</v>
      </c>
      <c r="K379" s="9">
        <v>30</v>
      </c>
      <c r="L379" s="9">
        <v>69557</v>
      </c>
      <c r="M379" s="124" t="str">
        <f t="shared" si="42"/>
        <v>FASE II</v>
      </c>
      <c r="N379" s="155">
        <f t="shared" si="39"/>
        <v>112</v>
      </c>
      <c r="O379" s="156">
        <f t="shared" si="40"/>
        <v>75156</v>
      </c>
      <c r="P379" s="156">
        <f t="shared" si="41"/>
        <v>8417472</v>
      </c>
    </row>
    <row r="380" spans="2:16" s="9" customFormat="1" ht="35.1" customHeight="1" x14ac:dyDescent="0.25">
      <c r="B380" s="23" t="s">
        <v>502</v>
      </c>
      <c r="C380" s="22" t="s">
        <v>503</v>
      </c>
      <c r="D380" s="23" t="s">
        <v>374</v>
      </c>
      <c r="E380" s="12">
        <v>121</v>
      </c>
      <c r="F380" s="126">
        <v>70467</v>
      </c>
      <c r="G380" s="126">
        <f t="shared" si="46"/>
        <v>8526507</v>
      </c>
      <c r="H380" s="8"/>
      <c r="I380" s="9" t="str">
        <f t="array" ref="I380:L380">_xlfn.XLOOKUP(C380,'Neiva 2021 FASE I UNIFICADO'!$C$6:$C$540,'Neiva 2021 FASE I UNIFICADO'!$C$6:$F$540,"NO ESTA")</f>
        <v>SUMINISTRO E INSTALACIÓN SALIDA PARA BALA DE LED 35W 120V</v>
      </c>
      <c r="J380" s="9" t="str">
        <v>UN</v>
      </c>
      <c r="K380" s="9">
        <v>45</v>
      </c>
      <c r="L380" s="9">
        <v>65217</v>
      </c>
      <c r="M380" s="124" t="str">
        <f t="shared" si="42"/>
        <v>FASE II</v>
      </c>
      <c r="N380" s="155">
        <f t="shared" si="39"/>
        <v>166</v>
      </c>
      <c r="O380" s="156">
        <f t="shared" si="40"/>
        <v>70467</v>
      </c>
      <c r="P380" s="156">
        <f t="shared" si="41"/>
        <v>11697522</v>
      </c>
    </row>
    <row r="381" spans="2:16" s="9" customFormat="1" ht="35.1" customHeight="1" x14ac:dyDescent="0.25">
      <c r="B381" s="23" t="s">
        <v>504</v>
      </c>
      <c r="C381" s="22" t="s">
        <v>505</v>
      </c>
      <c r="D381" s="23" t="s">
        <v>374</v>
      </c>
      <c r="E381" s="12">
        <v>50</v>
      </c>
      <c r="F381" s="126">
        <v>70467</v>
      </c>
      <c r="G381" s="126">
        <f t="shared" si="46"/>
        <v>3523350</v>
      </c>
      <c r="H381" s="8"/>
      <c r="I381" s="9" t="str">
        <f t="array" ref="I381:L381">_xlfn.XLOOKUP(C381,'Neiva 2021 FASE I UNIFICADO'!$C$6:$C$540,'Neiva 2021 FASE I UNIFICADO'!$C$6:$F$540,"NO ESTA")</f>
        <v>SUMINISTRO E INSTALACIÓN SALIDA PARA BALA RECESADA LED 10W 120V</v>
      </c>
      <c r="J381" s="9" t="str">
        <v>UN</v>
      </c>
      <c r="K381" s="9">
        <v>19</v>
      </c>
      <c r="L381" s="9">
        <v>65217</v>
      </c>
      <c r="M381" s="124" t="str">
        <f t="shared" si="42"/>
        <v>FASE II</v>
      </c>
      <c r="N381" s="155">
        <f t="shared" si="39"/>
        <v>69</v>
      </c>
      <c r="O381" s="156">
        <f t="shared" si="40"/>
        <v>70467</v>
      </c>
      <c r="P381" s="156">
        <f t="shared" si="41"/>
        <v>4862223</v>
      </c>
    </row>
    <row r="382" spans="2:16" s="9" customFormat="1" ht="35.1" customHeight="1" x14ac:dyDescent="0.25">
      <c r="B382" s="23" t="s">
        <v>506</v>
      </c>
      <c r="C382" s="22" t="s">
        <v>507</v>
      </c>
      <c r="D382" s="23" t="s">
        <v>374</v>
      </c>
      <c r="E382" s="12">
        <v>184</v>
      </c>
      <c r="F382" s="126">
        <v>70467</v>
      </c>
      <c r="G382" s="126">
        <f t="shared" si="46"/>
        <v>12965928</v>
      </c>
      <c r="H382" s="8"/>
      <c r="I382" s="9" t="str">
        <f t="array" ref="I382:L382">_xlfn.XLOOKUP(C382,'Neiva 2021 FASE I UNIFICADO'!$C$6:$C$540,'Neiva 2021 FASE I UNIFICADO'!$C$6:$F$540,"NO ESTA")</f>
        <v>SUMINISTRO E INSTALACIÓN SALIDA PARA LUMINARIA LED 2x26W 120V</v>
      </c>
      <c r="J382" s="9" t="str">
        <v>UN</v>
      </c>
      <c r="K382" s="9">
        <v>68</v>
      </c>
      <c r="L382" s="9">
        <v>65217</v>
      </c>
      <c r="M382" s="124" t="str">
        <f t="shared" si="42"/>
        <v>FASE II</v>
      </c>
      <c r="N382" s="155">
        <f t="shared" si="39"/>
        <v>252</v>
      </c>
      <c r="O382" s="156">
        <f t="shared" si="40"/>
        <v>70467</v>
      </c>
      <c r="P382" s="156">
        <f t="shared" si="41"/>
        <v>17757684</v>
      </c>
    </row>
    <row r="383" spans="2:16" s="9" customFormat="1" ht="35.1" customHeight="1" x14ac:dyDescent="0.25">
      <c r="B383" s="23" t="s">
        <v>508</v>
      </c>
      <c r="C383" s="22" t="s">
        <v>509</v>
      </c>
      <c r="D383" s="23" t="s">
        <v>374</v>
      </c>
      <c r="E383" s="12">
        <v>6</v>
      </c>
      <c r="F383" s="126">
        <v>68243</v>
      </c>
      <c r="G383" s="126">
        <f t="shared" si="46"/>
        <v>409458</v>
      </c>
      <c r="H383" s="8"/>
      <c r="I383" s="9" t="str">
        <f t="array" ref="I383:L383">_xlfn.XLOOKUP(C383,'Neiva 2021 FASE I UNIFICADO'!$C$6:$C$540,'Neiva 2021 FASE I UNIFICADO'!$C$6:$F$540,"NO ESTA")</f>
        <v>SUMINISTRO E INSTALACIÓN SALIDA PARA REFLECTOR DE LUZ DIRECTA</v>
      </c>
      <c r="J383" s="9" t="str">
        <v>UN</v>
      </c>
      <c r="K383" s="9">
        <v>2</v>
      </c>
      <c r="L383" s="9">
        <v>63160</v>
      </c>
      <c r="M383" s="124" t="str">
        <f t="shared" si="42"/>
        <v>FASE II</v>
      </c>
      <c r="N383" s="155">
        <f t="shared" si="39"/>
        <v>8</v>
      </c>
      <c r="O383" s="156">
        <f t="shared" si="40"/>
        <v>68243</v>
      </c>
      <c r="P383" s="156">
        <f t="shared" si="41"/>
        <v>545944</v>
      </c>
    </row>
    <row r="384" spans="2:16" s="9" customFormat="1" ht="35.1" customHeight="1" x14ac:dyDescent="0.25">
      <c r="B384" s="23" t="s">
        <v>510</v>
      </c>
      <c r="C384" s="22" t="s">
        <v>511</v>
      </c>
      <c r="D384" s="23" t="s">
        <v>374</v>
      </c>
      <c r="E384" s="12">
        <v>6</v>
      </c>
      <c r="F384" s="126">
        <v>74815</v>
      </c>
      <c r="G384" s="126">
        <f t="shared" si="46"/>
        <v>448890</v>
      </c>
      <c r="H384" s="8"/>
      <c r="I384" s="9" t="str">
        <f t="array" ref="I384:L384">_xlfn.XLOOKUP(C384,'Neiva 2021 FASE I UNIFICADO'!$C$6:$C$540,'Neiva 2021 FASE I UNIFICADO'!$C$6:$F$540,"NO ESTA")</f>
        <v>SUMINISTRO E INSTALACIÓN SALIDA PARA APLIQUE DE ESCALERA 1000W 120V</v>
      </c>
      <c r="J384" s="9" t="str">
        <v>UN</v>
      </c>
      <c r="K384" s="9">
        <v>2</v>
      </c>
      <c r="L384" s="9">
        <v>69240</v>
      </c>
      <c r="M384" s="124" t="str">
        <f t="shared" si="42"/>
        <v>FASE II</v>
      </c>
      <c r="N384" s="155">
        <f t="shared" si="39"/>
        <v>8</v>
      </c>
      <c r="O384" s="156">
        <f t="shared" si="40"/>
        <v>74815</v>
      </c>
      <c r="P384" s="156">
        <f t="shared" si="41"/>
        <v>598520</v>
      </c>
    </row>
    <row r="385" spans="2:16" s="9" customFormat="1" ht="35.1" customHeight="1" x14ac:dyDescent="0.25">
      <c r="B385" s="23" t="s">
        <v>512</v>
      </c>
      <c r="C385" s="22" t="s">
        <v>513</v>
      </c>
      <c r="D385" s="23" t="s">
        <v>374</v>
      </c>
      <c r="E385" s="12">
        <v>67</v>
      </c>
      <c r="F385" s="126">
        <v>74815</v>
      </c>
      <c r="G385" s="126">
        <f t="shared" si="46"/>
        <v>5012605</v>
      </c>
      <c r="H385" s="8"/>
      <c r="I385" s="9" t="str">
        <f t="array" ref="I385:L385">_xlfn.XLOOKUP(C385,'Neiva 2021 FASE I UNIFICADO'!$C$6:$C$540,'Neiva 2021 FASE I UNIFICADO'!$C$6:$F$540,"NO ESTA")</f>
        <v>SUMINISTRO E INSTALACIÓN SALIDA PARA BALAS LED DE PISO 3W 120V</v>
      </c>
      <c r="J385" s="9" t="str">
        <v>UN</v>
      </c>
      <c r="K385" s="9">
        <v>25</v>
      </c>
      <c r="L385" s="9">
        <v>69240</v>
      </c>
      <c r="M385" s="124" t="str">
        <f t="shared" si="42"/>
        <v>FASE II</v>
      </c>
      <c r="N385" s="155">
        <f t="shared" si="39"/>
        <v>92</v>
      </c>
      <c r="O385" s="156">
        <f t="shared" si="40"/>
        <v>74815</v>
      </c>
      <c r="P385" s="156">
        <f t="shared" si="41"/>
        <v>6882980</v>
      </c>
    </row>
    <row r="386" spans="2:16" s="9" customFormat="1" ht="35.1" customHeight="1" x14ac:dyDescent="0.25">
      <c r="B386" s="23" t="s">
        <v>514</v>
      </c>
      <c r="C386" s="22" t="s">
        <v>515</v>
      </c>
      <c r="D386" s="23" t="s">
        <v>374</v>
      </c>
      <c r="E386" s="12">
        <v>10</v>
      </c>
      <c r="F386" s="126">
        <v>74815</v>
      </c>
      <c r="G386" s="126">
        <f t="shared" si="46"/>
        <v>748150</v>
      </c>
      <c r="H386" s="8"/>
      <c r="I386" s="9" t="str">
        <f t="array" ref="I386:L386">_xlfn.XLOOKUP(C386,'Neiva 2021 FASE I UNIFICADO'!$C$6:$C$540,'Neiva 2021 FASE I UNIFICADO'!$C$6:$F$540,"NO ESTA")</f>
        <v>SUMINISTRO E INSTALACIÓN SALIDA PARA BALAS DE PISO 50W 120V</v>
      </c>
      <c r="J386" s="9" t="str">
        <v>UN</v>
      </c>
      <c r="K386" s="9">
        <v>4</v>
      </c>
      <c r="L386" s="9">
        <v>69240</v>
      </c>
      <c r="M386" s="124" t="str">
        <f t="shared" si="42"/>
        <v>FASE II</v>
      </c>
      <c r="N386" s="155">
        <f t="shared" si="39"/>
        <v>14</v>
      </c>
      <c r="O386" s="156">
        <f t="shared" si="40"/>
        <v>74815</v>
      </c>
      <c r="P386" s="156">
        <f t="shared" si="41"/>
        <v>1047410</v>
      </c>
    </row>
    <row r="387" spans="2:16" s="9" customFormat="1" ht="35.1" customHeight="1" x14ac:dyDescent="0.25">
      <c r="B387" s="23" t="s">
        <v>516</v>
      </c>
      <c r="C387" s="87" t="s">
        <v>517</v>
      </c>
      <c r="D387" s="23" t="s">
        <v>374</v>
      </c>
      <c r="E387" s="12">
        <v>42</v>
      </c>
      <c r="F387" s="126">
        <v>80011</v>
      </c>
      <c r="G387" s="126">
        <f t="shared" si="46"/>
        <v>3360462</v>
      </c>
      <c r="H387" s="8"/>
      <c r="I387" s="9" t="str">
        <f t="array" ref="I387:L387">_xlfn.XLOOKUP(C387,'Neiva 2021 FASE I UNIFICADO'!$C$6:$C$540,'Neiva 2021 FASE I UNIFICADO'!$C$6:$F$540,"NO ESTA")</f>
        <v>SUMINISTRO E INSTALACIÓN SALIDA PARA INTERRUPTOR SENCILLO COLOR BLANCO</v>
      </c>
      <c r="J387" s="9" t="str">
        <v>UN</v>
      </c>
      <c r="K387" s="9">
        <v>16</v>
      </c>
      <c r="L387" s="9">
        <v>74050</v>
      </c>
      <c r="M387" s="124" t="str">
        <f t="shared" si="42"/>
        <v>FASE II</v>
      </c>
      <c r="N387" s="155">
        <f t="shared" si="39"/>
        <v>58</v>
      </c>
      <c r="O387" s="156">
        <f t="shared" si="40"/>
        <v>80011</v>
      </c>
      <c r="P387" s="156">
        <f t="shared" si="41"/>
        <v>4640638</v>
      </c>
    </row>
    <row r="388" spans="2:16" s="9" customFormat="1" ht="35.1" customHeight="1" x14ac:dyDescent="0.25">
      <c r="B388" s="23" t="s">
        <v>518</v>
      </c>
      <c r="C388" s="87" t="s">
        <v>519</v>
      </c>
      <c r="D388" s="23" t="s">
        <v>374</v>
      </c>
      <c r="E388" s="12">
        <v>18</v>
      </c>
      <c r="F388" s="126">
        <v>86756</v>
      </c>
      <c r="G388" s="126">
        <f t="shared" si="46"/>
        <v>1561608</v>
      </c>
      <c r="H388" s="8"/>
      <c r="I388" s="9" t="str">
        <f t="array" ref="I388:L388">_xlfn.XLOOKUP(C388,'Neiva 2021 FASE I UNIFICADO'!$C$6:$C$540,'Neiva 2021 FASE I UNIFICADO'!$C$6:$F$540,"NO ESTA")</f>
        <v>SUMINISTRO E INSTALACIÓN SALIDA PARA INTERRUPTOR DOBLE COLOR BLANCO</v>
      </c>
      <c r="J388" s="9" t="str">
        <v>UN</v>
      </c>
      <c r="K388" s="9">
        <v>6</v>
      </c>
      <c r="L388" s="9">
        <v>80291</v>
      </c>
      <c r="M388" s="124" t="str">
        <f t="shared" si="42"/>
        <v>FASE II</v>
      </c>
      <c r="N388" s="155">
        <f t="shared" si="39"/>
        <v>24</v>
      </c>
      <c r="O388" s="156">
        <f t="shared" si="40"/>
        <v>86756</v>
      </c>
      <c r="P388" s="156">
        <f t="shared" si="41"/>
        <v>2082144</v>
      </c>
    </row>
    <row r="389" spans="2:16" s="9" customFormat="1" ht="35.1" customHeight="1" x14ac:dyDescent="0.25">
      <c r="B389" s="23" t="s">
        <v>520</v>
      </c>
      <c r="C389" s="87" t="s">
        <v>521</v>
      </c>
      <c r="D389" s="23" t="s">
        <v>374</v>
      </c>
      <c r="E389" s="12">
        <v>6</v>
      </c>
      <c r="F389" s="126">
        <v>88571</v>
      </c>
      <c r="G389" s="126">
        <f t="shared" si="46"/>
        <v>531426</v>
      </c>
      <c r="H389" s="8"/>
      <c r="I389" s="9" t="str">
        <f t="array" ref="I389:L389">_xlfn.XLOOKUP(C389,'Neiva 2021 FASE I UNIFICADO'!$C$6:$C$540,'Neiva 2021 FASE I UNIFICADO'!$C$6:$F$540,"NO ESTA")</f>
        <v>SUMINISTRO E INSTALACIÓN SALIDA PARA INTERRUPTOR SENCILLO CONMUTABLE COLOR BLANCO</v>
      </c>
      <c r="J389" s="9" t="str">
        <v>UN</v>
      </c>
      <c r="K389" s="9">
        <v>2</v>
      </c>
      <c r="L389" s="9">
        <v>81973</v>
      </c>
      <c r="M389" s="124" t="str">
        <f t="shared" si="42"/>
        <v>FASE II</v>
      </c>
      <c r="N389" s="155">
        <f t="shared" si="39"/>
        <v>8</v>
      </c>
      <c r="O389" s="156">
        <f t="shared" si="40"/>
        <v>88571</v>
      </c>
      <c r="P389" s="156">
        <f t="shared" si="41"/>
        <v>708568</v>
      </c>
    </row>
    <row r="390" spans="2:16" s="9" customFormat="1" ht="35.1" customHeight="1" x14ac:dyDescent="0.25">
      <c r="B390" s="23" t="s">
        <v>522</v>
      </c>
      <c r="C390" s="87" t="s">
        <v>523</v>
      </c>
      <c r="D390" s="23" t="s">
        <v>374</v>
      </c>
      <c r="E390" s="12">
        <v>4</v>
      </c>
      <c r="F390" s="126">
        <v>96779</v>
      </c>
      <c r="G390" s="126">
        <f t="shared" si="46"/>
        <v>387116</v>
      </c>
      <c r="H390" s="8"/>
      <c r="I390" s="9" t="str">
        <f t="array" ref="I390:L390">_xlfn.XLOOKUP(C390,'Neiva 2021 FASE I UNIFICADO'!$C$6:$C$540,'Neiva 2021 FASE I UNIFICADO'!$C$6:$F$540,"NO ESTA")</f>
        <v>SUMINISTRO E INSTALACIÓN SALIDA PARA INTERRUPTOR DOBLE CONMUTABLE COLOR BLANCO</v>
      </c>
      <c r="J390" s="9" t="str">
        <v>UN</v>
      </c>
      <c r="K390" s="9">
        <v>2</v>
      </c>
      <c r="L390" s="9">
        <v>89569</v>
      </c>
      <c r="M390" s="124" t="str">
        <f t="shared" si="42"/>
        <v>FASE II</v>
      </c>
      <c r="N390" s="155">
        <f t="shared" ref="N390:N453" si="47">E390+K390</f>
        <v>6</v>
      </c>
      <c r="O390" s="156">
        <f t="shared" ref="O390:O453" si="48">MAX(L390,F390)</f>
        <v>96779</v>
      </c>
      <c r="P390" s="156">
        <f t="shared" ref="P390:P453" si="49">N390*O390</f>
        <v>580674</v>
      </c>
    </row>
    <row r="391" spans="2:16" s="9" customFormat="1" ht="35.1" customHeight="1" x14ac:dyDescent="0.25">
      <c r="B391" s="23" t="s">
        <v>524</v>
      </c>
      <c r="C391" s="22" t="s">
        <v>525</v>
      </c>
      <c r="D391" s="23" t="s">
        <v>374</v>
      </c>
      <c r="E391" s="12">
        <v>12</v>
      </c>
      <c r="F391" s="126">
        <v>90828</v>
      </c>
      <c r="G391" s="126">
        <f t="shared" si="46"/>
        <v>1089936</v>
      </c>
      <c r="H391" s="8"/>
      <c r="I391" s="9" t="str">
        <f t="array" ref="I391:L391">_xlfn.XLOOKUP(C391,'Neiva 2021 FASE I UNIFICADO'!$C$6:$C$540,'Neiva 2021 FASE I UNIFICADO'!$C$6:$F$540,"NO ESTA")</f>
        <v>SUMINISTRO E INSTALACIÓN SALIDA PARA INTERRUPTOR DE SENSOR DE PRESENCIA</v>
      </c>
      <c r="J391" s="9" t="str">
        <v>UN</v>
      </c>
      <c r="K391" s="9">
        <v>5</v>
      </c>
      <c r="L391" s="9">
        <v>84061</v>
      </c>
      <c r="M391" s="124" t="str">
        <f t="shared" si="42"/>
        <v>FASE II</v>
      </c>
      <c r="N391" s="155">
        <f t="shared" si="47"/>
        <v>17</v>
      </c>
      <c r="O391" s="156">
        <f t="shared" si="48"/>
        <v>90828</v>
      </c>
      <c r="P391" s="156">
        <f t="shared" si="49"/>
        <v>1544076</v>
      </c>
    </row>
    <row r="392" spans="2:16" s="9" customFormat="1" ht="35.1" customHeight="1" x14ac:dyDescent="0.25">
      <c r="B392" s="23" t="s">
        <v>526</v>
      </c>
      <c r="C392" s="22" t="s">
        <v>527</v>
      </c>
      <c r="D392" s="23" t="s">
        <v>374</v>
      </c>
      <c r="E392" s="12">
        <v>4</v>
      </c>
      <c r="F392" s="126">
        <v>102414</v>
      </c>
      <c r="G392" s="126">
        <f t="shared" si="46"/>
        <v>409656</v>
      </c>
      <c r="H392" s="8"/>
      <c r="I392" s="9" t="str">
        <f t="array" ref="I392:L392">_xlfn.XLOOKUP(C392,'Neiva 2021 FASE I UNIFICADO'!$C$6:$C$540,'Neiva 2021 FASE I UNIFICADO'!$C$6:$F$540,"NO ESTA")</f>
        <v>SUMINISTRO E INSTALACIÓN SALIDA PARA SENSOR DE MOVIEMIENTO DE TECHO</v>
      </c>
      <c r="J392" s="9" t="str">
        <v>UN</v>
      </c>
      <c r="K392" s="9">
        <v>1</v>
      </c>
      <c r="L392" s="9">
        <v>94783</v>
      </c>
      <c r="M392" s="124" t="str">
        <f t="shared" ref="M392:M455" si="50">IF(L392=0,0,(IF(F392&lt;L392, "FASE I","FASE II")))</f>
        <v>FASE II</v>
      </c>
      <c r="N392" s="155">
        <f t="shared" si="47"/>
        <v>5</v>
      </c>
      <c r="O392" s="156">
        <f t="shared" si="48"/>
        <v>102414</v>
      </c>
      <c r="P392" s="156">
        <f t="shared" si="49"/>
        <v>512070</v>
      </c>
    </row>
    <row r="393" spans="2:16" s="9" customFormat="1" ht="35.1" customHeight="1" x14ac:dyDescent="0.25">
      <c r="B393" s="23" t="s">
        <v>528</v>
      </c>
      <c r="C393" s="22" t="s">
        <v>529</v>
      </c>
      <c r="D393" s="23" t="s">
        <v>269</v>
      </c>
      <c r="E393" s="12">
        <v>474</v>
      </c>
      <c r="F393" s="126">
        <v>1705</v>
      </c>
      <c r="G393" s="126">
        <f t="shared" si="46"/>
        <v>808170</v>
      </c>
      <c r="H393" s="8"/>
      <c r="I393" s="9" t="str">
        <f t="array" ref="I393:L393">_xlfn.XLOOKUP(C393,'Neiva 2021 FASE I UNIFICADO'!$C$6:$C$540,'Neiva 2021 FASE I UNIFICADO'!$C$6:$F$540,"NO ESTA")</f>
        <v xml:space="preserve">SUMINISTRO E INSTALACIÓN SALIDAS PARCIALES DE CIRCUITO PARA SALIDAS DE ALUMBRADO Y TOMACORIRIENTE DE USO NORMAL EN CABLE #12 AWG THHN/THWN, DESDE EL TABLERO DE AUTOMATICOS POR EL DUCTO PORTACABLES HASTA LOS PRIMEROS PUNTOS DE DERIVACIÓN. </v>
      </c>
      <c r="J393" s="9" t="str">
        <v xml:space="preserve">ML   </v>
      </c>
      <c r="K393" s="9">
        <v>176</v>
      </c>
      <c r="L393" s="9">
        <v>1578</v>
      </c>
      <c r="M393" s="124" t="str">
        <f t="shared" si="50"/>
        <v>FASE II</v>
      </c>
      <c r="N393" s="155">
        <f t="shared" si="47"/>
        <v>650</v>
      </c>
      <c r="O393" s="156">
        <f t="shared" si="48"/>
        <v>1705</v>
      </c>
      <c r="P393" s="156">
        <f t="shared" si="49"/>
        <v>1108250</v>
      </c>
    </row>
    <row r="394" spans="2:16" s="9" customFormat="1" ht="35.1" customHeight="1" x14ac:dyDescent="0.25">
      <c r="B394" s="47" t="s">
        <v>530</v>
      </c>
      <c r="C394" s="24" t="s">
        <v>531</v>
      </c>
      <c r="D394" s="24"/>
      <c r="E394" s="15"/>
      <c r="F394" s="129"/>
      <c r="G394" s="140"/>
      <c r="H394" s="8"/>
      <c r="I394" s="9" t="str">
        <f t="array" ref="I394:L394">_xlfn.XLOOKUP(C394,'Neiva 2021 FASE I UNIFICADO'!$C$6:$C$540,'Neiva 2021 FASE I UNIFICADO'!$C$6:$F$540,"NO ESTA")</f>
        <v xml:space="preserve">SUMINISTRO E INSTALACIÓN SALIDAS PARA TOMACORRIENTES USO NORMAL EN TUBERIA PVC INCRUSTRADA </v>
      </c>
      <c r="J394" s="9">
        <v>0</v>
      </c>
      <c r="K394" s="9">
        <v>0</v>
      </c>
      <c r="L394" s="9">
        <v>0</v>
      </c>
      <c r="M394" s="124">
        <f t="shared" si="50"/>
        <v>0</v>
      </c>
      <c r="N394" s="155">
        <f t="shared" si="47"/>
        <v>0</v>
      </c>
      <c r="O394" s="156">
        <f t="shared" si="48"/>
        <v>0</v>
      </c>
      <c r="P394" s="156">
        <f t="shared" si="49"/>
        <v>0</v>
      </c>
    </row>
    <row r="395" spans="2:16" s="9" customFormat="1" ht="35.1" customHeight="1" x14ac:dyDescent="0.25">
      <c r="B395" s="23" t="s">
        <v>532</v>
      </c>
      <c r="C395" s="22" t="s">
        <v>533</v>
      </c>
      <c r="D395" s="23" t="s">
        <v>284</v>
      </c>
      <c r="E395" s="12">
        <v>264</v>
      </c>
      <c r="F395" s="126">
        <v>82527</v>
      </c>
      <c r="G395" s="126">
        <f>ROUND(+F395*E395,2)</f>
        <v>21787128</v>
      </c>
      <c r="H395" s="8"/>
      <c r="I395" s="9" t="str">
        <f t="array" ref="I395:L395">_xlfn.XLOOKUP(C395,'Neiva 2021 FASE I UNIFICADO'!$C$6:$C$540,'Neiva 2021 FASE I UNIFICADO'!$C$6:$F$540,"NO ESTA")</f>
        <v>SUMINISTRO E INSTALACIÓN SALIDA PARA TOMACORRIENTE DOBLE MONOFÁSICO CON POLO A TIERRA</v>
      </c>
      <c r="J395" s="9" t="str">
        <v xml:space="preserve">UN   </v>
      </c>
      <c r="K395" s="9">
        <v>97</v>
      </c>
      <c r="L395" s="9">
        <v>76379</v>
      </c>
      <c r="M395" s="124" t="str">
        <f t="shared" si="50"/>
        <v>FASE II</v>
      </c>
      <c r="N395" s="155">
        <f t="shared" si="47"/>
        <v>361</v>
      </c>
      <c r="O395" s="156">
        <f t="shared" si="48"/>
        <v>82527</v>
      </c>
      <c r="P395" s="156">
        <f t="shared" si="49"/>
        <v>29792247</v>
      </c>
    </row>
    <row r="396" spans="2:16" s="9" customFormat="1" ht="35.1" customHeight="1" x14ac:dyDescent="0.25">
      <c r="B396" s="23" t="s">
        <v>534</v>
      </c>
      <c r="C396" s="22" t="s">
        <v>535</v>
      </c>
      <c r="D396" s="23" t="s">
        <v>284</v>
      </c>
      <c r="E396" s="12">
        <v>5</v>
      </c>
      <c r="F396" s="126">
        <v>111563</v>
      </c>
      <c r="G396" s="126">
        <f>ROUND(+F396*E396,2)</f>
        <v>557815</v>
      </c>
      <c r="H396" s="8"/>
      <c r="I396" s="9" t="str">
        <f t="array" ref="I396:L396">_xlfn.XLOOKUP(C396,'Neiva 2021 FASE I UNIFICADO'!$C$6:$C$540,'Neiva 2021 FASE I UNIFICADO'!$C$6:$F$540,"NO ESTA")</f>
        <v>SUMINISTRO E INSTALACIÓN SALIDA PARA TOMACORRIENTE DOBLE TIPO GFCI COLOR BLANCO MONOFÁSICODE MURO CON POLO A TIERRA</v>
      </c>
      <c r="J396" s="9" t="str">
        <v xml:space="preserve">UN   </v>
      </c>
      <c r="K396" s="9">
        <v>2</v>
      </c>
      <c r="L396" s="9">
        <v>103251</v>
      </c>
      <c r="M396" s="124" t="str">
        <f t="shared" si="50"/>
        <v>FASE II</v>
      </c>
      <c r="N396" s="155">
        <f t="shared" si="47"/>
        <v>7</v>
      </c>
      <c r="O396" s="156">
        <f t="shared" si="48"/>
        <v>111563</v>
      </c>
      <c r="P396" s="156">
        <f t="shared" si="49"/>
        <v>780941</v>
      </c>
    </row>
    <row r="397" spans="2:16" s="9" customFormat="1" ht="35.1" customHeight="1" x14ac:dyDescent="0.25">
      <c r="B397" s="23" t="s">
        <v>536</v>
      </c>
      <c r="C397" s="22" t="s">
        <v>537</v>
      </c>
      <c r="D397" s="23" t="s">
        <v>284</v>
      </c>
      <c r="E397" s="12">
        <v>18</v>
      </c>
      <c r="F397" s="126">
        <v>83516</v>
      </c>
      <c r="G397" s="126">
        <f>ROUND(+F397*E397,2)</f>
        <v>1503288</v>
      </c>
      <c r="H397" s="8"/>
      <c r="I397" s="9" t="str">
        <f t="array" ref="I397:L397">_xlfn.XLOOKUP(C397,'Neiva 2021 FASE I UNIFICADO'!$C$6:$C$540,'Neiva 2021 FASE I UNIFICADO'!$C$6:$F$540,"NO ESTA")</f>
        <v>SUMINISTRO E INSTALACIÓN SALIDA PARA SECADOR 20A-120V a 1.2 METROS DE ALTURA</v>
      </c>
      <c r="J397" s="9" t="str">
        <v xml:space="preserve">UN   </v>
      </c>
      <c r="K397" s="9">
        <v>7</v>
      </c>
      <c r="L397" s="9">
        <v>77293</v>
      </c>
      <c r="M397" s="124" t="str">
        <f t="shared" si="50"/>
        <v>FASE II</v>
      </c>
      <c r="N397" s="155">
        <f t="shared" si="47"/>
        <v>25</v>
      </c>
      <c r="O397" s="156">
        <f t="shared" si="48"/>
        <v>83516</v>
      </c>
      <c r="P397" s="156">
        <f t="shared" si="49"/>
        <v>2087900</v>
      </c>
    </row>
    <row r="398" spans="2:16" s="9" customFormat="1" ht="35.1" customHeight="1" x14ac:dyDescent="0.25">
      <c r="B398" s="23" t="s">
        <v>538</v>
      </c>
      <c r="C398" s="87" t="s">
        <v>539</v>
      </c>
      <c r="D398" s="23" t="s">
        <v>284</v>
      </c>
      <c r="E398" s="12">
        <v>3</v>
      </c>
      <c r="F398" s="126">
        <v>101196</v>
      </c>
      <c r="G398" s="126">
        <f>ROUND(+F398*E398,2)</f>
        <v>303588</v>
      </c>
      <c r="H398" s="8"/>
      <c r="I398" s="9" t="str">
        <f t="array" ref="I398:L398">_xlfn.XLOOKUP(C398,'Neiva 2021 FASE I UNIFICADO'!$C$6:$C$540,'Neiva 2021 FASE I UNIFICADO'!$C$6:$F$540,"NO ESTA")</f>
        <v>SUMINISTRO E INSTALACIÓN SALIDA PARA TOMA TRIFÁSICA 208v 3FASES EN CAFETERIA</v>
      </c>
      <c r="J398" s="9" t="str">
        <v xml:space="preserve">UN   </v>
      </c>
      <c r="K398" s="9">
        <v>1</v>
      </c>
      <c r="L398" s="9">
        <v>93657</v>
      </c>
      <c r="M398" s="124" t="str">
        <f t="shared" si="50"/>
        <v>FASE II</v>
      </c>
      <c r="N398" s="155">
        <f t="shared" si="47"/>
        <v>4</v>
      </c>
      <c r="O398" s="156">
        <f t="shared" si="48"/>
        <v>101196</v>
      </c>
      <c r="P398" s="156">
        <f t="shared" si="49"/>
        <v>404784</v>
      </c>
    </row>
    <row r="399" spans="2:16" s="9" customFormat="1" ht="35.1" customHeight="1" x14ac:dyDescent="0.25">
      <c r="B399" s="23" t="s">
        <v>540</v>
      </c>
      <c r="C399" s="22" t="s">
        <v>541</v>
      </c>
      <c r="D399" s="23" t="s">
        <v>269</v>
      </c>
      <c r="E399" s="12">
        <v>985</v>
      </c>
      <c r="F399" s="126">
        <v>1705</v>
      </c>
      <c r="G399" s="126">
        <f>ROUND(+F399*E399,2)</f>
        <v>1679425</v>
      </c>
      <c r="H399" s="8"/>
      <c r="I399" s="9" t="str">
        <f t="array" ref="I399:L399">_xlfn.XLOOKUP(C399,'Neiva 2021 FASE I UNIFICADO'!$C$6:$C$540,'Neiva 2021 FASE I UNIFICADO'!$C$6:$F$540,"NO ESTA")</f>
        <v xml:space="preserve">SUMINISTRO E INSTALACIÓN SALIDAS PARCIALES DE CIRCUITO PARA TOMACORIRIENTE DE USO NORMAL EN CABLE #12 AWG THHN/THWN, DESDE EL TABLERO DE AUTOMATICOS POR EL DUCTO PORTACABLES HASTA LOS PRIMEROS PUNTOS DE DERIVACIÓN. </v>
      </c>
      <c r="J399" s="9" t="str">
        <v xml:space="preserve">ML   </v>
      </c>
      <c r="K399" s="9">
        <v>365</v>
      </c>
      <c r="L399" s="9">
        <v>1578</v>
      </c>
      <c r="M399" s="124" t="str">
        <f t="shared" si="50"/>
        <v>FASE II</v>
      </c>
      <c r="N399" s="155">
        <f t="shared" si="47"/>
        <v>1350</v>
      </c>
      <c r="O399" s="156">
        <f t="shared" si="48"/>
        <v>1705</v>
      </c>
      <c r="P399" s="156">
        <f t="shared" si="49"/>
        <v>2301750</v>
      </c>
    </row>
    <row r="400" spans="2:16" s="9" customFormat="1" ht="35.1" customHeight="1" x14ac:dyDescent="0.25">
      <c r="B400" s="47" t="s">
        <v>542</v>
      </c>
      <c r="C400" s="24" t="s">
        <v>543</v>
      </c>
      <c r="D400" s="24"/>
      <c r="E400" s="15"/>
      <c r="F400" s="129"/>
      <c r="G400" s="140"/>
      <c r="H400" s="8"/>
      <c r="I400" s="9" t="str">
        <f t="array" ref="I400:L400">_xlfn.XLOOKUP(C400,'Neiva 2021 FASE I UNIFICADO'!$C$6:$C$540,'Neiva 2021 FASE I UNIFICADO'!$C$6:$F$540,"NO ESTA")</f>
        <v xml:space="preserve">SUMINISTRO E INSTALACIÓN SALIDAS PARA TOMACORRIENTES USO REGULADO EN TUBERIA PVC INCRUSTRADA </v>
      </c>
      <c r="J400" s="9">
        <v>0</v>
      </c>
      <c r="K400" s="9">
        <v>0</v>
      </c>
      <c r="L400" s="9">
        <v>0</v>
      </c>
      <c r="M400" s="124">
        <f t="shared" si="50"/>
        <v>0</v>
      </c>
      <c r="N400" s="155">
        <f t="shared" si="47"/>
        <v>0</v>
      </c>
      <c r="O400" s="156">
        <f t="shared" si="48"/>
        <v>0</v>
      </c>
      <c r="P400" s="156">
        <f t="shared" si="49"/>
        <v>0</v>
      </c>
    </row>
    <row r="401" spans="2:16" s="9" customFormat="1" ht="35.1" customHeight="1" x14ac:dyDescent="0.25">
      <c r="B401" s="23" t="s">
        <v>544</v>
      </c>
      <c r="C401" s="87" t="s">
        <v>545</v>
      </c>
      <c r="D401" s="23" t="s">
        <v>374</v>
      </c>
      <c r="E401" s="12">
        <v>39</v>
      </c>
      <c r="F401" s="126">
        <v>122076</v>
      </c>
      <c r="G401" s="126">
        <f>ROUND(+F401*E401,2)</f>
        <v>4760964</v>
      </c>
      <c r="H401" s="8"/>
      <c r="I401" s="9" t="str">
        <f t="array" ref="I401:L401">_xlfn.XLOOKUP(C401,'Neiva 2021 FASE I UNIFICADO'!$C$6:$C$540,'Neiva 2021 FASE I UNIFICADO'!$C$6:$F$540,"NO ESTA")</f>
        <v>SUMINISTRO E INSTALACIÓN SALIDA PARA TOMACORRIENTE DOBLE DE COLOR NARAJA, PARA INSTALAR EN MURO</v>
      </c>
      <c r="J401" s="9" t="str">
        <v>UN</v>
      </c>
      <c r="K401" s="9">
        <v>15</v>
      </c>
      <c r="L401" s="9">
        <v>112981</v>
      </c>
      <c r="M401" s="124" t="str">
        <f t="shared" si="50"/>
        <v>FASE II</v>
      </c>
      <c r="N401" s="155">
        <f t="shared" si="47"/>
        <v>54</v>
      </c>
      <c r="O401" s="156">
        <f t="shared" si="48"/>
        <v>122076</v>
      </c>
      <c r="P401" s="156">
        <f t="shared" si="49"/>
        <v>6592104</v>
      </c>
    </row>
    <row r="402" spans="2:16" s="9" customFormat="1" ht="35.1" customHeight="1" x14ac:dyDescent="0.25">
      <c r="B402" s="23" t="s">
        <v>546</v>
      </c>
      <c r="C402" s="87" t="s">
        <v>547</v>
      </c>
      <c r="D402" s="23" t="s">
        <v>374</v>
      </c>
      <c r="E402" s="12">
        <v>80</v>
      </c>
      <c r="F402" s="126">
        <v>112524</v>
      </c>
      <c r="G402" s="126">
        <f>ROUND(+F402*E402,2)</f>
        <v>9001920</v>
      </c>
      <c r="H402" s="8"/>
      <c r="I402" s="9" t="str">
        <f t="array" ref="I402:L402">_xlfn.XLOOKUP(C402,'Neiva 2021 FASE I UNIFICADO'!$C$6:$C$540,'Neiva 2021 FASE I UNIFICADO'!$C$6:$F$540,"NO ESTA")</f>
        <v xml:space="preserve">SUMINISTRO E INSTALACIÓN SALIDA PARA TOMACORRIENTE DOBLE DE COLOR NARAJA, PARA INSTALAR EN CANALETA PERIMETRAL </v>
      </c>
      <c r="J402" s="9" t="str">
        <v>UN</v>
      </c>
      <c r="K402" s="9">
        <v>29</v>
      </c>
      <c r="L402" s="9">
        <v>104140</v>
      </c>
      <c r="M402" s="124" t="str">
        <f t="shared" si="50"/>
        <v>FASE II</v>
      </c>
      <c r="N402" s="155">
        <f t="shared" si="47"/>
        <v>109</v>
      </c>
      <c r="O402" s="156">
        <f t="shared" si="48"/>
        <v>112524</v>
      </c>
      <c r="P402" s="156">
        <f t="shared" si="49"/>
        <v>12265116</v>
      </c>
    </row>
    <row r="403" spans="2:16" s="9" customFormat="1" ht="35.1" customHeight="1" x14ac:dyDescent="0.25">
      <c r="B403" s="23" t="s">
        <v>548</v>
      </c>
      <c r="C403" s="87" t="s">
        <v>549</v>
      </c>
      <c r="D403" s="23" t="s">
        <v>269</v>
      </c>
      <c r="E403" s="12">
        <v>36</v>
      </c>
      <c r="F403" s="126">
        <v>11430</v>
      </c>
      <c r="G403" s="126">
        <f>ROUND(+F403*E403,2)</f>
        <v>411480</v>
      </c>
      <c r="H403" s="8"/>
      <c r="I403" s="9" t="str">
        <f t="array" ref="I403:L403">_xlfn.XLOOKUP(C403,'Neiva 2021 FASE I UNIFICADO'!$C$6:$C$540,'Neiva 2021 FASE I UNIFICADO'!$C$6:$F$540,"NO ESTA")</f>
        <v>SUMINISTRO E INSTALACIÓN INTERCONEXIÓN ENTRE EL DUCTO PORTACABLES Y LA CANALETA PERIMETRAL EN ø 1 1/2" CON 4#12 AWG THHN/THWN</v>
      </c>
      <c r="J403" s="9" t="str">
        <v xml:space="preserve">ML   </v>
      </c>
      <c r="K403" s="9">
        <v>14</v>
      </c>
      <c r="L403" s="9">
        <v>10579</v>
      </c>
      <c r="M403" s="124" t="str">
        <f t="shared" si="50"/>
        <v>FASE II</v>
      </c>
      <c r="N403" s="155">
        <f t="shared" si="47"/>
        <v>50</v>
      </c>
      <c r="O403" s="156">
        <f t="shared" si="48"/>
        <v>11430</v>
      </c>
      <c r="P403" s="156">
        <f t="shared" si="49"/>
        <v>571500</v>
      </c>
    </row>
    <row r="404" spans="2:16" s="9" customFormat="1" ht="35.1" customHeight="1" x14ac:dyDescent="0.25">
      <c r="B404" s="23" t="s">
        <v>550</v>
      </c>
      <c r="C404" s="87" t="s">
        <v>551</v>
      </c>
      <c r="D404" s="23" t="s">
        <v>269</v>
      </c>
      <c r="E404" s="12">
        <v>1496</v>
      </c>
      <c r="F404" s="126">
        <v>1705</v>
      </c>
      <c r="G404" s="126">
        <f>ROUND(+F404*E404,2)</f>
        <v>2550680</v>
      </c>
      <c r="H404" s="8"/>
      <c r="I404" s="9" t="str">
        <f t="array" ref="I404:L404">_xlfn.XLOOKUP(C404,'Neiva 2021 FASE I UNIFICADO'!$C$6:$C$540,'Neiva 2021 FASE I UNIFICADO'!$C$6:$F$540,"NO ESTA")</f>
        <v xml:space="preserve">SUMINISTRO E INSTALACIÓN SALIDAS PARCIALES DE CIRCUITO PARA TOMACORIRIENTE DE USO REGULADO EN CABLE #12 AWG THHN/THWN, DESDE EL TABLERO DE AUTOMATICOS POR EL DUCTO PORTACABLES HASTA LOS PRIMEROS PUNTOS DE DERIVACIÓN. </v>
      </c>
      <c r="J404" s="9" t="str">
        <v xml:space="preserve">ML   </v>
      </c>
      <c r="K404" s="9">
        <v>554</v>
      </c>
      <c r="L404" s="9">
        <v>1578</v>
      </c>
      <c r="M404" s="124" t="str">
        <f t="shared" si="50"/>
        <v>FASE II</v>
      </c>
      <c r="N404" s="155">
        <f t="shared" si="47"/>
        <v>2050</v>
      </c>
      <c r="O404" s="156">
        <f t="shared" si="48"/>
        <v>1705</v>
      </c>
      <c r="P404" s="156">
        <f t="shared" si="49"/>
        <v>3495250</v>
      </c>
    </row>
    <row r="405" spans="2:16" s="9" customFormat="1" ht="35.1" customHeight="1" x14ac:dyDescent="0.25">
      <c r="B405" s="33">
        <v>15</v>
      </c>
      <c r="C405" s="34" t="s">
        <v>552</v>
      </c>
      <c r="D405" s="34"/>
      <c r="E405" s="35"/>
      <c r="F405" s="132"/>
      <c r="G405" s="142"/>
      <c r="H405" s="8"/>
      <c r="I405" s="9" t="str">
        <f t="array" ref="I405:L405">_xlfn.XLOOKUP(C405,'Neiva 2021 FASE I UNIFICADO'!$C$6:$C$540,'Neiva 2021 FASE I UNIFICADO'!$C$6:$F$540,"NO ESTA")</f>
        <v>DUCTOS, ACOMETIDAS, TABLEROS, PUESTA A TIERRA, PARARRAYOS Y PLANTA ELÉCTRICA</v>
      </c>
      <c r="J405" s="9">
        <v>0</v>
      </c>
      <c r="K405" s="9">
        <v>0</v>
      </c>
      <c r="L405" s="9">
        <v>0</v>
      </c>
      <c r="M405" s="124">
        <f t="shared" si="50"/>
        <v>0</v>
      </c>
      <c r="N405" s="155">
        <f t="shared" si="47"/>
        <v>0</v>
      </c>
      <c r="O405" s="156">
        <f t="shared" si="48"/>
        <v>0</v>
      </c>
      <c r="P405" s="156">
        <f t="shared" si="49"/>
        <v>0</v>
      </c>
    </row>
    <row r="406" spans="2:16" s="9" customFormat="1" ht="35.1" customHeight="1" x14ac:dyDescent="0.25">
      <c r="B406" s="53" t="s">
        <v>553</v>
      </c>
      <c r="C406" s="24" t="s">
        <v>554</v>
      </c>
      <c r="D406" s="24"/>
      <c r="E406" s="15"/>
      <c r="F406" s="129"/>
      <c r="G406" s="140"/>
      <c r="H406" s="8"/>
      <c r="I406" s="9" t="str">
        <f t="array" ref="I406:L406">_xlfn.XLOOKUP(C406,'Neiva 2021 FASE I UNIFICADO'!$C$6:$C$540,'Neiva 2021 FASE I UNIFICADO'!$C$6:$F$540,"NO ESTA")</f>
        <v>SUMINISTRO E INSTALACIÓN DE DUCTOS PORTACABLES</v>
      </c>
      <c r="J406" s="9">
        <v>0</v>
      </c>
      <c r="K406" s="9">
        <v>0</v>
      </c>
      <c r="L406" s="9">
        <v>0</v>
      </c>
      <c r="M406" s="124">
        <f t="shared" si="50"/>
        <v>0</v>
      </c>
      <c r="N406" s="155">
        <f t="shared" si="47"/>
        <v>0</v>
      </c>
      <c r="O406" s="156">
        <f t="shared" si="48"/>
        <v>0</v>
      </c>
      <c r="P406" s="156">
        <f t="shared" si="49"/>
        <v>0</v>
      </c>
    </row>
    <row r="407" spans="2:16" s="9" customFormat="1" ht="35.1" customHeight="1" x14ac:dyDescent="0.25">
      <c r="B407" s="23" t="s">
        <v>555</v>
      </c>
      <c r="C407" s="87" t="s">
        <v>556</v>
      </c>
      <c r="D407" s="23" t="s">
        <v>269</v>
      </c>
      <c r="E407" s="12">
        <v>194</v>
      </c>
      <c r="F407" s="126">
        <v>105294</v>
      </c>
      <c r="G407" s="126">
        <f t="shared" ref="G407:G412" si="51">ROUND(+F407*E407,2)</f>
        <v>20427036</v>
      </c>
      <c r="H407" s="8"/>
      <c r="I407" s="9" t="str">
        <f t="array" ref="I407">_xlfn.XLOOKUP(C407,'Neiva 2021 FASE I UNIFICADO'!$C$6:$C$540,'Neiva 2021 FASE I UNIFICADO'!$C$6:$F$540,"NO ESTA")</f>
        <v>NO ESTA</v>
      </c>
      <c r="M407" s="124">
        <f t="shared" si="50"/>
        <v>0</v>
      </c>
      <c r="N407" s="155">
        <f t="shared" si="47"/>
        <v>194</v>
      </c>
      <c r="O407" s="156">
        <f t="shared" si="48"/>
        <v>105294</v>
      </c>
      <c r="P407" s="156">
        <f t="shared" si="49"/>
        <v>20427036</v>
      </c>
    </row>
    <row r="408" spans="2:16" s="9" customFormat="1" ht="35.1" customHeight="1" x14ac:dyDescent="0.25">
      <c r="B408" s="23" t="s">
        <v>557</v>
      </c>
      <c r="C408" s="22" t="s">
        <v>558</v>
      </c>
      <c r="D408" s="23" t="s">
        <v>284</v>
      </c>
      <c r="E408" s="12">
        <v>8</v>
      </c>
      <c r="F408" s="126">
        <v>135206</v>
      </c>
      <c r="G408" s="126">
        <f t="shared" si="51"/>
        <v>1081648</v>
      </c>
      <c r="H408" s="8"/>
      <c r="I408" s="9" t="str">
        <f t="array" ref="I408:L408">_xlfn.XLOOKUP(C408,'Neiva 2021 FASE I UNIFICADO'!$C$6:$C$540,'Neiva 2021 FASE I UNIFICADO'!$C$6:$F$540,"NO ESTA")</f>
        <v>SUMINISTRO E INSTALACIÓN TÉE PARA DUCTO PORTACABLES TROQUELADO DE 30x10 cm</v>
      </c>
      <c r="J408" s="9" t="str">
        <v xml:space="preserve">UN   </v>
      </c>
      <c r="K408" s="9">
        <v>3</v>
      </c>
      <c r="L408" s="9">
        <v>125132</v>
      </c>
      <c r="M408" s="124" t="str">
        <f t="shared" si="50"/>
        <v>FASE II</v>
      </c>
      <c r="N408" s="155">
        <f t="shared" si="47"/>
        <v>11</v>
      </c>
      <c r="O408" s="156">
        <f t="shared" si="48"/>
        <v>135206</v>
      </c>
      <c r="P408" s="156">
        <f t="shared" si="49"/>
        <v>1487266</v>
      </c>
    </row>
    <row r="409" spans="2:16" s="9" customFormat="1" ht="35.1" customHeight="1" x14ac:dyDescent="0.25">
      <c r="B409" s="23" t="s">
        <v>559</v>
      </c>
      <c r="C409" s="22" t="s">
        <v>560</v>
      </c>
      <c r="D409" s="23" t="s">
        <v>284</v>
      </c>
      <c r="E409" s="12">
        <v>91</v>
      </c>
      <c r="F409" s="126">
        <v>29987</v>
      </c>
      <c r="G409" s="126">
        <f t="shared" si="51"/>
        <v>2728817</v>
      </c>
      <c r="H409" s="8"/>
      <c r="I409" s="9" t="str">
        <f t="array" ref="I409:L409">_xlfn.XLOOKUP(C409,'Neiva 2021 FASE I UNIFICADO'!$C$6:$C$540,'Neiva 2021 FASE I UNIFICADO'!$C$6:$F$540,"NO ESTA")</f>
        <v>SUMINISTRO E INSTALACIÓN SOPORTES DE FIJACIÓN TIPO PELDAÑO DESCOLGADO PARA DUCTOS PORTACABLES TROQUELADO</v>
      </c>
      <c r="J409" s="9" t="str">
        <v xml:space="preserve">UN   </v>
      </c>
      <c r="K409" s="9">
        <v>34</v>
      </c>
      <c r="L409" s="9">
        <v>27753</v>
      </c>
      <c r="M409" s="124" t="str">
        <f t="shared" si="50"/>
        <v>FASE II</v>
      </c>
      <c r="N409" s="155">
        <f t="shared" si="47"/>
        <v>125</v>
      </c>
      <c r="O409" s="156">
        <f t="shared" si="48"/>
        <v>29987</v>
      </c>
      <c r="P409" s="156">
        <f t="shared" si="49"/>
        <v>3748375</v>
      </c>
    </row>
    <row r="410" spans="2:16" s="9" customFormat="1" ht="35.1" customHeight="1" x14ac:dyDescent="0.25">
      <c r="B410" s="23" t="s">
        <v>561</v>
      </c>
      <c r="C410" s="87" t="s">
        <v>562</v>
      </c>
      <c r="D410" s="23" t="s">
        <v>269</v>
      </c>
      <c r="E410" s="12">
        <v>67</v>
      </c>
      <c r="F410" s="126">
        <v>196007</v>
      </c>
      <c r="G410" s="126">
        <f t="shared" si="51"/>
        <v>13132469</v>
      </c>
      <c r="H410" s="8"/>
      <c r="I410" s="9" t="str">
        <f t="array" ref="I410">_xlfn.XLOOKUP(C410,'Neiva 2021 FASE I UNIFICADO'!$C$6:$C$540,'Neiva 2021 FASE I UNIFICADO'!$C$6:$F$540,"NO ESTA")</f>
        <v>NO ESTA</v>
      </c>
      <c r="M410" s="124">
        <f t="shared" si="50"/>
        <v>0</v>
      </c>
      <c r="N410" s="155">
        <f t="shared" si="47"/>
        <v>67</v>
      </c>
      <c r="O410" s="156">
        <f t="shared" si="48"/>
        <v>196007</v>
      </c>
      <c r="P410" s="156">
        <f t="shared" si="49"/>
        <v>13132469</v>
      </c>
    </row>
    <row r="411" spans="2:16" s="9" customFormat="1" ht="35.1" customHeight="1" x14ac:dyDescent="0.25">
      <c r="B411" s="23" t="s">
        <v>563</v>
      </c>
      <c r="C411" s="22" t="s">
        <v>564</v>
      </c>
      <c r="D411" s="23" t="s">
        <v>284</v>
      </c>
      <c r="E411" s="12">
        <v>2</v>
      </c>
      <c r="F411" s="126">
        <v>162245</v>
      </c>
      <c r="G411" s="126">
        <f t="shared" si="51"/>
        <v>324490</v>
      </c>
      <c r="H411" s="8"/>
      <c r="I411" s="9" t="str">
        <f t="array" ref="I411:L411">_xlfn.XLOOKUP(C411,'Neiva 2021 FASE I UNIFICADO'!$C$6:$C$540,'Neiva 2021 FASE I UNIFICADO'!$C$6:$F$540,"NO ESTA")</f>
        <v>SUMINISTRO E INSTALACIÓN TÉE PARA DUCTO PORTACABLES TROQUELADO DE 100x30 cm</v>
      </c>
      <c r="J411" s="9" t="str">
        <v xml:space="preserve">UN   </v>
      </c>
      <c r="K411" s="9">
        <v>1</v>
      </c>
      <c r="L411" s="9">
        <v>150157</v>
      </c>
      <c r="M411" s="124" t="str">
        <f t="shared" si="50"/>
        <v>FASE II</v>
      </c>
      <c r="N411" s="155">
        <f t="shared" si="47"/>
        <v>3</v>
      </c>
      <c r="O411" s="156">
        <f t="shared" si="48"/>
        <v>162245</v>
      </c>
      <c r="P411" s="156">
        <f t="shared" si="49"/>
        <v>486735</v>
      </c>
    </row>
    <row r="412" spans="2:16" s="9" customFormat="1" ht="35.1" customHeight="1" x14ac:dyDescent="0.25">
      <c r="B412" s="23" t="s">
        <v>565</v>
      </c>
      <c r="C412" s="22" t="s">
        <v>566</v>
      </c>
      <c r="D412" s="23" t="s">
        <v>284</v>
      </c>
      <c r="E412" s="12">
        <v>34</v>
      </c>
      <c r="F412" s="126">
        <v>29987</v>
      </c>
      <c r="G412" s="126">
        <f t="shared" si="51"/>
        <v>1019558</v>
      </c>
      <c r="H412" s="8"/>
      <c r="I412" s="9" t="str">
        <f t="array" ref="I412:L412">_xlfn.XLOOKUP(C412,'Neiva 2021 FASE I UNIFICADO'!$C$6:$C$540,'Neiva 2021 FASE I UNIFICADO'!$C$6:$F$540,"NO ESTA")</f>
        <v>SUMINISTRO E INSTALACIÓN SOPORTES DE FIJACIÓN TIPO PELDAÑO DESCOLGADO PARA DUCTO PORTACABLES TROQUELADO</v>
      </c>
      <c r="J412" s="9" t="str">
        <v xml:space="preserve">UN   </v>
      </c>
      <c r="K412" s="9">
        <v>12</v>
      </c>
      <c r="L412" s="9">
        <v>27753</v>
      </c>
      <c r="M412" s="124" t="str">
        <f t="shared" si="50"/>
        <v>FASE II</v>
      </c>
      <c r="N412" s="155">
        <f t="shared" si="47"/>
        <v>46</v>
      </c>
      <c r="O412" s="156">
        <f t="shared" si="48"/>
        <v>29987</v>
      </c>
      <c r="P412" s="156">
        <f t="shared" si="49"/>
        <v>1379402</v>
      </c>
    </row>
    <row r="413" spans="2:16" s="9" customFormat="1" ht="35.1" customHeight="1" x14ac:dyDescent="0.25">
      <c r="B413" s="53" t="s">
        <v>567</v>
      </c>
      <c r="C413" s="24" t="s">
        <v>568</v>
      </c>
      <c r="D413" s="24"/>
      <c r="E413" s="15"/>
      <c r="F413" s="129"/>
      <c r="G413" s="140"/>
      <c r="H413" s="8"/>
      <c r="I413" s="9" t="str">
        <f t="array" ref="I413:L413">_xlfn.XLOOKUP(C413,'Neiva 2021 FASE I UNIFICADO'!$C$6:$C$540,'Neiva 2021 FASE I UNIFICADO'!$C$6:$F$540,"NO ESTA")</f>
        <v>CANALETA PERIMETRAL MULTITOMA</v>
      </c>
      <c r="J413" s="9">
        <v>0</v>
      </c>
      <c r="K413" s="9">
        <v>0</v>
      </c>
      <c r="L413" s="9">
        <v>0</v>
      </c>
      <c r="M413" s="124">
        <f t="shared" si="50"/>
        <v>0</v>
      </c>
      <c r="N413" s="155">
        <f t="shared" si="47"/>
        <v>0</v>
      </c>
      <c r="O413" s="156">
        <f t="shared" si="48"/>
        <v>0</v>
      </c>
      <c r="P413" s="156">
        <f t="shared" si="49"/>
        <v>0</v>
      </c>
    </row>
    <row r="414" spans="2:16" s="9" customFormat="1" ht="35.1" customHeight="1" x14ac:dyDescent="0.25">
      <c r="B414" s="23" t="s">
        <v>569</v>
      </c>
      <c r="C414" s="22" t="s">
        <v>570</v>
      </c>
      <c r="D414" s="23" t="s">
        <v>269</v>
      </c>
      <c r="E414" s="12">
        <v>182</v>
      </c>
      <c r="F414" s="126">
        <v>29842</v>
      </c>
      <c r="G414" s="126">
        <f>ROUND(+F414*E414,2)</f>
        <v>5431244</v>
      </c>
      <c r="H414" s="8"/>
      <c r="I414" s="9" t="str">
        <f t="array" ref="I414:L414">_xlfn.XLOOKUP(C414,'Neiva 2021 FASE I UNIFICADO'!$C$6:$C$540,'Neiva 2021 FASE I UNIFICADO'!$C$6:$F$540,"NO ESTA")</f>
        <v>SUMINISTRO E INSTALACIÓN CANALETA MULTITOMA DE DOS COMPARTIMIENTOS EN LÁMINA COLD ROLLED CAL. 18 DE SECCIÓN 10x4 cm CON TAPA CLIP Y ACABADO ELECTROESTÁTICO GRIS NOPAL TEXTURIZADO</v>
      </c>
      <c r="J414" s="9" t="str">
        <v xml:space="preserve">ML   </v>
      </c>
      <c r="K414" s="9">
        <v>68</v>
      </c>
      <c r="L414" s="9">
        <v>27618</v>
      </c>
      <c r="M414" s="124" t="str">
        <f t="shared" si="50"/>
        <v>FASE II</v>
      </c>
      <c r="N414" s="155">
        <f t="shared" si="47"/>
        <v>250</v>
      </c>
      <c r="O414" s="156">
        <f t="shared" si="48"/>
        <v>29842</v>
      </c>
      <c r="P414" s="156">
        <f t="shared" si="49"/>
        <v>7460500</v>
      </c>
    </row>
    <row r="415" spans="2:16" s="9" customFormat="1" ht="35.1" customHeight="1" x14ac:dyDescent="0.25">
      <c r="B415" s="23" t="s">
        <v>571</v>
      </c>
      <c r="C415" s="22" t="s">
        <v>572</v>
      </c>
      <c r="D415" s="23" t="s">
        <v>374</v>
      </c>
      <c r="E415" s="12">
        <v>80</v>
      </c>
      <c r="F415" s="126">
        <v>23284</v>
      </c>
      <c r="G415" s="126">
        <f>ROUND(+F415*E415,2)</f>
        <v>1862720</v>
      </c>
      <c r="H415" s="8"/>
      <c r="I415" s="9" t="str">
        <f t="array" ref="I415:L415">_xlfn.XLOOKUP(C415,'Neiva 2021 FASE I UNIFICADO'!$C$6:$C$540,'Neiva 2021 FASE I UNIFICADO'!$C$6:$F$540,"NO ESTA")</f>
        <v>SUMINISTRO E INSTALACIÓN PLACA TOMA TROQUELADA PARA CANALETA 10x4 cm, CON PERFORACIONES PARA UNA (1) TOMA DOBLE COLOR BLANCO, UNA (1) TOMA DOBLE COLOR NARANJA Y UNA (1) TOMA RJ-45</v>
      </c>
      <c r="J415" s="9" t="str">
        <v>UN</v>
      </c>
      <c r="K415" s="9">
        <v>29</v>
      </c>
      <c r="L415" s="9">
        <v>21548</v>
      </c>
      <c r="M415" s="124" t="str">
        <f t="shared" si="50"/>
        <v>FASE II</v>
      </c>
      <c r="N415" s="155">
        <f t="shared" si="47"/>
        <v>109</v>
      </c>
      <c r="O415" s="156">
        <f t="shared" si="48"/>
        <v>23284</v>
      </c>
      <c r="P415" s="156">
        <f t="shared" si="49"/>
        <v>2537956</v>
      </c>
    </row>
    <row r="416" spans="2:16" s="9" customFormat="1" ht="35.1" customHeight="1" x14ac:dyDescent="0.25">
      <c r="B416" s="53" t="s">
        <v>573</v>
      </c>
      <c r="C416" s="24" t="s">
        <v>574</v>
      </c>
      <c r="D416" s="24"/>
      <c r="E416" s="15"/>
      <c r="F416" s="129"/>
      <c r="G416" s="140"/>
      <c r="H416" s="8"/>
      <c r="I416" s="9" t="str">
        <f t="array" ref="I416:L416">_xlfn.XLOOKUP(C416,'Neiva 2021 FASE I UNIFICADO'!$C$6:$C$540,'Neiva 2021 FASE I UNIFICADO'!$C$6:$F$540,"NO ESTA")</f>
        <v>SUMINISTRO E INSTALACIÓN COMETIDA RED MEDIA TENSIÓN (SEGÚN NORMAS CODENSA SA ESP)</v>
      </c>
      <c r="J416" s="9">
        <v>0</v>
      </c>
      <c r="K416" s="9">
        <v>0</v>
      </c>
      <c r="L416" s="9">
        <v>0</v>
      </c>
      <c r="M416" s="124">
        <f t="shared" si="50"/>
        <v>0</v>
      </c>
      <c r="N416" s="155">
        <f t="shared" si="47"/>
        <v>0</v>
      </c>
      <c r="O416" s="156">
        <f t="shared" si="48"/>
        <v>0</v>
      </c>
      <c r="P416" s="156">
        <f t="shared" si="49"/>
        <v>0</v>
      </c>
    </row>
    <row r="417" spans="2:16" s="9" customFormat="1" ht="35.1" customHeight="1" x14ac:dyDescent="0.25">
      <c r="B417" s="23" t="s">
        <v>575</v>
      </c>
      <c r="C417" s="22" t="s">
        <v>576</v>
      </c>
      <c r="D417" s="23" t="s">
        <v>374</v>
      </c>
      <c r="E417" s="12">
        <v>0</v>
      </c>
      <c r="F417" s="126">
        <v>71697829</v>
      </c>
      <c r="G417" s="126">
        <f t="shared" ref="G417:G430" si="52">ROUND(+F417*E417,2)</f>
        <v>0</v>
      </c>
      <c r="H417" s="8"/>
      <c r="I417" s="9" t="str">
        <f t="array" ref="I417:L417">_xlfn.XLOOKUP(C417,'Neiva 2021 FASE I UNIFICADO'!$C$6:$C$540,'Neiva 2021 FASE I UNIFICADO'!$C$6:$F$540,"NO ESTA")</f>
        <v>SUMINISTRO E INSTALACIÓN TRANSFORMADOR DE DISTRIBUCIÓN DE 500 Kva, NIVEL DE TENSIÓN PRIMARIO 13.200 VOLTIOS, NIVEL DE TENSIÓN SECUNDARIO 208/120 VOLTIOS. INCLUYE: RIEL DE SOPORTE PARA TRANSFORMADOR (PATIN), RUEDAS PARA RIEL CON FRENO MECANICO</v>
      </c>
      <c r="J417" s="9" t="str">
        <v>UN</v>
      </c>
      <c r="K417" s="9">
        <v>1</v>
      </c>
      <c r="L417" s="9">
        <v>66355986</v>
      </c>
      <c r="M417" s="124" t="str">
        <f t="shared" si="50"/>
        <v>FASE II</v>
      </c>
      <c r="N417" s="155">
        <f t="shared" si="47"/>
        <v>1</v>
      </c>
      <c r="O417" s="156">
        <f t="shared" si="48"/>
        <v>71697829</v>
      </c>
      <c r="P417" s="156">
        <f t="shared" si="49"/>
        <v>71697829</v>
      </c>
    </row>
    <row r="418" spans="2:16" s="9" customFormat="1" ht="35.1" customHeight="1" x14ac:dyDescent="0.25">
      <c r="B418" s="23" t="s">
        <v>577</v>
      </c>
      <c r="C418" s="22" t="s">
        <v>578</v>
      </c>
      <c r="D418" s="23" t="s">
        <v>374</v>
      </c>
      <c r="E418" s="12">
        <v>0</v>
      </c>
      <c r="F418" s="126">
        <v>5308517</v>
      </c>
      <c r="G418" s="126">
        <f t="shared" si="52"/>
        <v>0</v>
      </c>
      <c r="H418" s="8"/>
      <c r="I418" s="9" t="str">
        <f t="array" ref="I418:L418">_xlfn.XLOOKUP(C418,'Neiva 2021 FASE I UNIFICADO'!$C$6:$C$540,'Neiva 2021 FASE I UNIFICADO'!$C$6:$F$540,"NO ESTA")</f>
        <v>SUMINISTRO E INSTALACIÓN PUERTA CORTAFUEGO PINTURA ELECTROESTÁTICA Y SEÑALES DE RIESGO ELÉCTRICO. INCLUYE ACCESORIOS PARA ENCLAVAMIENTO</v>
      </c>
      <c r="J418" s="9" t="str">
        <v>UN</v>
      </c>
      <c r="K418" s="9">
        <v>1</v>
      </c>
      <c r="L418" s="9">
        <v>4913006</v>
      </c>
      <c r="M418" s="124" t="str">
        <f t="shared" si="50"/>
        <v>FASE II</v>
      </c>
      <c r="N418" s="155">
        <f t="shared" si="47"/>
        <v>1</v>
      </c>
      <c r="O418" s="156">
        <f t="shared" si="48"/>
        <v>5308517</v>
      </c>
      <c r="P418" s="156">
        <f t="shared" si="49"/>
        <v>5308517</v>
      </c>
    </row>
    <row r="419" spans="2:16" s="9" customFormat="1" ht="35.1" customHeight="1" x14ac:dyDescent="0.25">
      <c r="B419" s="23" t="s">
        <v>579</v>
      </c>
      <c r="C419" s="22" t="s">
        <v>580</v>
      </c>
      <c r="D419" s="23" t="s">
        <v>374</v>
      </c>
      <c r="E419" s="12">
        <v>0</v>
      </c>
      <c r="F419" s="126">
        <v>197566</v>
      </c>
      <c r="G419" s="126">
        <f t="shared" si="52"/>
        <v>0</v>
      </c>
      <c r="H419" s="8"/>
      <c r="I419" s="9" t="str">
        <f t="array" ref="I419:L419">_xlfn.XLOOKUP(C419,'Neiva 2021 FASE I UNIFICADO'!$C$6:$C$540,'Neiva 2021 FASE I UNIFICADO'!$C$6:$F$540,"NO ESTA")</f>
        <v>SUMINISTRO E INSTALACIÓN BARRERA DE PROTECCIÓN PARA EVITAR CONTACTO DIRECTO CON TRANSFORMADOR. INCLUYE INDUMENTARIA PARA ASEGURAR LA BARRERA A LA DISTANCIA ADECUADA DEL TRANSFORMADOR</v>
      </c>
      <c r="J419" s="9" t="str">
        <v>UN</v>
      </c>
      <c r="K419" s="9">
        <v>1</v>
      </c>
      <c r="L419" s="9">
        <v>182846</v>
      </c>
      <c r="M419" s="124" t="str">
        <f t="shared" si="50"/>
        <v>FASE II</v>
      </c>
      <c r="N419" s="155">
        <f t="shared" si="47"/>
        <v>1</v>
      </c>
      <c r="O419" s="156">
        <f t="shared" si="48"/>
        <v>197566</v>
      </c>
      <c r="P419" s="156">
        <f t="shared" si="49"/>
        <v>197566</v>
      </c>
    </row>
    <row r="420" spans="2:16" s="9" customFormat="1" ht="35.1" customHeight="1" x14ac:dyDescent="0.25">
      <c r="B420" s="23" t="s">
        <v>581</v>
      </c>
      <c r="C420" s="22" t="s">
        <v>1225</v>
      </c>
      <c r="D420" s="23" t="s">
        <v>374</v>
      </c>
      <c r="E420" s="12">
        <v>0</v>
      </c>
      <c r="F420" s="126">
        <v>161010</v>
      </c>
      <c r="G420" s="126">
        <f t="shared" si="52"/>
        <v>0</v>
      </c>
      <c r="H420" s="8"/>
      <c r="I420" s="9" t="str">
        <f t="array" ref="I420">_xlfn.XLOOKUP(C420,'Neiva 2021 FASE I UNIFICADO'!$C$6:$C$540,'Neiva 2021 FASE I UNIFICADO'!$C$6:$F$540,"NO ESTA")</f>
        <v>NO ESTA</v>
      </c>
      <c r="M420" s="124">
        <f t="shared" si="50"/>
        <v>0</v>
      </c>
      <c r="N420" s="155">
        <f t="shared" si="47"/>
        <v>0</v>
      </c>
      <c r="O420" s="156">
        <f t="shared" si="48"/>
        <v>161010</v>
      </c>
      <c r="P420" s="156">
        <f t="shared" si="49"/>
        <v>0</v>
      </c>
    </row>
    <row r="421" spans="2:16" s="9" customFormat="1" ht="35.1" customHeight="1" x14ac:dyDescent="0.25">
      <c r="B421" s="23" t="s">
        <v>583</v>
      </c>
      <c r="C421" s="22" t="s">
        <v>584</v>
      </c>
      <c r="D421" s="23" t="s">
        <v>374</v>
      </c>
      <c r="E421" s="12">
        <v>0</v>
      </c>
      <c r="F421" s="126">
        <v>324542</v>
      </c>
      <c r="G421" s="126">
        <f t="shared" si="52"/>
        <v>0</v>
      </c>
      <c r="H421" s="8"/>
      <c r="I421" s="9" t="str">
        <f t="array" ref="I421:L421">_xlfn.XLOOKUP(C421,'Neiva 2021 FASE I UNIFICADO'!$C$6:$C$540,'Neiva 2021 FASE I UNIFICADO'!$C$6:$F$540,"NO ESTA")</f>
        <v>SUMINISTRO E INSTALACIÓN PASAMUROS DE MEDIA TENSIÓN, PASA MUROS EN PVC INCLUYE OBRAS NECESARIAS PARA LA INSTALACIÓN DE LAS MISMAS (JUEGO)</v>
      </c>
      <c r="J421" s="9" t="str">
        <v>UN</v>
      </c>
      <c r="K421" s="9">
        <v>1</v>
      </c>
      <c r="L421" s="9">
        <v>300362</v>
      </c>
      <c r="M421" s="124" t="str">
        <f t="shared" si="50"/>
        <v>FASE II</v>
      </c>
      <c r="N421" s="155">
        <f t="shared" si="47"/>
        <v>1</v>
      </c>
      <c r="O421" s="156">
        <f t="shared" si="48"/>
        <v>324542</v>
      </c>
      <c r="P421" s="156">
        <f t="shared" si="49"/>
        <v>324542</v>
      </c>
    </row>
    <row r="422" spans="2:16" s="9" customFormat="1" ht="35.1" customHeight="1" x14ac:dyDescent="0.25">
      <c r="B422" s="23" t="s">
        <v>585</v>
      </c>
      <c r="C422" s="22" t="s">
        <v>586</v>
      </c>
      <c r="D422" s="23" t="s">
        <v>374</v>
      </c>
      <c r="E422" s="12">
        <v>0</v>
      </c>
      <c r="F422" s="126">
        <v>395661</v>
      </c>
      <c r="G422" s="126">
        <f t="shared" si="52"/>
        <v>0</v>
      </c>
      <c r="H422" s="8"/>
      <c r="I422" s="9" t="str">
        <f t="array" ref="I422:L422">_xlfn.XLOOKUP(C422,'Neiva 2021 FASE I UNIFICADO'!$C$6:$C$540,'Neiva 2021 FASE I UNIFICADO'!$C$6:$F$540,"NO ESTA")</f>
        <v>SUMINISTRO E INSTALACIÓN DUCTO DE VENTILACIÓN CON DÁMPER FIRE, INCLUYE REJILLA DAMPER PARA EMERGENCIA</v>
      </c>
      <c r="J422" s="9" t="str">
        <v>UN</v>
      </c>
      <c r="K422" s="9">
        <v>1</v>
      </c>
      <c r="L422" s="9">
        <v>366182</v>
      </c>
      <c r="M422" s="124" t="str">
        <f t="shared" si="50"/>
        <v>FASE II</v>
      </c>
      <c r="N422" s="155">
        <f t="shared" si="47"/>
        <v>1</v>
      </c>
      <c r="O422" s="156">
        <f t="shared" si="48"/>
        <v>395661</v>
      </c>
      <c r="P422" s="156">
        <f t="shared" si="49"/>
        <v>395661</v>
      </c>
    </row>
    <row r="423" spans="2:16" s="9" customFormat="1" ht="35.1" customHeight="1" x14ac:dyDescent="0.25">
      <c r="B423" s="23" t="s">
        <v>587</v>
      </c>
      <c r="C423" s="22" t="s">
        <v>1226</v>
      </c>
      <c r="D423" s="23" t="s">
        <v>374</v>
      </c>
      <c r="E423" s="12">
        <v>0</v>
      </c>
      <c r="F423" s="126">
        <v>289655</v>
      </c>
      <c r="G423" s="126">
        <f t="shared" si="52"/>
        <v>0</v>
      </c>
      <c r="H423" s="8"/>
      <c r="I423" s="9" t="str">
        <f t="array" ref="I423">_xlfn.XLOOKUP(C423,'Neiva 2021 FASE I UNIFICADO'!$C$6:$C$540,'Neiva 2021 FASE I UNIFICADO'!$C$6:$F$540,"NO ESTA")</f>
        <v>NO ESTA</v>
      </c>
      <c r="M423" s="124">
        <f t="shared" si="50"/>
        <v>0</v>
      </c>
      <c r="N423" s="155">
        <f t="shared" si="47"/>
        <v>0</v>
      </c>
      <c r="O423" s="156">
        <f t="shared" si="48"/>
        <v>289655</v>
      </c>
      <c r="P423" s="156">
        <f t="shared" si="49"/>
        <v>0</v>
      </c>
    </row>
    <row r="424" spans="2:16" s="9" customFormat="1" ht="35.1" customHeight="1" x14ac:dyDescent="0.25">
      <c r="B424" s="23" t="s">
        <v>589</v>
      </c>
      <c r="C424" s="22" t="s">
        <v>590</v>
      </c>
      <c r="D424" s="23" t="s">
        <v>374</v>
      </c>
      <c r="E424" s="12">
        <v>1</v>
      </c>
      <c r="F424" s="126">
        <v>584126</v>
      </c>
      <c r="G424" s="126">
        <f t="shared" si="52"/>
        <v>584126</v>
      </c>
      <c r="H424" s="8"/>
      <c r="I424" s="9" t="str">
        <f t="array" ref="I424:L424">_xlfn.XLOOKUP(C424,'Neiva 2021 FASE I UNIFICADO'!$C$6:$C$540,'Neiva 2021 FASE I UNIFICADO'!$C$6:$F$540,"NO ESTA")</f>
        <v>SUMINISTRO E INSTALACIÓN DE DPS (DISPOSITIVO DE PROTECCIÓN CONTRA SOBRETENSIONES)</v>
      </c>
      <c r="J424" s="9" t="str">
        <v>UN</v>
      </c>
      <c r="K424" s="9">
        <v>1</v>
      </c>
      <c r="L424" s="9">
        <v>540606</v>
      </c>
      <c r="M424" s="124" t="str">
        <f t="shared" si="50"/>
        <v>FASE II</v>
      </c>
      <c r="N424" s="155">
        <f t="shared" si="47"/>
        <v>2</v>
      </c>
      <c r="O424" s="156">
        <f t="shared" si="48"/>
        <v>584126</v>
      </c>
      <c r="P424" s="156">
        <f t="shared" si="49"/>
        <v>1168252</v>
      </c>
    </row>
    <row r="425" spans="2:16" s="9" customFormat="1" ht="35.1" customHeight="1" x14ac:dyDescent="0.25">
      <c r="B425" s="23" t="s">
        <v>591</v>
      </c>
      <c r="C425" s="22" t="s">
        <v>1227</v>
      </c>
      <c r="D425" s="23" t="s">
        <v>374</v>
      </c>
      <c r="E425" s="12">
        <v>0</v>
      </c>
      <c r="F425" s="126">
        <v>18747389</v>
      </c>
      <c r="G425" s="126">
        <f t="shared" si="52"/>
        <v>0</v>
      </c>
      <c r="H425" s="8"/>
      <c r="I425" s="9" t="str">
        <f t="array" ref="I425">_xlfn.XLOOKUP(C425,'Neiva 2021 FASE I UNIFICADO'!$C$6:$C$540,'Neiva 2021 FASE I UNIFICADO'!$C$6:$F$540,"NO ESTA")</f>
        <v>NO ESTA</v>
      </c>
      <c r="M425" s="124">
        <f t="shared" si="50"/>
        <v>0</v>
      </c>
      <c r="N425" s="155">
        <f t="shared" si="47"/>
        <v>0</v>
      </c>
      <c r="O425" s="156">
        <f t="shared" si="48"/>
        <v>18747389</v>
      </c>
      <c r="P425" s="156">
        <f t="shared" si="49"/>
        <v>0</v>
      </c>
    </row>
    <row r="426" spans="2:16" s="9" customFormat="1" ht="35.1" customHeight="1" x14ac:dyDescent="0.25">
      <c r="B426" s="23" t="s">
        <v>593</v>
      </c>
      <c r="C426" s="22" t="s">
        <v>594</v>
      </c>
      <c r="D426" s="23" t="s">
        <v>374</v>
      </c>
      <c r="E426" s="12">
        <v>2</v>
      </c>
      <c r="F426" s="126">
        <v>1490034</v>
      </c>
      <c r="G426" s="126">
        <f t="shared" si="52"/>
        <v>2980068</v>
      </c>
      <c r="H426" s="8"/>
      <c r="I426" s="9" t="str">
        <f t="array" ref="I426:L426">_xlfn.XLOOKUP(C426,'Neiva 2021 FASE I UNIFICADO'!$C$6:$C$540,'Neiva 2021 FASE I UNIFICADO'!$C$6:$F$540,"NO ESTA")</f>
        <v xml:space="preserve">SUMINISTRO E INSTALACIÓN CAJA DE INSPECCIÓN SENCILLA CON TAPA EN CONCRETO SEGÚN NORMA CS-276 CODENSA S.A. ESP PARA RED DE MEDIA Y BAJA TENSIÓN. </v>
      </c>
      <c r="J426" s="9" t="str">
        <v>UN</v>
      </c>
      <c r="K426" s="9">
        <v>1</v>
      </c>
      <c r="L426" s="9">
        <v>1379019</v>
      </c>
      <c r="M426" s="124" t="str">
        <f t="shared" si="50"/>
        <v>FASE II</v>
      </c>
      <c r="N426" s="155">
        <f t="shared" si="47"/>
        <v>3</v>
      </c>
      <c r="O426" s="156">
        <f t="shared" si="48"/>
        <v>1490034</v>
      </c>
      <c r="P426" s="156">
        <f t="shared" si="49"/>
        <v>4470102</v>
      </c>
    </row>
    <row r="427" spans="2:16" s="9" customFormat="1" ht="35.1" customHeight="1" x14ac:dyDescent="0.25">
      <c r="B427" s="53" t="s">
        <v>595</v>
      </c>
      <c r="C427" s="24" t="s">
        <v>596</v>
      </c>
      <c r="D427" s="24"/>
      <c r="E427" s="15"/>
      <c r="F427" s="126">
        <v>0</v>
      </c>
      <c r="G427" s="126">
        <f t="shared" si="52"/>
        <v>0</v>
      </c>
      <c r="H427" s="8"/>
      <c r="I427" s="9" t="str">
        <f t="array" ref="I427:L427">_xlfn.XLOOKUP(C427,'Neiva 2021 FASE I UNIFICADO'!$C$6:$C$540,'Neiva 2021 FASE I UNIFICADO'!$C$6:$F$540,"NO ESTA")</f>
        <v>SUMINISTRO E INSTALACIÓN ALIMENTADORES ELÉCTRICOS PRINCIPALES</v>
      </c>
      <c r="J427" s="9">
        <v>0</v>
      </c>
      <c r="K427" s="9">
        <v>0</v>
      </c>
      <c r="L427" s="9">
        <v>0</v>
      </c>
      <c r="M427" s="124">
        <f t="shared" si="50"/>
        <v>0</v>
      </c>
      <c r="N427" s="155">
        <f t="shared" si="47"/>
        <v>0</v>
      </c>
      <c r="O427" s="156">
        <f t="shared" si="48"/>
        <v>0</v>
      </c>
      <c r="P427" s="156">
        <f t="shared" si="49"/>
        <v>0</v>
      </c>
    </row>
    <row r="428" spans="2:16" s="9" customFormat="1" ht="35.1" customHeight="1" x14ac:dyDescent="0.25">
      <c r="B428" s="23" t="s">
        <v>597</v>
      </c>
      <c r="C428" s="22" t="s">
        <v>598</v>
      </c>
      <c r="D428" s="23" t="s">
        <v>269</v>
      </c>
      <c r="E428" s="12">
        <v>0</v>
      </c>
      <c r="F428" s="126">
        <v>314854</v>
      </c>
      <c r="G428" s="126">
        <f t="shared" si="52"/>
        <v>0</v>
      </c>
      <c r="H428" s="8"/>
      <c r="I428" s="9" t="str">
        <f t="array" ref="I428:L428">_xlfn.XLOOKUP(C428,'Neiva 2021 FASE I UNIFICADO'!$C$6:$C$540,'Neiva 2021 FASE I UNIFICADO'!$C$6:$F$540,"NO ESTA")</f>
        <v>SUMINISTRO E INSTALACIÓN INTERCONEXIÓN ENTRE CAJA CS-276 Y CELDA DE MEDIDA CABLE XLPE 15KV T AWG EN TUBERÍA PVC 6".</v>
      </c>
      <c r="J428" s="9" t="str">
        <v xml:space="preserve">ML   </v>
      </c>
      <c r="K428" s="9">
        <v>20</v>
      </c>
      <c r="L428" s="9">
        <v>291397</v>
      </c>
      <c r="M428" s="124" t="str">
        <f t="shared" si="50"/>
        <v>FASE II</v>
      </c>
      <c r="N428" s="155">
        <f t="shared" si="47"/>
        <v>20</v>
      </c>
      <c r="O428" s="156">
        <f t="shared" si="48"/>
        <v>314854</v>
      </c>
      <c r="P428" s="156">
        <f t="shared" si="49"/>
        <v>6297080</v>
      </c>
    </row>
    <row r="429" spans="2:16" s="9" customFormat="1" ht="35.1" customHeight="1" x14ac:dyDescent="0.25">
      <c r="B429" s="23" t="s">
        <v>599</v>
      </c>
      <c r="C429" s="22" t="s">
        <v>1228</v>
      </c>
      <c r="D429" s="23" t="s">
        <v>269</v>
      </c>
      <c r="E429" s="12">
        <v>0</v>
      </c>
      <c r="F429" s="126">
        <v>1162072</v>
      </c>
      <c r="G429" s="126">
        <f t="shared" si="52"/>
        <v>0</v>
      </c>
      <c r="H429" s="8"/>
      <c r="I429" s="9" t="str">
        <f t="array" ref="I429">_xlfn.XLOOKUP(C429,'Neiva 2021 FASE I UNIFICADO'!$C$6:$C$540,'Neiva 2021 FASE I UNIFICADO'!$C$6:$F$540,"NO ESTA")</f>
        <v>NO ESTA</v>
      </c>
      <c r="M429" s="124">
        <f t="shared" si="50"/>
        <v>0</v>
      </c>
      <c r="N429" s="155">
        <f t="shared" si="47"/>
        <v>0</v>
      </c>
      <c r="O429" s="156">
        <f t="shared" si="48"/>
        <v>1162072</v>
      </c>
      <c r="P429" s="156">
        <f t="shared" si="49"/>
        <v>0</v>
      </c>
    </row>
    <row r="430" spans="2:16" s="9" customFormat="1" ht="35.1" customHeight="1" x14ac:dyDescent="0.25">
      <c r="B430" s="23" t="s">
        <v>601</v>
      </c>
      <c r="C430" s="22" t="s">
        <v>1229</v>
      </c>
      <c r="D430" s="23" t="s">
        <v>269</v>
      </c>
      <c r="E430" s="12">
        <v>0</v>
      </c>
      <c r="F430" s="126">
        <v>1222558</v>
      </c>
      <c r="G430" s="126">
        <f t="shared" si="52"/>
        <v>0</v>
      </c>
      <c r="H430" s="8"/>
      <c r="I430" s="9" t="str">
        <f t="array" ref="I430">_xlfn.XLOOKUP(C430,'Neiva 2021 FASE I UNIFICADO'!$C$6:$C$540,'Neiva 2021 FASE I UNIFICADO'!$C$6:$F$540,"NO ESTA")</f>
        <v>NO ESTA</v>
      </c>
      <c r="M430" s="124">
        <f t="shared" si="50"/>
        <v>0</v>
      </c>
      <c r="N430" s="155">
        <f t="shared" si="47"/>
        <v>0</v>
      </c>
      <c r="O430" s="156">
        <f t="shared" si="48"/>
        <v>1222558</v>
      </c>
      <c r="P430" s="156">
        <f t="shared" si="49"/>
        <v>0</v>
      </c>
    </row>
    <row r="431" spans="2:16" s="9" customFormat="1" ht="35.1" customHeight="1" x14ac:dyDescent="0.25">
      <c r="B431" s="53" t="s">
        <v>603</v>
      </c>
      <c r="C431" s="24" t="s">
        <v>596</v>
      </c>
      <c r="D431" s="24"/>
      <c r="E431" s="15"/>
      <c r="F431" s="129"/>
      <c r="G431" s="140"/>
      <c r="H431" s="8"/>
      <c r="I431" s="9" t="str">
        <f t="array" ref="I431:L431">_xlfn.XLOOKUP(C431,'Neiva 2021 FASE I UNIFICADO'!$C$6:$C$540,'Neiva 2021 FASE I UNIFICADO'!$C$6:$F$540,"NO ESTA")</f>
        <v>SUMINISTRO E INSTALACIÓN ALIMENTADORES ELÉCTRICOS PRINCIPALES</v>
      </c>
      <c r="J431" s="9">
        <v>0</v>
      </c>
      <c r="K431" s="9">
        <v>0</v>
      </c>
      <c r="L431" s="9">
        <v>0</v>
      </c>
      <c r="M431" s="124">
        <f t="shared" si="50"/>
        <v>0</v>
      </c>
      <c r="N431" s="155">
        <f t="shared" si="47"/>
        <v>0</v>
      </c>
      <c r="O431" s="156">
        <f t="shared" si="48"/>
        <v>0</v>
      </c>
      <c r="P431" s="156">
        <f t="shared" si="49"/>
        <v>0</v>
      </c>
    </row>
    <row r="432" spans="2:16" s="9" customFormat="1" ht="35.1" customHeight="1" x14ac:dyDescent="0.25">
      <c r="B432" s="23" t="s">
        <v>604</v>
      </c>
      <c r="C432" s="22" t="s">
        <v>605</v>
      </c>
      <c r="D432" s="23" t="s">
        <v>269</v>
      </c>
      <c r="E432" s="12">
        <v>0</v>
      </c>
      <c r="F432" s="126">
        <v>190892</v>
      </c>
      <c r="G432" s="126">
        <f t="shared" ref="G432:G450" si="53">ROUND(+F432*E432,2)</f>
        <v>0</v>
      </c>
      <c r="H432" s="8"/>
      <c r="I432" s="9" t="str">
        <f t="array" ref="I432:L432">_xlfn.XLOOKUP(C432,'Neiva 2021 FASE I UNIFICADO'!$C$6:$C$540,'Neiva 2021 FASE I UNIFICADO'!$C$6:$F$540,"NO ESTA")</f>
        <v>SUMINISTRO E INSTALACIÓN ALIMENTADOR DESDE TRANSFERENCIA HASTA TABLERO GENERAL DE MAQUINAS EN 3#4/0+1#4/0N+1#2T AWG EN BANDEJA PORTA CABLES</v>
      </c>
      <c r="J432" s="9" t="str">
        <v xml:space="preserve">ML   </v>
      </c>
      <c r="K432" s="9">
        <v>8</v>
      </c>
      <c r="L432" s="9">
        <v>176671</v>
      </c>
      <c r="M432" s="124" t="str">
        <f t="shared" si="50"/>
        <v>FASE II</v>
      </c>
      <c r="N432" s="155">
        <f t="shared" si="47"/>
        <v>8</v>
      </c>
      <c r="O432" s="156">
        <f t="shared" si="48"/>
        <v>190892</v>
      </c>
      <c r="P432" s="156">
        <f t="shared" si="49"/>
        <v>1527136</v>
      </c>
    </row>
    <row r="433" spans="2:16" s="9" customFormat="1" ht="35.1" customHeight="1" x14ac:dyDescent="0.25">
      <c r="B433" s="23" t="s">
        <v>606</v>
      </c>
      <c r="C433" s="22" t="s">
        <v>607</v>
      </c>
      <c r="D433" s="23" t="s">
        <v>269</v>
      </c>
      <c r="E433" s="12">
        <v>0</v>
      </c>
      <c r="F433" s="126">
        <v>61314</v>
      </c>
      <c r="G433" s="126">
        <f t="shared" si="53"/>
        <v>0</v>
      </c>
      <c r="H433" s="8"/>
      <c r="I433" s="9" t="str">
        <f t="array" ref="I433:L433">_xlfn.XLOOKUP(C433,'Neiva 2021 FASE I UNIFICADO'!$C$6:$C$540,'Neiva 2021 FASE I UNIFICADO'!$C$6:$F$540,"NO ESTA")</f>
        <v>SUMINISTRO E INSTALACIÓN ALIMENTADOR DESDE EL TABLERO GENERAL MAQUINAS HASTA EL TABLERO DE ASCENSOR EN 3#6+1#6N+1#8T AWG EN TUBERIA PVC ø 1 1/2" INCLUYENDO DE TERMINALES DE CONEXIÓN</v>
      </c>
      <c r="J433" s="9" t="str">
        <v xml:space="preserve">ML   </v>
      </c>
      <c r="K433" s="9">
        <v>52</v>
      </c>
      <c r="L433" s="9">
        <v>56745</v>
      </c>
      <c r="M433" s="124" t="str">
        <f t="shared" si="50"/>
        <v>FASE II</v>
      </c>
      <c r="N433" s="155">
        <f t="shared" si="47"/>
        <v>52</v>
      </c>
      <c r="O433" s="156">
        <f t="shared" si="48"/>
        <v>61314</v>
      </c>
      <c r="P433" s="156">
        <f t="shared" si="49"/>
        <v>3188328</v>
      </c>
    </row>
    <row r="434" spans="2:16" s="9" customFormat="1" ht="35.1" customHeight="1" x14ac:dyDescent="0.25">
      <c r="B434" s="23" t="s">
        <v>608</v>
      </c>
      <c r="C434" s="22" t="s">
        <v>609</v>
      </c>
      <c r="D434" s="23" t="s">
        <v>269</v>
      </c>
      <c r="E434" s="12">
        <v>0</v>
      </c>
      <c r="F434" s="126">
        <v>61314</v>
      </c>
      <c r="G434" s="126">
        <f t="shared" si="53"/>
        <v>0</v>
      </c>
      <c r="H434" s="8"/>
      <c r="I434" s="9" t="str">
        <f t="array" ref="I434:L434">_xlfn.XLOOKUP(C434,'Neiva 2021 FASE I UNIFICADO'!$C$6:$C$540,'Neiva 2021 FASE I UNIFICADO'!$C$6:$F$540,"NO ESTA")</f>
        <v>SUMINISTRO E INSTALACIÓN ALIMENTADOR DESDE EL TABLERO GENERAL MAQUINAS HASTA EL TABLERO NORMAL BOMBAS EN 3#6+1#6N+1#8T AWG EN TUBERIA PVC 1 ø 1 1/2" INCLUYENDO DE TERMINALES DE CONEXIÓN</v>
      </c>
      <c r="J434" s="9" t="str">
        <v xml:space="preserve">ML   </v>
      </c>
      <c r="K434" s="9">
        <v>106</v>
      </c>
      <c r="L434" s="9">
        <v>56745</v>
      </c>
      <c r="M434" s="124" t="str">
        <f t="shared" si="50"/>
        <v>FASE II</v>
      </c>
      <c r="N434" s="155">
        <f t="shared" si="47"/>
        <v>106</v>
      </c>
      <c r="O434" s="156">
        <f t="shared" si="48"/>
        <v>61314</v>
      </c>
      <c r="P434" s="156">
        <f t="shared" si="49"/>
        <v>6499284</v>
      </c>
    </row>
    <row r="435" spans="2:16" s="9" customFormat="1" ht="35.1" customHeight="1" x14ac:dyDescent="0.25">
      <c r="B435" s="23" t="s">
        <v>610</v>
      </c>
      <c r="C435" s="22" t="s">
        <v>611</v>
      </c>
      <c r="D435" s="23" t="s">
        <v>269</v>
      </c>
      <c r="E435" s="12">
        <v>0</v>
      </c>
      <c r="F435" s="126">
        <v>358460</v>
      </c>
      <c r="G435" s="126">
        <f t="shared" si="53"/>
        <v>0</v>
      </c>
      <c r="H435" s="8"/>
      <c r="I435" s="9" t="str">
        <f t="array" ref="I435:L435">_xlfn.XLOOKUP(C435,'Neiva 2021 FASE I UNIFICADO'!$C$6:$C$540,'Neiva 2021 FASE I UNIFICADO'!$C$6:$F$540,"NO ESTA")</f>
        <v>SUMINISTRO E INSTALACIÓN ALIMENTADOR DESDE TRANSFERENCIA HASTA EL TABLERO GENERAL DE DISTRIBUCIÓN EN 6#4/0+2#4/0N+1#4T EN BANDEJA PORTACABLES</v>
      </c>
      <c r="J435" s="9" t="str">
        <v xml:space="preserve">ML   </v>
      </c>
      <c r="K435" s="9">
        <v>5</v>
      </c>
      <c r="L435" s="9">
        <v>331752</v>
      </c>
      <c r="M435" s="124" t="str">
        <f t="shared" si="50"/>
        <v>FASE II</v>
      </c>
      <c r="N435" s="155">
        <f t="shared" si="47"/>
        <v>5</v>
      </c>
      <c r="O435" s="156">
        <f t="shared" si="48"/>
        <v>358460</v>
      </c>
      <c r="P435" s="156">
        <f t="shared" si="49"/>
        <v>1792300</v>
      </c>
    </row>
    <row r="436" spans="2:16" s="9" customFormat="1" ht="35.1" customHeight="1" x14ac:dyDescent="0.25">
      <c r="B436" s="23" t="s">
        <v>612</v>
      </c>
      <c r="C436" s="22" t="s">
        <v>613</v>
      </c>
      <c r="D436" s="23" t="s">
        <v>269</v>
      </c>
      <c r="E436" s="12">
        <v>0</v>
      </c>
      <c r="F436" s="126">
        <v>61314</v>
      </c>
      <c r="G436" s="126">
        <f t="shared" si="53"/>
        <v>0</v>
      </c>
      <c r="H436" s="8"/>
      <c r="I436" s="9" t="str">
        <f t="array" ref="I436:L436">_xlfn.XLOOKUP(C436,'Neiva 2021 FASE I UNIFICADO'!$C$6:$C$540,'Neiva 2021 FASE I UNIFICADO'!$C$6:$F$540,"NO ESTA")</f>
        <v>SUMINISTRO E INSTALACIÓN ALIMENTADOR DESDE EL TABLERO GENERAL DE DISTRIBUCIÓN HASTA EL TNS SOTANO POR CARCAMO CON 3#6+1#6N+1#8T AWG INCLUYE TERMINALES DE CONEXIÓN</v>
      </c>
      <c r="J436" s="9" t="str">
        <v xml:space="preserve">ML   </v>
      </c>
      <c r="K436" s="9">
        <v>6</v>
      </c>
      <c r="L436" s="9">
        <v>56745</v>
      </c>
      <c r="M436" s="124" t="str">
        <f t="shared" si="50"/>
        <v>FASE II</v>
      </c>
      <c r="N436" s="155">
        <f t="shared" si="47"/>
        <v>6</v>
      </c>
      <c r="O436" s="156">
        <f t="shared" si="48"/>
        <v>61314</v>
      </c>
      <c r="P436" s="156">
        <f t="shared" si="49"/>
        <v>367884</v>
      </c>
    </row>
    <row r="437" spans="2:16" s="9" customFormat="1" ht="35.1" customHeight="1" x14ac:dyDescent="0.25">
      <c r="B437" s="23" t="s">
        <v>614</v>
      </c>
      <c r="C437" s="22" t="s">
        <v>615</v>
      </c>
      <c r="D437" s="23" t="s">
        <v>269</v>
      </c>
      <c r="E437" s="12">
        <v>0</v>
      </c>
      <c r="F437" s="126">
        <v>128769</v>
      </c>
      <c r="G437" s="126">
        <f t="shared" si="53"/>
        <v>0</v>
      </c>
      <c r="H437" s="8"/>
      <c r="I437" s="9" t="str">
        <f t="array" ref="I437:L437">_xlfn.XLOOKUP(C437,'Neiva 2021 FASE I UNIFICADO'!$C$6:$C$540,'Neiva 2021 FASE I UNIFICADO'!$C$6:$F$540,"NO ESTA")</f>
        <v>SUMINISTRO E INSTALACIÓN ALIMENTADOR DESDE EL TABLERO GENERAL DE DISTRIBUCIÓN HASTA EL TNP1 PISO 1 EN 1 ø 2" CON 3#2/0+1#2/0N+1#4T AWG INCLUYE TERMINALES DE CONEXIÓN</v>
      </c>
      <c r="J437" s="9" t="str">
        <v xml:space="preserve">ML   </v>
      </c>
      <c r="K437" s="9">
        <v>60</v>
      </c>
      <c r="L437" s="9">
        <v>119175</v>
      </c>
      <c r="M437" s="124" t="str">
        <f t="shared" si="50"/>
        <v>FASE II</v>
      </c>
      <c r="N437" s="155">
        <f t="shared" si="47"/>
        <v>60</v>
      </c>
      <c r="O437" s="156">
        <f t="shared" si="48"/>
        <v>128769</v>
      </c>
      <c r="P437" s="156">
        <f t="shared" si="49"/>
        <v>7726140</v>
      </c>
    </row>
    <row r="438" spans="2:16" s="9" customFormat="1" ht="35.1" customHeight="1" x14ac:dyDescent="0.25">
      <c r="B438" s="23" t="s">
        <v>616</v>
      </c>
      <c r="C438" s="22" t="s">
        <v>617</v>
      </c>
      <c r="D438" s="23" t="s">
        <v>269</v>
      </c>
      <c r="E438" s="12">
        <v>0</v>
      </c>
      <c r="F438" s="126">
        <v>190576</v>
      </c>
      <c r="G438" s="126">
        <f t="shared" si="53"/>
        <v>0</v>
      </c>
      <c r="H438" s="8"/>
      <c r="I438" s="9" t="str">
        <f t="array" ref="I438:L438">_xlfn.XLOOKUP(C438,'Neiva 2021 FASE I UNIFICADO'!$C$6:$C$540,'Neiva 2021 FASE I UNIFICADO'!$C$6:$F$540,"NO ESTA")</f>
        <v>SUMINISTRO E INSTALACIÓN ALIMENTADOR DESDE EL TABLERO GENERAL DE DISTRIBUCIÓN HASTA EL TNP2 PISO 2 EN 1 ø 3" CON 3#4/0+1#2/0N+1#4T AWG INCLUYE TERMINALES DE CONEXIÓN</v>
      </c>
      <c r="J438" s="9" t="str">
        <v xml:space="preserve">ML   </v>
      </c>
      <c r="K438" s="9">
        <v>64</v>
      </c>
      <c r="L438" s="9">
        <v>176378</v>
      </c>
      <c r="M438" s="124" t="str">
        <f t="shared" si="50"/>
        <v>FASE II</v>
      </c>
      <c r="N438" s="155">
        <f t="shared" si="47"/>
        <v>64</v>
      </c>
      <c r="O438" s="156">
        <f t="shared" si="48"/>
        <v>190576</v>
      </c>
      <c r="P438" s="156">
        <f t="shared" si="49"/>
        <v>12196864</v>
      </c>
    </row>
    <row r="439" spans="2:16" s="9" customFormat="1" ht="35.1" customHeight="1" x14ac:dyDescent="0.25">
      <c r="B439" s="23" t="s">
        <v>618</v>
      </c>
      <c r="C439" s="22" t="s">
        <v>619</v>
      </c>
      <c r="D439" s="23" t="s">
        <v>269</v>
      </c>
      <c r="E439" s="12">
        <v>0</v>
      </c>
      <c r="F439" s="126">
        <v>190576</v>
      </c>
      <c r="G439" s="126">
        <f t="shared" si="53"/>
        <v>0</v>
      </c>
      <c r="H439" s="8"/>
      <c r="I439" s="9" t="str">
        <f t="array" ref="I439:L439">_xlfn.XLOOKUP(C439,'Neiva 2021 FASE I UNIFICADO'!$C$6:$C$540,'Neiva 2021 FASE I UNIFICADO'!$C$6:$F$540,"NO ESTA")</f>
        <v>SUMINISTRO E INSTALACIÓN ALIMENTADOR DESDE EL TABLERO GENERAL DE DISTRIBUCIÓN HASTA EL TNP3 PISO 3 EN 1 ø 3" CON 3#4/0+1#2/0N+1#4T AWG INCLUYE TERMINALES DE CONEXIÓN</v>
      </c>
      <c r="J439" s="9" t="str">
        <v xml:space="preserve">ML   </v>
      </c>
      <c r="K439" s="9">
        <v>68</v>
      </c>
      <c r="L439" s="9">
        <v>176378</v>
      </c>
      <c r="M439" s="124" t="str">
        <f t="shared" si="50"/>
        <v>FASE II</v>
      </c>
      <c r="N439" s="155">
        <f t="shared" si="47"/>
        <v>68</v>
      </c>
      <c r="O439" s="156">
        <f t="shared" si="48"/>
        <v>190576</v>
      </c>
      <c r="P439" s="156">
        <f t="shared" si="49"/>
        <v>12959168</v>
      </c>
    </row>
    <row r="440" spans="2:16" s="9" customFormat="1" ht="35.1" customHeight="1" x14ac:dyDescent="0.25">
      <c r="B440" s="23" t="s">
        <v>620</v>
      </c>
      <c r="C440" s="22" t="s">
        <v>621</v>
      </c>
      <c r="D440" s="23" t="s">
        <v>269</v>
      </c>
      <c r="E440" s="12">
        <v>0</v>
      </c>
      <c r="F440" s="126">
        <v>190576</v>
      </c>
      <c r="G440" s="126">
        <f t="shared" si="53"/>
        <v>0</v>
      </c>
      <c r="H440" s="8"/>
      <c r="I440" s="9" t="str">
        <f t="array" ref="I440:L440">_xlfn.XLOOKUP(C440,'Neiva 2021 FASE I UNIFICADO'!$C$6:$C$540,'Neiva 2021 FASE I UNIFICADO'!$C$6:$F$540,"NO ESTA")</f>
        <v>SUMINISTRO E INSTALACIÓN ALIMENTADOR DESDE EL TABLERO GENERAL DE DISTRIBUCIÓN HASTA EL TNP3 PISO 4 EN 1 Ø 3" CON 3#4/0+1#2/0N+1#4T AWG INCLUYE TERMINALES DE CONEXIÓN</v>
      </c>
      <c r="J440" s="9" t="str">
        <v xml:space="preserve">ML   </v>
      </c>
      <c r="K440" s="9">
        <v>72</v>
      </c>
      <c r="L440" s="9">
        <v>176378</v>
      </c>
      <c r="M440" s="124" t="str">
        <f t="shared" si="50"/>
        <v>FASE II</v>
      </c>
      <c r="N440" s="155">
        <f t="shared" si="47"/>
        <v>72</v>
      </c>
      <c r="O440" s="156">
        <f t="shared" si="48"/>
        <v>190576</v>
      </c>
      <c r="P440" s="156">
        <f t="shared" si="49"/>
        <v>13721472</v>
      </c>
    </row>
    <row r="441" spans="2:16" s="9" customFormat="1" ht="35.1" customHeight="1" x14ac:dyDescent="0.25">
      <c r="B441" s="23" t="s">
        <v>622</v>
      </c>
      <c r="C441" s="22" t="s">
        <v>623</v>
      </c>
      <c r="D441" s="23" t="s">
        <v>269</v>
      </c>
      <c r="E441" s="12">
        <v>0</v>
      </c>
      <c r="F441" s="126">
        <v>170907</v>
      </c>
      <c r="G441" s="126">
        <f t="shared" si="53"/>
        <v>0</v>
      </c>
      <c r="H441" s="8"/>
      <c r="I441" s="9" t="str">
        <f t="array" ref="I441:L441">_xlfn.XLOOKUP(C441,'Neiva 2021 FASE I UNIFICADO'!$C$6:$C$540,'Neiva 2021 FASE I UNIFICADO'!$C$6:$F$540,"NO ESTA")</f>
        <v xml:space="preserve">SUMINISTRO E INSTALACIÓNALIMENTADOR DESDE EL TABLERO GENERAL DE DISTRIBUCIÓN HASTA LA UPS1 PISO 1 EN 1 Ø 2" con 3#3/0+1#2/0N+1#2/OT AWG INCLUYENDO TERMINALES DE CONEXIÓN </v>
      </c>
      <c r="J441" s="9" t="str">
        <v xml:space="preserve">ML   </v>
      </c>
      <c r="K441" s="9">
        <v>60</v>
      </c>
      <c r="L441" s="9">
        <v>158175</v>
      </c>
      <c r="M441" s="124" t="str">
        <f t="shared" si="50"/>
        <v>FASE II</v>
      </c>
      <c r="N441" s="155">
        <f t="shared" si="47"/>
        <v>60</v>
      </c>
      <c r="O441" s="156">
        <f t="shared" si="48"/>
        <v>170907</v>
      </c>
      <c r="P441" s="156">
        <f t="shared" si="49"/>
        <v>10254420</v>
      </c>
    </row>
    <row r="442" spans="2:16" s="9" customFormat="1" ht="35.1" customHeight="1" x14ac:dyDescent="0.25">
      <c r="B442" s="23" t="s">
        <v>624</v>
      </c>
      <c r="C442" s="22" t="s">
        <v>625</v>
      </c>
      <c r="D442" s="23" t="s">
        <v>269</v>
      </c>
      <c r="E442" s="12">
        <v>0</v>
      </c>
      <c r="F442" s="126">
        <v>99722</v>
      </c>
      <c r="G442" s="126">
        <f t="shared" si="53"/>
        <v>0</v>
      </c>
      <c r="H442" s="8"/>
      <c r="I442" s="9" t="str">
        <f t="array" ref="I442:L442">_xlfn.XLOOKUP(C442,'Neiva 2021 FASE I UNIFICADO'!$C$6:$C$540,'Neiva 2021 FASE I UNIFICADO'!$C$6:$F$540,"NO ESTA")</f>
        <v xml:space="preserve">SUMINISTRO E INSTALACIÓN ALIMENTADOR DESDE UPS1 HASTA EL TABLERO REGULADO 1 PISO 1 EN 1 Ø 2" con 3#2+1#2N+1#8T AWG INCLUYENDO TERMINALES DE CONEXIÓN </v>
      </c>
      <c r="J442" s="9" t="str">
        <v xml:space="preserve">ML   </v>
      </c>
      <c r="K442" s="9">
        <v>7</v>
      </c>
      <c r="L442" s="9">
        <v>92292</v>
      </c>
      <c r="M442" s="124" t="str">
        <f t="shared" si="50"/>
        <v>FASE II</v>
      </c>
      <c r="N442" s="155">
        <f t="shared" si="47"/>
        <v>7</v>
      </c>
      <c r="O442" s="156">
        <f t="shared" si="48"/>
        <v>99722</v>
      </c>
      <c r="P442" s="156">
        <f t="shared" si="49"/>
        <v>698054</v>
      </c>
    </row>
    <row r="443" spans="2:16" s="9" customFormat="1" ht="35.1" customHeight="1" x14ac:dyDescent="0.25">
      <c r="B443" s="23" t="s">
        <v>1230</v>
      </c>
      <c r="C443" s="22" t="s">
        <v>1231</v>
      </c>
      <c r="D443" s="23" t="s">
        <v>269</v>
      </c>
      <c r="E443" s="12">
        <v>72</v>
      </c>
      <c r="F443" s="126">
        <v>170978</v>
      </c>
      <c r="G443" s="126">
        <f t="shared" si="53"/>
        <v>12310416</v>
      </c>
      <c r="H443" s="8"/>
      <c r="I443" s="9" t="str">
        <f t="array" ref="I443">_xlfn.XLOOKUP(C443,'Neiva 2021 FASE I UNIFICADO'!$C$6:$C$540,'Neiva 2021 FASE I UNIFICADO'!$C$6:$F$540,"NO ESTA")</f>
        <v>NO ESTA</v>
      </c>
      <c r="M443" s="124">
        <f t="shared" si="50"/>
        <v>0</v>
      </c>
      <c r="N443" s="155">
        <f t="shared" si="47"/>
        <v>72</v>
      </c>
      <c r="O443" s="156">
        <f t="shared" si="48"/>
        <v>170978</v>
      </c>
      <c r="P443" s="156">
        <f t="shared" si="49"/>
        <v>12310416</v>
      </c>
    </row>
    <row r="444" spans="2:16" s="9" customFormat="1" ht="35.1" customHeight="1" x14ac:dyDescent="0.25">
      <c r="B444" s="23" t="s">
        <v>1232</v>
      </c>
      <c r="C444" s="22" t="s">
        <v>1233</v>
      </c>
      <c r="D444" s="23" t="s">
        <v>269</v>
      </c>
      <c r="E444" s="12">
        <v>7</v>
      </c>
      <c r="F444" s="126">
        <v>99722</v>
      </c>
      <c r="G444" s="126">
        <f t="shared" si="53"/>
        <v>698054</v>
      </c>
      <c r="H444" s="8"/>
      <c r="I444" s="9" t="str">
        <f t="array" ref="I444">_xlfn.XLOOKUP(C444,'Neiva 2021 FASE I UNIFICADO'!$C$6:$C$540,'Neiva 2021 FASE I UNIFICADO'!$C$6:$F$540,"NO ESTA")</f>
        <v>NO ESTA</v>
      </c>
      <c r="M444" s="124">
        <f t="shared" si="50"/>
        <v>0</v>
      </c>
      <c r="N444" s="155">
        <f t="shared" si="47"/>
        <v>7</v>
      </c>
      <c r="O444" s="156">
        <f t="shared" si="48"/>
        <v>99722</v>
      </c>
      <c r="P444" s="156">
        <f t="shared" si="49"/>
        <v>698054</v>
      </c>
    </row>
    <row r="445" spans="2:16" s="9" customFormat="1" ht="35.1" customHeight="1" x14ac:dyDescent="0.25">
      <c r="B445" s="23" t="s">
        <v>1234</v>
      </c>
      <c r="C445" s="22" t="s">
        <v>1235</v>
      </c>
      <c r="D445" s="23" t="s">
        <v>269</v>
      </c>
      <c r="E445" s="12">
        <v>76</v>
      </c>
      <c r="F445" s="126">
        <v>474160</v>
      </c>
      <c r="G445" s="126">
        <f t="shared" si="53"/>
        <v>36036160</v>
      </c>
      <c r="H445" s="8"/>
      <c r="I445" s="9" t="str">
        <f t="array" ref="I445">_xlfn.XLOOKUP(C445,'Neiva 2021 FASE I UNIFICADO'!$C$6:$C$540,'Neiva 2021 FASE I UNIFICADO'!$C$6:$F$540,"NO ESTA")</f>
        <v>NO ESTA</v>
      </c>
      <c r="M445" s="124">
        <f t="shared" si="50"/>
        <v>0</v>
      </c>
      <c r="N445" s="155">
        <f t="shared" si="47"/>
        <v>76</v>
      </c>
      <c r="O445" s="156">
        <f t="shared" si="48"/>
        <v>474160</v>
      </c>
      <c r="P445" s="156">
        <f t="shared" si="49"/>
        <v>36036160</v>
      </c>
    </row>
    <row r="446" spans="2:16" s="9" customFormat="1" ht="35.1" customHeight="1" x14ac:dyDescent="0.25">
      <c r="B446" s="23" t="s">
        <v>1236</v>
      </c>
      <c r="C446" s="22" t="s">
        <v>1237</v>
      </c>
      <c r="D446" s="23" t="s">
        <v>269</v>
      </c>
      <c r="E446" s="12">
        <v>76</v>
      </c>
      <c r="F446" s="126">
        <v>474160</v>
      </c>
      <c r="G446" s="126">
        <f t="shared" si="53"/>
        <v>36036160</v>
      </c>
      <c r="H446" s="8"/>
      <c r="I446" s="9" t="str">
        <f t="array" ref="I446">_xlfn.XLOOKUP(C446,'Neiva 2021 FASE I UNIFICADO'!$C$6:$C$540,'Neiva 2021 FASE I UNIFICADO'!$C$6:$F$540,"NO ESTA")</f>
        <v>NO ESTA</v>
      </c>
      <c r="M446" s="124">
        <f t="shared" si="50"/>
        <v>0</v>
      </c>
      <c r="N446" s="155">
        <f t="shared" si="47"/>
        <v>76</v>
      </c>
      <c r="O446" s="156">
        <f t="shared" si="48"/>
        <v>474160</v>
      </c>
      <c r="P446" s="156">
        <f t="shared" si="49"/>
        <v>36036160</v>
      </c>
    </row>
    <row r="447" spans="2:16" s="9" customFormat="1" ht="35.1" customHeight="1" x14ac:dyDescent="0.25">
      <c r="B447" s="23" t="s">
        <v>626</v>
      </c>
      <c r="C447" s="22" t="s">
        <v>1238</v>
      </c>
      <c r="D447" s="23" t="s">
        <v>269</v>
      </c>
      <c r="E447" s="12">
        <v>0</v>
      </c>
      <c r="F447" s="126">
        <v>162435</v>
      </c>
      <c r="G447" s="126">
        <f t="shared" si="53"/>
        <v>0</v>
      </c>
      <c r="H447" s="8"/>
      <c r="I447" s="9" t="str">
        <f t="array" ref="I447">_xlfn.XLOOKUP(C447,'Neiva 2021 FASE I UNIFICADO'!$C$6:$C$540,'Neiva 2021 FASE I UNIFICADO'!$C$6:$F$540,"NO ESTA")</f>
        <v>NO ESTA</v>
      </c>
      <c r="M447" s="124">
        <f t="shared" si="50"/>
        <v>0</v>
      </c>
      <c r="N447" s="155">
        <f t="shared" si="47"/>
        <v>0</v>
      </c>
      <c r="O447" s="156">
        <f t="shared" si="48"/>
        <v>162435</v>
      </c>
      <c r="P447" s="156">
        <f t="shared" si="49"/>
        <v>0</v>
      </c>
    </row>
    <row r="448" spans="2:16" s="9" customFormat="1" ht="35.1" customHeight="1" x14ac:dyDescent="0.25">
      <c r="B448" s="53" t="s">
        <v>628</v>
      </c>
      <c r="C448" s="24" t="s">
        <v>629</v>
      </c>
      <c r="D448" s="24"/>
      <c r="E448" s="15"/>
      <c r="F448" s="126">
        <v>0</v>
      </c>
      <c r="G448" s="126">
        <f t="shared" si="53"/>
        <v>0</v>
      </c>
      <c r="H448" s="8"/>
      <c r="I448" s="9" t="str">
        <f t="array" ref="I448:L448">_xlfn.XLOOKUP(C448,'Neiva 2021 FASE I UNIFICADO'!$C$6:$C$540,'Neiva 2021 FASE I UNIFICADO'!$C$6:$F$540,"NO ESTA")</f>
        <v xml:space="preserve">SUMINISTRO E INSTALACIÓN DE CANALIZACIONES </v>
      </c>
      <c r="J448" s="9">
        <v>0</v>
      </c>
      <c r="K448" s="9">
        <v>0</v>
      </c>
      <c r="L448" s="9">
        <v>0</v>
      </c>
      <c r="M448" s="124">
        <f t="shared" si="50"/>
        <v>0</v>
      </c>
      <c r="N448" s="155">
        <f t="shared" si="47"/>
        <v>0</v>
      </c>
      <c r="O448" s="156">
        <f t="shared" si="48"/>
        <v>0</v>
      </c>
      <c r="P448" s="156">
        <f t="shared" si="49"/>
        <v>0</v>
      </c>
    </row>
    <row r="449" spans="2:16" s="9" customFormat="1" ht="35.1" customHeight="1" x14ac:dyDescent="0.25">
      <c r="B449" s="23" t="s">
        <v>630</v>
      </c>
      <c r="C449" s="22" t="s">
        <v>631</v>
      </c>
      <c r="D449" s="23" t="s">
        <v>269</v>
      </c>
      <c r="E449" s="12">
        <v>0</v>
      </c>
      <c r="F449" s="126">
        <v>36352</v>
      </c>
      <c r="G449" s="126">
        <f t="shared" si="53"/>
        <v>0</v>
      </c>
      <c r="H449" s="8"/>
      <c r="I449" s="9" t="str">
        <f t="array" ref="I449:L449">_xlfn.XLOOKUP(C449,'Neiva 2021 FASE I UNIFICADO'!$C$6:$C$540,'Neiva 2021 FASE I UNIFICADO'!$C$6:$F$540,"NO ESTA")</f>
        <v>SUMINISTRO E INSTALACIÓN TUBERÍA PVC Ø 4" (Incluye todos los materiales para su instalación)</v>
      </c>
      <c r="J449" s="9" t="str">
        <v xml:space="preserve">ML   </v>
      </c>
      <c r="K449" s="9">
        <v>50</v>
      </c>
      <c r="L449" s="9">
        <v>33644</v>
      </c>
      <c r="M449" s="124" t="str">
        <f t="shared" si="50"/>
        <v>FASE II</v>
      </c>
      <c r="N449" s="155">
        <f t="shared" si="47"/>
        <v>50</v>
      </c>
      <c r="O449" s="156">
        <f t="shared" si="48"/>
        <v>36352</v>
      </c>
      <c r="P449" s="156">
        <f t="shared" si="49"/>
        <v>1817600</v>
      </c>
    </row>
    <row r="450" spans="2:16" s="9" customFormat="1" ht="35.1" customHeight="1" x14ac:dyDescent="0.25">
      <c r="B450" s="23" t="s">
        <v>632</v>
      </c>
      <c r="C450" s="22" t="s">
        <v>1239</v>
      </c>
      <c r="D450" s="23" t="s">
        <v>269</v>
      </c>
      <c r="E450" s="12">
        <v>0</v>
      </c>
      <c r="F450" s="126">
        <v>65836</v>
      </c>
      <c r="G450" s="126">
        <f t="shared" si="53"/>
        <v>0</v>
      </c>
      <c r="H450" s="8"/>
      <c r="I450" s="9" t="str">
        <f t="array" ref="I450">_xlfn.XLOOKUP(C450,'Neiva 2021 FASE I UNIFICADO'!$C$6:$C$540,'Neiva 2021 FASE I UNIFICADO'!$C$6:$F$540,"NO ESTA")</f>
        <v>NO ESTA</v>
      </c>
      <c r="M450" s="124">
        <f t="shared" si="50"/>
        <v>0</v>
      </c>
      <c r="N450" s="155">
        <f t="shared" si="47"/>
        <v>0</v>
      </c>
      <c r="O450" s="156">
        <f t="shared" si="48"/>
        <v>65836</v>
      </c>
      <c r="P450" s="156">
        <f t="shared" si="49"/>
        <v>0</v>
      </c>
    </row>
    <row r="451" spans="2:16" s="9" customFormat="1" ht="39.950000000000003" customHeight="1" x14ac:dyDescent="0.25">
      <c r="B451" s="53" t="s">
        <v>634</v>
      </c>
      <c r="C451" s="24" t="s">
        <v>635</v>
      </c>
      <c r="D451" s="24"/>
      <c r="E451" s="15"/>
      <c r="F451" s="129"/>
      <c r="G451" s="140"/>
      <c r="H451" s="8"/>
      <c r="I451" s="9" t="str">
        <f t="array" ref="I451:L451">_xlfn.XLOOKUP(C451,'Neiva 2021 FASE I UNIFICADO'!$C$6:$C$540,'Neiva 2021 FASE I UNIFICADO'!$C$6:$F$540,"NO ESTA")</f>
        <v>SUMINISTRO E INSTALACIÓN DE TABLEROS E INTERRUPTORES</v>
      </c>
      <c r="J451" s="9">
        <v>0</v>
      </c>
      <c r="K451" s="9">
        <v>0</v>
      </c>
      <c r="L451" s="9">
        <v>0</v>
      </c>
      <c r="M451" s="124">
        <f t="shared" si="50"/>
        <v>0</v>
      </c>
      <c r="N451" s="155">
        <f t="shared" si="47"/>
        <v>0</v>
      </c>
      <c r="O451" s="156">
        <f t="shared" si="48"/>
        <v>0</v>
      </c>
      <c r="P451" s="156">
        <f t="shared" si="49"/>
        <v>0</v>
      </c>
    </row>
    <row r="452" spans="2:16" s="9" customFormat="1" ht="39.950000000000003" customHeight="1" x14ac:dyDescent="0.25">
      <c r="B452" s="23" t="s">
        <v>636</v>
      </c>
      <c r="C452" s="22" t="s">
        <v>637</v>
      </c>
      <c r="D452" s="23" t="s">
        <v>374</v>
      </c>
      <c r="E452" s="12">
        <v>0</v>
      </c>
      <c r="F452" s="126">
        <v>850198</v>
      </c>
      <c r="G452" s="126">
        <f t="shared" ref="G452:G460" si="54">ROUND(+F452*E452,2)</f>
        <v>0</v>
      </c>
      <c r="H452" s="8"/>
      <c r="I452" s="9" t="str">
        <f t="array" ref="I452:L452">_xlfn.XLOOKUP(C452,'Neiva 2021 FASE I UNIFICADO'!$C$6:$C$540,'Neiva 2021 FASE I UNIFICADO'!$C$6:$F$540,"NO ESTA")</f>
        <v>SUMINISTRO E INSTALACIÓN TABLERO AUTOMATICO DE 38 CIRCUITOS TIPO PESADO CON PUERTA Y CERRRADURA DE CIERRE, CERRADURA Y ESPACIO TOTALIZADOR INDUSTRIAL (TNP4)</v>
      </c>
      <c r="J452" s="9" t="str">
        <v>UN</v>
      </c>
      <c r="K452" s="9">
        <v>1</v>
      </c>
      <c r="L452" s="9">
        <v>786853</v>
      </c>
      <c r="M452" s="124" t="str">
        <f t="shared" si="50"/>
        <v>FASE II</v>
      </c>
      <c r="N452" s="155">
        <f t="shared" si="47"/>
        <v>1</v>
      </c>
      <c r="O452" s="156">
        <f t="shared" si="48"/>
        <v>850198</v>
      </c>
      <c r="P452" s="156">
        <f t="shared" si="49"/>
        <v>850198</v>
      </c>
    </row>
    <row r="453" spans="2:16" s="9" customFormat="1" ht="39.950000000000003" customHeight="1" x14ac:dyDescent="0.25">
      <c r="B453" s="23" t="s">
        <v>638</v>
      </c>
      <c r="C453" s="22" t="s">
        <v>639</v>
      </c>
      <c r="D453" s="23" t="s">
        <v>374</v>
      </c>
      <c r="E453" s="12">
        <v>0</v>
      </c>
      <c r="F453" s="126">
        <v>682920</v>
      </c>
      <c r="G453" s="126">
        <f t="shared" si="54"/>
        <v>0</v>
      </c>
      <c r="H453" s="8"/>
      <c r="I453" s="9" t="str">
        <f t="array" ref="I453:L453">_xlfn.XLOOKUP(C453,'Neiva 2021 FASE I UNIFICADO'!$C$6:$C$540,'Neiva 2021 FASE I UNIFICADO'!$C$6:$F$540,"NO ESTA")</f>
        <v xml:space="preserve">SUMINISTRO E INSTALACIÓN TABLERO AUTOMATICO DE 18 CIRCUITOS TIPO PESADO CON PUERTA Y CERRRADURA DE CIERRE, CERRADURA Y ESPACIO TOTALIZADOR INDUSTRIAL CON BARRAJE DE TIERRA AISLADA. </v>
      </c>
      <c r="J453" s="9" t="str">
        <v>UN</v>
      </c>
      <c r="K453" s="9">
        <v>1</v>
      </c>
      <c r="L453" s="9">
        <v>632039</v>
      </c>
      <c r="M453" s="124" t="str">
        <f t="shared" si="50"/>
        <v>FASE II</v>
      </c>
      <c r="N453" s="155">
        <f t="shared" si="47"/>
        <v>1</v>
      </c>
      <c r="O453" s="156">
        <f t="shared" si="48"/>
        <v>682920</v>
      </c>
      <c r="P453" s="156">
        <f t="shared" si="49"/>
        <v>682920</v>
      </c>
    </row>
    <row r="454" spans="2:16" s="9" customFormat="1" ht="39.950000000000003" customHeight="1" x14ac:dyDescent="0.25">
      <c r="B454" s="23" t="s">
        <v>640</v>
      </c>
      <c r="C454" s="22" t="s">
        <v>641</v>
      </c>
      <c r="D454" s="23" t="s">
        <v>374</v>
      </c>
      <c r="E454" s="12">
        <v>0</v>
      </c>
      <c r="F454" s="126">
        <v>686237</v>
      </c>
      <c r="G454" s="126">
        <f t="shared" si="54"/>
        <v>0</v>
      </c>
      <c r="H454" s="8"/>
      <c r="I454" s="9" t="str">
        <f t="array" ref="I454:L454">_xlfn.XLOOKUP(C454,'Neiva 2021 FASE I UNIFICADO'!$C$6:$C$540,'Neiva 2021 FASE I UNIFICADO'!$C$6:$F$540,"NO ESTA")</f>
        <v>SUMINISTRO E INSTALACIÓN TABLERO AUTOMATICO DE 24 CIRCUITOS TIPO PESADO CON PUERTA Y CERRRADURA DE CIERRE, CERRADURA Y ESPACIO TOTALIZADOR INDUSTRIAL CON BARRAJE DE TIERRA AISLADA (TNS, TR1, TR2)</v>
      </c>
      <c r="J454" s="9" t="str">
        <v>UN</v>
      </c>
      <c r="K454" s="9">
        <v>3</v>
      </c>
      <c r="L454" s="9">
        <v>635109</v>
      </c>
      <c r="M454" s="124" t="str">
        <f t="shared" si="50"/>
        <v>FASE II</v>
      </c>
      <c r="N454" s="155">
        <f t="shared" ref="N454:N517" si="55">E454+K454</f>
        <v>3</v>
      </c>
      <c r="O454" s="156">
        <f t="shared" ref="O454:O517" si="56">MAX(L454,F454)</f>
        <v>686237</v>
      </c>
      <c r="P454" s="156">
        <f t="shared" ref="P454:P517" si="57">N454*O454</f>
        <v>2058711</v>
      </c>
    </row>
    <row r="455" spans="2:16" s="9" customFormat="1" ht="39.950000000000003" customHeight="1" x14ac:dyDescent="0.25">
      <c r="B455" s="23" t="s">
        <v>642</v>
      </c>
      <c r="C455" s="22" t="s">
        <v>643</v>
      </c>
      <c r="D455" s="23" t="s">
        <v>374</v>
      </c>
      <c r="E455" s="12">
        <v>0</v>
      </c>
      <c r="F455" s="126">
        <v>963294</v>
      </c>
      <c r="G455" s="126">
        <f t="shared" si="54"/>
        <v>0</v>
      </c>
      <c r="H455" s="8"/>
      <c r="I455" s="9" t="str">
        <f t="array" ref="I455:L455">_xlfn.XLOOKUP(C455,'Neiva 2021 FASE I UNIFICADO'!$C$6:$C$540,'Neiva 2021 FASE I UNIFICADO'!$C$6:$F$540,"NO ESTA")</f>
        <v>SUMINISTRO E INSTALACIÓN TABLERO AUTOMATICO DE 42 CIRCUITOS TIPO PESADO CON PUERTA Y CERRRADURA DE CIERRE, CERRADURA Y ESPACIO TOTALIZADOR INDUSTRIAL (TNP1, TNP2, TNP3)</v>
      </c>
      <c r="J455" s="9" t="str">
        <v>UN</v>
      </c>
      <c r="K455" s="9">
        <v>3</v>
      </c>
      <c r="L455" s="9">
        <v>891523</v>
      </c>
      <c r="M455" s="124" t="str">
        <f t="shared" si="50"/>
        <v>FASE II</v>
      </c>
      <c r="N455" s="155">
        <f t="shared" si="55"/>
        <v>3</v>
      </c>
      <c r="O455" s="156">
        <f t="shared" si="56"/>
        <v>963294</v>
      </c>
      <c r="P455" s="156">
        <f t="shared" si="57"/>
        <v>2889882</v>
      </c>
    </row>
    <row r="456" spans="2:16" s="9" customFormat="1" ht="39.950000000000003" customHeight="1" x14ac:dyDescent="0.25">
      <c r="B456" s="23" t="s">
        <v>644</v>
      </c>
      <c r="C456" s="87" t="s">
        <v>645</v>
      </c>
      <c r="D456" s="23" t="s">
        <v>374</v>
      </c>
      <c r="E456" s="12">
        <v>51</v>
      </c>
      <c r="F456" s="126">
        <v>20555</v>
      </c>
      <c r="G456" s="126">
        <f t="shared" si="54"/>
        <v>1048305</v>
      </c>
      <c r="H456" s="8"/>
      <c r="I456" s="9" t="str">
        <f t="array" ref="I456:L456">_xlfn.XLOOKUP(C456,'Neiva 2021 FASE I UNIFICADO'!$C$6:$C$540,'Neiva 2021 FASE I UNIFICADO'!$C$6:$F$540,"NO ESTA")</f>
        <v>SUMINISTRO E INSTALACIÓN INTERRUPTORES AUTOMÁTICOS ENCHUFABLES 240 V. 10kA 1x20 AMPS. TIPO ENCHUFABLE 10 Ka 240V.</v>
      </c>
      <c r="J456" s="9" t="str">
        <v>UN</v>
      </c>
      <c r="K456" s="9">
        <v>19</v>
      </c>
      <c r="L456" s="9">
        <v>19024</v>
      </c>
      <c r="M456" s="124" t="str">
        <f t="shared" ref="M456:M519" si="58">IF(L456=0,0,(IF(F456&lt;L456, "FASE I","FASE II")))</f>
        <v>FASE II</v>
      </c>
      <c r="N456" s="155">
        <f t="shared" si="55"/>
        <v>70</v>
      </c>
      <c r="O456" s="156">
        <f t="shared" si="56"/>
        <v>20555</v>
      </c>
      <c r="P456" s="156">
        <f t="shared" si="57"/>
        <v>1438850</v>
      </c>
    </row>
    <row r="457" spans="2:16" s="9" customFormat="1" ht="39.950000000000003" customHeight="1" x14ac:dyDescent="0.25">
      <c r="B457" s="23" t="s">
        <v>646</v>
      </c>
      <c r="C457" s="87" t="s">
        <v>647</v>
      </c>
      <c r="D457" s="23" t="s">
        <v>374</v>
      </c>
      <c r="E457" s="12">
        <v>36</v>
      </c>
      <c r="F457" s="126">
        <v>20555</v>
      </c>
      <c r="G457" s="126">
        <f t="shared" si="54"/>
        <v>739980</v>
      </c>
      <c r="H457" s="8"/>
      <c r="I457" s="9" t="str">
        <f t="array" ref="I457:L457">_xlfn.XLOOKUP(C457,'Neiva 2021 FASE I UNIFICADO'!$C$6:$C$540,'Neiva 2021 FASE I UNIFICADO'!$C$6:$F$540,"NO ESTA")</f>
        <v>SUMINISTRO E INSTALACIÓN INTERRUPTORES AUTOMÁTICOS ENCHUFABLES 240 V. 10kA 1x30 AMPS. TIPO ENCHUFABLE 10 Ka 240V.</v>
      </c>
      <c r="J457" s="9" t="str">
        <v>UN</v>
      </c>
      <c r="K457" s="9">
        <v>14</v>
      </c>
      <c r="L457" s="9">
        <v>19024</v>
      </c>
      <c r="M457" s="124" t="str">
        <f t="shared" si="58"/>
        <v>FASE II</v>
      </c>
      <c r="N457" s="155">
        <f t="shared" si="55"/>
        <v>50</v>
      </c>
      <c r="O457" s="156">
        <f t="shared" si="56"/>
        <v>20555</v>
      </c>
      <c r="P457" s="156">
        <f t="shared" si="57"/>
        <v>1027750</v>
      </c>
    </row>
    <row r="458" spans="2:16" s="9" customFormat="1" ht="39.950000000000003" customHeight="1" x14ac:dyDescent="0.25">
      <c r="B458" s="23" t="s">
        <v>648</v>
      </c>
      <c r="C458" s="87" t="s">
        <v>649</v>
      </c>
      <c r="D458" s="23" t="s">
        <v>374</v>
      </c>
      <c r="E458" s="12">
        <v>4</v>
      </c>
      <c r="F458" s="126">
        <v>58041</v>
      </c>
      <c r="G458" s="126">
        <f t="shared" si="54"/>
        <v>232164</v>
      </c>
      <c r="H458" s="8"/>
      <c r="I458" s="9" t="str">
        <f t="array" ref="I458:L458">_xlfn.XLOOKUP(C458,'Neiva 2021 FASE I UNIFICADO'!$C$6:$C$540,'Neiva 2021 FASE I UNIFICADO'!$C$6:$F$540,"NO ESTA")</f>
        <v>SUMINISTRO E INSTALACIÓN INTERRUPTORES AUTOMÁTICOS ENCHUFABLES 240 V. 10kA 3x30 AMPS. TIPO ENCHUFABLE 10 Ka 240V.</v>
      </c>
      <c r="J458" s="9" t="str">
        <v>UN</v>
      </c>
      <c r="K458" s="9">
        <v>2</v>
      </c>
      <c r="L458" s="9">
        <v>53716</v>
      </c>
      <c r="M458" s="124" t="str">
        <f t="shared" si="58"/>
        <v>FASE II</v>
      </c>
      <c r="N458" s="155">
        <f t="shared" si="55"/>
        <v>6</v>
      </c>
      <c r="O458" s="156">
        <f t="shared" si="56"/>
        <v>58041</v>
      </c>
      <c r="P458" s="156">
        <f t="shared" si="57"/>
        <v>348246</v>
      </c>
    </row>
    <row r="459" spans="2:16" s="9" customFormat="1" ht="39.950000000000003" customHeight="1" x14ac:dyDescent="0.25">
      <c r="B459" s="53" t="s">
        <v>650</v>
      </c>
      <c r="C459" s="24" t="s">
        <v>1240</v>
      </c>
      <c r="D459" s="24"/>
      <c r="E459" s="15">
        <v>0</v>
      </c>
      <c r="F459" s="126">
        <v>0</v>
      </c>
      <c r="G459" s="126">
        <f t="shared" si="54"/>
        <v>0</v>
      </c>
      <c r="H459" s="8"/>
      <c r="I459" s="9" t="str">
        <f t="array" ref="I459">_xlfn.XLOOKUP(C459,'Neiva 2021 FASE I UNIFICADO'!$C$6:$C$540,'Neiva 2021 FASE I UNIFICADO'!$C$6:$F$540,"NO ESTA")</f>
        <v>NO ESTA</v>
      </c>
      <c r="M459" s="124">
        <f t="shared" si="58"/>
        <v>0</v>
      </c>
      <c r="N459" s="155">
        <f t="shared" si="55"/>
        <v>0</v>
      </c>
      <c r="O459" s="156">
        <f t="shared" si="56"/>
        <v>0</v>
      </c>
      <c r="P459" s="156">
        <f t="shared" si="57"/>
        <v>0</v>
      </c>
    </row>
    <row r="460" spans="2:16" s="9" customFormat="1" ht="39.950000000000003" customHeight="1" x14ac:dyDescent="0.25">
      <c r="B460" s="23" t="s">
        <v>652</v>
      </c>
      <c r="C460" s="22" t="s">
        <v>1241</v>
      </c>
      <c r="D460" s="23" t="s">
        <v>374</v>
      </c>
      <c r="E460" s="12">
        <v>0</v>
      </c>
      <c r="F460" s="126">
        <v>582207</v>
      </c>
      <c r="G460" s="126">
        <f t="shared" si="54"/>
        <v>0</v>
      </c>
      <c r="H460" s="8"/>
      <c r="I460" s="9" t="str">
        <f t="array" ref="I460">_xlfn.XLOOKUP(C460,'Neiva 2021 FASE I UNIFICADO'!$C$6:$C$540,'Neiva 2021 FASE I UNIFICADO'!$C$6:$F$540,"NO ESTA")</f>
        <v>NO ESTA</v>
      </c>
      <c r="M460" s="124">
        <f t="shared" si="58"/>
        <v>0</v>
      </c>
      <c r="N460" s="155">
        <f t="shared" si="55"/>
        <v>0</v>
      </c>
      <c r="O460" s="156">
        <f t="shared" si="56"/>
        <v>582207</v>
      </c>
      <c r="P460" s="156">
        <f t="shared" si="57"/>
        <v>0</v>
      </c>
    </row>
    <row r="461" spans="2:16" s="9" customFormat="1" ht="39.950000000000003" customHeight="1" x14ac:dyDescent="0.25">
      <c r="B461" s="53" t="s">
        <v>654</v>
      </c>
      <c r="C461" s="24" t="s">
        <v>655</v>
      </c>
      <c r="D461" s="24"/>
      <c r="E461" s="15"/>
      <c r="F461" s="129"/>
      <c r="G461" s="140"/>
      <c r="H461" s="8"/>
      <c r="I461" s="9" t="str">
        <f t="array" ref="I461:L461">_xlfn.XLOOKUP(C461,'Neiva 2021 FASE I UNIFICADO'!$C$6:$C$540,'Neiva 2021 FASE I UNIFICADO'!$C$6:$F$540,"NO ESTA")</f>
        <v>SUMINISTRO E INSTALACIÓN TABLEROS DE DISTRIBUCIÓN GENERAL</v>
      </c>
      <c r="J461" s="9">
        <v>0</v>
      </c>
      <c r="K461" s="9">
        <v>0</v>
      </c>
      <c r="L461" s="9">
        <v>0</v>
      </c>
      <c r="M461" s="124">
        <f t="shared" si="58"/>
        <v>0</v>
      </c>
      <c r="N461" s="155">
        <f t="shared" si="55"/>
        <v>0</v>
      </c>
      <c r="O461" s="156">
        <f t="shared" si="56"/>
        <v>0</v>
      </c>
      <c r="P461" s="156">
        <f t="shared" si="57"/>
        <v>0</v>
      </c>
    </row>
    <row r="462" spans="2:16" s="9" customFormat="1" ht="39.950000000000003" customHeight="1" x14ac:dyDescent="0.25">
      <c r="B462" s="23" t="s">
        <v>656</v>
      </c>
      <c r="C462" s="22" t="s">
        <v>1242</v>
      </c>
      <c r="D462" s="23" t="s">
        <v>374</v>
      </c>
      <c r="E462" s="12">
        <v>0</v>
      </c>
      <c r="F462" s="126">
        <v>15777849</v>
      </c>
      <c r="G462" s="126">
        <f t="shared" ref="G462:G490" si="59">ROUND(+F462*E462,2)</f>
        <v>0</v>
      </c>
      <c r="H462" s="8"/>
      <c r="I462" s="9" t="str">
        <f t="array" ref="I462">_xlfn.XLOOKUP(C462,'Neiva 2021 FASE I UNIFICADO'!$C$6:$C$540,'Neiva 2021 FASE I UNIFICADO'!$C$6:$F$540,"NO ESTA")</f>
        <v>NO ESTA</v>
      </c>
      <c r="M462" s="124">
        <f t="shared" si="58"/>
        <v>0</v>
      </c>
      <c r="N462" s="155">
        <f t="shared" si="55"/>
        <v>0</v>
      </c>
      <c r="O462" s="156">
        <f t="shared" si="56"/>
        <v>15777849</v>
      </c>
      <c r="P462" s="156">
        <f t="shared" si="57"/>
        <v>0</v>
      </c>
    </row>
    <row r="463" spans="2:16" s="9" customFormat="1" ht="39.950000000000003" customHeight="1" x14ac:dyDescent="0.25">
      <c r="B463" s="23" t="s">
        <v>658</v>
      </c>
      <c r="C463" s="87" t="s">
        <v>659</v>
      </c>
      <c r="D463" s="23" t="s">
        <v>374</v>
      </c>
      <c r="E463" s="12">
        <v>1</v>
      </c>
      <c r="F463" s="126">
        <v>11923749</v>
      </c>
      <c r="G463" s="126">
        <f t="shared" si="59"/>
        <v>11923749</v>
      </c>
      <c r="H463" s="8"/>
      <c r="I463" s="9" t="str">
        <f t="array" ref="I463">_xlfn.XLOOKUP(C463,'Neiva 2021 FASE I UNIFICADO'!$C$6:$C$540,'Neiva 2021 FASE I UNIFICADO'!$C$6:$F$540,"NO ESTA")</f>
        <v>NO ESTA</v>
      </c>
      <c r="M463" s="124">
        <f t="shared" si="58"/>
        <v>0</v>
      </c>
      <c r="N463" s="155">
        <f t="shared" si="55"/>
        <v>1</v>
      </c>
      <c r="O463" s="156">
        <f t="shared" si="56"/>
        <v>11923749</v>
      </c>
      <c r="P463" s="156">
        <f t="shared" si="57"/>
        <v>11923749</v>
      </c>
    </row>
    <row r="464" spans="2:16" s="9" customFormat="1" ht="39.950000000000003" customHeight="1" x14ac:dyDescent="0.25">
      <c r="B464" s="23" t="s">
        <v>660</v>
      </c>
      <c r="C464" s="22" t="s">
        <v>1243</v>
      </c>
      <c r="D464" s="23" t="s">
        <v>374</v>
      </c>
      <c r="E464" s="12">
        <v>0</v>
      </c>
      <c r="F464" s="126">
        <v>13850799</v>
      </c>
      <c r="G464" s="126">
        <f t="shared" si="59"/>
        <v>0</v>
      </c>
      <c r="H464" s="8"/>
      <c r="I464" s="9" t="str">
        <f t="array" ref="I464">_xlfn.XLOOKUP(C464,'Neiva 2021 FASE I UNIFICADO'!$C$6:$C$540,'Neiva 2021 FASE I UNIFICADO'!$C$6:$F$540,"NO ESTA")</f>
        <v>NO ESTA</v>
      </c>
      <c r="M464" s="124">
        <f t="shared" si="58"/>
        <v>0</v>
      </c>
      <c r="N464" s="155">
        <f t="shared" si="55"/>
        <v>0</v>
      </c>
      <c r="O464" s="156">
        <f t="shared" si="56"/>
        <v>13850799</v>
      </c>
      <c r="P464" s="156">
        <f t="shared" si="57"/>
        <v>0</v>
      </c>
    </row>
    <row r="465" spans="2:16" s="9" customFormat="1" ht="39.950000000000003" customHeight="1" x14ac:dyDescent="0.25">
      <c r="B465" s="54" t="s">
        <v>662</v>
      </c>
      <c r="C465" s="24" t="s">
        <v>663</v>
      </c>
      <c r="D465" s="24"/>
      <c r="E465" s="15"/>
      <c r="F465" s="126">
        <v>0</v>
      </c>
      <c r="G465" s="126">
        <f t="shared" si="59"/>
        <v>0</v>
      </c>
      <c r="H465" s="8"/>
      <c r="I465" s="9" t="str">
        <f t="array" ref="I465:L465">_xlfn.XLOOKUP(C465,'Neiva 2021 FASE I UNIFICADO'!$C$6:$C$540,'Neiva 2021 FASE I UNIFICADO'!$C$6:$F$540,"NO ESTA")</f>
        <v xml:space="preserve">SUMINISTRO E INSTALACIÓN PUESTA A TIERRA TRANSFORMADOR Y SUBESTACIÓN (Incluye preparación de tierra con la solución Sanick Gel para obtener una elevada conductividad eléctrica (ver especificaciones técnicas de diseño anexas) </v>
      </c>
      <c r="J465" s="9">
        <v>0</v>
      </c>
      <c r="K465" s="9">
        <v>0</v>
      </c>
      <c r="L465" s="9">
        <v>0</v>
      </c>
      <c r="M465" s="124">
        <f t="shared" si="58"/>
        <v>0</v>
      </c>
      <c r="N465" s="155">
        <f t="shared" si="55"/>
        <v>0</v>
      </c>
      <c r="O465" s="156">
        <f t="shared" si="56"/>
        <v>0</v>
      </c>
      <c r="P465" s="156">
        <f t="shared" si="57"/>
        <v>0</v>
      </c>
    </row>
    <row r="466" spans="2:16" s="9" customFormat="1" ht="35.1" customHeight="1" x14ac:dyDescent="0.25">
      <c r="B466" s="23" t="s">
        <v>664</v>
      </c>
      <c r="C466" s="22" t="s">
        <v>665</v>
      </c>
      <c r="D466" s="23" t="s">
        <v>269</v>
      </c>
      <c r="E466" s="12">
        <v>0</v>
      </c>
      <c r="F466" s="126">
        <v>24409</v>
      </c>
      <c r="G466" s="126">
        <f t="shared" si="59"/>
        <v>0</v>
      </c>
      <c r="H466" s="8"/>
      <c r="I466" s="9" t="str">
        <f t="array" ref="I466:L466">_xlfn.XLOOKUP(C466,'Neiva 2021 FASE I UNIFICADO'!$C$6:$C$540,'Neiva 2021 FASE I UNIFICADO'!$C$6:$F$540,"NO ESTA")</f>
        <v>SUMINISTRO E INSTALACIÓN CONDUCTOR 2/0 Cu. TEMPLE DURO</v>
      </c>
      <c r="J466" s="9" t="str">
        <v xml:space="preserve">ML   </v>
      </c>
      <c r="K466" s="9">
        <v>35</v>
      </c>
      <c r="L466" s="9">
        <v>22591</v>
      </c>
      <c r="M466" s="124" t="str">
        <f t="shared" si="58"/>
        <v>FASE II</v>
      </c>
      <c r="N466" s="155">
        <f t="shared" si="55"/>
        <v>35</v>
      </c>
      <c r="O466" s="156">
        <f t="shared" si="56"/>
        <v>24409</v>
      </c>
      <c r="P466" s="156">
        <f t="shared" si="57"/>
        <v>854315</v>
      </c>
    </row>
    <row r="467" spans="2:16" s="9" customFormat="1" ht="35.1" customHeight="1" x14ac:dyDescent="0.25">
      <c r="B467" s="23" t="s">
        <v>666</v>
      </c>
      <c r="C467" s="22" t="s">
        <v>1244</v>
      </c>
      <c r="D467" s="23" t="s">
        <v>374</v>
      </c>
      <c r="E467" s="12">
        <v>0</v>
      </c>
      <c r="F467" s="126">
        <v>127634</v>
      </c>
      <c r="G467" s="126">
        <f t="shared" si="59"/>
        <v>0</v>
      </c>
      <c r="H467" s="8"/>
      <c r="I467" s="9" t="str">
        <f t="array" ref="I467">_xlfn.XLOOKUP(C467,'Neiva 2021 FASE I UNIFICADO'!$C$6:$C$540,'Neiva 2021 FASE I UNIFICADO'!$C$6:$F$540,"NO ESTA")</f>
        <v>NO ESTA</v>
      </c>
      <c r="M467" s="124">
        <f t="shared" si="58"/>
        <v>0</v>
      </c>
      <c r="N467" s="155">
        <f t="shared" si="55"/>
        <v>0</v>
      </c>
      <c r="O467" s="156">
        <f t="shared" si="56"/>
        <v>127634</v>
      </c>
      <c r="P467" s="156">
        <f t="shared" si="57"/>
        <v>0</v>
      </c>
    </row>
    <row r="468" spans="2:16" s="9" customFormat="1" ht="35.1" customHeight="1" x14ac:dyDescent="0.25">
      <c r="B468" s="23" t="s">
        <v>668</v>
      </c>
      <c r="C468" s="22" t="s">
        <v>1245</v>
      </c>
      <c r="D468" s="23" t="s">
        <v>374</v>
      </c>
      <c r="E468" s="12">
        <v>0</v>
      </c>
      <c r="F468" s="126">
        <v>132126</v>
      </c>
      <c r="G468" s="126">
        <f t="shared" si="59"/>
        <v>0</v>
      </c>
      <c r="H468" s="8"/>
      <c r="I468" s="9" t="str">
        <f t="array" ref="I468">_xlfn.XLOOKUP(C468,'Neiva 2021 FASE I UNIFICADO'!$C$6:$C$540,'Neiva 2021 FASE I UNIFICADO'!$C$6:$F$540,"NO ESTA")</f>
        <v>NO ESTA</v>
      </c>
      <c r="M468" s="124">
        <f t="shared" si="58"/>
        <v>0</v>
      </c>
      <c r="N468" s="155">
        <f t="shared" si="55"/>
        <v>0</v>
      </c>
      <c r="O468" s="156">
        <f t="shared" si="56"/>
        <v>132126</v>
      </c>
      <c r="P468" s="156">
        <f t="shared" si="57"/>
        <v>0</v>
      </c>
    </row>
    <row r="469" spans="2:16" s="9" customFormat="1" ht="35.1" customHeight="1" x14ac:dyDescent="0.25">
      <c r="B469" s="23" t="s">
        <v>670</v>
      </c>
      <c r="C469" s="22" t="s">
        <v>1246</v>
      </c>
      <c r="D469" s="23" t="s">
        <v>374</v>
      </c>
      <c r="E469" s="12">
        <v>0</v>
      </c>
      <c r="F469" s="126">
        <v>132126</v>
      </c>
      <c r="G469" s="126">
        <f t="shared" si="59"/>
        <v>0</v>
      </c>
      <c r="H469" s="8"/>
      <c r="I469" s="9" t="str">
        <f t="array" ref="I469">_xlfn.XLOOKUP(C469,'Neiva 2021 FASE I UNIFICADO'!$C$6:$C$540,'Neiva 2021 FASE I UNIFICADO'!$C$6:$F$540,"NO ESTA")</f>
        <v>NO ESTA</v>
      </c>
      <c r="M469" s="124">
        <f t="shared" si="58"/>
        <v>0</v>
      </c>
      <c r="N469" s="155">
        <f t="shared" si="55"/>
        <v>0</v>
      </c>
      <c r="O469" s="156">
        <f t="shared" si="56"/>
        <v>132126</v>
      </c>
      <c r="P469" s="156">
        <f t="shared" si="57"/>
        <v>0</v>
      </c>
    </row>
    <row r="470" spans="2:16" s="9" customFormat="1" ht="35.1" customHeight="1" x14ac:dyDescent="0.25">
      <c r="B470" s="23" t="s">
        <v>672</v>
      </c>
      <c r="C470" s="55" t="s">
        <v>1247</v>
      </c>
      <c r="D470" s="56" t="s">
        <v>16</v>
      </c>
      <c r="E470" s="12">
        <v>0</v>
      </c>
      <c r="F470" s="126">
        <v>166876</v>
      </c>
      <c r="G470" s="126">
        <f t="shared" si="59"/>
        <v>0</v>
      </c>
      <c r="H470" s="8"/>
      <c r="I470" s="9" t="str">
        <f t="array" ref="I470">_xlfn.XLOOKUP(C470,'Neiva 2021 FASE I UNIFICADO'!$C$6:$C$540,'Neiva 2021 FASE I UNIFICADO'!$C$6:$F$540,"NO ESTA")</f>
        <v>NO ESTA</v>
      </c>
      <c r="M470" s="124">
        <f t="shared" si="58"/>
        <v>0</v>
      </c>
      <c r="N470" s="155">
        <f t="shared" si="55"/>
        <v>0</v>
      </c>
      <c r="O470" s="156">
        <f t="shared" si="56"/>
        <v>166876</v>
      </c>
      <c r="P470" s="156">
        <f t="shared" si="57"/>
        <v>0</v>
      </c>
    </row>
    <row r="471" spans="2:16" s="9" customFormat="1" ht="35.1" customHeight="1" x14ac:dyDescent="0.25">
      <c r="B471" s="54" t="s">
        <v>674</v>
      </c>
      <c r="C471" s="24" t="s">
        <v>675</v>
      </c>
      <c r="D471" s="24"/>
      <c r="E471" s="15"/>
      <c r="F471" s="126">
        <v>0</v>
      </c>
      <c r="G471" s="126">
        <f t="shared" si="59"/>
        <v>0</v>
      </c>
      <c r="H471" s="8"/>
      <c r="I471" s="9" t="str">
        <f t="array" ref="I471:L471">_xlfn.XLOOKUP(C471,'Neiva 2021 FASE I UNIFICADO'!$C$6:$C$540,'Neiva 2021 FASE I UNIFICADO'!$C$6:$F$540,"NO ESTA")</f>
        <v xml:space="preserve">SUMINISTRO E INSTALACIÓN PUESTA A TIERRA TABLERO DE DISTRIBUCIÓN Y GENERAL (Incluye preparación de tierra con la solución Sanick Gel para obtener una elevada conductividad eléctrica (ver especificaciones técnicas de diseño anexas) </v>
      </c>
      <c r="J471" s="9">
        <v>0</v>
      </c>
      <c r="K471" s="9">
        <v>0</v>
      </c>
      <c r="L471" s="9">
        <v>0</v>
      </c>
      <c r="M471" s="124">
        <f t="shared" si="58"/>
        <v>0</v>
      </c>
      <c r="N471" s="155">
        <f t="shared" si="55"/>
        <v>0</v>
      </c>
      <c r="O471" s="156">
        <f t="shared" si="56"/>
        <v>0</v>
      </c>
      <c r="P471" s="156">
        <f t="shared" si="57"/>
        <v>0</v>
      </c>
    </row>
    <row r="472" spans="2:16" s="9" customFormat="1" ht="35.1" customHeight="1" x14ac:dyDescent="0.25">
      <c r="B472" s="23" t="s">
        <v>676</v>
      </c>
      <c r="C472" s="22" t="s">
        <v>677</v>
      </c>
      <c r="D472" s="23" t="s">
        <v>269</v>
      </c>
      <c r="E472" s="12">
        <v>0</v>
      </c>
      <c r="F472" s="126">
        <v>7194</v>
      </c>
      <c r="G472" s="126">
        <f t="shared" si="59"/>
        <v>0</v>
      </c>
      <c r="H472" s="8"/>
      <c r="I472" s="9" t="str">
        <f t="array" ref="I472:L472">_xlfn.XLOOKUP(C472,'Neiva 2021 FASE I UNIFICADO'!$C$6:$C$540,'Neiva 2021 FASE I UNIFICADO'!$C$6:$F$540,"NO ESTA")</f>
        <v>SUMINISTRO E INSTALACIÓN CONDUCTOR 6 Cu TEMPLE DURO</v>
      </c>
      <c r="J472" s="9" t="str">
        <v xml:space="preserve">ML   </v>
      </c>
      <c r="K472" s="9">
        <v>10</v>
      </c>
      <c r="L472" s="9">
        <v>6659</v>
      </c>
      <c r="M472" s="124" t="str">
        <f t="shared" si="58"/>
        <v>FASE II</v>
      </c>
      <c r="N472" s="155">
        <f t="shared" si="55"/>
        <v>10</v>
      </c>
      <c r="O472" s="156">
        <f t="shared" si="56"/>
        <v>7194</v>
      </c>
      <c r="P472" s="156">
        <f t="shared" si="57"/>
        <v>71940</v>
      </c>
    </row>
    <row r="473" spans="2:16" s="9" customFormat="1" ht="35.1" customHeight="1" x14ac:dyDescent="0.25">
      <c r="B473" s="23" t="s">
        <v>678</v>
      </c>
      <c r="C473" s="22" t="s">
        <v>679</v>
      </c>
      <c r="D473" s="23" t="s">
        <v>374</v>
      </c>
      <c r="E473" s="12">
        <v>0</v>
      </c>
      <c r="F473" s="126">
        <v>127634</v>
      </c>
      <c r="G473" s="126">
        <f t="shared" si="59"/>
        <v>0</v>
      </c>
      <c r="H473" s="8"/>
      <c r="I473" s="9" t="str">
        <f t="array" ref="I473:L473">_xlfn.XLOOKUP(C473,'Neiva 2021 FASE I UNIFICADO'!$C$6:$C$540,'Neiva 2021 FASE I UNIFICADO'!$C$6:$F$540,"NO ESTA")</f>
        <v>SUMINISTRO E INSTALACIÓN ELECTRODO DE PUESTA A TIERRA EN VARILLA DE COBRE DE 5/8" X 2.40 M</v>
      </c>
      <c r="J473" s="9" t="str">
        <v>UN</v>
      </c>
      <c r="K473" s="9">
        <v>1</v>
      </c>
      <c r="L473" s="9">
        <v>118125</v>
      </c>
      <c r="M473" s="124" t="str">
        <f t="shared" si="58"/>
        <v>FASE II</v>
      </c>
      <c r="N473" s="155">
        <f t="shared" si="55"/>
        <v>1</v>
      </c>
      <c r="O473" s="156">
        <f t="shared" si="56"/>
        <v>127634</v>
      </c>
      <c r="P473" s="156">
        <f t="shared" si="57"/>
        <v>127634</v>
      </c>
    </row>
    <row r="474" spans="2:16" s="9" customFormat="1" ht="35.1" customHeight="1" x14ac:dyDescent="0.25">
      <c r="B474" s="23" t="s">
        <v>680</v>
      </c>
      <c r="C474" s="22" t="s">
        <v>681</v>
      </c>
      <c r="D474" s="23" t="s">
        <v>374</v>
      </c>
      <c r="E474" s="12">
        <v>0</v>
      </c>
      <c r="F474" s="126">
        <v>132126</v>
      </c>
      <c r="G474" s="126">
        <f t="shared" si="59"/>
        <v>0</v>
      </c>
      <c r="H474" s="8"/>
      <c r="I474" s="9" t="str">
        <f t="array" ref="I474:L474">_xlfn.XLOOKUP(C474,'Neiva 2021 FASE I UNIFICADO'!$C$6:$C$540,'Neiva 2021 FASE I UNIFICADO'!$C$6:$F$540,"NO ESTA")</f>
        <v>SUMINISTRO E INSTALACIÓN CONEXIÓN TERMOSOLDADA DE VARILLA A CABLE DE COBRE DESNUDO # 6 AWG, INCLUYE SUMINISTRO DE MOLDE, FÚNDENTE Y DEMÁS ACCESORIOS.</v>
      </c>
      <c r="J474" s="9" t="str">
        <v>UN</v>
      </c>
      <c r="K474" s="9">
        <v>1</v>
      </c>
      <c r="L474" s="9">
        <v>122282</v>
      </c>
      <c r="M474" s="124" t="str">
        <f t="shared" si="58"/>
        <v>FASE II</v>
      </c>
      <c r="N474" s="155">
        <f t="shared" si="55"/>
        <v>1</v>
      </c>
      <c r="O474" s="156">
        <f t="shared" si="56"/>
        <v>132126</v>
      </c>
      <c r="P474" s="156">
        <f t="shared" si="57"/>
        <v>132126</v>
      </c>
    </row>
    <row r="475" spans="2:16" s="9" customFormat="1" ht="35.1" customHeight="1" x14ac:dyDescent="0.25">
      <c r="B475" s="23" t="s">
        <v>682</v>
      </c>
      <c r="C475" s="22" t="s">
        <v>1248</v>
      </c>
      <c r="D475" s="23" t="s">
        <v>374</v>
      </c>
      <c r="E475" s="12">
        <v>0</v>
      </c>
      <c r="F475" s="126">
        <v>132126</v>
      </c>
      <c r="G475" s="126">
        <f t="shared" si="59"/>
        <v>0</v>
      </c>
      <c r="H475" s="8"/>
      <c r="I475" s="9" t="str">
        <f t="array" ref="I475">_xlfn.XLOOKUP(C475,'Neiva 2021 FASE I UNIFICADO'!$C$6:$C$540,'Neiva 2021 FASE I UNIFICADO'!$C$6:$F$540,"NO ESTA")</f>
        <v>NO ESTA</v>
      </c>
      <c r="M475" s="124">
        <f t="shared" si="58"/>
        <v>0</v>
      </c>
      <c r="N475" s="155">
        <f t="shared" si="55"/>
        <v>0</v>
      </c>
      <c r="O475" s="156">
        <f t="shared" si="56"/>
        <v>132126</v>
      </c>
      <c r="P475" s="156">
        <f t="shared" si="57"/>
        <v>0</v>
      </c>
    </row>
    <row r="476" spans="2:16" s="9" customFormat="1" ht="39.950000000000003" customHeight="1" x14ac:dyDescent="0.25">
      <c r="B476" s="23" t="s">
        <v>684</v>
      </c>
      <c r="C476" s="22" t="s">
        <v>1247</v>
      </c>
      <c r="D476" s="23" t="s">
        <v>374</v>
      </c>
      <c r="E476" s="12">
        <v>0</v>
      </c>
      <c r="F476" s="126">
        <v>166876</v>
      </c>
      <c r="G476" s="126">
        <f t="shared" si="59"/>
        <v>0</v>
      </c>
      <c r="H476" s="8"/>
      <c r="I476" s="9" t="str">
        <f t="array" ref="I476">_xlfn.XLOOKUP(C476,'Neiva 2021 FASE I UNIFICADO'!$C$6:$C$540,'Neiva 2021 FASE I UNIFICADO'!$C$6:$F$540,"NO ESTA")</f>
        <v>NO ESTA</v>
      </c>
      <c r="M476" s="124">
        <f t="shared" si="58"/>
        <v>0</v>
      </c>
      <c r="N476" s="155">
        <f t="shared" si="55"/>
        <v>0</v>
      </c>
      <c r="O476" s="156">
        <f t="shared" si="56"/>
        <v>166876</v>
      </c>
      <c r="P476" s="156">
        <f t="shared" si="57"/>
        <v>0</v>
      </c>
    </row>
    <row r="477" spans="2:16" s="9" customFormat="1" ht="35.1" customHeight="1" x14ac:dyDescent="0.25">
      <c r="B477" s="54" t="s">
        <v>685</v>
      </c>
      <c r="C477" s="24" t="s">
        <v>686</v>
      </c>
      <c r="D477" s="24"/>
      <c r="E477" s="15">
        <v>0</v>
      </c>
      <c r="F477" s="126">
        <v>0</v>
      </c>
      <c r="G477" s="126">
        <f t="shared" si="59"/>
        <v>0</v>
      </c>
      <c r="H477" s="8"/>
      <c r="I477" s="9" t="str">
        <f t="array" ref="I477:L477">_xlfn.XLOOKUP(C477,'Neiva 2021 FASE I UNIFICADO'!$C$6:$C$540,'Neiva 2021 FASE I UNIFICADO'!$C$6:$F$540,"NO ESTA")</f>
        <v xml:space="preserve">SUMINISTRO E INSTALACIÓN PUESTA A TIERRA PLANTA GENERADORA (Incluye preparación de tierra con la solución Sanick Gel para obtener una elevada conductividad eléctrica (ver especificaciones técnicas de diseño anexas) </v>
      </c>
      <c r="J477" s="9">
        <v>0</v>
      </c>
      <c r="K477" s="9">
        <v>0</v>
      </c>
      <c r="L477" s="9">
        <v>0</v>
      </c>
      <c r="M477" s="124">
        <f t="shared" si="58"/>
        <v>0</v>
      </c>
      <c r="N477" s="155">
        <f t="shared" si="55"/>
        <v>0</v>
      </c>
      <c r="O477" s="156">
        <f t="shared" si="56"/>
        <v>0</v>
      </c>
      <c r="P477" s="156">
        <f t="shared" si="57"/>
        <v>0</v>
      </c>
    </row>
    <row r="478" spans="2:16" s="9" customFormat="1" ht="35.1" customHeight="1" x14ac:dyDescent="0.25">
      <c r="B478" s="23" t="s">
        <v>687</v>
      </c>
      <c r="C478" s="22" t="s">
        <v>665</v>
      </c>
      <c r="D478" s="23" t="s">
        <v>269</v>
      </c>
      <c r="E478" s="12">
        <v>0</v>
      </c>
      <c r="F478" s="126">
        <v>24409</v>
      </c>
      <c r="G478" s="126">
        <f t="shared" si="59"/>
        <v>0</v>
      </c>
      <c r="H478" s="8"/>
      <c r="I478" s="9" t="str">
        <f t="array" ref="I478:L478">_xlfn.XLOOKUP(C478,'Neiva 2021 FASE I UNIFICADO'!$C$6:$C$540,'Neiva 2021 FASE I UNIFICADO'!$C$6:$F$540,"NO ESTA")</f>
        <v>SUMINISTRO E INSTALACIÓN CONDUCTOR 2/0 Cu. TEMPLE DURO</v>
      </c>
      <c r="J478" s="9" t="str">
        <v xml:space="preserve">ML   </v>
      </c>
      <c r="K478" s="9">
        <v>35</v>
      </c>
      <c r="L478" s="9">
        <v>22591</v>
      </c>
      <c r="M478" s="124" t="str">
        <f t="shared" si="58"/>
        <v>FASE II</v>
      </c>
      <c r="N478" s="155">
        <f t="shared" si="55"/>
        <v>35</v>
      </c>
      <c r="O478" s="156">
        <f t="shared" si="56"/>
        <v>24409</v>
      </c>
      <c r="P478" s="156">
        <f t="shared" si="57"/>
        <v>854315</v>
      </c>
    </row>
    <row r="479" spans="2:16" s="9" customFormat="1" ht="57" customHeight="1" x14ac:dyDescent="0.25">
      <c r="B479" s="23" t="s">
        <v>688</v>
      </c>
      <c r="C479" s="22" t="s">
        <v>1249</v>
      </c>
      <c r="D479" s="23" t="s">
        <v>374</v>
      </c>
      <c r="E479" s="12">
        <v>0</v>
      </c>
      <c r="F479" s="126">
        <v>707808</v>
      </c>
      <c r="G479" s="126">
        <f t="shared" si="59"/>
        <v>0</v>
      </c>
      <c r="H479" s="8"/>
      <c r="I479" s="9" t="str">
        <f t="array" ref="I479">_xlfn.XLOOKUP(C479,'Neiva 2021 FASE I UNIFICADO'!$C$6:$C$540,'Neiva 2021 FASE I UNIFICADO'!$C$6:$F$540,"NO ESTA")</f>
        <v>NO ESTA</v>
      </c>
      <c r="M479" s="124">
        <f t="shared" si="58"/>
        <v>0</v>
      </c>
      <c r="N479" s="155">
        <f t="shared" si="55"/>
        <v>0</v>
      </c>
      <c r="O479" s="156">
        <f t="shared" si="56"/>
        <v>707808</v>
      </c>
      <c r="P479" s="156">
        <f t="shared" si="57"/>
        <v>0</v>
      </c>
    </row>
    <row r="480" spans="2:16" s="9" customFormat="1" ht="35.1" customHeight="1" x14ac:dyDescent="0.25">
      <c r="B480" s="13" t="s">
        <v>690</v>
      </c>
      <c r="C480" s="24" t="s">
        <v>691</v>
      </c>
      <c r="D480" s="24"/>
      <c r="E480" s="15">
        <v>0</v>
      </c>
      <c r="F480" s="126">
        <v>0</v>
      </c>
      <c r="G480" s="126">
        <f t="shared" si="59"/>
        <v>0</v>
      </c>
      <c r="H480" s="8"/>
      <c r="I480" s="9" t="str">
        <f t="array" ref="I480:L480">_xlfn.XLOOKUP(C480,'Neiva 2021 FASE I UNIFICADO'!$C$6:$C$540,'Neiva 2021 FASE I UNIFICADO'!$C$6:$F$540,"NO ESTA")</f>
        <v>SISTEMA DE PROTECCIÓN EXTERNA CONTRA DESCARGAS ATMOSFÉRICAS BAJANTES DE PARARRAYOS DESDE CUBIERTA A TERRENO</v>
      </c>
      <c r="J480" s="9">
        <v>0</v>
      </c>
      <c r="K480" s="9">
        <v>0</v>
      </c>
      <c r="L480" s="9">
        <v>0</v>
      </c>
      <c r="M480" s="124">
        <f t="shared" si="58"/>
        <v>0</v>
      </c>
      <c r="N480" s="155">
        <f t="shared" si="55"/>
        <v>0</v>
      </c>
      <c r="O480" s="156">
        <f t="shared" si="56"/>
        <v>0</v>
      </c>
      <c r="P480" s="156">
        <f t="shared" si="57"/>
        <v>0</v>
      </c>
    </row>
    <row r="481" spans="2:16" s="9" customFormat="1" ht="35.1" customHeight="1" x14ac:dyDescent="0.25">
      <c r="B481" s="23" t="s">
        <v>692</v>
      </c>
      <c r="C481" s="22" t="s">
        <v>693</v>
      </c>
      <c r="D481" s="23" t="s">
        <v>269</v>
      </c>
      <c r="E481" s="12">
        <v>0</v>
      </c>
      <c r="F481" s="126">
        <v>4755</v>
      </c>
      <c r="G481" s="126">
        <f t="shared" si="59"/>
        <v>0</v>
      </c>
      <c r="H481" s="8"/>
      <c r="I481" s="9" t="str">
        <f t="array" ref="I481:L481">_xlfn.XLOOKUP(C481,'Neiva 2021 FASE I UNIFICADO'!$C$6:$C$540,'Neiva 2021 FASE I UNIFICADO'!$C$6:$F$540,"NO ESTA")</f>
        <v>SUMINISTRO E INSTALACIÓN TENDIDO DE TUBERÍA Ø 3/4” PVC EMBEBIDO EN LAS COLUMNAS DE CONCRETO, DESDE LA CUBIERTA HASTA EL TERRENO.</v>
      </c>
      <c r="J481" s="9" t="str">
        <v xml:space="preserve">ML   </v>
      </c>
      <c r="K481" s="9">
        <v>65</v>
      </c>
      <c r="L481" s="9">
        <v>4400</v>
      </c>
      <c r="M481" s="124" t="str">
        <f t="shared" si="58"/>
        <v>FASE II</v>
      </c>
      <c r="N481" s="155">
        <f t="shared" si="55"/>
        <v>65</v>
      </c>
      <c r="O481" s="156">
        <f t="shared" si="56"/>
        <v>4755</v>
      </c>
      <c r="P481" s="156">
        <f t="shared" si="57"/>
        <v>309075</v>
      </c>
    </row>
    <row r="482" spans="2:16" s="9" customFormat="1" ht="35.1" customHeight="1" x14ac:dyDescent="0.25">
      <c r="B482" s="23" t="s">
        <v>694</v>
      </c>
      <c r="C482" s="22" t="s">
        <v>695</v>
      </c>
      <c r="D482" s="23" t="s">
        <v>269</v>
      </c>
      <c r="E482" s="12">
        <v>0</v>
      </c>
      <c r="F482" s="126">
        <v>14774</v>
      </c>
      <c r="G482" s="126">
        <f t="shared" si="59"/>
        <v>0</v>
      </c>
      <c r="H482" s="8"/>
      <c r="I482" s="9" t="str">
        <f t="array" ref="I482:L482">_xlfn.XLOOKUP(C482,'Neiva 2021 FASE I UNIFICADO'!$C$6:$C$540,'Neiva 2021 FASE I UNIFICADO'!$C$6:$F$540,"NO ESTA")</f>
        <v>SUMINISTRO E INSTALACIÓN TENDIDO DE CONDUCTOR DE COBRE DESNUDO # 2 AWG, DESDE LA CUBIERTA HASTA EL TERRENO POR LAS BAJANTES.</v>
      </c>
      <c r="J482" s="9" t="str">
        <v xml:space="preserve">ML   </v>
      </c>
      <c r="K482" s="9">
        <v>69</v>
      </c>
      <c r="L482" s="9">
        <v>13673</v>
      </c>
      <c r="M482" s="124" t="str">
        <f t="shared" si="58"/>
        <v>FASE II</v>
      </c>
      <c r="N482" s="155">
        <f t="shared" si="55"/>
        <v>69</v>
      </c>
      <c r="O482" s="156">
        <f t="shared" si="56"/>
        <v>14774</v>
      </c>
      <c r="P482" s="156">
        <f t="shared" si="57"/>
        <v>1019406</v>
      </c>
    </row>
    <row r="483" spans="2:16" s="9" customFormat="1" ht="35.1" customHeight="1" x14ac:dyDescent="0.25">
      <c r="B483" s="23" t="s">
        <v>696</v>
      </c>
      <c r="C483" s="22" t="s">
        <v>697</v>
      </c>
      <c r="D483" s="23" t="s">
        <v>269</v>
      </c>
      <c r="E483" s="12">
        <v>0</v>
      </c>
      <c r="F483" s="126">
        <v>5396</v>
      </c>
      <c r="G483" s="126">
        <f t="shared" si="59"/>
        <v>0</v>
      </c>
      <c r="H483" s="8"/>
      <c r="I483" s="9" t="str">
        <f t="array" ref="I483:L483">_xlfn.XLOOKUP(C483,'Neiva 2021 FASE I UNIFICADO'!$C$6:$C$540,'Neiva 2021 FASE I UNIFICADO'!$C$6:$F$540,"NO ESTA")</f>
        <v>SUMINISTRO E INSTALACIÓN TENDIDO DE ALAMBRON 8MM SOBREPUESTO EN LOS BORDES DE LA CUBIERTA PARA INTERCONEXIÓN DE PUNTAS CAPTADORAS Y BAJANTES A MALLA A TIERRA.</v>
      </c>
      <c r="J483" s="9" t="str">
        <v xml:space="preserve">ML   </v>
      </c>
      <c r="K483" s="9">
        <v>244</v>
      </c>
      <c r="L483" s="9">
        <v>4994</v>
      </c>
      <c r="M483" s="124" t="str">
        <f t="shared" si="58"/>
        <v>FASE II</v>
      </c>
      <c r="N483" s="155">
        <f t="shared" si="55"/>
        <v>244</v>
      </c>
      <c r="O483" s="156">
        <f t="shared" si="56"/>
        <v>5396</v>
      </c>
      <c r="P483" s="156">
        <f t="shared" si="57"/>
        <v>1316624</v>
      </c>
    </row>
    <row r="484" spans="2:16" s="9" customFormat="1" ht="35.1" customHeight="1" x14ac:dyDescent="0.25">
      <c r="B484" s="23" t="s">
        <v>698</v>
      </c>
      <c r="C484" s="22" t="s">
        <v>1250</v>
      </c>
      <c r="D484" s="23" t="s">
        <v>269</v>
      </c>
      <c r="E484" s="12">
        <v>0</v>
      </c>
      <c r="F484" s="126">
        <v>14774</v>
      </c>
      <c r="G484" s="126">
        <f t="shared" si="59"/>
        <v>0</v>
      </c>
      <c r="H484" s="8"/>
      <c r="I484" s="9" t="str">
        <f t="array" ref="I484">_xlfn.XLOOKUP(C484,'Neiva 2021 FASE I UNIFICADO'!$C$6:$C$540,'Neiva 2021 FASE I UNIFICADO'!$C$6:$F$540,"NO ESTA")</f>
        <v>NO ESTA</v>
      </c>
      <c r="M484" s="124">
        <f t="shared" si="58"/>
        <v>0</v>
      </c>
      <c r="N484" s="155">
        <f t="shared" si="55"/>
        <v>0</v>
      </c>
      <c r="O484" s="156">
        <f t="shared" si="56"/>
        <v>14774</v>
      </c>
      <c r="P484" s="156">
        <f t="shared" si="57"/>
        <v>0</v>
      </c>
    </row>
    <row r="485" spans="2:16" s="9" customFormat="1" ht="54" customHeight="1" x14ac:dyDescent="0.25">
      <c r="B485" s="23" t="s">
        <v>700</v>
      </c>
      <c r="C485" s="22" t="s">
        <v>1251</v>
      </c>
      <c r="D485" s="23" t="s">
        <v>374</v>
      </c>
      <c r="E485" s="12">
        <v>0</v>
      </c>
      <c r="F485" s="126">
        <v>213900</v>
      </c>
      <c r="G485" s="126">
        <f t="shared" si="59"/>
        <v>0</v>
      </c>
      <c r="H485" s="8"/>
      <c r="I485" s="9" t="str">
        <f t="array" ref="I485">_xlfn.XLOOKUP(C485,'Neiva 2021 FASE I UNIFICADO'!$C$6:$C$540,'Neiva 2021 FASE I UNIFICADO'!$C$6:$F$540,"NO ESTA")</f>
        <v>NO ESTA</v>
      </c>
      <c r="M485" s="124">
        <f t="shared" si="58"/>
        <v>0</v>
      </c>
      <c r="N485" s="155">
        <f t="shared" si="55"/>
        <v>0</v>
      </c>
      <c r="O485" s="156">
        <f t="shared" si="56"/>
        <v>213900</v>
      </c>
      <c r="P485" s="156">
        <f t="shared" si="57"/>
        <v>0</v>
      </c>
    </row>
    <row r="486" spans="2:16" s="9" customFormat="1" ht="35.1" customHeight="1" x14ac:dyDescent="0.25">
      <c r="B486" s="23" t="s">
        <v>702</v>
      </c>
      <c r="C486" s="22" t="s">
        <v>703</v>
      </c>
      <c r="D486" s="23" t="s">
        <v>374</v>
      </c>
      <c r="E486" s="12">
        <v>0</v>
      </c>
      <c r="F486" s="126">
        <v>21111</v>
      </c>
      <c r="G486" s="126">
        <f t="shared" si="59"/>
        <v>0</v>
      </c>
      <c r="H486" s="8"/>
      <c r="I486" s="9" t="str">
        <f t="array" ref="I486:L486">_xlfn.XLOOKUP(C486,'Neiva 2021 FASE I UNIFICADO'!$C$6:$C$540,'Neiva 2021 FASE I UNIFICADO'!$C$6:$F$540,"NO ESTA")</f>
        <v>SUMINISTRO E INSTALACIÓN ABRAZADERAS DE BRONCE PARA SOPORTAR EL CABLE AL MURO DE CONCRETO APROBADAS PARA INTEMPERIE.</v>
      </c>
      <c r="J486" s="9" t="str">
        <v>UN</v>
      </c>
      <c r="K486" s="9">
        <v>86</v>
      </c>
      <c r="L486" s="9">
        <v>19538</v>
      </c>
      <c r="M486" s="124" t="str">
        <f t="shared" si="58"/>
        <v>FASE II</v>
      </c>
      <c r="N486" s="155">
        <f t="shared" si="55"/>
        <v>86</v>
      </c>
      <c r="O486" s="156">
        <f t="shared" si="56"/>
        <v>21111</v>
      </c>
      <c r="P486" s="156">
        <f t="shared" si="57"/>
        <v>1815546</v>
      </c>
    </row>
    <row r="487" spans="2:16" s="9" customFormat="1" ht="35.1" customHeight="1" x14ac:dyDescent="0.25">
      <c r="B487" s="23" t="s">
        <v>704</v>
      </c>
      <c r="C487" s="22" t="s">
        <v>705</v>
      </c>
      <c r="D487" s="23" t="s">
        <v>374</v>
      </c>
      <c r="E487" s="12">
        <v>0</v>
      </c>
      <c r="F487" s="126">
        <v>26196</v>
      </c>
      <c r="G487" s="126">
        <f t="shared" si="59"/>
        <v>0</v>
      </c>
      <c r="H487" s="8"/>
      <c r="I487" s="9" t="str">
        <f t="array" ref="I487:L487">_xlfn.XLOOKUP(C487,'Neiva 2021 FASE I UNIFICADO'!$C$6:$C$540,'Neiva 2021 FASE I UNIFICADO'!$C$6:$F$540,"NO ESTA")</f>
        <v>SUMINISTRO E INSTALACIÓN GRAPA DERIVACIÓN EN T DE BRONCE PARA SOPORTAR EL CABLE AL MURO DE CONCRETO APROBADAS PARA INTEMPERIE.</v>
      </c>
      <c r="J487" s="9" t="str">
        <v>UN</v>
      </c>
      <c r="K487" s="9">
        <v>4</v>
      </c>
      <c r="L487" s="9">
        <v>24245</v>
      </c>
      <c r="M487" s="124" t="str">
        <f t="shared" si="58"/>
        <v>FASE II</v>
      </c>
      <c r="N487" s="155">
        <f t="shared" si="55"/>
        <v>4</v>
      </c>
      <c r="O487" s="156">
        <f t="shared" si="56"/>
        <v>26196</v>
      </c>
      <c r="P487" s="156">
        <f t="shared" si="57"/>
        <v>104784</v>
      </c>
    </row>
    <row r="488" spans="2:16" s="9" customFormat="1" ht="35.1" customHeight="1" x14ac:dyDescent="0.25">
      <c r="B488" s="23" t="s">
        <v>706</v>
      </c>
      <c r="C488" s="22" t="s">
        <v>707</v>
      </c>
      <c r="D488" s="23" t="s">
        <v>374</v>
      </c>
      <c r="E488" s="12">
        <v>0</v>
      </c>
      <c r="F488" s="126">
        <v>214977</v>
      </c>
      <c r="G488" s="126">
        <f t="shared" si="59"/>
        <v>0</v>
      </c>
      <c r="H488" s="8"/>
      <c r="I488" s="9" t="str">
        <f t="array" ref="I488:L488">_xlfn.XLOOKUP(C488,'Neiva 2021 FASE I UNIFICADO'!$C$6:$C$540,'Neiva 2021 FASE I UNIFICADO'!$C$6:$F$540,"NO ESTA")</f>
        <v>SUMINISTRO E INSTALACIÓN ELECTRODO DE PUESTA A TIERRA EN CU DE 5/8"X 8' + CONECTOR</v>
      </c>
      <c r="J488" s="9" t="str">
        <v>UN</v>
      </c>
      <c r="K488" s="9">
        <v>4</v>
      </c>
      <c r="L488" s="9">
        <v>198960</v>
      </c>
      <c r="M488" s="124" t="str">
        <f t="shared" si="58"/>
        <v>FASE II</v>
      </c>
      <c r="N488" s="155">
        <f t="shared" si="55"/>
        <v>4</v>
      </c>
      <c r="O488" s="156">
        <f t="shared" si="56"/>
        <v>214977</v>
      </c>
      <c r="P488" s="156">
        <f t="shared" si="57"/>
        <v>859908</v>
      </c>
    </row>
    <row r="489" spans="2:16" s="9" customFormat="1" ht="35.1" customHeight="1" x14ac:dyDescent="0.25">
      <c r="B489" s="23" t="s">
        <v>708</v>
      </c>
      <c r="C489" s="22" t="s">
        <v>709</v>
      </c>
      <c r="D489" s="23" t="s">
        <v>374</v>
      </c>
      <c r="E489" s="12">
        <v>0</v>
      </c>
      <c r="F489" s="126">
        <v>132126</v>
      </c>
      <c r="G489" s="126">
        <f t="shared" si="59"/>
        <v>0</v>
      </c>
      <c r="H489" s="8"/>
      <c r="I489" s="9" t="str">
        <f t="array" ref="I489:L489">_xlfn.XLOOKUP(C489,'Neiva 2021 FASE I UNIFICADO'!$C$6:$C$540,'Neiva 2021 FASE I UNIFICADO'!$C$6:$F$540,"NO ESTA")</f>
        <v>SUMINISTRO E INSTALACIÓN CONEXIÓN EXOTÉRMICA VARILLA-CABLE CALIBRE #2 AWG. INCLUYE SUMINISTRO DE MOLDE FÚNDENTE Y DEMÁS ACCESORIOS.</v>
      </c>
      <c r="J489" s="9" t="str">
        <v>UN</v>
      </c>
      <c r="K489" s="9">
        <v>4</v>
      </c>
      <c r="L489" s="9">
        <v>122282</v>
      </c>
      <c r="M489" s="124" t="str">
        <f t="shared" si="58"/>
        <v>FASE II</v>
      </c>
      <c r="N489" s="155">
        <f t="shared" si="55"/>
        <v>4</v>
      </c>
      <c r="O489" s="156">
        <f t="shared" si="56"/>
        <v>132126</v>
      </c>
      <c r="P489" s="156">
        <f t="shared" si="57"/>
        <v>528504</v>
      </c>
    </row>
    <row r="490" spans="2:16" s="9" customFormat="1" ht="35.1" customHeight="1" x14ac:dyDescent="0.25">
      <c r="B490" s="23" t="s">
        <v>710</v>
      </c>
      <c r="C490" s="22" t="s">
        <v>1252</v>
      </c>
      <c r="D490" s="23" t="s">
        <v>374</v>
      </c>
      <c r="E490" s="12">
        <v>0</v>
      </c>
      <c r="F490" s="126">
        <v>262735</v>
      </c>
      <c r="G490" s="126">
        <f t="shared" si="59"/>
        <v>0</v>
      </c>
      <c r="H490" s="8"/>
      <c r="I490" s="9" t="str">
        <f t="array" ref="I490">_xlfn.XLOOKUP(C490,'Neiva 2021 FASE I UNIFICADO'!$C$6:$C$540,'Neiva 2021 FASE I UNIFICADO'!$C$6:$F$540,"NO ESTA")</f>
        <v>NO ESTA</v>
      </c>
      <c r="M490" s="124">
        <f t="shared" si="58"/>
        <v>0</v>
      </c>
      <c r="N490" s="155">
        <f t="shared" si="55"/>
        <v>0</v>
      </c>
      <c r="O490" s="156">
        <f t="shared" si="56"/>
        <v>262735</v>
      </c>
      <c r="P490" s="156">
        <f t="shared" si="57"/>
        <v>0</v>
      </c>
    </row>
    <row r="491" spans="2:16" s="9" customFormat="1" ht="35.1" customHeight="1" x14ac:dyDescent="0.25">
      <c r="B491" s="13" t="s">
        <v>1253</v>
      </c>
      <c r="C491" s="24" t="s">
        <v>1254</v>
      </c>
      <c r="D491" s="24"/>
      <c r="E491" s="15"/>
      <c r="F491" s="129"/>
      <c r="G491" s="140"/>
      <c r="H491" s="8"/>
      <c r="I491" s="9" t="str">
        <f t="array" ref="I491">_xlfn.XLOOKUP(C491,'Neiva 2021 FASE I UNIFICADO'!$C$6:$C$540,'Neiva 2021 FASE I UNIFICADO'!$C$6:$F$540,"NO ESTA")</f>
        <v>NO ESTA</v>
      </c>
      <c r="M491" s="124">
        <f t="shared" si="58"/>
        <v>0</v>
      </c>
      <c r="N491" s="155">
        <f t="shared" si="55"/>
        <v>0</v>
      </c>
      <c r="O491" s="156">
        <f t="shared" si="56"/>
        <v>0</v>
      </c>
      <c r="P491" s="156">
        <f t="shared" si="57"/>
        <v>0</v>
      </c>
    </row>
    <row r="492" spans="2:16" s="9" customFormat="1" ht="108.75" customHeight="1" x14ac:dyDescent="0.25">
      <c r="B492" s="23" t="s">
        <v>1255</v>
      </c>
      <c r="C492" s="22" t="s">
        <v>1256</v>
      </c>
      <c r="D492" s="23" t="s">
        <v>374</v>
      </c>
      <c r="E492" s="12">
        <v>1</v>
      </c>
      <c r="F492" s="126">
        <v>206192449</v>
      </c>
      <c r="G492" s="126">
        <f t="shared" ref="G492:G503" si="60">ROUND(+F492*E492,2)</f>
        <v>206192449</v>
      </c>
      <c r="H492" s="8"/>
      <c r="I492" s="9" t="str">
        <f t="array" ref="I492">_xlfn.XLOOKUP(C492,'Neiva 2021 FASE I UNIFICADO'!$C$6:$C$540,'Neiva 2021 FASE I UNIFICADO'!$C$6:$F$540,"NO ESTA")</f>
        <v>NO ESTA</v>
      </c>
      <c r="M492" s="124">
        <f t="shared" si="58"/>
        <v>0</v>
      </c>
      <c r="N492" s="155">
        <f t="shared" si="55"/>
        <v>1</v>
      </c>
      <c r="O492" s="156">
        <f t="shared" si="56"/>
        <v>206192449</v>
      </c>
      <c r="P492" s="156">
        <f t="shared" si="57"/>
        <v>206192449</v>
      </c>
    </row>
    <row r="493" spans="2:16" s="9" customFormat="1" ht="35.1" customHeight="1" x14ac:dyDescent="0.25">
      <c r="B493" s="23" t="s">
        <v>1257</v>
      </c>
      <c r="C493" s="22" t="s">
        <v>1258</v>
      </c>
      <c r="D493" s="23" t="s">
        <v>374</v>
      </c>
      <c r="E493" s="12">
        <v>1</v>
      </c>
      <c r="F493" s="126">
        <v>1002721</v>
      </c>
      <c r="G493" s="126">
        <f t="shared" si="60"/>
        <v>1002721</v>
      </c>
      <c r="H493" s="8"/>
      <c r="I493" s="9" t="str">
        <f t="array" ref="I493">_xlfn.XLOOKUP(C493,'Neiva 2021 FASE I UNIFICADO'!$C$6:$C$540,'Neiva 2021 FASE I UNIFICADO'!$C$6:$F$540,"NO ESTA")</f>
        <v>NO ESTA</v>
      </c>
      <c r="M493" s="124">
        <f t="shared" si="58"/>
        <v>0</v>
      </c>
      <c r="N493" s="155">
        <f t="shared" si="55"/>
        <v>1</v>
      </c>
      <c r="O493" s="156">
        <f t="shared" si="56"/>
        <v>1002721</v>
      </c>
      <c r="P493" s="156">
        <f t="shared" si="57"/>
        <v>1002721</v>
      </c>
    </row>
    <row r="494" spans="2:16" s="9" customFormat="1" ht="35.1" customHeight="1" x14ac:dyDescent="0.25">
      <c r="B494" s="23" t="s">
        <v>1259</v>
      </c>
      <c r="C494" s="22" t="s">
        <v>1260</v>
      </c>
      <c r="D494" s="23" t="s">
        <v>374</v>
      </c>
      <c r="E494" s="12">
        <v>4</v>
      </c>
      <c r="F494" s="126">
        <v>187808</v>
      </c>
      <c r="G494" s="126">
        <f t="shared" si="60"/>
        <v>751232</v>
      </c>
      <c r="H494" s="8"/>
      <c r="I494" s="9" t="str">
        <f t="array" ref="I494">_xlfn.XLOOKUP(C494,'Neiva 2021 FASE I UNIFICADO'!$C$6:$C$540,'Neiva 2021 FASE I UNIFICADO'!$C$6:$F$540,"NO ESTA")</f>
        <v>NO ESTA</v>
      </c>
      <c r="M494" s="124">
        <f t="shared" si="58"/>
        <v>0</v>
      </c>
      <c r="N494" s="155">
        <f t="shared" si="55"/>
        <v>4</v>
      </c>
      <c r="O494" s="156">
        <f t="shared" si="56"/>
        <v>187808</v>
      </c>
      <c r="P494" s="156">
        <f t="shared" si="57"/>
        <v>751232</v>
      </c>
    </row>
    <row r="495" spans="2:16" s="9" customFormat="1" ht="50.25" customHeight="1" x14ac:dyDescent="0.25">
      <c r="B495" s="23" t="s">
        <v>1261</v>
      </c>
      <c r="C495" s="22" t="s">
        <v>1262</v>
      </c>
      <c r="D495" s="23" t="s">
        <v>374</v>
      </c>
      <c r="E495" s="12">
        <v>1</v>
      </c>
      <c r="F495" s="126">
        <v>1546095</v>
      </c>
      <c r="G495" s="126">
        <f t="shared" si="60"/>
        <v>1546095</v>
      </c>
      <c r="H495" s="8"/>
      <c r="I495" s="9" t="str">
        <f t="array" ref="I495">_xlfn.XLOOKUP(C495,'Neiva 2021 FASE I UNIFICADO'!$C$6:$C$540,'Neiva 2021 FASE I UNIFICADO'!$C$6:$F$540,"NO ESTA")</f>
        <v>NO ESTA</v>
      </c>
      <c r="M495" s="124">
        <f t="shared" si="58"/>
        <v>0</v>
      </c>
      <c r="N495" s="155">
        <f t="shared" si="55"/>
        <v>1</v>
      </c>
      <c r="O495" s="156">
        <f t="shared" si="56"/>
        <v>1546095</v>
      </c>
      <c r="P495" s="156">
        <f t="shared" si="57"/>
        <v>1546095</v>
      </c>
    </row>
    <row r="496" spans="2:16" s="9" customFormat="1" ht="35.1" customHeight="1" x14ac:dyDescent="0.25">
      <c r="B496" s="23" t="s">
        <v>1263</v>
      </c>
      <c r="C496" s="22" t="s">
        <v>1264</v>
      </c>
      <c r="D496" s="23" t="s">
        <v>374</v>
      </c>
      <c r="E496" s="12">
        <v>1</v>
      </c>
      <c r="F496" s="126">
        <v>779111</v>
      </c>
      <c r="G496" s="126">
        <f t="shared" si="60"/>
        <v>779111</v>
      </c>
      <c r="H496" s="8"/>
      <c r="I496" s="9" t="str">
        <f t="array" ref="I496">_xlfn.XLOOKUP(C496,'Neiva 2021 FASE I UNIFICADO'!$C$6:$C$540,'Neiva 2021 FASE I UNIFICADO'!$C$6:$F$540,"NO ESTA")</f>
        <v>NO ESTA</v>
      </c>
      <c r="M496" s="124">
        <f t="shared" si="58"/>
        <v>0</v>
      </c>
      <c r="N496" s="155">
        <f t="shared" si="55"/>
        <v>1</v>
      </c>
      <c r="O496" s="156">
        <f t="shared" si="56"/>
        <v>779111</v>
      </c>
      <c r="P496" s="156">
        <f t="shared" si="57"/>
        <v>779111</v>
      </c>
    </row>
    <row r="497" spans="2:16" s="9" customFormat="1" ht="35.1" customHeight="1" x14ac:dyDescent="0.25">
      <c r="B497" s="23" t="s">
        <v>1265</v>
      </c>
      <c r="C497" s="22" t="s">
        <v>1266</v>
      </c>
      <c r="D497" s="23" t="s">
        <v>374</v>
      </c>
      <c r="E497" s="12">
        <v>1</v>
      </c>
      <c r="F497" s="126">
        <v>1474412</v>
      </c>
      <c r="G497" s="126">
        <f t="shared" si="60"/>
        <v>1474412</v>
      </c>
      <c r="H497" s="8"/>
      <c r="I497" s="9" t="str">
        <f t="array" ref="I497">_xlfn.XLOOKUP(C497,'Neiva 2021 FASE I UNIFICADO'!$C$6:$C$540,'Neiva 2021 FASE I UNIFICADO'!$C$6:$F$540,"NO ESTA")</f>
        <v>NO ESTA</v>
      </c>
      <c r="M497" s="124">
        <f t="shared" si="58"/>
        <v>0</v>
      </c>
      <c r="N497" s="155">
        <f t="shared" si="55"/>
        <v>1</v>
      </c>
      <c r="O497" s="156">
        <f t="shared" si="56"/>
        <v>1474412</v>
      </c>
      <c r="P497" s="156">
        <f t="shared" si="57"/>
        <v>1474412</v>
      </c>
    </row>
    <row r="498" spans="2:16" s="9" customFormat="1" ht="42.75" customHeight="1" x14ac:dyDescent="0.25">
      <c r="B498" s="23" t="s">
        <v>1267</v>
      </c>
      <c r="C498" s="22" t="s">
        <v>1268</v>
      </c>
      <c r="D498" s="23" t="s">
        <v>269</v>
      </c>
      <c r="E498" s="12">
        <v>8</v>
      </c>
      <c r="F498" s="126">
        <v>218590</v>
      </c>
      <c r="G498" s="126">
        <f t="shared" si="60"/>
        <v>1748720</v>
      </c>
      <c r="H498" s="8"/>
      <c r="I498" s="9" t="str">
        <f t="array" ref="I498">_xlfn.XLOOKUP(C498,'Neiva 2021 FASE I UNIFICADO'!$C$6:$C$540,'Neiva 2021 FASE I UNIFICADO'!$C$6:$F$540,"NO ESTA")</f>
        <v>NO ESTA</v>
      </c>
      <c r="M498" s="124">
        <f t="shared" si="58"/>
        <v>0</v>
      </c>
      <c r="N498" s="155">
        <f t="shared" si="55"/>
        <v>8</v>
      </c>
      <c r="O498" s="156">
        <f t="shared" si="56"/>
        <v>218590</v>
      </c>
      <c r="P498" s="156">
        <f t="shared" si="57"/>
        <v>1748720</v>
      </c>
    </row>
    <row r="499" spans="2:16" s="9" customFormat="1" ht="35.1" customHeight="1" x14ac:dyDescent="0.25">
      <c r="B499" s="23" t="s">
        <v>1269</v>
      </c>
      <c r="C499" s="22" t="s">
        <v>1270</v>
      </c>
      <c r="D499" s="23" t="s">
        <v>374</v>
      </c>
      <c r="E499" s="12">
        <v>2</v>
      </c>
      <c r="F499" s="126">
        <v>218590</v>
      </c>
      <c r="G499" s="126">
        <f t="shared" si="60"/>
        <v>437180</v>
      </c>
      <c r="H499" s="8"/>
      <c r="I499" s="9" t="str">
        <f t="array" ref="I499">_xlfn.XLOOKUP(C499,'Neiva 2021 FASE I UNIFICADO'!$C$6:$C$540,'Neiva 2021 FASE I UNIFICADO'!$C$6:$F$540,"NO ESTA")</f>
        <v>NO ESTA</v>
      </c>
      <c r="M499" s="124">
        <f t="shared" si="58"/>
        <v>0</v>
      </c>
      <c r="N499" s="155">
        <f t="shared" si="55"/>
        <v>2</v>
      </c>
      <c r="O499" s="156">
        <f t="shared" si="56"/>
        <v>218590</v>
      </c>
      <c r="P499" s="156">
        <f t="shared" si="57"/>
        <v>437180</v>
      </c>
    </row>
    <row r="500" spans="2:16" s="9" customFormat="1" ht="35.1" customHeight="1" x14ac:dyDescent="0.25">
      <c r="B500" s="23" t="s">
        <v>1271</v>
      </c>
      <c r="C500" s="22" t="s">
        <v>1272</v>
      </c>
      <c r="D500" s="23" t="s">
        <v>374</v>
      </c>
      <c r="E500" s="12">
        <v>1</v>
      </c>
      <c r="F500" s="126">
        <v>492365</v>
      </c>
      <c r="G500" s="126">
        <f t="shared" si="60"/>
        <v>492365</v>
      </c>
      <c r="H500" s="8"/>
      <c r="I500" s="9" t="str">
        <f t="array" ref="I500">_xlfn.XLOOKUP(C500,'Neiva 2021 FASE I UNIFICADO'!$C$6:$C$540,'Neiva 2021 FASE I UNIFICADO'!$C$6:$F$540,"NO ESTA")</f>
        <v>NO ESTA</v>
      </c>
      <c r="M500" s="124">
        <f t="shared" si="58"/>
        <v>0</v>
      </c>
      <c r="N500" s="155">
        <f t="shared" si="55"/>
        <v>1</v>
      </c>
      <c r="O500" s="156">
        <f t="shared" si="56"/>
        <v>492365</v>
      </c>
      <c r="P500" s="156">
        <f t="shared" si="57"/>
        <v>492365</v>
      </c>
    </row>
    <row r="501" spans="2:16" s="9" customFormat="1" ht="37.5" customHeight="1" x14ac:dyDescent="0.25">
      <c r="B501" s="23" t="s">
        <v>1273</v>
      </c>
      <c r="C501" s="22" t="s">
        <v>1274</v>
      </c>
      <c r="D501" s="23" t="s">
        <v>374</v>
      </c>
      <c r="E501" s="12">
        <v>1</v>
      </c>
      <c r="F501" s="126">
        <v>448760</v>
      </c>
      <c r="G501" s="126">
        <f t="shared" si="60"/>
        <v>448760</v>
      </c>
      <c r="H501" s="8"/>
      <c r="I501" s="9" t="str">
        <f t="array" ref="I501">_xlfn.XLOOKUP(C501,'Neiva 2021 FASE I UNIFICADO'!$C$6:$C$540,'Neiva 2021 FASE I UNIFICADO'!$C$6:$F$540,"NO ESTA")</f>
        <v>NO ESTA</v>
      </c>
      <c r="M501" s="124">
        <f t="shared" si="58"/>
        <v>0</v>
      </c>
      <c r="N501" s="155">
        <f t="shared" si="55"/>
        <v>1</v>
      </c>
      <c r="O501" s="156">
        <f t="shared" si="56"/>
        <v>448760</v>
      </c>
      <c r="P501" s="156">
        <f t="shared" si="57"/>
        <v>448760</v>
      </c>
    </row>
    <row r="502" spans="2:16" s="9" customFormat="1" ht="35.1" customHeight="1" x14ac:dyDescent="0.25">
      <c r="B502" s="23" t="s">
        <v>1275</v>
      </c>
      <c r="C502" s="22" t="s">
        <v>1276</v>
      </c>
      <c r="D502" s="23" t="s">
        <v>269</v>
      </c>
      <c r="E502" s="12">
        <v>8</v>
      </c>
      <c r="F502" s="126">
        <v>110064</v>
      </c>
      <c r="G502" s="126">
        <f t="shared" si="60"/>
        <v>880512</v>
      </c>
      <c r="H502" s="8"/>
      <c r="I502" s="9" t="str">
        <f t="array" ref="I502">_xlfn.XLOOKUP(C502,'Neiva 2021 FASE I UNIFICADO'!$C$6:$C$540,'Neiva 2021 FASE I UNIFICADO'!$C$6:$F$540,"NO ESTA")</f>
        <v>NO ESTA</v>
      </c>
      <c r="M502" s="124">
        <f t="shared" si="58"/>
        <v>0</v>
      </c>
      <c r="N502" s="155">
        <f t="shared" si="55"/>
        <v>8</v>
      </c>
      <c r="O502" s="156">
        <f t="shared" si="56"/>
        <v>110064</v>
      </c>
      <c r="P502" s="156">
        <f t="shared" si="57"/>
        <v>880512</v>
      </c>
    </row>
    <row r="503" spans="2:16" s="9" customFormat="1" ht="35.1" customHeight="1" x14ac:dyDescent="0.25">
      <c r="B503" s="23" t="s">
        <v>1277</v>
      </c>
      <c r="C503" s="22" t="s">
        <v>1278</v>
      </c>
      <c r="D503" s="23" t="s">
        <v>269</v>
      </c>
      <c r="E503" s="12">
        <v>2</v>
      </c>
      <c r="F503" s="126">
        <v>110064</v>
      </c>
      <c r="G503" s="126">
        <f t="shared" si="60"/>
        <v>220128</v>
      </c>
      <c r="H503" s="8"/>
      <c r="I503" s="9" t="str">
        <f t="array" ref="I503">_xlfn.XLOOKUP(C503,'Neiva 2021 FASE I UNIFICADO'!$C$6:$C$540,'Neiva 2021 FASE I UNIFICADO'!$C$6:$F$540,"NO ESTA")</f>
        <v>NO ESTA</v>
      </c>
      <c r="M503" s="124">
        <f t="shared" si="58"/>
        <v>0</v>
      </c>
      <c r="N503" s="155">
        <f t="shared" si="55"/>
        <v>2</v>
      </c>
      <c r="O503" s="156">
        <f t="shared" si="56"/>
        <v>110064</v>
      </c>
      <c r="P503" s="156">
        <f t="shared" si="57"/>
        <v>220128</v>
      </c>
    </row>
    <row r="504" spans="2:16" s="9" customFormat="1" ht="35.1" customHeight="1" x14ac:dyDescent="0.25">
      <c r="B504" s="13" t="s">
        <v>1279</v>
      </c>
      <c r="C504" s="14" t="s">
        <v>1280</v>
      </c>
      <c r="D504" s="24"/>
      <c r="E504" s="15"/>
      <c r="F504" s="129"/>
      <c r="G504" s="140"/>
      <c r="H504" s="8"/>
      <c r="I504" s="9" t="str">
        <f t="array" ref="I504">_xlfn.XLOOKUP(C504,'Neiva 2021 FASE I UNIFICADO'!$C$6:$C$540,'Neiva 2021 FASE I UNIFICADO'!$C$6:$F$540,"NO ESTA")</f>
        <v>NO ESTA</v>
      </c>
      <c r="M504" s="124">
        <f t="shared" si="58"/>
        <v>0</v>
      </c>
      <c r="N504" s="155">
        <f t="shared" si="55"/>
        <v>0</v>
      </c>
      <c r="O504" s="156">
        <f t="shared" si="56"/>
        <v>0</v>
      </c>
      <c r="P504" s="156">
        <f t="shared" si="57"/>
        <v>0</v>
      </c>
    </row>
    <row r="505" spans="2:16" s="9" customFormat="1" ht="35.1" customHeight="1" x14ac:dyDescent="0.25">
      <c r="B505" s="23" t="s">
        <v>1281</v>
      </c>
      <c r="C505" s="22" t="s">
        <v>1282</v>
      </c>
      <c r="D505" s="23" t="s">
        <v>374</v>
      </c>
      <c r="E505" s="12">
        <v>1</v>
      </c>
      <c r="F505" s="126">
        <v>23219474</v>
      </c>
      <c r="G505" s="126">
        <f>ROUND(+F505*E505,2)</f>
        <v>23219474</v>
      </c>
      <c r="H505" s="8"/>
      <c r="I505" s="9" t="str">
        <f t="array" ref="I505">_xlfn.XLOOKUP(C505,'Neiva 2021 FASE I UNIFICADO'!$C$6:$C$540,'Neiva 2021 FASE I UNIFICADO'!$C$6:$F$540,"NO ESTA")</f>
        <v>NO ESTA</v>
      </c>
      <c r="M505" s="124">
        <f t="shared" si="58"/>
        <v>0</v>
      </c>
      <c r="N505" s="155">
        <f t="shared" si="55"/>
        <v>1</v>
      </c>
      <c r="O505" s="156">
        <f t="shared" si="56"/>
        <v>23219474</v>
      </c>
      <c r="P505" s="156">
        <f t="shared" si="57"/>
        <v>23219474</v>
      </c>
    </row>
    <row r="506" spans="2:16" s="9" customFormat="1" ht="39.950000000000003" customHeight="1" x14ac:dyDescent="0.25">
      <c r="B506" s="13" t="s">
        <v>1283</v>
      </c>
      <c r="C506" s="14" t="s">
        <v>1284</v>
      </c>
      <c r="D506" s="24"/>
      <c r="E506" s="15"/>
      <c r="F506" s="129"/>
      <c r="G506" s="140"/>
      <c r="H506" s="8"/>
      <c r="I506" s="9" t="str">
        <f t="array" ref="I506">_xlfn.XLOOKUP(C506,'Neiva 2021 FASE I UNIFICADO'!$C$6:$C$540,'Neiva 2021 FASE I UNIFICADO'!$C$6:$F$540,"NO ESTA")</f>
        <v>NO ESTA</v>
      </c>
      <c r="M506" s="124">
        <f t="shared" si="58"/>
        <v>0</v>
      </c>
      <c r="N506" s="155">
        <f t="shared" si="55"/>
        <v>0</v>
      </c>
      <c r="O506" s="156">
        <f t="shared" si="56"/>
        <v>0</v>
      </c>
      <c r="P506" s="156">
        <f t="shared" si="57"/>
        <v>0</v>
      </c>
    </row>
    <row r="507" spans="2:16" s="9" customFormat="1" ht="39.950000000000003" customHeight="1" x14ac:dyDescent="0.25">
      <c r="B507" s="23" t="s">
        <v>1285</v>
      </c>
      <c r="C507" s="22" t="s">
        <v>1286</v>
      </c>
      <c r="D507" s="23" t="s">
        <v>374</v>
      </c>
      <c r="E507" s="12">
        <v>1</v>
      </c>
      <c r="F507" s="126">
        <v>2269168</v>
      </c>
      <c r="G507" s="126">
        <f>ROUND(+F507*E507,2)</f>
        <v>2269168</v>
      </c>
      <c r="H507" s="8"/>
      <c r="I507" s="9" t="str">
        <f t="array" ref="I507">_xlfn.XLOOKUP(C507,'Neiva 2021 FASE I UNIFICADO'!$C$6:$C$540,'Neiva 2021 FASE I UNIFICADO'!$C$6:$F$540,"NO ESTA")</f>
        <v>NO ESTA</v>
      </c>
      <c r="M507" s="124">
        <f t="shared" si="58"/>
        <v>0</v>
      </c>
      <c r="N507" s="155">
        <f t="shared" si="55"/>
        <v>1</v>
      </c>
      <c r="O507" s="156">
        <f t="shared" si="56"/>
        <v>2269168</v>
      </c>
      <c r="P507" s="156">
        <f t="shared" si="57"/>
        <v>2269168</v>
      </c>
    </row>
    <row r="508" spans="2:16" s="9" customFormat="1" ht="39.950000000000003" customHeight="1" x14ac:dyDescent="0.25">
      <c r="B508" s="23" t="s">
        <v>1287</v>
      </c>
      <c r="C508" s="22" t="s">
        <v>1288</v>
      </c>
      <c r="D508" s="23" t="s">
        <v>269</v>
      </c>
      <c r="E508" s="12">
        <v>10</v>
      </c>
      <c r="F508" s="126">
        <v>100733</v>
      </c>
      <c r="G508" s="126">
        <f>ROUND(+F508*E508,2)</f>
        <v>1007330</v>
      </c>
      <c r="H508" s="8">
        <f>ROUND(F508*(1+$H$3),0)</f>
        <v>196711</v>
      </c>
      <c r="I508" s="9" t="str">
        <f t="array" ref="I508">_xlfn.XLOOKUP(C508,'Neiva 2021 FASE I UNIFICADO'!$C$6:$C$540,'Neiva 2021 FASE I UNIFICADO'!$C$6:$F$540,"NO ESTA")</f>
        <v>NO ESTA</v>
      </c>
      <c r="M508" s="124">
        <f t="shared" si="58"/>
        <v>0</v>
      </c>
      <c r="N508" s="155">
        <f t="shared" si="55"/>
        <v>10</v>
      </c>
      <c r="O508" s="156">
        <f t="shared" si="56"/>
        <v>100733</v>
      </c>
      <c r="P508" s="156">
        <f t="shared" si="57"/>
        <v>1007330</v>
      </c>
    </row>
    <row r="509" spans="2:16" s="9" customFormat="1" ht="39.950000000000003" customHeight="1" x14ac:dyDescent="0.25">
      <c r="B509" s="23" t="s">
        <v>1289</v>
      </c>
      <c r="C509" s="22" t="s">
        <v>1290</v>
      </c>
      <c r="D509" s="23" t="s">
        <v>269</v>
      </c>
      <c r="E509" s="12">
        <v>5</v>
      </c>
      <c r="F509" s="126">
        <v>184288</v>
      </c>
      <c r="G509" s="126">
        <f>ROUND(+F509*E509,2)</f>
        <v>921440</v>
      </c>
      <c r="H509" s="8">
        <f>ROUND(F509*(1+$H$3),0)</f>
        <v>359878</v>
      </c>
      <c r="I509" s="9" t="str">
        <f t="array" ref="I509">_xlfn.XLOOKUP(C509,'Neiva 2021 FASE I UNIFICADO'!$C$6:$C$540,'Neiva 2021 FASE I UNIFICADO'!$C$6:$F$540,"NO ESTA")</f>
        <v>NO ESTA</v>
      </c>
      <c r="M509" s="124">
        <f t="shared" si="58"/>
        <v>0</v>
      </c>
      <c r="N509" s="155">
        <f t="shared" si="55"/>
        <v>5</v>
      </c>
      <c r="O509" s="156">
        <f t="shared" si="56"/>
        <v>184288</v>
      </c>
      <c r="P509" s="156">
        <f t="shared" si="57"/>
        <v>921440</v>
      </c>
    </row>
    <row r="510" spans="2:16" s="9" customFormat="1" ht="39.950000000000003" customHeight="1" x14ac:dyDescent="0.25">
      <c r="B510" s="23" t="s">
        <v>1291</v>
      </c>
      <c r="C510" s="22" t="s">
        <v>1292</v>
      </c>
      <c r="D510" s="23" t="s">
        <v>269</v>
      </c>
      <c r="E510" s="12">
        <v>5</v>
      </c>
      <c r="F510" s="126">
        <v>184288</v>
      </c>
      <c r="G510" s="126">
        <f>ROUND(+F510*E510,2)</f>
        <v>921440</v>
      </c>
      <c r="H510" s="8">
        <f>ROUND(F510*(1+$H$3),0)</f>
        <v>359878</v>
      </c>
      <c r="I510" s="9" t="str">
        <f t="array" ref="I510">_xlfn.XLOOKUP(C510,'Neiva 2021 FASE I UNIFICADO'!$C$6:$C$540,'Neiva 2021 FASE I UNIFICADO'!$C$6:$F$540,"NO ESTA")</f>
        <v>NO ESTA</v>
      </c>
      <c r="M510" s="124">
        <f t="shared" si="58"/>
        <v>0</v>
      </c>
      <c r="N510" s="155">
        <f t="shared" si="55"/>
        <v>5</v>
      </c>
      <c r="O510" s="156">
        <f t="shared" si="56"/>
        <v>184288</v>
      </c>
      <c r="P510" s="156">
        <f t="shared" si="57"/>
        <v>921440</v>
      </c>
    </row>
    <row r="511" spans="2:16" s="9" customFormat="1" ht="35.1" customHeight="1" x14ac:dyDescent="0.25">
      <c r="B511" s="23" t="s">
        <v>1293</v>
      </c>
      <c r="C511" s="22" t="s">
        <v>1294</v>
      </c>
      <c r="D511" s="23" t="s">
        <v>1182</v>
      </c>
      <c r="E511" s="12">
        <v>200</v>
      </c>
      <c r="F511" s="126">
        <v>12373</v>
      </c>
      <c r="G511" s="126">
        <f>ROUND(+F511*E511,2)</f>
        <v>2474600</v>
      </c>
      <c r="H511" s="8"/>
      <c r="I511" s="9" t="str">
        <f t="array" ref="I511">_xlfn.XLOOKUP(C511,'Neiva 2021 FASE I UNIFICADO'!$C$6:$C$540,'Neiva 2021 FASE I UNIFICADO'!$C$6:$F$540,"NO ESTA")</f>
        <v>NO ESTA</v>
      </c>
      <c r="M511" s="124">
        <f t="shared" si="58"/>
        <v>0</v>
      </c>
      <c r="N511" s="155">
        <f t="shared" si="55"/>
        <v>200</v>
      </c>
      <c r="O511" s="156">
        <f t="shared" si="56"/>
        <v>12373</v>
      </c>
      <c r="P511" s="156">
        <f t="shared" si="57"/>
        <v>2474600</v>
      </c>
    </row>
    <row r="512" spans="2:16" s="9" customFormat="1" ht="35.1" customHeight="1" x14ac:dyDescent="0.25">
      <c r="B512" s="57">
        <v>16</v>
      </c>
      <c r="C512" s="58" t="s">
        <v>712</v>
      </c>
      <c r="D512" s="34"/>
      <c r="E512" s="35"/>
      <c r="F512" s="132"/>
      <c r="G512" s="142"/>
      <c r="H512" s="8"/>
      <c r="I512" s="9" t="str">
        <f t="array" ref="I512:L512">_xlfn.XLOOKUP(C512,'Neiva 2021 FASE I UNIFICADO'!$C$6:$C$540,'Neiva 2021 FASE I UNIFICADO'!$C$6:$F$540,"NO ESTA")</f>
        <v>LUMINARIAS Y LAMPARAS</v>
      </c>
      <c r="J512" s="9">
        <v>0</v>
      </c>
      <c r="K512" s="9">
        <v>0</v>
      </c>
      <c r="L512" s="9">
        <v>0</v>
      </c>
      <c r="M512" s="124">
        <f t="shared" si="58"/>
        <v>0</v>
      </c>
      <c r="N512" s="155">
        <f t="shared" si="55"/>
        <v>0</v>
      </c>
      <c r="O512" s="156">
        <f t="shared" si="56"/>
        <v>0</v>
      </c>
      <c r="P512" s="156">
        <f t="shared" si="57"/>
        <v>0</v>
      </c>
    </row>
    <row r="513" spans="2:16" s="9" customFormat="1" ht="35.1" customHeight="1" x14ac:dyDescent="0.25">
      <c r="B513" s="13" t="s">
        <v>713</v>
      </c>
      <c r="C513" s="24" t="s">
        <v>714</v>
      </c>
      <c r="D513" s="24"/>
      <c r="E513" s="15"/>
      <c r="F513" s="129"/>
      <c r="G513" s="140"/>
      <c r="H513" s="8"/>
      <c r="I513" s="9" t="str">
        <f t="array" ref="I513:L513">_xlfn.XLOOKUP(C513,'Neiva 2021 FASE I UNIFICADO'!$C$6:$C$540,'Neiva 2021 FASE I UNIFICADO'!$C$6:$F$540,"NO ESTA")</f>
        <v xml:space="preserve">SUMINISTRO E INSTALACIÓN DE LÁMPARAS FLUORESCENTES </v>
      </c>
      <c r="J513" s="9">
        <v>0</v>
      </c>
      <c r="K513" s="9">
        <v>0</v>
      </c>
      <c r="L513" s="9">
        <v>0</v>
      </c>
      <c r="M513" s="124">
        <f t="shared" si="58"/>
        <v>0</v>
      </c>
      <c r="N513" s="155">
        <f t="shared" si="55"/>
        <v>0</v>
      </c>
      <c r="O513" s="156">
        <f t="shared" si="56"/>
        <v>0</v>
      </c>
      <c r="P513" s="156">
        <f t="shared" si="57"/>
        <v>0</v>
      </c>
    </row>
    <row r="514" spans="2:16" s="9" customFormat="1" ht="35.1" customHeight="1" x14ac:dyDescent="0.25">
      <c r="B514" s="23" t="s">
        <v>715</v>
      </c>
      <c r="C514" s="87" t="s">
        <v>716</v>
      </c>
      <c r="D514" s="23" t="s">
        <v>374</v>
      </c>
      <c r="E514" s="12">
        <v>153</v>
      </c>
      <c r="F514" s="126">
        <v>97894</v>
      </c>
      <c r="G514" s="126">
        <f t="shared" ref="G514:G522" si="61">ROUND(+F514*E514,2)</f>
        <v>14977782</v>
      </c>
      <c r="H514" s="8"/>
      <c r="I514" s="9" t="str">
        <f t="array" ref="I514:L514">_xlfn.XLOOKUP(C514,'Neiva 2021 FASE I UNIFICADO'!$C$6:$C$540,'Neiva 2021 FASE I UNIFICADO'!$C$6:$F$540,"NO ESTA")</f>
        <v>SUMINISTRO E INSTALACIÓN LÁMPARA LED 1x28 W</v>
      </c>
      <c r="J514" s="9" t="str">
        <v>UN</v>
      </c>
      <c r="K514" s="9">
        <v>57</v>
      </c>
      <c r="L514" s="9">
        <v>125754</v>
      </c>
      <c r="M514" s="124" t="str">
        <f t="shared" si="58"/>
        <v>FASE I</v>
      </c>
      <c r="N514" s="155">
        <f t="shared" si="55"/>
        <v>210</v>
      </c>
      <c r="O514" s="156">
        <f t="shared" si="56"/>
        <v>125754</v>
      </c>
      <c r="P514" s="156">
        <f t="shared" si="57"/>
        <v>26408340</v>
      </c>
    </row>
    <row r="515" spans="2:16" s="9" customFormat="1" ht="35.1" customHeight="1" x14ac:dyDescent="0.25">
      <c r="B515" s="23" t="s">
        <v>717</v>
      </c>
      <c r="C515" s="87" t="s">
        <v>718</v>
      </c>
      <c r="D515" s="23" t="s">
        <v>374</v>
      </c>
      <c r="E515" s="12">
        <v>82</v>
      </c>
      <c r="F515" s="126">
        <v>178068</v>
      </c>
      <c r="G515" s="126">
        <f t="shared" si="61"/>
        <v>14601576</v>
      </c>
      <c r="H515" s="8"/>
      <c r="I515" s="9" t="str">
        <f t="array" ref="I515:L515">_xlfn.XLOOKUP(C515,'Neiva 2021 FASE I UNIFICADO'!$C$6:$C$540,'Neiva 2021 FASE I UNIFICADO'!$C$6:$F$540,"NO ESTA")</f>
        <v>SUMINISTRO E INSTALACIÓN LÁMPARA LED 2x54 W</v>
      </c>
      <c r="J515" s="9" t="str">
        <v>UN</v>
      </c>
      <c r="K515" s="9">
        <v>30</v>
      </c>
      <c r="L515" s="9">
        <v>203359</v>
      </c>
      <c r="M515" s="124" t="str">
        <f t="shared" si="58"/>
        <v>FASE I</v>
      </c>
      <c r="N515" s="155">
        <f t="shared" si="55"/>
        <v>112</v>
      </c>
      <c r="O515" s="156">
        <f t="shared" si="56"/>
        <v>203359</v>
      </c>
      <c r="P515" s="156">
        <f t="shared" si="57"/>
        <v>22776208</v>
      </c>
    </row>
    <row r="516" spans="2:16" s="9" customFormat="1" ht="35.1" customHeight="1" x14ac:dyDescent="0.25">
      <c r="B516" s="23" t="s">
        <v>719</v>
      </c>
      <c r="C516" s="22" t="s">
        <v>720</v>
      </c>
      <c r="D516" s="23" t="s">
        <v>374</v>
      </c>
      <c r="E516" s="12">
        <v>121</v>
      </c>
      <c r="F516" s="126">
        <v>190945</v>
      </c>
      <c r="G516" s="126">
        <f t="shared" si="61"/>
        <v>23104345</v>
      </c>
      <c r="H516" s="8"/>
      <c r="I516" s="9" t="str">
        <f t="array" ref="I516:L516">_xlfn.XLOOKUP(C516,'Neiva 2021 FASE I UNIFICADO'!$C$6:$C$540,'Neiva 2021 FASE I UNIFICADO'!$C$6:$F$540,"NO ESTA")</f>
        <v>SUMINISTRO E INSTALACIÓN BALA LED 35W 120 V</v>
      </c>
      <c r="J516" s="9" t="str">
        <v>UN</v>
      </c>
      <c r="K516" s="9">
        <v>45</v>
      </c>
      <c r="L516" s="9">
        <v>176718</v>
      </c>
      <c r="M516" s="124" t="str">
        <f t="shared" si="58"/>
        <v>FASE II</v>
      </c>
      <c r="N516" s="155">
        <f t="shared" si="55"/>
        <v>166</v>
      </c>
      <c r="O516" s="156">
        <f t="shared" si="56"/>
        <v>190945</v>
      </c>
      <c r="P516" s="156">
        <f t="shared" si="57"/>
        <v>31696870</v>
      </c>
    </row>
    <row r="517" spans="2:16" s="9" customFormat="1" ht="35.1" customHeight="1" x14ac:dyDescent="0.25">
      <c r="B517" s="23" t="s">
        <v>721</v>
      </c>
      <c r="C517" s="22" t="s">
        <v>722</v>
      </c>
      <c r="D517" s="23" t="s">
        <v>374</v>
      </c>
      <c r="E517" s="12">
        <v>50</v>
      </c>
      <c r="F517" s="126">
        <v>140842</v>
      </c>
      <c r="G517" s="126">
        <f t="shared" si="61"/>
        <v>7042100</v>
      </c>
      <c r="H517" s="8"/>
      <c r="I517" s="9" t="str">
        <f t="array" ref="I517:L517">_xlfn.XLOOKUP(C517,'Neiva 2021 FASE I UNIFICADO'!$C$6:$C$540,'Neiva 2021 FASE I UNIFICADO'!$C$6:$F$540,"NO ESTA")</f>
        <v>SUMINISTRO E INSTALACIÓN BALA RECESADA LED 10W 120 V</v>
      </c>
      <c r="J517" s="9" t="str">
        <v>UN</v>
      </c>
      <c r="K517" s="9">
        <v>19</v>
      </c>
      <c r="L517" s="9">
        <v>130349</v>
      </c>
      <c r="M517" s="124" t="str">
        <f t="shared" si="58"/>
        <v>FASE II</v>
      </c>
      <c r="N517" s="155">
        <f t="shared" si="55"/>
        <v>69</v>
      </c>
      <c r="O517" s="156">
        <f t="shared" si="56"/>
        <v>140842</v>
      </c>
      <c r="P517" s="156">
        <f t="shared" si="57"/>
        <v>9718098</v>
      </c>
    </row>
    <row r="518" spans="2:16" s="9" customFormat="1" ht="35.1" customHeight="1" x14ac:dyDescent="0.25">
      <c r="B518" s="23" t="s">
        <v>723</v>
      </c>
      <c r="C518" s="22" t="s">
        <v>724</v>
      </c>
      <c r="D518" s="23" t="s">
        <v>374</v>
      </c>
      <c r="E518" s="12">
        <v>184</v>
      </c>
      <c r="F518" s="126">
        <v>226917</v>
      </c>
      <c r="G518" s="126">
        <f t="shared" si="61"/>
        <v>41752728</v>
      </c>
      <c r="H518" s="8"/>
      <c r="I518" s="9" t="str">
        <f t="array" ref="I518:L518">_xlfn.XLOOKUP(C518,'Neiva 2021 FASE I UNIFICADO'!$C$6:$C$540,'Neiva 2021 FASE I UNIFICADO'!$C$6:$F$540,"NO ESTA")</f>
        <v>SUMINISTRO E INSTALACIÓN LUMINARIA LED 2x26W 120V</v>
      </c>
      <c r="J518" s="9" t="str">
        <v>UN</v>
      </c>
      <c r="K518" s="9">
        <v>68</v>
      </c>
      <c r="L518" s="9">
        <v>210010</v>
      </c>
      <c r="M518" s="124" t="str">
        <f t="shared" si="58"/>
        <v>FASE II</v>
      </c>
      <c r="N518" s="155">
        <f t="shared" ref="N518:N581" si="62">E518+K518</f>
        <v>252</v>
      </c>
      <c r="O518" s="156">
        <f t="shared" ref="O518:O581" si="63">MAX(L518,F518)</f>
        <v>226917</v>
      </c>
      <c r="P518" s="156">
        <f t="shared" ref="P518:P581" si="64">N518*O518</f>
        <v>57183084</v>
      </c>
    </row>
    <row r="519" spans="2:16" s="9" customFormat="1" ht="35.1" customHeight="1" x14ac:dyDescent="0.25">
      <c r="B519" s="23" t="s">
        <v>725</v>
      </c>
      <c r="C519" s="22" t="s">
        <v>726</v>
      </c>
      <c r="D519" s="23" t="s">
        <v>374</v>
      </c>
      <c r="E519" s="12">
        <v>6</v>
      </c>
      <c r="F519" s="126">
        <v>270567</v>
      </c>
      <c r="G519" s="126">
        <f t="shared" si="61"/>
        <v>1623402</v>
      </c>
      <c r="H519" s="8"/>
      <c r="I519" s="9" t="str">
        <f t="array" ref="I519:L519">_xlfn.XLOOKUP(C519,'Neiva 2021 FASE I UNIFICADO'!$C$6:$C$540,'Neiva 2021 FASE I UNIFICADO'!$C$6:$F$540,"NO ESTA")</f>
        <v>SUMINISTRO E INSTALACIÓN REFLECTOR DE LUZ INDIRECTA</v>
      </c>
      <c r="J519" s="9" t="str">
        <v>UN</v>
      </c>
      <c r="K519" s="9">
        <v>2</v>
      </c>
      <c r="L519" s="9">
        <v>250408</v>
      </c>
      <c r="M519" s="124" t="str">
        <f t="shared" si="58"/>
        <v>FASE II</v>
      </c>
      <c r="N519" s="155">
        <f t="shared" si="62"/>
        <v>8</v>
      </c>
      <c r="O519" s="156">
        <f t="shared" si="63"/>
        <v>270567</v>
      </c>
      <c r="P519" s="156">
        <f t="shared" si="64"/>
        <v>2164536</v>
      </c>
    </row>
    <row r="520" spans="2:16" s="9" customFormat="1" ht="35.1" customHeight="1" x14ac:dyDescent="0.25">
      <c r="B520" s="23" t="s">
        <v>727</v>
      </c>
      <c r="C520" s="22" t="s">
        <v>728</v>
      </c>
      <c r="D520" s="23" t="s">
        <v>374</v>
      </c>
      <c r="E520" s="12">
        <v>6</v>
      </c>
      <c r="F520" s="126">
        <v>199908</v>
      </c>
      <c r="G520" s="126">
        <f t="shared" si="61"/>
        <v>1199448</v>
      </c>
      <c r="H520" s="8"/>
      <c r="I520" s="9" t="str">
        <f t="array" ref="I520:L520">_xlfn.XLOOKUP(C520,'Neiva 2021 FASE I UNIFICADO'!$C$6:$C$540,'Neiva 2021 FASE I UNIFICADO'!$C$6:$F$540,"NO ESTA")</f>
        <v>SUMINISTRO E INSTALACIÓN APLIQUE DE ESCALERA 1000W 120V</v>
      </c>
      <c r="J520" s="9" t="str">
        <v>UN</v>
      </c>
      <c r="K520" s="9">
        <v>2</v>
      </c>
      <c r="L520" s="9">
        <v>185014</v>
      </c>
      <c r="M520" s="124" t="str">
        <f t="shared" ref="M520:M583" si="65">IF(L520=0,0,(IF(F520&lt;L520, "FASE I","FASE II")))</f>
        <v>FASE II</v>
      </c>
      <c r="N520" s="155">
        <f t="shared" si="62"/>
        <v>8</v>
      </c>
      <c r="O520" s="156">
        <f t="shared" si="63"/>
        <v>199908</v>
      </c>
      <c r="P520" s="156">
        <f t="shared" si="64"/>
        <v>1599264</v>
      </c>
    </row>
    <row r="521" spans="2:16" s="9" customFormat="1" ht="35.1" customHeight="1" x14ac:dyDescent="0.25">
      <c r="B521" s="23" t="s">
        <v>729</v>
      </c>
      <c r="C521" s="55" t="s">
        <v>730</v>
      </c>
      <c r="D521" s="56" t="s">
        <v>374</v>
      </c>
      <c r="E521" s="12">
        <v>67</v>
      </c>
      <c r="F521" s="126">
        <v>97132</v>
      </c>
      <c r="G521" s="126">
        <f t="shared" si="61"/>
        <v>6507844</v>
      </c>
      <c r="H521" s="8"/>
      <c r="I521" s="9" t="str">
        <f t="array" ref="I521:L521">_xlfn.XLOOKUP(C521,'Neiva 2021 FASE I UNIFICADO'!$C$6:$C$540,'Neiva 2021 FASE I UNIFICADO'!$C$6:$F$540,"NO ESTA")</f>
        <v>SUMINISTRO E INSTALACIÓN BALAS LED DE PISO 3W 120V</v>
      </c>
      <c r="J521" s="9" t="str">
        <v>UN</v>
      </c>
      <c r="K521" s="9">
        <v>25</v>
      </c>
      <c r="L521" s="9">
        <v>89895</v>
      </c>
      <c r="M521" s="124" t="str">
        <f t="shared" si="65"/>
        <v>FASE II</v>
      </c>
      <c r="N521" s="155">
        <f t="shared" si="62"/>
        <v>92</v>
      </c>
      <c r="O521" s="156">
        <f t="shared" si="63"/>
        <v>97132</v>
      </c>
      <c r="P521" s="156">
        <f t="shared" si="64"/>
        <v>8936144</v>
      </c>
    </row>
    <row r="522" spans="2:16" s="9" customFormat="1" ht="35.1" customHeight="1" x14ac:dyDescent="0.25">
      <c r="B522" s="23" t="s">
        <v>731</v>
      </c>
      <c r="C522" s="22" t="s">
        <v>732</v>
      </c>
      <c r="D522" s="23" t="s">
        <v>374</v>
      </c>
      <c r="E522" s="12">
        <v>10</v>
      </c>
      <c r="F522" s="126">
        <v>77862</v>
      </c>
      <c r="G522" s="126">
        <f t="shared" si="61"/>
        <v>778620</v>
      </c>
      <c r="H522" s="8"/>
      <c r="I522" s="9" t="str">
        <f t="array" ref="I522:L522">_xlfn.XLOOKUP(C522,'Neiva 2021 FASE I UNIFICADO'!$C$6:$C$540,'Neiva 2021 FASE I UNIFICADO'!$C$6:$F$540,"NO ESTA")</f>
        <v>SUMINISTRO E INSTALACIÓN BALAS DE PISO 50W 120 V</v>
      </c>
      <c r="J522" s="9" t="str">
        <v>UN</v>
      </c>
      <c r="K522" s="9">
        <v>4</v>
      </c>
      <c r="L522" s="9">
        <v>72061</v>
      </c>
      <c r="M522" s="124" t="str">
        <f t="shared" si="65"/>
        <v>FASE II</v>
      </c>
      <c r="N522" s="155">
        <f t="shared" si="62"/>
        <v>14</v>
      </c>
      <c r="O522" s="156">
        <f t="shared" si="63"/>
        <v>77862</v>
      </c>
      <c r="P522" s="156">
        <f t="shared" si="64"/>
        <v>1090068</v>
      </c>
    </row>
    <row r="523" spans="2:16" s="9" customFormat="1" ht="35.1" customHeight="1" x14ac:dyDescent="0.25">
      <c r="B523" s="33">
        <v>17</v>
      </c>
      <c r="C523" s="34" t="s">
        <v>733</v>
      </c>
      <c r="D523" s="34"/>
      <c r="E523" s="35"/>
      <c r="F523" s="132"/>
      <c r="G523" s="142"/>
      <c r="H523" s="8"/>
      <c r="I523" s="9" t="str">
        <f t="array" ref="I523:L523">_xlfn.XLOOKUP(C523,'Neiva 2021 FASE I UNIFICADO'!$C$6:$C$540,'Neiva 2021 FASE I UNIFICADO'!$C$6:$F$540,"NO ESTA")</f>
        <v>AIRE ACONDICIONADO</v>
      </c>
      <c r="J523" s="9">
        <v>0</v>
      </c>
      <c r="K523" s="9">
        <v>0</v>
      </c>
      <c r="L523" s="9">
        <v>0</v>
      </c>
      <c r="M523" s="124">
        <f t="shared" si="65"/>
        <v>0</v>
      </c>
      <c r="N523" s="155">
        <f t="shared" si="62"/>
        <v>0</v>
      </c>
      <c r="O523" s="156">
        <f t="shared" si="63"/>
        <v>0</v>
      </c>
      <c r="P523" s="156">
        <f t="shared" si="64"/>
        <v>0</v>
      </c>
    </row>
    <row r="524" spans="2:16" s="9" customFormat="1" ht="35.1" customHeight="1" x14ac:dyDescent="0.25">
      <c r="B524" s="13" t="s">
        <v>1295</v>
      </c>
      <c r="C524" s="24" t="s">
        <v>1296</v>
      </c>
      <c r="D524" s="24"/>
      <c r="E524" s="15"/>
      <c r="F524" s="129"/>
      <c r="G524" s="140"/>
      <c r="H524" s="8"/>
      <c r="I524" s="9" t="str">
        <f t="array" ref="I524">_xlfn.XLOOKUP(C524,'Neiva 2021 FASE I UNIFICADO'!$C$6:$C$540,'Neiva 2021 FASE I UNIFICADO'!$C$6:$F$540,"NO ESTA")</f>
        <v>NO ESTA</v>
      </c>
      <c r="M524" s="124">
        <f t="shared" si="65"/>
        <v>0</v>
      </c>
      <c r="N524" s="155">
        <f t="shared" si="62"/>
        <v>0</v>
      </c>
      <c r="O524" s="156">
        <f t="shared" si="63"/>
        <v>0</v>
      </c>
      <c r="P524" s="156">
        <f t="shared" si="64"/>
        <v>0</v>
      </c>
    </row>
    <row r="525" spans="2:16" s="9" customFormat="1" ht="35.1" customHeight="1" x14ac:dyDescent="0.25">
      <c r="B525" s="23" t="s">
        <v>1297</v>
      </c>
      <c r="C525" s="22" t="s">
        <v>1298</v>
      </c>
      <c r="D525" s="10" t="s">
        <v>16</v>
      </c>
      <c r="E525" s="12">
        <v>1</v>
      </c>
      <c r="F525" s="126">
        <v>240166908</v>
      </c>
      <c r="G525" s="126">
        <f t="shared" ref="G525:G539" si="66">ROUND(+F525*E525,2)</f>
        <v>240166908</v>
      </c>
      <c r="H525" s="8"/>
      <c r="I525" s="9" t="str">
        <f t="array" ref="I525">_xlfn.XLOOKUP(C525,'Neiva 2021 FASE I UNIFICADO'!$C$6:$C$540,'Neiva 2021 FASE I UNIFICADO'!$C$6:$F$540,"NO ESTA")</f>
        <v>NO ESTA</v>
      </c>
      <c r="M525" s="124">
        <f t="shared" si="65"/>
        <v>0</v>
      </c>
      <c r="N525" s="155">
        <f t="shared" si="62"/>
        <v>1</v>
      </c>
      <c r="O525" s="156">
        <f t="shared" si="63"/>
        <v>240166908</v>
      </c>
      <c r="P525" s="156">
        <f t="shared" si="64"/>
        <v>240166908</v>
      </c>
    </row>
    <row r="526" spans="2:16" s="9" customFormat="1" ht="35.1" customHeight="1" x14ac:dyDescent="0.25">
      <c r="B526" s="23" t="s">
        <v>1299</v>
      </c>
      <c r="C526" s="22" t="s">
        <v>1300</v>
      </c>
      <c r="D526" s="10" t="s">
        <v>16</v>
      </c>
      <c r="E526" s="12">
        <v>1</v>
      </c>
      <c r="F526" s="126">
        <v>192633008</v>
      </c>
      <c r="G526" s="126">
        <f t="shared" si="66"/>
        <v>192633008</v>
      </c>
      <c r="H526" s="8"/>
      <c r="I526" s="9" t="str">
        <f t="array" ref="I526">_xlfn.XLOOKUP(C526,'Neiva 2021 FASE I UNIFICADO'!$C$6:$C$540,'Neiva 2021 FASE I UNIFICADO'!$C$6:$F$540,"NO ESTA")</f>
        <v>NO ESTA</v>
      </c>
      <c r="M526" s="124">
        <f t="shared" si="65"/>
        <v>0</v>
      </c>
      <c r="N526" s="155">
        <f t="shared" si="62"/>
        <v>1</v>
      </c>
      <c r="O526" s="156">
        <f t="shared" si="63"/>
        <v>192633008</v>
      </c>
      <c r="P526" s="156">
        <f t="shared" si="64"/>
        <v>192633008</v>
      </c>
    </row>
    <row r="527" spans="2:16" s="9" customFormat="1" ht="35.1" customHeight="1" x14ac:dyDescent="0.25">
      <c r="B527" s="23" t="s">
        <v>1301</v>
      </c>
      <c r="C527" s="22" t="s">
        <v>1302</v>
      </c>
      <c r="D527" s="10" t="s">
        <v>16</v>
      </c>
      <c r="E527" s="12">
        <v>2</v>
      </c>
      <c r="F527" s="126">
        <v>835146</v>
      </c>
      <c r="G527" s="126">
        <f t="shared" si="66"/>
        <v>1670292</v>
      </c>
      <c r="H527" s="8"/>
      <c r="I527" s="9" t="str">
        <f t="array" ref="I527">_xlfn.XLOOKUP(C527,'Neiva 2021 FASE I UNIFICADO'!$C$6:$C$540,'Neiva 2021 FASE I UNIFICADO'!$C$6:$F$540,"NO ESTA")</f>
        <v>NO ESTA</v>
      </c>
      <c r="M527" s="124">
        <f t="shared" si="65"/>
        <v>0</v>
      </c>
      <c r="N527" s="155">
        <f t="shared" si="62"/>
        <v>2</v>
      </c>
      <c r="O527" s="156">
        <f t="shared" si="63"/>
        <v>835146</v>
      </c>
      <c r="P527" s="156">
        <f t="shared" si="64"/>
        <v>1670292</v>
      </c>
    </row>
    <row r="528" spans="2:16" s="9" customFormat="1" ht="35.1" customHeight="1" x14ac:dyDescent="0.25">
      <c r="B528" s="23" t="s">
        <v>1303</v>
      </c>
      <c r="C528" s="22" t="s">
        <v>1304</v>
      </c>
      <c r="D528" s="10" t="s">
        <v>16</v>
      </c>
      <c r="E528" s="12">
        <v>9</v>
      </c>
      <c r="F528" s="126">
        <v>3210413</v>
      </c>
      <c r="G528" s="126">
        <f t="shared" si="66"/>
        <v>28893717</v>
      </c>
      <c r="H528" s="8"/>
      <c r="I528" s="9" t="str">
        <f t="array" ref="I528">_xlfn.XLOOKUP(C528,'Neiva 2021 FASE I UNIFICADO'!$C$6:$C$540,'Neiva 2021 FASE I UNIFICADO'!$C$6:$F$540,"NO ESTA")</f>
        <v>NO ESTA</v>
      </c>
      <c r="M528" s="124">
        <f t="shared" si="65"/>
        <v>0</v>
      </c>
      <c r="N528" s="155">
        <f t="shared" si="62"/>
        <v>9</v>
      </c>
      <c r="O528" s="156">
        <f t="shared" si="63"/>
        <v>3210413</v>
      </c>
      <c r="P528" s="156">
        <f t="shared" si="64"/>
        <v>28893717</v>
      </c>
    </row>
    <row r="529" spans="2:16" s="9" customFormat="1" ht="35.1" customHeight="1" x14ac:dyDescent="0.25">
      <c r="B529" s="23" t="s">
        <v>1305</v>
      </c>
      <c r="C529" s="22" t="s">
        <v>1306</v>
      </c>
      <c r="D529" s="10" t="s">
        <v>16</v>
      </c>
      <c r="E529" s="12">
        <v>16</v>
      </c>
      <c r="F529" s="126">
        <v>2182653</v>
      </c>
      <c r="G529" s="126">
        <f t="shared" si="66"/>
        <v>34922448</v>
      </c>
      <c r="H529" s="8"/>
      <c r="I529" s="9" t="str">
        <f t="array" ref="I529">_xlfn.XLOOKUP(C529,'Neiva 2021 FASE I UNIFICADO'!$C$6:$C$540,'Neiva 2021 FASE I UNIFICADO'!$C$6:$F$540,"NO ESTA")</f>
        <v>NO ESTA</v>
      </c>
      <c r="M529" s="124">
        <f t="shared" si="65"/>
        <v>0</v>
      </c>
      <c r="N529" s="155">
        <f t="shared" si="62"/>
        <v>16</v>
      </c>
      <c r="O529" s="156">
        <f t="shared" si="63"/>
        <v>2182653</v>
      </c>
      <c r="P529" s="156">
        <f t="shared" si="64"/>
        <v>34922448</v>
      </c>
    </row>
    <row r="530" spans="2:16" s="9" customFormat="1" ht="35.1" customHeight="1" x14ac:dyDescent="0.25">
      <c r="B530" s="23" t="s">
        <v>1307</v>
      </c>
      <c r="C530" s="22" t="s">
        <v>1308</v>
      </c>
      <c r="D530" s="10" t="s">
        <v>16</v>
      </c>
      <c r="E530" s="12">
        <v>1</v>
      </c>
      <c r="F530" s="126">
        <v>2054183</v>
      </c>
      <c r="G530" s="126">
        <f t="shared" si="66"/>
        <v>2054183</v>
      </c>
      <c r="H530" s="8"/>
      <c r="I530" s="9" t="str">
        <f t="array" ref="I530">_xlfn.XLOOKUP(C530,'Neiva 2021 FASE I UNIFICADO'!$C$6:$C$540,'Neiva 2021 FASE I UNIFICADO'!$C$6:$F$540,"NO ESTA")</f>
        <v>NO ESTA</v>
      </c>
      <c r="M530" s="124">
        <f t="shared" si="65"/>
        <v>0</v>
      </c>
      <c r="N530" s="155">
        <f t="shared" si="62"/>
        <v>1</v>
      </c>
      <c r="O530" s="156">
        <f t="shared" si="63"/>
        <v>2054183</v>
      </c>
      <c r="P530" s="156">
        <f t="shared" si="64"/>
        <v>2054183</v>
      </c>
    </row>
    <row r="531" spans="2:16" s="9" customFormat="1" ht="35.1" customHeight="1" x14ac:dyDescent="0.25">
      <c r="B531" s="23" t="s">
        <v>1309</v>
      </c>
      <c r="C531" s="22" t="s">
        <v>1310</v>
      </c>
      <c r="D531" s="10" t="s">
        <v>16</v>
      </c>
      <c r="E531" s="12">
        <v>1</v>
      </c>
      <c r="F531" s="126">
        <v>1925713</v>
      </c>
      <c r="G531" s="126">
        <f t="shared" si="66"/>
        <v>1925713</v>
      </c>
      <c r="H531" s="8"/>
      <c r="I531" s="9" t="str">
        <f t="array" ref="I531">_xlfn.XLOOKUP(C531,'Neiva 2021 FASE I UNIFICADO'!$C$6:$C$540,'Neiva 2021 FASE I UNIFICADO'!$C$6:$F$540,"NO ESTA")</f>
        <v>NO ESTA</v>
      </c>
      <c r="M531" s="124">
        <f t="shared" si="65"/>
        <v>0</v>
      </c>
      <c r="N531" s="155">
        <f t="shared" si="62"/>
        <v>1</v>
      </c>
      <c r="O531" s="156">
        <f t="shared" si="63"/>
        <v>1925713</v>
      </c>
      <c r="P531" s="156">
        <f t="shared" si="64"/>
        <v>1925713</v>
      </c>
    </row>
    <row r="532" spans="2:16" s="9" customFormat="1" ht="35.1" customHeight="1" x14ac:dyDescent="0.25">
      <c r="B532" s="23" t="s">
        <v>1311</v>
      </c>
      <c r="C532" s="22" t="s">
        <v>1312</v>
      </c>
      <c r="D532" s="10" t="s">
        <v>16</v>
      </c>
      <c r="E532" s="12">
        <v>3</v>
      </c>
      <c r="F532" s="126">
        <v>1154893</v>
      </c>
      <c r="G532" s="126">
        <f t="shared" si="66"/>
        <v>3464679</v>
      </c>
      <c r="H532" s="8"/>
      <c r="I532" s="9" t="str">
        <f t="array" ref="I532">_xlfn.XLOOKUP(C532,'Neiva 2021 FASE I UNIFICADO'!$C$6:$C$540,'Neiva 2021 FASE I UNIFICADO'!$C$6:$F$540,"NO ESTA")</f>
        <v>NO ESTA</v>
      </c>
      <c r="M532" s="124">
        <f t="shared" si="65"/>
        <v>0</v>
      </c>
      <c r="N532" s="155">
        <f t="shared" si="62"/>
        <v>3</v>
      </c>
      <c r="O532" s="156">
        <f t="shared" si="63"/>
        <v>1154893</v>
      </c>
      <c r="P532" s="156">
        <f t="shared" si="64"/>
        <v>3464679</v>
      </c>
    </row>
    <row r="533" spans="2:16" s="9" customFormat="1" ht="35.1" customHeight="1" x14ac:dyDescent="0.25">
      <c r="B533" s="23" t="s">
        <v>1313</v>
      </c>
      <c r="C533" s="22" t="s">
        <v>1314</v>
      </c>
      <c r="D533" s="10" t="s">
        <v>16</v>
      </c>
      <c r="E533" s="12">
        <v>3</v>
      </c>
      <c r="F533" s="126">
        <v>1527456</v>
      </c>
      <c r="G533" s="126">
        <f t="shared" si="66"/>
        <v>4582368</v>
      </c>
      <c r="H533" s="8"/>
      <c r="I533" s="9" t="str">
        <f t="array" ref="I533">_xlfn.XLOOKUP(C533,'Neiva 2021 FASE I UNIFICADO'!$C$6:$C$540,'Neiva 2021 FASE I UNIFICADO'!$C$6:$F$540,"NO ESTA")</f>
        <v>NO ESTA</v>
      </c>
      <c r="M533" s="124">
        <f t="shared" si="65"/>
        <v>0</v>
      </c>
      <c r="N533" s="155">
        <f t="shared" si="62"/>
        <v>3</v>
      </c>
      <c r="O533" s="156">
        <f t="shared" si="63"/>
        <v>1527456</v>
      </c>
      <c r="P533" s="156">
        <f t="shared" si="64"/>
        <v>4582368</v>
      </c>
    </row>
    <row r="534" spans="2:16" s="9" customFormat="1" ht="35.1" customHeight="1" x14ac:dyDescent="0.25">
      <c r="B534" s="23" t="s">
        <v>1315</v>
      </c>
      <c r="C534" s="22" t="s">
        <v>1316</v>
      </c>
      <c r="D534" s="10" t="s">
        <v>16</v>
      </c>
      <c r="E534" s="12">
        <v>1</v>
      </c>
      <c r="F534" s="126">
        <v>1649502</v>
      </c>
      <c r="G534" s="126">
        <f t="shared" si="66"/>
        <v>1649502</v>
      </c>
      <c r="H534" s="8"/>
      <c r="I534" s="9" t="str">
        <f t="array" ref="I534">_xlfn.XLOOKUP(C534,'Neiva 2021 FASE I UNIFICADO'!$C$6:$C$540,'Neiva 2021 FASE I UNIFICADO'!$C$6:$F$540,"NO ESTA")</f>
        <v>NO ESTA</v>
      </c>
      <c r="M534" s="124">
        <f t="shared" si="65"/>
        <v>0</v>
      </c>
      <c r="N534" s="155">
        <f t="shared" si="62"/>
        <v>1</v>
      </c>
      <c r="O534" s="156">
        <f t="shared" si="63"/>
        <v>1649502</v>
      </c>
      <c r="P534" s="156">
        <f t="shared" si="64"/>
        <v>1649502</v>
      </c>
    </row>
    <row r="535" spans="2:16" s="9" customFormat="1" ht="35.1" customHeight="1" x14ac:dyDescent="0.25">
      <c r="B535" s="23" t="s">
        <v>1317</v>
      </c>
      <c r="C535" s="22" t="s">
        <v>1318</v>
      </c>
      <c r="D535" s="10" t="s">
        <v>16</v>
      </c>
      <c r="E535" s="12">
        <v>1</v>
      </c>
      <c r="F535" s="126">
        <v>1797243</v>
      </c>
      <c r="G535" s="126">
        <f t="shared" si="66"/>
        <v>1797243</v>
      </c>
      <c r="H535" s="8"/>
      <c r="I535" s="9" t="str">
        <f t="array" ref="I535">_xlfn.XLOOKUP(C535,'Neiva 2021 FASE I UNIFICADO'!$C$6:$C$540,'Neiva 2021 FASE I UNIFICADO'!$C$6:$F$540,"NO ESTA")</f>
        <v>NO ESTA</v>
      </c>
      <c r="M535" s="124">
        <f t="shared" si="65"/>
        <v>0</v>
      </c>
      <c r="N535" s="155">
        <f t="shared" si="62"/>
        <v>1</v>
      </c>
      <c r="O535" s="156">
        <f t="shared" si="63"/>
        <v>1797243</v>
      </c>
      <c r="P535" s="156">
        <f t="shared" si="64"/>
        <v>1797243</v>
      </c>
    </row>
    <row r="536" spans="2:16" s="9" customFormat="1" ht="35.1" customHeight="1" x14ac:dyDescent="0.25">
      <c r="B536" s="23" t="s">
        <v>1319</v>
      </c>
      <c r="C536" s="22" t="s">
        <v>1320</v>
      </c>
      <c r="D536" s="10" t="s">
        <v>16</v>
      </c>
      <c r="E536" s="12">
        <v>2</v>
      </c>
      <c r="F536" s="126">
        <v>9892555</v>
      </c>
      <c r="G536" s="126">
        <f t="shared" si="66"/>
        <v>19785110</v>
      </c>
      <c r="H536" s="8"/>
      <c r="I536" s="9" t="str">
        <f t="array" ref="I536">_xlfn.XLOOKUP(C536,'Neiva 2021 FASE I UNIFICADO'!$C$6:$C$540,'Neiva 2021 FASE I UNIFICADO'!$C$6:$F$540,"NO ESTA")</f>
        <v>NO ESTA</v>
      </c>
      <c r="M536" s="124">
        <f t="shared" si="65"/>
        <v>0</v>
      </c>
      <c r="N536" s="155">
        <f t="shared" si="62"/>
        <v>2</v>
      </c>
      <c r="O536" s="156">
        <f t="shared" si="63"/>
        <v>9892555</v>
      </c>
      <c r="P536" s="156">
        <f t="shared" si="64"/>
        <v>19785110</v>
      </c>
    </row>
    <row r="537" spans="2:16" s="9" customFormat="1" ht="35.1" customHeight="1" x14ac:dyDescent="0.25">
      <c r="B537" s="23" t="s">
        <v>1321</v>
      </c>
      <c r="C537" s="22" t="s">
        <v>1322</v>
      </c>
      <c r="D537" s="10" t="s">
        <v>16</v>
      </c>
      <c r="E537" s="12">
        <v>1</v>
      </c>
      <c r="F537" s="126">
        <v>15930736</v>
      </c>
      <c r="G537" s="126">
        <f t="shared" si="66"/>
        <v>15930736</v>
      </c>
      <c r="H537" s="8"/>
      <c r="I537" s="9" t="str">
        <f t="array" ref="I537">_xlfn.XLOOKUP(C537,'Neiva 2021 FASE I UNIFICADO'!$C$6:$C$540,'Neiva 2021 FASE I UNIFICADO'!$C$6:$F$540,"NO ESTA")</f>
        <v>NO ESTA</v>
      </c>
      <c r="M537" s="124">
        <f t="shared" si="65"/>
        <v>0</v>
      </c>
      <c r="N537" s="155">
        <f t="shared" si="62"/>
        <v>1</v>
      </c>
      <c r="O537" s="156">
        <f t="shared" si="63"/>
        <v>15930736</v>
      </c>
      <c r="P537" s="156">
        <f t="shared" si="64"/>
        <v>15930736</v>
      </c>
    </row>
    <row r="538" spans="2:16" s="9" customFormat="1" ht="35.1" customHeight="1" x14ac:dyDescent="0.25">
      <c r="B538" s="23" t="s">
        <v>1323</v>
      </c>
      <c r="C538" s="22" t="s">
        <v>1324</v>
      </c>
      <c r="D538" s="10" t="s">
        <v>16</v>
      </c>
      <c r="E538" s="12">
        <v>4</v>
      </c>
      <c r="F538" s="126">
        <v>6637724</v>
      </c>
      <c r="G538" s="126">
        <f t="shared" si="66"/>
        <v>26550896</v>
      </c>
      <c r="H538" s="8"/>
      <c r="I538" s="9" t="str">
        <f t="array" ref="I538">_xlfn.XLOOKUP(C538,'Neiva 2021 FASE I UNIFICADO'!$C$6:$C$540,'Neiva 2021 FASE I UNIFICADO'!$C$6:$F$540,"NO ESTA")</f>
        <v>NO ESTA</v>
      </c>
      <c r="M538" s="124">
        <f t="shared" si="65"/>
        <v>0</v>
      </c>
      <c r="N538" s="155">
        <f t="shared" si="62"/>
        <v>4</v>
      </c>
      <c r="O538" s="156">
        <f t="shared" si="63"/>
        <v>6637724</v>
      </c>
      <c r="P538" s="156">
        <f t="shared" si="64"/>
        <v>26550896</v>
      </c>
    </row>
    <row r="539" spans="2:16" s="9" customFormat="1" ht="35.1" customHeight="1" x14ac:dyDescent="0.25">
      <c r="B539" s="23" t="s">
        <v>1325</v>
      </c>
      <c r="C539" s="22" t="s">
        <v>1326</v>
      </c>
      <c r="D539" s="10" t="s">
        <v>16</v>
      </c>
      <c r="E539" s="12">
        <v>2</v>
      </c>
      <c r="F539" s="126">
        <v>23228066</v>
      </c>
      <c r="G539" s="126">
        <f t="shared" si="66"/>
        <v>46456132</v>
      </c>
      <c r="H539" s="8"/>
      <c r="I539" s="9" t="str">
        <f t="array" ref="I539">_xlfn.XLOOKUP(C539,'Neiva 2021 FASE I UNIFICADO'!$C$6:$C$540,'Neiva 2021 FASE I UNIFICADO'!$C$6:$F$540,"NO ESTA")</f>
        <v>NO ESTA</v>
      </c>
      <c r="M539" s="124">
        <f t="shared" si="65"/>
        <v>0</v>
      </c>
      <c r="N539" s="155">
        <f t="shared" si="62"/>
        <v>2</v>
      </c>
      <c r="O539" s="156">
        <f t="shared" si="63"/>
        <v>23228066</v>
      </c>
      <c r="P539" s="156">
        <f t="shared" si="64"/>
        <v>46456132</v>
      </c>
    </row>
    <row r="540" spans="2:16" s="9" customFormat="1" ht="35.1" customHeight="1" x14ac:dyDescent="0.25">
      <c r="B540" s="13" t="s">
        <v>734</v>
      </c>
      <c r="C540" s="24" t="s">
        <v>735</v>
      </c>
      <c r="D540" s="24"/>
      <c r="E540" s="15"/>
      <c r="F540" s="129"/>
      <c r="G540" s="140"/>
      <c r="H540" s="8"/>
      <c r="I540" s="9" t="str">
        <f t="array" ref="I540:L540">_xlfn.XLOOKUP(C540,'Neiva 2021 FASE I UNIFICADO'!$C$6:$C$540,'Neiva 2021 FASE I UNIFICADO'!$C$6:$F$540,"NO ESTA")</f>
        <v>SUMINISTRO E INSTALACION DE TUBERIA AGUA FRIA PVC</v>
      </c>
      <c r="J540" s="9">
        <v>0</v>
      </c>
      <c r="K540" s="9">
        <v>0</v>
      </c>
      <c r="L540" s="9">
        <v>0</v>
      </c>
      <c r="M540" s="124">
        <f t="shared" si="65"/>
        <v>0</v>
      </c>
      <c r="N540" s="155">
        <f t="shared" si="62"/>
        <v>0</v>
      </c>
      <c r="O540" s="156">
        <f t="shared" si="63"/>
        <v>0</v>
      </c>
      <c r="P540" s="156">
        <f t="shared" si="64"/>
        <v>0</v>
      </c>
    </row>
    <row r="541" spans="2:16" s="9" customFormat="1" ht="35.1" customHeight="1" x14ac:dyDescent="0.25">
      <c r="B541" s="23" t="s">
        <v>736</v>
      </c>
      <c r="C541" s="22" t="s">
        <v>737</v>
      </c>
      <c r="D541" s="10" t="s">
        <v>94</v>
      </c>
      <c r="E541" s="12">
        <v>45</v>
      </c>
      <c r="F541" s="126">
        <v>71680</v>
      </c>
      <c r="G541" s="126">
        <f t="shared" ref="G541:G548" si="67">ROUND(+F541*E541,2)</f>
        <v>3225600</v>
      </c>
      <c r="H541" s="8"/>
      <c r="I541" s="9" t="str">
        <f t="array" ref="I541:L541">_xlfn.XLOOKUP(C541,'Neiva 2021 FASE I UNIFICADO'!$C$6:$C$540,'Neiva 2021 FASE I UNIFICADO'!$C$6:$F$540,"NO ESTA")</f>
        <v>SUMINISTRO E INSTALACION TUBERIA Y ACCESORIOS RDE 21 Ø DIAMETRO  4"</v>
      </c>
      <c r="J541" s="9" t="str">
        <v>ML</v>
      </c>
      <c r="K541" s="9">
        <v>17</v>
      </c>
      <c r="L541" s="9">
        <v>66339</v>
      </c>
      <c r="M541" s="124" t="str">
        <f t="shared" si="65"/>
        <v>FASE II</v>
      </c>
      <c r="N541" s="155">
        <f t="shared" si="62"/>
        <v>62</v>
      </c>
      <c r="O541" s="156">
        <f t="shared" si="63"/>
        <v>71680</v>
      </c>
      <c r="P541" s="156">
        <f t="shared" si="64"/>
        <v>4444160</v>
      </c>
    </row>
    <row r="542" spans="2:16" s="9" customFormat="1" ht="35.1" customHeight="1" x14ac:dyDescent="0.25">
      <c r="B542" s="23" t="s">
        <v>738</v>
      </c>
      <c r="C542" s="22" t="s">
        <v>739</v>
      </c>
      <c r="D542" s="10" t="s">
        <v>94</v>
      </c>
      <c r="E542" s="12">
        <v>24</v>
      </c>
      <c r="F542" s="126">
        <v>46609</v>
      </c>
      <c r="G542" s="126">
        <f t="shared" si="67"/>
        <v>1118616</v>
      </c>
      <c r="H542" s="8"/>
      <c r="I542" s="9" t="str">
        <f t="array" ref="I542:L542">_xlfn.XLOOKUP(C542,'Neiva 2021 FASE I UNIFICADO'!$C$6:$C$540,'Neiva 2021 FASE I UNIFICADO'!$C$6:$F$540,"NO ESTA")</f>
        <v>SUMINISTRO E INSTALACION TUBERIA Y ACCESORIOS RDE 21 Ø DIAMETRO  3"</v>
      </c>
      <c r="J542" s="9" t="str">
        <v>ML</v>
      </c>
      <c r="K542" s="9">
        <v>9</v>
      </c>
      <c r="L542" s="9">
        <v>43135</v>
      </c>
      <c r="M542" s="124" t="str">
        <f t="shared" si="65"/>
        <v>FASE II</v>
      </c>
      <c r="N542" s="155">
        <f t="shared" si="62"/>
        <v>33</v>
      </c>
      <c r="O542" s="156">
        <f t="shared" si="63"/>
        <v>46609</v>
      </c>
      <c r="P542" s="156">
        <f t="shared" si="64"/>
        <v>1538097</v>
      </c>
    </row>
    <row r="543" spans="2:16" s="9" customFormat="1" ht="35.1" customHeight="1" x14ac:dyDescent="0.25">
      <c r="B543" s="23" t="s">
        <v>740</v>
      </c>
      <c r="C543" s="22" t="s">
        <v>741</v>
      </c>
      <c r="D543" s="10" t="s">
        <v>94</v>
      </c>
      <c r="E543" s="12">
        <v>64</v>
      </c>
      <c r="F543" s="126">
        <v>34736</v>
      </c>
      <c r="G543" s="126">
        <f t="shared" si="67"/>
        <v>2223104</v>
      </c>
      <c r="H543" s="8"/>
      <c r="I543" s="9" t="str">
        <f t="array" ref="I543:L543">_xlfn.XLOOKUP(C543,'Neiva 2021 FASE I UNIFICADO'!$C$6:$C$540,'Neiva 2021 FASE I UNIFICADO'!$C$6:$F$540,"NO ESTA")</f>
        <v>SUMINISTRO E INSTALACION TUBERIA Y ACCESORIOS RDE 21 Ø DIAMETRO  2 1/2"</v>
      </c>
      <c r="J543" s="9" t="str">
        <v>ML</v>
      </c>
      <c r="K543" s="9">
        <v>24</v>
      </c>
      <c r="L543" s="9">
        <v>32147</v>
      </c>
      <c r="M543" s="124" t="str">
        <f t="shared" si="65"/>
        <v>FASE II</v>
      </c>
      <c r="N543" s="155">
        <f t="shared" si="62"/>
        <v>88</v>
      </c>
      <c r="O543" s="156">
        <f t="shared" si="63"/>
        <v>34736</v>
      </c>
      <c r="P543" s="156">
        <f t="shared" si="64"/>
        <v>3056768</v>
      </c>
    </row>
    <row r="544" spans="2:16" s="9" customFormat="1" ht="35.1" customHeight="1" x14ac:dyDescent="0.25">
      <c r="B544" s="23" t="s">
        <v>742</v>
      </c>
      <c r="C544" s="22" t="s">
        <v>743</v>
      </c>
      <c r="D544" s="10" t="s">
        <v>94</v>
      </c>
      <c r="E544" s="12">
        <v>185.4</v>
      </c>
      <c r="F544" s="126">
        <v>23647</v>
      </c>
      <c r="G544" s="126">
        <f t="shared" si="67"/>
        <v>4384153.8</v>
      </c>
      <c r="H544" s="8"/>
      <c r="I544" s="9" t="str">
        <f t="array" ref="I544:L544">_xlfn.XLOOKUP(C544,'Neiva 2021 FASE I UNIFICADO'!$C$6:$C$540,'Neiva 2021 FASE I UNIFICADO'!$C$6:$F$540,"NO ESTA")</f>
        <v>SUMINISTRO E INSTALACION TUBERIA Y ACCESORIOS RDE 21 Ø DIAMETRO  2"</v>
      </c>
      <c r="J544" s="9" t="str">
        <v>ML</v>
      </c>
      <c r="K544" s="9">
        <v>68</v>
      </c>
      <c r="L544" s="9">
        <v>21886</v>
      </c>
      <c r="M544" s="124" t="str">
        <f t="shared" si="65"/>
        <v>FASE II</v>
      </c>
      <c r="N544" s="155">
        <f t="shared" si="62"/>
        <v>253.4</v>
      </c>
      <c r="O544" s="156">
        <f t="shared" si="63"/>
        <v>23647</v>
      </c>
      <c r="P544" s="156">
        <f t="shared" si="64"/>
        <v>5992149.7999999998</v>
      </c>
    </row>
    <row r="545" spans="2:16" s="9" customFormat="1" ht="35.1" customHeight="1" x14ac:dyDescent="0.25">
      <c r="B545" s="23" t="s">
        <v>744</v>
      </c>
      <c r="C545" s="22" t="s">
        <v>745</v>
      </c>
      <c r="D545" s="10" t="s">
        <v>94</v>
      </c>
      <c r="E545" s="12">
        <v>106.80000000000001</v>
      </c>
      <c r="F545" s="126">
        <v>17230</v>
      </c>
      <c r="G545" s="126">
        <f t="shared" si="67"/>
        <v>1840164</v>
      </c>
      <c r="H545" s="8"/>
      <c r="I545" s="9" t="str">
        <f t="array" ref="I545:L545">_xlfn.XLOOKUP(C545,'Neiva 2021 FASE I UNIFICADO'!$C$6:$C$540,'Neiva 2021 FASE I UNIFICADO'!$C$6:$F$540,"NO ESTA")</f>
        <v>SUMINISTRO E INSTALACION TUBERIA Y ACCESORIOS RDE 21 Ø DIAMETRO  1 1/2"</v>
      </c>
      <c r="J545" s="9" t="str">
        <v>ML</v>
      </c>
      <c r="K545" s="9">
        <v>40</v>
      </c>
      <c r="L545" s="9">
        <v>15947</v>
      </c>
      <c r="M545" s="124" t="str">
        <f t="shared" si="65"/>
        <v>FASE II</v>
      </c>
      <c r="N545" s="155">
        <f t="shared" si="62"/>
        <v>146.80000000000001</v>
      </c>
      <c r="O545" s="156">
        <f t="shared" si="63"/>
        <v>17230</v>
      </c>
      <c r="P545" s="156">
        <f t="shared" si="64"/>
        <v>2529364</v>
      </c>
    </row>
    <row r="546" spans="2:16" s="9" customFormat="1" ht="35.1" customHeight="1" x14ac:dyDescent="0.25">
      <c r="B546" s="23" t="s">
        <v>746</v>
      </c>
      <c r="C546" s="22" t="s">
        <v>747</v>
      </c>
      <c r="D546" s="10" t="s">
        <v>94</v>
      </c>
      <c r="E546" s="12">
        <v>165.6</v>
      </c>
      <c r="F546" s="126">
        <v>14658</v>
      </c>
      <c r="G546" s="126">
        <f t="shared" si="67"/>
        <v>2427364.7999999998</v>
      </c>
      <c r="H546" s="8"/>
      <c r="I546" s="9" t="str">
        <f t="array" ref="I546:L546">_xlfn.XLOOKUP(C546,'Neiva 2021 FASE I UNIFICADO'!$C$6:$C$540,'Neiva 2021 FASE I UNIFICADO'!$C$6:$F$540,"NO ESTA")</f>
        <v>SUMINISTRO E INSTALACION TUBERIA Y ACCESORIOS RDE 21 Ø DIAMETRO  1 1/4"</v>
      </c>
      <c r="J546" s="9" t="str">
        <v>ML</v>
      </c>
      <c r="K546" s="9">
        <v>61</v>
      </c>
      <c r="L546" s="9">
        <v>13566</v>
      </c>
      <c r="M546" s="124" t="str">
        <f t="shared" si="65"/>
        <v>FASE II</v>
      </c>
      <c r="N546" s="155">
        <f t="shared" si="62"/>
        <v>226.6</v>
      </c>
      <c r="O546" s="156">
        <f t="shared" si="63"/>
        <v>14658</v>
      </c>
      <c r="P546" s="156">
        <f t="shared" si="64"/>
        <v>3321502.8</v>
      </c>
    </row>
    <row r="547" spans="2:16" s="9" customFormat="1" ht="35.1" customHeight="1" x14ac:dyDescent="0.25">
      <c r="B547" s="23" t="s">
        <v>748</v>
      </c>
      <c r="C547" s="22" t="s">
        <v>749</v>
      </c>
      <c r="D547" s="10" t="s">
        <v>94</v>
      </c>
      <c r="E547" s="12">
        <v>28.799999999999997</v>
      </c>
      <c r="F547" s="126">
        <v>10725</v>
      </c>
      <c r="G547" s="126">
        <f t="shared" si="67"/>
        <v>308880</v>
      </c>
      <c r="H547" s="8"/>
      <c r="I547" s="9" t="str">
        <f t="array" ref="I547:L547">_xlfn.XLOOKUP(C547,'Neiva 2021 FASE I UNIFICADO'!$C$6:$C$540,'Neiva 2021 FASE I UNIFICADO'!$C$6:$F$540,"NO ESTA")</f>
        <v>SUMINISTRO E INSTALACION TUBERIA Y ACCESORIOS RDE 21 Ø DIAMETRO  1"</v>
      </c>
      <c r="J547" s="9" t="str">
        <v>ML</v>
      </c>
      <c r="K547" s="9">
        <v>10</v>
      </c>
      <c r="L547" s="9">
        <v>9925</v>
      </c>
      <c r="M547" s="124" t="str">
        <f t="shared" si="65"/>
        <v>FASE II</v>
      </c>
      <c r="N547" s="155">
        <f t="shared" si="62"/>
        <v>38.799999999999997</v>
      </c>
      <c r="O547" s="156">
        <f t="shared" si="63"/>
        <v>10725</v>
      </c>
      <c r="P547" s="156">
        <f t="shared" si="64"/>
        <v>416129.99999999994</v>
      </c>
    </row>
    <row r="548" spans="2:16" s="9" customFormat="1" ht="35.1" customHeight="1" x14ac:dyDescent="0.25">
      <c r="B548" s="23" t="s">
        <v>750</v>
      </c>
      <c r="C548" s="22" t="s">
        <v>751</v>
      </c>
      <c r="D548" s="10" t="s">
        <v>94</v>
      </c>
      <c r="E548" s="12">
        <v>32</v>
      </c>
      <c r="F548" s="126">
        <v>9421</v>
      </c>
      <c r="G548" s="126">
        <f t="shared" si="67"/>
        <v>301472</v>
      </c>
      <c r="H548" s="8"/>
      <c r="I548" s="9" t="str">
        <f t="array" ref="I548:L548">_xlfn.XLOOKUP(C548,'Neiva 2021 FASE I UNIFICADO'!$C$6:$C$540,'Neiva 2021 FASE I UNIFICADO'!$C$6:$F$540,"NO ESTA")</f>
        <v>SUMINISTRO E INSTALACION TUBERIA Y ACCESORIOS RDE 21 Ø DIAMETRO  3/4"</v>
      </c>
      <c r="J548" s="9" t="str">
        <v>ML</v>
      </c>
      <c r="K548" s="9">
        <v>12</v>
      </c>
      <c r="L548" s="9">
        <v>8719</v>
      </c>
      <c r="M548" s="124" t="str">
        <f t="shared" si="65"/>
        <v>FASE II</v>
      </c>
      <c r="N548" s="155">
        <f t="shared" si="62"/>
        <v>44</v>
      </c>
      <c r="O548" s="156">
        <f t="shared" si="63"/>
        <v>9421</v>
      </c>
      <c r="P548" s="156">
        <f t="shared" si="64"/>
        <v>414524</v>
      </c>
    </row>
    <row r="549" spans="2:16" s="9" customFormat="1" ht="35.1" customHeight="1" x14ac:dyDescent="0.25">
      <c r="B549" s="13" t="s">
        <v>752</v>
      </c>
      <c r="C549" s="24" t="s">
        <v>1327</v>
      </c>
      <c r="D549" s="24"/>
      <c r="E549" s="15"/>
      <c r="F549" s="129"/>
      <c r="G549" s="140"/>
      <c r="H549" s="8"/>
      <c r="I549" s="9" t="str">
        <f t="array" ref="I549">_xlfn.XLOOKUP(C549,'Neiva 2021 FASE I UNIFICADO'!$C$6:$C$540,'Neiva 2021 FASE I UNIFICADO'!$C$6:$F$540,"NO ESTA")</f>
        <v>NO ESTA</v>
      </c>
      <c r="M549" s="124">
        <f t="shared" si="65"/>
        <v>0</v>
      </c>
      <c r="N549" s="155">
        <f t="shared" si="62"/>
        <v>0</v>
      </c>
      <c r="O549" s="156">
        <f t="shared" si="63"/>
        <v>0</v>
      </c>
      <c r="P549" s="156">
        <f t="shared" si="64"/>
        <v>0</v>
      </c>
    </row>
    <row r="550" spans="2:16" s="9" customFormat="1" ht="35.1" customHeight="1" x14ac:dyDescent="0.25">
      <c r="B550" s="10" t="s">
        <v>754</v>
      </c>
      <c r="C550" s="22" t="s">
        <v>755</v>
      </c>
      <c r="D550" s="10" t="s">
        <v>94</v>
      </c>
      <c r="E550" s="12">
        <v>45</v>
      </c>
      <c r="F550" s="126">
        <v>41384</v>
      </c>
      <c r="G550" s="126">
        <f t="shared" ref="G550:G557" si="68">ROUND(+F550*E550,2)</f>
        <v>1862280</v>
      </c>
      <c r="H550" s="8"/>
      <c r="I550" s="9" t="str">
        <f t="array" ref="I550:L550">_xlfn.XLOOKUP(C550,'Neiva 2021 FASE I UNIFICADO'!$C$6:$C$540,'Neiva 2021 FASE I UNIFICADO'!$C$6:$F$540,"NO ESTA")</f>
        <v>SUMINISTRO E INSTALACION DE AISLAMIENTO TERMICO TUBERIA Y ACCESORIOS RDE 21 Ø DIAMETRO  4"</v>
      </c>
      <c r="J550" s="9" t="str">
        <v>ML</v>
      </c>
      <c r="K550" s="9">
        <v>17</v>
      </c>
      <c r="L550" s="9">
        <v>38301</v>
      </c>
      <c r="M550" s="124" t="str">
        <f t="shared" si="65"/>
        <v>FASE II</v>
      </c>
      <c r="N550" s="155">
        <f t="shared" si="62"/>
        <v>62</v>
      </c>
      <c r="O550" s="156">
        <f t="shared" si="63"/>
        <v>41384</v>
      </c>
      <c r="P550" s="156">
        <f t="shared" si="64"/>
        <v>2565808</v>
      </c>
    </row>
    <row r="551" spans="2:16" s="9" customFormat="1" ht="35.1" customHeight="1" x14ac:dyDescent="0.25">
      <c r="B551" s="10" t="s">
        <v>756</v>
      </c>
      <c r="C551" s="87" t="s">
        <v>757</v>
      </c>
      <c r="D551" s="10" t="s">
        <v>94</v>
      </c>
      <c r="E551" s="12">
        <v>24</v>
      </c>
      <c r="F551" s="126">
        <v>37175</v>
      </c>
      <c r="G551" s="126">
        <f t="shared" si="68"/>
        <v>892200</v>
      </c>
      <c r="H551" s="8"/>
      <c r="I551" s="9" t="str">
        <f t="array" ref="I551:L551">_xlfn.XLOOKUP(C551,'Neiva 2021 FASE I UNIFICADO'!$C$6:$C$540,'Neiva 2021 FASE I UNIFICADO'!$C$6:$F$540,"NO ESTA")</f>
        <v>SUMINISTRO E INSTALACION DE AISLAMIENTO TERMICO TUBERIA Y ACCESORIOS RDE 21 Ø DIAMETRO  3"</v>
      </c>
      <c r="J551" s="9" t="str">
        <v>ML</v>
      </c>
      <c r="K551" s="9">
        <v>9</v>
      </c>
      <c r="L551" s="9">
        <v>34406</v>
      </c>
      <c r="M551" s="124" t="str">
        <f t="shared" si="65"/>
        <v>FASE II</v>
      </c>
      <c r="N551" s="155">
        <f t="shared" si="62"/>
        <v>33</v>
      </c>
      <c r="O551" s="156">
        <f t="shared" si="63"/>
        <v>37175</v>
      </c>
      <c r="P551" s="156">
        <f t="shared" si="64"/>
        <v>1226775</v>
      </c>
    </row>
    <row r="552" spans="2:16" s="9" customFormat="1" ht="35.1" customHeight="1" x14ac:dyDescent="0.25">
      <c r="B552" s="23" t="s">
        <v>758</v>
      </c>
      <c r="C552" s="22" t="s">
        <v>759</v>
      </c>
      <c r="D552" s="10" t="s">
        <v>94</v>
      </c>
      <c r="E552" s="12">
        <v>64</v>
      </c>
      <c r="F552" s="126">
        <v>28505</v>
      </c>
      <c r="G552" s="126">
        <f t="shared" si="68"/>
        <v>1824320</v>
      </c>
      <c r="H552" s="8"/>
      <c r="I552" s="9" t="str">
        <f t="array" ref="I552:L552">_xlfn.XLOOKUP(C552,'Neiva 2021 FASE I UNIFICADO'!$C$6:$C$540,'Neiva 2021 FASE I UNIFICADO'!$C$6:$F$540,"NO ESTA")</f>
        <v>SUMINISTRO E INSTALACION DE AISLAMIENTO TERMICO TUBERIA Y ACCESORIOS RDE 21 Ø DIAMETRO  2 1/2"</v>
      </c>
      <c r="J552" s="9" t="str">
        <v>ML</v>
      </c>
      <c r="K552" s="9">
        <v>24</v>
      </c>
      <c r="L552" s="9">
        <v>26381</v>
      </c>
      <c r="M552" s="124" t="str">
        <f t="shared" si="65"/>
        <v>FASE II</v>
      </c>
      <c r="N552" s="155">
        <f t="shared" si="62"/>
        <v>88</v>
      </c>
      <c r="O552" s="156">
        <f t="shared" si="63"/>
        <v>28505</v>
      </c>
      <c r="P552" s="156">
        <f t="shared" si="64"/>
        <v>2508440</v>
      </c>
    </row>
    <row r="553" spans="2:16" s="9" customFormat="1" ht="35.1" customHeight="1" x14ac:dyDescent="0.25">
      <c r="B553" s="23" t="s">
        <v>760</v>
      </c>
      <c r="C553" s="22" t="s">
        <v>761</v>
      </c>
      <c r="D553" s="10" t="s">
        <v>94</v>
      </c>
      <c r="E553" s="12">
        <v>185.4</v>
      </c>
      <c r="F553" s="126">
        <v>22485</v>
      </c>
      <c r="G553" s="126">
        <f t="shared" si="68"/>
        <v>4168719</v>
      </c>
      <c r="H553" s="8"/>
      <c r="I553" s="9" t="str">
        <f t="array" ref="I553:L553">_xlfn.XLOOKUP(C553,'Neiva 2021 FASE I UNIFICADO'!$C$6:$C$540,'Neiva 2021 FASE I UNIFICADO'!$C$6:$F$540,"NO ESTA")</f>
        <v>SUMINISTRO E INSTALACION DE AISLAMIENTO TERMICO TUBERIA Y ACCESORIOS RDE 21 Ø DIAMETRO  2"</v>
      </c>
      <c r="J553" s="9" t="str">
        <v>ML</v>
      </c>
      <c r="K553" s="9">
        <v>68</v>
      </c>
      <c r="L553" s="9">
        <v>20809</v>
      </c>
      <c r="M553" s="124" t="str">
        <f t="shared" si="65"/>
        <v>FASE II</v>
      </c>
      <c r="N553" s="155">
        <f t="shared" si="62"/>
        <v>253.4</v>
      </c>
      <c r="O553" s="156">
        <f t="shared" si="63"/>
        <v>22485</v>
      </c>
      <c r="P553" s="156">
        <f t="shared" si="64"/>
        <v>5697699</v>
      </c>
    </row>
    <row r="554" spans="2:16" s="9" customFormat="1" ht="35.1" customHeight="1" x14ac:dyDescent="0.25">
      <c r="B554" s="23" t="s">
        <v>762</v>
      </c>
      <c r="C554" s="87" t="s">
        <v>763</v>
      </c>
      <c r="D554" s="10" t="s">
        <v>94</v>
      </c>
      <c r="E554" s="12">
        <v>106.80000000000001</v>
      </c>
      <c r="F554" s="126">
        <v>16958</v>
      </c>
      <c r="G554" s="126">
        <f t="shared" si="68"/>
        <v>1811114.4</v>
      </c>
      <c r="H554" s="8"/>
      <c r="I554" s="9" t="str">
        <f t="array" ref="I554:L554">_xlfn.XLOOKUP(C554,'Neiva 2021 FASE I UNIFICADO'!$C$6:$C$540,'Neiva 2021 FASE I UNIFICADO'!$C$6:$F$540,"NO ESTA")</f>
        <v>SUMINISTRO E INSTALACION DE AISLAMIENTO TERMICO TUBERIA Y ACCESORIOS RDE 21 Ø DIAMETRO  1 1/2"</v>
      </c>
      <c r="J554" s="9" t="str">
        <v>ML</v>
      </c>
      <c r="K554" s="9">
        <v>40</v>
      </c>
      <c r="L554" s="9">
        <v>15695</v>
      </c>
      <c r="M554" s="124" t="str">
        <f t="shared" si="65"/>
        <v>FASE II</v>
      </c>
      <c r="N554" s="155">
        <f t="shared" si="62"/>
        <v>146.80000000000001</v>
      </c>
      <c r="O554" s="156">
        <f t="shared" si="63"/>
        <v>16958</v>
      </c>
      <c r="P554" s="156">
        <f t="shared" si="64"/>
        <v>2489434.4000000004</v>
      </c>
    </row>
    <row r="555" spans="2:16" s="9" customFormat="1" ht="35.1" customHeight="1" x14ac:dyDescent="0.25">
      <c r="B555" s="23" t="s">
        <v>764</v>
      </c>
      <c r="C555" s="87" t="s">
        <v>765</v>
      </c>
      <c r="D555" s="10" t="s">
        <v>94</v>
      </c>
      <c r="E555" s="12">
        <v>165.6</v>
      </c>
      <c r="F555" s="126">
        <v>14543</v>
      </c>
      <c r="G555" s="126">
        <f t="shared" si="68"/>
        <v>2408320.7999999998</v>
      </c>
      <c r="H555" s="8"/>
      <c r="I555" s="9" t="str">
        <f t="array" ref="I555:L555">_xlfn.XLOOKUP(C555,'Neiva 2021 FASE I UNIFICADO'!$C$6:$C$540,'Neiva 2021 FASE I UNIFICADO'!$C$6:$F$540,"NO ESTA")</f>
        <v>SUMINISTRO E INSTALACION DE AISLAMIENTO TERMICO TUBERIA Y ACCESORIOS RDE 21 Ø DIAMETRO  1 1/4"</v>
      </c>
      <c r="J555" s="9" t="str">
        <v>ML</v>
      </c>
      <c r="K555" s="9">
        <v>61</v>
      </c>
      <c r="L555" s="9">
        <v>13460</v>
      </c>
      <c r="M555" s="124" t="str">
        <f t="shared" si="65"/>
        <v>FASE II</v>
      </c>
      <c r="N555" s="155">
        <f t="shared" si="62"/>
        <v>226.6</v>
      </c>
      <c r="O555" s="156">
        <f t="shared" si="63"/>
        <v>14543</v>
      </c>
      <c r="P555" s="156">
        <f t="shared" si="64"/>
        <v>3295443.8</v>
      </c>
    </row>
    <row r="556" spans="2:16" s="9" customFormat="1" ht="35.1" customHeight="1" x14ac:dyDescent="0.25">
      <c r="B556" s="23" t="s">
        <v>766</v>
      </c>
      <c r="C556" s="22" t="s">
        <v>767</v>
      </c>
      <c r="D556" s="10" t="s">
        <v>94</v>
      </c>
      <c r="E556" s="12">
        <v>28.799999999999997</v>
      </c>
      <c r="F556" s="126">
        <v>10599</v>
      </c>
      <c r="G556" s="126">
        <f t="shared" si="68"/>
        <v>305251.20000000001</v>
      </c>
      <c r="H556" s="8"/>
      <c r="I556" s="9" t="str">
        <f t="array" ref="I556:L556">_xlfn.XLOOKUP(C556,'Neiva 2021 FASE I UNIFICADO'!$C$6:$C$540,'Neiva 2021 FASE I UNIFICADO'!$C$6:$F$540,"NO ESTA")</f>
        <v>SUMINISTRO E INSTALACION DE AISLAMIENTO TERMICO TUBERIA Y ACCESORIOS RDE 21 Ø DIAMETRO  1"</v>
      </c>
      <c r="J556" s="9" t="str">
        <v>ML</v>
      </c>
      <c r="K556" s="9">
        <v>10</v>
      </c>
      <c r="L556" s="9">
        <v>9809</v>
      </c>
      <c r="M556" s="124" t="str">
        <f t="shared" si="65"/>
        <v>FASE II</v>
      </c>
      <c r="N556" s="155">
        <f t="shared" si="62"/>
        <v>38.799999999999997</v>
      </c>
      <c r="O556" s="156">
        <f t="shared" si="63"/>
        <v>10599</v>
      </c>
      <c r="P556" s="156">
        <f t="shared" si="64"/>
        <v>411241.19999999995</v>
      </c>
    </row>
    <row r="557" spans="2:16" s="9" customFormat="1" ht="35.1" customHeight="1" x14ac:dyDescent="0.25">
      <c r="B557" s="23" t="s">
        <v>768</v>
      </c>
      <c r="C557" s="22" t="s">
        <v>769</v>
      </c>
      <c r="D557" s="10" t="s">
        <v>94</v>
      </c>
      <c r="E557" s="12">
        <v>32</v>
      </c>
      <c r="F557" s="126">
        <v>9250</v>
      </c>
      <c r="G557" s="126">
        <f t="shared" si="68"/>
        <v>296000</v>
      </c>
      <c r="H557" s="8"/>
      <c r="I557" s="9" t="str">
        <f t="array" ref="I557:L557">_xlfn.XLOOKUP(C557,'Neiva 2021 FASE I UNIFICADO'!$C$6:$C$540,'Neiva 2021 FASE I UNIFICADO'!$C$6:$F$540,"NO ESTA")</f>
        <v>SUMINISTRO E INSTALACION DE AISLAMIENTO TERMICO TUBERIA Y ACCESORIOS RDE 21 Ø DIAMETRO  3/4"</v>
      </c>
      <c r="J557" s="9" t="str">
        <v>ML</v>
      </c>
      <c r="K557" s="9">
        <v>12</v>
      </c>
      <c r="L557" s="9">
        <v>8561</v>
      </c>
      <c r="M557" s="124" t="str">
        <f t="shared" si="65"/>
        <v>FASE II</v>
      </c>
      <c r="N557" s="155">
        <f t="shared" si="62"/>
        <v>44</v>
      </c>
      <c r="O557" s="156">
        <f t="shared" si="63"/>
        <v>9250</v>
      </c>
      <c r="P557" s="156">
        <f t="shared" si="64"/>
        <v>407000</v>
      </c>
    </row>
    <row r="558" spans="2:16" s="9" customFormat="1" ht="35.1" customHeight="1" x14ac:dyDescent="0.25">
      <c r="B558" s="13" t="s">
        <v>770</v>
      </c>
      <c r="C558" s="24" t="s">
        <v>1328</v>
      </c>
      <c r="D558" s="24"/>
      <c r="E558" s="15"/>
      <c r="F558" s="129"/>
      <c r="G558" s="140"/>
      <c r="H558" s="8"/>
      <c r="I558" s="9" t="str">
        <f t="array" ref="I558">_xlfn.XLOOKUP(C558,'Neiva 2021 FASE I UNIFICADO'!$C$6:$C$540,'Neiva 2021 FASE I UNIFICADO'!$C$6:$F$540,"NO ESTA")</f>
        <v>NO ESTA</v>
      </c>
      <c r="M558" s="124">
        <f t="shared" si="65"/>
        <v>0</v>
      </c>
      <c r="N558" s="155">
        <f t="shared" si="62"/>
        <v>0</v>
      </c>
      <c r="O558" s="156">
        <f t="shared" si="63"/>
        <v>0</v>
      </c>
      <c r="P558" s="156">
        <f t="shared" si="64"/>
        <v>0</v>
      </c>
    </row>
    <row r="559" spans="2:16" s="9" customFormat="1" ht="35.1" customHeight="1" x14ac:dyDescent="0.25">
      <c r="B559" s="23" t="s">
        <v>772</v>
      </c>
      <c r="C559" s="22" t="s">
        <v>773</v>
      </c>
      <c r="D559" s="10" t="s">
        <v>16</v>
      </c>
      <c r="E559" s="12">
        <v>3</v>
      </c>
      <c r="F559" s="126">
        <v>288532</v>
      </c>
      <c r="G559" s="126">
        <f t="shared" ref="G559:G595" si="69">ROUND(+F559*E559,2)</f>
        <v>865596</v>
      </c>
      <c r="H559" s="8"/>
      <c r="I559" s="9" t="str">
        <f t="array" ref="I559:L559">_xlfn.XLOOKUP(C559,'Neiva 2021 FASE I UNIFICADO'!$C$6:$C$540,'Neiva 2021 FASE I UNIFICADO'!$C$6:$F$540,"NO ESTA")</f>
        <v>SUMINISTRO E INSTALACION MANOMETROS 4", INCLUYE GRIFOS DE PRUEBA Y ACCESORIOS</v>
      </c>
      <c r="J559" s="9" t="str">
        <v>UND</v>
      </c>
      <c r="K559" s="9">
        <v>1</v>
      </c>
      <c r="L559" s="9">
        <v>267035</v>
      </c>
      <c r="M559" s="124" t="str">
        <f t="shared" si="65"/>
        <v>FASE II</v>
      </c>
      <c r="N559" s="155">
        <f t="shared" si="62"/>
        <v>4</v>
      </c>
      <c r="O559" s="156">
        <f t="shared" si="63"/>
        <v>288532</v>
      </c>
      <c r="P559" s="156">
        <f t="shared" si="64"/>
        <v>1154128</v>
      </c>
    </row>
    <row r="560" spans="2:16" s="9" customFormat="1" ht="35.1" customHeight="1" x14ac:dyDescent="0.25">
      <c r="B560" s="23" t="s">
        <v>774</v>
      </c>
      <c r="C560" s="22" t="s">
        <v>775</v>
      </c>
      <c r="D560" s="10" t="s">
        <v>16</v>
      </c>
      <c r="E560" s="12">
        <v>3</v>
      </c>
      <c r="F560" s="126">
        <v>555192</v>
      </c>
      <c r="G560" s="126">
        <f t="shared" si="69"/>
        <v>1665576</v>
      </c>
      <c r="H560" s="8"/>
      <c r="I560" s="9" t="str">
        <f t="array" ref="I560:L560">_xlfn.XLOOKUP(C560,'Neiva 2021 FASE I UNIFICADO'!$C$6:$C$540,'Neiva 2021 FASE I UNIFICADO'!$C$6:$F$540,"NO ESTA")</f>
        <v>SUMINISTRO E INSTALACION TERMOMETROS 0-100F DE COLUMNA 7"</v>
      </c>
      <c r="J560" s="9" t="str">
        <v>UND</v>
      </c>
      <c r="K560" s="9">
        <v>1</v>
      </c>
      <c r="L560" s="9">
        <v>513828</v>
      </c>
      <c r="M560" s="124" t="str">
        <f t="shared" si="65"/>
        <v>FASE II</v>
      </c>
      <c r="N560" s="155">
        <f t="shared" si="62"/>
        <v>4</v>
      </c>
      <c r="O560" s="156">
        <f t="shared" si="63"/>
        <v>555192</v>
      </c>
      <c r="P560" s="156">
        <f t="shared" si="64"/>
        <v>2220768</v>
      </c>
    </row>
    <row r="561" spans="2:16" s="9" customFormat="1" ht="35.1" customHeight="1" x14ac:dyDescent="0.25">
      <c r="B561" s="23" t="s">
        <v>776</v>
      </c>
      <c r="C561" s="22" t="s">
        <v>777</v>
      </c>
      <c r="D561" s="10" t="s">
        <v>16</v>
      </c>
      <c r="E561" s="12">
        <v>3</v>
      </c>
      <c r="F561" s="126">
        <v>195476</v>
      </c>
      <c r="G561" s="126">
        <f t="shared" si="69"/>
        <v>586428</v>
      </c>
      <c r="H561" s="8"/>
      <c r="I561" s="9" t="str">
        <f t="array" ref="I561:L561">_xlfn.XLOOKUP(C561,'Neiva 2021 FASE I UNIFICADO'!$C$6:$C$540,'Neiva 2021 FASE I UNIFICADO'!$C$6:$F$540,"NO ESTA")</f>
        <v>SUMINISTRO E INSTALACION ELIMINADORES DE AIRE</v>
      </c>
      <c r="J561" s="9" t="str">
        <v>UND</v>
      </c>
      <c r="K561" s="9">
        <v>1</v>
      </c>
      <c r="L561" s="9">
        <v>180913</v>
      </c>
      <c r="M561" s="124" t="str">
        <f t="shared" si="65"/>
        <v>FASE II</v>
      </c>
      <c r="N561" s="155">
        <f t="shared" si="62"/>
        <v>4</v>
      </c>
      <c r="O561" s="156">
        <f t="shared" si="63"/>
        <v>195476</v>
      </c>
      <c r="P561" s="156">
        <f t="shared" si="64"/>
        <v>781904</v>
      </c>
    </row>
    <row r="562" spans="2:16" s="9" customFormat="1" ht="35.1" customHeight="1" x14ac:dyDescent="0.25">
      <c r="B562" s="23" t="s">
        <v>778</v>
      </c>
      <c r="C562" s="22" t="s">
        <v>779</v>
      </c>
      <c r="D562" s="10" t="s">
        <v>16</v>
      </c>
      <c r="E562" s="12">
        <v>1</v>
      </c>
      <c r="F562" s="126">
        <v>452416</v>
      </c>
      <c r="G562" s="126">
        <f t="shared" si="69"/>
        <v>452416</v>
      </c>
      <c r="H562" s="8"/>
      <c r="I562" s="9" t="str">
        <f t="array" ref="I562:L562">_xlfn.XLOOKUP(C562,'Neiva 2021 FASE I UNIFICADO'!$C$6:$C$540,'Neiva 2021 FASE I UNIFICADO'!$C$6:$F$540,"NO ESTA")</f>
        <v xml:space="preserve">SUMINISTRO E INSTALACION TANQUE DE EXPANSIÓN PVC CON VALVULA DE NIVEL </v>
      </c>
      <c r="J562" s="9" t="str">
        <v>UND</v>
      </c>
      <c r="K562" s="9">
        <v>1</v>
      </c>
      <c r="L562" s="9">
        <v>418710</v>
      </c>
      <c r="M562" s="124" t="str">
        <f t="shared" si="65"/>
        <v>FASE II</v>
      </c>
      <c r="N562" s="155">
        <f t="shared" si="62"/>
        <v>2</v>
      </c>
      <c r="O562" s="156">
        <f t="shared" si="63"/>
        <v>452416</v>
      </c>
      <c r="P562" s="156">
        <f t="shared" si="64"/>
        <v>904832</v>
      </c>
    </row>
    <row r="563" spans="2:16" s="9" customFormat="1" ht="35.1" customHeight="1" x14ac:dyDescent="0.25">
      <c r="B563" s="23" t="s">
        <v>780</v>
      </c>
      <c r="C563" s="22" t="s">
        <v>781</v>
      </c>
      <c r="D563" s="10" t="s">
        <v>16</v>
      </c>
      <c r="E563" s="12">
        <v>3</v>
      </c>
      <c r="F563" s="126">
        <v>2334368</v>
      </c>
      <c r="G563" s="126">
        <f t="shared" si="69"/>
        <v>7003104</v>
      </c>
      <c r="H563" s="8"/>
      <c r="I563" s="9" t="str">
        <f t="array" ref="I563:L563">_xlfn.XLOOKUP(C563,'Neiva 2021 FASE I UNIFICADO'!$C$6:$C$540,'Neiva 2021 FASE I UNIFICADO'!$C$6:$F$540,"NO ESTA")</f>
        <v>SUMINISTRO E INSTALACION VALVULAS MARIPOSA DE 4" SUCCIÓN DE BOMBA</v>
      </c>
      <c r="J563" s="9" t="str">
        <v>UND</v>
      </c>
      <c r="K563" s="9">
        <v>1</v>
      </c>
      <c r="L563" s="9">
        <v>2160446</v>
      </c>
      <c r="M563" s="124" t="str">
        <f t="shared" si="65"/>
        <v>FASE II</v>
      </c>
      <c r="N563" s="155">
        <f t="shared" si="62"/>
        <v>4</v>
      </c>
      <c r="O563" s="156">
        <f t="shared" si="63"/>
        <v>2334368</v>
      </c>
      <c r="P563" s="156">
        <f t="shared" si="64"/>
        <v>9337472</v>
      </c>
    </row>
    <row r="564" spans="2:16" s="9" customFormat="1" ht="35.1" customHeight="1" x14ac:dyDescent="0.25">
      <c r="B564" s="23" t="s">
        <v>782</v>
      </c>
      <c r="C564" s="22" t="s">
        <v>783</v>
      </c>
      <c r="D564" s="10" t="s">
        <v>16</v>
      </c>
      <c r="E564" s="12">
        <v>3</v>
      </c>
      <c r="F564" s="126">
        <v>2334368</v>
      </c>
      <c r="G564" s="126">
        <f t="shared" si="69"/>
        <v>7003104</v>
      </c>
      <c r="H564" s="8"/>
      <c r="I564" s="9" t="str">
        <f t="array" ref="I564:L564">_xlfn.XLOOKUP(C564,'Neiva 2021 FASE I UNIFICADO'!$C$6:$C$540,'Neiva 2021 FASE I UNIFICADO'!$C$6:$F$540,"NO ESTA")</f>
        <v>SUMINISTRO E INSTALACION VALVULAS MARIPOSA DE 4" DESCARGA DE BOMBA</v>
      </c>
      <c r="J564" s="9" t="str">
        <v>UND</v>
      </c>
      <c r="K564" s="9">
        <v>1</v>
      </c>
      <c r="L564" s="9">
        <v>2160446</v>
      </c>
      <c r="M564" s="124" t="str">
        <f t="shared" si="65"/>
        <v>FASE II</v>
      </c>
      <c r="N564" s="155">
        <f t="shared" si="62"/>
        <v>4</v>
      </c>
      <c r="O564" s="156">
        <f t="shared" si="63"/>
        <v>2334368</v>
      </c>
      <c r="P564" s="156">
        <f t="shared" si="64"/>
        <v>9337472</v>
      </c>
    </row>
    <row r="565" spans="2:16" s="9" customFormat="1" ht="35.1" customHeight="1" x14ac:dyDescent="0.25">
      <c r="B565" s="23" t="s">
        <v>784</v>
      </c>
      <c r="C565" s="22" t="s">
        <v>785</v>
      </c>
      <c r="D565" s="10" t="s">
        <v>16</v>
      </c>
      <c r="E565" s="12">
        <v>1</v>
      </c>
      <c r="F565" s="126">
        <v>1233385</v>
      </c>
      <c r="G565" s="126">
        <f t="shared" si="69"/>
        <v>1233385</v>
      </c>
      <c r="H565" s="8"/>
      <c r="I565" s="9" t="str">
        <f t="array" ref="I565:L565">_xlfn.XLOOKUP(C565,'Neiva 2021 FASE I UNIFICADO'!$C$6:$C$540,'Neiva 2021 FASE I UNIFICADO'!$C$6:$F$540,"NO ESTA")</f>
        <v>SUMINISTRO E INSTALACION VALVULA TRIPLE - FLOTREX</v>
      </c>
      <c r="J565" s="9" t="str">
        <v>UND</v>
      </c>
      <c r="K565" s="9">
        <v>1</v>
      </c>
      <c r="L565" s="9">
        <v>1141492</v>
      </c>
      <c r="M565" s="124" t="str">
        <f t="shared" si="65"/>
        <v>FASE II</v>
      </c>
      <c r="N565" s="155">
        <f t="shared" si="62"/>
        <v>2</v>
      </c>
      <c r="O565" s="156">
        <f t="shared" si="63"/>
        <v>1233385</v>
      </c>
      <c r="P565" s="156">
        <f t="shared" si="64"/>
        <v>2466770</v>
      </c>
    </row>
    <row r="566" spans="2:16" s="9" customFormat="1" ht="35.1" customHeight="1" x14ac:dyDescent="0.25">
      <c r="B566" s="23" t="s">
        <v>786</v>
      </c>
      <c r="C566" s="22" t="s">
        <v>787</v>
      </c>
      <c r="D566" s="10" t="s">
        <v>16</v>
      </c>
      <c r="E566" s="12">
        <v>0</v>
      </c>
      <c r="F566" s="126">
        <v>363171</v>
      </c>
      <c r="G566" s="141">
        <f t="shared" si="69"/>
        <v>0</v>
      </c>
      <c r="H566" s="8"/>
      <c r="I566" s="9" t="str">
        <f t="array" ref="I566:L566">_xlfn.XLOOKUP(C566,'Neiva 2021 FASE I UNIFICADO'!$C$6:$C$540,'Neiva 2021 FASE I UNIFICADO'!$C$6:$F$540,"NO ESTA")</f>
        <v>SUMINISTRO E INSTALACION VALVULA CORTINA 3" 125PSI - PISO 3</v>
      </c>
      <c r="J566" s="9" t="str">
        <v>UND</v>
      </c>
      <c r="K566" s="9">
        <v>1</v>
      </c>
      <c r="L566" s="9">
        <v>336113</v>
      </c>
      <c r="M566" s="124" t="str">
        <f t="shared" si="65"/>
        <v>FASE II</v>
      </c>
      <c r="N566" s="155">
        <f t="shared" si="62"/>
        <v>1</v>
      </c>
      <c r="O566" s="156">
        <f t="shared" si="63"/>
        <v>363171</v>
      </c>
      <c r="P566" s="156">
        <f t="shared" si="64"/>
        <v>363171</v>
      </c>
    </row>
    <row r="567" spans="2:16" s="9" customFormat="1" ht="35.1" customHeight="1" x14ac:dyDescent="0.25">
      <c r="B567" s="23" t="s">
        <v>788</v>
      </c>
      <c r="C567" s="22" t="s">
        <v>789</v>
      </c>
      <c r="D567" s="10" t="s">
        <v>16</v>
      </c>
      <c r="E567" s="12">
        <v>0</v>
      </c>
      <c r="F567" s="126">
        <v>507699</v>
      </c>
      <c r="G567" s="141">
        <f t="shared" si="69"/>
        <v>0</v>
      </c>
      <c r="H567" s="8"/>
      <c r="I567" s="9" t="str">
        <f t="array" ref="I567:L567">_xlfn.XLOOKUP(C567,'Neiva 2021 FASE I UNIFICADO'!$C$6:$C$540,'Neiva 2021 FASE I UNIFICADO'!$C$6:$F$540,"NO ESTA")</f>
        <v>SUMINISTRO E INSTALACION VALVULA GLOBO 3" 125PSI - PISO 3</v>
      </c>
      <c r="J567" s="9" t="str">
        <v>UND</v>
      </c>
      <c r="K567" s="9">
        <v>1</v>
      </c>
      <c r="L567" s="9">
        <v>469873</v>
      </c>
      <c r="M567" s="124" t="str">
        <f t="shared" si="65"/>
        <v>FASE II</v>
      </c>
      <c r="N567" s="155">
        <f t="shared" si="62"/>
        <v>1</v>
      </c>
      <c r="O567" s="156">
        <f t="shared" si="63"/>
        <v>507699</v>
      </c>
      <c r="P567" s="156">
        <f t="shared" si="64"/>
        <v>507699</v>
      </c>
    </row>
    <row r="568" spans="2:16" s="9" customFormat="1" ht="35.1" customHeight="1" x14ac:dyDescent="0.25">
      <c r="B568" s="23" t="s">
        <v>790</v>
      </c>
      <c r="C568" s="22" t="s">
        <v>791</v>
      </c>
      <c r="D568" s="10" t="s">
        <v>16</v>
      </c>
      <c r="E568" s="12">
        <v>5</v>
      </c>
      <c r="F568" s="126">
        <v>322703</v>
      </c>
      <c r="G568" s="126">
        <f t="shared" si="69"/>
        <v>1613515</v>
      </c>
      <c r="H568" s="8"/>
      <c r="I568" s="9" t="str">
        <f t="array" ref="I568:L568">_xlfn.XLOOKUP(C568,'Neiva 2021 FASE I UNIFICADO'!$C$6:$C$540,'Neiva 2021 FASE I UNIFICADO'!$C$6:$F$540,"NO ESTA")</f>
        <v>SUMINISTRO E INSTALACION VALVULAS CORTINA 2 1/2" 125PSI - PISOS 2,3,4</v>
      </c>
      <c r="J568" s="9" t="str">
        <v>UND</v>
      </c>
      <c r="K568" s="9">
        <v>2</v>
      </c>
      <c r="L568" s="9">
        <v>298659</v>
      </c>
      <c r="M568" s="124" t="str">
        <f t="shared" si="65"/>
        <v>FASE II</v>
      </c>
      <c r="N568" s="155">
        <f t="shared" si="62"/>
        <v>7</v>
      </c>
      <c r="O568" s="156">
        <f t="shared" si="63"/>
        <v>322703</v>
      </c>
      <c r="P568" s="156">
        <f t="shared" si="64"/>
        <v>2258921</v>
      </c>
    </row>
    <row r="569" spans="2:16" s="9" customFormat="1" ht="35.1" customHeight="1" x14ac:dyDescent="0.25">
      <c r="B569" s="23" t="s">
        <v>792</v>
      </c>
      <c r="C569" s="22" t="s">
        <v>793</v>
      </c>
      <c r="D569" s="10" t="s">
        <v>16</v>
      </c>
      <c r="E569" s="12">
        <v>5</v>
      </c>
      <c r="F569" s="126">
        <v>455284</v>
      </c>
      <c r="G569" s="126">
        <f t="shared" si="69"/>
        <v>2276420</v>
      </c>
      <c r="H569" s="8"/>
      <c r="I569" s="9" t="str">
        <f t="array" ref="I569:L569">_xlfn.XLOOKUP(C569,'Neiva 2021 FASE I UNIFICADO'!$C$6:$C$540,'Neiva 2021 FASE I UNIFICADO'!$C$6:$F$540,"NO ESTA")</f>
        <v>SUMINISTRO E INSTALACION VALVULAS GLOBO 2 1/2" 125PSI - PISOS 2,3,4</v>
      </c>
      <c r="J569" s="9" t="str">
        <v>UND</v>
      </c>
      <c r="K569" s="9">
        <v>2</v>
      </c>
      <c r="L569" s="9">
        <v>421363</v>
      </c>
      <c r="M569" s="124" t="str">
        <f t="shared" si="65"/>
        <v>FASE II</v>
      </c>
      <c r="N569" s="155">
        <f t="shared" si="62"/>
        <v>7</v>
      </c>
      <c r="O569" s="156">
        <f t="shared" si="63"/>
        <v>455284</v>
      </c>
      <c r="P569" s="156">
        <f t="shared" si="64"/>
        <v>3186988</v>
      </c>
    </row>
    <row r="570" spans="2:16" s="9" customFormat="1" ht="35.1" customHeight="1" x14ac:dyDescent="0.25">
      <c r="B570" s="23" t="s">
        <v>794</v>
      </c>
      <c r="C570" s="22" t="s">
        <v>795</v>
      </c>
      <c r="D570" s="10" t="s">
        <v>16</v>
      </c>
      <c r="E570" s="12">
        <v>1</v>
      </c>
      <c r="F570" s="126">
        <v>238683</v>
      </c>
      <c r="G570" s="126">
        <f t="shared" si="69"/>
        <v>238683</v>
      </c>
      <c r="H570" s="8"/>
      <c r="I570" s="9" t="str">
        <f t="array" ref="I570:L570">_xlfn.XLOOKUP(C570,'Neiva 2021 FASE I UNIFICADO'!$C$6:$C$540,'Neiva 2021 FASE I UNIFICADO'!$C$6:$F$540,"NO ESTA")</f>
        <v>SUMINISTRO E INSTALACION VALVULAS CORTINA 2" 125PSI - PISO 1,4</v>
      </c>
      <c r="J570" s="9" t="str">
        <v>UND</v>
      </c>
      <c r="K570" s="9">
        <v>1</v>
      </c>
      <c r="L570" s="9">
        <v>220900</v>
      </c>
      <c r="M570" s="124" t="str">
        <f t="shared" si="65"/>
        <v>FASE II</v>
      </c>
      <c r="N570" s="155">
        <f t="shared" si="62"/>
        <v>2</v>
      </c>
      <c r="O570" s="156">
        <f t="shared" si="63"/>
        <v>238683</v>
      </c>
      <c r="P570" s="156">
        <f t="shared" si="64"/>
        <v>477366</v>
      </c>
    </row>
    <row r="571" spans="2:16" s="9" customFormat="1" ht="35.1" customHeight="1" x14ac:dyDescent="0.25">
      <c r="B571" s="23" t="s">
        <v>796</v>
      </c>
      <c r="C571" s="22" t="s">
        <v>797</v>
      </c>
      <c r="D571" s="10" t="s">
        <v>16</v>
      </c>
      <c r="E571" s="12">
        <v>1</v>
      </c>
      <c r="F571" s="126">
        <v>260152</v>
      </c>
      <c r="G571" s="126">
        <f t="shared" si="69"/>
        <v>260152</v>
      </c>
      <c r="H571" s="8"/>
      <c r="I571" s="9" t="str">
        <f t="array" ref="I571:L571">_xlfn.XLOOKUP(C571,'Neiva 2021 FASE I UNIFICADO'!$C$6:$C$540,'Neiva 2021 FASE I UNIFICADO'!$C$6:$F$540,"NO ESTA")</f>
        <v>SUMINISTRO E INSTALACION VALVULAS GLOBO 2" 125PSI - PISO 1,4</v>
      </c>
      <c r="J571" s="9" t="str">
        <v>UND</v>
      </c>
      <c r="K571" s="9">
        <v>1</v>
      </c>
      <c r="L571" s="9">
        <v>240769</v>
      </c>
      <c r="M571" s="124" t="str">
        <f t="shared" si="65"/>
        <v>FASE II</v>
      </c>
      <c r="N571" s="155">
        <f t="shared" si="62"/>
        <v>2</v>
      </c>
      <c r="O571" s="156">
        <f t="shared" si="63"/>
        <v>260152</v>
      </c>
      <c r="P571" s="156">
        <f t="shared" si="64"/>
        <v>520304</v>
      </c>
    </row>
    <row r="572" spans="2:16" s="9" customFormat="1" ht="35.1" customHeight="1" x14ac:dyDescent="0.25">
      <c r="B572" s="23" t="s">
        <v>1329</v>
      </c>
      <c r="C572" s="22" t="s">
        <v>1330</v>
      </c>
      <c r="D572" s="10" t="s">
        <v>16</v>
      </c>
      <c r="E572" s="12">
        <v>2</v>
      </c>
      <c r="F572" s="126">
        <v>125501</v>
      </c>
      <c r="G572" s="126">
        <f t="shared" si="69"/>
        <v>251002</v>
      </c>
      <c r="H572" s="8"/>
      <c r="I572" s="9" t="str">
        <f t="array" ref="I572">_xlfn.XLOOKUP(C572,'Neiva 2021 FASE I UNIFICADO'!$C$6:$C$540,'Neiva 2021 FASE I UNIFICADO'!$C$6:$F$540,"NO ESTA")</f>
        <v>NO ESTA</v>
      </c>
      <c r="M572" s="124">
        <f t="shared" si="65"/>
        <v>0</v>
      </c>
      <c r="N572" s="155">
        <f t="shared" si="62"/>
        <v>2</v>
      </c>
      <c r="O572" s="156">
        <f t="shared" si="63"/>
        <v>125501</v>
      </c>
      <c r="P572" s="156">
        <f t="shared" si="64"/>
        <v>251002</v>
      </c>
    </row>
    <row r="573" spans="2:16" s="9" customFormat="1" ht="35.1" customHeight="1" x14ac:dyDescent="0.25">
      <c r="B573" s="23" t="s">
        <v>1331</v>
      </c>
      <c r="C573" s="22" t="s">
        <v>1332</v>
      </c>
      <c r="D573" s="10" t="s">
        <v>16</v>
      </c>
      <c r="E573" s="12">
        <v>2</v>
      </c>
      <c r="F573" s="126">
        <v>160830</v>
      </c>
      <c r="G573" s="126">
        <f t="shared" si="69"/>
        <v>321660</v>
      </c>
      <c r="H573" s="8"/>
      <c r="I573" s="9" t="str">
        <f t="array" ref="I573">_xlfn.XLOOKUP(C573,'Neiva 2021 FASE I UNIFICADO'!$C$6:$C$540,'Neiva 2021 FASE I UNIFICADO'!$C$6:$F$540,"NO ESTA")</f>
        <v>NO ESTA</v>
      </c>
      <c r="M573" s="124">
        <f t="shared" si="65"/>
        <v>0</v>
      </c>
      <c r="N573" s="155">
        <f t="shared" si="62"/>
        <v>2</v>
      </c>
      <c r="O573" s="156">
        <f t="shared" si="63"/>
        <v>160830</v>
      </c>
      <c r="P573" s="156">
        <f t="shared" si="64"/>
        <v>321660</v>
      </c>
    </row>
    <row r="574" spans="2:16" s="9" customFormat="1" ht="35.1" customHeight="1" x14ac:dyDescent="0.25">
      <c r="B574" s="23" t="s">
        <v>798</v>
      </c>
      <c r="C574" s="22" t="s">
        <v>799</v>
      </c>
      <c r="D574" s="10" t="s">
        <v>16</v>
      </c>
      <c r="E574" s="12">
        <v>1</v>
      </c>
      <c r="F574" s="126">
        <v>584781</v>
      </c>
      <c r="G574" s="126">
        <f t="shared" si="69"/>
        <v>584781</v>
      </c>
      <c r="H574" s="8"/>
      <c r="I574" s="9" t="str">
        <f t="array" ref="I574:L574">_xlfn.XLOOKUP(C574,'Neiva 2021 FASE I UNIFICADO'!$C$6:$C$540,'Neiva 2021 FASE I UNIFICADO'!$C$6:$F$540,"NO ESTA")</f>
        <v>SUMINISTRO E INSTALACION FILTRO / STRAINER incluye SOPORTERIA</v>
      </c>
      <c r="J574" s="9" t="str">
        <v>UND</v>
      </c>
      <c r="K574" s="9">
        <v>1</v>
      </c>
      <c r="L574" s="9">
        <v>541212</v>
      </c>
      <c r="M574" s="124" t="str">
        <f t="shared" si="65"/>
        <v>FASE II</v>
      </c>
      <c r="N574" s="155">
        <f t="shared" si="62"/>
        <v>2</v>
      </c>
      <c r="O574" s="156">
        <f t="shared" si="63"/>
        <v>584781</v>
      </c>
      <c r="P574" s="156">
        <f t="shared" si="64"/>
        <v>1169562</v>
      </c>
    </row>
    <row r="575" spans="2:16" s="9" customFormat="1" ht="35.1" customHeight="1" x14ac:dyDescent="0.25">
      <c r="B575" s="23" t="s">
        <v>800</v>
      </c>
      <c r="C575" s="22" t="s">
        <v>801</v>
      </c>
      <c r="D575" s="10" t="s">
        <v>16</v>
      </c>
      <c r="E575" s="12">
        <v>1</v>
      </c>
      <c r="F575" s="126">
        <v>3213217</v>
      </c>
      <c r="G575" s="126">
        <f t="shared" si="69"/>
        <v>3213217</v>
      </c>
      <c r="H575" s="8"/>
      <c r="I575" s="9" t="str">
        <f t="array" ref="I575:L575">_xlfn.XLOOKUP(C575,'Neiva 2021 FASE I UNIFICADO'!$C$6:$C$540,'Neiva 2021 FASE I UNIFICADO'!$C$6:$F$540,"NO ESTA")</f>
        <v>SUMINISTRO E INSTALACION FLANCHES, CABEZALES Y ACCESORIOS VARIOS ASOCIADOS</v>
      </c>
      <c r="J575" s="9" t="str">
        <v>UND</v>
      </c>
      <c r="K575" s="9">
        <v>1</v>
      </c>
      <c r="L575" s="9">
        <v>2973816</v>
      </c>
      <c r="M575" s="124" t="str">
        <f t="shared" si="65"/>
        <v>FASE II</v>
      </c>
      <c r="N575" s="155">
        <f t="shared" si="62"/>
        <v>2</v>
      </c>
      <c r="O575" s="156">
        <f t="shared" si="63"/>
        <v>3213217</v>
      </c>
      <c r="P575" s="156">
        <f t="shared" si="64"/>
        <v>6426434</v>
      </c>
    </row>
    <row r="576" spans="2:16" s="9" customFormat="1" ht="35.1" customHeight="1" x14ac:dyDescent="0.25">
      <c r="B576" s="23" t="s">
        <v>802</v>
      </c>
      <c r="C576" s="22" t="s">
        <v>803</v>
      </c>
      <c r="D576" s="10" t="s">
        <v>16</v>
      </c>
      <c r="E576" s="12">
        <v>2</v>
      </c>
      <c r="F576" s="126">
        <v>1006067</v>
      </c>
      <c r="G576" s="126">
        <f t="shared" si="69"/>
        <v>2012134</v>
      </c>
      <c r="H576" s="8"/>
      <c r="I576" s="9" t="str">
        <f t="array" ref="I576:L576">_xlfn.XLOOKUP(C576,'Neiva 2021 FASE I UNIFICADO'!$C$6:$C$540,'Neiva 2021 FASE I UNIFICADO'!$C$6:$F$540,"NO ESTA")</f>
        <v>SUMINISTRO E INSTALACION JUNTAS FLEXIBLES CHILLER 4"</v>
      </c>
      <c r="J576" s="9" t="str">
        <v>UND</v>
      </c>
      <c r="K576" s="9">
        <v>2</v>
      </c>
      <c r="L576" s="9">
        <v>931109</v>
      </c>
      <c r="M576" s="124" t="str">
        <f t="shared" si="65"/>
        <v>FASE II</v>
      </c>
      <c r="N576" s="155">
        <f t="shared" si="62"/>
        <v>4</v>
      </c>
      <c r="O576" s="156">
        <f t="shared" si="63"/>
        <v>1006067</v>
      </c>
      <c r="P576" s="156">
        <f t="shared" si="64"/>
        <v>4024268</v>
      </c>
    </row>
    <row r="577" spans="2:16" s="9" customFormat="1" ht="35.1" customHeight="1" x14ac:dyDescent="0.25">
      <c r="B577" s="23" t="s">
        <v>804</v>
      </c>
      <c r="C577" s="22" t="s">
        <v>805</v>
      </c>
      <c r="D577" s="10" t="s">
        <v>16</v>
      </c>
      <c r="E577" s="12">
        <v>2</v>
      </c>
      <c r="F577" s="126">
        <v>960934</v>
      </c>
      <c r="G577" s="126">
        <f t="shared" si="69"/>
        <v>1921868</v>
      </c>
      <c r="H577" s="8"/>
      <c r="I577" s="9" t="str">
        <f t="array" ref="I577:L577">_xlfn.XLOOKUP(C577,'Neiva 2021 FASE I UNIFICADO'!$C$6:$C$540,'Neiva 2021 FASE I UNIFICADO'!$C$6:$F$540,"NO ESTA")</f>
        <v>SUMINISTRO E INSTALACION JUNTAS FLEXIBLES BOMBA VERTICAL 3"</v>
      </c>
      <c r="J577" s="9" t="str">
        <v>UND</v>
      </c>
      <c r="K577" s="9">
        <v>2</v>
      </c>
      <c r="L577" s="9">
        <v>889340</v>
      </c>
      <c r="M577" s="124" t="str">
        <f t="shared" si="65"/>
        <v>FASE II</v>
      </c>
      <c r="N577" s="155">
        <f t="shared" si="62"/>
        <v>4</v>
      </c>
      <c r="O577" s="156">
        <f t="shared" si="63"/>
        <v>960934</v>
      </c>
      <c r="P577" s="156">
        <f t="shared" si="64"/>
        <v>3843736</v>
      </c>
    </row>
    <row r="578" spans="2:16" s="9" customFormat="1" ht="35.1" customHeight="1" x14ac:dyDescent="0.25">
      <c r="B578" s="23" t="s">
        <v>806</v>
      </c>
      <c r="C578" s="22" t="s">
        <v>807</v>
      </c>
      <c r="D578" s="10" t="s">
        <v>16</v>
      </c>
      <c r="E578" s="12">
        <v>0</v>
      </c>
      <c r="F578" s="126">
        <v>254114</v>
      </c>
      <c r="G578" s="126">
        <f t="shared" si="69"/>
        <v>0</v>
      </c>
      <c r="H578" s="8"/>
      <c r="I578" s="9" t="str">
        <f t="array" ref="I578:L578">_xlfn.XLOOKUP(C578,'Neiva 2021 FASE I UNIFICADO'!$C$6:$C$540,'Neiva 2021 FASE I UNIFICADO'!$C$6:$F$540,"NO ESTA")</f>
        <v>SUMINISTRO E INSTALACION VALVULA DE CORTINA 2" FC 150 PSI</v>
      </c>
      <c r="J578" s="9" t="str">
        <v>UND</v>
      </c>
      <c r="K578" s="9">
        <v>1</v>
      </c>
      <c r="L578" s="9">
        <v>235182</v>
      </c>
      <c r="M578" s="124" t="str">
        <f t="shared" si="65"/>
        <v>FASE II</v>
      </c>
      <c r="N578" s="155">
        <f t="shared" si="62"/>
        <v>1</v>
      </c>
      <c r="O578" s="156">
        <f t="shared" si="63"/>
        <v>254114</v>
      </c>
      <c r="P578" s="156">
        <f t="shared" si="64"/>
        <v>254114</v>
      </c>
    </row>
    <row r="579" spans="2:16" s="9" customFormat="1" ht="35.1" customHeight="1" x14ac:dyDescent="0.25">
      <c r="B579" s="23" t="s">
        <v>808</v>
      </c>
      <c r="C579" s="22" t="s">
        <v>809</v>
      </c>
      <c r="D579" s="10" t="s">
        <v>16</v>
      </c>
      <c r="E579" s="12">
        <v>0</v>
      </c>
      <c r="F579" s="126">
        <v>282827</v>
      </c>
      <c r="G579" s="126">
        <f t="shared" si="69"/>
        <v>0</v>
      </c>
      <c r="H579" s="8"/>
      <c r="I579" s="9" t="str">
        <f t="array" ref="I579:L579">_xlfn.XLOOKUP(C579,'Neiva 2021 FASE I UNIFICADO'!$C$6:$C$540,'Neiva 2021 FASE I UNIFICADO'!$C$6:$F$540,"NO ESTA")</f>
        <v>SUMINISTRO E INSTALACION VALVULA DE GLOBO 2" FC 150 PSI</v>
      </c>
      <c r="J579" s="9" t="str">
        <v>UND</v>
      </c>
      <c r="K579" s="9">
        <v>1</v>
      </c>
      <c r="L579" s="9">
        <v>261755</v>
      </c>
      <c r="M579" s="124" t="str">
        <f t="shared" si="65"/>
        <v>FASE II</v>
      </c>
      <c r="N579" s="155">
        <f t="shared" si="62"/>
        <v>1</v>
      </c>
      <c r="O579" s="156">
        <f t="shared" si="63"/>
        <v>282827</v>
      </c>
      <c r="P579" s="156">
        <f t="shared" si="64"/>
        <v>282827</v>
      </c>
    </row>
    <row r="580" spans="2:16" s="9" customFormat="1" ht="35.1" customHeight="1" x14ac:dyDescent="0.25">
      <c r="B580" s="23" t="s">
        <v>810</v>
      </c>
      <c r="C580" s="87" t="s">
        <v>811</v>
      </c>
      <c r="D580" s="10" t="s">
        <v>16</v>
      </c>
      <c r="E580" s="12">
        <v>17</v>
      </c>
      <c r="F580" s="126">
        <v>214747</v>
      </c>
      <c r="G580" s="126">
        <f t="shared" si="69"/>
        <v>3650699</v>
      </c>
      <c r="H580" s="8"/>
      <c r="I580" s="9" t="str">
        <f t="array" ref="I580:L580">_xlfn.XLOOKUP(C580,'Neiva 2021 FASE I UNIFICADO'!$C$6:$C$540,'Neiva 2021 FASE I UNIFICADO'!$C$6:$F$540,"NO ESTA")</f>
        <v>SUMINISTRO E INSTALACION VALVULAS DE CORTINA 1 1/4" FC 125 PSI</v>
      </c>
      <c r="J580" s="9" t="str">
        <v>UND</v>
      </c>
      <c r="K580" s="9">
        <v>6</v>
      </c>
      <c r="L580" s="9">
        <v>198747</v>
      </c>
      <c r="M580" s="124" t="str">
        <f t="shared" si="65"/>
        <v>FASE II</v>
      </c>
      <c r="N580" s="155">
        <f t="shared" si="62"/>
        <v>23</v>
      </c>
      <c r="O580" s="156">
        <f t="shared" si="63"/>
        <v>214747</v>
      </c>
      <c r="P580" s="156">
        <f t="shared" si="64"/>
        <v>4939181</v>
      </c>
    </row>
    <row r="581" spans="2:16" s="9" customFormat="1" ht="35.1" customHeight="1" x14ac:dyDescent="0.25">
      <c r="B581" s="23" t="s">
        <v>812</v>
      </c>
      <c r="C581" s="87" t="s">
        <v>813</v>
      </c>
      <c r="D581" s="10" t="s">
        <v>16</v>
      </c>
      <c r="E581" s="12">
        <v>17</v>
      </c>
      <c r="F581" s="126">
        <v>324203</v>
      </c>
      <c r="G581" s="126">
        <f t="shared" si="69"/>
        <v>5511451</v>
      </c>
      <c r="H581" s="8"/>
      <c r="I581" s="9" t="str">
        <f t="array" ref="I581:L581">_xlfn.XLOOKUP(C581,'Neiva 2021 FASE I UNIFICADO'!$C$6:$C$540,'Neiva 2021 FASE I UNIFICADO'!$C$6:$F$540,"NO ESTA")</f>
        <v>SUMINISTRO E INSTALACION VALVULAS DE GLOBO 1 1/4" FC 125 PSI</v>
      </c>
      <c r="J581" s="9" t="str">
        <v>UND</v>
      </c>
      <c r="K581" s="9">
        <v>6</v>
      </c>
      <c r="L581" s="9">
        <v>300049</v>
      </c>
      <c r="M581" s="124" t="str">
        <f t="shared" si="65"/>
        <v>FASE II</v>
      </c>
      <c r="N581" s="155">
        <f t="shared" si="62"/>
        <v>23</v>
      </c>
      <c r="O581" s="156">
        <f t="shared" si="63"/>
        <v>324203</v>
      </c>
      <c r="P581" s="156">
        <f t="shared" si="64"/>
        <v>7456669</v>
      </c>
    </row>
    <row r="582" spans="2:16" s="9" customFormat="1" ht="35.1" customHeight="1" x14ac:dyDescent="0.25">
      <c r="B582" s="23" t="s">
        <v>814</v>
      </c>
      <c r="C582" s="87" t="s">
        <v>815</v>
      </c>
      <c r="D582" s="10" t="s">
        <v>16</v>
      </c>
      <c r="E582" s="12">
        <v>1</v>
      </c>
      <c r="F582" s="126">
        <v>234017</v>
      </c>
      <c r="G582" s="126">
        <f t="shared" si="69"/>
        <v>234017</v>
      </c>
      <c r="H582" s="59"/>
      <c r="I582" s="9" t="str">
        <f t="array" ref="I582:L582">_xlfn.XLOOKUP(C582,'Neiva 2021 FASE I UNIFICADO'!$C$6:$C$540,'Neiva 2021 FASE I UNIFICADO'!$C$6:$F$540,"NO ESTA")</f>
        <v>SUMINISTRO E INSTALACION VALVULAS DE CORTINA 1 1/2" FC 125-150 PSI</v>
      </c>
      <c r="J582" s="9" t="str">
        <v>UND</v>
      </c>
      <c r="K582" s="9">
        <v>1</v>
      </c>
      <c r="L582" s="9">
        <v>216582</v>
      </c>
      <c r="M582" s="124" t="str">
        <f t="shared" si="65"/>
        <v>FASE II</v>
      </c>
      <c r="N582" s="155">
        <f t="shared" ref="N582:N645" si="70">E582+K582</f>
        <v>2</v>
      </c>
      <c r="O582" s="156">
        <f t="shared" ref="O582:O645" si="71">MAX(L582,F582)</f>
        <v>234017</v>
      </c>
      <c r="P582" s="156">
        <f t="shared" ref="P582:P645" si="72">N582*O582</f>
        <v>468034</v>
      </c>
    </row>
    <row r="583" spans="2:16" s="9" customFormat="1" ht="35.1" customHeight="1" x14ac:dyDescent="0.25">
      <c r="B583" s="23" t="s">
        <v>816</v>
      </c>
      <c r="C583" s="87" t="s">
        <v>817</v>
      </c>
      <c r="D583" s="10" t="s">
        <v>16</v>
      </c>
      <c r="E583" s="12">
        <v>1</v>
      </c>
      <c r="F583" s="126">
        <v>336793</v>
      </c>
      <c r="G583" s="126">
        <f t="shared" si="69"/>
        <v>336793</v>
      </c>
      <c r="H583" s="8"/>
      <c r="I583" s="9" t="str">
        <f t="array" ref="I583:L583">_xlfn.XLOOKUP(C583,'Neiva 2021 FASE I UNIFICADO'!$C$6:$C$540,'Neiva 2021 FASE I UNIFICADO'!$C$6:$F$540,"NO ESTA")</f>
        <v>SUMINISTRO E INSTALACIONVALVULAS DE GLOBO 1   1/2" FC 125-150 PSI</v>
      </c>
      <c r="J583" s="9" t="str">
        <v>UND</v>
      </c>
      <c r="K583" s="9">
        <v>1</v>
      </c>
      <c r="L583" s="9">
        <v>311701</v>
      </c>
      <c r="M583" s="124" t="str">
        <f t="shared" si="65"/>
        <v>FASE II</v>
      </c>
      <c r="N583" s="155">
        <f t="shared" si="70"/>
        <v>2</v>
      </c>
      <c r="O583" s="156">
        <f t="shared" si="71"/>
        <v>336793</v>
      </c>
      <c r="P583" s="156">
        <f t="shared" si="72"/>
        <v>673586</v>
      </c>
    </row>
    <row r="584" spans="2:16" s="9" customFormat="1" ht="35.1" customHeight="1" x14ac:dyDescent="0.25">
      <c r="B584" s="23" t="s">
        <v>818</v>
      </c>
      <c r="C584" s="87" t="s">
        <v>819</v>
      </c>
      <c r="D584" s="10" t="s">
        <v>16</v>
      </c>
      <c r="E584" s="12">
        <v>2</v>
      </c>
      <c r="F584" s="126">
        <v>156935</v>
      </c>
      <c r="G584" s="126">
        <f t="shared" si="69"/>
        <v>313870</v>
      </c>
      <c r="H584" s="8"/>
      <c r="I584" s="9" t="str">
        <f t="array" ref="I584:L584">_xlfn.XLOOKUP(C584,'Neiva 2021 FASE I UNIFICADO'!$C$6:$C$540,'Neiva 2021 FASE I UNIFICADO'!$C$6:$F$540,"NO ESTA")</f>
        <v>SUMINISTRO E INSTALACION VALVULAS DE CORTINA 1" FC 125 PSI</v>
      </c>
      <c r="J584" s="9" t="str">
        <v>UND</v>
      </c>
      <c r="K584" s="9">
        <v>2</v>
      </c>
      <c r="L584" s="9">
        <v>145243</v>
      </c>
      <c r="M584" s="124" t="str">
        <f t="shared" ref="M584:M647" si="73">IF(L584=0,0,(IF(F584&lt;L584, "FASE I","FASE II")))</f>
        <v>FASE II</v>
      </c>
      <c r="N584" s="155">
        <f t="shared" si="70"/>
        <v>4</v>
      </c>
      <c r="O584" s="156">
        <f t="shared" si="71"/>
        <v>156935</v>
      </c>
      <c r="P584" s="156">
        <f t="shared" si="72"/>
        <v>627740</v>
      </c>
    </row>
    <row r="585" spans="2:16" s="9" customFormat="1" ht="35.1" customHeight="1" x14ac:dyDescent="0.25">
      <c r="B585" s="23" t="s">
        <v>820</v>
      </c>
      <c r="C585" s="22" t="s">
        <v>821</v>
      </c>
      <c r="D585" s="10" t="s">
        <v>16</v>
      </c>
      <c r="E585" s="12">
        <v>2</v>
      </c>
      <c r="F585" s="126">
        <v>195476</v>
      </c>
      <c r="G585" s="126">
        <f t="shared" si="69"/>
        <v>390952</v>
      </c>
      <c r="H585" s="8"/>
      <c r="I585" s="9" t="str">
        <f t="array" ref="I585:L585">_xlfn.XLOOKUP(C585,'Neiva 2021 FASE I UNIFICADO'!$C$6:$C$540,'Neiva 2021 FASE I UNIFICADO'!$C$6:$F$540,"NO ESTA")</f>
        <v>SUMINISTRO E INSTALACION VALVULAS DE GLOBO 1" FC 125 PSI</v>
      </c>
      <c r="J585" s="9" t="str">
        <v>UND</v>
      </c>
      <c r="K585" s="9">
        <v>2</v>
      </c>
      <c r="L585" s="9">
        <v>180913</v>
      </c>
      <c r="M585" s="124" t="str">
        <f t="shared" si="73"/>
        <v>FASE II</v>
      </c>
      <c r="N585" s="155">
        <f t="shared" si="70"/>
        <v>4</v>
      </c>
      <c r="O585" s="156">
        <f t="shared" si="71"/>
        <v>195476</v>
      </c>
      <c r="P585" s="156">
        <f t="shared" si="72"/>
        <v>781904</v>
      </c>
    </row>
    <row r="586" spans="2:16" s="9" customFormat="1" ht="35.1" customHeight="1" x14ac:dyDescent="0.25">
      <c r="B586" s="23" t="s">
        <v>822</v>
      </c>
      <c r="C586" s="87" t="s">
        <v>823</v>
      </c>
      <c r="D586" s="10" t="s">
        <v>16</v>
      </c>
      <c r="E586" s="12">
        <v>4</v>
      </c>
      <c r="F586" s="126">
        <v>125501</v>
      </c>
      <c r="G586" s="126">
        <f t="shared" si="69"/>
        <v>502004</v>
      </c>
      <c r="H586" s="8"/>
      <c r="I586" s="9" t="str">
        <f t="array" ref="I586:L586">_xlfn.XLOOKUP(C586,'Neiva 2021 FASE I UNIFICADO'!$C$6:$C$540,'Neiva 2021 FASE I UNIFICADO'!$C$6:$F$540,"NO ESTA")</f>
        <v>SUMINISTRO E INSTALACION VALVULAS DE CORTINA 3/4" FC 125 PSI</v>
      </c>
      <c r="J586" s="9" t="str">
        <v>UND</v>
      </c>
      <c r="K586" s="9">
        <v>4</v>
      </c>
      <c r="L586" s="9">
        <v>116150</v>
      </c>
      <c r="M586" s="124" t="str">
        <f t="shared" si="73"/>
        <v>FASE II</v>
      </c>
      <c r="N586" s="155">
        <f t="shared" si="70"/>
        <v>8</v>
      </c>
      <c r="O586" s="156">
        <f t="shared" si="71"/>
        <v>125501</v>
      </c>
      <c r="P586" s="156">
        <f t="shared" si="72"/>
        <v>1004008</v>
      </c>
    </row>
    <row r="587" spans="2:16" s="9" customFormat="1" ht="35.1" customHeight="1" x14ac:dyDescent="0.25">
      <c r="B587" s="23" t="s">
        <v>824</v>
      </c>
      <c r="C587" s="22" t="s">
        <v>825</v>
      </c>
      <c r="D587" s="10" t="s">
        <v>16</v>
      </c>
      <c r="E587" s="12">
        <v>4</v>
      </c>
      <c r="F587" s="126">
        <v>160830</v>
      </c>
      <c r="G587" s="126">
        <f t="shared" si="69"/>
        <v>643320</v>
      </c>
      <c r="H587" s="8"/>
      <c r="I587" s="9" t="str">
        <f t="array" ref="I587:L587">_xlfn.XLOOKUP(C587,'Neiva 2021 FASE I UNIFICADO'!$C$6:$C$540,'Neiva 2021 FASE I UNIFICADO'!$C$6:$F$540,"NO ESTA")</f>
        <v>SUMINISTRO E INSTALACION VALVULAS DE GLOBO 3/4" FC 125 PSI</v>
      </c>
      <c r="J587" s="9" t="str">
        <v>UND</v>
      </c>
      <c r="K587" s="9">
        <v>4</v>
      </c>
      <c r="L587" s="9">
        <v>148848</v>
      </c>
      <c r="M587" s="124" t="str">
        <f t="shared" si="73"/>
        <v>FASE II</v>
      </c>
      <c r="N587" s="155">
        <f t="shared" si="70"/>
        <v>8</v>
      </c>
      <c r="O587" s="156">
        <f t="shared" si="71"/>
        <v>160830</v>
      </c>
      <c r="P587" s="156">
        <f t="shared" si="72"/>
        <v>1286640</v>
      </c>
    </row>
    <row r="588" spans="2:16" s="9" customFormat="1" ht="35.1" customHeight="1" x14ac:dyDescent="0.25">
      <c r="B588" s="23" t="s">
        <v>826</v>
      </c>
      <c r="C588" s="22" t="s">
        <v>827</v>
      </c>
      <c r="D588" s="10" t="s">
        <v>16</v>
      </c>
      <c r="E588" s="12">
        <v>6</v>
      </c>
      <c r="F588" s="126">
        <v>195476</v>
      </c>
      <c r="G588" s="126">
        <f t="shared" si="69"/>
        <v>1172856</v>
      </c>
      <c r="H588" s="8"/>
      <c r="I588" s="9" t="str">
        <f t="array" ref="I588:L588">_xlfn.XLOOKUP(C588,'Neiva 2021 FASE I UNIFICADO'!$C$6:$C$540,'Neiva 2021 FASE I UNIFICADO'!$C$6:$F$540,"NO ESTA")</f>
        <v>SUMINISTRO E INSTALACION TERMOTATOS DIGITALES NO PROGRAMABLES FC</v>
      </c>
      <c r="J588" s="9" t="str">
        <v>UND</v>
      </c>
      <c r="K588" s="9">
        <v>2</v>
      </c>
      <c r="L588" s="9">
        <v>180913</v>
      </c>
      <c r="M588" s="124" t="str">
        <f t="shared" si="73"/>
        <v>FASE II</v>
      </c>
      <c r="N588" s="155">
        <f t="shared" si="70"/>
        <v>8</v>
      </c>
      <c r="O588" s="156">
        <f t="shared" si="71"/>
        <v>195476</v>
      </c>
      <c r="P588" s="156">
        <f t="shared" si="72"/>
        <v>1563808</v>
      </c>
    </row>
    <row r="589" spans="2:16" s="9" customFormat="1" ht="35.1" customHeight="1" x14ac:dyDescent="0.25">
      <c r="B589" s="23" t="s">
        <v>828</v>
      </c>
      <c r="C589" s="22" t="s">
        <v>829</v>
      </c>
      <c r="D589" s="10" t="s">
        <v>16</v>
      </c>
      <c r="E589" s="12">
        <v>22</v>
      </c>
      <c r="F589" s="126">
        <v>323946</v>
      </c>
      <c r="G589" s="126">
        <f t="shared" si="69"/>
        <v>7126812</v>
      </c>
      <c r="H589" s="8"/>
      <c r="I589" s="9" t="str">
        <f t="array" ref="I589:L589">_xlfn.XLOOKUP(C589,'Neiva 2021 FASE I UNIFICADO'!$C$6:$C$540,'Neiva 2021 FASE I UNIFICADO'!$C$6:$F$540,"NO ESTA")</f>
        <v xml:space="preserve">SUMINISTRO E INSTALACION TERMOSTATOS PROPORCIONALES DIGITALES </v>
      </c>
      <c r="J589" s="9" t="str">
        <v>UND</v>
      </c>
      <c r="K589" s="9">
        <v>8</v>
      </c>
      <c r="L589" s="9">
        <v>299811</v>
      </c>
      <c r="M589" s="124" t="str">
        <f t="shared" si="73"/>
        <v>FASE II</v>
      </c>
      <c r="N589" s="155">
        <f t="shared" si="70"/>
        <v>30</v>
      </c>
      <c r="O589" s="156">
        <f t="shared" si="71"/>
        <v>323946</v>
      </c>
      <c r="P589" s="156">
        <f t="shared" si="72"/>
        <v>9718380</v>
      </c>
    </row>
    <row r="590" spans="2:16" s="9" customFormat="1" ht="35.1" customHeight="1" x14ac:dyDescent="0.25">
      <c r="B590" s="23" t="s">
        <v>830</v>
      </c>
      <c r="C590" s="22" t="s">
        <v>831</v>
      </c>
      <c r="D590" s="10" t="s">
        <v>16</v>
      </c>
      <c r="E590" s="12">
        <v>6</v>
      </c>
      <c r="F590" s="126">
        <v>246864</v>
      </c>
      <c r="G590" s="126">
        <f t="shared" si="69"/>
        <v>1481184</v>
      </c>
      <c r="H590" s="8"/>
      <c r="I590" s="9" t="str">
        <f t="array" ref="I590:L590">_xlfn.XLOOKUP(C590,'Neiva 2021 FASE I UNIFICADO'!$C$6:$C$540,'Neiva 2021 FASE I UNIFICADO'!$C$6:$F$540,"NO ESTA")</f>
        <v>SUMINISTRO E INSTALACION ELECTROVALVULAS ON-OFF  110V</v>
      </c>
      <c r="J590" s="9" t="str">
        <v>UND</v>
      </c>
      <c r="K590" s="9">
        <v>2</v>
      </c>
      <c r="L590" s="9">
        <v>228472</v>
      </c>
      <c r="M590" s="124" t="str">
        <f t="shared" si="73"/>
        <v>FASE II</v>
      </c>
      <c r="N590" s="155">
        <f t="shared" si="70"/>
        <v>8</v>
      </c>
      <c r="O590" s="156">
        <f t="shared" si="71"/>
        <v>246864</v>
      </c>
      <c r="P590" s="156">
        <f t="shared" si="72"/>
        <v>1974912</v>
      </c>
    </row>
    <row r="591" spans="2:16" s="9" customFormat="1" ht="35.1" customHeight="1" x14ac:dyDescent="0.25">
      <c r="B591" s="23" t="s">
        <v>832</v>
      </c>
      <c r="C591" s="22" t="s">
        <v>833</v>
      </c>
      <c r="D591" s="10" t="s">
        <v>16</v>
      </c>
      <c r="E591" s="12">
        <v>0</v>
      </c>
      <c r="F591" s="126">
        <v>818556</v>
      </c>
      <c r="G591" s="126">
        <f t="shared" si="69"/>
        <v>0</v>
      </c>
      <c r="H591" s="8"/>
      <c r="I591" s="9" t="str">
        <f t="array" ref="I591:L591">_xlfn.XLOOKUP(C591,'Neiva 2021 FASE I UNIFICADO'!$C$6:$C$540,'Neiva 2021 FASE I UNIFICADO'!$C$6:$F$540,"NO ESTA")</f>
        <v>SUMINISTRO E INSTALACION ELECTROVALVULAS PROPORCIONALES 2 " - 2 VIAS - 24V</v>
      </c>
      <c r="J591" s="9" t="str">
        <v>UND</v>
      </c>
      <c r="K591" s="9">
        <v>1</v>
      </c>
      <c r="L591" s="9">
        <v>757569</v>
      </c>
      <c r="M591" s="124" t="str">
        <f t="shared" si="73"/>
        <v>FASE II</v>
      </c>
      <c r="N591" s="155">
        <f t="shared" si="70"/>
        <v>1</v>
      </c>
      <c r="O591" s="156">
        <f t="shared" si="71"/>
        <v>818556</v>
      </c>
      <c r="P591" s="156">
        <f t="shared" si="72"/>
        <v>818556</v>
      </c>
    </row>
    <row r="592" spans="2:16" s="9" customFormat="1" ht="35.1" customHeight="1" x14ac:dyDescent="0.25">
      <c r="B592" s="23" t="s">
        <v>834</v>
      </c>
      <c r="C592" s="87" t="s">
        <v>835</v>
      </c>
      <c r="D592" s="10" t="s">
        <v>16</v>
      </c>
      <c r="E592" s="12">
        <v>2</v>
      </c>
      <c r="F592" s="126">
        <v>818556</v>
      </c>
      <c r="G592" s="126">
        <f t="shared" si="69"/>
        <v>1637112</v>
      </c>
      <c r="H592" s="8"/>
      <c r="I592" s="9" t="str">
        <f t="array" ref="I592:L592">_xlfn.XLOOKUP(C592,'Neiva 2021 FASE I UNIFICADO'!$C$6:$C$540,'Neiva 2021 FASE I UNIFICADO'!$C$6:$F$540,"NO ESTA")</f>
        <v>SUMINISTRO E INSTALACION ELECTROVALVULAS PROPORCIONALES  1 1/2 " - 2 VIAS - 24V</v>
      </c>
      <c r="J592" s="9" t="str">
        <v>UND</v>
      </c>
      <c r="K592" s="9">
        <v>1</v>
      </c>
      <c r="L592" s="9">
        <v>757569</v>
      </c>
      <c r="M592" s="124" t="str">
        <f t="shared" si="73"/>
        <v>FASE II</v>
      </c>
      <c r="N592" s="155">
        <f t="shared" si="70"/>
        <v>3</v>
      </c>
      <c r="O592" s="156">
        <f t="shared" si="71"/>
        <v>818556</v>
      </c>
      <c r="P592" s="156">
        <f t="shared" si="72"/>
        <v>2455668</v>
      </c>
    </row>
    <row r="593" spans="2:16" s="9" customFormat="1" ht="35.1" customHeight="1" x14ac:dyDescent="0.25">
      <c r="B593" s="23" t="s">
        <v>836</v>
      </c>
      <c r="C593" s="87" t="s">
        <v>837</v>
      </c>
      <c r="D593" s="10" t="s">
        <v>16</v>
      </c>
      <c r="E593" s="12">
        <v>0</v>
      </c>
      <c r="F593" s="126">
        <v>818556</v>
      </c>
      <c r="G593" s="141">
        <f t="shared" si="69"/>
        <v>0</v>
      </c>
      <c r="H593" s="8"/>
      <c r="I593" s="9" t="str">
        <f t="array" ref="I593:L593">_xlfn.XLOOKUP(C593,'Neiva 2021 FASE I UNIFICADO'!$C$6:$C$540,'Neiva 2021 FASE I UNIFICADO'!$C$6:$F$540,"NO ESTA")</f>
        <v>SUMINISTRO E INSTALACION ELECTROVALVULAS PROPORCIONALES  1 1/2 " - 3 VIAS - 24V</v>
      </c>
      <c r="J593" s="9" t="str">
        <v>UND</v>
      </c>
      <c r="K593" s="9">
        <v>1</v>
      </c>
      <c r="L593" s="9">
        <v>757569</v>
      </c>
      <c r="M593" s="124" t="str">
        <f t="shared" si="73"/>
        <v>FASE II</v>
      </c>
      <c r="N593" s="155">
        <f t="shared" si="70"/>
        <v>1</v>
      </c>
      <c r="O593" s="156">
        <f t="shared" si="71"/>
        <v>818556</v>
      </c>
      <c r="P593" s="156">
        <f t="shared" si="72"/>
        <v>818556</v>
      </c>
    </row>
    <row r="594" spans="2:16" s="9" customFormat="1" ht="35.1" customHeight="1" x14ac:dyDescent="0.25">
      <c r="B594" s="23" t="s">
        <v>838</v>
      </c>
      <c r="C594" s="87" t="s">
        <v>839</v>
      </c>
      <c r="D594" s="10" t="s">
        <v>16</v>
      </c>
      <c r="E594" s="12">
        <v>15</v>
      </c>
      <c r="F594" s="126">
        <v>722203</v>
      </c>
      <c r="G594" s="126">
        <f t="shared" si="69"/>
        <v>10833045</v>
      </c>
      <c r="H594" s="8"/>
      <c r="I594" s="9" t="str">
        <f t="array" ref="I594:L594">_xlfn.XLOOKUP(C594,'Neiva 2021 FASE I UNIFICADO'!$C$6:$C$540,'Neiva 2021 FASE I UNIFICADO'!$C$6:$F$540,"NO ESTA")</f>
        <v>SUMINISTRO E INSTALACION ELECTROVALVULAS PROPORCIONALES 1 1/4 " - 24V</v>
      </c>
      <c r="J594" s="9" t="str">
        <v>UND</v>
      </c>
      <c r="K594" s="9">
        <v>5</v>
      </c>
      <c r="L594" s="9">
        <v>668396</v>
      </c>
      <c r="M594" s="124" t="str">
        <f t="shared" si="73"/>
        <v>FASE II</v>
      </c>
      <c r="N594" s="155">
        <f t="shared" si="70"/>
        <v>20</v>
      </c>
      <c r="O594" s="156">
        <f t="shared" si="71"/>
        <v>722203</v>
      </c>
      <c r="P594" s="156">
        <f t="shared" si="72"/>
        <v>14444060</v>
      </c>
    </row>
    <row r="595" spans="2:16" s="9" customFormat="1" ht="35.1" customHeight="1" x14ac:dyDescent="0.25">
      <c r="B595" s="23" t="s">
        <v>840</v>
      </c>
      <c r="C595" s="22" t="s">
        <v>841</v>
      </c>
      <c r="D595" s="10" t="s">
        <v>16</v>
      </c>
      <c r="E595" s="12">
        <v>0</v>
      </c>
      <c r="F595" s="126">
        <v>582428</v>
      </c>
      <c r="G595" s="141">
        <f t="shared" si="69"/>
        <v>0</v>
      </c>
      <c r="H595" s="8"/>
      <c r="I595" s="9" t="str">
        <f t="array" ref="I595:L595">_xlfn.XLOOKUP(C595,'Neiva 2021 FASE I UNIFICADO'!$C$6:$C$540,'Neiva 2021 FASE I UNIFICADO'!$C$6:$F$540,"NO ESTA")</f>
        <v>SUMINISTRO E INSTALACION ELECTROVALVULAS PROPORCIONALES 1 " - 24V</v>
      </c>
      <c r="J595" s="9" t="str">
        <v>UND</v>
      </c>
      <c r="K595" s="9">
        <v>1</v>
      </c>
      <c r="L595" s="9">
        <v>539034</v>
      </c>
      <c r="M595" s="124" t="str">
        <f t="shared" si="73"/>
        <v>FASE II</v>
      </c>
      <c r="N595" s="155">
        <f t="shared" si="70"/>
        <v>1</v>
      </c>
      <c r="O595" s="156">
        <f t="shared" si="71"/>
        <v>582428</v>
      </c>
      <c r="P595" s="156">
        <f t="shared" si="72"/>
        <v>582428</v>
      </c>
    </row>
    <row r="596" spans="2:16" s="9" customFormat="1" ht="35.1" customHeight="1" x14ac:dyDescent="0.25">
      <c r="B596" s="13" t="s">
        <v>842</v>
      </c>
      <c r="C596" s="24" t="s">
        <v>843</v>
      </c>
      <c r="D596" s="24"/>
      <c r="E596" s="15"/>
      <c r="F596" s="129"/>
      <c r="G596" s="140"/>
      <c r="H596" s="8"/>
      <c r="I596" s="9" t="str">
        <f t="array" ref="I596:L596">_xlfn.XLOOKUP(C596,'Neiva 2021 FASE I UNIFICADO'!$C$6:$C$540,'Neiva 2021 FASE I UNIFICADO'!$C$6:$F$540,"NO ESTA")</f>
        <v>SUMINISTRO, MONTAJE E INSTALACIÓN DE DUCTOS DE AIRE ACONDICIONADO</v>
      </c>
      <c r="J596" s="9">
        <v>0</v>
      </c>
      <c r="K596" s="9">
        <v>0</v>
      </c>
      <c r="L596" s="9">
        <v>0</v>
      </c>
      <c r="M596" s="124">
        <f t="shared" si="73"/>
        <v>0</v>
      </c>
      <c r="N596" s="155">
        <f t="shared" si="70"/>
        <v>0</v>
      </c>
      <c r="O596" s="156">
        <f t="shared" si="71"/>
        <v>0</v>
      </c>
      <c r="P596" s="156">
        <f t="shared" si="72"/>
        <v>0</v>
      </c>
    </row>
    <row r="597" spans="2:16" s="9" customFormat="1" ht="35.1" customHeight="1" x14ac:dyDescent="0.25">
      <c r="B597" s="23" t="s">
        <v>844</v>
      </c>
      <c r="C597" s="22" t="s">
        <v>845</v>
      </c>
      <c r="D597" s="60" t="s">
        <v>13</v>
      </c>
      <c r="E597" s="12">
        <v>77</v>
      </c>
      <c r="F597" s="126">
        <v>63805</v>
      </c>
      <c r="G597" s="126">
        <f t="shared" ref="G597:G602" si="74">ROUND(+F597*E597,2)</f>
        <v>4912985</v>
      </c>
      <c r="H597" s="8"/>
      <c r="I597" s="9" t="str">
        <f t="array" ref="I597:L597">_xlfn.XLOOKUP(C597,'Neiva 2021 FASE I UNIFICADO'!$C$6:$C$540,'Neiva 2021 FASE I UNIFICADO'!$C$6:$F$540,"NO ESTA")</f>
        <v>SUMINISTRO E INSTALACION DUCTOS EN LAMINA GALVANIZADA CAL. 24 Wrap FC</v>
      </c>
      <c r="J597" s="9" t="str">
        <v>M2</v>
      </c>
      <c r="K597" s="9">
        <v>28</v>
      </c>
      <c r="L597" s="9">
        <v>59051</v>
      </c>
      <c r="M597" s="124" t="str">
        <f t="shared" si="73"/>
        <v>FASE II</v>
      </c>
      <c r="N597" s="155">
        <f t="shared" si="70"/>
        <v>105</v>
      </c>
      <c r="O597" s="156">
        <f t="shared" si="71"/>
        <v>63805</v>
      </c>
      <c r="P597" s="156">
        <f t="shared" si="72"/>
        <v>6699525</v>
      </c>
    </row>
    <row r="598" spans="2:16" s="9" customFormat="1" ht="35.1" customHeight="1" x14ac:dyDescent="0.25">
      <c r="B598" s="23" t="s">
        <v>846</v>
      </c>
      <c r="C598" s="22" t="s">
        <v>847</v>
      </c>
      <c r="D598" s="60" t="s">
        <v>13</v>
      </c>
      <c r="E598" s="12">
        <v>540</v>
      </c>
      <c r="F598" s="126">
        <v>70179</v>
      </c>
      <c r="G598" s="126">
        <f t="shared" si="74"/>
        <v>37896660</v>
      </c>
      <c r="H598" s="8"/>
      <c r="I598" s="9" t="str">
        <f t="array" ref="I598:L598">_xlfn.XLOOKUP(C598,'Neiva 2021 FASE I UNIFICADO'!$C$6:$C$540,'Neiva 2021 FASE I UNIFICADO'!$C$6:$F$540,"NO ESTA")</f>
        <v>SUMINISTRO E INSTALACION DUCTOS EN LAMINA GALVANIZADA CAL. 22 Wrap FC</v>
      </c>
      <c r="J598" s="9" t="str">
        <v>M2</v>
      </c>
      <c r="K598" s="9">
        <v>200</v>
      </c>
      <c r="L598" s="9">
        <v>64950</v>
      </c>
      <c r="M598" s="124" t="str">
        <f t="shared" si="73"/>
        <v>FASE II</v>
      </c>
      <c r="N598" s="155">
        <f t="shared" si="70"/>
        <v>740</v>
      </c>
      <c r="O598" s="156">
        <f t="shared" si="71"/>
        <v>70179</v>
      </c>
      <c r="P598" s="156">
        <f t="shared" si="72"/>
        <v>51932460</v>
      </c>
    </row>
    <row r="599" spans="2:16" s="9" customFormat="1" ht="35.1" customHeight="1" x14ac:dyDescent="0.25">
      <c r="B599" s="23" t="s">
        <v>848</v>
      </c>
      <c r="C599" s="22" t="s">
        <v>849</v>
      </c>
      <c r="D599" s="60" t="s">
        <v>13</v>
      </c>
      <c r="E599" s="12">
        <v>617</v>
      </c>
      <c r="F599" s="126">
        <v>19457</v>
      </c>
      <c r="G599" s="126">
        <f t="shared" si="74"/>
        <v>12004969</v>
      </c>
      <c r="H599" s="8"/>
      <c r="I599" s="9" t="str">
        <f t="array" ref="I599:L599">_xlfn.XLOOKUP(C599,'Neiva 2021 FASE I UNIFICADO'!$C$6:$C$540,'Neiva 2021 FASE I UNIFICADO'!$C$6:$F$540,"NO ESTA")</f>
        <v>SUMINISTRO E INSTALACION AISLAMIENTO DUCTOS EN JUMBOLON FC</v>
      </c>
      <c r="J599" s="9" t="str">
        <v>M2</v>
      </c>
      <c r="K599" s="9">
        <v>228</v>
      </c>
      <c r="L599" s="9">
        <v>18007</v>
      </c>
      <c r="M599" s="124" t="str">
        <f t="shared" si="73"/>
        <v>FASE II</v>
      </c>
      <c r="N599" s="155">
        <f t="shared" si="70"/>
        <v>845</v>
      </c>
      <c r="O599" s="156">
        <f t="shared" si="71"/>
        <v>19457</v>
      </c>
      <c r="P599" s="156">
        <f t="shared" si="72"/>
        <v>16441165</v>
      </c>
    </row>
    <row r="600" spans="2:16" s="9" customFormat="1" ht="35.1" customHeight="1" x14ac:dyDescent="0.25">
      <c r="B600" s="23" t="s">
        <v>850</v>
      </c>
      <c r="C600" s="22" t="s">
        <v>851</v>
      </c>
      <c r="D600" s="60" t="s">
        <v>13</v>
      </c>
      <c r="E600" s="12">
        <v>150</v>
      </c>
      <c r="F600" s="126">
        <v>76603</v>
      </c>
      <c r="G600" s="126">
        <f t="shared" si="74"/>
        <v>11490450</v>
      </c>
      <c r="H600" s="8"/>
      <c r="I600" s="9" t="str">
        <f t="array" ref="I600:L600">_xlfn.XLOOKUP(C600,'Neiva 2021 FASE I UNIFICADO'!$C$6:$C$540,'Neiva 2021 FASE I UNIFICADO'!$C$6:$F$540,"NO ESTA")</f>
        <v>SUMINISTRO E INSTALACION DUCTOS EN LAMINA GALVANIZADA CAL. 20 Wrap UMAS</v>
      </c>
      <c r="J600" s="9" t="str">
        <v>M2</v>
      </c>
      <c r="K600" s="9">
        <v>55</v>
      </c>
      <c r="L600" s="9">
        <v>70895</v>
      </c>
      <c r="M600" s="124" t="str">
        <f t="shared" si="73"/>
        <v>FASE II</v>
      </c>
      <c r="N600" s="155">
        <f t="shared" si="70"/>
        <v>205</v>
      </c>
      <c r="O600" s="156">
        <f t="shared" si="71"/>
        <v>76603</v>
      </c>
      <c r="P600" s="156">
        <f t="shared" si="72"/>
        <v>15703615</v>
      </c>
    </row>
    <row r="601" spans="2:16" s="9" customFormat="1" ht="35.1" customHeight="1" x14ac:dyDescent="0.25">
      <c r="B601" s="23" t="s">
        <v>852</v>
      </c>
      <c r="C601" s="22" t="s">
        <v>853</v>
      </c>
      <c r="D601" s="60" t="s">
        <v>13</v>
      </c>
      <c r="E601" s="12">
        <v>150</v>
      </c>
      <c r="F601" s="126">
        <v>19457</v>
      </c>
      <c r="G601" s="126">
        <f t="shared" si="74"/>
        <v>2918550</v>
      </c>
      <c r="H601" s="8"/>
      <c r="I601" s="9" t="str">
        <f t="array" ref="I601:L601">_xlfn.XLOOKUP(C601,'Neiva 2021 FASE I UNIFICADO'!$C$6:$C$540,'Neiva 2021 FASE I UNIFICADO'!$C$6:$F$540,"NO ESTA")</f>
        <v>SUMINISTRO E INSTALACION AISLAMIENTO DUCTOS EN DUCT WRAP UMAS</v>
      </c>
      <c r="J601" s="9" t="str">
        <v>M2</v>
      </c>
      <c r="K601" s="9">
        <v>55</v>
      </c>
      <c r="L601" s="9">
        <v>18007</v>
      </c>
      <c r="M601" s="124" t="str">
        <f t="shared" si="73"/>
        <v>FASE II</v>
      </c>
      <c r="N601" s="155">
        <f t="shared" si="70"/>
        <v>205</v>
      </c>
      <c r="O601" s="156">
        <f t="shared" si="71"/>
        <v>19457</v>
      </c>
      <c r="P601" s="156">
        <f t="shared" si="72"/>
        <v>3988685</v>
      </c>
    </row>
    <row r="602" spans="2:16" s="9" customFormat="1" ht="35.1" customHeight="1" x14ac:dyDescent="0.25">
      <c r="B602" s="23" t="s">
        <v>854</v>
      </c>
      <c r="C602" s="22" t="s">
        <v>855</v>
      </c>
      <c r="D602" s="10" t="s">
        <v>16</v>
      </c>
      <c r="E602" s="12">
        <v>24</v>
      </c>
      <c r="F602" s="126">
        <v>33394</v>
      </c>
      <c r="G602" s="126">
        <f t="shared" si="74"/>
        <v>801456</v>
      </c>
      <c r="H602" s="8"/>
      <c r="I602" s="9" t="str">
        <f t="array" ref="I602:L602">_xlfn.XLOOKUP(C602,'Neiva 2021 FASE I UNIFICADO'!$C$6:$C$540,'Neiva 2021 FASE I UNIFICADO'!$C$6:$F$540,"NO ESTA")</f>
        <v>SUMINISTRO E INSTALACION ACOPLE FLEXIBLE DUCTOS - EQUIPOS</v>
      </c>
      <c r="J602" s="9" t="str">
        <v>UND</v>
      </c>
      <c r="K602" s="9">
        <v>9</v>
      </c>
      <c r="L602" s="9">
        <v>30906</v>
      </c>
      <c r="M602" s="124" t="str">
        <f t="shared" si="73"/>
        <v>FASE II</v>
      </c>
      <c r="N602" s="155">
        <f t="shared" si="70"/>
        <v>33</v>
      </c>
      <c r="O602" s="156">
        <f t="shared" si="71"/>
        <v>33394</v>
      </c>
      <c r="P602" s="156">
        <f t="shared" si="72"/>
        <v>1102002</v>
      </c>
    </row>
    <row r="603" spans="2:16" s="9" customFormat="1" ht="35.1" customHeight="1" x14ac:dyDescent="0.25">
      <c r="B603" s="13" t="s">
        <v>856</v>
      </c>
      <c r="C603" s="14" t="s">
        <v>857</v>
      </c>
      <c r="D603" s="27"/>
      <c r="E603" s="15"/>
      <c r="F603" s="129"/>
      <c r="G603" s="140"/>
      <c r="H603" s="8"/>
      <c r="I603" s="9" t="str">
        <f t="array" ref="I603:L603">_xlfn.XLOOKUP(C603,'Neiva 2021 FASE I UNIFICADO'!$C$6:$C$540,'Neiva 2021 FASE I UNIFICADO'!$C$6:$F$540,"NO ESTA")</f>
        <v>SUMINISTRO E INSTALACIÓN DIFUSORES Y REJILLAS</v>
      </c>
      <c r="J603" s="9">
        <v>0</v>
      </c>
      <c r="K603" s="9">
        <v>0</v>
      </c>
      <c r="L603" s="9">
        <v>0</v>
      </c>
      <c r="M603" s="124">
        <f t="shared" si="73"/>
        <v>0</v>
      </c>
      <c r="N603" s="155">
        <f t="shared" si="70"/>
        <v>0</v>
      </c>
      <c r="O603" s="156">
        <f t="shared" si="71"/>
        <v>0</v>
      </c>
      <c r="P603" s="156">
        <f t="shared" si="72"/>
        <v>0</v>
      </c>
    </row>
    <row r="604" spans="2:16" s="9" customFormat="1" ht="35.1" customHeight="1" x14ac:dyDescent="0.25">
      <c r="B604" s="10" t="s">
        <v>858</v>
      </c>
      <c r="C604" s="22" t="s">
        <v>859</v>
      </c>
      <c r="D604" s="10" t="s">
        <v>16</v>
      </c>
      <c r="E604" s="12">
        <v>82</v>
      </c>
      <c r="F604" s="126">
        <v>157287</v>
      </c>
      <c r="G604" s="126">
        <f t="shared" ref="G604:G617" si="75">ROUND(+F604*E604,2)</f>
        <v>12897534</v>
      </c>
      <c r="H604" s="8"/>
      <c r="I604" s="9" t="str">
        <f t="array" ref="I604:L604">_xlfn.XLOOKUP(C604,'Neiva 2021 FASE I UNIFICADO'!$C$6:$C$540,'Neiva 2021 FASE I UNIFICADO'!$C$6:$F$540,"NO ESTA")</f>
        <v>SUMINISTRO E INSTALACION DIFUSORES SUMINISTRO DE 12" x 12" 4V (Tipo Descolgado) con Damper OB</v>
      </c>
      <c r="J604" s="9" t="str">
        <v>UND</v>
      </c>
      <c r="K604" s="9">
        <v>30</v>
      </c>
      <c r="L604" s="9">
        <v>145568</v>
      </c>
      <c r="M604" s="124" t="str">
        <f t="shared" si="73"/>
        <v>FASE II</v>
      </c>
      <c r="N604" s="155">
        <f t="shared" si="70"/>
        <v>112</v>
      </c>
      <c r="O604" s="156">
        <f t="shared" si="71"/>
        <v>157287</v>
      </c>
      <c r="P604" s="156">
        <f t="shared" si="72"/>
        <v>17616144</v>
      </c>
    </row>
    <row r="605" spans="2:16" s="9" customFormat="1" ht="35.1" customHeight="1" x14ac:dyDescent="0.25">
      <c r="B605" s="10" t="s">
        <v>860</v>
      </c>
      <c r="C605" s="22" t="s">
        <v>861</v>
      </c>
      <c r="D605" s="10" t="s">
        <v>16</v>
      </c>
      <c r="E605" s="12">
        <v>4</v>
      </c>
      <c r="F605" s="126">
        <v>109753</v>
      </c>
      <c r="G605" s="126">
        <f t="shared" si="75"/>
        <v>439012</v>
      </c>
      <c r="H605" s="8"/>
      <c r="I605" s="9" t="str">
        <f t="array" ref="I605:L605">_xlfn.XLOOKUP(C605,'Neiva 2021 FASE I UNIFICADO'!$C$6:$C$540,'Neiva 2021 FASE I UNIFICADO'!$C$6:$F$540,"NO ESTA")</f>
        <v>SUMINISTRO E INSTALACION DIFUSORES SUMINISTRO DE 9" x 9" 4V (Tipo Descolgado) con Damper OB</v>
      </c>
      <c r="J605" s="9" t="str">
        <v>UND</v>
      </c>
      <c r="K605" s="9">
        <v>2</v>
      </c>
      <c r="L605" s="9">
        <v>101576</v>
      </c>
      <c r="M605" s="124" t="str">
        <f t="shared" si="73"/>
        <v>FASE II</v>
      </c>
      <c r="N605" s="155">
        <f t="shared" si="70"/>
        <v>6</v>
      </c>
      <c r="O605" s="156">
        <f t="shared" si="71"/>
        <v>109753</v>
      </c>
      <c r="P605" s="156">
        <f t="shared" si="72"/>
        <v>658518</v>
      </c>
    </row>
    <row r="606" spans="2:16" s="9" customFormat="1" ht="35.1" customHeight="1" x14ac:dyDescent="0.25">
      <c r="B606" s="10" t="s">
        <v>862</v>
      </c>
      <c r="C606" s="22" t="s">
        <v>863</v>
      </c>
      <c r="D606" s="10" t="s">
        <v>16</v>
      </c>
      <c r="E606" s="12">
        <v>4</v>
      </c>
      <c r="F606" s="126">
        <v>231800</v>
      </c>
      <c r="G606" s="126">
        <f t="shared" si="75"/>
        <v>927200</v>
      </c>
      <c r="H606" s="8"/>
      <c r="I606" s="9" t="str">
        <f t="array" ref="I606:L606">_xlfn.XLOOKUP(C606,'Neiva 2021 FASE I UNIFICADO'!$C$6:$C$540,'Neiva 2021 FASE I UNIFICADO'!$C$6:$F$540,"NO ESTA")</f>
        <v>SUMINISTRO E INSTALACION REJILLAS SUMINISTRO DE 48" X 12" (TIPO DOBLE ALETA) con Damper incluye EXTRACTORES DE AIRE</v>
      </c>
      <c r="J606" s="9" t="str">
        <v>UND</v>
      </c>
      <c r="K606" s="9">
        <v>1</v>
      </c>
      <c r="L606" s="9">
        <v>214529</v>
      </c>
      <c r="M606" s="124" t="str">
        <f t="shared" si="73"/>
        <v>FASE II</v>
      </c>
      <c r="N606" s="155">
        <f t="shared" si="70"/>
        <v>5</v>
      </c>
      <c r="O606" s="156">
        <f t="shared" si="71"/>
        <v>231800</v>
      </c>
      <c r="P606" s="156">
        <f t="shared" si="72"/>
        <v>1159000</v>
      </c>
    </row>
    <row r="607" spans="2:16" s="9" customFormat="1" ht="35.1" customHeight="1" x14ac:dyDescent="0.25">
      <c r="B607" s="10" t="s">
        <v>864</v>
      </c>
      <c r="C607" s="87" t="s">
        <v>865</v>
      </c>
      <c r="D607" s="10" t="s">
        <v>16</v>
      </c>
      <c r="E607" s="12">
        <v>2</v>
      </c>
      <c r="F607" s="126">
        <v>58365</v>
      </c>
      <c r="G607" s="126">
        <f t="shared" si="75"/>
        <v>116730</v>
      </c>
      <c r="H607" s="8"/>
      <c r="I607" s="9" t="str">
        <f t="array" ref="I607:L607">_xlfn.XLOOKUP(C607,'Neiva 2021 FASE I UNIFICADO'!$C$6:$C$540,'Neiva 2021 FASE I UNIFICADO'!$C$6:$F$540,"NO ESTA")</f>
        <v>SUMINISTRO E INSTALACION REJILLAS DE ACCESO/ RETORNO A FC DE 18" x 8" 160 CFM</v>
      </c>
      <c r="J607" s="9" t="str">
        <v>UND</v>
      </c>
      <c r="K607" s="9">
        <v>1</v>
      </c>
      <c r="L607" s="9">
        <v>54017</v>
      </c>
      <c r="M607" s="124" t="str">
        <f t="shared" si="73"/>
        <v>FASE II</v>
      </c>
      <c r="N607" s="155">
        <f t="shared" si="70"/>
        <v>3</v>
      </c>
      <c r="O607" s="156">
        <f t="shared" si="71"/>
        <v>58365</v>
      </c>
      <c r="P607" s="156">
        <f t="shared" si="72"/>
        <v>175095</v>
      </c>
    </row>
    <row r="608" spans="2:16" s="9" customFormat="1" ht="35.1" customHeight="1" x14ac:dyDescent="0.25">
      <c r="B608" s="10" t="s">
        <v>866</v>
      </c>
      <c r="C608" s="22" t="s">
        <v>867</v>
      </c>
      <c r="D608" s="10" t="s">
        <v>16</v>
      </c>
      <c r="E608" s="12">
        <v>12</v>
      </c>
      <c r="F608" s="126">
        <v>218953</v>
      </c>
      <c r="G608" s="126">
        <f t="shared" si="75"/>
        <v>2627436</v>
      </c>
      <c r="H608" s="8"/>
      <c r="I608" s="9" t="str">
        <f t="array" ref="I608:L608">_xlfn.XLOOKUP(C608,'Neiva 2021 FASE I UNIFICADO'!$C$6:$C$540,'Neiva 2021 FASE I UNIFICADO'!$C$6:$F$540,"NO ESTA")</f>
        <v>SUMINISTRO E INSTALACION REJILLAS DE ACCESO/ RETORNO A FC DE 40" x 8"   320 CFM</v>
      </c>
      <c r="J608" s="9" t="str">
        <v>UND</v>
      </c>
      <c r="K608" s="9">
        <v>4</v>
      </c>
      <c r="L608" s="9">
        <v>202640</v>
      </c>
      <c r="M608" s="124" t="str">
        <f t="shared" si="73"/>
        <v>FASE II</v>
      </c>
      <c r="N608" s="155">
        <f t="shared" si="70"/>
        <v>16</v>
      </c>
      <c r="O608" s="156">
        <f t="shared" si="71"/>
        <v>218953</v>
      </c>
      <c r="P608" s="156">
        <f t="shared" si="72"/>
        <v>3503248</v>
      </c>
    </row>
    <row r="609" spans="2:16" s="9" customFormat="1" ht="35.1" customHeight="1" x14ac:dyDescent="0.25">
      <c r="B609" s="10" t="s">
        <v>868</v>
      </c>
      <c r="C609" s="22" t="s">
        <v>869</v>
      </c>
      <c r="D609" s="10" t="s">
        <v>16</v>
      </c>
      <c r="E609" s="12">
        <v>8</v>
      </c>
      <c r="F609" s="126">
        <v>231800</v>
      </c>
      <c r="G609" s="126">
        <f t="shared" si="75"/>
        <v>1854400</v>
      </c>
      <c r="H609" s="8"/>
      <c r="I609" s="9" t="str">
        <f t="array" ref="I609:L609">_xlfn.XLOOKUP(C609,'Neiva 2021 FASE I UNIFICADO'!$C$6:$C$540,'Neiva 2021 FASE I UNIFICADO'!$C$6:$F$540,"NO ESTA")</f>
        <v>SUMINISTRO E INSTALACION REJILLAS DE ACCESO/ RETORNO A FC DE 48" x 12" 400 CFM</v>
      </c>
      <c r="J609" s="9" t="str">
        <v>UND</v>
      </c>
      <c r="K609" s="9">
        <v>3</v>
      </c>
      <c r="L609" s="9">
        <v>214529</v>
      </c>
      <c r="M609" s="124" t="str">
        <f t="shared" si="73"/>
        <v>FASE II</v>
      </c>
      <c r="N609" s="155">
        <f t="shared" si="70"/>
        <v>11</v>
      </c>
      <c r="O609" s="156">
        <f t="shared" si="71"/>
        <v>231800</v>
      </c>
      <c r="P609" s="156">
        <f t="shared" si="72"/>
        <v>2549800</v>
      </c>
    </row>
    <row r="610" spans="2:16" s="9" customFormat="1" ht="35.1" customHeight="1" x14ac:dyDescent="0.25">
      <c r="B610" s="10" t="s">
        <v>870</v>
      </c>
      <c r="C610" s="87" t="s">
        <v>871</v>
      </c>
      <c r="D610" s="10" t="s">
        <v>16</v>
      </c>
      <c r="E610" s="12">
        <v>1</v>
      </c>
      <c r="F610" s="126">
        <v>499017</v>
      </c>
      <c r="G610" s="126">
        <f t="shared" si="75"/>
        <v>499017</v>
      </c>
      <c r="H610" s="8"/>
      <c r="I610" s="9" t="str">
        <f t="array" ref="I610:L610">_xlfn.XLOOKUP(C610,'Neiva 2021 FASE I UNIFICADO'!$C$6:$C$540,'Neiva 2021 FASE I UNIFICADO'!$C$6:$F$540,"NO ESTA")</f>
        <v>SUMINISTRO E INSTALACION REJILLAS DE ACCESO/ RETORNO A FC DE 48" x 20" 2400 CFM</v>
      </c>
      <c r="J610" s="9" t="str">
        <v>UND</v>
      </c>
      <c r="K610" s="9">
        <v>1</v>
      </c>
      <c r="L610" s="9">
        <v>461838</v>
      </c>
      <c r="M610" s="124" t="str">
        <f t="shared" si="73"/>
        <v>FASE II</v>
      </c>
      <c r="N610" s="155">
        <f t="shared" si="70"/>
        <v>2</v>
      </c>
      <c r="O610" s="156">
        <f t="shared" si="71"/>
        <v>499017</v>
      </c>
      <c r="P610" s="156">
        <f t="shared" si="72"/>
        <v>998034</v>
      </c>
    </row>
    <row r="611" spans="2:16" s="9" customFormat="1" ht="35.1" customHeight="1" x14ac:dyDescent="0.25">
      <c r="B611" s="10" t="s">
        <v>872</v>
      </c>
      <c r="C611" s="87" t="s">
        <v>873</v>
      </c>
      <c r="D611" s="10" t="s">
        <v>16</v>
      </c>
      <c r="E611" s="12">
        <v>3</v>
      </c>
      <c r="F611" s="126">
        <v>443775</v>
      </c>
      <c r="G611" s="126">
        <f t="shared" si="75"/>
        <v>1331325</v>
      </c>
      <c r="H611" s="8"/>
      <c r="I611" s="9" t="str">
        <f t="array" ref="I611:L611">_xlfn.XLOOKUP(C611,'Neiva 2021 FASE I UNIFICADO'!$C$6:$C$540,'Neiva 2021 FASE I UNIFICADO'!$C$6:$F$540,"NO ESTA")</f>
        <v>SUMINISTRO E INSTALACION REJILLAS DE ACCESO/ RETORNO A FC DE 48" x 24" 3600 CFM</v>
      </c>
      <c r="J611" s="9" t="str">
        <v>UND</v>
      </c>
      <c r="K611" s="9">
        <v>1</v>
      </c>
      <c r="L611" s="9">
        <v>410712</v>
      </c>
      <c r="M611" s="124" t="str">
        <f t="shared" si="73"/>
        <v>FASE II</v>
      </c>
      <c r="N611" s="155">
        <f t="shared" si="70"/>
        <v>4</v>
      </c>
      <c r="O611" s="156">
        <f t="shared" si="71"/>
        <v>443775</v>
      </c>
      <c r="P611" s="156">
        <f t="shared" si="72"/>
        <v>1775100</v>
      </c>
    </row>
    <row r="612" spans="2:16" s="9" customFormat="1" ht="35.1" customHeight="1" x14ac:dyDescent="0.25">
      <c r="B612" s="10" t="s">
        <v>874</v>
      </c>
      <c r="C612" s="22" t="s">
        <v>875</v>
      </c>
      <c r="D612" s="10" t="s">
        <v>16</v>
      </c>
      <c r="E612" s="12">
        <v>0</v>
      </c>
      <c r="F612" s="126">
        <v>23678</v>
      </c>
      <c r="G612" s="126">
        <f t="shared" si="75"/>
        <v>0</v>
      </c>
      <c r="H612" s="8"/>
      <c r="I612" s="9" t="str">
        <f t="array" ref="I612:L612">_xlfn.XLOOKUP(C612,'Neiva 2021 FASE I UNIFICADO'!$C$6:$C$540,'Neiva 2021 FASE I UNIFICADO'!$C$6:$F$540,"NO ESTA")</f>
        <v>SUMINISTRO E INSTALACION REJILLAS DE TOMA AIRE EXTERNO TAE 6" x 6"</v>
      </c>
      <c r="J612" s="9" t="str">
        <v>UND</v>
      </c>
      <c r="K612" s="9">
        <v>1</v>
      </c>
      <c r="L612" s="9">
        <v>21914</v>
      </c>
      <c r="M612" s="124" t="str">
        <f t="shared" si="73"/>
        <v>FASE II</v>
      </c>
      <c r="N612" s="155">
        <f t="shared" si="70"/>
        <v>1</v>
      </c>
      <c r="O612" s="156">
        <f t="shared" si="71"/>
        <v>23678</v>
      </c>
      <c r="P612" s="156">
        <f t="shared" si="72"/>
        <v>23678</v>
      </c>
    </row>
    <row r="613" spans="2:16" s="9" customFormat="1" ht="35.1" customHeight="1" x14ac:dyDescent="0.25">
      <c r="B613" s="10" t="s">
        <v>876</v>
      </c>
      <c r="C613" s="22" t="s">
        <v>877</v>
      </c>
      <c r="D613" s="10" t="s">
        <v>16</v>
      </c>
      <c r="E613" s="12">
        <v>0</v>
      </c>
      <c r="F613" s="126">
        <v>32671</v>
      </c>
      <c r="G613" s="126">
        <f t="shared" si="75"/>
        <v>0</v>
      </c>
      <c r="H613" s="8"/>
      <c r="I613" s="9" t="str">
        <f t="array" ref="I613:L613">_xlfn.XLOOKUP(C613,'Neiva 2021 FASE I UNIFICADO'!$C$6:$C$540,'Neiva 2021 FASE I UNIFICADO'!$C$6:$F$540,"NO ESTA")</f>
        <v>SUMINISTRO E INSTALACION REJILLAS DE TOMA AIRE EXTERNO TAE 10" x 8"</v>
      </c>
      <c r="J613" s="9" t="str">
        <v>UND</v>
      </c>
      <c r="K613" s="9">
        <v>1</v>
      </c>
      <c r="L613" s="9">
        <v>30236</v>
      </c>
      <c r="M613" s="124" t="str">
        <f t="shared" si="73"/>
        <v>FASE II</v>
      </c>
      <c r="N613" s="155">
        <f t="shared" si="70"/>
        <v>1</v>
      </c>
      <c r="O613" s="156">
        <f t="shared" si="71"/>
        <v>32671</v>
      </c>
      <c r="P613" s="156">
        <f t="shared" si="72"/>
        <v>32671</v>
      </c>
    </row>
    <row r="614" spans="2:16" s="9" customFormat="1" ht="35.1" customHeight="1" x14ac:dyDescent="0.25">
      <c r="B614" s="10" t="s">
        <v>878</v>
      </c>
      <c r="C614" s="22" t="s">
        <v>879</v>
      </c>
      <c r="D614" s="10" t="s">
        <v>16</v>
      </c>
      <c r="E614" s="12">
        <v>16</v>
      </c>
      <c r="F614" s="126">
        <v>45518</v>
      </c>
      <c r="G614" s="126">
        <f t="shared" si="75"/>
        <v>728288</v>
      </c>
      <c r="H614" s="8"/>
      <c r="I614" s="9" t="str">
        <f t="array" ref="I614:L614">_xlfn.XLOOKUP(C614,'Neiva 2021 FASE I UNIFICADO'!$C$6:$C$540,'Neiva 2021 FASE I UNIFICADO'!$C$6:$F$540,"NO ESTA")</f>
        <v>SUMINISTRO E INSTALACION REJILLAS DE TOMA AIRE EXTERNO TAE 12" x 8"</v>
      </c>
      <c r="J614" s="9" t="str">
        <v>UND</v>
      </c>
      <c r="K614" s="9">
        <v>6</v>
      </c>
      <c r="L614" s="9">
        <v>42127</v>
      </c>
      <c r="M614" s="124" t="str">
        <f t="shared" si="73"/>
        <v>FASE II</v>
      </c>
      <c r="N614" s="155">
        <f t="shared" si="70"/>
        <v>22</v>
      </c>
      <c r="O614" s="156">
        <f t="shared" si="71"/>
        <v>45518</v>
      </c>
      <c r="P614" s="156">
        <f t="shared" si="72"/>
        <v>1001396</v>
      </c>
    </row>
    <row r="615" spans="2:16" s="9" customFormat="1" ht="35.1" customHeight="1" x14ac:dyDescent="0.25">
      <c r="B615" s="10" t="s">
        <v>880</v>
      </c>
      <c r="C615" s="22" t="s">
        <v>881</v>
      </c>
      <c r="D615" s="10" t="s">
        <v>16</v>
      </c>
      <c r="E615" s="12">
        <v>2</v>
      </c>
      <c r="F615" s="126">
        <v>58365</v>
      </c>
      <c r="G615" s="126">
        <f t="shared" si="75"/>
        <v>116730</v>
      </c>
      <c r="H615" s="8"/>
      <c r="I615" s="9" t="str">
        <f t="array" ref="I615:L615">_xlfn.XLOOKUP(C615,'Neiva 2021 FASE I UNIFICADO'!$C$6:$C$540,'Neiva 2021 FASE I UNIFICADO'!$C$6:$F$540,"NO ESTA")</f>
        <v>SUMINISTRO E INSTALACION REJILLAS DE TOMA AIRE EXTERNO TAE 18" x 8"</v>
      </c>
      <c r="J615" s="9" t="str">
        <v>UND</v>
      </c>
      <c r="K615" s="9">
        <v>1</v>
      </c>
      <c r="L615" s="9">
        <v>54017</v>
      </c>
      <c r="M615" s="124" t="str">
        <f t="shared" si="73"/>
        <v>FASE II</v>
      </c>
      <c r="N615" s="155">
        <f t="shared" si="70"/>
        <v>3</v>
      </c>
      <c r="O615" s="156">
        <f t="shared" si="71"/>
        <v>58365</v>
      </c>
      <c r="P615" s="156">
        <f t="shared" si="72"/>
        <v>175095</v>
      </c>
    </row>
    <row r="616" spans="2:16" s="9" customFormat="1" ht="35.1" customHeight="1" x14ac:dyDescent="0.25">
      <c r="B616" s="10" t="s">
        <v>882</v>
      </c>
      <c r="C616" s="22" t="s">
        <v>1333</v>
      </c>
      <c r="D616" s="10" t="s">
        <v>16</v>
      </c>
      <c r="E616" s="12">
        <v>0</v>
      </c>
      <c r="F616" s="126">
        <v>578669</v>
      </c>
      <c r="G616" s="126">
        <f t="shared" si="75"/>
        <v>0</v>
      </c>
      <c r="H616" s="8"/>
      <c r="I616" s="9" t="str">
        <f t="array" ref="I616">_xlfn.XLOOKUP(C616,'Neiva 2021 FASE I UNIFICADO'!$C$6:$C$540,'Neiva 2021 FASE I UNIFICADO'!$C$6:$F$540,"NO ESTA")</f>
        <v>NO ESTA</v>
      </c>
      <c r="M616" s="124">
        <f t="shared" si="73"/>
        <v>0</v>
      </c>
      <c r="N616" s="155">
        <f t="shared" si="70"/>
        <v>0</v>
      </c>
      <c r="O616" s="156">
        <f t="shared" si="71"/>
        <v>578669</v>
      </c>
      <c r="P616" s="156">
        <f t="shared" si="72"/>
        <v>0</v>
      </c>
    </row>
    <row r="617" spans="2:16" s="9" customFormat="1" ht="35.1" customHeight="1" x14ac:dyDescent="0.25">
      <c r="B617" s="10" t="s">
        <v>884</v>
      </c>
      <c r="C617" s="22" t="s">
        <v>1334</v>
      </c>
      <c r="D617" s="10" t="s">
        <v>16</v>
      </c>
      <c r="E617" s="12">
        <v>0</v>
      </c>
      <c r="F617" s="126">
        <v>668044</v>
      </c>
      <c r="G617" s="126">
        <f t="shared" si="75"/>
        <v>0</v>
      </c>
      <c r="H617" s="8"/>
      <c r="I617" s="9" t="str">
        <f t="array" ref="I617">_xlfn.XLOOKUP(C617,'Neiva 2021 FASE I UNIFICADO'!$C$6:$C$540,'Neiva 2021 FASE I UNIFICADO'!$C$6:$F$540,"NO ESTA")</f>
        <v>NO ESTA</v>
      </c>
      <c r="M617" s="124">
        <f t="shared" si="73"/>
        <v>0</v>
      </c>
      <c r="N617" s="155">
        <f t="shared" si="70"/>
        <v>0</v>
      </c>
      <c r="O617" s="156">
        <f t="shared" si="71"/>
        <v>668044</v>
      </c>
      <c r="P617" s="156">
        <f t="shared" si="72"/>
        <v>0</v>
      </c>
    </row>
    <row r="618" spans="2:16" s="9" customFormat="1" ht="35.1" customHeight="1" x14ac:dyDescent="0.25">
      <c r="B618" s="13" t="s">
        <v>886</v>
      </c>
      <c r="C618" s="24" t="s">
        <v>887</v>
      </c>
      <c r="D618" s="24"/>
      <c r="E618" s="15"/>
      <c r="F618" s="129"/>
      <c r="G618" s="140"/>
      <c r="H618" s="8"/>
      <c r="I618" s="9" t="str">
        <f t="array" ref="I618:L618">_xlfn.XLOOKUP(C618,'Neiva 2021 FASE I UNIFICADO'!$C$6:$C$540,'Neiva 2021 FASE I UNIFICADO'!$C$6:$F$540,"NO ESTA")</f>
        <v>SUMINSITRO, MONTAJE E INSTALACIÓN DE VENTILACIÓN MECANICA</v>
      </c>
      <c r="J618" s="9">
        <v>0</v>
      </c>
      <c r="K618" s="9">
        <v>0</v>
      </c>
      <c r="L618" s="9">
        <v>0</v>
      </c>
      <c r="M618" s="124">
        <f t="shared" si="73"/>
        <v>0</v>
      </c>
      <c r="N618" s="155">
        <f t="shared" si="70"/>
        <v>0</v>
      </c>
      <c r="O618" s="156">
        <f t="shared" si="71"/>
        <v>0</v>
      </c>
      <c r="P618" s="156">
        <f t="shared" si="72"/>
        <v>0</v>
      </c>
    </row>
    <row r="619" spans="2:16" s="9" customFormat="1" ht="35.1" customHeight="1" x14ac:dyDescent="0.25">
      <c r="B619" s="23" t="s">
        <v>1335</v>
      </c>
      <c r="C619" s="22" t="s">
        <v>1336</v>
      </c>
      <c r="D619" s="10" t="s">
        <v>16</v>
      </c>
      <c r="E619" s="12">
        <v>1</v>
      </c>
      <c r="F619" s="126">
        <v>11241761</v>
      </c>
      <c r="G619" s="126">
        <f>ROUND(+F619*E619,2)</f>
        <v>11241761</v>
      </c>
      <c r="H619" s="8"/>
      <c r="I619" s="9" t="str">
        <f t="array" ref="I619">_xlfn.XLOOKUP(C619,'Neiva 2021 FASE I UNIFICADO'!$C$6:$C$540,'Neiva 2021 FASE I UNIFICADO'!$C$6:$F$540,"NO ESTA")</f>
        <v>NO ESTA</v>
      </c>
      <c r="M619" s="124">
        <f t="shared" si="73"/>
        <v>0</v>
      </c>
      <c r="N619" s="155">
        <f t="shared" si="70"/>
        <v>1</v>
      </c>
      <c r="O619" s="156">
        <f t="shared" si="71"/>
        <v>11241761</v>
      </c>
      <c r="P619" s="156">
        <f t="shared" si="72"/>
        <v>11241761</v>
      </c>
    </row>
    <row r="620" spans="2:16" s="9" customFormat="1" ht="35.1" customHeight="1" x14ac:dyDescent="0.25">
      <c r="B620" s="23" t="s">
        <v>1337</v>
      </c>
      <c r="C620" s="22" t="s">
        <v>1338</v>
      </c>
      <c r="D620" s="10" t="s">
        <v>16</v>
      </c>
      <c r="E620" s="12">
        <v>1</v>
      </c>
      <c r="F620" s="126">
        <v>9700121</v>
      </c>
      <c r="G620" s="126">
        <f>ROUND(+F620*E620,2)</f>
        <v>9700121</v>
      </c>
      <c r="H620" s="8"/>
      <c r="I620" s="9" t="str">
        <f t="array" ref="I620">_xlfn.XLOOKUP(C620,'Neiva 2021 FASE I UNIFICADO'!$C$6:$C$540,'Neiva 2021 FASE I UNIFICADO'!$C$6:$F$540,"NO ESTA")</f>
        <v>NO ESTA</v>
      </c>
      <c r="M620" s="124">
        <f t="shared" si="73"/>
        <v>0</v>
      </c>
      <c r="N620" s="155">
        <f t="shared" si="70"/>
        <v>1</v>
      </c>
      <c r="O620" s="156">
        <f t="shared" si="71"/>
        <v>9700121</v>
      </c>
      <c r="P620" s="156">
        <f t="shared" si="72"/>
        <v>9700121</v>
      </c>
    </row>
    <row r="621" spans="2:16" s="9" customFormat="1" ht="35.1" customHeight="1" x14ac:dyDescent="0.25">
      <c r="B621" s="23" t="s">
        <v>888</v>
      </c>
      <c r="C621" s="22" t="s">
        <v>851</v>
      </c>
      <c r="D621" s="60" t="s">
        <v>13</v>
      </c>
      <c r="E621" s="12">
        <v>88</v>
      </c>
      <c r="F621" s="126">
        <v>90015</v>
      </c>
      <c r="G621" s="126">
        <f>ROUND(+F621*E621,2)</f>
        <v>7921320</v>
      </c>
      <c r="H621" s="8"/>
      <c r="I621" s="9" t="str">
        <f t="array" ref="I621:L621">_xlfn.XLOOKUP(C621,'Neiva 2021 FASE I UNIFICADO'!$C$6:$C$540,'Neiva 2021 FASE I UNIFICADO'!$C$6:$F$540,"NO ESTA")</f>
        <v>SUMINISTRO E INSTALACION DUCTOS EN LAMINA GALVANIZADA CAL. 20 Wrap UMAS</v>
      </c>
      <c r="J621" s="9" t="str">
        <v>M2</v>
      </c>
      <c r="K621" s="9">
        <v>55</v>
      </c>
      <c r="L621" s="9">
        <v>70895</v>
      </c>
      <c r="M621" s="124" t="str">
        <f t="shared" si="73"/>
        <v>FASE II</v>
      </c>
      <c r="N621" s="155">
        <f t="shared" si="70"/>
        <v>143</v>
      </c>
      <c r="O621" s="156">
        <f t="shared" si="71"/>
        <v>90015</v>
      </c>
      <c r="P621" s="156">
        <f t="shared" si="72"/>
        <v>12872145</v>
      </c>
    </row>
    <row r="622" spans="2:16" s="9" customFormat="1" ht="35.1" customHeight="1" x14ac:dyDescent="0.25">
      <c r="B622" s="23" t="s">
        <v>889</v>
      </c>
      <c r="C622" s="22" t="s">
        <v>890</v>
      </c>
      <c r="D622" s="60" t="s">
        <v>13</v>
      </c>
      <c r="E622" s="12">
        <v>191</v>
      </c>
      <c r="F622" s="126">
        <v>83592</v>
      </c>
      <c r="G622" s="126">
        <f>ROUND(+F622*E622,2)</f>
        <v>15966072</v>
      </c>
      <c r="H622" s="8"/>
      <c r="I622" s="9" t="str">
        <f t="array" ref="I622:L622">_xlfn.XLOOKUP(C622,'Neiva 2021 FASE I UNIFICADO'!$C$6:$C$540,'Neiva 2021 FASE I UNIFICADO'!$C$6:$F$540,"NO ESTA")</f>
        <v>SUMINISTRO E INSTALACION DUCTOS EN LAMINA GALVANIZADA CAL. 22 Wrap UMAS</v>
      </c>
      <c r="J622" s="9" t="str">
        <v>M2</v>
      </c>
      <c r="K622" s="9">
        <v>71</v>
      </c>
      <c r="L622" s="9">
        <v>77364</v>
      </c>
      <c r="M622" s="124" t="str">
        <f t="shared" si="73"/>
        <v>FASE II</v>
      </c>
      <c r="N622" s="155">
        <f t="shared" si="70"/>
        <v>262</v>
      </c>
      <c r="O622" s="156">
        <f t="shared" si="71"/>
        <v>83592</v>
      </c>
      <c r="P622" s="156">
        <f t="shared" si="72"/>
        <v>21901104</v>
      </c>
    </row>
    <row r="623" spans="2:16" s="9" customFormat="1" ht="35.1" customHeight="1" x14ac:dyDescent="0.25">
      <c r="B623" s="23" t="s">
        <v>891</v>
      </c>
      <c r="C623" s="22" t="s">
        <v>892</v>
      </c>
      <c r="D623" s="10" t="s">
        <v>16</v>
      </c>
      <c r="E623" s="12">
        <v>2</v>
      </c>
      <c r="F623" s="126">
        <v>498443</v>
      </c>
      <c r="G623" s="126">
        <f>ROUND(+F623*E623,2)</f>
        <v>996886</v>
      </c>
      <c r="H623" s="8"/>
      <c r="I623" s="9" t="str">
        <f t="array" ref="I623:L623">_xlfn.XLOOKUP(C623,'Neiva 2021 FASE I UNIFICADO'!$C$6:$C$540,'Neiva 2021 FASE I UNIFICADO'!$C$6:$F$540,"NO ESTA")</f>
        <v>SUMINISTRO E INSTALACION BANCO DE FILTROS</v>
      </c>
      <c r="J623" s="9" t="str">
        <v>UND</v>
      </c>
      <c r="K623" s="9">
        <v>1</v>
      </c>
      <c r="L623" s="9">
        <v>461307</v>
      </c>
      <c r="M623" s="124" t="str">
        <f t="shared" si="73"/>
        <v>FASE II</v>
      </c>
      <c r="N623" s="155">
        <f t="shared" si="70"/>
        <v>3</v>
      </c>
      <c r="O623" s="156">
        <f t="shared" si="71"/>
        <v>498443</v>
      </c>
      <c r="P623" s="156">
        <f t="shared" si="72"/>
        <v>1495329</v>
      </c>
    </row>
    <row r="624" spans="2:16" s="9" customFormat="1" ht="35.1" customHeight="1" x14ac:dyDescent="0.25">
      <c r="B624" s="13" t="s">
        <v>893</v>
      </c>
      <c r="C624" s="24" t="s">
        <v>894</v>
      </c>
      <c r="D624" s="24"/>
      <c r="E624" s="15"/>
      <c r="F624" s="129"/>
      <c r="G624" s="140"/>
      <c r="H624" s="8"/>
      <c r="I624" s="9" t="str">
        <f t="array" ref="I624:L624">_xlfn.XLOOKUP(C624,'Neiva 2021 FASE I UNIFICADO'!$C$6:$C$540,'Neiva 2021 FASE I UNIFICADO'!$C$6:$F$540,"NO ESTA")</f>
        <v>SUMNISTRO, INSTALACION Y MONTAJE CONTROL</v>
      </c>
      <c r="J624" s="9">
        <v>0</v>
      </c>
      <c r="K624" s="9">
        <v>0</v>
      </c>
      <c r="L624" s="9">
        <v>0</v>
      </c>
      <c r="M624" s="124">
        <f t="shared" si="73"/>
        <v>0</v>
      </c>
      <c r="N624" s="155">
        <f t="shared" si="70"/>
        <v>0</v>
      </c>
      <c r="O624" s="156">
        <f t="shared" si="71"/>
        <v>0</v>
      </c>
      <c r="P624" s="156">
        <f t="shared" si="72"/>
        <v>0</v>
      </c>
    </row>
    <row r="625" spans="2:16" s="9" customFormat="1" ht="35.1" customHeight="1" x14ac:dyDescent="0.25">
      <c r="B625" s="10" t="s">
        <v>1339</v>
      </c>
      <c r="C625" s="22" t="s">
        <v>1340</v>
      </c>
      <c r="D625" s="10" t="s">
        <v>16</v>
      </c>
      <c r="E625" s="12">
        <v>2</v>
      </c>
      <c r="F625" s="126">
        <v>11604897</v>
      </c>
      <c r="G625" s="126">
        <f t="shared" ref="G625:G635" si="76">ROUND(+F625*E625,2)</f>
        <v>23209794</v>
      </c>
      <c r="H625" s="8"/>
      <c r="I625" s="9" t="str">
        <f t="array" ref="I625">_xlfn.XLOOKUP(C625,'Neiva 2021 FASE I UNIFICADO'!$C$6:$C$540,'Neiva 2021 FASE I UNIFICADO'!$C$6:$F$540,"NO ESTA")</f>
        <v>NO ESTA</v>
      </c>
      <c r="M625" s="124">
        <f t="shared" si="73"/>
        <v>0</v>
      </c>
      <c r="N625" s="155">
        <f t="shared" si="70"/>
        <v>2</v>
      </c>
      <c r="O625" s="156">
        <f t="shared" si="71"/>
        <v>11604897</v>
      </c>
      <c r="P625" s="156">
        <f t="shared" si="72"/>
        <v>23209794</v>
      </c>
    </row>
    <row r="626" spans="2:16" s="9" customFormat="1" ht="35.1" customHeight="1" x14ac:dyDescent="0.25">
      <c r="B626" s="10" t="s">
        <v>895</v>
      </c>
      <c r="C626" s="22" t="s">
        <v>896</v>
      </c>
      <c r="D626" s="10" t="s">
        <v>16</v>
      </c>
      <c r="E626" s="12">
        <v>1</v>
      </c>
      <c r="F626" s="126">
        <v>1978337</v>
      </c>
      <c r="G626" s="126">
        <f t="shared" si="76"/>
        <v>1978337</v>
      </c>
      <c r="H626" s="8"/>
      <c r="I626" s="9" t="str">
        <f t="array" ref="I626:L626">_xlfn.XLOOKUP(C626,'Neiva 2021 FASE I UNIFICADO'!$C$6:$C$540,'Neiva 2021 FASE I UNIFICADO'!$C$6:$F$540,"NO ESTA")</f>
        <v>SUMINISTRO E INSTALACION VALVULA BYPASS 2"</v>
      </c>
      <c r="J626" s="9" t="str">
        <v>UND</v>
      </c>
      <c r="K626" s="9">
        <v>1</v>
      </c>
      <c r="L626" s="9">
        <v>1830940</v>
      </c>
      <c r="M626" s="124" t="str">
        <f t="shared" si="73"/>
        <v>FASE II</v>
      </c>
      <c r="N626" s="155">
        <f t="shared" si="70"/>
        <v>2</v>
      </c>
      <c r="O626" s="156">
        <f t="shared" si="71"/>
        <v>1978337</v>
      </c>
      <c r="P626" s="156">
        <f t="shared" si="72"/>
        <v>3956674</v>
      </c>
    </row>
    <row r="627" spans="2:16" s="9" customFormat="1" ht="35.1" customHeight="1" x14ac:dyDescent="0.25">
      <c r="B627" s="10" t="s">
        <v>897</v>
      </c>
      <c r="C627" s="22" t="s">
        <v>898</v>
      </c>
      <c r="D627" s="10" t="s">
        <v>16</v>
      </c>
      <c r="E627" s="12">
        <v>2</v>
      </c>
      <c r="F627" s="126">
        <v>1207567</v>
      </c>
      <c r="G627" s="126">
        <f t="shared" si="76"/>
        <v>2415134</v>
      </c>
      <c r="H627" s="8"/>
      <c r="I627" s="9" t="str">
        <f t="array" ref="I627:L627">_xlfn.XLOOKUP(C627,'Neiva 2021 FASE I UNIFICADO'!$C$6:$C$540,'Neiva 2021 FASE I UNIFICADO'!$C$6:$F$540,"NO ESTA")</f>
        <v>SUMINISTRO E INSTALACION SENSOR DIFERENCIAL DE PRESIÓN SISTEMA AGUA FRIA</v>
      </c>
      <c r="J627" s="9" t="str">
        <v>UND</v>
      </c>
      <c r="K627" s="9">
        <v>2</v>
      </c>
      <c r="L627" s="9">
        <v>1117597</v>
      </c>
      <c r="M627" s="124" t="str">
        <f t="shared" si="73"/>
        <v>FASE II</v>
      </c>
      <c r="N627" s="155">
        <f t="shared" si="70"/>
        <v>4</v>
      </c>
      <c r="O627" s="156">
        <f t="shared" si="71"/>
        <v>1207567</v>
      </c>
      <c r="P627" s="156">
        <f t="shared" si="72"/>
        <v>4830268</v>
      </c>
    </row>
    <row r="628" spans="2:16" s="9" customFormat="1" ht="35.1" customHeight="1" x14ac:dyDescent="0.25">
      <c r="B628" s="10" t="s">
        <v>899</v>
      </c>
      <c r="C628" s="22" t="s">
        <v>900</v>
      </c>
      <c r="D628" s="10" t="s">
        <v>16</v>
      </c>
      <c r="E628" s="12">
        <v>1</v>
      </c>
      <c r="F628" s="126">
        <v>867763</v>
      </c>
      <c r="G628" s="126">
        <f t="shared" si="76"/>
        <v>867763</v>
      </c>
      <c r="H628" s="8"/>
      <c r="I628" s="9" t="str">
        <f t="array" ref="I628:L628">_xlfn.XLOOKUP(C628,'Neiva 2021 FASE I UNIFICADO'!$C$6:$C$540,'Neiva 2021 FASE I UNIFICADO'!$C$6:$F$540,"NO ESTA")</f>
        <v>SUMINISTRO E INSTALACION SENSOR DIFERENCIAL DE PRESIÓN SISTEMA AIRE UMAS</v>
      </c>
      <c r="J628" s="9" t="str">
        <v>UND</v>
      </c>
      <c r="K628" s="9">
        <v>1</v>
      </c>
      <c r="L628" s="9">
        <v>803110</v>
      </c>
      <c r="M628" s="124" t="str">
        <f t="shared" si="73"/>
        <v>FASE II</v>
      </c>
      <c r="N628" s="155">
        <f t="shared" si="70"/>
        <v>2</v>
      </c>
      <c r="O628" s="156">
        <f t="shared" si="71"/>
        <v>867763</v>
      </c>
      <c r="P628" s="156">
        <f t="shared" si="72"/>
        <v>1735526</v>
      </c>
    </row>
    <row r="629" spans="2:16" s="9" customFormat="1" ht="35.1" customHeight="1" x14ac:dyDescent="0.25">
      <c r="B629" s="10" t="s">
        <v>901</v>
      </c>
      <c r="C629" s="22" t="s">
        <v>902</v>
      </c>
      <c r="D629" s="10" t="s">
        <v>16</v>
      </c>
      <c r="E629" s="12">
        <v>2</v>
      </c>
      <c r="F629" s="126">
        <v>867763</v>
      </c>
      <c r="G629" s="126">
        <f t="shared" si="76"/>
        <v>1735526</v>
      </c>
      <c r="H629" s="8"/>
      <c r="I629" s="9" t="str">
        <f t="array" ref="I629:L629">_xlfn.XLOOKUP(C629,'Neiva 2021 FASE I UNIFICADO'!$C$6:$C$540,'Neiva 2021 FASE I UNIFICADO'!$C$6:$F$540,"NO ESTA")</f>
        <v>SUMINISTRO E INSTALACION SENSOR DE FLUJO AIRE UMAS</v>
      </c>
      <c r="J629" s="9" t="str">
        <v>UND</v>
      </c>
      <c r="K629" s="9">
        <v>1</v>
      </c>
      <c r="L629" s="9">
        <v>803110</v>
      </c>
      <c r="M629" s="124" t="str">
        <f t="shared" si="73"/>
        <v>FASE II</v>
      </c>
      <c r="N629" s="155">
        <f t="shared" si="70"/>
        <v>3</v>
      </c>
      <c r="O629" s="156">
        <f t="shared" si="71"/>
        <v>867763</v>
      </c>
      <c r="P629" s="156">
        <f t="shared" si="72"/>
        <v>2603289</v>
      </c>
    </row>
    <row r="630" spans="2:16" s="9" customFormat="1" ht="35.1" customHeight="1" x14ac:dyDescent="0.25">
      <c r="B630" s="10" t="s">
        <v>1341</v>
      </c>
      <c r="C630" s="22" t="s">
        <v>1342</v>
      </c>
      <c r="D630" s="10" t="s">
        <v>16</v>
      </c>
      <c r="E630" s="12">
        <v>2</v>
      </c>
      <c r="F630" s="126">
        <v>3301628</v>
      </c>
      <c r="G630" s="126">
        <f t="shared" si="76"/>
        <v>6603256</v>
      </c>
      <c r="H630" s="8"/>
      <c r="I630" s="9" t="str">
        <f t="array" ref="I630">_xlfn.XLOOKUP(C630,'Neiva 2021 FASE I UNIFICADO'!$C$6:$C$540,'Neiva 2021 FASE I UNIFICADO'!$C$6:$F$540,"NO ESTA")</f>
        <v>NO ESTA</v>
      </c>
      <c r="M630" s="124">
        <f t="shared" si="73"/>
        <v>0</v>
      </c>
      <c r="N630" s="155">
        <f t="shared" si="70"/>
        <v>2</v>
      </c>
      <c r="O630" s="156">
        <f t="shared" si="71"/>
        <v>3301628</v>
      </c>
      <c r="P630" s="156">
        <f t="shared" si="72"/>
        <v>6603256</v>
      </c>
    </row>
    <row r="631" spans="2:16" s="9" customFormat="1" ht="35.1" customHeight="1" x14ac:dyDescent="0.25">
      <c r="B631" s="10" t="s">
        <v>1343</v>
      </c>
      <c r="C631" s="22" t="s">
        <v>1344</v>
      </c>
      <c r="D631" s="10" t="s">
        <v>16</v>
      </c>
      <c r="E631" s="12">
        <v>2</v>
      </c>
      <c r="F631" s="126">
        <v>5806708</v>
      </c>
      <c r="G631" s="126">
        <f t="shared" si="76"/>
        <v>11613416</v>
      </c>
      <c r="H631" s="8"/>
      <c r="I631" s="9" t="str">
        <f t="array" ref="I631">_xlfn.XLOOKUP(C631,'Neiva 2021 FASE I UNIFICADO'!$C$6:$C$540,'Neiva 2021 FASE I UNIFICADO'!$C$6:$F$540,"NO ESTA")</f>
        <v>NO ESTA</v>
      </c>
      <c r="M631" s="124">
        <f t="shared" si="73"/>
        <v>0</v>
      </c>
      <c r="N631" s="155">
        <f t="shared" si="70"/>
        <v>2</v>
      </c>
      <c r="O631" s="156">
        <f t="shared" si="71"/>
        <v>5806708</v>
      </c>
      <c r="P631" s="156">
        <f t="shared" si="72"/>
        <v>11613416</v>
      </c>
    </row>
    <row r="632" spans="2:16" s="9" customFormat="1" ht="35.1" customHeight="1" x14ac:dyDescent="0.25">
      <c r="B632" s="10" t="s">
        <v>1345</v>
      </c>
      <c r="C632" s="22" t="s">
        <v>1346</v>
      </c>
      <c r="D632" s="10" t="s">
        <v>16</v>
      </c>
      <c r="E632" s="12">
        <v>2</v>
      </c>
      <c r="F632" s="126">
        <v>1978337</v>
      </c>
      <c r="G632" s="126">
        <f t="shared" si="76"/>
        <v>3956674</v>
      </c>
      <c r="H632" s="8"/>
      <c r="I632" s="9" t="str">
        <f t="array" ref="I632">_xlfn.XLOOKUP(C632,'Neiva 2021 FASE I UNIFICADO'!$C$6:$C$540,'Neiva 2021 FASE I UNIFICADO'!$C$6:$F$540,"NO ESTA")</f>
        <v>NO ESTA</v>
      </c>
      <c r="M632" s="124">
        <f t="shared" si="73"/>
        <v>0</v>
      </c>
      <c r="N632" s="155">
        <f t="shared" si="70"/>
        <v>2</v>
      </c>
      <c r="O632" s="156">
        <f t="shared" si="71"/>
        <v>1978337</v>
      </c>
      <c r="P632" s="156">
        <f t="shared" si="72"/>
        <v>3956674</v>
      </c>
    </row>
    <row r="633" spans="2:16" s="9" customFormat="1" ht="35.1" customHeight="1" x14ac:dyDescent="0.25">
      <c r="B633" s="10" t="s">
        <v>903</v>
      </c>
      <c r="C633" s="22" t="s">
        <v>904</v>
      </c>
      <c r="D633" s="10" t="s">
        <v>16</v>
      </c>
      <c r="E633" s="12">
        <v>3</v>
      </c>
      <c r="F633" s="126">
        <v>1104774</v>
      </c>
      <c r="G633" s="126">
        <f t="shared" si="76"/>
        <v>3314322</v>
      </c>
      <c r="H633" s="8"/>
      <c r="I633" s="9" t="str">
        <f t="array" ref="I633:L633">_xlfn.XLOOKUP(C633,'Neiva 2021 FASE I UNIFICADO'!$C$6:$C$540,'Neiva 2021 FASE I UNIFICADO'!$C$6:$F$540,"NO ESTA")</f>
        <v>SUMINISTRO E INSTALACION SENSOR CO</v>
      </c>
      <c r="J633" s="9" t="str">
        <v>UND</v>
      </c>
      <c r="K633" s="9">
        <v>2</v>
      </c>
      <c r="L633" s="9">
        <v>1022463</v>
      </c>
      <c r="M633" s="124" t="str">
        <f t="shared" si="73"/>
        <v>FASE II</v>
      </c>
      <c r="N633" s="155">
        <f t="shared" si="70"/>
        <v>5</v>
      </c>
      <c r="O633" s="156">
        <f t="shared" si="71"/>
        <v>1104774</v>
      </c>
      <c r="P633" s="156">
        <f t="shared" si="72"/>
        <v>5523870</v>
      </c>
    </row>
    <row r="634" spans="2:16" s="9" customFormat="1" ht="35.1" customHeight="1" x14ac:dyDescent="0.25">
      <c r="B634" s="10" t="s">
        <v>905</v>
      </c>
      <c r="C634" s="22" t="s">
        <v>906</v>
      </c>
      <c r="D634" s="10" t="s">
        <v>16</v>
      </c>
      <c r="E634" s="12">
        <v>2</v>
      </c>
      <c r="F634" s="126">
        <v>331432</v>
      </c>
      <c r="G634" s="126">
        <f t="shared" si="76"/>
        <v>662864</v>
      </c>
      <c r="H634" s="8"/>
      <c r="I634" s="9" t="str">
        <f t="array" ref="I634:L634">_xlfn.XLOOKUP(C634,'Neiva 2021 FASE I UNIFICADO'!$C$6:$C$540,'Neiva 2021 FASE I UNIFICADO'!$C$6:$F$540,"NO ESTA")</f>
        <v>SUMINISTRO E INSTALACION SENSOR CONTROL CO2 UMAS</v>
      </c>
      <c r="J634" s="9" t="str">
        <v>UND</v>
      </c>
      <c r="K634" s="9">
        <v>2</v>
      </c>
      <c r="L634" s="9">
        <v>306739</v>
      </c>
      <c r="M634" s="124" t="str">
        <f t="shared" si="73"/>
        <v>FASE II</v>
      </c>
      <c r="N634" s="155">
        <f t="shared" si="70"/>
        <v>4</v>
      </c>
      <c r="O634" s="156">
        <f t="shared" si="71"/>
        <v>331432</v>
      </c>
      <c r="P634" s="156">
        <f t="shared" si="72"/>
        <v>1325728</v>
      </c>
    </row>
    <row r="635" spans="2:16" s="9" customFormat="1" ht="35.1" customHeight="1" x14ac:dyDescent="0.25">
      <c r="B635" s="10" t="s">
        <v>1347</v>
      </c>
      <c r="C635" s="22" t="s">
        <v>1348</v>
      </c>
      <c r="D635" s="10" t="s">
        <v>16</v>
      </c>
      <c r="E635" s="12">
        <v>2</v>
      </c>
      <c r="F635" s="126">
        <v>1978337</v>
      </c>
      <c r="G635" s="126">
        <f t="shared" si="76"/>
        <v>3956674</v>
      </c>
      <c r="H635" s="8"/>
      <c r="I635" s="9" t="str">
        <f t="array" ref="I635">_xlfn.XLOOKUP(C635,'Neiva 2021 FASE I UNIFICADO'!$C$6:$C$540,'Neiva 2021 FASE I UNIFICADO'!$C$6:$F$540,"NO ESTA")</f>
        <v>NO ESTA</v>
      </c>
      <c r="M635" s="124">
        <f t="shared" si="73"/>
        <v>0</v>
      </c>
      <c r="N635" s="155">
        <f t="shared" si="70"/>
        <v>2</v>
      </c>
      <c r="O635" s="156">
        <f t="shared" si="71"/>
        <v>1978337</v>
      </c>
      <c r="P635" s="156">
        <f t="shared" si="72"/>
        <v>3956674</v>
      </c>
    </row>
    <row r="636" spans="2:16" s="9" customFormat="1" ht="35.1" customHeight="1" x14ac:dyDescent="0.25">
      <c r="B636" s="33">
        <v>18</v>
      </c>
      <c r="C636" s="34" t="s">
        <v>907</v>
      </c>
      <c r="D636" s="34"/>
      <c r="E636" s="35"/>
      <c r="F636" s="132"/>
      <c r="G636" s="142"/>
      <c r="H636" s="8"/>
      <c r="I636" s="9" t="str">
        <f t="array" ref="I636:L636">_xlfn.XLOOKUP(C636,'Neiva 2021 FASE I UNIFICADO'!$C$6:$C$540,'Neiva 2021 FASE I UNIFICADO'!$C$6:$F$540,"NO ESTA")</f>
        <v>RED DE VOZ Y DATOS Cat. 6A BLINDADO LSZH (Low Smoke Zero Halogen)</v>
      </c>
      <c r="J636" s="9">
        <v>0</v>
      </c>
      <c r="K636" s="9">
        <v>0</v>
      </c>
      <c r="L636" s="9">
        <v>0</v>
      </c>
      <c r="M636" s="124">
        <f t="shared" si="73"/>
        <v>0</v>
      </c>
      <c r="N636" s="155">
        <f t="shared" si="70"/>
        <v>0</v>
      </c>
      <c r="O636" s="156">
        <f t="shared" si="71"/>
        <v>0</v>
      </c>
      <c r="P636" s="156">
        <f t="shared" si="72"/>
        <v>0</v>
      </c>
    </row>
    <row r="637" spans="2:16" s="9" customFormat="1" ht="35.1" customHeight="1" x14ac:dyDescent="0.25">
      <c r="B637" s="13" t="s">
        <v>908</v>
      </c>
      <c r="C637" s="24" t="s">
        <v>909</v>
      </c>
      <c r="D637" s="24"/>
      <c r="E637" s="15"/>
      <c r="F637" s="129"/>
      <c r="G637" s="140"/>
      <c r="H637" s="8"/>
      <c r="I637" s="9" t="str">
        <f t="array" ref="I637:L637">_xlfn.XLOOKUP(C637,'Neiva 2021 FASE I UNIFICADO'!$C$6:$C$540,'Neiva 2021 FASE I UNIFICADO'!$C$6:$F$540,"NO ESTA")</f>
        <v>SUMINISTRO E INSTALACION DE TOMAS PUESTOS DE TRABAJO</v>
      </c>
      <c r="J637" s="9">
        <v>0</v>
      </c>
      <c r="K637" s="9">
        <v>0</v>
      </c>
      <c r="L637" s="9">
        <v>0</v>
      </c>
      <c r="M637" s="124">
        <f t="shared" si="73"/>
        <v>0</v>
      </c>
      <c r="N637" s="155">
        <f t="shared" si="70"/>
        <v>0</v>
      </c>
      <c r="O637" s="156">
        <f t="shared" si="71"/>
        <v>0</v>
      </c>
      <c r="P637" s="156">
        <f t="shared" si="72"/>
        <v>0</v>
      </c>
    </row>
    <row r="638" spans="2:16" s="9" customFormat="1" ht="35.1" customHeight="1" x14ac:dyDescent="0.25">
      <c r="B638" s="23" t="s">
        <v>910</v>
      </c>
      <c r="C638" s="48" t="s">
        <v>911</v>
      </c>
      <c r="D638" s="10" t="s">
        <v>16</v>
      </c>
      <c r="E638" s="12">
        <v>172</v>
      </c>
      <c r="F638" s="126">
        <v>37593</v>
      </c>
      <c r="G638" s="126">
        <f>ROUND(+F638*E638,2)</f>
        <v>6465996</v>
      </c>
      <c r="H638" s="8"/>
      <c r="I638" s="9" t="str">
        <f t="array" ref="I638:L638">_xlfn.XLOOKUP(C638,'Neiva 2021 FASE I UNIFICADO'!$C$6:$C$540,'Neiva 2021 FASE I UNIFICADO'!$C$6:$F$540,"NO ESTA")</f>
        <v xml:space="preserve">SUMINISTRO E INSTALACION TOMAS SENCILLA RJ45 Cat. 6A DATOS BLINDADO INCLUYE MARQUILLAS </v>
      </c>
      <c r="J638" s="9" t="str">
        <v>UND</v>
      </c>
      <c r="K638" s="9">
        <v>64</v>
      </c>
      <c r="L638" s="9">
        <v>34792</v>
      </c>
      <c r="M638" s="124" t="str">
        <f t="shared" si="73"/>
        <v>FASE II</v>
      </c>
      <c r="N638" s="155">
        <f t="shared" si="70"/>
        <v>236</v>
      </c>
      <c r="O638" s="156">
        <f t="shared" si="71"/>
        <v>37593</v>
      </c>
      <c r="P638" s="156">
        <f t="shared" si="72"/>
        <v>8871948</v>
      </c>
    </row>
    <row r="639" spans="2:16" s="9" customFormat="1" ht="35.1" customHeight="1" x14ac:dyDescent="0.25">
      <c r="B639" s="23" t="s">
        <v>912</v>
      </c>
      <c r="C639" s="22" t="s">
        <v>913</v>
      </c>
      <c r="D639" s="10" t="s">
        <v>16</v>
      </c>
      <c r="E639" s="12">
        <v>38</v>
      </c>
      <c r="F639" s="126">
        <v>37593</v>
      </c>
      <c r="G639" s="126">
        <f>ROUND(+F639*E639,2)</f>
        <v>1428534</v>
      </c>
      <c r="H639" s="8"/>
      <c r="I639" s="9" t="str">
        <f t="array" ref="I639:L639">_xlfn.XLOOKUP(C639,'Neiva 2021 FASE I UNIFICADO'!$C$6:$C$540,'Neiva 2021 FASE I UNIFICADO'!$C$6:$F$540,"NO ESTA")</f>
        <v>SUMINISTRO E INSTALACION TOMAS SENCILLA RJ45 Cat. 6A VOZ BLINDADO INCLUYE MARQUILLAS</v>
      </c>
      <c r="J639" s="9" t="str">
        <v>UND</v>
      </c>
      <c r="K639" s="9">
        <v>14</v>
      </c>
      <c r="L639" s="9">
        <v>34792</v>
      </c>
      <c r="M639" s="124" t="str">
        <f t="shared" si="73"/>
        <v>FASE II</v>
      </c>
      <c r="N639" s="155">
        <f t="shared" si="70"/>
        <v>52</v>
      </c>
      <c r="O639" s="156">
        <f t="shared" si="71"/>
        <v>37593</v>
      </c>
      <c r="P639" s="156">
        <f t="shared" si="72"/>
        <v>1954836</v>
      </c>
    </row>
    <row r="640" spans="2:16" s="9" customFormat="1" ht="35.1" customHeight="1" x14ac:dyDescent="0.25">
      <c r="B640" s="23" t="s">
        <v>914</v>
      </c>
      <c r="C640" s="22" t="s">
        <v>915</v>
      </c>
      <c r="D640" s="10" t="s">
        <v>16</v>
      </c>
      <c r="E640" s="12">
        <v>172</v>
      </c>
      <c r="F640" s="126">
        <v>9923</v>
      </c>
      <c r="G640" s="126">
        <f>ROUND(+F640*E640,2)</f>
        <v>1706756</v>
      </c>
      <c r="H640" s="8"/>
      <c r="I640" s="9" t="str">
        <f t="array" ref="I640:L640">_xlfn.XLOOKUP(C640,'Neiva 2021 FASE I UNIFICADO'!$C$6:$C$540,'Neiva 2021 FASE I UNIFICADO'!$C$6:$F$540,"NO ESTA")</f>
        <v>SUMINISTRO E INSTALACION FACE PLATE DOBLE PARA TOMA RJ45</v>
      </c>
      <c r="J640" s="9" t="str">
        <v>UND</v>
      </c>
      <c r="K640" s="9">
        <v>64</v>
      </c>
      <c r="L640" s="9">
        <v>9184</v>
      </c>
      <c r="M640" s="124" t="str">
        <f t="shared" si="73"/>
        <v>FASE II</v>
      </c>
      <c r="N640" s="155">
        <f t="shared" si="70"/>
        <v>236</v>
      </c>
      <c r="O640" s="156">
        <f t="shared" si="71"/>
        <v>9923</v>
      </c>
      <c r="P640" s="156">
        <f t="shared" si="72"/>
        <v>2341828</v>
      </c>
    </row>
    <row r="641" spans="2:16" s="9" customFormat="1" ht="35.1" customHeight="1" x14ac:dyDescent="0.25">
      <c r="B641" s="23" t="s">
        <v>916</v>
      </c>
      <c r="C641" s="22" t="s">
        <v>917</v>
      </c>
      <c r="D641" s="10" t="s">
        <v>16</v>
      </c>
      <c r="E641" s="12">
        <v>172</v>
      </c>
      <c r="F641" s="126">
        <v>45221</v>
      </c>
      <c r="G641" s="126">
        <f>ROUND(+F641*E641,2)</f>
        <v>7778012</v>
      </c>
      <c r="H641" s="8"/>
      <c r="I641" s="9" t="str">
        <f t="array" ref="I641:L641">_xlfn.XLOOKUP(C641,'Neiva 2021 FASE I UNIFICADO'!$C$6:$C$540,'Neiva 2021 FASE I UNIFICADO'!$C$6:$F$540,"NO ESTA")</f>
        <v>SUMINISTRO E INSTALACION PATCH CORD. RJ45-RJ45 1,5 m Cat. 6A BLINDADO</v>
      </c>
      <c r="J641" s="9" t="str">
        <v>UND</v>
      </c>
      <c r="K641" s="9">
        <v>64</v>
      </c>
      <c r="L641" s="9">
        <v>41852</v>
      </c>
      <c r="M641" s="124" t="str">
        <f t="shared" si="73"/>
        <v>FASE II</v>
      </c>
      <c r="N641" s="155">
        <f t="shared" si="70"/>
        <v>236</v>
      </c>
      <c r="O641" s="156">
        <f t="shared" si="71"/>
        <v>45221</v>
      </c>
      <c r="P641" s="156">
        <f t="shared" si="72"/>
        <v>10672156</v>
      </c>
    </row>
    <row r="642" spans="2:16" s="9" customFormat="1" ht="35.1" customHeight="1" x14ac:dyDescent="0.25">
      <c r="B642" s="13" t="s">
        <v>918</v>
      </c>
      <c r="C642" s="24" t="s">
        <v>919</v>
      </c>
      <c r="D642" s="24"/>
      <c r="E642" s="15"/>
      <c r="F642" s="129"/>
      <c r="G642" s="140"/>
      <c r="H642" s="8"/>
      <c r="I642" s="9" t="str">
        <f t="array" ref="I642:L642">_xlfn.XLOOKUP(C642,'Neiva 2021 FASE I UNIFICADO'!$C$6:$C$540,'Neiva 2021 FASE I UNIFICADO'!$C$6:$F$540,"NO ESTA")</f>
        <v>SUMINISTRO E INSTALACION DE CABLES</v>
      </c>
      <c r="J642" s="9">
        <v>0</v>
      </c>
      <c r="K642" s="9">
        <v>0</v>
      </c>
      <c r="L642" s="9">
        <v>0</v>
      </c>
      <c r="M642" s="124">
        <f t="shared" si="73"/>
        <v>0</v>
      </c>
      <c r="N642" s="155">
        <f t="shared" si="70"/>
        <v>0</v>
      </c>
      <c r="O642" s="156">
        <f t="shared" si="71"/>
        <v>0</v>
      </c>
      <c r="P642" s="156">
        <f t="shared" si="72"/>
        <v>0</v>
      </c>
    </row>
    <row r="643" spans="2:16" s="9" customFormat="1" ht="35.1" customHeight="1" x14ac:dyDescent="0.25">
      <c r="B643" s="23" t="s">
        <v>920</v>
      </c>
      <c r="C643" s="22" t="s">
        <v>921</v>
      </c>
      <c r="D643" s="10" t="s">
        <v>94</v>
      </c>
      <c r="E643" s="12">
        <v>11247</v>
      </c>
      <c r="F643" s="126">
        <v>4503</v>
      </c>
      <c r="G643" s="126">
        <f>ROUND(+F643*E643,2)</f>
        <v>50645241</v>
      </c>
      <c r="H643" s="8"/>
      <c r="I643" s="9" t="str">
        <f t="array" ref="I643:L643">_xlfn.XLOOKUP(C643,'Neiva 2021 FASE I UNIFICADO'!$C$6:$C$540,'Neiva 2021 FASE I UNIFICADO'!$C$6:$F$540,"NO ESTA")</f>
        <v>SUMINISTRO E INSTALACION CABLE 10 G F/UTP Cat. 6A CON CHAQUETA LSZH (LOW SMOKE ZERO HALOGEN)</v>
      </c>
      <c r="J643" s="9" t="str">
        <v>ML</v>
      </c>
      <c r="K643" s="9">
        <v>1765</v>
      </c>
      <c r="L643" s="9">
        <v>4168</v>
      </c>
      <c r="M643" s="124" t="str">
        <f t="shared" si="73"/>
        <v>FASE II</v>
      </c>
      <c r="N643" s="155">
        <f t="shared" si="70"/>
        <v>13012</v>
      </c>
      <c r="O643" s="156">
        <f t="shared" si="71"/>
        <v>4503</v>
      </c>
      <c r="P643" s="156">
        <f t="shared" si="72"/>
        <v>58593036</v>
      </c>
    </row>
    <row r="644" spans="2:16" s="9" customFormat="1" ht="35.1" customHeight="1" x14ac:dyDescent="0.25">
      <c r="B644" s="13" t="s">
        <v>922</v>
      </c>
      <c r="C644" s="24" t="s">
        <v>923</v>
      </c>
      <c r="D644" s="24"/>
      <c r="E644" s="15"/>
      <c r="F644" s="129"/>
      <c r="G644" s="140"/>
      <c r="H644" s="8"/>
      <c r="I644" s="9" t="str">
        <f t="array" ref="I644:L644">_xlfn.XLOOKUP(C644,'Neiva 2021 FASE I UNIFICADO'!$C$6:$C$540,'Neiva 2021 FASE I UNIFICADO'!$C$6:$F$540,"NO ESTA")</f>
        <v xml:space="preserve">SUMINISTRO E INSTALACION DE ELEMENTOS DE ADMINISTRACIÓN </v>
      </c>
      <c r="J644" s="9">
        <v>0</v>
      </c>
      <c r="K644" s="9">
        <v>0</v>
      </c>
      <c r="L644" s="9">
        <v>0</v>
      </c>
      <c r="M644" s="124">
        <f t="shared" si="73"/>
        <v>0</v>
      </c>
      <c r="N644" s="155">
        <f t="shared" si="70"/>
        <v>0</v>
      </c>
      <c r="O644" s="156">
        <f t="shared" si="71"/>
        <v>0</v>
      </c>
      <c r="P644" s="156">
        <f t="shared" si="72"/>
        <v>0</v>
      </c>
    </row>
    <row r="645" spans="2:16" s="9" customFormat="1" ht="35.1" customHeight="1" x14ac:dyDescent="0.25">
      <c r="B645" s="23" t="s">
        <v>924</v>
      </c>
      <c r="C645" s="22" t="s">
        <v>925</v>
      </c>
      <c r="D645" s="10" t="s">
        <v>16</v>
      </c>
      <c r="E645" s="12">
        <v>9</v>
      </c>
      <c r="F645" s="126">
        <v>268628</v>
      </c>
      <c r="G645" s="126">
        <f t="shared" ref="G645:G650" si="77">ROUND(+F645*E645,2)</f>
        <v>2417652</v>
      </c>
      <c r="H645" s="8"/>
      <c r="I645" s="9" t="str">
        <f t="array" ref="I645:L645">_xlfn.XLOOKUP(C645,'Neiva 2021 FASE I UNIFICADO'!$C$6:$C$540,'Neiva 2021 FASE I UNIFICADO'!$C$6:$F$540,"NO ESTA")</f>
        <v>SUMINISTRO E INSTALACION HERRAJE PATVH PANEL 24 Pts Cat. 6A BLINDADO</v>
      </c>
      <c r="J645" s="9" t="str">
        <v>UND</v>
      </c>
      <c r="K645" s="9">
        <v>4</v>
      </c>
      <c r="L645" s="9">
        <v>248614</v>
      </c>
      <c r="M645" s="124" t="str">
        <f t="shared" si="73"/>
        <v>FASE II</v>
      </c>
      <c r="N645" s="155">
        <f t="shared" si="70"/>
        <v>13</v>
      </c>
      <c r="O645" s="156">
        <f t="shared" si="71"/>
        <v>268628</v>
      </c>
      <c r="P645" s="156">
        <f t="shared" si="72"/>
        <v>3492164</v>
      </c>
    </row>
    <row r="646" spans="2:16" s="9" customFormat="1" ht="35.1" customHeight="1" x14ac:dyDescent="0.25">
      <c r="B646" s="23" t="s">
        <v>926</v>
      </c>
      <c r="C646" s="22" t="s">
        <v>927</v>
      </c>
      <c r="D646" s="10" t="s">
        <v>16</v>
      </c>
      <c r="E646" s="12">
        <v>172</v>
      </c>
      <c r="F646" s="126">
        <v>37595</v>
      </c>
      <c r="G646" s="126">
        <f t="shared" si="77"/>
        <v>6466340</v>
      </c>
      <c r="H646" s="8"/>
      <c r="I646" s="9" t="str">
        <f t="array" ref="I646:L646">_xlfn.XLOOKUP(C646,'Neiva 2021 FASE I UNIFICADO'!$C$6:$C$540,'Neiva 2021 FASE I UNIFICADO'!$C$6:$F$540,"NO ESTA")</f>
        <v>SUMINISTRO E INSTALACION TOMA SENCILLA RJ45 Cat. 6A AZUL DATOS BLINDADO INCLUYE MARQUILLAS</v>
      </c>
      <c r="J646" s="9" t="str">
        <v>UND</v>
      </c>
      <c r="K646" s="9">
        <v>64</v>
      </c>
      <c r="L646" s="9">
        <v>34794</v>
      </c>
      <c r="M646" s="124" t="str">
        <f t="shared" si="73"/>
        <v>FASE II</v>
      </c>
      <c r="N646" s="155">
        <f t="shared" ref="N646:N709" si="78">E646+K646</f>
        <v>236</v>
      </c>
      <c r="O646" s="156">
        <f t="shared" ref="O646:O709" si="79">MAX(L646,F646)</f>
        <v>37595</v>
      </c>
      <c r="P646" s="156">
        <f t="shared" ref="P646:P709" si="80">N646*O646</f>
        <v>8872420</v>
      </c>
    </row>
    <row r="647" spans="2:16" s="9" customFormat="1" ht="35.1" customHeight="1" x14ac:dyDescent="0.25">
      <c r="B647" s="23" t="s">
        <v>928</v>
      </c>
      <c r="C647" s="22" t="s">
        <v>929</v>
      </c>
      <c r="D647" s="10" t="s">
        <v>16</v>
      </c>
      <c r="E647" s="12">
        <v>38</v>
      </c>
      <c r="F647" s="126">
        <v>37595</v>
      </c>
      <c r="G647" s="126">
        <f t="shared" si="77"/>
        <v>1428610</v>
      </c>
      <c r="H647" s="8"/>
      <c r="I647" s="9" t="str">
        <f t="array" ref="I647:L647">_xlfn.XLOOKUP(C647,'Neiva 2021 FASE I UNIFICADO'!$C$6:$C$540,'Neiva 2021 FASE I UNIFICADO'!$C$6:$F$540,"NO ESTA")</f>
        <v>SUMINISTRO E INSTALACION TOMA SENCILLA RJ45 Cat. 6A ROJO VOZ BLINDADO INCLUYE MARQUILLAS</v>
      </c>
      <c r="J647" s="9" t="str">
        <v>UND</v>
      </c>
      <c r="K647" s="9">
        <v>14</v>
      </c>
      <c r="L647" s="9">
        <v>34794</v>
      </c>
      <c r="M647" s="124" t="str">
        <f t="shared" si="73"/>
        <v>FASE II</v>
      </c>
      <c r="N647" s="155">
        <f t="shared" si="78"/>
        <v>52</v>
      </c>
      <c r="O647" s="156">
        <f t="shared" si="79"/>
        <v>37595</v>
      </c>
      <c r="P647" s="156">
        <f t="shared" si="80"/>
        <v>1954940</v>
      </c>
    </row>
    <row r="648" spans="2:16" s="9" customFormat="1" ht="35.1" customHeight="1" x14ac:dyDescent="0.25">
      <c r="B648" s="23" t="s">
        <v>930</v>
      </c>
      <c r="C648" s="22" t="s">
        <v>931</v>
      </c>
      <c r="D648" s="10" t="s">
        <v>16</v>
      </c>
      <c r="E648" s="12">
        <v>172</v>
      </c>
      <c r="F648" s="126">
        <v>48221</v>
      </c>
      <c r="G648" s="126">
        <f t="shared" si="77"/>
        <v>8294012</v>
      </c>
      <c r="H648" s="8"/>
      <c r="I648" s="9" t="str">
        <f t="array" ref="I648:L648">_xlfn.XLOOKUP(C648,'Neiva 2021 FASE I UNIFICADO'!$C$6:$C$540,'Neiva 2021 FASE I UNIFICADO'!$C$6:$F$540,"NO ESTA")</f>
        <v>SUMINISTRO E INSTALACION PATCH CORD. RJ45-RJ45 3 m Cat. 6A DATOS BLINDADO</v>
      </c>
      <c r="J648" s="9" t="str">
        <v>UND</v>
      </c>
      <c r="K648" s="9">
        <v>64</v>
      </c>
      <c r="L648" s="9">
        <v>44628</v>
      </c>
      <c r="M648" s="124" t="str">
        <f t="shared" ref="M648:M711" si="81">IF(L648=0,0,(IF(F648&lt;L648, "FASE I","FASE II")))</f>
        <v>FASE II</v>
      </c>
      <c r="N648" s="155">
        <f t="shared" si="78"/>
        <v>236</v>
      </c>
      <c r="O648" s="156">
        <f t="shared" si="79"/>
        <v>48221</v>
      </c>
      <c r="P648" s="156">
        <f t="shared" si="80"/>
        <v>11380156</v>
      </c>
    </row>
    <row r="649" spans="2:16" s="9" customFormat="1" ht="35.1" customHeight="1" x14ac:dyDescent="0.25">
      <c r="B649" s="23" t="s">
        <v>932</v>
      </c>
      <c r="C649" s="22" t="s">
        <v>933</v>
      </c>
      <c r="D649" s="10" t="s">
        <v>16</v>
      </c>
      <c r="E649" s="12">
        <v>38</v>
      </c>
      <c r="F649" s="126">
        <v>48221</v>
      </c>
      <c r="G649" s="126">
        <f t="shared" si="77"/>
        <v>1832398</v>
      </c>
      <c r="H649" s="8"/>
      <c r="I649" s="9" t="str">
        <f t="array" ref="I649:L649">_xlfn.XLOOKUP(C649,'Neiva 2021 FASE I UNIFICADO'!$C$6:$C$540,'Neiva 2021 FASE I UNIFICADO'!$C$6:$F$540,"NO ESTA")</f>
        <v>SUMINISTRO E INSTALACION PATCH CORD. RJ45-RJ45 3 m Cat. 6A VOZ BLINDADO</v>
      </c>
      <c r="J649" s="9" t="str">
        <v>UND</v>
      </c>
      <c r="K649" s="9">
        <v>14</v>
      </c>
      <c r="L649" s="9">
        <v>44628</v>
      </c>
      <c r="M649" s="124" t="str">
        <f t="shared" si="81"/>
        <v>FASE II</v>
      </c>
      <c r="N649" s="155">
        <f t="shared" si="78"/>
        <v>52</v>
      </c>
      <c r="O649" s="156">
        <f t="shared" si="79"/>
        <v>48221</v>
      </c>
      <c r="P649" s="156">
        <f t="shared" si="80"/>
        <v>2507492</v>
      </c>
    </row>
    <row r="650" spans="2:16" s="9" customFormat="1" ht="35.1" customHeight="1" x14ac:dyDescent="0.25">
      <c r="B650" s="23" t="s">
        <v>934</v>
      </c>
      <c r="C650" s="22" t="s">
        <v>935</v>
      </c>
      <c r="D650" s="10" t="s">
        <v>16</v>
      </c>
      <c r="E650" s="12">
        <v>9</v>
      </c>
      <c r="F650" s="126">
        <v>250719</v>
      </c>
      <c r="G650" s="126">
        <f t="shared" si="77"/>
        <v>2256471</v>
      </c>
      <c r="H650" s="8"/>
      <c r="I650" s="9" t="str">
        <f t="array" ref="I650:L650">_xlfn.XLOOKUP(C650,'Neiva 2021 FASE I UNIFICADO'!$C$6:$C$540,'Neiva 2021 FASE I UNIFICADO'!$C$6:$F$540,"NO ESTA")</f>
        <v>SUMINISTRO E INSTALACION ORGANIZADOR HORIZONTAL 2U</v>
      </c>
      <c r="J650" s="9" t="str">
        <v>UND</v>
      </c>
      <c r="K650" s="9">
        <v>4</v>
      </c>
      <c r="L650" s="9">
        <v>232040</v>
      </c>
      <c r="M650" s="124" t="str">
        <f t="shared" si="81"/>
        <v>FASE II</v>
      </c>
      <c r="N650" s="155">
        <f t="shared" si="78"/>
        <v>13</v>
      </c>
      <c r="O650" s="156">
        <f t="shared" si="79"/>
        <v>250719</v>
      </c>
      <c r="P650" s="156">
        <f t="shared" si="80"/>
        <v>3259347</v>
      </c>
    </row>
    <row r="651" spans="2:16" s="9" customFormat="1" ht="35.1" customHeight="1" x14ac:dyDescent="0.25">
      <c r="B651" s="13" t="s">
        <v>936</v>
      </c>
      <c r="C651" s="14" t="s">
        <v>937</v>
      </c>
      <c r="D651" s="13"/>
      <c r="E651" s="15"/>
      <c r="F651" s="129"/>
      <c r="G651" s="140"/>
      <c r="H651" s="8"/>
      <c r="I651" s="9" t="str">
        <f t="array" ref="I651:L651">_xlfn.XLOOKUP(C651,'Neiva 2021 FASE I UNIFICADO'!$C$6:$C$540,'Neiva 2021 FASE I UNIFICADO'!$C$6:$F$540,"NO ESTA")</f>
        <v>SUMINISTRO E INSTALACIÓN INTEGRACIÓN TELEFÓNICA</v>
      </c>
      <c r="J651" s="9">
        <v>0</v>
      </c>
      <c r="K651" s="9">
        <v>0</v>
      </c>
      <c r="L651" s="9">
        <v>0</v>
      </c>
      <c r="M651" s="124">
        <f t="shared" si="81"/>
        <v>0</v>
      </c>
      <c r="N651" s="155">
        <f t="shared" si="78"/>
        <v>0</v>
      </c>
      <c r="O651" s="156">
        <f t="shared" si="79"/>
        <v>0</v>
      </c>
      <c r="P651" s="156">
        <f t="shared" si="80"/>
        <v>0</v>
      </c>
    </row>
    <row r="652" spans="2:16" s="9" customFormat="1" ht="35.1" customHeight="1" x14ac:dyDescent="0.25">
      <c r="B652" s="23" t="s">
        <v>938</v>
      </c>
      <c r="C652" s="22" t="s">
        <v>939</v>
      </c>
      <c r="D652" s="10" t="s">
        <v>16</v>
      </c>
      <c r="E652" s="12">
        <v>1</v>
      </c>
      <c r="F652" s="126">
        <v>581760</v>
      </c>
      <c r="G652" s="126">
        <f>ROUND(+F652*E652,2)</f>
        <v>581760</v>
      </c>
      <c r="H652" s="8"/>
      <c r="I652" s="9" t="str">
        <f t="array" ref="I652:L652">_xlfn.XLOOKUP(C652,'Neiva 2021 FASE I UNIFICADO'!$C$6:$C$540,'Neiva 2021 FASE I UNIFICADO'!$C$6:$F$540,"NO ESTA")</f>
        <v>SUMINISTRO E INSTALACION PATCH PANEL 24 Pts Cat. 5E BLINDADO PARA INTEGRACIÓN TELEFONICA</v>
      </c>
      <c r="J652" s="9" t="str">
        <v>UND</v>
      </c>
      <c r="K652" s="9">
        <v>1</v>
      </c>
      <c r="L652" s="9">
        <v>538416</v>
      </c>
      <c r="M652" s="124" t="str">
        <f t="shared" si="81"/>
        <v>FASE II</v>
      </c>
      <c r="N652" s="155">
        <f t="shared" si="78"/>
        <v>2</v>
      </c>
      <c r="O652" s="156">
        <f t="shared" si="79"/>
        <v>581760</v>
      </c>
      <c r="P652" s="156">
        <f t="shared" si="80"/>
        <v>1163520</v>
      </c>
    </row>
    <row r="653" spans="2:16" s="9" customFormat="1" ht="35.1" customHeight="1" x14ac:dyDescent="0.25">
      <c r="B653" s="23" t="s">
        <v>940</v>
      </c>
      <c r="C653" s="22" t="s">
        <v>941</v>
      </c>
      <c r="D653" s="10" t="s">
        <v>16</v>
      </c>
      <c r="E653" s="12">
        <v>38</v>
      </c>
      <c r="F653" s="126">
        <v>35336</v>
      </c>
      <c r="G653" s="126">
        <f>ROUND(+F653*E653,2)</f>
        <v>1342768</v>
      </c>
      <c r="H653" s="8"/>
      <c r="I653" s="9" t="str">
        <f t="array" ref="I653:L653">_xlfn.XLOOKUP(C653,'Neiva 2021 FASE I UNIFICADO'!$C$6:$C$540,'Neiva 2021 FASE I UNIFICADO'!$C$6:$F$540,"NO ESTA")</f>
        <v>SUMINISTRO E INSTALACION PATCH CORD RJ45-RJ45 1m Cat 5E INTEGRACIÓN TELEFÓNICA INCLUYE MARQUILLAS</v>
      </c>
      <c r="J653" s="9" t="str">
        <v>UND</v>
      </c>
      <c r="K653" s="9">
        <v>14</v>
      </c>
      <c r="L653" s="9">
        <v>32703</v>
      </c>
      <c r="M653" s="124" t="str">
        <f t="shared" si="81"/>
        <v>FASE II</v>
      </c>
      <c r="N653" s="155">
        <f t="shared" si="78"/>
        <v>52</v>
      </c>
      <c r="O653" s="156">
        <f t="shared" si="79"/>
        <v>35336</v>
      </c>
      <c r="P653" s="156">
        <f t="shared" si="80"/>
        <v>1837472</v>
      </c>
    </row>
    <row r="654" spans="2:16" s="9" customFormat="1" ht="35.1" customHeight="1" x14ac:dyDescent="0.25">
      <c r="B654" s="23" t="s">
        <v>942</v>
      </c>
      <c r="C654" s="22" t="s">
        <v>935</v>
      </c>
      <c r="D654" s="10" t="s">
        <v>16</v>
      </c>
      <c r="E654" s="12">
        <v>1</v>
      </c>
      <c r="F654" s="126">
        <v>250719</v>
      </c>
      <c r="G654" s="126">
        <f>ROUND(+F654*E654,2)</f>
        <v>250719</v>
      </c>
      <c r="H654" s="8"/>
      <c r="I654" s="9" t="str">
        <f t="array" ref="I654:L654">_xlfn.XLOOKUP(C654,'Neiva 2021 FASE I UNIFICADO'!$C$6:$C$540,'Neiva 2021 FASE I UNIFICADO'!$C$6:$F$540,"NO ESTA")</f>
        <v>SUMINISTRO E INSTALACION ORGANIZADOR HORIZONTAL 2U</v>
      </c>
      <c r="J654" s="9" t="str">
        <v>UND</v>
      </c>
      <c r="K654" s="9">
        <v>4</v>
      </c>
      <c r="L654" s="9">
        <v>232040</v>
      </c>
      <c r="M654" s="124" t="str">
        <f t="shared" si="81"/>
        <v>FASE II</v>
      </c>
      <c r="N654" s="155">
        <f t="shared" si="78"/>
        <v>5</v>
      </c>
      <c r="O654" s="156">
        <f t="shared" si="79"/>
        <v>250719</v>
      </c>
      <c r="P654" s="156">
        <f t="shared" si="80"/>
        <v>1253595</v>
      </c>
    </row>
    <row r="655" spans="2:16" s="9" customFormat="1" ht="35.1" customHeight="1" x14ac:dyDescent="0.25">
      <c r="B655" s="13" t="s">
        <v>943</v>
      </c>
      <c r="C655" s="14" t="s">
        <v>944</v>
      </c>
      <c r="D655" s="27"/>
      <c r="E655" s="15"/>
      <c r="F655" s="129"/>
      <c r="G655" s="140"/>
      <c r="H655" s="8"/>
      <c r="I655" s="9" t="str">
        <f t="array" ref="I655:L655">_xlfn.XLOOKUP(C655,'Neiva 2021 FASE I UNIFICADO'!$C$6:$C$540,'Neiva 2021 FASE I UNIFICADO'!$C$6:$F$540,"NO ESTA")</f>
        <v>SUMINISTRO E INSTALACIÓN DE BACKBONE</v>
      </c>
      <c r="J655" s="9">
        <v>0</v>
      </c>
      <c r="K655" s="9">
        <v>0</v>
      </c>
      <c r="L655" s="9">
        <v>0</v>
      </c>
      <c r="M655" s="124">
        <f t="shared" si="81"/>
        <v>0</v>
      </c>
      <c r="N655" s="155">
        <f t="shared" si="78"/>
        <v>0</v>
      </c>
      <c r="O655" s="156">
        <f t="shared" si="79"/>
        <v>0</v>
      </c>
      <c r="P655" s="156">
        <f t="shared" si="80"/>
        <v>0</v>
      </c>
    </row>
    <row r="656" spans="2:16" s="9" customFormat="1" ht="35.1" customHeight="1" x14ac:dyDescent="0.25">
      <c r="B656" s="23" t="s">
        <v>945</v>
      </c>
      <c r="C656" s="22" t="s">
        <v>946</v>
      </c>
      <c r="D656" s="10" t="s">
        <v>94</v>
      </c>
      <c r="E656" s="12">
        <v>32</v>
      </c>
      <c r="F656" s="126">
        <v>19602</v>
      </c>
      <c r="G656" s="126">
        <f>ROUND(+F656*E656,2)</f>
        <v>627264</v>
      </c>
      <c r="H656" s="8"/>
      <c r="I656" s="9" t="str">
        <f t="array" ref="I656:L656">_xlfn.XLOOKUP(C656,'Neiva 2021 FASE I UNIFICADO'!$C$6:$C$540,'Neiva 2021 FASE I UNIFICADO'!$C$6:$F$540,"NO ESTA")</f>
        <v>SUMINISTRO E INSTALACION FIBRA OPTICA 6 HILOS MULTIMODO 50/125 u.</v>
      </c>
      <c r="J656" s="9" t="str">
        <v>ML</v>
      </c>
      <c r="K656" s="9">
        <v>12</v>
      </c>
      <c r="L656" s="9">
        <v>18142</v>
      </c>
      <c r="M656" s="124" t="str">
        <f t="shared" si="81"/>
        <v>FASE II</v>
      </c>
      <c r="N656" s="155">
        <f t="shared" si="78"/>
        <v>44</v>
      </c>
      <c r="O656" s="156">
        <f t="shared" si="79"/>
        <v>19602</v>
      </c>
      <c r="P656" s="156">
        <f t="shared" si="80"/>
        <v>862488</v>
      </c>
    </row>
    <row r="657" spans="2:16" s="9" customFormat="1" ht="35.1" customHeight="1" x14ac:dyDescent="0.25">
      <c r="B657" s="23" t="s">
        <v>947</v>
      </c>
      <c r="C657" s="22" t="s">
        <v>948</v>
      </c>
      <c r="D657" s="10" t="s">
        <v>16</v>
      </c>
      <c r="E657" s="12">
        <v>2</v>
      </c>
      <c r="F657" s="126">
        <v>706677</v>
      </c>
      <c r="G657" s="126">
        <f>ROUND(+F657*E657,2)</f>
        <v>1413354</v>
      </c>
      <c r="H657" s="8"/>
      <c r="I657" s="9" t="str">
        <f t="array" ref="I657:L657">_xlfn.XLOOKUP(C657,'Neiva 2021 FASE I UNIFICADO'!$C$6:$C$540,'Neiva 2021 FASE I UNIFICADO'!$C$6:$F$540,"NO ESTA")</f>
        <v>SUMINISTRO E INSTALACION BANDEJA DE FIBRA OPTICA DE 24 PUERTOS</v>
      </c>
      <c r="J657" s="9" t="str">
        <v>UND</v>
      </c>
      <c r="K657" s="9">
        <v>2</v>
      </c>
      <c r="L657" s="9">
        <v>654027</v>
      </c>
      <c r="M657" s="124" t="str">
        <f t="shared" si="81"/>
        <v>FASE II</v>
      </c>
      <c r="N657" s="155">
        <f t="shared" si="78"/>
        <v>4</v>
      </c>
      <c r="O657" s="156">
        <f t="shared" si="79"/>
        <v>706677</v>
      </c>
      <c r="P657" s="156">
        <f t="shared" si="80"/>
        <v>2826708</v>
      </c>
    </row>
    <row r="658" spans="2:16" s="9" customFormat="1" ht="35.1" customHeight="1" x14ac:dyDescent="0.25">
      <c r="B658" s="23" t="s">
        <v>949</v>
      </c>
      <c r="C658" s="22" t="s">
        <v>950</v>
      </c>
      <c r="D658" s="10" t="s">
        <v>16</v>
      </c>
      <c r="E658" s="12">
        <v>2</v>
      </c>
      <c r="F658" s="126">
        <v>250719</v>
      </c>
      <c r="G658" s="126">
        <f>ROUND(+F658*E658,2)</f>
        <v>501438</v>
      </c>
      <c r="H658" s="8"/>
      <c r="I658" s="9" t="str">
        <f t="array" ref="I658:L658">_xlfn.XLOOKUP(C658,'Neiva 2021 FASE I UNIFICADO'!$C$6:$C$540,'Neiva 2021 FASE I UNIFICADO'!$C$6:$F$540,"NO ESTA")</f>
        <v>SUMINISTRO E INSTALACION ORGANIZADOR HORIZONTAL 1U</v>
      </c>
      <c r="J658" s="9" t="str">
        <v>UND</v>
      </c>
      <c r="K658" s="9">
        <v>2</v>
      </c>
      <c r="L658" s="9">
        <v>232040</v>
      </c>
      <c r="M658" s="124" t="str">
        <f t="shared" si="81"/>
        <v>FASE II</v>
      </c>
      <c r="N658" s="155">
        <f t="shared" si="78"/>
        <v>4</v>
      </c>
      <c r="O658" s="156">
        <f t="shared" si="79"/>
        <v>250719</v>
      </c>
      <c r="P658" s="156">
        <f t="shared" si="80"/>
        <v>1002876</v>
      </c>
    </row>
    <row r="659" spans="2:16" s="9" customFormat="1" ht="35.1" customHeight="1" x14ac:dyDescent="0.25">
      <c r="B659" s="13" t="s">
        <v>951</v>
      </c>
      <c r="C659" s="14" t="s">
        <v>952</v>
      </c>
      <c r="D659" s="27"/>
      <c r="E659" s="15"/>
      <c r="F659" s="129"/>
      <c r="G659" s="140"/>
      <c r="H659" s="8"/>
      <c r="I659" s="9" t="str">
        <f t="array" ref="I659:L659">_xlfn.XLOOKUP(C659,'Neiva 2021 FASE I UNIFICADO'!$C$6:$C$540,'Neiva 2021 FASE I UNIFICADO'!$C$6:$F$540,"NO ESTA")</f>
        <v xml:space="preserve">SUMINISTRO E INSTALACIÓN DE OTROS </v>
      </c>
      <c r="J659" s="9">
        <v>0</v>
      </c>
      <c r="K659" s="9">
        <v>0</v>
      </c>
      <c r="L659" s="9">
        <v>0</v>
      </c>
      <c r="M659" s="124">
        <f t="shared" si="81"/>
        <v>0</v>
      </c>
      <c r="N659" s="155">
        <f t="shared" si="78"/>
        <v>0</v>
      </c>
      <c r="O659" s="156">
        <f t="shared" si="79"/>
        <v>0</v>
      </c>
      <c r="P659" s="156">
        <f t="shared" si="80"/>
        <v>0</v>
      </c>
    </row>
    <row r="660" spans="2:16" s="9" customFormat="1" ht="35.1" customHeight="1" x14ac:dyDescent="0.25">
      <c r="B660" s="23" t="s">
        <v>953</v>
      </c>
      <c r="C660" s="22" t="s">
        <v>954</v>
      </c>
      <c r="D660" s="10" t="s">
        <v>16</v>
      </c>
      <c r="E660" s="12">
        <v>3</v>
      </c>
      <c r="F660" s="126">
        <v>4504726</v>
      </c>
      <c r="G660" s="126">
        <f t="shared" ref="G660:G671" si="82">ROUND(+F660*E660,2)</f>
        <v>13514178</v>
      </c>
      <c r="H660" s="8"/>
      <c r="I660" s="9" t="str">
        <f t="array" ref="I660:L660">_xlfn.XLOOKUP(C660,'Neiva 2021 FASE I UNIFICADO'!$C$6:$C$540,'Neiva 2021 FASE I UNIFICADO'!$C$6:$F$540,"NO ESTA")</f>
        <v>SUMINISTRO E INSTALACION GABINETE 2,10 m ALTO X 0,71 m PROFUNDO Y 0,81 m DE ANCHO</v>
      </c>
      <c r="J660" s="9" t="str">
        <v>UND</v>
      </c>
      <c r="K660" s="9">
        <v>1</v>
      </c>
      <c r="L660" s="9">
        <v>4169101</v>
      </c>
      <c r="M660" s="124" t="str">
        <f t="shared" si="81"/>
        <v>FASE II</v>
      </c>
      <c r="N660" s="155">
        <f t="shared" si="78"/>
        <v>4</v>
      </c>
      <c r="O660" s="156">
        <f t="shared" si="79"/>
        <v>4504726</v>
      </c>
      <c r="P660" s="156">
        <f t="shared" si="80"/>
        <v>18018904</v>
      </c>
    </row>
    <row r="661" spans="2:16" s="9" customFormat="1" ht="35.1" customHeight="1" x14ac:dyDescent="0.25">
      <c r="B661" s="23" t="s">
        <v>955</v>
      </c>
      <c r="C661" s="22" t="s">
        <v>956</v>
      </c>
      <c r="D661" s="10" t="s">
        <v>16</v>
      </c>
      <c r="E661" s="12">
        <v>6</v>
      </c>
      <c r="F661" s="126">
        <v>578906</v>
      </c>
      <c r="G661" s="126">
        <f t="shared" si="82"/>
        <v>3473436</v>
      </c>
      <c r="H661" s="8"/>
      <c r="I661" s="9" t="str">
        <f t="array" ref="I661:L661">_xlfn.XLOOKUP(C661,'Neiva 2021 FASE I UNIFICADO'!$C$6:$C$540,'Neiva 2021 FASE I UNIFICADO'!$C$6:$F$540,"NO ESTA")</f>
        <v>SUMINISTRO E INSTALACION ORGANIZADOR VERTICAL</v>
      </c>
      <c r="J661" s="9" t="str">
        <v>UND</v>
      </c>
      <c r="K661" s="9">
        <v>2</v>
      </c>
      <c r="L661" s="9">
        <v>535775</v>
      </c>
      <c r="M661" s="124" t="str">
        <f t="shared" si="81"/>
        <v>FASE II</v>
      </c>
      <c r="N661" s="155">
        <f t="shared" si="78"/>
        <v>8</v>
      </c>
      <c r="O661" s="156">
        <f t="shared" si="79"/>
        <v>578906</v>
      </c>
      <c r="P661" s="156">
        <f t="shared" si="80"/>
        <v>4631248</v>
      </c>
    </row>
    <row r="662" spans="2:16" s="9" customFormat="1" ht="35.1" customHeight="1" x14ac:dyDescent="0.25">
      <c r="B662" s="23" t="s">
        <v>957</v>
      </c>
      <c r="C662" s="22" t="s">
        <v>958</v>
      </c>
      <c r="D662" s="10" t="s">
        <v>16</v>
      </c>
      <c r="E662" s="12">
        <v>3</v>
      </c>
      <c r="F662" s="126">
        <v>501331</v>
      </c>
      <c r="G662" s="126">
        <f t="shared" si="82"/>
        <v>1503993</v>
      </c>
      <c r="H662" s="8"/>
      <c r="I662" s="9" t="str">
        <f t="array" ref="I662:L662">_xlfn.XLOOKUP(C662,'Neiva 2021 FASE I UNIFICADO'!$C$6:$C$540,'Neiva 2021 FASE I UNIFICADO'!$C$6:$F$540,"NO ESTA")</f>
        <v>SUMINISTRO E INSTALACION MULTITOMA CON 5 SALIDAS ELECTRICAS GRADO HOSPITALARIO</v>
      </c>
      <c r="J662" s="9" t="str">
        <v>UND</v>
      </c>
      <c r="K662" s="9">
        <v>1</v>
      </c>
      <c r="L662" s="9">
        <v>463979</v>
      </c>
      <c r="M662" s="124" t="str">
        <f t="shared" si="81"/>
        <v>FASE II</v>
      </c>
      <c r="N662" s="155">
        <f t="shared" si="78"/>
        <v>4</v>
      </c>
      <c r="O662" s="156">
        <f t="shared" si="79"/>
        <v>501331</v>
      </c>
      <c r="P662" s="156">
        <f t="shared" si="80"/>
        <v>2005324</v>
      </c>
    </row>
    <row r="663" spans="2:16" s="9" customFormat="1" ht="35.1" customHeight="1" x14ac:dyDescent="0.25">
      <c r="B663" s="23" t="s">
        <v>959</v>
      </c>
      <c r="C663" s="22" t="s">
        <v>960</v>
      </c>
      <c r="D663" s="10" t="s">
        <v>94</v>
      </c>
      <c r="E663" s="12">
        <v>29</v>
      </c>
      <c r="F663" s="126">
        <v>4631</v>
      </c>
      <c r="G663" s="126">
        <f t="shared" si="82"/>
        <v>134299</v>
      </c>
      <c r="H663" s="8"/>
      <c r="I663" s="9" t="str">
        <f t="array" ref="I663:L663">_xlfn.XLOOKUP(C663,'Neiva 2021 FASE I UNIFICADO'!$C$6:$C$540,'Neiva 2021 FASE I UNIFICADO'!$C$6:$F$540,"NO ESTA")</f>
        <v>SUMINISTRO E INSTALACION CABLE THHN No. 6 AWG VERDE. PARA ATERRIZAJE DE ELEMENTOS Y GABINATE</v>
      </c>
      <c r="J663" s="9" t="str">
        <v>ML</v>
      </c>
      <c r="K663" s="9">
        <v>11</v>
      </c>
      <c r="L663" s="9">
        <v>4287</v>
      </c>
      <c r="M663" s="124" t="str">
        <f t="shared" si="81"/>
        <v>FASE II</v>
      </c>
      <c r="N663" s="155">
        <f t="shared" si="78"/>
        <v>40</v>
      </c>
      <c r="O663" s="156">
        <f t="shared" si="79"/>
        <v>4631</v>
      </c>
      <c r="P663" s="156">
        <f t="shared" si="80"/>
        <v>185240</v>
      </c>
    </row>
    <row r="664" spans="2:16" s="9" customFormat="1" ht="35.1" customHeight="1" x14ac:dyDescent="0.25">
      <c r="B664" s="23" t="s">
        <v>961</v>
      </c>
      <c r="C664" s="22" t="s">
        <v>962</v>
      </c>
      <c r="D664" s="23" t="s">
        <v>94</v>
      </c>
      <c r="E664" s="12">
        <v>316</v>
      </c>
      <c r="F664" s="126">
        <v>154235</v>
      </c>
      <c r="G664" s="126">
        <f t="shared" si="82"/>
        <v>48738260</v>
      </c>
      <c r="H664" s="8"/>
      <c r="I664" s="9" t="str">
        <f t="array" ref="I664:L664">_xlfn.XLOOKUP(C664,'Neiva 2021 FASE I UNIFICADO'!$C$6:$C$540,'Neiva 2021 FASE I UNIFICADO'!$C$6:$F$540,"NO ESTA")</f>
        <v>SUMINISTRO E INSTALACION BANDEJA TIPO MALLA DE 40 x 8 cm CON ACCESORIOS</v>
      </c>
      <c r="J664" s="9" t="str">
        <v>ML</v>
      </c>
      <c r="K664" s="9">
        <v>230</v>
      </c>
      <c r="L664" s="9">
        <v>142744</v>
      </c>
      <c r="M664" s="124" t="str">
        <f t="shared" si="81"/>
        <v>FASE II</v>
      </c>
      <c r="N664" s="155">
        <f t="shared" si="78"/>
        <v>546</v>
      </c>
      <c r="O664" s="156">
        <f t="shared" si="79"/>
        <v>154235</v>
      </c>
      <c r="P664" s="156">
        <f t="shared" si="80"/>
        <v>84212310</v>
      </c>
    </row>
    <row r="665" spans="2:16" s="9" customFormat="1" ht="35.1" customHeight="1" x14ac:dyDescent="0.25">
      <c r="B665" s="23" t="s">
        <v>963</v>
      </c>
      <c r="C665" s="22" t="s">
        <v>964</v>
      </c>
      <c r="D665" s="10" t="s">
        <v>94</v>
      </c>
      <c r="E665" s="12">
        <v>245</v>
      </c>
      <c r="F665" s="126">
        <v>36543</v>
      </c>
      <c r="G665" s="126">
        <f t="shared" si="82"/>
        <v>8953035</v>
      </c>
      <c r="H665" s="8"/>
      <c r="I665" s="9" t="str">
        <f t="array" ref="I665:L665">_xlfn.XLOOKUP(C665,'Neiva 2021 FASE I UNIFICADO'!$C$6:$C$540,'Neiva 2021 FASE I UNIFICADO'!$C$6:$F$540,"NO ESTA")</f>
        <v>SUMINISTRO E INSTALACION CANALETA METÁLICA DE 12 x 5 cm.</v>
      </c>
      <c r="J665" s="9" t="str">
        <v>ML</v>
      </c>
      <c r="K665" s="9">
        <v>91</v>
      </c>
      <c r="L665" s="9">
        <v>33821</v>
      </c>
      <c r="M665" s="124" t="str">
        <f t="shared" si="81"/>
        <v>FASE II</v>
      </c>
      <c r="N665" s="155">
        <f t="shared" si="78"/>
        <v>336</v>
      </c>
      <c r="O665" s="156">
        <f t="shared" si="79"/>
        <v>36543</v>
      </c>
      <c r="P665" s="156">
        <f t="shared" si="80"/>
        <v>12278448</v>
      </c>
    </row>
    <row r="666" spans="2:16" s="9" customFormat="1" ht="35.1" customHeight="1" x14ac:dyDescent="0.25">
      <c r="B666" s="23" t="s">
        <v>965</v>
      </c>
      <c r="C666" s="22" t="s">
        <v>966</v>
      </c>
      <c r="D666" s="10" t="s">
        <v>94</v>
      </c>
      <c r="E666" s="12">
        <v>64</v>
      </c>
      <c r="F666" s="126">
        <v>20181</v>
      </c>
      <c r="G666" s="126">
        <f t="shared" si="82"/>
        <v>1291584</v>
      </c>
      <c r="H666" s="8"/>
      <c r="I666" s="9" t="str">
        <f t="array" ref="I666:L666">_xlfn.XLOOKUP(C666,'Neiva 2021 FASE I UNIFICADO'!$C$6:$C$540,'Neiva 2021 FASE I UNIFICADO'!$C$6:$F$540,"NO ESTA")</f>
        <v>SUMINISTRO E INSTALACION TUBERÍA EMT DE 1" INCLUYE ACCESORIOS</v>
      </c>
      <c r="J666" s="9" t="str">
        <v>ML</v>
      </c>
      <c r="K666" s="9">
        <v>23</v>
      </c>
      <c r="L666" s="9">
        <v>18678</v>
      </c>
      <c r="M666" s="124" t="str">
        <f t="shared" si="81"/>
        <v>FASE II</v>
      </c>
      <c r="N666" s="155">
        <f t="shared" si="78"/>
        <v>87</v>
      </c>
      <c r="O666" s="156">
        <f t="shared" si="79"/>
        <v>20181</v>
      </c>
      <c r="P666" s="156">
        <f t="shared" si="80"/>
        <v>1755747</v>
      </c>
    </row>
    <row r="667" spans="2:16" s="9" customFormat="1" ht="35.1" customHeight="1" x14ac:dyDescent="0.25">
      <c r="B667" s="23" t="s">
        <v>967</v>
      </c>
      <c r="C667" s="22" t="s">
        <v>968</v>
      </c>
      <c r="D667" s="10" t="s">
        <v>94</v>
      </c>
      <c r="E667" s="12">
        <v>166</v>
      </c>
      <c r="F667" s="126">
        <v>16039</v>
      </c>
      <c r="G667" s="126">
        <f t="shared" si="82"/>
        <v>2662474</v>
      </c>
      <c r="H667" s="8"/>
      <c r="I667" s="9" t="str">
        <f t="array" ref="I667:L667">_xlfn.XLOOKUP(C667,'Neiva 2021 FASE I UNIFICADO'!$C$6:$C$540,'Neiva 2021 FASE I UNIFICADO'!$C$6:$F$540,"NO ESTA")</f>
        <v>SUMINISTRO E INSTALACION TUBERÍA EMT DE 3/4" INCLUYE ACCESORIOS</v>
      </c>
      <c r="J667" s="9" t="str">
        <v>ML</v>
      </c>
      <c r="K667" s="9">
        <v>61</v>
      </c>
      <c r="L667" s="9">
        <v>14844</v>
      </c>
      <c r="M667" s="124" t="str">
        <f t="shared" si="81"/>
        <v>FASE II</v>
      </c>
      <c r="N667" s="155">
        <f t="shared" si="78"/>
        <v>227</v>
      </c>
      <c r="O667" s="156">
        <f t="shared" si="79"/>
        <v>16039</v>
      </c>
      <c r="P667" s="156">
        <f t="shared" si="80"/>
        <v>3640853</v>
      </c>
    </row>
    <row r="668" spans="2:16" s="9" customFormat="1" ht="35.1" customHeight="1" x14ac:dyDescent="0.25">
      <c r="B668" s="23" t="s">
        <v>969</v>
      </c>
      <c r="C668" s="22" t="s">
        <v>970</v>
      </c>
      <c r="D668" s="10" t="s">
        <v>94</v>
      </c>
      <c r="E668" s="12">
        <v>22</v>
      </c>
      <c r="F668" s="126">
        <v>5910</v>
      </c>
      <c r="G668" s="126">
        <f t="shared" si="82"/>
        <v>130020</v>
      </c>
      <c r="H668" s="8"/>
      <c r="I668" s="9" t="str">
        <f t="array" ref="I668:L668">_xlfn.XLOOKUP(C668,'Neiva 2021 FASE I UNIFICADO'!$C$6:$C$540,'Neiva 2021 FASE I UNIFICADO'!$C$6:$F$540,"NO ESTA")</f>
        <v>SUMINISTRO E INSTALACION TUBERÍA PVC DE 1" INCLUYE ACCESORIOS</v>
      </c>
      <c r="J668" s="9" t="str">
        <v>ML</v>
      </c>
      <c r="K668" s="9">
        <v>8</v>
      </c>
      <c r="L668" s="9">
        <v>5469</v>
      </c>
      <c r="M668" s="124" t="str">
        <f t="shared" si="81"/>
        <v>FASE II</v>
      </c>
      <c r="N668" s="155">
        <f t="shared" si="78"/>
        <v>30</v>
      </c>
      <c r="O668" s="156">
        <f t="shared" si="79"/>
        <v>5910</v>
      </c>
      <c r="P668" s="156">
        <f t="shared" si="80"/>
        <v>177300</v>
      </c>
    </row>
    <row r="669" spans="2:16" s="9" customFormat="1" ht="35.1" customHeight="1" x14ac:dyDescent="0.25">
      <c r="B669" s="23" t="s">
        <v>971</v>
      </c>
      <c r="C669" s="22" t="s">
        <v>972</v>
      </c>
      <c r="D669" s="10" t="s">
        <v>94</v>
      </c>
      <c r="E669" s="12">
        <v>84</v>
      </c>
      <c r="F669" s="126">
        <v>4755</v>
      </c>
      <c r="G669" s="126">
        <f t="shared" si="82"/>
        <v>399420</v>
      </c>
      <c r="H669" s="8"/>
      <c r="I669" s="9" t="str">
        <f t="array" ref="I669:L669">_xlfn.XLOOKUP(C669,'Neiva 2021 FASE I UNIFICADO'!$C$6:$C$540,'Neiva 2021 FASE I UNIFICADO'!$C$6:$F$540,"NO ESTA")</f>
        <v>SUMINISTRO E INSTALACION TUBERÍA PVC DE 3/4" INCLUYE ACCESORIOS</v>
      </c>
      <c r="J669" s="9" t="str">
        <v>ML</v>
      </c>
      <c r="K669" s="9">
        <v>31</v>
      </c>
      <c r="L669" s="9">
        <v>4400</v>
      </c>
      <c r="M669" s="124" t="str">
        <f t="shared" si="81"/>
        <v>FASE II</v>
      </c>
      <c r="N669" s="155">
        <f t="shared" si="78"/>
        <v>115</v>
      </c>
      <c r="O669" s="156">
        <f t="shared" si="79"/>
        <v>4755</v>
      </c>
      <c r="P669" s="156">
        <f t="shared" si="80"/>
        <v>546825</v>
      </c>
    </row>
    <row r="670" spans="2:16" s="9" customFormat="1" ht="35.1" customHeight="1" x14ac:dyDescent="0.25">
      <c r="B670" s="23" t="s">
        <v>973</v>
      </c>
      <c r="C670" s="22" t="s">
        <v>974</v>
      </c>
      <c r="D670" s="10" t="s">
        <v>16</v>
      </c>
      <c r="E670" s="12">
        <v>2</v>
      </c>
      <c r="F670" s="126">
        <v>771142</v>
      </c>
      <c r="G670" s="126">
        <f t="shared" si="82"/>
        <v>1542284</v>
      </c>
      <c r="H670" s="8"/>
      <c r="I670" s="9" t="str">
        <f t="array" ref="I670:L670">_xlfn.XLOOKUP(C670,'Neiva 2021 FASE I UNIFICADO'!$C$6:$C$540,'Neiva 2021 FASE I UNIFICADO'!$C$6:$F$540,"NO ESTA")</f>
        <v>SUMINISTRO E INSTALACION PARRILLA ORGANIZADORA DE CABLES DE 1,20 x 0,6 m</v>
      </c>
      <c r="J670" s="9" t="str">
        <v>UND</v>
      </c>
      <c r="K670" s="9">
        <v>4</v>
      </c>
      <c r="L670" s="9">
        <v>713688</v>
      </c>
      <c r="M670" s="124" t="str">
        <f t="shared" si="81"/>
        <v>FASE II</v>
      </c>
      <c r="N670" s="155">
        <f t="shared" si="78"/>
        <v>6</v>
      </c>
      <c r="O670" s="156">
        <f t="shared" si="79"/>
        <v>771142</v>
      </c>
      <c r="P670" s="156">
        <f t="shared" si="80"/>
        <v>4626852</v>
      </c>
    </row>
    <row r="671" spans="2:16" s="9" customFormat="1" ht="35.1" customHeight="1" x14ac:dyDescent="0.25">
      <c r="B671" s="23" t="s">
        <v>975</v>
      </c>
      <c r="C671" s="22" t="s">
        <v>976</v>
      </c>
      <c r="D671" s="10" t="s">
        <v>16</v>
      </c>
      <c r="E671" s="12">
        <v>4</v>
      </c>
      <c r="F671" s="126">
        <v>12928</v>
      </c>
      <c r="G671" s="126">
        <f t="shared" si="82"/>
        <v>51712</v>
      </c>
      <c r="H671" s="8"/>
      <c r="I671" s="9" t="str">
        <f t="array" ref="I671:L671">_xlfn.XLOOKUP(C671,'Neiva 2021 FASE I UNIFICADO'!$C$6:$C$540,'Neiva 2021 FASE I UNIFICADO'!$C$6:$F$540,"NO ESTA")</f>
        <v>SUMINISTRO E INSTALACION CAJA DE PASO 10 x 10 m DOBLE FONDO</v>
      </c>
      <c r="J671" s="9" t="str">
        <v>UND</v>
      </c>
      <c r="K671" s="9">
        <v>4</v>
      </c>
      <c r="L671" s="9">
        <v>11964</v>
      </c>
      <c r="M671" s="124" t="str">
        <f t="shared" si="81"/>
        <v>FASE II</v>
      </c>
      <c r="N671" s="155">
        <f t="shared" si="78"/>
        <v>8</v>
      </c>
      <c r="O671" s="156">
        <f t="shared" si="79"/>
        <v>12928</v>
      </c>
      <c r="P671" s="156">
        <f t="shared" si="80"/>
        <v>103424</v>
      </c>
    </row>
    <row r="672" spans="2:16" s="9" customFormat="1" ht="35.1" customHeight="1" x14ac:dyDescent="0.25">
      <c r="B672" s="13" t="s">
        <v>977</v>
      </c>
      <c r="C672" s="24" t="s">
        <v>978</v>
      </c>
      <c r="D672" s="24"/>
      <c r="E672" s="15"/>
      <c r="F672" s="129"/>
      <c r="G672" s="140"/>
      <c r="H672" s="8"/>
      <c r="I672" s="9" t="str">
        <f t="array" ref="I672:L672">_xlfn.XLOOKUP(C672,'Neiva 2021 FASE I UNIFICADO'!$C$6:$C$540,'Neiva 2021 FASE I UNIFICADO'!$C$6:$F$540,"NO ESTA")</f>
        <v xml:space="preserve">SUMINISTRO E INSTALACIÓN DE REDES ELECTRICAS ESPECIALES </v>
      </c>
      <c r="J672" s="9">
        <v>0</v>
      </c>
      <c r="K672" s="9">
        <v>0</v>
      </c>
      <c r="L672" s="9">
        <v>0</v>
      </c>
      <c r="M672" s="124">
        <f t="shared" si="81"/>
        <v>0</v>
      </c>
      <c r="N672" s="155">
        <f t="shared" si="78"/>
        <v>0</v>
      </c>
      <c r="O672" s="156">
        <f t="shared" si="79"/>
        <v>0</v>
      </c>
      <c r="P672" s="156">
        <f t="shared" si="80"/>
        <v>0</v>
      </c>
    </row>
    <row r="673" spans="2:16" s="9" customFormat="1" ht="35.1" customHeight="1" x14ac:dyDescent="0.25">
      <c r="B673" s="23" t="s">
        <v>979</v>
      </c>
      <c r="C673" s="22" t="s">
        <v>980</v>
      </c>
      <c r="D673" s="10" t="s">
        <v>16</v>
      </c>
      <c r="E673" s="12">
        <v>2</v>
      </c>
      <c r="F673" s="126">
        <v>64235</v>
      </c>
      <c r="G673" s="126">
        <f>ROUND(+F673*E673,2)</f>
        <v>128470</v>
      </c>
      <c r="H673" s="8"/>
      <c r="I673" s="9" t="str">
        <f t="array" ref="I673:L673">_xlfn.XLOOKUP(C673,'Neiva 2021 FASE I UNIFICADO'!$C$6:$C$540,'Neiva 2021 FASE I UNIFICADO'!$C$6:$F$540,"NO ESTA")</f>
        <v>SUMINISTRO E INSTALACION SALIDA TOMA NEMA L5-30 RAWELT</v>
      </c>
      <c r="J673" s="9" t="str">
        <v>UND</v>
      </c>
      <c r="K673" s="9">
        <v>2</v>
      </c>
      <c r="L673" s="9">
        <v>59449</v>
      </c>
      <c r="M673" s="124" t="str">
        <f t="shared" si="81"/>
        <v>FASE II</v>
      </c>
      <c r="N673" s="155">
        <f t="shared" si="78"/>
        <v>4</v>
      </c>
      <c r="O673" s="156">
        <f t="shared" si="79"/>
        <v>64235</v>
      </c>
      <c r="P673" s="156">
        <f t="shared" si="80"/>
        <v>256940</v>
      </c>
    </row>
    <row r="674" spans="2:16" s="9" customFormat="1" ht="35.1" customHeight="1" x14ac:dyDescent="0.25">
      <c r="B674" s="23" t="s">
        <v>981</v>
      </c>
      <c r="C674" s="22" t="s">
        <v>982</v>
      </c>
      <c r="D674" s="10" t="s">
        <v>94</v>
      </c>
      <c r="E674" s="12">
        <v>2</v>
      </c>
      <c r="F674" s="126">
        <v>6470</v>
      </c>
      <c r="G674" s="126">
        <f>ROUND(+F674*E674,2)</f>
        <v>12940</v>
      </c>
      <c r="H674" s="8"/>
      <c r="I674" s="9" t="str">
        <f t="array" ref="I674:L674">_xlfn.XLOOKUP(C674,'Neiva 2021 FASE I UNIFICADO'!$C$6:$C$540,'Neiva 2021 FASE I UNIFICADO'!$C$6:$F$540,"NO ESTA")</f>
        <v>SUMINISTRO E INSTALACION CIRCUITO PREENSAMBLADO AZUL MONOFÁSICO NORMAL PARA RACK</v>
      </c>
      <c r="J674" s="9" t="str">
        <v>ML</v>
      </c>
      <c r="K674" s="9">
        <v>2</v>
      </c>
      <c r="L674" s="9">
        <v>5989</v>
      </c>
      <c r="M674" s="124" t="str">
        <f t="shared" si="81"/>
        <v>FASE II</v>
      </c>
      <c r="N674" s="155">
        <f t="shared" si="78"/>
        <v>4</v>
      </c>
      <c r="O674" s="156">
        <f t="shared" si="79"/>
        <v>6470</v>
      </c>
      <c r="P674" s="156">
        <f t="shared" si="80"/>
        <v>25880</v>
      </c>
    </row>
    <row r="675" spans="2:16" s="9" customFormat="1" ht="35.1" customHeight="1" x14ac:dyDescent="0.25">
      <c r="B675" s="23" t="s">
        <v>983</v>
      </c>
      <c r="C675" s="22" t="s">
        <v>984</v>
      </c>
      <c r="D675" s="10" t="s">
        <v>94</v>
      </c>
      <c r="E675" s="12">
        <v>2</v>
      </c>
      <c r="F675" s="126">
        <v>6470</v>
      </c>
      <c r="G675" s="126">
        <f>ROUND(+F675*E675,2)</f>
        <v>12940</v>
      </c>
      <c r="H675" s="8"/>
      <c r="I675" s="9" t="str">
        <f t="array" ref="I675:L675">_xlfn.XLOOKUP(C675,'Neiva 2021 FASE I UNIFICADO'!$C$6:$C$540,'Neiva 2021 FASE I UNIFICADO'!$C$6:$F$540,"NO ESTA")</f>
        <v>SUMINISTRO E INSTALACION CIRCUITO PREENSAMBLADO ROJO MONOFÁSICO REGULADO PARA RACK</v>
      </c>
      <c r="J675" s="9" t="str">
        <v>ML</v>
      </c>
      <c r="K675" s="9">
        <v>2</v>
      </c>
      <c r="L675" s="9">
        <v>5989</v>
      </c>
      <c r="M675" s="124" t="str">
        <f t="shared" si="81"/>
        <v>FASE II</v>
      </c>
      <c r="N675" s="155">
        <f t="shared" si="78"/>
        <v>4</v>
      </c>
      <c r="O675" s="156">
        <f t="shared" si="79"/>
        <v>6470</v>
      </c>
      <c r="P675" s="156">
        <f t="shared" si="80"/>
        <v>25880</v>
      </c>
    </row>
    <row r="676" spans="2:16" s="9" customFormat="1" ht="35.1" customHeight="1" x14ac:dyDescent="0.25">
      <c r="B676" s="23" t="s">
        <v>985</v>
      </c>
      <c r="C676" s="22" t="s">
        <v>986</v>
      </c>
      <c r="D676" s="10" t="s">
        <v>16</v>
      </c>
      <c r="E676" s="12">
        <v>2</v>
      </c>
      <c r="F676" s="126">
        <v>632913</v>
      </c>
      <c r="G676" s="126">
        <f>ROUND(+F676*E676,2)</f>
        <v>1265826</v>
      </c>
      <c r="H676" s="8"/>
      <c r="I676" s="9" t="str">
        <f t="array" ref="I676:L676">_xlfn.XLOOKUP(C676,'Neiva 2021 FASE I UNIFICADO'!$C$6:$C$540,'Neiva 2021 FASE I UNIFICADO'!$C$6:$F$540,"NO ESTA")</f>
        <v>SUMINISTRO E INSTALACION BARRAJE DE PUESTA A TIERRA PARA RACK TGB</v>
      </c>
      <c r="J676" s="9" t="str">
        <v>UND</v>
      </c>
      <c r="K676" s="9">
        <v>2</v>
      </c>
      <c r="L676" s="9">
        <v>585757</v>
      </c>
      <c r="M676" s="124" t="str">
        <f t="shared" si="81"/>
        <v>FASE II</v>
      </c>
      <c r="N676" s="155">
        <f t="shared" si="78"/>
        <v>4</v>
      </c>
      <c r="O676" s="156">
        <f t="shared" si="79"/>
        <v>632913</v>
      </c>
      <c r="P676" s="156">
        <f t="shared" si="80"/>
        <v>2531652</v>
      </c>
    </row>
    <row r="677" spans="2:16" s="9" customFormat="1" ht="35.1" customHeight="1" x14ac:dyDescent="0.25">
      <c r="B677" s="13" t="s">
        <v>987</v>
      </c>
      <c r="C677" s="24" t="s">
        <v>988</v>
      </c>
      <c r="D677" s="24"/>
      <c r="E677" s="15"/>
      <c r="F677" s="129"/>
      <c r="G677" s="140"/>
      <c r="H677" s="8"/>
      <c r="I677" s="9" t="str">
        <f t="array" ref="I677:L677">_xlfn.XLOOKUP(C677,'Neiva 2021 FASE I UNIFICADO'!$C$6:$C$540,'Neiva 2021 FASE I UNIFICADO'!$C$6:$F$540,"NO ESTA")</f>
        <v>SUMINISTRO E INSTALACION DE EQUIPOS ACTIVOS</v>
      </c>
      <c r="J677" s="9">
        <v>0</v>
      </c>
      <c r="K677" s="9">
        <v>0</v>
      </c>
      <c r="L677" s="9">
        <v>0</v>
      </c>
      <c r="M677" s="124">
        <f t="shared" si="81"/>
        <v>0</v>
      </c>
      <c r="N677" s="155">
        <f t="shared" si="78"/>
        <v>0</v>
      </c>
      <c r="O677" s="156">
        <f t="shared" si="79"/>
        <v>0</v>
      </c>
      <c r="P677" s="156">
        <f t="shared" si="80"/>
        <v>0</v>
      </c>
    </row>
    <row r="678" spans="2:16" s="9" customFormat="1" ht="35.1" customHeight="1" x14ac:dyDescent="0.25">
      <c r="B678" s="10" t="s">
        <v>989</v>
      </c>
      <c r="C678" s="22" t="s">
        <v>990</v>
      </c>
      <c r="D678" s="10" t="s">
        <v>16</v>
      </c>
      <c r="E678" s="12">
        <v>13</v>
      </c>
      <c r="F678" s="126">
        <v>7344406</v>
      </c>
      <c r="G678" s="126">
        <f>ROUND(+F678*E678,2)</f>
        <v>95477278</v>
      </c>
      <c r="H678" s="8"/>
      <c r="I678" s="9" t="str">
        <f t="array" ref="I678:L678">_xlfn.XLOOKUP(C678,'Neiva 2021 FASE I UNIFICADO'!$C$6:$C$540,'Neiva 2021 FASE I UNIFICADO'!$C$6:$F$540,"NO ESTA")</f>
        <v xml:space="preserve">SUMINISTRO E INSTALACION SWITCHE DE BORDE DE 24 PoE PUERTOS GIGABIT ETHERNET 10/100/1000 Gbps CON PUERTO DE ADMINSITRACION POR CONSOLA </v>
      </c>
      <c r="J678" s="9" t="str">
        <v>UND</v>
      </c>
      <c r="K678" s="9">
        <v>1</v>
      </c>
      <c r="L678" s="9">
        <v>6797209.6699999999</v>
      </c>
      <c r="M678" s="124" t="str">
        <f t="shared" si="81"/>
        <v>FASE II</v>
      </c>
      <c r="N678" s="155">
        <f t="shared" si="78"/>
        <v>14</v>
      </c>
      <c r="O678" s="156">
        <f t="shared" si="79"/>
        <v>7344406</v>
      </c>
      <c r="P678" s="156">
        <f t="shared" si="80"/>
        <v>102821684</v>
      </c>
    </row>
    <row r="679" spans="2:16" s="9" customFormat="1" ht="35.1" customHeight="1" x14ac:dyDescent="0.25">
      <c r="B679" s="10" t="s">
        <v>991</v>
      </c>
      <c r="C679" s="22" t="s">
        <v>992</v>
      </c>
      <c r="D679" s="10" t="s">
        <v>16</v>
      </c>
      <c r="E679" s="12">
        <v>0</v>
      </c>
      <c r="F679" s="126">
        <v>841635</v>
      </c>
      <c r="G679" s="126">
        <f>ROUND(+F679*E679,2)</f>
        <v>0</v>
      </c>
      <c r="H679" s="8"/>
      <c r="I679" s="9" t="str">
        <f t="array" ref="I679:L679">_xlfn.XLOOKUP(C679,'Neiva 2021 FASE I UNIFICADO'!$C$6:$C$540,'Neiva 2021 FASE I UNIFICADO'!$C$6:$F$540,"NO ESTA")</f>
        <v>SUMINISTRO E INSTALACION MODULO SFP 10G</v>
      </c>
      <c r="J679" s="9" t="str">
        <v>UND</v>
      </c>
      <c r="K679" s="9">
        <v>1</v>
      </c>
      <c r="L679" s="9">
        <v>778929</v>
      </c>
      <c r="M679" s="124" t="str">
        <f t="shared" si="81"/>
        <v>FASE II</v>
      </c>
      <c r="N679" s="155">
        <f t="shared" si="78"/>
        <v>1</v>
      </c>
      <c r="O679" s="156">
        <f t="shared" si="79"/>
        <v>841635</v>
      </c>
      <c r="P679" s="156">
        <f t="shared" si="80"/>
        <v>841635</v>
      </c>
    </row>
    <row r="680" spans="2:16" s="9" customFormat="1" ht="35.1" customHeight="1" x14ac:dyDescent="0.25">
      <c r="B680" s="33">
        <v>19</v>
      </c>
      <c r="C680" s="34" t="s">
        <v>993</v>
      </c>
      <c r="D680" s="34"/>
      <c r="E680" s="35"/>
      <c r="F680" s="132"/>
      <c r="G680" s="142"/>
      <c r="H680" s="8"/>
      <c r="I680" s="9" t="str">
        <f t="array" ref="I680:L680">_xlfn.XLOOKUP(C680,'Neiva 2021 FASE I UNIFICADO'!$C$6:$C$540,'Neiva 2021 FASE I UNIFICADO'!$C$6:$F$540,"NO ESTA")</f>
        <v>SEGURIDAD ELÉCTRONICA (CCTV, CONTROL ACCESOS, DETECCION INCENDIOS Y SONIDO)</v>
      </c>
      <c r="J680" s="9">
        <v>0</v>
      </c>
      <c r="K680" s="9">
        <v>0</v>
      </c>
      <c r="L680" s="9">
        <v>0</v>
      </c>
      <c r="M680" s="124">
        <f t="shared" si="81"/>
        <v>0</v>
      </c>
      <c r="N680" s="155">
        <f t="shared" si="78"/>
        <v>0</v>
      </c>
      <c r="O680" s="156">
        <f t="shared" si="79"/>
        <v>0</v>
      </c>
      <c r="P680" s="156">
        <f t="shared" si="80"/>
        <v>0</v>
      </c>
    </row>
    <row r="681" spans="2:16" s="9" customFormat="1" ht="35.1" customHeight="1" x14ac:dyDescent="0.25">
      <c r="B681" s="61" t="s">
        <v>1349</v>
      </c>
      <c r="C681" s="62" t="s">
        <v>1350</v>
      </c>
      <c r="D681" s="63"/>
      <c r="E681" s="64"/>
      <c r="F681" s="129"/>
      <c r="G681" s="140"/>
      <c r="H681" s="8"/>
      <c r="I681" s="9" t="str">
        <f t="array" ref="I681">_xlfn.XLOOKUP(C681,'Neiva 2021 FASE I UNIFICADO'!$C$6:$C$540,'Neiva 2021 FASE I UNIFICADO'!$C$6:$F$540,"NO ESTA")</f>
        <v>NO ESTA</v>
      </c>
      <c r="M681" s="124">
        <f t="shared" si="81"/>
        <v>0</v>
      </c>
      <c r="N681" s="155">
        <f t="shared" si="78"/>
        <v>0</v>
      </c>
      <c r="O681" s="156">
        <f t="shared" si="79"/>
        <v>0</v>
      </c>
      <c r="P681" s="156">
        <f t="shared" si="80"/>
        <v>0</v>
      </c>
    </row>
    <row r="682" spans="2:16" s="9" customFormat="1" ht="35.1" customHeight="1" x14ac:dyDescent="0.25">
      <c r="B682" s="23" t="s">
        <v>1351</v>
      </c>
      <c r="C682" s="22" t="s">
        <v>1352</v>
      </c>
      <c r="D682" s="10" t="s">
        <v>16</v>
      </c>
      <c r="E682" s="12">
        <v>10</v>
      </c>
      <c r="F682" s="126">
        <v>1260653</v>
      </c>
      <c r="G682" s="126">
        <f t="shared" ref="G682:G688" si="83">ROUND(+F682*E682,2)</f>
        <v>12606530</v>
      </c>
      <c r="H682" s="8"/>
      <c r="I682" s="9" t="str">
        <f t="array" ref="I682">_xlfn.XLOOKUP(C682,'Neiva 2021 FASE I UNIFICADO'!$C$6:$C$540,'Neiva 2021 FASE I UNIFICADO'!$C$6:$F$540,"NO ESTA")</f>
        <v>NO ESTA</v>
      </c>
      <c r="M682" s="124">
        <f t="shared" si="81"/>
        <v>0</v>
      </c>
      <c r="N682" s="155">
        <f t="shared" si="78"/>
        <v>10</v>
      </c>
      <c r="O682" s="156">
        <f t="shared" si="79"/>
        <v>1260653</v>
      </c>
      <c r="P682" s="156">
        <f t="shared" si="80"/>
        <v>12606530</v>
      </c>
    </row>
    <row r="683" spans="2:16" s="9" customFormat="1" ht="35.1" customHeight="1" x14ac:dyDescent="0.25">
      <c r="B683" s="23" t="s">
        <v>1353</v>
      </c>
      <c r="C683" s="22" t="s">
        <v>1354</v>
      </c>
      <c r="D683" s="10" t="s">
        <v>16</v>
      </c>
      <c r="E683" s="12">
        <v>19</v>
      </c>
      <c r="F683" s="126">
        <v>1710298</v>
      </c>
      <c r="G683" s="126">
        <f t="shared" si="83"/>
        <v>32495662</v>
      </c>
      <c r="H683" s="8"/>
      <c r="I683" s="9" t="str">
        <f t="array" ref="I683">_xlfn.XLOOKUP(C683,'Neiva 2021 FASE I UNIFICADO'!$C$6:$C$540,'Neiva 2021 FASE I UNIFICADO'!$C$6:$F$540,"NO ESTA")</f>
        <v>NO ESTA</v>
      </c>
      <c r="M683" s="124">
        <f t="shared" si="81"/>
        <v>0</v>
      </c>
      <c r="N683" s="155">
        <f t="shared" si="78"/>
        <v>19</v>
      </c>
      <c r="O683" s="156">
        <f t="shared" si="79"/>
        <v>1710298</v>
      </c>
      <c r="P683" s="156">
        <f t="shared" si="80"/>
        <v>32495662</v>
      </c>
    </row>
    <row r="684" spans="2:16" s="9" customFormat="1" ht="35.1" customHeight="1" x14ac:dyDescent="0.25">
      <c r="B684" s="23" t="s">
        <v>1355</v>
      </c>
      <c r="C684" s="22" t="s">
        <v>1356</v>
      </c>
      <c r="D684" s="10" t="s">
        <v>16</v>
      </c>
      <c r="E684" s="12">
        <v>2</v>
      </c>
      <c r="F684" s="126">
        <v>3681238</v>
      </c>
      <c r="G684" s="126">
        <f t="shared" si="83"/>
        <v>7362476</v>
      </c>
      <c r="H684" s="8"/>
      <c r="I684" s="9" t="str">
        <f t="array" ref="I684">_xlfn.XLOOKUP(C684,'Neiva 2021 FASE I UNIFICADO'!$C$6:$C$540,'Neiva 2021 FASE I UNIFICADO'!$C$6:$F$540,"NO ESTA")</f>
        <v>NO ESTA</v>
      </c>
      <c r="M684" s="124">
        <f t="shared" si="81"/>
        <v>0</v>
      </c>
      <c r="N684" s="155">
        <f t="shared" si="78"/>
        <v>2</v>
      </c>
      <c r="O684" s="156">
        <f t="shared" si="79"/>
        <v>3681238</v>
      </c>
      <c r="P684" s="156">
        <f t="shared" si="80"/>
        <v>7362476</v>
      </c>
    </row>
    <row r="685" spans="2:16" s="9" customFormat="1" ht="35.1" customHeight="1" x14ac:dyDescent="0.25">
      <c r="B685" s="23" t="s">
        <v>1357</v>
      </c>
      <c r="C685" s="22" t="s">
        <v>1358</v>
      </c>
      <c r="D685" s="10" t="s">
        <v>16</v>
      </c>
      <c r="E685" s="12">
        <v>29</v>
      </c>
      <c r="F685" s="126">
        <v>360550</v>
      </c>
      <c r="G685" s="126">
        <f t="shared" si="83"/>
        <v>10455950</v>
      </c>
      <c r="H685" s="8"/>
      <c r="I685" s="9" t="str">
        <f t="array" ref="I685">_xlfn.XLOOKUP(C685,'Neiva 2021 FASE I UNIFICADO'!$C$6:$C$540,'Neiva 2021 FASE I UNIFICADO'!$C$6:$F$540,"NO ESTA")</f>
        <v>NO ESTA</v>
      </c>
      <c r="M685" s="124">
        <f t="shared" si="81"/>
        <v>0</v>
      </c>
      <c r="N685" s="155">
        <f t="shared" si="78"/>
        <v>29</v>
      </c>
      <c r="O685" s="156">
        <f t="shared" si="79"/>
        <v>360550</v>
      </c>
      <c r="P685" s="156">
        <f t="shared" si="80"/>
        <v>10455950</v>
      </c>
    </row>
    <row r="686" spans="2:16" s="9" customFormat="1" ht="35.1" customHeight="1" x14ac:dyDescent="0.25">
      <c r="B686" s="23" t="s">
        <v>1359</v>
      </c>
      <c r="C686" s="22" t="s">
        <v>1360</v>
      </c>
      <c r="D686" s="10" t="s">
        <v>16</v>
      </c>
      <c r="E686" s="12">
        <v>2</v>
      </c>
      <c r="F686" s="126">
        <v>8387259</v>
      </c>
      <c r="G686" s="126">
        <f t="shared" si="83"/>
        <v>16774518</v>
      </c>
      <c r="H686" s="8"/>
      <c r="I686" s="9" t="str">
        <f t="array" ref="I686">_xlfn.XLOOKUP(C686,'Neiva 2021 FASE I UNIFICADO'!$C$6:$C$540,'Neiva 2021 FASE I UNIFICADO'!$C$6:$F$540,"NO ESTA")</f>
        <v>NO ESTA</v>
      </c>
      <c r="M686" s="124">
        <f t="shared" si="81"/>
        <v>0</v>
      </c>
      <c r="N686" s="155">
        <f t="shared" si="78"/>
        <v>2</v>
      </c>
      <c r="O686" s="156">
        <f t="shared" si="79"/>
        <v>8387259</v>
      </c>
      <c r="P686" s="156">
        <f t="shared" si="80"/>
        <v>16774518</v>
      </c>
    </row>
    <row r="687" spans="2:16" s="9" customFormat="1" ht="35.1" customHeight="1" x14ac:dyDescent="0.25">
      <c r="B687" s="23" t="s">
        <v>1361</v>
      </c>
      <c r="C687" s="22" t="s">
        <v>1362</v>
      </c>
      <c r="D687" s="10" t="s">
        <v>16</v>
      </c>
      <c r="E687" s="12">
        <v>2</v>
      </c>
      <c r="F687" s="126">
        <v>8922704</v>
      </c>
      <c r="G687" s="126">
        <f t="shared" si="83"/>
        <v>17845408</v>
      </c>
      <c r="H687" s="8"/>
      <c r="I687" s="9" t="str">
        <f t="array" ref="I687">_xlfn.XLOOKUP(C687,'Neiva 2021 FASE I UNIFICADO'!$C$6:$C$540,'Neiva 2021 FASE I UNIFICADO'!$C$6:$F$540,"NO ESTA")</f>
        <v>NO ESTA</v>
      </c>
      <c r="M687" s="124">
        <f t="shared" si="81"/>
        <v>0</v>
      </c>
      <c r="N687" s="155">
        <f t="shared" si="78"/>
        <v>2</v>
      </c>
      <c r="O687" s="156">
        <f t="shared" si="79"/>
        <v>8922704</v>
      </c>
      <c r="P687" s="156">
        <f t="shared" si="80"/>
        <v>17845408</v>
      </c>
    </row>
    <row r="688" spans="2:16" s="9" customFormat="1" ht="35.1" customHeight="1" x14ac:dyDescent="0.25">
      <c r="B688" s="23" t="s">
        <v>1363</v>
      </c>
      <c r="C688" s="22" t="s">
        <v>1364</v>
      </c>
      <c r="D688" s="10" t="s">
        <v>1182</v>
      </c>
      <c r="E688" s="12">
        <v>1</v>
      </c>
      <c r="F688" s="126">
        <v>2856916</v>
      </c>
      <c r="G688" s="126">
        <f t="shared" si="83"/>
        <v>2856916</v>
      </c>
      <c r="H688" s="8"/>
      <c r="I688" s="9" t="str">
        <f t="array" ref="I688">_xlfn.XLOOKUP(C688,'Neiva 2021 FASE I UNIFICADO'!$C$6:$C$540,'Neiva 2021 FASE I UNIFICADO'!$C$6:$F$540,"NO ESTA")</f>
        <v>NO ESTA</v>
      </c>
      <c r="M688" s="124">
        <f t="shared" si="81"/>
        <v>0</v>
      </c>
      <c r="N688" s="155">
        <f t="shared" si="78"/>
        <v>1</v>
      </c>
      <c r="O688" s="156">
        <f t="shared" si="79"/>
        <v>2856916</v>
      </c>
      <c r="P688" s="156">
        <f t="shared" si="80"/>
        <v>2856916</v>
      </c>
    </row>
    <row r="689" spans="2:16" s="9" customFormat="1" ht="35.1" customHeight="1" x14ac:dyDescent="0.25">
      <c r="B689" s="13" t="s">
        <v>1365</v>
      </c>
      <c r="C689" s="14" t="s">
        <v>1366</v>
      </c>
      <c r="D689" s="27"/>
      <c r="E689" s="15"/>
      <c r="F689" s="129"/>
      <c r="G689" s="140"/>
      <c r="H689" s="8"/>
      <c r="I689" s="9" t="str">
        <f t="array" ref="I689">_xlfn.XLOOKUP(C689,'Neiva 2021 FASE I UNIFICADO'!$C$6:$C$540,'Neiva 2021 FASE I UNIFICADO'!$C$6:$F$540,"NO ESTA")</f>
        <v>NO ESTA</v>
      </c>
      <c r="M689" s="124">
        <f t="shared" si="81"/>
        <v>0</v>
      </c>
      <c r="N689" s="155">
        <f t="shared" si="78"/>
        <v>0</v>
      </c>
      <c r="O689" s="156">
        <f t="shared" si="79"/>
        <v>0</v>
      </c>
      <c r="P689" s="156">
        <f t="shared" si="80"/>
        <v>0</v>
      </c>
    </row>
    <row r="690" spans="2:16" s="9" customFormat="1" ht="35.1" customHeight="1" x14ac:dyDescent="0.25">
      <c r="B690" s="23" t="s">
        <v>1367</v>
      </c>
      <c r="C690" s="22" t="s">
        <v>1368</v>
      </c>
      <c r="D690" s="10" t="s">
        <v>16</v>
      </c>
      <c r="E690" s="12">
        <v>19</v>
      </c>
      <c r="F690" s="126">
        <v>231646</v>
      </c>
      <c r="G690" s="126">
        <f t="shared" ref="G690:G699" si="84">ROUND(+F690*E690,2)</f>
        <v>4401274</v>
      </c>
      <c r="H690" s="8"/>
      <c r="I690" s="9" t="str">
        <f t="array" ref="I690">_xlfn.XLOOKUP(C690,'Neiva 2021 FASE I UNIFICADO'!$C$6:$C$540,'Neiva 2021 FASE I UNIFICADO'!$C$6:$F$540,"NO ESTA")</f>
        <v>NO ESTA</v>
      </c>
      <c r="M690" s="124">
        <f t="shared" si="81"/>
        <v>0</v>
      </c>
      <c r="N690" s="155">
        <f t="shared" si="78"/>
        <v>19</v>
      </c>
      <c r="O690" s="156">
        <f t="shared" si="79"/>
        <v>231646</v>
      </c>
      <c r="P690" s="156">
        <f t="shared" si="80"/>
        <v>4401274</v>
      </c>
    </row>
    <row r="691" spans="2:16" s="9" customFormat="1" ht="35.1" customHeight="1" x14ac:dyDescent="0.25">
      <c r="B691" s="23" t="s">
        <v>1369</v>
      </c>
      <c r="C691" s="22" t="s">
        <v>1370</v>
      </c>
      <c r="D691" s="10" t="s">
        <v>16</v>
      </c>
      <c r="E691" s="12">
        <v>16</v>
      </c>
      <c r="F691" s="126">
        <v>1695852</v>
      </c>
      <c r="G691" s="126">
        <f t="shared" si="84"/>
        <v>27133632</v>
      </c>
      <c r="H691" s="8"/>
      <c r="I691" s="9" t="str">
        <f t="array" ref="I691">_xlfn.XLOOKUP(C691,'Neiva 2021 FASE I UNIFICADO'!$C$6:$C$540,'Neiva 2021 FASE I UNIFICADO'!$C$6:$F$540,"NO ESTA")</f>
        <v>NO ESTA</v>
      </c>
      <c r="M691" s="124">
        <f t="shared" si="81"/>
        <v>0</v>
      </c>
      <c r="N691" s="155">
        <f t="shared" si="78"/>
        <v>16</v>
      </c>
      <c r="O691" s="156">
        <f t="shared" si="79"/>
        <v>1695852</v>
      </c>
      <c r="P691" s="156">
        <f t="shared" si="80"/>
        <v>27133632</v>
      </c>
    </row>
    <row r="692" spans="2:16" s="9" customFormat="1" ht="35.1" customHeight="1" x14ac:dyDescent="0.25">
      <c r="B692" s="23" t="s">
        <v>1371</v>
      </c>
      <c r="C692" s="22" t="s">
        <v>1372</v>
      </c>
      <c r="D692" s="10" t="s">
        <v>16</v>
      </c>
      <c r="E692" s="12">
        <v>18</v>
      </c>
      <c r="F692" s="126">
        <v>358570</v>
      </c>
      <c r="G692" s="126">
        <f t="shared" si="84"/>
        <v>6454260</v>
      </c>
      <c r="H692" s="8"/>
      <c r="I692" s="9" t="str">
        <f t="array" ref="I692">_xlfn.XLOOKUP(C692,'Neiva 2021 FASE I UNIFICADO'!$C$6:$C$540,'Neiva 2021 FASE I UNIFICADO'!$C$6:$F$540,"NO ESTA")</f>
        <v>NO ESTA</v>
      </c>
      <c r="M692" s="124">
        <f t="shared" si="81"/>
        <v>0</v>
      </c>
      <c r="N692" s="155">
        <f t="shared" si="78"/>
        <v>18</v>
      </c>
      <c r="O692" s="156">
        <f t="shared" si="79"/>
        <v>358570</v>
      </c>
      <c r="P692" s="156">
        <f t="shared" si="80"/>
        <v>6454260</v>
      </c>
    </row>
    <row r="693" spans="2:16" s="9" customFormat="1" ht="35.1" customHeight="1" x14ac:dyDescent="0.25">
      <c r="B693" s="23" t="s">
        <v>1373</v>
      </c>
      <c r="C693" s="22" t="s">
        <v>1374</v>
      </c>
      <c r="D693" s="10" t="s">
        <v>16</v>
      </c>
      <c r="E693" s="12">
        <v>20</v>
      </c>
      <c r="F693" s="126">
        <v>449218</v>
      </c>
      <c r="G693" s="126">
        <f t="shared" si="84"/>
        <v>8984360</v>
      </c>
      <c r="H693" s="8"/>
      <c r="I693" s="9" t="str">
        <f t="array" ref="I693">_xlfn.XLOOKUP(C693,'Neiva 2021 FASE I UNIFICADO'!$C$6:$C$540,'Neiva 2021 FASE I UNIFICADO'!$C$6:$F$540,"NO ESTA")</f>
        <v>NO ESTA</v>
      </c>
      <c r="M693" s="124">
        <f t="shared" si="81"/>
        <v>0</v>
      </c>
      <c r="N693" s="155">
        <f t="shared" si="78"/>
        <v>20</v>
      </c>
      <c r="O693" s="156">
        <f t="shared" si="79"/>
        <v>449218</v>
      </c>
      <c r="P693" s="156">
        <f t="shared" si="80"/>
        <v>8984360</v>
      </c>
    </row>
    <row r="694" spans="2:16" s="9" customFormat="1" ht="35.1" customHeight="1" x14ac:dyDescent="0.25">
      <c r="B694" s="23" t="s">
        <v>1375</v>
      </c>
      <c r="C694" s="22" t="s">
        <v>1376</v>
      </c>
      <c r="D694" s="10" t="s">
        <v>16</v>
      </c>
      <c r="E694" s="12">
        <v>14</v>
      </c>
      <c r="F694" s="126">
        <v>12246</v>
      </c>
      <c r="G694" s="126">
        <f t="shared" si="84"/>
        <v>171444</v>
      </c>
      <c r="H694" s="8"/>
      <c r="I694" s="9" t="str">
        <f t="array" ref="I694">_xlfn.XLOOKUP(C694,'Neiva 2021 FASE I UNIFICADO'!$C$6:$C$540,'Neiva 2021 FASE I UNIFICADO'!$C$6:$F$540,"NO ESTA")</f>
        <v>NO ESTA</v>
      </c>
      <c r="M694" s="124">
        <f t="shared" si="81"/>
        <v>0</v>
      </c>
      <c r="N694" s="155">
        <f t="shared" si="78"/>
        <v>14</v>
      </c>
      <c r="O694" s="156">
        <f t="shared" si="79"/>
        <v>12246</v>
      </c>
      <c r="P694" s="156">
        <f t="shared" si="80"/>
        <v>171444</v>
      </c>
    </row>
    <row r="695" spans="2:16" s="9" customFormat="1" ht="35.1" customHeight="1" x14ac:dyDescent="0.25">
      <c r="B695" s="23" t="s">
        <v>1377</v>
      </c>
      <c r="C695" s="22" t="s">
        <v>976</v>
      </c>
      <c r="D695" s="10" t="s">
        <v>16</v>
      </c>
      <c r="E695" s="12">
        <v>18</v>
      </c>
      <c r="F695" s="126">
        <v>12928</v>
      </c>
      <c r="G695" s="126">
        <f t="shared" si="84"/>
        <v>232704</v>
      </c>
      <c r="H695" s="8"/>
      <c r="I695" s="9" t="str">
        <f t="array" ref="I695:L695">_xlfn.XLOOKUP(C695,'Neiva 2021 FASE I UNIFICADO'!$C$6:$C$540,'Neiva 2021 FASE I UNIFICADO'!$C$6:$F$540,"NO ESTA")</f>
        <v>SUMINISTRO E INSTALACION CAJA DE PASO 10 x 10 m DOBLE FONDO</v>
      </c>
      <c r="J695" s="9" t="str">
        <v>UND</v>
      </c>
      <c r="K695" s="9">
        <v>4</v>
      </c>
      <c r="L695" s="9">
        <v>11964</v>
      </c>
      <c r="M695" s="124" t="str">
        <f t="shared" si="81"/>
        <v>FASE II</v>
      </c>
      <c r="N695" s="155">
        <f t="shared" si="78"/>
        <v>22</v>
      </c>
      <c r="O695" s="156">
        <f t="shared" si="79"/>
        <v>12928</v>
      </c>
      <c r="P695" s="156">
        <f t="shared" si="80"/>
        <v>284416</v>
      </c>
    </row>
    <row r="696" spans="2:16" s="9" customFormat="1" ht="35.1" customHeight="1" x14ac:dyDescent="0.25">
      <c r="B696" s="23" t="s">
        <v>1378</v>
      </c>
      <c r="C696" s="22" t="s">
        <v>1379</v>
      </c>
      <c r="D696" s="10" t="s">
        <v>16</v>
      </c>
      <c r="E696" s="12">
        <v>2</v>
      </c>
      <c r="F696" s="126">
        <v>5824460</v>
      </c>
      <c r="G696" s="126">
        <f t="shared" si="84"/>
        <v>11648920</v>
      </c>
      <c r="H696" s="8"/>
      <c r="I696" s="9" t="str">
        <f t="array" ref="I696">_xlfn.XLOOKUP(C696,'Neiva 2021 FASE I UNIFICADO'!$C$6:$C$540,'Neiva 2021 FASE I UNIFICADO'!$C$6:$F$540,"NO ESTA")</f>
        <v>NO ESTA</v>
      </c>
      <c r="M696" s="124">
        <f t="shared" si="81"/>
        <v>0</v>
      </c>
      <c r="N696" s="155">
        <f t="shared" si="78"/>
        <v>2</v>
      </c>
      <c r="O696" s="156">
        <f t="shared" si="79"/>
        <v>5824460</v>
      </c>
      <c r="P696" s="156">
        <f t="shared" si="80"/>
        <v>11648920</v>
      </c>
    </row>
    <row r="697" spans="2:16" s="9" customFormat="1" ht="35.1" customHeight="1" x14ac:dyDescent="0.25">
      <c r="B697" s="23" t="s">
        <v>1380</v>
      </c>
      <c r="C697" s="22" t="s">
        <v>1381</v>
      </c>
      <c r="D697" s="10" t="s">
        <v>16</v>
      </c>
      <c r="E697" s="12">
        <v>2</v>
      </c>
      <c r="F697" s="126">
        <v>5564822</v>
      </c>
      <c r="G697" s="126">
        <f t="shared" si="84"/>
        <v>11129644</v>
      </c>
      <c r="H697" s="8"/>
      <c r="I697" s="9" t="str">
        <f t="array" ref="I697">_xlfn.XLOOKUP(C697,'Neiva 2021 FASE I UNIFICADO'!$C$6:$C$540,'Neiva 2021 FASE I UNIFICADO'!$C$6:$F$540,"NO ESTA")</f>
        <v>NO ESTA</v>
      </c>
      <c r="M697" s="124">
        <f t="shared" si="81"/>
        <v>0</v>
      </c>
      <c r="N697" s="155">
        <f t="shared" si="78"/>
        <v>2</v>
      </c>
      <c r="O697" s="156">
        <f t="shared" si="79"/>
        <v>5564822</v>
      </c>
      <c r="P697" s="156">
        <f t="shared" si="80"/>
        <v>11129644</v>
      </c>
    </row>
    <row r="698" spans="2:16" s="9" customFormat="1" ht="35.1" customHeight="1" x14ac:dyDescent="0.25">
      <c r="B698" s="23" t="s">
        <v>1382</v>
      </c>
      <c r="C698" s="22" t="s">
        <v>1383</v>
      </c>
      <c r="D698" s="10" t="s">
        <v>16</v>
      </c>
      <c r="E698" s="12">
        <v>2</v>
      </c>
      <c r="F698" s="126">
        <v>3681238</v>
      </c>
      <c r="G698" s="126">
        <f t="shared" si="84"/>
        <v>7362476</v>
      </c>
      <c r="H698" s="8"/>
      <c r="I698" s="9" t="str">
        <f t="array" ref="I698">_xlfn.XLOOKUP(C698,'Neiva 2021 FASE I UNIFICADO'!$C$6:$C$540,'Neiva 2021 FASE I UNIFICADO'!$C$6:$F$540,"NO ESTA")</f>
        <v>NO ESTA</v>
      </c>
      <c r="M698" s="124">
        <f t="shared" si="81"/>
        <v>0</v>
      </c>
      <c r="N698" s="155">
        <f t="shared" si="78"/>
        <v>2</v>
      </c>
      <c r="O698" s="156">
        <f t="shared" si="79"/>
        <v>3681238</v>
      </c>
      <c r="P698" s="156">
        <f t="shared" si="80"/>
        <v>7362476</v>
      </c>
    </row>
    <row r="699" spans="2:16" s="9" customFormat="1" ht="35.1" customHeight="1" x14ac:dyDescent="0.25">
      <c r="B699" s="23" t="s">
        <v>1384</v>
      </c>
      <c r="C699" s="22" t="s">
        <v>1385</v>
      </c>
      <c r="D699" s="10" t="s">
        <v>1182</v>
      </c>
      <c r="E699" s="12">
        <v>1</v>
      </c>
      <c r="F699" s="126">
        <v>2856916</v>
      </c>
      <c r="G699" s="126">
        <f t="shared" si="84"/>
        <v>2856916</v>
      </c>
      <c r="H699" s="8"/>
      <c r="I699" s="9" t="str">
        <f t="array" ref="I699">_xlfn.XLOOKUP(C699,'Neiva 2021 FASE I UNIFICADO'!$C$6:$C$540,'Neiva 2021 FASE I UNIFICADO'!$C$6:$F$540,"NO ESTA")</f>
        <v>NO ESTA</v>
      </c>
      <c r="M699" s="124">
        <f t="shared" si="81"/>
        <v>0</v>
      </c>
      <c r="N699" s="155">
        <f t="shared" si="78"/>
        <v>1</v>
      </c>
      <c r="O699" s="156">
        <f t="shared" si="79"/>
        <v>2856916</v>
      </c>
      <c r="P699" s="156">
        <f t="shared" si="80"/>
        <v>2856916</v>
      </c>
    </row>
    <row r="700" spans="2:16" s="9" customFormat="1" ht="35.1" customHeight="1" x14ac:dyDescent="0.25">
      <c r="B700" s="13" t="s">
        <v>994</v>
      </c>
      <c r="C700" s="14" t="s">
        <v>995</v>
      </c>
      <c r="D700" s="27"/>
      <c r="E700" s="15"/>
      <c r="F700" s="129"/>
      <c r="G700" s="140"/>
      <c r="H700" s="8"/>
      <c r="I700" s="9" t="str">
        <f t="array" ref="I700:L700">_xlfn.XLOOKUP(C700,'Neiva 2021 FASE I UNIFICADO'!$C$6:$C$540,'Neiva 2021 FASE I UNIFICADO'!$C$6:$F$540,"NO ESTA")</f>
        <v>SUMINISTRO E INSTALACION DE DETECCIÓN DE INDENDIO</v>
      </c>
      <c r="J700" s="9">
        <v>0</v>
      </c>
      <c r="K700" s="9">
        <v>0</v>
      </c>
      <c r="L700" s="9">
        <v>0</v>
      </c>
      <c r="M700" s="124">
        <f t="shared" si="81"/>
        <v>0</v>
      </c>
      <c r="N700" s="155">
        <f t="shared" si="78"/>
        <v>0</v>
      </c>
      <c r="O700" s="156">
        <f t="shared" si="79"/>
        <v>0</v>
      </c>
      <c r="P700" s="156">
        <f t="shared" si="80"/>
        <v>0</v>
      </c>
    </row>
    <row r="701" spans="2:16" s="9" customFormat="1" ht="35.1" customHeight="1" x14ac:dyDescent="0.25">
      <c r="B701" s="23" t="s">
        <v>996</v>
      </c>
      <c r="C701" s="22" t="s">
        <v>997</v>
      </c>
      <c r="D701" s="10" t="s">
        <v>16</v>
      </c>
      <c r="E701" s="12">
        <v>8</v>
      </c>
      <c r="F701" s="126">
        <v>503198</v>
      </c>
      <c r="G701" s="126">
        <f t="shared" ref="G701:G711" si="85">ROUND(+F701*E701,2)</f>
        <v>4025584</v>
      </c>
      <c r="H701" s="8"/>
      <c r="I701" s="9" t="str">
        <f t="array" ref="I701:L701">_xlfn.XLOOKUP(C701,'Neiva 2021 FASE I UNIFICADO'!$C$6:$C$540,'Neiva 2021 FASE I UNIFICADO'!$C$6:$F$540,"NO ESTA")</f>
        <v>SUMINISTRO E INSTALACION ESTACION MANUAL DIRECCIONABLE DE AVISO, CON CUBIERTA ACRILICA</v>
      </c>
      <c r="J701" s="9" t="str">
        <v>UND</v>
      </c>
      <c r="K701" s="9">
        <v>3</v>
      </c>
      <c r="L701" s="9">
        <v>472015</v>
      </c>
      <c r="M701" s="124" t="str">
        <f t="shared" si="81"/>
        <v>FASE II</v>
      </c>
      <c r="N701" s="155">
        <f t="shared" si="78"/>
        <v>11</v>
      </c>
      <c r="O701" s="156">
        <f t="shared" si="79"/>
        <v>503198</v>
      </c>
      <c r="P701" s="156">
        <f t="shared" si="80"/>
        <v>5535178</v>
      </c>
    </row>
    <row r="702" spans="2:16" s="9" customFormat="1" ht="35.1" customHeight="1" x14ac:dyDescent="0.25">
      <c r="B702" s="23" t="s">
        <v>998</v>
      </c>
      <c r="C702" s="87" t="s">
        <v>999</v>
      </c>
      <c r="D702" s="10" t="s">
        <v>16</v>
      </c>
      <c r="E702" s="12">
        <v>8</v>
      </c>
      <c r="F702" s="126">
        <v>360098</v>
      </c>
      <c r="G702" s="126">
        <f t="shared" si="85"/>
        <v>2880784</v>
      </c>
      <c r="H702" s="8"/>
      <c r="I702" s="9" t="str">
        <f t="array" ref="I702:L702">_xlfn.XLOOKUP(C702,'Neiva 2021 FASE I UNIFICADO'!$C$6:$C$540,'Neiva 2021 FASE I UNIFICADO'!$C$6:$F$540,"NO ESTA")</f>
        <v>SUMINISTRO E INSTALACION SIRENA / ESTROBO CON SUS MODULOS DE CONTROL</v>
      </c>
      <c r="J702" s="9" t="str">
        <v>UND</v>
      </c>
      <c r="K702" s="9">
        <v>3</v>
      </c>
      <c r="L702" s="9">
        <v>337783</v>
      </c>
      <c r="M702" s="124" t="str">
        <f t="shared" si="81"/>
        <v>FASE II</v>
      </c>
      <c r="N702" s="155">
        <f t="shared" si="78"/>
        <v>11</v>
      </c>
      <c r="O702" s="156">
        <f t="shared" si="79"/>
        <v>360098</v>
      </c>
      <c r="P702" s="156">
        <f t="shared" si="80"/>
        <v>3961078</v>
      </c>
    </row>
    <row r="703" spans="2:16" s="9" customFormat="1" ht="35.1" customHeight="1" x14ac:dyDescent="0.25">
      <c r="B703" s="23" t="s">
        <v>1000</v>
      </c>
      <c r="C703" s="22" t="s">
        <v>1001</v>
      </c>
      <c r="D703" s="10" t="s">
        <v>16</v>
      </c>
      <c r="E703" s="12">
        <v>96</v>
      </c>
      <c r="F703" s="126">
        <v>405062</v>
      </c>
      <c r="G703" s="126">
        <f t="shared" si="85"/>
        <v>38885952</v>
      </c>
      <c r="H703" s="8"/>
      <c r="I703" s="9" t="str">
        <f t="array" ref="I703:L703">_xlfn.XLOOKUP(C703,'Neiva 2021 FASE I UNIFICADO'!$C$6:$C$540,'Neiva 2021 FASE I UNIFICADO'!$C$6:$F$540,"NO ESTA")</f>
        <v>SUMINISTRO E INSTALACION DETECTOR DE HUMO DIRECCIONABLE CON BASE</v>
      </c>
      <c r="J703" s="9" t="str">
        <v>UND</v>
      </c>
      <c r="K703" s="9">
        <v>46</v>
      </c>
      <c r="L703" s="9">
        <v>379961</v>
      </c>
      <c r="M703" s="124" t="str">
        <f t="shared" si="81"/>
        <v>FASE II</v>
      </c>
      <c r="N703" s="155">
        <f t="shared" si="78"/>
        <v>142</v>
      </c>
      <c r="O703" s="156">
        <f t="shared" si="79"/>
        <v>405062</v>
      </c>
      <c r="P703" s="156">
        <f t="shared" si="80"/>
        <v>57518804</v>
      </c>
    </row>
    <row r="704" spans="2:16" s="9" customFormat="1" ht="35.1" customHeight="1" x14ac:dyDescent="0.25">
      <c r="B704" s="23" t="s">
        <v>1002</v>
      </c>
      <c r="C704" s="87" t="s">
        <v>1003</v>
      </c>
      <c r="D704" s="10" t="s">
        <v>16</v>
      </c>
      <c r="E704" s="12">
        <v>6</v>
      </c>
      <c r="F704" s="126">
        <v>379368</v>
      </c>
      <c r="G704" s="126">
        <f t="shared" si="85"/>
        <v>2276208</v>
      </c>
      <c r="H704" s="8"/>
      <c r="I704" s="9" t="str">
        <f t="array" ref="I704:L704">_xlfn.XLOOKUP(C704,'Neiva 2021 FASE I UNIFICADO'!$C$6:$C$540,'Neiva 2021 FASE I UNIFICADO'!$C$6:$F$540,"NO ESTA")</f>
        <v>SUMINISTRO E INSTALACION DETECTOR DE MONOXIDO DIRECCIONABLE CON BASE</v>
      </c>
      <c r="J704" s="9" t="str">
        <v>UND</v>
      </c>
      <c r="K704" s="9">
        <v>2</v>
      </c>
      <c r="L704" s="9">
        <v>355859</v>
      </c>
      <c r="M704" s="124" t="str">
        <f t="shared" si="81"/>
        <v>FASE II</v>
      </c>
      <c r="N704" s="155">
        <f t="shared" si="78"/>
        <v>8</v>
      </c>
      <c r="O704" s="156">
        <f t="shared" si="79"/>
        <v>379368</v>
      </c>
      <c r="P704" s="156">
        <f t="shared" si="80"/>
        <v>3034944</v>
      </c>
    </row>
    <row r="705" spans="2:16" s="9" customFormat="1" ht="35.1" customHeight="1" x14ac:dyDescent="0.25">
      <c r="B705" s="23" t="s">
        <v>1004</v>
      </c>
      <c r="C705" s="22" t="s">
        <v>1005</v>
      </c>
      <c r="D705" s="10" t="s">
        <v>16</v>
      </c>
      <c r="E705" s="12">
        <v>5</v>
      </c>
      <c r="F705" s="126">
        <v>400477</v>
      </c>
      <c r="G705" s="126">
        <f t="shared" si="85"/>
        <v>2002385</v>
      </c>
      <c r="H705" s="8"/>
      <c r="I705" s="9" t="str">
        <f t="array" ref="I705:L705">_xlfn.XLOOKUP(C705,'Neiva 2021 FASE I UNIFICADO'!$C$6:$C$540,'Neiva 2021 FASE I UNIFICADO'!$C$6:$F$540,"NO ESTA")</f>
        <v>SUMINISTRO E INSTALACION CITOFONO DE EMERGENCIA</v>
      </c>
      <c r="J705" s="9" t="str">
        <v>UND</v>
      </c>
      <c r="K705" s="9">
        <v>2</v>
      </c>
      <c r="L705" s="9">
        <v>375660</v>
      </c>
      <c r="M705" s="124" t="str">
        <f t="shared" si="81"/>
        <v>FASE II</v>
      </c>
      <c r="N705" s="155">
        <f t="shared" si="78"/>
        <v>7</v>
      </c>
      <c r="O705" s="156">
        <f t="shared" si="79"/>
        <v>400477</v>
      </c>
      <c r="P705" s="156">
        <f t="shared" si="80"/>
        <v>2803339</v>
      </c>
    </row>
    <row r="706" spans="2:16" s="9" customFormat="1" ht="35.1" customHeight="1" x14ac:dyDescent="0.25">
      <c r="B706" s="23" t="s">
        <v>1006</v>
      </c>
      <c r="C706" s="22" t="s">
        <v>1007</v>
      </c>
      <c r="D706" s="10" t="s">
        <v>16</v>
      </c>
      <c r="E706" s="12">
        <v>1</v>
      </c>
      <c r="F706" s="126">
        <v>8411205</v>
      </c>
      <c r="G706" s="126">
        <f t="shared" si="85"/>
        <v>8411205</v>
      </c>
      <c r="H706" s="8"/>
      <c r="I706" s="9" t="str">
        <f t="array" ref="I706:L706">_xlfn.XLOOKUP(C706,'Neiva 2021 FASE I UNIFICADO'!$C$6:$C$540,'Neiva 2021 FASE I UNIFICADO'!$C$6:$F$540,"NO ESTA")</f>
        <v xml:space="preserve">SUMINISTRO E INSTALACION CENTRAL DE DETECCION DE INCENDIO E INTRUSIÓN, CONSU GABINETE, FUENTE, CPU, DISPLAY Y TECLEDO, CON UN 30% DE RESERVA PARA AMPLIACIÓN. </v>
      </c>
      <c r="J706" s="9" t="str">
        <v>UND</v>
      </c>
      <c r="K706" s="9">
        <v>1</v>
      </c>
      <c r="L706" s="9">
        <v>7889971</v>
      </c>
      <c r="M706" s="124" t="str">
        <f t="shared" si="81"/>
        <v>FASE II</v>
      </c>
      <c r="N706" s="155">
        <f t="shared" si="78"/>
        <v>2</v>
      </c>
      <c r="O706" s="156">
        <f t="shared" si="79"/>
        <v>8411205</v>
      </c>
      <c r="P706" s="156">
        <f t="shared" si="80"/>
        <v>16822410</v>
      </c>
    </row>
    <row r="707" spans="2:16" s="9" customFormat="1" ht="35.1" customHeight="1" x14ac:dyDescent="0.25">
      <c r="B707" s="23" t="s">
        <v>1008</v>
      </c>
      <c r="C707" s="22" t="s">
        <v>1009</v>
      </c>
      <c r="D707" s="10" t="s">
        <v>94</v>
      </c>
      <c r="E707" s="12">
        <v>1277</v>
      </c>
      <c r="F707" s="126">
        <v>5267</v>
      </c>
      <c r="G707" s="126">
        <f t="shared" si="85"/>
        <v>6725959</v>
      </c>
      <c r="H707" s="8"/>
      <c r="I707" s="9" t="str">
        <f t="array" ref="I707:L707">_xlfn.XLOOKUP(C707,'Neiva 2021 FASE I UNIFICADO'!$C$6:$C$540,'Neiva 2021 FASE I UNIFICADO'!$C$6:$F$540,"NO ESTA")</f>
        <v>SUMINISTRO E INSTALACION CABLE BLINDADO 2 x 16 AWG FPL</v>
      </c>
      <c r="J707" s="9" t="str">
        <v>ML</v>
      </c>
      <c r="K707" s="9">
        <v>496</v>
      </c>
      <c r="L707" s="9">
        <v>4940</v>
      </c>
      <c r="M707" s="124" t="str">
        <f t="shared" si="81"/>
        <v>FASE II</v>
      </c>
      <c r="N707" s="155">
        <f t="shared" si="78"/>
        <v>1773</v>
      </c>
      <c r="O707" s="156">
        <f t="shared" si="79"/>
        <v>5267</v>
      </c>
      <c r="P707" s="156">
        <f t="shared" si="80"/>
        <v>9338391</v>
      </c>
    </row>
    <row r="708" spans="2:16" s="9" customFormat="1" ht="35.1" customHeight="1" x14ac:dyDescent="0.25">
      <c r="B708" s="23" t="s">
        <v>1010</v>
      </c>
      <c r="C708" s="22" t="s">
        <v>968</v>
      </c>
      <c r="D708" s="10" t="s">
        <v>94</v>
      </c>
      <c r="E708" s="12">
        <v>854</v>
      </c>
      <c r="F708" s="126">
        <v>16039</v>
      </c>
      <c r="G708" s="126">
        <f t="shared" si="85"/>
        <v>13697306</v>
      </c>
      <c r="H708" s="8"/>
      <c r="I708" s="9" t="str">
        <f t="array" ref="I708:L708">_xlfn.XLOOKUP(C708,'Neiva 2021 FASE I UNIFICADO'!$C$6:$C$540,'Neiva 2021 FASE I UNIFICADO'!$C$6:$F$540,"NO ESTA")</f>
        <v>SUMINISTRO E INSTALACION TUBERÍA EMT DE 3/4" INCLUYE ACCESORIOS</v>
      </c>
      <c r="J708" s="9" t="str">
        <v>ML</v>
      </c>
      <c r="K708" s="9">
        <v>61</v>
      </c>
      <c r="L708" s="9">
        <v>14844</v>
      </c>
      <c r="M708" s="124" t="str">
        <f t="shared" si="81"/>
        <v>FASE II</v>
      </c>
      <c r="N708" s="155">
        <f t="shared" si="78"/>
        <v>915</v>
      </c>
      <c r="O708" s="156">
        <f t="shared" si="79"/>
        <v>16039</v>
      </c>
      <c r="P708" s="156">
        <f t="shared" si="80"/>
        <v>14675685</v>
      </c>
    </row>
    <row r="709" spans="2:16" s="9" customFormat="1" ht="35.1" customHeight="1" x14ac:dyDescent="0.25">
      <c r="B709" s="23" t="s">
        <v>1011</v>
      </c>
      <c r="C709" s="22" t="s">
        <v>972</v>
      </c>
      <c r="D709" s="10" t="s">
        <v>94</v>
      </c>
      <c r="E709" s="12">
        <v>15</v>
      </c>
      <c r="F709" s="126">
        <v>4755</v>
      </c>
      <c r="G709" s="126">
        <f t="shared" si="85"/>
        <v>71325</v>
      </c>
      <c r="H709" s="8"/>
      <c r="I709" s="9" t="str">
        <f t="array" ref="I709:L709">_xlfn.XLOOKUP(C709,'Neiva 2021 FASE I UNIFICADO'!$C$6:$C$540,'Neiva 2021 FASE I UNIFICADO'!$C$6:$F$540,"NO ESTA")</f>
        <v>SUMINISTRO E INSTALACION TUBERÍA PVC DE 3/4" INCLUYE ACCESORIOS</v>
      </c>
      <c r="J709" s="9" t="str">
        <v>ML</v>
      </c>
      <c r="K709" s="9">
        <v>31</v>
      </c>
      <c r="L709" s="9">
        <v>4400</v>
      </c>
      <c r="M709" s="124" t="str">
        <f t="shared" si="81"/>
        <v>FASE II</v>
      </c>
      <c r="N709" s="155">
        <f t="shared" si="78"/>
        <v>46</v>
      </c>
      <c r="O709" s="156">
        <f t="shared" si="79"/>
        <v>4755</v>
      </c>
      <c r="P709" s="156">
        <f t="shared" si="80"/>
        <v>218730</v>
      </c>
    </row>
    <row r="710" spans="2:16" s="9" customFormat="1" ht="35.1" customHeight="1" x14ac:dyDescent="0.25">
      <c r="B710" s="23" t="s">
        <v>1012</v>
      </c>
      <c r="C710" s="22" t="s">
        <v>976</v>
      </c>
      <c r="D710" s="10" t="s">
        <v>16</v>
      </c>
      <c r="E710" s="12">
        <v>23</v>
      </c>
      <c r="F710" s="126">
        <v>12928</v>
      </c>
      <c r="G710" s="126">
        <f t="shared" si="85"/>
        <v>297344</v>
      </c>
      <c r="H710" s="8"/>
      <c r="I710" s="9" t="str">
        <f t="array" ref="I710:L710">_xlfn.XLOOKUP(C710,'Neiva 2021 FASE I UNIFICADO'!$C$6:$C$540,'Neiva 2021 FASE I UNIFICADO'!$C$6:$F$540,"NO ESTA")</f>
        <v>SUMINISTRO E INSTALACION CAJA DE PASO 10 x 10 m DOBLE FONDO</v>
      </c>
      <c r="J710" s="9" t="str">
        <v>UND</v>
      </c>
      <c r="K710" s="9">
        <v>4</v>
      </c>
      <c r="L710" s="9">
        <v>11964</v>
      </c>
      <c r="M710" s="124" t="str">
        <f t="shared" si="81"/>
        <v>FASE II</v>
      </c>
      <c r="N710" s="155">
        <f t="shared" ref="N710:N720" si="86">E710+K710</f>
        <v>27</v>
      </c>
      <c r="O710" s="156">
        <f t="shared" ref="O710:O720" si="87">MAX(L710,F710)</f>
        <v>12928</v>
      </c>
      <c r="P710" s="156">
        <f t="shared" ref="P710:P720" si="88">N710*O710</f>
        <v>349056</v>
      </c>
    </row>
    <row r="711" spans="2:16" s="9" customFormat="1" ht="35.1" customHeight="1" x14ac:dyDescent="0.25">
      <c r="B711" s="23" t="s">
        <v>1386</v>
      </c>
      <c r="C711" s="22" t="s">
        <v>1385</v>
      </c>
      <c r="D711" s="10" t="s">
        <v>1182</v>
      </c>
      <c r="E711" s="12">
        <v>0</v>
      </c>
      <c r="F711" s="126">
        <v>2856916</v>
      </c>
      <c r="G711" s="126">
        <f t="shared" si="85"/>
        <v>0</v>
      </c>
      <c r="H711" s="8"/>
      <c r="I711" s="9" t="str">
        <f t="array" ref="I711">_xlfn.XLOOKUP(C711,'Neiva 2021 FASE I UNIFICADO'!$C$6:$C$540,'Neiva 2021 FASE I UNIFICADO'!$C$6:$F$540,"NO ESTA")</f>
        <v>NO ESTA</v>
      </c>
      <c r="M711" s="124">
        <f t="shared" si="81"/>
        <v>0</v>
      </c>
      <c r="N711" s="155">
        <f t="shared" si="86"/>
        <v>0</v>
      </c>
      <c r="O711" s="156">
        <f t="shared" si="87"/>
        <v>2856916</v>
      </c>
      <c r="P711" s="156">
        <f t="shared" si="88"/>
        <v>0</v>
      </c>
    </row>
    <row r="712" spans="2:16" s="9" customFormat="1" ht="35.1" customHeight="1" x14ac:dyDescent="0.25">
      <c r="B712" s="13" t="s">
        <v>1387</v>
      </c>
      <c r="C712" s="14" t="s">
        <v>1388</v>
      </c>
      <c r="D712" s="27"/>
      <c r="E712" s="15"/>
      <c r="F712" s="129"/>
      <c r="G712" s="140"/>
      <c r="H712" s="8"/>
      <c r="I712" s="9" t="str">
        <f t="array" ref="I712">_xlfn.XLOOKUP(C712,'Neiva 2021 FASE I UNIFICADO'!$C$6:$C$540,'Neiva 2021 FASE I UNIFICADO'!$C$6:$F$540,"NO ESTA")</f>
        <v>NO ESTA</v>
      </c>
      <c r="M712" s="124">
        <f t="shared" ref="M712:M720" si="89">IF(L712=0,0,(IF(F712&lt;L712, "FASE I","FASE II")))</f>
        <v>0</v>
      </c>
      <c r="N712" s="155">
        <f t="shared" si="86"/>
        <v>0</v>
      </c>
      <c r="O712" s="156">
        <f t="shared" si="87"/>
        <v>0</v>
      </c>
      <c r="P712" s="156">
        <f t="shared" si="88"/>
        <v>0</v>
      </c>
    </row>
    <row r="713" spans="2:16" s="9" customFormat="1" ht="35.1" customHeight="1" x14ac:dyDescent="0.25">
      <c r="B713" s="23" t="s">
        <v>1389</v>
      </c>
      <c r="C713" s="22" t="s">
        <v>1390</v>
      </c>
      <c r="D713" s="10" t="s">
        <v>16</v>
      </c>
      <c r="E713" s="12">
        <v>64</v>
      </c>
      <c r="F713" s="126">
        <v>385558</v>
      </c>
      <c r="G713" s="126">
        <f t="shared" ref="G713:G720" si="90">ROUND(+F713*E713,2)</f>
        <v>24675712</v>
      </c>
      <c r="H713" s="8"/>
      <c r="I713" s="9" t="str">
        <f t="array" ref="I713">_xlfn.XLOOKUP(C713,'Neiva 2021 FASE I UNIFICADO'!$C$6:$C$540,'Neiva 2021 FASE I UNIFICADO'!$C$6:$F$540,"NO ESTA")</f>
        <v>NO ESTA</v>
      </c>
      <c r="M713" s="124">
        <f t="shared" si="89"/>
        <v>0</v>
      </c>
      <c r="N713" s="155">
        <f t="shared" si="86"/>
        <v>64</v>
      </c>
      <c r="O713" s="156">
        <f t="shared" si="87"/>
        <v>385558</v>
      </c>
      <c r="P713" s="156">
        <f t="shared" si="88"/>
        <v>24675712</v>
      </c>
    </row>
    <row r="714" spans="2:16" s="9" customFormat="1" ht="35.1" customHeight="1" x14ac:dyDescent="0.25">
      <c r="B714" s="23" t="s">
        <v>1391</v>
      </c>
      <c r="C714" s="22" t="s">
        <v>1392</v>
      </c>
      <c r="D714" s="10" t="s">
        <v>16</v>
      </c>
      <c r="E714" s="12">
        <v>2</v>
      </c>
      <c r="F714" s="126">
        <v>8931653</v>
      </c>
      <c r="G714" s="126">
        <f t="shared" si="90"/>
        <v>17863306</v>
      </c>
      <c r="H714" s="8"/>
      <c r="I714" s="9" t="str">
        <f t="array" ref="I714">_xlfn.XLOOKUP(C714,'Neiva 2021 FASE I UNIFICADO'!$C$6:$C$540,'Neiva 2021 FASE I UNIFICADO'!$C$6:$F$540,"NO ESTA")</f>
        <v>NO ESTA</v>
      </c>
      <c r="M714" s="124">
        <f t="shared" si="89"/>
        <v>0</v>
      </c>
      <c r="N714" s="155">
        <f t="shared" si="86"/>
        <v>2</v>
      </c>
      <c r="O714" s="156">
        <f t="shared" si="87"/>
        <v>8931653</v>
      </c>
      <c r="P714" s="156">
        <f t="shared" si="88"/>
        <v>17863306</v>
      </c>
    </row>
    <row r="715" spans="2:16" s="9" customFormat="1" ht="35.1" customHeight="1" x14ac:dyDescent="0.25">
      <c r="B715" s="23" t="s">
        <v>1393</v>
      </c>
      <c r="C715" s="22" t="s">
        <v>1394</v>
      </c>
      <c r="D715" s="10" t="s">
        <v>16</v>
      </c>
      <c r="E715" s="12">
        <v>2</v>
      </c>
      <c r="F715" s="126">
        <v>16541720</v>
      </c>
      <c r="G715" s="126">
        <f t="shared" si="90"/>
        <v>33083440</v>
      </c>
      <c r="H715" s="8"/>
      <c r="I715" s="9" t="str">
        <f t="array" ref="I715">_xlfn.XLOOKUP(C715,'Neiva 2021 FASE I UNIFICADO'!$C$6:$C$540,'Neiva 2021 FASE I UNIFICADO'!$C$6:$F$540,"NO ESTA")</f>
        <v>NO ESTA</v>
      </c>
      <c r="M715" s="124">
        <f t="shared" si="89"/>
        <v>0</v>
      </c>
      <c r="N715" s="155">
        <f t="shared" si="86"/>
        <v>2</v>
      </c>
      <c r="O715" s="156">
        <f t="shared" si="87"/>
        <v>16541720</v>
      </c>
      <c r="P715" s="156">
        <f t="shared" si="88"/>
        <v>33083440</v>
      </c>
    </row>
    <row r="716" spans="2:16" s="9" customFormat="1" ht="35.1" customHeight="1" x14ac:dyDescent="0.25">
      <c r="B716" s="23" t="s">
        <v>1395</v>
      </c>
      <c r="C716" s="22" t="s">
        <v>1396</v>
      </c>
      <c r="D716" s="10" t="s">
        <v>16</v>
      </c>
      <c r="E716" s="12">
        <v>2</v>
      </c>
      <c r="F716" s="126">
        <v>1641662</v>
      </c>
      <c r="G716" s="126">
        <f t="shared" si="90"/>
        <v>3283324</v>
      </c>
      <c r="H716" s="8"/>
      <c r="I716" s="9" t="str">
        <f t="array" ref="I716">_xlfn.XLOOKUP(C716,'Neiva 2021 FASE I UNIFICADO'!$C$6:$C$540,'Neiva 2021 FASE I UNIFICADO'!$C$6:$F$540,"NO ESTA")</f>
        <v>NO ESTA</v>
      </c>
      <c r="M716" s="124">
        <f t="shared" si="89"/>
        <v>0</v>
      </c>
      <c r="N716" s="155">
        <f t="shared" si="86"/>
        <v>2</v>
      </c>
      <c r="O716" s="156">
        <f t="shared" si="87"/>
        <v>1641662</v>
      </c>
      <c r="P716" s="156">
        <f t="shared" si="88"/>
        <v>3283324</v>
      </c>
    </row>
    <row r="717" spans="2:16" s="9" customFormat="1" ht="35.1" customHeight="1" x14ac:dyDescent="0.25">
      <c r="B717" s="23" t="s">
        <v>1397</v>
      </c>
      <c r="C717" s="22" t="s">
        <v>968</v>
      </c>
      <c r="D717" s="10" t="s">
        <v>94</v>
      </c>
      <c r="E717" s="12">
        <v>159</v>
      </c>
      <c r="F717" s="126">
        <v>16039</v>
      </c>
      <c r="G717" s="126">
        <f t="shared" si="90"/>
        <v>2550201</v>
      </c>
      <c r="H717" s="8"/>
      <c r="I717" s="9" t="str">
        <f t="array" ref="I717:L717">_xlfn.XLOOKUP(C717,'Neiva 2021 FASE I UNIFICADO'!$C$6:$C$540,'Neiva 2021 FASE I UNIFICADO'!$C$6:$F$540,"NO ESTA")</f>
        <v>SUMINISTRO E INSTALACION TUBERÍA EMT DE 3/4" INCLUYE ACCESORIOS</v>
      </c>
      <c r="J717" s="9" t="str">
        <v>ML</v>
      </c>
      <c r="K717" s="9">
        <v>61</v>
      </c>
      <c r="L717" s="9">
        <v>14844</v>
      </c>
      <c r="M717" s="124" t="str">
        <f t="shared" si="89"/>
        <v>FASE II</v>
      </c>
      <c r="N717" s="155">
        <f t="shared" si="86"/>
        <v>220</v>
      </c>
      <c r="O717" s="156">
        <f t="shared" si="87"/>
        <v>16039</v>
      </c>
      <c r="P717" s="156">
        <f t="shared" si="88"/>
        <v>3528580</v>
      </c>
    </row>
    <row r="718" spans="2:16" s="9" customFormat="1" ht="35.1" customHeight="1" x14ac:dyDescent="0.25">
      <c r="B718" s="23" t="s">
        <v>1398</v>
      </c>
      <c r="C718" s="22" t="s">
        <v>976</v>
      </c>
      <c r="D718" s="10" t="s">
        <v>16</v>
      </c>
      <c r="E718" s="12">
        <v>4</v>
      </c>
      <c r="F718" s="126">
        <v>12928</v>
      </c>
      <c r="G718" s="126">
        <f t="shared" si="90"/>
        <v>51712</v>
      </c>
      <c r="H718" s="8"/>
      <c r="I718" s="9" t="str">
        <f t="array" ref="I718:L718">_xlfn.XLOOKUP(C718,'Neiva 2021 FASE I UNIFICADO'!$C$6:$C$540,'Neiva 2021 FASE I UNIFICADO'!$C$6:$F$540,"NO ESTA")</f>
        <v>SUMINISTRO E INSTALACION CAJA DE PASO 10 x 10 m DOBLE FONDO</v>
      </c>
      <c r="J718" s="9" t="str">
        <v>UND</v>
      </c>
      <c r="K718" s="9">
        <v>4</v>
      </c>
      <c r="L718" s="9">
        <v>11964</v>
      </c>
      <c r="M718" s="124" t="str">
        <f t="shared" si="89"/>
        <v>FASE II</v>
      </c>
      <c r="N718" s="155">
        <f t="shared" si="86"/>
        <v>8</v>
      </c>
      <c r="O718" s="156">
        <f t="shared" si="87"/>
        <v>12928</v>
      </c>
      <c r="P718" s="156">
        <f t="shared" si="88"/>
        <v>103424</v>
      </c>
    </row>
    <row r="719" spans="2:16" s="9" customFormat="1" ht="35.1" customHeight="1" x14ac:dyDescent="0.25">
      <c r="B719" s="23" t="s">
        <v>1399</v>
      </c>
      <c r="C719" s="22" t="s">
        <v>1400</v>
      </c>
      <c r="D719" s="23" t="s">
        <v>94</v>
      </c>
      <c r="E719" s="12">
        <v>2380</v>
      </c>
      <c r="F719" s="126">
        <v>8415</v>
      </c>
      <c r="G719" s="126">
        <f t="shared" si="90"/>
        <v>20027700</v>
      </c>
      <c r="H719" s="8"/>
      <c r="I719" s="9" t="str">
        <f t="array" ref="I719">_xlfn.XLOOKUP(C719,'Neiva 2021 FASE I UNIFICADO'!$C$6:$C$540,'Neiva 2021 FASE I UNIFICADO'!$C$6:$F$540,"NO ESTA")</f>
        <v>NO ESTA</v>
      </c>
      <c r="M719" s="124">
        <f t="shared" si="89"/>
        <v>0</v>
      </c>
      <c r="N719" s="155">
        <f t="shared" si="86"/>
        <v>2380</v>
      </c>
      <c r="O719" s="156">
        <f t="shared" si="87"/>
        <v>8415</v>
      </c>
      <c r="P719" s="156">
        <f t="shared" si="88"/>
        <v>20027700</v>
      </c>
    </row>
    <row r="720" spans="2:16" s="9" customFormat="1" ht="35.1" customHeight="1" x14ac:dyDescent="0.25">
      <c r="B720" s="23" t="s">
        <v>1401</v>
      </c>
      <c r="C720" s="22" t="s">
        <v>1385</v>
      </c>
      <c r="D720" s="10" t="s">
        <v>1182</v>
      </c>
      <c r="E720" s="12">
        <v>1</v>
      </c>
      <c r="F720" s="126">
        <v>2856916</v>
      </c>
      <c r="G720" s="126">
        <f t="shared" si="90"/>
        <v>2856916</v>
      </c>
      <c r="H720" s="8"/>
      <c r="I720" s="9" t="str">
        <f t="array" ref="I720">_xlfn.XLOOKUP(C720,'Neiva 2021 FASE I UNIFICADO'!$C$6:$C$540,'Neiva 2021 FASE I UNIFICADO'!$C$6:$F$540,"NO ESTA")</f>
        <v>NO ESTA</v>
      </c>
      <c r="M720" s="124">
        <f t="shared" si="89"/>
        <v>0</v>
      </c>
      <c r="N720" s="155">
        <f t="shared" si="86"/>
        <v>1</v>
      </c>
      <c r="O720" s="156">
        <f t="shared" si="87"/>
        <v>2856916</v>
      </c>
      <c r="P720" s="156">
        <f t="shared" si="88"/>
        <v>2856916</v>
      </c>
    </row>
    <row r="721" spans="2:17" ht="15" x14ac:dyDescent="0.25">
      <c r="B721" s="428" t="s">
        <v>1032</v>
      </c>
      <c r="C721" s="429"/>
      <c r="D721" s="429"/>
      <c r="E721" s="429"/>
      <c r="F721" s="430"/>
      <c r="G721" s="65">
        <f>SUM(G1:G720)</f>
        <v>6146856494.7799988</v>
      </c>
      <c r="I721" s="65">
        <f>6353512589.28+5886807197</f>
        <v>12240319786.279999</v>
      </c>
      <c r="N721" s="157"/>
      <c r="O721" s="157"/>
      <c r="P721" s="158">
        <f>SUM(P6:P720)</f>
        <v>10076524060.407099</v>
      </c>
      <c r="Q721" s="1">
        <v>2496440694.52</v>
      </c>
    </row>
    <row r="722" spans="2:17" x14ac:dyDescent="0.25">
      <c r="B722" s="425" t="s">
        <v>1034</v>
      </c>
      <c r="C722" s="425"/>
      <c r="D722" s="425"/>
      <c r="E722" s="425"/>
      <c r="F722" s="136">
        <v>0.23300000000000001</v>
      </c>
      <c r="G722" s="66">
        <f>F722*G721</f>
        <v>1432217563.2837398</v>
      </c>
      <c r="N722" s="157"/>
      <c r="O722" s="157"/>
      <c r="P722" s="157"/>
    </row>
    <row r="723" spans="2:17" x14ac:dyDescent="0.25">
      <c r="B723" s="425" t="s">
        <v>1035</v>
      </c>
      <c r="C723" s="425"/>
      <c r="D723" s="425"/>
      <c r="E723" s="425"/>
      <c r="F723" s="137">
        <v>0.03</v>
      </c>
      <c r="G723" s="66">
        <f>F723*G721</f>
        <v>184405694.84339994</v>
      </c>
      <c r="N723" s="157"/>
      <c r="O723" s="157"/>
      <c r="P723" s="158">
        <f>P721+Q721</f>
        <v>12572964754.927099</v>
      </c>
    </row>
    <row r="724" spans="2:17" x14ac:dyDescent="0.25">
      <c r="B724" s="425" t="s">
        <v>1036</v>
      </c>
      <c r="C724" s="425"/>
      <c r="D724" s="425"/>
      <c r="E724" s="425"/>
      <c r="F724" s="136">
        <v>0.05</v>
      </c>
      <c r="G724" s="66">
        <f>F724*G721</f>
        <v>307342824.73899996</v>
      </c>
    </row>
    <row r="725" spans="2:17" ht="15" x14ac:dyDescent="0.25">
      <c r="B725" s="431" t="s">
        <v>1033</v>
      </c>
      <c r="C725" s="432"/>
      <c r="D725" s="432"/>
      <c r="E725" s="432"/>
      <c r="F725" s="433"/>
      <c r="G725" s="67">
        <f>G722+G723+G724</f>
        <v>1923966082.8661399</v>
      </c>
    </row>
    <row r="726" spans="2:17" x14ac:dyDescent="0.25">
      <c r="B726" s="425" t="s">
        <v>1038</v>
      </c>
      <c r="C726" s="425"/>
      <c r="D726" s="425"/>
      <c r="E726" s="425"/>
      <c r="F726" s="136">
        <v>0.19</v>
      </c>
      <c r="G726" s="66">
        <f>F726*G724</f>
        <v>58395136.700409994</v>
      </c>
    </row>
    <row r="727" spans="2:17" x14ac:dyDescent="0.25">
      <c r="B727" s="426" t="s">
        <v>1402</v>
      </c>
      <c r="C727" s="426"/>
      <c r="D727" s="426"/>
      <c r="E727" s="426"/>
      <c r="F727" s="138"/>
      <c r="G727" s="65">
        <f>G721+G725+G726</f>
        <v>8129217714.346549</v>
      </c>
    </row>
    <row r="728" spans="2:17" x14ac:dyDescent="0.3">
      <c r="E728"/>
    </row>
    <row r="729" spans="2:17" x14ac:dyDescent="0.3">
      <c r="E729"/>
      <c r="H729" s="1">
        <f>G721+'Neiva 2021 FASE I UNIFICADO'!G541</f>
        <v>11784427296.939997</v>
      </c>
      <c r="I729" s="146">
        <f>H729-I721</f>
        <v>-455892489.34000206</v>
      </c>
      <c r="K729" s="1">
        <f>+P723-H729</f>
        <v>788537457.98710251</v>
      </c>
      <c r="M729" s="152">
        <f>+P723-I721</f>
        <v>332644968.64710045</v>
      </c>
    </row>
    <row r="730" spans="2:17" x14ac:dyDescent="0.3">
      <c r="E730"/>
    </row>
    <row r="731" spans="2:17" x14ac:dyDescent="0.3">
      <c r="E731"/>
    </row>
    <row r="732" spans="2:17" x14ac:dyDescent="0.3">
      <c r="E732"/>
    </row>
    <row r="733" spans="2:17" x14ac:dyDescent="0.3">
      <c r="E733"/>
    </row>
    <row r="734" spans="2:17" x14ac:dyDescent="0.3">
      <c r="E734"/>
    </row>
    <row r="735" spans="2:17" x14ac:dyDescent="0.3">
      <c r="E735"/>
    </row>
    <row r="736" spans="2:17" x14ac:dyDescent="0.3">
      <c r="E736"/>
    </row>
    <row r="737" spans="5:5" x14ac:dyDescent="0.3">
      <c r="E737"/>
    </row>
    <row r="738" spans="5:5" x14ac:dyDescent="0.3">
      <c r="E738"/>
    </row>
    <row r="739" spans="5:5" x14ac:dyDescent="0.3">
      <c r="E739"/>
    </row>
    <row r="740" spans="5:5" x14ac:dyDescent="0.3">
      <c r="E740"/>
    </row>
    <row r="741" spans="5:5" x14ac:dyDescent="0.3">
      <c r="E741"/>
    </row>
    <row r="742" spans="5:5" x14ac:dyDescent="0.3">
      <c r="E742"/>
    </row>
    <row r="743" spans="5:5" x14ac:dyDescent="0.3">
      <c r="E743"/>
    </row>
    <row r="744" spans="5:5" x14ac:dyDescent="0.3">
      <c r="E744"/>
    </row>
    <row r="745" spans="5:5" x14ac:dyDescent="0.3">
      <c r="E745"/>
    </row>
    <row r="746" spans="5:5" x14ac:dyDescent="0.3">
      <c r="E746"/>
    </row>
    <row r="747" spans="5:5" x14ac:dyDescent="0.3">
      <c r="E747"/>
    </row>
    <row r="748" spans="5:5" x14ac:dyDescent="0.3">
      <c r="E748"/>
    </row>
    <row r="749" spans="5:5" x14ac:dyDescent="0.3">
      <c r="E749"/>
    </row>
    <row r="750" spans="5:5" x14ac:dyDescent="0.3">
      <c r="E750"/>
    </row>
    <row r="751" spans="5:5" x14ac:dyDescent="0.3">
      <c r="E751"/>
    </row>
    <row r="752" spans="5:5" x14ac:dyDescent="0.3">
      <c r="E752"/>
    </row>
    <row r="753" spans="5:5" x14ac:dyDescent="0.3">
      <c r="E753"/>
    </row>
    <row r="754" spans="5:5" x14ac:dyDescent="0.3">
      <c r="E754"/>
    </row>
    <row r="755" spans="5:5" x14ac:dyDescent="0.3">
      <c r="E755"/>
    </row>
    <row r="756" spans="5:5" x14ac:dyDescent="0.3">
      <c r="E756"/>
    </row>
    <row r="757" spans="5:5" x14ac:dyDescent="0.3">
      <c r="E757"/>
    </row>
    <row r="758" spans="5:5" x14ac:dyDescent="0.3">
      <c r="E758"/>
    </row>
    <row r="759" spans="5:5" x14ac:dyDescent="0.3">
      <c r="E759"/>
    </row>
    <row r="760" spans="5:5" x14ac:dyDescent="0.3">
      <c r="E760"/>
    </row>
    <row r="761" spans="5:5" x14ac:dyDescent="0.3">
      <c r="E761"/>
    </row>
    <row r="762" spans="5:5" x14ac:dyDescent="0.3">
      <c r="E762"/>
    </row>
    <row r="763" spans="5:5" x14ac:dyDescent="0.3">
      <c r="E763"/>
    </row>
    <row r="764" spans="5:5" x14ac:dyDescent="0.3">
      <c r="E764"/>
    </row>
    <row r="765" spans="5:5" x14ac:dyDescent="0.3">
      <c r="E765"/>
    </row>
    <row r="766" spans="5:5" x14ac:dyDescent="0.3">
      <c r="E766"/>
    </row>
    <row r="767" spans="5:5" x14ac:dyDescent="0.3">
      <c r="E767"/>
    </row>
    <row r="768" spans="5:5" x14ac:dyDescent="0.3">
      <c r="E768"/>
    </row>
    <row r="769" spans="5:5" x14ac:dyDescent="0.3">
      <c r="E769"/>
    </row>
    <row r="770" spans="5:5" x14ac:dyDescent="0.3">
      <c r="E770"/>
    </row>
    <row r="771" spans="5:5" x14ac:dyDescent="0.3">
      <c r="E771"/>
    </row>
    <row r="772" spans="5:5" x14ac:dyDescent="0.3">
      <c r="E772"/>
    </row>
    <row r="773" spans="5:5" x14ac:dyDescent="0.3">
      <c r="E773"/>
    </row>
    <row r="774" spans="5:5" x14ac:dyDescent="0.3">
      <c r="E774"/>
    </row>
    <row r="775" spans="5:5" x14ac:dyDescent="0.3">
      <c r="E775"/>
    </row>
    <row r="776" spans="5:5" x14ac:dyDescent="0.3">
      <c r="E776"/>
    </row>
    <row r="777" spans="5:5" x14ac:dyDescent="0.3">
      <c r="E777"/>
    </row>
    <row r="778" spans="5:5" x14ac:dyDescent="0.3">
      <c r="E778"/>
    </row>
    <row r="779" spans="5:5" x14ac:dyDescent="0.3">
      <c r="E779"/>
    </row>
    <row r="780" spans="5:5" x14ac:dyDescent="0.3">
      <c r="E780"/>
    </row>
    <row r="781" spans="5:5" x14ac:dyDescent="0.3">
      <c r="E781"/>
    </row>
    <row r="782" spans="5:5" x14ac:dyDescent="0.3">
      <c r="E782"/>
    </row>
    <row r="783" spans="5:5" x14ac:dyDescent="0.3">
      <c r="E783"/>
    </row>
    <row r="784" spans="5:5" x14ac:dyDescent="0.3">
      <c r="E784"/>
    </row>
    <row r="785" spans="5:5" x14ac:dyDescent="0.3">
      <c r="E785"/>
    </row>
    <row r="786" spans="5:5" x14ac:dyDescent="0.3">
      <c r="E786"/>
    </row>
    <row r="787" spans="5:5" x14ac:dyDescent="0.3">
      <c r="E787"/>
    </row>
    <row r="788" spans="5:5" x14ac:dyDescent="0.3">
      <c r="E788"/>
    </row>
    <row r="789" spans="5:5" x14ac:dyDescent="0.3">
      <c r="E789"/>
    </row>
    <row r="790" spans="5:5" x14ac:dyDescent="0.3">
      <c r="E790"/>
    </row>
    <row r="1048564" spans="9:9" x14ac:dyDescent="0.3">
      <c r="I1048564" s="68"/>
    </row>
    <row r="1048576" spans="9:9" ht="15" customHeight="1" x14ac:dyDescent="0.3"/>
  </sheetData>
  <mergeCells count="8">
    <mergeCell ref="B726:E726"/>
    <mergeCell ref="B727:E727"/>
    <mergeCell ref="B2:G3"/>
    <mergeCell ref="B721:F721"/>
    <mergeCell ref="B722:E722"/>
    <mergeCell ref="B723:E723"/>
    <mergeCell ref="B724:E724"/>
    <mergeCell ref="B725:F725"/>
  </mergeCells>
  <conditionalFormatting sqref="G2:G4 G6:G15 G18:G21 G23:G26 G28 G30:G31 G34:G35 G37:G39 G41:G45 G47:G48 G50:G52 G58:G59 G61:G62 G64:G67 G70:G79 G81:G86 G88:G93 G95:G100 G102:G107 G109:G111 G118:G119 G121:G125 G127:G129 G131:G133 G135:G136 G150:G153 G155 G158:G161 G163:G169 G171:G176 G178:G183 G199:G204 G206:G211 G213:G220 G222 G225 G227:G228 G230 G233:G235 G237:G238 G240 G242:G246 G248:G251 G253:G258 G260 G263:G291 G293:G311 G313:G320 G322:G344 G347:G359 G361:G375 G378:G393 G395:G399 G401:G404 G407:G412 G414:G415 G417:G430 G432:G450 G452:G460 G462:G490 G492:G503 G505 G507:G511 G514:G522 G525:G539 G541:G548 G550:G557 G559:G595 G597:G602 G604:G617 G619:G623 G625:G635 G638:G641 G643 G645:G650 G652:G654 G656:G658 G660:G671 G673:G676 G678:G679 G682:G688 G690:G699 G701:G711 G763:G1048576 G726:G727 G713:G724 G54:G56 G113:G116 G138:G148 G185:G197">
    <cfRule type="cellIs" dxfId="60" priority="3" operator="equal">
      <formula>0</formula>
    </cfRule>
  </conditionalFormatting>
  <conditionalFormatting sqref="G725">
    <cfRule type="cellIs" dxfId="59" priority="2" operator="equal">
      <formula>0</formula>
    </cfRule>
  </conditionalFormatting>
  <conditionalFormatting sqref="I721">
    <cfRule type="cellIs" dxfId="58" priority="1" operator="equal">
      <formula>0</formula>
    </cfRule>
  </conditionalFormatting>
  <printOptions horizontalCentered="1"/>
  <pageMargins left="0.70866141732283472" right="0.70866141732283472" top="0.74803149606299213" bottom="0.74803149606299213" header="0.31496062992125984" footer="0.31496062992125984"/>
  <pageSetup scale="5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Q1048576"/>
  <sheetViews>
    <sheetView view="pageBreakPreview" zoomScale="60" zoomScaleNormal="91" workbookViewId="0">
      <pane ySplit="5" topLeftCell="A6" activePane="bottomLeft" state="frozen"/>
      <selection activeCell="M553" sqref="M553"/>
      <selection pane="bottomLeft" activeCell="M553" sqref="M553"/>
    </sheetView>
  </sheetViews>
  <sheetFormatPr baseColWidth="10" defaultColWidth="11.42578125" defaultRowHeight="16.5" x14ac:dyDescent="0.3"/>
  <cols>
    <col min="1" max="1" width="4.5703125" customWidth="1"/>
    <col min="2" max="2" width="9" customWidth="1"/>
    <col min="3" max="3" width="62" customWidth="1"/>
    <col min="4" max="4" width="10.28515625" customWidth="1"/>
    <col min="5" max="5" width="15.42578125" style="69" customWidth="1"/>
    <col min="6" max="6" width="18.42578125" style="139" customWidth="1"/>
    <col min="7" max="7" width="17.42578125" style="139" customWidth="1"/>
    <col min="8" max="8" width="20.140625" style="1" hidden="1" customWidth="1"/>
    <col min="9" max="9" width="59.28515625" customWidth="1"/>
    <col min="11" max="11" width="14.85546875" bestFit="1" customWidth="1"/>
    <col min="13" max="13" width="16.28515625" style="118" customWidth="1"/>
    <col min="15" max="15" width="15.140625" customWidth="1"/>
    <col min="16" max="16" width="21.28515625" customWidth="1"/>
    <col min="17" max="17" width="17" customWidth="1"/>
  </cols>
  <sheetData>
    <row r="2" spans="2:16" ht="15" customHeight="1" x14ac:dyDescent="0.25">
      <c r="B2" s="427" t="s">
        <v>1042</v>
      </c>
      <c r="C2" s="427"/>
      <c r="D2" s="427"/>
      <c r="E2" s="427"/>
      <c r="F2" s="427"/>
      <c r="G2" s="427"/>
    </row>
    <row r="3" spans="2:16" ht="23.25" customHeight="1" x14ac:dyDescent="0.25">
      <c r="B3" s="427"/>
      <c r="C3" s="427"/>
      <c r="D3" s="427"/>
      <c r="E3" s="427"/>
      <c r="F3" s="427"/>
      <c r="G3" s="427"/>
      <c r="H3" s="1">
        <v>0.95279999999999998</v>
      </c>
    </row>
    <row r="4" spans="2:16" ht="27" customHeight="1" x14ac:dyDescent="0.25">
      <c r="B4" s="2" t="s">
        <v>1</v>
      </c>
      <c r="C4" s="2" t="s">
        <v>2</v>
      </c>
      <c r="D4" s="2" t="s">
        <v>3</v>
      </c>
      <c r="E4" s="3" t="s">
        <v>4</v>
      </c>
      <c r="F4" s="2" t="s">
        <v>5</v>
      </c>
      <c r="G4" s="2" t="s">
        <v>6</v>
      </c>
      <c r="I4" s="123" t="s">
        <v>1043</v>
      </c>
      <c r="J4" t="s">
        <v>16</v>
      </c>
      <c r="K4" t="s">
        <v>1044</v>
      </c>
      <c r="L4" t="s">
        <v>1045</v>
      </c>
      <c r="M4" s="118" t="s">
        <v>1046</v>
      </c>
    </row>
    <row r="5" spans="2:16" s="9" customFormat="1" ht="35.1" customHeight="1" x14ac:dyDescent="0.25">
      <c r="B5" s="4" t="s">
        <v>9</v>
      </c>
      <c r="C5" s="5" t="s">
        <v>10</v>
      </c>
      <c r="D5" s="6"/>
      <c r="E5" s="7"/>
      <c r="F5" s="125"/>
      <c r="G5" s="7"/>
      <c r="H5" s="8"/>
      <c r="M5" s="124"/>
      <c r="N5" s="153" t="s">
        <v>1047</v>
      </c>
      <c r="O5" s="153" t="s">
        <v>1048</v>
      </c>
      <c r="P5" s="154" t="s">
        <v>1041</v>
      </c>
    </row>
    <row r="6" spans="2:16" s="9" customFormat="1" ht="35.1" customHeight="1" x14ac:dyDescent="0.25">
      <c r="B6" s="10" t="s">
        <v>11</v>
      </c>
      <c r="C6" s="11" t="s">
        <v>12</v>
      </c>
      <c r="D6" s="10" t="s">
        <v>13</v>
      </c>
      <c r="E6" s="12">
        <v>295</v>
      </c>
      <c r="F6" s="126">
        <v>23484</v>
      </c>
      <c r="G6" s="126">
        <f t="shared" ref="G6:G15" si="0">ROUND(+F6*E6,2)</f>
        <v>6927780</v>
      </c>
      <c r="H6" s="8"/>
      <c r="I6" s="9" t="str">
        <f t="array" ref="I6:L6">_xlfn.XLOOKUP(C6,'Neiva 2021 FASE I UNIFICADO'!$C$6:$C$540,'Neiva 2021 FASE I UNIFICADO'!$C$6:$F$540,"NO ESTA")</f>
        <v>DESCAPOTE A MAQUINA (INCLUYE RETIRO)</v>
      </c>
      <c r="J6" s="9" t="str">
        <v>M2</v>
      </c>
      <c r="K6" s="9">
        <v>250</v>
      </c>
      <c r="L6" s="9">
        <v>25729</v>
      </c>
      <c r="M6" s="124" t="str">
        <f>IF(L6=0,0,(IF(F6&lt;L6, "FASE I","FASE II")))</f>
        <v>FASE I</v>
      </c>
      <c r="N6" s="155">
        <f t="shared" ref="N6:N69" si="1">E6+K6</f>
        <v>545</v>
      </c>
      <c r="O6" s="156">
        <f t="shared" ref="O6:O69" si="2">MAX(L6,F6)</f>
        <v>25729</v>
      </c>
      <c r="P6" s="156">
        <f t="shared" ref="P6:P69" si="3">N6*O6</f>
        <v>14022305</v>
      </c>
    </row>
    <row r="7" spans="2:16" s="9" customFormat="1" ht="35.1" customHeight="1" x14ac:dyDescent="0.25">
      <c r="B7" s="10" t="s">
        <v>1049</v>
      </c>
      <c r="C7" s="11" t="s">
        <v>1050</v>
      </c>
      <c r="D7" s="10" t="s">
        <v>13</v>
      </c>
      <c r="E7" s="12">
        <v>580</v>
      </c>
      <c r="F7" s="126">
        <v>3467</v>
      </c>
      <c r="G7" s="126">
        <f t="shared" si="0"/>
        <v>2010860</v>
      </c>
      <c r="H7" s="8"/>
      <c r="I7" s="9" t="str">
        <f t="array" ref="I7">_xlfn.XLOOKUP(C7,'Neiva 2021 FASE I UNIFICADO'!$C$6:$C$540,'Neiva 2021 FASE I UNIFICADO'!$C$6:$F$540,"NO ESTA")</f>
        <v>NO ESTA</v>
      </c>
      <c r="M7" s="124">
        <f>IF(L7=0,0,(IF(F7&lt;L7, "FASE I","FASE II")))</f>
        <v>0</v>
      </c>
      <c r="N7" s="155">
        <f t="shared" si="1"/>
        <v>580</v>
      </c>
      <c r="O7" s="156">
        <f t="shared" si="2"/>
        <v>3467</v>
      </c>
      <c r="P7" s="156">
        <f t="shared" si="3"/>
        <v>2010860</v>
      </c>
    </row>
    <row r="8" spans="2:16" s="9" customFormat="1" ht="35.1" customHeight="1" x14ac:dyDescent="0.25">
      <c r="B8" s="10" t="s">
        <v>1051</v>
      </c>
      <c r="C8" s="11" t="s">
        <v>1052</v>
      </c>
      <c r="D8" s="10" t="s">
        <v>94</v>
      </c>
      <c r="E8" s="12">
        <v>40</v>
      </c>
      <c r="F8" s="126">
        <v>33564</v>
      </c>
      <c r="G8" s="126">
        <f t="shared" si="0"/>
        <v>1342560</v>
      </c>
      <c r="H8" s="8"/>
      <c r="I8" s="9" t="str">
        <f t="array" ref="I8">_xlfn.XLOOKUP(C8,'Neiva 2021 FASE I UNIFICADO'!$C$6:$C$540,'Neiva 2021 FASE I UNIFICADO'!$C$6:$F$540,"NO ESTA")</f>
        <v>NO ESTA</v>
      </c>
      <c r="M8" s="124">
        <f t="shared" ref="M8:M71" si="4">IF(L8=0,0,(IF(F8&lt;L8, "FASE I","FASE II")))</f>
        <v>0</v>
      </c>
      <c r="N8" s="155">
        <f t="shared" si="1"/>
        <v>40</v>
      </c>
      <c r="O8" s="156">
        <f t="shared" si="2"/>
        <v>33564</v>
      </c>
      <c r="P8" s="156">
        <f t="shared" si="3"/>
        <v>1342560</v>
      </c>
    </row>
    <row r="9" spans="2:16" s="9" customFormat="1" ht="35.1" customHeight="1" x14ac:dyDescent="0.25">
      <c r="B9" s="10" t="s">
        <v>14</v>
      </c>
      <c r="C9" s="11" t="s">
        <v>15</v>
      </c>
      <c r="D9" s="10" t="s">
        <v>16</v>
      </c>
      <c r="E9" s="12">
        <v>0</v>
      </c>
      <c r="F9" s="126">
        <v>35057</v>
      </c>
      <c r="G9" s="126">
        <f t="shared" si="0"/>
        <v>0</v>
      </c>
      <c r="H9" s="8"/>
      <c r="I9" s="9" t="str">
        <f t="array" ref="I9:L9">_xlfn.XLOOKUP(C9,'Neiva 2021 FASE I UNIFICADO'!$C$6:$C$540,'Neiva 2021 FASE I UNIFICADO'!$C$6:$F$540,"NO ESTA")</f>
        <v>BARRERA DE PROTECCIÓN PARA ARBOLES EXISTENTES</v>
      </c>
      <c r="J9" s="9" t="str">
        <v>UND</v>
      </c>
      <c r="K9" s="9">
        <v>8</v>
      </c>
      <c r="L9" s="9">
        <v>32444</v>
      </c>
      <c r="M9" s="124" t="str">
        <f t="shared" si="4"/>
        <v>FASE II</v>
      </c>
      <c r="N9" s="155">
        <f t="shared" si="1"/>
        <v>8</v>
      </c>
      <c r="O9" s="156">
        <f t="shared" si="2"/>
        <v>35057</v>
      </c>
      <c r="P9" s="156">
        <f t="shared" si="3"/>
        <v>280456</v>
      </c>
    </row>
    <row r="10" spans="2:16" s="9" customFormat="1" ht="35.1" customHeight="1" x14ac:dyDescent="0.25">
      <c r="B10" s="13" t="s">
        <v>17</v>
      </c>
      <c r="C10" s="14" t="s">
        <v>18</v>
      </c>
      <c r="D10" s="13"/>
      <c r="E10" s="15"/>
      <c r="F10" s="126">
        <v>0</v>
      </c>
      <c r="G10" s="126">
        <f t="shared" si="0"/>
        <v>0</v>
      </c>
      <c r="H10" s="8"/>
      <c r="I10" s="9" t="str">
        <f t="array" ref="I10:L10">_xlfn.XLOOKUP(C10,'Neiva 2021 FASE I UNIFICADO'!$C$6:$C$540,'Neiva 2021 FASE I UNIFICADO'!$C$6:$F$540,"NO ESTA")</f>
        <v>INSTALACION SERVICIOS PROVISIONALES</v>
      </c>
      <c r="J10" s="9">
        <v>0</v>
      </c>
      <c r="K10" s="9">
        <v>0</v>
      </c>
      <c r="L10" s="9">
        <v>0</v>
      </c>
      <c r="M10" s="124">
        <f t="shared" si="4"/>
        <v>0</v>
      </c>
      <c r="N10" s="155">
        <f t="shared" si="1"/>
        <v>0</v>
      </c>
      <c r="O10" s="156">
        <f t="shared" si="2"/>
        <v>0</v>
      </c>
      <c r="P10" s="156">
        <f t="shared" si="3"/>
        <v>0</v>
      </c>
    </row>
    <row r="11" spans="2:16" s="9" customFormat="1" ht="35.1" customHeight="1" x14ac:dyDescent="0.25">
      <c r="B11" s="10" t="s">
        <v>1053</v>
      </c>
      <c r="C11" s="11" t="s">
        <v>1054</v>
      </c>
      <c r="D11" s="10" t="s">
        <v>374</v>
      </c>
      <c r="E11" s="12">
        <v>0</v>
      </c>
      <c r="F11" s="126">
        <v>549836</v>
      </c>
      <c r="G11" s="126">
        <f t="shared" si="0"/>
        <v>0</v>
      </c>
      <c r="H11" s="8"/>
      <c r="I11" s="9" t="str">
        <f t="array" ref="I11">_xlfn.XLOOKUP(C11,'Neiva 2021 FASE I UNIFICADO'!$C$6:$C$540,'Neiva 2021 FASE I UNIFICADO'!$C$6:$F$540,"NO ESTA")</f>
        <v>NO ESTA</v>
      </c>
      <c r="M11" s="124">
        <f t="shared" si="4"/>
        <v>0</v>
      </c>
      <c r="N11" s="155">
        <f t="shared" si="1"/>
        <v>0</v>
      </c>
      <c r="O11" s="156">
        <f t="shared" si="2"/>
        <v>549836</v>
      </c>
      <c r="P11" s="156">
        <f t="shared" si="3"/>
        <v>0</v>
      </c>
    </row>
    <row r="12" spans="2:16" s="9" customFormat="1" ht="35.1" customHeight="1" x14ac:dyDescent="0.25">
      <c r="B12" s="10" t="s">
        <v>1055</v>
      </c>
      <c r="C12" s="11" t="s">
        <v>1056</v>
      </c>
      <c r="D12" s="10" t="s">
        <v>374</v>
      </c>
      <c r="E12" s="12">
        <v>0</v>
      </c>
      <c r="F12" s="126">
        <v>3940517</v>
      </c>
      <c r="G12" s="126">
        <f t="shared" si="0"/>
        <v>0</v>
      </c>
      <c r="H12" s="8"/>
      <c r="I12" s="9" t="str">
        <f t="array" ref="I12">_xlfn.XLOOKUP(C12,'Neiva 2021 FASE I UNIFICADO'!$C$6:$C$540,'Neiva 2021 FASE I UNIFICADO'!$C$6:$F$540,"NO ESTA")</f>
        <v>NO ESTA</v>
      </c>
      <c r="M12" s="124">
        <f t="shared" si="4"/>
        <v>0</v>
      </c>
      <c r="N12" s="155">
        <f t="shared" si="1"/>
        <v>0</v>
      </c>
      <c r="O12" s="156">
        <f t="shared" si="2"/>
        <v>3940517</v>
      </c>
      <c r="P12" s="156">
        <f t="shared" si="3"/>
        <v>0</v>
      </c>
    </row>
    <row r="13" spans="2:16" s="9" customFormat="1" ht="35.1" customHeight="1" x14ac:dyDescent="0.25">
      <c r="B13" s="13" t="s">
        <v>19</v>
      </c>
      <c r="C13" s="14" t="s">
        <v>20</v>
      </c>
      <c r="D13" s="13"/>
      <c r="E13" s="15"/>
      <c r="F13" s="126">
        <v>0</v>
      </c>
      <c r="G13" s="126">
        <f t="shared" si="0"/>
        <v>0</v>
      </c>
      <c r="H13" s="8"/>
      <c r="I13" s="9" t="str">
        <f t="array" ref="I13:L13">_xlfn.XLOOKUP(C13,'Neiva 2021 FASE I UNIFICADO'!$C$6:$C$540,'Neiva 2021 FASE I UNIFICADO'!$C$6:$F$540,"NO ESTA")</f>
        <v>DEMOLICIONES</v>
      </c>
      <c r="J13" s="9">
        <v>0</v>
      </c>
      <c r="K13" s="9">
        <v>0</v>
      </c>
      <c r="L13" s="9">
        <v>0</v>
      </c>
      <c r="M13" s="124">
        <f t="shared" si="4"/>
        <v>0</v>
      </c>
      <c r="N13" s="155">
        <f t="shared" si="1"/>
        <v>0</v>
      </c>
      <c r="O13" s="156">
        <f t="shared" si="2"/>
        <v>0</v>
      </c>
      <c r="P13" s="156">
        <f t="shared" si="3"/>
        <v>0</v>
      </c>
    </row>
    <row r="14" spans="2:16" s="9" customFormat="1" ht="35.1" customHeight="1" x14ac:dyDescent="0.25">
      <c r="B14" s="10" t="s">
        <v>21</v>
      </c>
      <c r="C14" s="11" t="s">
        <v>1057</v>
      </c>
      <c r="D14" s="10" t="s">
        <v>13</v>
      </c>
      <c r="E14" s="12">
        <v>0</v>
      </c>
      <c r="F14" s="126">
        <v>16701</v>
      </c>
      <c r="G14" s="126">
        <f t="shared" si="0"/>
        <v>0</v>
      </c>
      <c r="H14" s="8"/>
      <c r="I14" s="9" t="str">
        <f t="array" ref="I14">_xlfn.XLOOKUP(C14,'Neiva 2021 FASE I UNIFICADO'!$C$6:$C$540,'Neiva 2021 FASE I UNIFICADO'!$C$6:$F$540,"NO ESTA")</f>
        <v>NO ESTA</v>
      </c>
      <c r="M14" s="124">
        <f t="shared" si="4"/>
        <v>0</v>
      </c>
      <c r="N14" s="155">
        <f t="shared" si="1"/>
        <v>0</v>
      </c>
      <c r="O14" s="156">
        <f t="shared" si="2"/>
        <v>16701</v>
      </c>
      <c r="P14" s="156">
        <f t="shared" si="3"/>
        <v>0</v>
      </c>
    </row>
    <row r="15" spans="2:16" s="9" customFormat="1" ht="35.1" customHeight="1" x14ac:dyDescent="0.25">
      <c r="B15" s="10" t="s">
        <v>23</v>
      </c>
      <c r="C15" s="11" t="s">
        <v>1058</v>
      </c>
      <c r="D15" s="10" t="s">
        <v>13</v>
      </c>
      <c r="E15" s="12">
        <v>0</v>
      </c>
      <c r="F15" s="126">
        <v>13104</v>
      </c>
      <c r="G15" s="126">
        <f t="shared" si="0"/>
        <v>0</v>
      </c>
      <c r="H15" s="8"/>
      <c r="I15" s="9" t="str">
        <f t="array" ref="I15">_xlfn.XLOOKUP(C15,'Neiva 2021 FASE I UNIFICADO'!$C$6:$C$540,'Neiva 2021 FASE I UNIFICADO'!$C$6:$F$540,"NO ESTA")</f>
        <v>NO ESTA</v>
      </c>
      <c r="M15" s="124">
        <f t="shared" si="4"/>
        <v>0</v>
      </c>
      <c r="N15" s="155">
        <f t="shared" si="1"/>
        <v>0</v>
      </c>
      <c r="O15" s="156">
        <f t="shared" si="2"/>
        <v>13104</v>
      </c>
      <c r="P15" s="156">
        <f t="shared" si="3"/>
        <v>0</v>
      </c>
    </row>
    <row r="16" spans="2:16" s="9" customFormat="1" ht="35.1" customHeight="1" x14ac:dyDescent="0.25">
      <c r="B16" s="16">
        <v>2</v>
      </c>
      <c r="C16" s="17" t="s">
        <v>25</v>
      </c>
      <c r="D16" s="17"/>
      <c r="E16" s="18"/>
      <c r="F16" s="127"/>
      <c r="G16" s="17"/>
      <c r="H16" s="8"/>
      <c r="M16" s="124">
        <f t="shared" si="4"/>
        <v>0</v>
      </c>
      <c r="N16" s="155">
        <f t="shared" si="1"/>
        <v>0</v>
      </c>
      <c r="O16" s="156">
        <f t="shared" si="2"/>
        <v>0</v>
      </c>
      <c r="P16" s="156">
        <f t="shared" si="3"/>
        <v>0</v>
      </c>
    </row>
    <row r="17" spans="2:16" s="9" customFormat="1" ht="35.1" customHeight="1" x14ac:dyDescent="0.25">
      <c r="B17" s="13" t="s">
        <v>26</v>
      </c>
      <c r="C17" s="14" t="s">
        <v>27</v>
      </c>
      <c r="D17" s="13"/>
      <c r="E17" s="15"/>
      <c r="F17" s="128"/>
      <c r="G17" s="19"/>
      <c r="H17" s="8"/>
      <c r="M17" s="124">
        <f t="shared" si="4"/>
        <v>0</v>
      </c>
      <c r="N17" s="155">
        <f t="shared" si="1"/>
        <v>0</v>
      </c>
      <c r="O17" s="156">
        <f t="shared" si="2"/>
        <v>0</v>
      </c>
      <c r="P17" s="156">
        <f t="shared" si="3"/>
        <v>0</v>
      </c>
    </row>
    <row r="18" spans="2:16" s="9" customFormat="1" ht="35.1" customHeight="1" x14ac:dyDescent="0.25">
      <c r="B18" s="10" t="s">
        <v>28</v>
      </c>
      <c r="C18" s="11" t="s">
        <v>29</v>
      </c>
      <c r="D18" s="10" t="s">
        <v>30</v>
      </c>
      <c r="E18" s="12">
        <v>400</v>
      </c>
      <c r="F18" s="126">
        <v>31642</v>
      </c>
      <c r="G18" s="126">
        <f>ROUND(+F18*E18,2)</f>
        <v>12656800</v>
      </c>
      <c r="H18" s="8"/>
      <c r="I18" s="9" t="str">
        <f t="array" ref="I18:L18">_xlfn.XLOOKUP(C18,'Neiva 2021 FASE I UNIFICADO'!$C$6:$C$540,'Neiva 2021 FASE I UNIFICADO'!$C$6:$F$540,"NO ESTA")</f>
        <v>EXCAVACIÓN MECÁNICA EN MATERIAL COMÚN (incluye cargue y retiro)</v>
      </c>
      <c r="J18" s="9" t="str">
        <v>M3</v>
      </c>
      <c r="K18" s="9">
        <v>0</v>
      </c>
      <c r="L18" s="9">
        <v>29285</v>
      </c>
      <c r="M18" s="124" t="str">
        <f t="shared" si="4"/>
        <v>FASE II</v>
      </c>
      <c r="N18" s="155">
        <f t="shared" si="1"/>
        <v>400</v>
      </c>
      <c r="O18" s="156">
        <f t="shared" si="2"/>
        <v>31642</v>
      </c>
      <c r="P18" s="156">
        <f t="shared" si="3"/>
        <v>12656800</v>
      </c>
    </row>
    <row r="19" spans="2:16" s="9" customFormat="1" ht="35.1" customHeight="1" x14ac:dyDescent="0.25">
      <c r="B19" s="10" t="s">
        <v>31</v>
      </c>
      <c r="C19" s="11" t="s">
        <v>32</v>
      </c>
      <c r="D19" s="10" t="s">
        <v>30</v>
      </c>
      <c r="E19" s="12">
        <v>57.945499999999981</v>
      </c>
      <c r="F19" s="126">
        <v>39971</v>
      </c>
      <c r="G19" s="126">
        <f>ROUND(+F19*E19,2)</f>
        <v>2316139.58</v>
      </c>
      <c r="H19" s="8"/>
      <c r="I19" s="9" t="str">
        <f t="array" ref="I19:L19">_xlfn.XLOOKUP(C19,'Neiva 2021 FASE I UNIFICADO'!$C$6:$C$540,'Neiva 2021 FASE I UNIFICADO'!$C$6:$F$540,"NO ESTA")</f>
        <v>EXCAVACIÓN MANUAL EN MATERIAL COMÚN (incluye cargue y retiro)</v>
      </c>
      <c r="J19" s="9" t="str">
        <v>M3</v>
      </c>
      <c r="K19" s="9">
        <v>299.45</v>
      </c>
      <c r="L19" s="9">
        <v>36993</v>
      </c>
      <c r="M19" s="124" t="str">
        <f t="shared" si="4"/>
        <v>FASE II</v>
      </c>
      <c r="N19" s="155">
        <f t="shared" si="1"/>
        <v>357.39549999999997</v>
      </c>
      <c r="O19" s="156">
        <f t="shared" si="2"/>
        <v>39971</v>
      </c>
      <c r="P19" s="156">
        <f t="shared" si="3"/>
        <v>14285455.530499998</v>
      </c>
    </row>
    <row r="20" spans="2:16" s="9" customFormat="1" ht="35.1" customHeight="1" x14ac:dyDescent="0.25">
      <c r="B20" s="10" t="s">
        <v>33</v>
      </c>
      <c r="C20" s="20" t="s">
        <v>34</v>
      </c>
      <c r="D20" s="10" t="s">
        <v>30</v>
      </c>
      <c r="E20" s="12">
        <v>56.107679999999959</v>
      </c>
      <c r="F20" s="126">
        <v>12500</v>
      </c>
      <c r="G20" s="126">
        <f>ROUND(+F20*E20,2)</f>
        <v>701346</v>
      </c>
      <c r="H20" s="8"/>
      <c r="I20" s="9" t="str">
        <f t="array" ref="I20:L20">_xlfn.XLOOKUP(C20,'Neiva 2021 FASE I UNIFICADO'!$C$6:$C$540,'Neiva 2021 FASE I UNIFICADO'!$C$6:$F$540,"NO ESTA")</f>
        <v>RELLENOS EN MATERIAL COMÚN, SELECCIONADO DE OBRA (Incluye Compactación)</v>
      </c>
      <c r="J20" s="9" t="str">
        <v>M3</v>
      </c>
      <c r="K20" s="9">
        <v>524.07000000000005</v>
      </c>
      <c r="L20" s="9">
        <v>11569</v>
      </c>
      <c r="M20" s="124" t="str">
        <f t="shared" si="4"/>
        <v>FASE II</v>
      </c>
      <c r="N20" s="155">
        <f t="shared" si="1"/>
        <v>580.17768000000001</v>
      </c>
      <c r="O20" s="156">
        <f t="shared" si="2"/>
        <v>12500</v>
      </c>
      <c r="P20" s="156">
        <f t="shared" si="3"/>
        <v>7252221</v>
      </c>
    </row>
    <row r="21" spans="2:16" s="9" customFormat="1" ht="35.1" customHeight="1" x14ac:dyDescent="0.25">
      <c r="B21" s="10" t="s">
        <v>35</v>
      </c>
      <c r="C21" s="11" t="s">
        <v>36</v>
      </c>
      <c r="D21" s="10" t="s">
        <v>30</v>
      </c>
      <c r="E21" s="12">
        <v>70.485000000000014</v>
      </c>
      <c r="F21" s="126">
        <v>62932</v>
      </c>
      <c r="G21" s="126">
        <f>ROUND(+F21*E21,2)</f>
        <v>4435762.0199999996</v>
      </c>
      <c r="H21" s="8"/>
      <c r="I21" s="9" t="str">
        <f t="array" ref="I21:L21">_xlfn.XLOOKUP(C21,'Neiva 2021 FASE I UNIFICADO'!$C$6:$C$540,'Neiva 2021 FASE I UNIFICADO'!$C$6:$F$540,"NO ESTA")</f>
        <v>RELLENO EN RECEBO COMÚN (Incluye Compactación)</v>
      </c>
      <c r="J21" s="9" t="str">
        <v>M3</v>
      </c>
      <c r="K21" s="9">
        <v>122.54</v>
      </c>
      <c r="L21" s="9">
        <v>58243</v>
      </c>
      <c r="M21" s="124" t="str">
        <f t="shared" si="4"/>
        <v>FASE II</v>
      </c>
      <c r="N21" s="155">
        <f t="shared" si="1"/>
        <v>193.02500000000003</v>
      </c>
      <c r="O21" s="156">
        <f t="shared" si="2"/>
        <v>62932</v>
      </c>
      <c r="P21" s="156">
        <f t="shared" si="3"/>
        <v>12147449.300000003</v>
      </c>
    </row>
    <row r="22" spans="2:16" s="9" customFormat="1" ht="35.1" customHeight="1" x14ac:dyDescent="0.25">
      <c r="B22" s="13" t="s">
        <v>37</v>
      </c>
      <c r="C22" s="14" t="s">
        <v>38</v>
      </c>
      <c r="D22" s="13"/>
      <c r="E22" s="15"/>
      <c r="F22" s="129"/>
      <c r="G22" s="140"/>
      <c r="H22" s="8"/>
      <c r="M22" s="124">
        <f t="shared" si="4"/>
        <v>0</v>
      </c>
      <c r="N22" s="155">
        <f t="shared" si="1"/>
        <v>0</v>
      </c>
      <c r="O22" s="156">
        <f t="shared" si="2"/>
        <v>0</v>
      </c>
      <c r="P22" s="156">
        <f t="shared" si="3"/>
        <v>0</v>
      </c>
    </row>
    <row r="23" spans="2:16" s="9" customFormat="1" ht="35.1" customHeight="1" x14ac:dyDescent="0.25">
      <c r="B23" s="21" t="s">
        <v>39</v>
      </c>
      <c r="C23" s="22" t="s">
        <v>40</v>
      </c>
      <c r="D23" s="23" t="s">
        <v>13</v>
      </c>
      <c r="E23" s="12">
        <v>72.123000000000047</v>
      </c>
      <c r="F23" s="126">
        <v>25442</v>
      </c>
      <c r="G23" s="126">
        <f>ROUND(+F23*E23,2)</f>
        <v>1834953.37</v>
      </c>
      <c r="H23" s="8"/>
      <c r="I23" s="9" t="str">
        <f t="array" ref="I23:L23">_xlfn.XLOOKUP(C23,'Neiva 2021 FASE I UNIFICADO'!$C$6:$C$540,'Neiva 2021 FASE I UNIFICADO'!$C$6:$F$540,"NO ESTA")</f>
        <v>CONCRETO POBRE DE LIMPIEZA  e=0.05 m</v>
      </c>
      <c r="J23" s="9" t="str">
        <v>M2</v>
      </c>
      <c r="K23" s="9">
        <v>1111.51</v>
      </c>
      <c r="L23" s="9">
        <v>22663</v>
      </c>
      <c r="M23" s="124" t="str">
        <f t="shared" si="4"/>
        <v>FASE II</v>
      </c>
      <c r="N23" s="155">
        <f t="shared" si="1"/>
        <v>1183.633</v>
      </c>
      <c r="O23" s="156">
        <f t="shared" si="2"/>
        <v>25442</v>
      </c>
      <c r="P23" s="156">
        <f t="shared" si="3"/>
        <v>30113990.786000002</v>
      </c>
    </row>
    <row r="24" spans="2:16" s="9" customFormat="1" ht="35.1" customHeight="1" x14ac:dyDescent="0.25">
      <c r="B24" s="21" t="s">
        <v>41</v>
      </c>
      <c r="C24" s="11" t="s">
        <v>42</v>
      </c>
      <c r="D24" s="10" t="s">
        <v>30</v>
      </c>
      <c r="E24" s="12">
        <v>36</v>
      </c>
      <c r="F24" s="126">
        <v>652838</v>
      </c>
      <c r="G24" s="126">
        <f>ROUND(+F24*E24,2)</f>
        <v>23502168</v>
      </c>
      <c r="H24" s="8"/>
      <c r="I24" s="9" t="str">
        <f t="array" ref="I24:L24">_xlfn.XLOOKUP(C24,'Neiva 2021 FASE I UNIFICADO'!$C$6:$C$540,'Neiva 2021 FASE I UNIFICADO'!$C$6:$F$540,"NO ESTA")</f>
        <v>CONCRETO PARA ZAPATAS DE 4000 psi</v>
      </c>
      <c r="J24" s="9" t="str">
        <v>M3</v>
      </c>
      <c r="K24" s="9">
        <v>46.48</v>
      </c>
      <c r="L24" s="9">
        <v>670304</v>
      </c>
      <c r="M24" s="124" t="str">
        <f t="shared" si="4"/>
        <v>FASE I</v>
      </c>
      <c r="N24" s="155">
        <f t="shared" si="1"/>
        <v>82.47999999999999</v>
      </c>
      <c r="O24" s="156">
        <f t="shared" si="2"/>
        <v>670304</v>
      </c>
      <c r="P24" s="156">
        <f t="shared" si="3"/>
        <v>55286673.919999994</v>
      </c>
    </row>
    <row r="25" spans="2:16" s="9" customFormat="1" ht="35.1" customHeight="1" x14ac:dyDescent="0.25">
      <c r="B25" s="21" t="s">
        <v>43</v>
      </c>
      <c r="C25" s="11" t="s">
        <v>44</v>
      </c>
      <c r="D25" s="10" t="s">
        <v>30</v>
      </c>
      <c r="E25" s="12">
        <v>36.5</v>
      </c>
      <c r="F25" s="126">
        <v>652838</v>
      </c>
      <c r="G25" s="126">
        <f>ROUND(+F25*E25,2)</f>
        <v>23828587</v>
      </c>
      <c r="H25" s="8"/>
      <c r="I25" s="9" t="str">
        <f t="array" ref="I25:L25">_xlfn.XLOOKUP(C25,'Neiva 2021 FASE I UNIFICADO'!$C$6:$C$540,'Neiva 2021 FASE I UNIFICADO'!$C$6:$F$540,"NO ESTA")</f>
        <v>VIGAS DE CIMENTACIÓN DE 4000 psi</v>
      </c>
      <c r="J25" s="9" t="str">
        <v>M3</v>
      </c>
      <c r="K25" s="9">
        <v>45.04</v>
      </c>
      <c r="L25" s="9">
        <v>670304</v>
      </c>
      <c r="M25" s="124" t="str">
        <f t="shared" si="4"/>
        <v>FASE I</v>
      </c>
      <c r="N25" s="155">
        <f t="shared" si="1"/>
        <v>81.539999999999992</v>
      </c>
      <c r="O25" s="156">
        <f t="shared" si="2"/>
        <v>670304</v>
      </c>
      <c r="P25" s="156">
        <f t="shared" si="3"/>
        <v>54656588.159999996</v>
      </c>
    </row>
    <row r="26" spans="2:16" s="9" customFormat="1" ht="35.1" customHeight="1" x14ac:dyDescent="0.25">
      <c r="B26" s="21" t="s">
        <v>45</v>
      </c>
      <c r="C26" s="11" t="s">
        <v>46</v>
      </c>
      <c r="D26" s="10" t="s">
        <v>30</v>
      </c>
      <c r="E26" s="12">
        <v>13</v>
      </c>
      <c r="F26" s="126">
        <v>795025</v>
      </c>
      <c r="G26" s="126">
        <f>ROUND(+F26*E26,2)</f>
        <v>10335325</v>
      </c>
      <c r="H26" s="8"/>
      <c r="I26" s="9" t="str">
        <f t="array" ref="I26:L26">_xlfn.XLOOKUP(C26,'Neiva 2021 FASE I UNIFICADO'!$C$6:$C$540,'Neiva 2021 FASE I UNIFICADO'!$C$6:$F$540,"NO ESTA")</f>
        <v>MURO DE CONTENCIÓN SOTANO EN CONCRETO DE 4000 PSI</v>
      </c>
      <c r="J26" s="9" t="str">
        <v>M3</v>
      </c>
      <c r="K26" s="9">
        <v>34.93</v>
      </c>
      <c r="L26" s="9">
        <v>742932</v>
      </c>
      <c r="M26" s="124" t="str">
        <f t="shared" si="4"/>
        <v>FASE II</v>
      </c>
      <c r="N26" s="155">
        <f t="shared" si="1"/>
        <v>47.93</v>
      </c>
      <c r="O26" s="156">
        <f t="shared" si="2"/>
        <v>795025</v>
      </c>
      <c r="P26" s="156">
        <f t="shared" si="3"/>
        <v>38105548.25</v>
      </c>
    </row>
    <row r="27" spans="2:16" s="9" customFormat="1" ht="35.1" customHeight="1" x14ac:dyDescent="0.25">
      <c r="B27" s="13" t="s">
        <v>47</v>
      </c>
      <c r="C27" s="14" t="s">
        <v>1059</v>
      </c>
      <c r="D27" s="13"/>
      <c r="E27" s="15"/>
      <c r="F27" s="129"/>
      <c r="G27" s="140"/>
      <c r="H27" s="8"/>
      <c r="M27" s="124">
        <f t="shared" si="4"/>
        <v>0</v>
      </c>
      <c r="N27" s="155">
        <f t="shared" si="1"/>
        <v>0</v>
      </c>
      <c r="O27" s="156">
        <f t="shared" si="2"/>
        <v>0</v>
      </c>
      <c r="P27" s="156">
        <f t="shared" si="3"/>
        <v>0</v>
      </c>
    </row>
    <row r="28" spans="2:16" s="9" customFormat="1" ht="35.1" customHeight="1" x14ac:dyDescent="0.25">
      <c r="B28" s="23" t="s">
        <v>49</v>
      </c>
      <c r="C28" s="11" t="s">
        <v>50</v>
      </c>
      <c r="D28" s="10" t="s">
        <v>30</v>
      </c>
      <c r="E28" s="12">
        <v>13.700000000000003</v>
      </c>
      <c r="F28" s="126">
        <v>821235</v>
      </c>
      <c r="G28" s="126">
        <f>ROUND(+F28*E28,2)</f>
        <v>11250919.5</v>
      </c>
      <c r="H28" s="8"/>
      <c r="I28" s="9" t="str">
        <f t="array" ref="I28:L28">_xlfn.XLOOKUP(C28,'Neiva 2021 FASE I UNIFICADO'!$C$6:$C$540,'Neiva 2021 FASE I UNIFICADO'!$C$6:$F$540,"NO ESTA")</f>
        <v>TANQUE DE ALMACENAMIENTO Y RESERVA EN CONCRETO DE 4000 PSI</v>
      </c>
      <c r="J28" s="9" t="str">
        <v>M3</v>
      </c>
      <c r="K28" s="9">
        <v>50.62</v>
      </c>
      <c r="L28" s="9">
        <v>742932</v>
      </c>
      <c r="M28" s="124" t="str">
        <f t="shared" si="4"/>
        <v>FASE II</v>
      </c>
      <c r="N28" s="155">
        <f t="shared" si="1"/>
        <v>64.319999999999993</v>
      </c>
      <c r="O28" s="156">
        <f t="shared" si="2"/>
        <v>821235</v>
      </c>
      <c r="P28" s="156">
        <f t="shared" si="3"/>
        <v>52821835.199999996</v>
      </c>
    </row>
    <row r="29" spans="2:16" s="9" customFormat="1" ht="35.1" customHeight="1" x14ac:dyDescent="0.25">
      <c r="B29" s="13" t="s">
        <v>51</v>
      </c>
      <c r="C29" s="24" t="s">
        <v>52</v>
      </c>
      <c r="D29" s="24"/>
      <c r="E29" s="15"/>
      <c r="F29" s="129"/>
      <c r="G29" s="140"/>
      <c r="H29" s="8"/>
      <c r="M29" s="124">
        <f t="shared" si="4"/>
        <v>0</v>
      </c>
      <c r="N29" s="155">
        <f t="shared" si="1"/>
        <v>0</v>
      </c>
      <c r="O29" s="156">
        <f t="shared" si="2"/>
        <v>0</v>
      </c>
      <c r="P29" s="156">
        <f t="shared" si="3"/>
        <v>0</v>
      </c>
    </row>
    <row r="30" spans="2:16" s="9" customFormat="1" ht="35.1" customHeight="1" x14ac:dyDescent="0.25">
      <c r="B30" s="10" t="s">
        <v>53</v>
      </c>
      <c r="C30" s="25" t="s">
        <v>54</v>
      </c>
      <c r="D30" s="10" t="s">
        <v>55</v>
      </c>
      <c r="E30" s="12">
        <v>8230.6999999999971</v>
      </c>
      <c r="F30" s="130">
        <v>5221</v>
      </c>
      <c r="G30" s="126">
        <f>ROUND(+F30*E30,2)</f>
        <v>42972484.700000003</v>
      </c>
      <c r="H30" s="26">
        <v>3687</v>
      </c>
      <c r="I30" s="9" t="str">
        <f t="array" ref="I30:L30">_xlfn.XLOOKUP(C30,'Neiva 2021 FASE I UNIFICADO'!$C$6:$C$540,'Neiva 2021 FASE I UNIFICADO'!$C$6:$F$540,"NO ESTA")</f>
        <v>ACERO DE REFUERZO 60000 psi Incluye ALAMBRE DE AMARRE</v>
      </c>
      <c r="J30" s="9" t="str">
        <v>KG</v>
      </c>
      <c r="K30" s="9">
        <v>16621.25</v>
      </c>
      <c r="L30" s="9">
        <v>5000</v>
      </c>
      <c r="M30" s="124" t="str">
        <f t="shared" si="4"/>
        <v>FASE II</v>
      </c>
      <c r="N30" s="155">
        <f t="shared" si="1"/>
        <v>24851.949999999997</v>
      </c>
      <c r="O30" s="156">
        <f t="shared" si="2"/>
        <v>5221</v>
      </c>
      <c r="P30" s="156">
        <f t="shared" si="3"/>
        <v>129752030.94999999</v>
      </c>
    </row>
    <row r="31" spans="2:16" s="9" customFormat="1" ht="35.1" customHeight="1" x14ac:dyDescent="0.25">
      <c r="B31" s="21" t="s">
        <v>56</v>
      </c>
      <c r="C31" s="25" t="s">
        <v>57</v>
      </c>
      <c r="D31" s="10" t="s">
        <v>13</v>
      </c>
      <c r="E31" s="12">
        <v>242.5</v>
      </c>
      <c r="F31" s="126">
        <f>+F30*1.5</f>
        <v>7831.5</v>
      </c>
      <c r="G31" s="126">
        <f>ROUND(+F31*E31,2)</f>
        <v>1899138.75</v>
      </c>
      <c r="H31" s="26">
        <v>5139</v>
      </c>
      <c r="I31" s="9" t="str">
        <f t="array" ref="I31:L31">_xlfn.XLOOKUP(C31,'Neiva 2021 FASE I UNIFICADO'!$C$6:$C$540,'Neiva 2021 FASE I UNIFICADO'!$C$6:$F$540,"NO ESTA")</f>
        <v>MALLA ELECTROSOLDADA PLACA CONTRAPISO Q84 Ø4 mm separación 15x15 cm o similar</v>
      </c>
      <c r="J31" s="9" t="str">
        <v>M2</v>
      </c>
      <c r="K31" s="9">
        <v>1871.1</v>
      </c>
      <c r="L31" s="9">
        <v>7500</v>
      </c>
      <c r="M31" s="124" t="str">
        <f t="shared" si="4"/>
        <v>FASE II</v>
      </c>
      <c r="N31" s="155">
        <f t="shared" si="1"/>
        <v>2113.6</v>
      </c>
      <c r="O31" s="156">
        <f t="shared" si="2"/>
        <v>7831.5</v>
      </c>
      <c r="P31" s="156">
        <f t="shared" si="3"/>
        <v>16552658.399999999</v>
      </c>
    </row>
    <row r="32" spans="2:16" s="9" customFormat="1" ht="35.1" customHeight="1" x14ac:dyDescent="0.25">
      <c r="B32" s="16">
        <v>3</v>
      </c>
      <c r="C32" s="17" t="s">
        <v>58</v>
      </c>
      <c r="D32" s="17"/>
      <c r="E32" s="18"/>
      <c r="F32" s="131"/>
      <c r="G32" s="17"/>
      <c r="H32" s="8"/>
      <c r="M32" s="124">
        <f t="shared" si="4"/>
        <v>0</v>
      </c>
      <c r="N32" s="155">
        <f t="shared" si="1"/>
        <v>0</v>
      </c>
      <c r="O32" s="156">
        <f t="shared" si="2"/>
        <v>0</v>
      </c>
      <c r="P32" s="156">
        <f t="shared" si="3"/>
        <v>0</v>
      </c>
    </row>
    <row r="33" spans="2:16" s="9" customFormat="1" ht="35.1" customHeight="1" x14ac:dyDescent="0.25">
      <c r="B33" s="13" t="s">
        <v>59</v>
      </c>
      <c r="C33" s="14" t="s">
        <v>60</v>
      </c>
      <c r="D33" s="13"/>
      <c r="E33" s="15"/>
      <c r="F33" s="129"/>
      <c r="G33" s="140"/>
      <c r="H33" s="8"/>
      <c r="M33" s="124">
        <f t="shared" si="4"/>
        <v>0</v>
      </c>
      <c r="N33" s="155">
        <f t="shared" si="1"/>
        <v>0</v>
      </c>
      <c r="O33" s="156">
        <f t="shared" si="2"/>
        <v>0</v>
      </c>
      <c r="P33" s="156">
        <f t="shared" si="3"/>
        <v>0</v>
      </c>
    </row>
    <row r="34" spans="2:16" s="9" customFormat="1" ht="35.1" customHeight="1" x14ac:dyDescent="0.25">
      <c r="B34" s="23" t="s">
        <v>61</v>
      </c>
      <c r="C34" s="11" t="s">
        <v>62</v>
      </c>
      <c r="D34" s="10" t="s">
        <v>30</v>
      </c>
      <c r="E34" s="12">
        <v>24.939999999999998</v>
      </c>
      <c r="F34" s="126">
        <v>789448</v>
      </c>
      <c r="G34" s="126">
        <f>ROUND(+F34*E34,2)</f>
        <v>19688833.120000001</v>
      </c>
      <c r="H34" s="8"/>
      <c r="I34" s="9" t="str">
        <f t="array" ref="I34:L34">_xlfn.XLOOKUP(C34,'Neiva 2021 FASE I UNIFICADO'!$C$6:$C$540,'Neiva 2021 FASE I UNIFICADO'!$C$6:$F$540,"NO ESTA")</f>
        <v>COLUMNAS EN CONCRETO DE 4000 psi</v>
      </c>
      <c r="J34" s="9" t="str">
        <v>M3</v>
      </c>
      <c r="K34" s="9">
        <v>247.78</v>
      </c>
      <c r="L34" s="9">
        <v>789448</v>
      </c>
      <c r="M34" s="124" t="str">
        <f t="shared" si="4"/>
        <v>FASE II</v>
      </c>
      <c r="N34" s="155">
        <f t="shared" si="1"/>
        <v>272.72000000000003</v>
      </c>
      <c r="O34" s="156">
        <f t="shared" si="2"/>
        <v>789448</v>
      </c>
      <c r="P34" s="156">
        <f t="shared" si="3"/>
        <v>215298258.56000003</v>
      </c>
    </row>
    <row r="35" spans="2:16" s="9" customFormat="1" ht="35.1" customHeight="1" x14ac:dyDescent="0.25">
      <c r="B35" s="23" t="s">
        <v>63</v>
      </c>
      <c r="C35" s="11" t="s">
        <v>64</v>
      </c>
      <c r="D35" s="10" t="s">
        <v>30</v>
      </c>
      <c r="E35" s="12">
        <v>15.569999999999993</v>
      </c>
      <c r="F35" s="126">
        <v>789448</v>
      </c>
      <c r="G35" s="126">
        <f>ROUND(+F35*E35,2)</f>
        <v>12291705.359999999</v>
      </c>
      <c r="H35" s="8"/>
      <c r="I35" s="9" t="str">
        <f t="array" ref="I35:L35">_xlfn.XLOOKUP(C35,'Neiva 2021 FASE I UNIFICADO'!$C$6:$C$540,'Neiva 2021 FASE I UNIFICADO'!$C$6:$F$540,"NO ESTA")</f>
        <v>PANTALLAS ASCENSORES Y ESCALERA EJES F2 Y K2 EN CONCRETO DE 4000 PSI</v>
      </c>
      <c r="J35" s="9" t="str">
        <v>M3</v>
      </c>
      <c r="K35" s="9">
        <v>152.63999999999999</v>
      </c>
      <c r="L35" s="9">
        <v>789448</v>
      </c>
      <c r="M35" s="124" t="str">
        <f t="shared" si="4"/>
        <v>FASE II</v>
      </c>
      <c r="N35" s="155">
        <f t="shared" si="1"/>
        <v>168.20999999999998</v>
      </c>
      <c r="O35" s="156">
        <f t="shared" si="2"/>
        <v>789448</v>
      </c>
      <c r="P35" s="156">
        <f t="shared" si="3"/>
        <v>132793048.07999998</v>
      </c>
    </row>
    <row r="36" spans="2:16" s="9" customFormat="1" ht="35.1" customHeight="1" x14ac:dyDescent="0.25">
      <c r="B36" s="13" t="s">
        <v>65</v>
      </c>
      <c r="C36" s="14" t="s">
        <v>66</v>
      </c>
      <c r="D36" s="13"/>
      <c r="E36" s="15"/>
      <c r="F36" s="129"/>
      <c r="G36" s="140"/>
      <c r="H36" s="8"/>
      <c r="M36" s="124">
        <f t="shared" si="4"/>
        <v>0</v>
      </c>
      <c r="N36" s="155">
        <f t="shared" si="1"/>
        <v>0</v>
      </c>
      <c r="O36" s="156">
        <f t="shared" si="2"/>
        <v>0</v>
      </c>
      <c r="P36" s="156">
        <f t="shared" si="3"/>
        <v>0</v>
      </c>
    </row>
    <row r="37" spans="2:16" s="9" customFormat="1" ht="35.1" customHeight="1" x14ac:dyDescent="0.25">
      <c r="B37" s="21" t="s">
        <v>67</v>
      </c>
      <c r="C37" s="11" t="s">
        <v>1060</v>
      </c>
      <c r="D37" s="23" t="s">
        <v>30</v>
      </c>
      <c r="E37" s="12">
        <v>0</v>
      </c>
      <c r="F37" s="126">
        <v>905780</v>
      </c>
      <c r="G37" s="126">
        <f>ROUND(+F37*E37,2)</f>
        <v>0</v>
      </c>
      <c r="H37" s="8"/>
      <c r="I37" s="9" t="str">
        <f t="array" ref="I37">_xlfn.XLOOKUP(C37,'Neiva 2021 FASE I UNIFICADO'!$C$6:$C$540,'Neiva 2021 FASE I UNIFICADO'!$C$6:$F$540,"NO ESTA")</f>
        <v>NO ESTA</v>
      </c>
      <c r="M37" s="124">
        <f t="shared" si="4"/>
        <v>0</v>
      </c>
      <c r="N37" s="155">
        <f t="shared" si="1"/>
        <v>0</v>
      </c>
      <c r="O37" s="156">
        <f t="shared" si="2"/>
        <v>905780</v>
      </c>
      <c r="P37" s="156">
        <f t="shared" si="3"/>
        <v>0</v>
      </c>
    </row>
    <row r="38" spans="2:16" s="9" customFormat="1" ht="35.1" customHeight="1" x14ac:dyDescent="0.25">
      <c r="B38" s="21" t="s">
        <v>69</v>
      </c>
      <c r="C38" s="11" t="s">
        <v>70</v>
      </c>
      <c r="D38" s="23" t="s">
        <v>13</v>
      </c>
      <c r="E38" s="12">
        <v>235.59999999999991</v>
      </c>
      <c r="F38" s="126">
        <v>95123</v>
      </c>
      <c r="G38" s="126">
        <f>ROUND(+F38*E38,2)</f>
        <v>22410978.800000001</v>
      </c>
      <c r="H38" s="8"/>
      <c r="I38" s="9" t="str">
        <f t="array" ref="I38:L38">_xlfn.XLOOKUP(C38,'Neiva 2021 FASE I UNIFICADO'!$C$6:$C$540,'Neiva 2021 FASE I UNIFICADO'!$C$6:$F$540,"NO ESTA")</f>
        <v>PLACA MACIZA CONTRAPISO CIMENTACION E: 15 cms</v>
      </c>
      <c r="J38" s="9" t="str">
        <v>M2</v>
      </c>
      <c r="K38" s="9">
        <v>1581</v>
      </c>
      <c r="L38" s="9">
        <v>95313</v>
      </c>
      <c r="M38" s="124" t="str">
        <f t="shared" si="4"/>
        <v>FASE I</v>
      </c>
      <c r="N38" s="155">
        <f t="shared" si="1"/>
        <v>1816.6</v>
      </c>
      <c r="O38" s="156">
        <f t="shared" si="2"/>
        <v>95313</v>
      </c>
      <c r="P38" s="156">
        <f t="shared" si="3"/>
        <v>173145595.79999998</v>
      </c>
    </row>
    <row r="39" spans="2:16" s="9" customFormat="1" ht="35.1" customHeight="1" x14ac:dyDescent="0.25">
      <c r="B39" s="21" t="s">
        <v>71</v>
      </c>
      <c r="C39" s="11" t="s">
        <v>72</v>
      </c>
      <c r="D39" s="23" t="s">
        <v>30</v>
      </c>
      <c r="E39" s="12">
        <v>0</v>
      </c>
      <c r="F39" s="126">
        <v>789448</v>
      </c>
      <c r="G39" s="126">
        <f>ROUND(+F39*E39,2)</f>
        <v>0</v>
      </c>
      <c r="H39" s="8"/>
      <c r="I39" s="9" t="str">
        <f t="array" ref="I39:L39">_xlfn.XLOOKUP(C39,'Neiva 2021 FASE I UNIFICADO'!$C$6:$C$540,'Neiva 2021 FASE I UNIFICADO'!$C$6:$F$540,"NO ESTA")</f>
        <v xml:space="preserve">PLACA MACIZA ZONA ASCENSOR 2DA PLANTA </v>
      </c>
      <c r="J39" s="9" t="str">
        <v>M3</v>
      </c>
      <c r="K39" s="9">
        <v>8.9</v>
      </c>
      <c r="L39" s="9">
        <v>705686</v>
      </c>
      <c r="M39" s="124" t="str">
        <f t="shared" si="4"/>
        <v>FASE II</v>
      </c>
      <c r="N39" s="155">
        <f t="shared" si="1"/>
        <v>8.9</v>
      </c>
      <c r="O39" s="156">
        <f t="shared" si="2"/>
        <v>789448</v>
      </c>
      <c r="P39" s="156">
        <f t="shared" si="3"/>
        <v>7026087.2000000002</v>
      </c>
    </row>
    <row r="40" spans="2:16" s="9" customFormat="1" ht="35.1" customHeight="1" x14ac:dyDescent="0.25">
      <c r="B40" s="13" t="s">
        <v>73</v>
      </c>
      <c r="C40" s="14" t="s">
        <v>74</v>
      </c>
      <c r="D40" s="13"/>
      <c r="E40" s="15"/>
      <c r="F40" s="129"/>
      <c r="G40" s="140"/>
      <c r="H40" s="8"/>
      <c r="M40" s="124">
        <f t="shared" si="4"/>
        <v>0</v>
      </c>
      <c r="N40" s="155">
        <f t="shared" si="1"/>
        <v>0</v>
      </c>
      <c r="O40" s="156">
        <f t="shared" si="2"/>
        <v>0</v>
      </c>
      <c r="P40" s="156">
        <f t="shared" si="3"/>
        <v>0</v>
      </c>
    </row>
    <row r="41" spans="2:16" s="9" customFormat="1" ht="35.1" customHeight="1" x14ac:dyDescent="0.25">
      <c r="B41" s="21" t="s">
        <v>75</v>
      </c>
      <c r="C41" s="25" t="s">
        <v>76</v>
      </c>
      <c r="D41" s="23" t="s">
        <v>30</v>
      </c>
      <c r="E41" s="12">
        <v>11.299999999999997</v>
      </c>
      <c r="F41" s="126">
        <v>795025</v>
      </c>
      <c r="G41" s="126">
        <f>ROUND(+F41*E41,2)</f>
        <v>8983782.5</v>
      </c>
      <c r="H41" s="8"/>
      <c r="I41" s="9" t="str">
        <f t="array" ref="I41:L41">_xlfn.XLOOKUP(C41,'Neiva 2021 FASE I UNIFICADO'!$C$6:$C$540,'Neiva 2021 FASE I UNIFICADO'!$C$6:$F$540,"NO ESTA")</f>
        <v>MURO EN CONCRETO DE 4000 PSI DESCOLGADO VIGA 00C 30x120</v>
      </c>
      <c r="J41" s="9" t="str">
        <v>M3</v>
      </c>
      <c r="K41" s="9">
        <v>73</v>
      </c>
      <c r="L41" s="9">
        <v>687672</v>
      </c>
      <c r="M41" s="124" t="str">
        <f t="shared" si="4"/>
        <v>FASE II</v>
      </c>
      <c r="N41" s="155">
        <f t="shared" si="1"/>
        <v>84.3</v>
      </c>
      <c r="O41" s="156">
        <f t="shared" si="2"/>
        <v>795025</v>
      </c>
      <c r="P41" s="156">
        <f t="shared" si="3"/>
        <v>67020607.5</v>
      </c>
    </row>
    <row r="42" spans="2:16" s="9" customFormat="1" ht="35.1" customHeight="1" x14ac:dyDescent="0.25">
      <c r="B42" s="21" t="s">
        <v>77</v>
      </c>
      <c r="C42" s="25" t="s">
        <v>78</v>
      </c>
      <c r="D42" s="23" t="s">
        <v>30</v>
      </c>
      <c r="E42" s="12">
        <v>15.900000000000006</v>
      </c>
      <c r="F42" s="126">
        <v>766762</v>
      </c>
      <c r="G42" s="126">
        <f>ROUND(+F42*E42,2)</f>
        <v>12191515.800000001</v>
      </c>
      <c r="H42" s="8"/>
      <c r="I42" s="9" t="str">
        <f t="array" ref="I42:L42">_xlfn.XLOOKUP(C42,'Neiva 2021 FASE I UNIFICADO'!$C$6:$C$540,'Neiva 2021 FASE I UNIFICADO'!$C$6:$F$540,"NO ESTA")</f>
        <v>MURO ESTRUCTURAL EN CONCRETO DE 4000 PSI FACHADA EXTERIOR</v>
      </c>
      <c r="J42" s="9" t="str">
        <v>M3</v>
      </c>
      <c r="K42" s="9">
        <v>109</v>
      </c>
      <c r="L42" s="9">
        <v>687672</v>
      </c>
      <c r="M42" s="124" t="str">
        <f t="shared" si="4"/>
        <v>FASE II</v>
      </c>
      <c r="N42" s="155">
        <f t="shared" si="1"/>
        <v>124.9</v>
      </c>
      <c r="O42" s="156">
        <f t="shared" si="2"/>
        <v>766762</v>
      </c>
      <c r="P42" s="156">
        <f t="shared" si="3"/>
        <v>95768573.799999997</v>
      </c>
    </row>
    <row r="43" spans="2:16" s="9" customFormat="1" ht="35.1" customHeight="1" x14ac:dyDescent="0.25">
      <c r="B43" s="21" t="s">
        <v>79</v>
      </c>
      <c r="C43" s="25" t="s">
        <v>80</v>
      </c>
      <c r="D43" s="10" t="s">
        <v>30</v>
      </c>
      <c r="E43" s="12">
        <v>4.7000000000000028</v>
      </c>
      <c r="F43" s="126">
        <v>910627</v>
      </c>
      <c r="G43" s="126">
        <f>ROUND(+F43*E43,2)</f>
        <v>4279946.9000000004</v>
      </c>
      <c r="H43" s="145" t="s">
        <v>1061</v>
      </c>
      <c r="I43" s="9" t="str">
        <f t="array" ref="I43:L43">_xlfn.XLOOKUP(C43,'Neiva 2021 FASE I UNIFICADO'!$C$6:$C$540,'Neiva 2021 FASE I UNIFICADO'!$C$6:$F$540,"NO ESTA")</f>
        <v>ESCALERAS INTERNAS</v>
      </c>
      <c r="J43" s="9" t="str">
        <v>M3</v>
      </c>
      <c r="K43" s="9">
        <v>30</v>
      </c>
      <c r="L43" s="9">
        <v>705686</v>
      </c>
      <c r="M43" s="124" t="str">
        <f t="shared" si="4"/>
        <v>FASE II</v>
      </c>
      <c r="N43" s="155">
        <f t="shared" si="1"/>
        <v>34.700000000000003</v>
      </c>
      <c r="O43" s="156">
        <f t="shared" si="2"/>
        <v>910627</v>
      </c>
      <c r="P43" s="156">
        <f t="shared" si="3"/>
        <v>31598756.900000002</v>
      </c>
    </row>
    <row r="44" spans="2:16" s="9" customFormat="1" ht="35.1" customHeight="1" x14ac:dyDescent="0.25">
      <c r="B44" s="21" t="s">
        <v>81</v>
      </c>
      <c r="C44" s="25" t="s">
        <v>82</v>
      </c>
      <c r="D44" s="10" t="s">
        <v>30</v>
      </c>
      <c r="E44" s="12">
        <v>2</v>
      </c>
      <c r="F44" s="126">
        <v>910627</v>
      </c>
      <c r="G44" s="126">
        <f>ROUND(+F44*E44,2)</f>
        <v>1821254</v>
      </c>
      <c r="H44" s="8"/>
      <c r="I44" s="9" t="str">
        <f t="array" ref="I44:L44">_xlfn.XLOOKUP(C44,'Neiva 2021 FASE I UNIFICADO'!$C$6:$C$540,'Neiva 2021 FASE I UNIFICADO'!$C$6:$F$540,"NO ESTA")</f>
        <v>ESCALERA ACCESO SEGUNDO (2DO) Y TERCER (3ER) PISO EJES 1 Y 4'</v>
      </c>
      <c r="J44" s="9" t="str">
        <v>M3</v>
      </c>
      <c r="K44" s="9">
        <v>17</v>
      </c>
      <c r="L44" s="9">
        <v>705686</v>
      </c>
      <c r="M44" s="124" t="str">
        <f t="shared" si="4"/>
        <v>FASE II</v>
      </c>
      <c r="N44" s="155">
        <f t="shared" si="1"/>
        <v>19</v>
      </c>
      <c r="O44" s="156">
        <f t="shared" si="2"/>
        <v>910627</v>
      </c>
      <c r="P44" s="156">
        <f t="shared" si="3"/>
        <v>17301913</v>
      </c>
    </row>
    <row r="45" spans="2:16" s="9" customFormat="1" ht="35.1" customHeight="1" x14ac:dyDescent="0.25">
      <c r="B45" s="21" t="s">
        <v>83</v>
      </c>
      <c r="C45" s="25" t="s">
        <v>84</v>
      </c>
      <c r="D45" s="23" t="s">
        <v>30</v>
      </c>
      <c r="E45" s="12">
        <v>9</v>
      </c>
      <c r="F45" s="126">
        <v>852120</v>
      </c>
      <c r="G45" s="126">
        <f>ROUND(+F45*E45,2)</f>
        <v>7669080</v>
      </c>
      <c r="H45" s="8">
        <f>ROUND(F45+F45*20%*$H$3,0)</f>
        <v>1014500</v>
      </c>
      <c r="I45" s="9" t="str">
        <f t="array" ref="I45:L45">_xlfn.XLOOKUP(C45,'Neiva 2021 FASE I UNIFICADO'!$C$6:$C$540,'Neiva 2021 FASE I UNIFICADO'!$C$6:$F$540,"NO ESTA")</f>
        <v>RAMPAS DE ACCESO Incluye ACERO DE REFUERZO</v>
      </c>
      <c r="J45" s="9" t="str">
        <v>M3</v>
      </c>
      <c r="K45" s="9">
        <v>63</v>
      </c>
      <c r="L45" s="9">
        <v>723230</v>
      </c>
      <c r="M45" s="124" t="str">
        <f t="shared" si="4"/>
        <v>FASE II</v>
      </c>
      <c r="N45" s="155">
        <f t="shared" si="1"/>
        <v>72</v>
      </c>
      <c r="O45" s="156">
        <f t="shared" si="2"/>
        <v>852120</v>
      </c>
      <c r="P45" s="156">
        <f t="shared" si="3"/>
        <v>61352640</v>
      </c>
    </row>
    <row r="46" spans="2:16" s="9" customFormat="1" ht="35.1" customHeight="1" x14ac:dyDescent="0.25">
      <c r="B46" s="13" t="s">
        <v>85</v>
      </c>
      <c r="C46" s="24" t="s">
        <v>86</v>
      </c>
      <c r="D46" s="24"/>
      <c r="E46" s="15"/>
      <c r="F46" s="129"/>
      <c r="G46" s="140"/>
      <c r="H46" s="8"/>
      <c r="M46" s="124">
        <f t="shared" si="4"/>
        <v>0</v>
      </c>
      <c r="N46" s="155">
        <f t="shared" si="1"/>
        <v>0</v>
      </c>
      <c r="O46" s="156">
        <f t="shared" si="2"/>
        <v>0</v>
      </c>
      <c r="P46" s="156">
        <f t="shared" si="3"/>
        <v>0</v>
      </c>
    </row>
    <row r="47" spans="2:16" s="9" customFormat="1" ht="35.1" customHeight="1" x14ac:dyDescent="0.25">
      <c r="B47" s="10" t="s">
        <v>87</v>
      </c>
      <c r="C47" s="20" t="s">
        <v>54</v>
      </c>
      <c r="D47" s="10" t="s">
        <v>55</v>
      </c>
      <c r="E47" s="12">
        <v>84343.400000000023</v>
      </c>
      <c r="F47" s="126">
        <v>5221</v>
      </c>
      <c r="G47" s="126">
        <f>ROUND(+F47*E47,2)</f>
        <v>440356891.39999998</v>
      </c>
      <c r="H47" s="8"/>
      <c r="I47" s="9" t="str">
        <f t="array" ref="I47:L47">_xlfn.XLOOKUP(C47,'Neiva 2021 FASE I UNIFICADO'!$C$6:$C$540,'Neiva 2021 FASE I UNIFICADO'!$C$6:$F$540,"NO ESTA")</f>
        <v>ACERO DE REFUERZO 60000 psi Incluye ALAMBRE DE AMARRE</v>
      </c>
      <c r="J47" s="9" t="str">
        <v>KG</v>
      </c>
      <c r="K47" s="9">
        <v>16621.25</v>
      </c>
      <c r="L47" s="9">
        <v>5000</v>
      </c>
      <c r="M47" s="124" t="str">
        <f t="shared" si="4"/>
        <v>FASE II</v>
      </c>
      <c r="N47" s="155">
        <f t="shared" si="1"/>
        <v>100964.65000000002</v>
      </c>
      <c r="O47" s="156">
        <f t="shared" si="2"/>
        <v>5221</v>
      </c>
      <c r="P47" s="156">
        <f t="shared" si="3"/>
        <v>527136437.6500001</v>
      </c>
    </row>
    <row r="48" spans="2:16" s="9" customFormat="1" ht="35.1" customHeight="1" x14ac:dyDescent="0.25">
      <c r="B48" s="21" t="s">
        <v>88</v>
      </c>
      <c r="C48" s="22" t="s">
        <v>89</v>
      </c>
      <c r="D48" s="10" t="s">
        <v>13</v>
      </c>
      <c r="E48" s="12">
        <v>938.19999999999982</v>
      </c>
      <c r="F48" s="126">
        <f>+F31</f>
        <v>7831.5</v>
      </c>
      <c r="G48" s="126">
        <f>ROUND(+F48*E48,2)</f>
        <v>7347513.2999999998</v>
      </c>
      <c r="H48" s="8"/>
      <c r="I48" s="9" t="str">
        <f t="array" ref="I48:L48">_xlfn.XLOOKUP(C48,'Neiva 2021 FASE I UNIFICADO'!$C$6:$C$540,'Neiva 2021 FASE I UNIFICADO'!$C$6:$F$540,"NO ESTA")</f>
        <v>MALLA ELECTROSOLDADA PLACA ENTREPISO Q85 Ø4 mm separación 15x15 cm o similar</v>
      </c>
      <c r="J48" s="9" t="str">
        <v>M2</v>
      </c>
      <c r="K48" s="9">
        <v>6220.01</v>
      </c>
      <c r="L48" s="9">
        <v>7500</v>
      </c>
      <c r="M48" s="124" t="str">
        <f t="shared" si="4"/>
        <v>FASE II</v>
      </c>
      <c r="N48" s="155">
        <f t="shared" si="1"/>
        <v>7158.21</v>
      </c>
      <c r="O48" s="156">
        <f t="shared" si="2"/>
        <v>7831.5</v>
      </c>
      <c r="P48" s="156">
        <f t="shared" si="3"/>
        <v>56059521.615000002</v>
      </c>
    </row>
    <row r="49" spans="2:16" s="9" customFormat="1" ht="35.1" customHeight="1" x14ac:dyDescent="0.25">
      <c r="B49" s="13" t="s">
        <v>90</v>
      </c>
      <c r="C49" s="24" t="s">
        <v>91</v>
      </c>
      <c r="D49" s="24"/>
      <c r="E49" s="15"/>
      <c r="F49" s="129"/>
      <c r="G49" s="140"/>
      <c r="H49" s="8"/>
      <c r="M49" s="124">
        <f t="shared" si="4"/>
        <v>0</v>
      </c>
      <c r="N49" s="155">
        <f t="shared" si="1"/>
        <v>0</v>
      </c>
      <c r="O49" s="156">
        <f t="shared" si="2"/>
        <v>0</v>
      </c>
      <c r="P49" s="156">
        <f t="shared" si="3"/>
        <v>0</v>
      </c>
    </row>
    <row r="50" spans="2:16" s="9" customFormat="1" ht="35.1" customHeight="1" x14ac:dyDescent="0.25">
      <c r="B50" s="10" t="s">
        <v>92</v>
      </c>
      <c r="C50" s="20" t="s">
        <v>93</v>
      </c>
      <c r="D50" s="10" t="s">
        <v>94</v>
      </c>
      <c r="E50" s="12">
        <v>14.099999999999994</v>
      </c>
      <c r="F50" s="126">
        <v>109392</v>
      </c>
      <c r="G50" s="126">
        <f>ROUND(+F50*E50,2)</f>
        <v>1542427.2</v>
      </c>
      <c r="H50" s="8">
        <f>ROUND(+F50*(1+$H$3),0)</f>
        <v>213621</v>
      </c>
      <c r="I50" s="9" t="str">
        <f t="array" ref="I50:L50">_xlfn.XLOOKUP(C50,'Neiva 2021 FASE I UNIFICADO'!$C$6:$C$540,'Neiva 2021 FASE I UNIFICADO'!$C$6:$F$540,"NO ESTA")</f>
        <v>CERCHA METALICA CUBIERTA</v>
      </c>
      <c r="J50" s="9" t="str">
        <v>ML</v>
      </c>
      <c r="K50" s="9">
        <v>194</v>
      </c>
      <c r="L50" s="9">
        <v>102216</v>
      </c>
      <c r="M50" s="124" t="str">
        <f t="shared" si="4"/>
        <v>FASE II</v>
      </c>
      <c r="N50" s="155">
        <f t="shared" si="1"/>
        <v>208.1</v>
      </c>
      <c r="O50" s="156">
        <f t="shared" si="2"/>
        <v>109392</v>
      </c>
      <c r="P50" s="156">
        <f t="shared" si="3"/>
        <v>22764475.199999999</v>
      </c>
    </row>
    <row r="51" spans="2:16" s="9" customFormat="1" ht="35.1" customHeight="1" x14ac:dyDescent="0.25">
      <c r="B51" s="10" t="s">
        <v>95</v>
      </c>
      <c r="C51" s="20" t="s">
        <v>96</v>
      </c>
      <c r="D51" s="10" t="s">
        <v>94</v>
      </c>
      <c r="E51" s="12">
        <v>28.599999999999994</v>
      </c>
      <c r="F51" s="126">
        <v>78264</v>
      </c>
      <c r="G51" s="126">
        <f>ROUND(+F51*E51,2)</f>
        <v>2238350.4</v>
      </c>
      <c r="H51" s="8">
        <f>ROUND(+F51*(1+$H$3),0)</f>
        <v>152834</v>
      </c>
      <c r="I51" s="9" t="str">
        <f t="array" ref="I51:L51">_xlfn.XLOOKUP(C51,'Neiva 2021 FASE I UNIFICADO'!$C$6:$C$540,'Neiva 2021 FASE I UNIFICADO'!$C$6:$F$540,"NO ESTA")</f>
        <v>CORREAS METALICAS CUBIERTA</v>
      </c>
      <c r="J51" s="9" t="str">
        <v>ML</v>
      </c>
      <c r="K51" s="9">
        <v>1240</v>
      </c>
      <c r="L51" s="9">
        <v>72433</v>
      </c>
      <c r="M51" s="124" t="str">
        <f t="shared" si="4"/>
        <v>FASE II</v>
      </c>
      <c r="N51" s="155">
        <f t="shared" si="1"/>
        <v>1268.5999999999999</v>
      </c>
      <c r="O51" s="156">
        <f t="shared" si="2"/>
        <v>78264</v>
      </c>
      <c r="P51" s="156">
        <f t="shared" si="3"/>
        <v>99285710.399999991</v>
      </c>
    </row>
    <row r="52" spans="2:16" s="9" customFormat="1" ht="35.1" customHeight="1" x14ac:dyDescent="0.25">
      <c r="B52" s="10" t="s">
        <v>97</v>
      </c>
      <c r="C52" s="22" t="s">
        <v>98</v>
      </c>
      <c r="D52" s="23" t="s">
        <v>13</v>
      </c>
      <c r="E52" s="12">
        <v>488.5</v>
      </c>
      <c r="F52" s="126">
        <v>103483</v>
      </c>
      <c r="G52" s="126">
        <f>ROUND(+F52*E52,2)</f>
        <v>50551445.5</v>
      </c>
      <c r="H52" s="8"/>
      <c r="I52" s="9" t="str">
        <f t="array" ref="I52:L52">_xlfn.XLOOKUP(C52,'Neiva 2021 FASE I UNIFICADO'!$C$6:$C$540,'Neiva 2021 FASE I UNIFICADO'!$C$6:$F$540,"NO ESTA")</f>
        <v>CUBIERTA TIPO SANDWICH</v>
      </c>
      <c r="J52" s="9" t="str">
        <v>M2</v>
      </c>
      <c r="K52" s="9">
        <v>508</v>
      </c>
      <c r="L52" s="9">
        <v>95772</v>
      </c>
      <c r="M52" s="124" t="str">
        <f t="shared" si="4"/>
        <v>FASE II</v>
      </c>
      <c r="N52" s="155">
        <f t="shared" si="1"/>
        <v>996.5</v>
      </c>
      <c r="O52" s="156">
        <f t="shared" si="2"/>
        <v>103483</v>
      </c>
      <c r="P52" s="156">
        <f t="shared" si="3"/>
        <v>103120809.5</v>
      </c>
    </row>
    <row r="53" spans="2:16" s="9" customFormat="1" ht="35.1" customHeight="1" x14ac:dyDescent="0.25">
      <c r="B53" s="16">
        <v>4</v>
      </c>
      <c r="C53" s="17" t="s">
        <v>99</v>
      </c>
      <c r="D53" s="17"/>
      <c r="E53" s="18"/>
      <c r="F53" s="127"/>
      <c r="G53" s="17"/>
      <c r="H53" s="8"/>
      <c r="M53" s="124">
        <f t="shared" si="4"/>
        <v>0</v>
      </c>
      <c r="N53" s="155">
        <f t="shared" si="1"/>
        <v>0</v>
      </c>
      <c r="O53" s="156">
        <f t="shared" si="2"/>
        <v>0</v>
      </c>
      <c r="P53" s="156">
        <f t="shared" si="3"/>
        <v>0</v>
      </c>
    </row>
    <row r="54" spans="2:16" s="9" customFormat="1" ht="35.1" customHeight="1" x14ac:dyDescent="0.25">
      <c r="B54" s="13" t="s">
        <v>100</v>
      </c>
      <c r="C54" s="14" t="s">
        <v>101</v>
      </c>
      <c r="D54" s="27"/>
      <c r="E54" s="15"/>
      <c r="F54" s="126">
        <v>0</v>
      </c>
      <c r="G54" s="126">
        <f>ROUND(+F54*E54,2)</f>
        <v>0</v>
      </c>
      <c r="H54" s="8"/>
      <c r="I54" s="9" t="str">
        <f t="array" ref="I54:L54">_xlfn.XLOOKUP(C54,'Neiva 2021 FASE I UNIFICADO'!$C$6:$C$540,'Neiva 2021 FASE I UNIFICADO'!$C$6:$F$540,"NO ESTA")</f>
        <v>SUMINISTRO E INSTALACION DE CIELOS RASOS PISO 1</v>
      </c>
      <c r="J54" s="9">
        <v>0</v>
      </c>
      <c r="K54" s="9">
        <v>0</v>
      </c>
      <c r="L54" s="9">
        <v>0</v>
      </c>
      <c r="M54" s="124">
        <f t="shared" si="4"/>
        <v>0</v>
      </c>
      <c r="N54" s="155">
        <f t="shared" si="1"/>
        <v>0</v>
      </c>
      <c r="O54" s="156">
        <f t="shared" si="2"/>
        <v>0</v>
      </c>
      <c r="P54" s="156">
        <f t="shared" si="3"/>
        <v>0</v>
      </c>
    </row>
    <row r="55" spans="2:16" s="9" customFormat="1" ht="35.1" customHeight="1" x14ac:dyDescent="0.25">
      <c r="B55" s="23" t="s">
        <v>102</v>
      </c>
      <c r="C55" s="22" t="s">
        <v>1062</v>
      </c>
      <c r="D55" s="23" t="s">
        <v>13</v>
      </c>
      <c r="E55" s="12">
        <v>0</v>
      </c>
      <c r="F55" s="126">
        <v>52673</v>
      </c>
      <c r="G55" s="126">
        <f>ROUND(+F55*E55,2)</f>
        <v>0</v>
      </c>
      <c r="H55" s="8"/>
      <c r="I55" s="9" t="str">
        <f t="array" ref="I55">_xlfn.XLOOKUP(C55,'Neiva 2021 FASE I UNIFICADO'!$C$6:$C$540,'Neiva 2021 FASE I UNIFICADO'!$C$6:$F$540,"NO ESTA")</f>
        <v>NO ESTA</v>
      </c>
      <c r="M55" s="124">
        <f t="shared" si="4"/>
        <v>0</v>
      </c>
      <c r="N55" s="155">
        <f t="shared" si="1"/>
        <v>0</v>
      </c>
      <c r="O55" s="156">
        <f t="shared" si="2"/>
        <v>52673</v>
      </c>
      <c r="P55" s="156">
        <f t="shared" si="3"/>
        <v>0</v>
      </c>
    </row>
    <row r="56" spans="2:16" s="9" customFormat="1" ht="35.1" customHeight="1" x14ac:dyDescent="0.25">
      <c r="B56" s="23" t="s">
        <v>104</v>
      </c>
      <c r="C56" s="22" t="s">
        <v>105</v>
      </c>
      <c r="D56" s="23" t="s">
        <v>13</v>
      </c>
      <c r="E56" s="12">
        <v>0</v>
      </c>
      <c r="F56" s="126">
        <v>52673</v>
      </c>
      <c r="G56" s="126">
        <f>ROUND(+F56*E56,2)</f>
        <v>0</v>
      </c>
      <c r="H56" s="8"/>
      <c r="I56" s="9" t="str">
        <f t="array" ref="I56:L56">_xlfn.XLOOKUP(C56,'Neiva 2021 FASE I UNIFICADO'!$C$6:$C$540,'Neiva 2021 FASE I UNIFICADO'!$C$6:$F$540,"NO ESTA")</f>
        <v>SUMINISTRO E INSTALACION CIELO RASO EN DRYWALL LAMINA BLANCA PINTADO A 3 MANOS PINTURA VINILO TIPO 1  BLANCA Ref. Planos 09511</v>
      </c>
      <c r="J56" s="9" t="str">
        <v>M2</v>
      </c>
      <c r="K56" s="9">
        <v>388.43</v>
      </c>
      <c r="L56" s="9">
        <v>41614</v>
      </c>
      <c r="M56" s="124" t="str">
        <f t="shared" si="4"/>
        <v>FASE II</v>
      </c>
      <c r="N56" s="155">
        <f t="shared" si="1"/>
        <v>388.43</v>
      </c>
      <c r="O56" s="156">
        <f t="shared" si="2"/>
        <v>52673</v>
      </c>
      <c r="P56" s="156">
        <f t="shared" si="3"/>
        <v>20459773.390000001</v>
      </c>
    </row>
    <row r="57" spans="2:16" s="9" customFormat="1" ht="35.1" customHeight="1" x14ac:dyDescent="0.25">
      <c r="B57" s="28" t="s">
        <v>1063</v>
      </c>
      <c r="C57" s="29" t="s">
        <v>1064</v>
      </c>
      <c r="D57" s="30"/>
      <c r="E57" s="31"/>
      <c r="F57" s="129"/>
      <c r="G57" s="140"/>
      <c r="H57" s="8"/>
      <c r="I57" s="9" t="str">
        <f t="array" ref="I57">_xlfn.XLOOKUP(C57,'Neiva 2021 FASE I UNIFICADO'!$C$6:$C$540,'Neiva 2021 FASE I UNIFICADO'!$C$6:$F$540,"NO ESTA")</f>
        <v>NO ESTA</v>
      </c>
      <c r="M57" s="124">
        <f t="shared" si="4"/>
        <v>0</v>
      </c>
      <c r="N57" s="155">
        <f t="shared" si="1"/>
        <v>0</v>
      </c>
      <c r="O57" s="156">
        <f t="shared" si="2"/>
        <v>0</v>
      </c>
      <c r="P57" s="156">
        <f t="shared" si="3"/>
        <v>0</v>
      </c>
    </row>
    <row r="58" spans="2:16" s="9" customFormat="1" ht="49.15" customHeight="1" x14ac:dyDescent="0.25">
      <c r="B58" s="23" t="s">
        <v>1065</v>
      </c>
      <c r="C58" s="22" t="s">
        <v>103</v>
      </c>
      <c r="D58" s="23" t="s">
        <v>13</v>
      </c>
      <c r="E58" s="12">
        <v>68.989999999999995</v>
      </c>
      <c r="F58" s="126">
        <v>52673</v>
      </c>
      <c r="G58" s="126">
        <f>ROUND(+F58*E58,2)</f>
        <v>3633910.27</v>
      </c>
      <c r="H58" s="8"/>
      <c r="I58" s="9" t="str">
        <f t="array" ref="I58:L58">_xlfn.XLOOKUP(C58,'Neiva 2021 FASE I UNIFICADO'!$C$6:$C$540,'Neiva 2021 FASE I UNIFICADO'!$C$6:$F$540,"NO ESTA")</f>
        <v>SUMINISTRO E INSTALACION CIELO RASO EN DRYWALL LAMINA VERDE RH  PINTADO A 3 MANOS PINTURA VINILO TIPO 1 o similar  BLANCA Ref. Planos 09512</v>
      </c>
      <c r="J58" s="9" t="str">
        <v>M2</v>
      </c>
      <c r="K58" s="9">
        <v>59.86</v>
      </c>
      <c r="L58" s="9">
        <v>41614</v>
      </c>
      <c r="M58" s="124" t="str">
        <f t="shared" si="4"/>
        <v>FASE II</v>
      </c>
      <c r="N58" s="155">
        <f t="shared" si="1"/>
        <v>128.85</v>
      </c>
      <c r="O58" s="156">
        <f t="shared" si="2"/>
        <v>52673</v>
      </c>
      <c r="P58" s="156">
        <f t="shared" si="3"/>
        <v>6786916.0499999998</v>
      </c>
    </row>
    <row r="59" spans="2:16" s="9" customFormat="1" ht="35.1" customHeight="1" x14ac:dyDescent="0.25">
      <c r="B59" s="23" t="s">
        <v>1066</v>
      </c>
      <c r="C59" s="22" t="s">
        <v>105</v>
      </c>
      <c r="D59" s="23" t="s">
        <v>13</v>
      </c>
      <c r="E59" s="12">
        <v>701.75</v>
      </c>
      <c r="F59" s="126">
        <v>52673</v>
      </c>
      <c r="G59" s="126">
        <f>ROUND(+F59*E59,2)</f>
        <v>36963277.75</v>
      </c>
      <c r="H59" s="8"/>
      <c r="I59" s="9" t="str">
        <f t="array" ref="I59:L59">_xlfn.XLOOKUP(C59,'Neiva 2021 FASE I UNIFICADO'!$C$6:$C$540,'Neiva 2021 FASE I UNIFICADO'!$C$6:$F$540,"NO ESTA")</f>
        <v>SUMINISTRO E INSTALACION CIELO RASO EN DRYWALL LAMINA BLANCA PINTADO A 3 MANOS PINTURA VINILO TIPO 1  BLANCA Ref. Planos 09511</v>
      </c>
      <c r="J59" s="9" t="str">
        <v>M2</v>
      </c>
      <c r="K59" s="9">
        <v>388.43</v>
      </c>
      <c r="L59" s="9">
        <v>41614</v>
      </c>
      <c r="M59" s="124" t="str">
        <f t="shared" si="4"/>
        <v>FASE II</v>
      </c>
      <c r="N59" s="155">
        <f t="shared" si="1"/>
        <v>1090.18</v>
      </c>
      <c r="O59" s="156">
        <f t="shared" si="2"/>
        <v>52673</v>
      </c>
      <c r="P59" s="156">
        <f t="shared" si="3"/>
        <v>57423051.140000001</v>
      </c>
    </row>
    <row r="60" spans="2:16" s="9" customFormat="1" ht="35.1" customHeight="1" x14ac:dyDescent="0.25">
      <c r="B60" s="13" t="s">
        <v>1067</v>
      </c>
      <c r="C60" s="14" t="s">
        <v>1068</v>
      </c>
      <c r="D60" s="27"/>
      <c r="E60" s="15"/>
      <c r="F60" s="129"/>
      <c r="G60" s="140"/>
      <c r="H60" s="8"/>
      <c r="I60" s="9" t="str">
        <f t="array" ref="I60">_xlfn.XLOOKUP(C60,'Neiva 2021 FASE I UNIFICADO'!$C$6:$C$540,'Neiva 2021 FASE I UNIFICADO'!$C$6:$F$540,"NO ESTA")</f>
        <v>NO ESTA</v>
      </c>
      <c r="M60" s="124">
        <f t="shared" si="4"/>
        <v>0</v>
      </c>
      <c r="N60" s="155">
        <f t="shared" si="1"/>
        <v>0</v>
      </c>
      <c r="O60" s="156">
        <f t="shared" si="2"/>
        <v>0</v>
      </c>
      <c r="P60" s="156">
        <f t="shared" si="3"/>
        <v>0</v>
      </c>
    </row>
    <row r="61" spans="2:16" s="9" customFormat="1" ht="46.15" customHeight="1" x14ac:dyDescent="0.25">
      <c r="B61" s="23" t="s">
        <v>1069</v>
      </c>
      <c r="C61" s="22" t="s">
        <v>103</v>
      </c>
      <c r="D61" s="23" t="s">
        <v>13</v>
      </c>
      <c r="E61" s="12">
        <v>68.989999999999995</v>
      </c>
      <c r="F61" s="126">
        <v>72889</v>
      </c>
      <c r="G61" s="126">
        <f>ROUND(+F61*E61,2)</f>
        <v>5028612.1100000003</v>
      </c>
      <c r="H61" s="8"/>
      <c r="I61" s="9" t="str">
        <f t="array" ref="I61:L61">_xlfn.XLOOKUP(C61,'Neiva 2021 FASE I UNIFICADO'!$C$6:$C$540,'Neiva 2021 FASE I UNIFICADO'!$C$6:$F$540,"NO ESTA")</f>
        <v>SUMINISTRO E INSTALACION CIELO RASO EN DRYWALL LAMINA VERDE RH  PINTADO A 3 MANOS PINTURA VINILO TIPO 1 o similar  BLANCA Ref. Planos 09512</v>
      </c>
      <c r="J61" s="9" t="str">
        <v>M2</v>
      </c>
      <c r="K61" s="9">
        <v>59.86</v>
      </c>
      <c r="L61" s="9">
        <v>41614</v>
      </c>
      <c r="M61" s="124" t="str">
        <f t="shared" si="4"/>
        <v>FASE II</v>
      </c>
      <c r="N61" s="155">
        <f t="shared" si="1"/>
        <v>128.85</v>
      </c>
      <c r="O61" s="156">
        <f t="shared" si="2"/>
        <v>72889</v>
      </c>
      <c r="P61" s="156">
        <f t="shared" si="3"/>
        <v>9391747.6500000004</v>
      </c>
    </row>
    <row r="62" spans="2:16" s="9" customFormat="1" ht="35.1" customHeight="1" x14ac:dyDescent="0.25">
      <c r="B62" s="23" t="s">
        <v>1070</v>
      </c>
      <c r="C62" s="22" t="s">
        <v>105</v>
      </c>
      <c r="D62" s="23" t="s">
        <v>13</v>
      </c>
      <c r="E62" s="12">
        <v>565.59</v>
      </c>
      <c r="F62" s="126">
        <v>69024</v>
      </c>
      <c r="G62" s="126">
        <f>ROUND(+F62*E62,2)</f>
        <v>39039284.159999996</v>
      </c>
      <c r="H62" s="8"/>
      <c r="I62" s="9" t="str">
        <f t="array" ref="I62:L62">_xlfn.XLOOKUP(C62,'Neiva 2021 FASE I UNIFICADO'!$C$6:$C$540,'Neiva 2021 FASE I UNIFICADO'!$C$6:$F$540,"NO ESTA")</f>
        <v>SUMINISTRO E INSTALACION CIELO RASO EN DRYWALL LAMINA BLANCA PINTADO A 3 MANOS PINTURA VINILO TIPO 1  BLANCA Ref. Planos 09511</v>
      </c>
      <c r="J62" s="9" t="str">
        <v>M2</v>
      </c>
      <c r="K62" s="9">
        <v>388.43</v>
      </c>
      <c r="L62" s="9">
        <v>41614</v>
      </c>
      <c r="M62" s="124" t="str">
        <f t="shared" si="4"/>
        <v>FASE II</v>
      </c>
      <c r="N62" s="155">
        <f t="shared" si="1"/>
        <v>954.02</v>
      </c>
      <c r="O62" s="156">
        <f t="shared" si="2"/>
        <v>69024</v>
      </c>
      <c r="P62" s="156">
        <f t="shared" si="3"/>
        <v>65850276.479999997</v>
      </c>
    </row>
    <row r="63" spans="2:16" s="9" customFormat="1" ht="35.1" customHeight="1" x14ac:dyDescent="0.25">
      <c r="B63" s="32" t="s">
        <v>1071</v>
      </c>
      <c r="C63" s="14" t="s">
        <v>1072</v>
      </c>
      <c r="D63" s="27"/>
      <c r="E63" s="15"/>
      <c r="F63" s="129"/>
      <c r="G63" s="140"/>
      <c r="H63" s="8"/>
      <c r="I63" s="9" t="str">
        <f t="array" ref="I63">_xlfn.XLOOKUP(C63,'Neiva 2021 FASE I UNIFICADO'!$C$6:$C$540,'Neiva 2021 FASE I UNIFICADO'!$C$6:$F$540,"NO ESTA")</f>
        <v>NO ESTA</v>
      </c>
      <c r="M63" s="124">
        <f t="shared" si="4"/>
        <v>0</v>
      </c>
      <c r="N63" s="155">
        <f t="shared" si="1"/>
        <v>0</v>
      </c>
      <c r="O63" s="156">
        <f t="shared" si="2"/>
        <v>0</v>
      </c>
      <c r="P63" s="156">
        <f t="shared" si="3"/>
        <v>0</v>
      </c>
    </row>
    <row r="64" spans="2:16" s="9" customFormat="1" ht="50.45" customHeight="1" x14ac:dyDescent="0.25">
      <c r="B64" s="23" t="s">
        <v>1073</v>
      </c>
      <c r="C64" s="22" t="s">
        <v>103</v>
      </c>
      <c r="D64" s="23" t="s">
        <v>13</v>
      </c>
      <c r="E64" s="12">
        <v>51.89</v>
      </c>
      <c r="F64" s="126">
        <v>72889</v>
      </c>
      <c r="G64" s="126">
        <f>ROUND(+F64*E64,2)</f>
        <v>3782210.21</v>
      </c>
      <c r="H64" s="8"/>
      <c r="I64" s="9" t="str">
        <f t="array" ref="I64:L64">_xlfn.XLOOKUP(C64,'Neiva 2021 FASE I UNIFICADO'!$C$6:$C$540,'Neiva 2021 FASE I UNIFICADO'!$C$6:$F$540,"NO ESTA")</f>
        <v>SUMINISTRO E INSTALACION CIELO RASO EN DRYWALL LAMINA VERDE RH  PINTADO A 3 MANOS PINTURA VINILO TIPO 1 o similar  BLANCA Ref. Planos 09512</v>
      </c>
      <c r="J64" s="9" t="str">
        <v>M2</v>
      </c>
      <c r="K64" s="9">
        <v>59.86</v>
      </c>
      <c r="L64" s="9">
        <v>41614</v>
      </c>
      <c r="M64" s="124" t="str">
        <f t="shared" si="4"/>
        <v>FASE II</v>
      </c>
      <c r="N64" s="155">
        <f t="shared" si="1"/>
        <v>111.75</v>
      </c>
      <c r="O64" s="156">
        <f t="shared" si="2"/>
        <v>72889</v>
      </c>
      <c r="P64" s="156">
        <f t="shared" si="3"/>
        <v>8145345.75</v>
      </c>
    </row>
    <row r="65" spans="2:16" s="9" customFormat="1" ht="35.1" customHeight="1" x14ac:dyDescent="0.25">
      <c r="B65" s="23" t="s">
        <v>1074</v>
      </c>
      <c r="C65" s="22" t="s">
        <v>105</v>
      </c>
      <c r="D65" s="23" t="s">
        <v>13</v>
      </c>
      <c r="E65" s="12">
        <v>1250.28</v>
      </c>
      <c r="F65" s="126">
        <v>69024</v>
      </c>
      <c r="G65" s="126">
        <f>ROUND(+F65*E65,2)</f>
        <v>86299326.719999999</v>
      </c>
      <c r="H65" s="8"/>
      <c r="I65" s="9" t="str">
        <f t="array" ref="I65:L65">_xlfn.XLOOKUP(C65,'Neiva 2021 FASE I UNIFICADO'!$C$6:$C$540,'Neiva 2021 FASE I UNIFICADO'!$C$6:$F$540,"NO ESTA")</f>
        <v>SUMINISTRO E INSTALACION CIELO RASO EN DRYWALL LAMINA BLANCA PINTADO A 3 MANOS PINTURA VINILO TIPO 1  BLANCA Ref. Planos 09511</v>
      </c>
      <c r="J65" s="9" t="str">
        <v>M2</v>
      </c>
      <c r="K65" s="9">
        <v>388.43</v>
      </c>
      <c r="L65" s="9">
        <v>41614</v>
      </c>
      <c r="M65" s="124" t="str">
        <f t="shared" si="4"/>
        <v>FASE II</v>
      </c>
      <c r="N65" s="155">
        <f t="shared" si="1"/>
        <v>1638.71</v>
      </c>
      <c r="O65" s="156">
        <f t="shared" si="2"/>
        <v>69024</v>
      </c>
      <c r="P65" s="156">
        <f t="shared" si="3"/>
        <v>113110319.04000001</v>
      </c>
    </row>
    <row r="66" spans="2:16" s="9" customFormat="1" ht="35.1" customHeight="1" x14ac:dyDescent="0.25">
      <c r="B66" s="23" t="s">
        <v>1075</v>
      </c>
      <c r="C66" s="22" t="s">
        <v>1076</v>
      </c>
      <c r="D66" s="23" t="s">
        <v>94</v>
      </c>
      <c r="E66" s="12">
        <v>250.05600000000001</v>
      </c>
      <c r="F66" s="126">
        <v>17522</v>
      </c>
      <c r="G66" s="126">
        <f>ROUND(+F66*E66,2)</f>
        <v>4381481.2300000004</v>
      </c>
      <c r="H66" s="8"/>
      <c r="I66" s="9" t="str">
        <f t="array" ref="I66">_xlfn.XLOOKUP(C66,'Neiva 2021 FASE I UNIFICADO'!$C$6:$C$540,'Neiva 2021 FASE I UNIFICADO'!$C$6:$F$540,"NO ESTA")</f>
        <v>NO ESTA</v>
      </c>
      <c r="M66" s="124">
        <f t="shared" si="4"/>
        <v>0</v>
      </c>
      <c r="N66" s="155">
        <f t="shared" si="1"/>
        <v>250.05600000000001</v>
      </c>
      <c r="O66" s="156">
        <f t="shared" si="2"/>
        <v>17522</v>
      </c>
      <c r="P66" s="156">
        <f t="shared" si="3"/>
        <v>4381481.2319999998</v>
      </c>
    </row>
    <row r="67" spans="2:16" s="9" customFormat="1" ht="35.1" customHeight="1" x14ac:dyDescent="0.25">
      <c r="B67" s="23" t="s">
        <v>1077</v>
      </c>
      <c r="C67" s="22" t="s">
        <v>1078</v>
      </c>
      <c r="D67" s="23" t="s">
        <v>13</v>
      </c>
      <c r="E67" s="12">
        <v>149.82</v>
      </c>
      <c r="F67" s="126">
        <v>48102</v>
      </c>
      <c r="G67" s="126">
        <f>ROUND(+F67*E67,2)</f>
        <v>7206641.6399999997</v>
      </c>
      <c r="H67" s="8"/>
      <c r="I67" s="9" t="str">
        <f t="array" ref="I67">_xlfn.XLOOKUP(C67,'Neiva 2021 FASE I UNIFICADO'!$C$6:$C$540,'Neiva 2021 FASE I UNIFICADO'!$C$6:$F$540,"NO ESTA")</f>
        <v>NO ESTA</v>
      </c>
      <c r="M67" s="124">
        <f t="shared" si="4"/>
        <v>0</v>
      </c>
      <c r="N67" s="155">
        <f t="shared" si="1"/>
        <v>149.82</v>
      </c>
      <c r="O67" s="156">
        <f t="shared" si="2"/>
        <v>48102</v>
      </c>
      <c r="P67" s="156">
        <f t="shared" si="3"/>
        <v>7206641.6399999997</v>
      </c>
    </row>
    <row r="68" spans="2:16" s="9" customFormat="1" ht="35.1" customHeight="1" x14ac:dyDescent="0.25">
      <c r="B68" s="16">
        <v>5</v>
      </c>
      <c r="C68" s="17" t="s">
        <v>106</v>
      </c>
      <c r="D68" s="17"/>
      <c r="E68" s="18"/>
      <c r="F68" s="127"/>
      <c r="G68" s="17"/>
      <c r="H68" s="8"/>
      <c r="M68" s="124">
        <f t="shared" si="4"/>
        <v>0</v>
      </c>
      <c r="N68" s="155">
        <f t="shared" si="1"/>
        <v>0</v>
      </c>
      <c r="O68" s="156">
        <f t="shared" si="2"/>
        <v>0</v>
      </c>
      <c r="P68" s="156">
        <f t="shared" si="3"/>
        <v>0</v>
      </c>
    </row>
    <row r="69" spans="2:16" s="9" customFormat="1" ht="35.1" customHeight="1" x14ac:dyDescent="0.25">
      <c r="B69" s="13" t="s">
        <v>107</v>
      </c>
      <c r="C69" s="24" t="s">
        <v>108</v>
      </c>
      <c r="D69" s="24"/>
      <c r="E69" s="15"/>
      <c r="F69" s="129"/>
      <c r="G69" s="140"/>
      <c r="H69" s="8"/>
      <c r="M69" s="124">
        <f t="shared" si="4"/>
        <v>0</v>
      </c>
      <c r="N69" s="155">
        <f t="shared" si="1"/>
        <v>0</v>
      </c>
      <c r="O69" s="156">
        <f t="shared" si="2"/>
        <v>0</v>
      </c>
      <c r="P69" s="156">
        <f t="shared" si="3"/>
        <v>0</v>
      </c>
    </row>
    <row r="70" spans="2:16" s="9" customFormat="1" ht="35.1" customHeight="1" x14ac:dyDescent="0.25">
      <c r="B70" s="23" t="s">
        <v>109</v>
      </c>
      <c r="C70" s="11" t="s">
        <v>110</v>
      </c>
      <c r="D70" s="10" t="s">
        <v>30</v>
      </c>
      <c r="E70" s="12">
        <v>0</v>
      </c>
      <c r="F70" s="126">
        <v>821235</v>
      </c>
      <c r="G70" s="141">
        <f t="shared" ref="G70:G79" si="5">ROUND(+F70*E70,2)</f>
        <v>0</v>
      </c>
      <c r="H70" s="8"/>
      <c r="I70" s="9" t="str">
        <f t="array" ref="I70:L70">_xlfn.XLOOKUP(C70,'Neiva 2021 FASE I UNIFICADO'!$C$6:$C$540,'Neiva 2021 FASE I UNIFICADO'!$C$6:$F$540,"NO ESTA")</f>
        <v>MURO EN CONCRETO DE 4000 PSI e=0.12 m Ver. Planos Tipo Muro M-1</v>
      </c>
      <c r="J70" s="9" t="str">
        <v>M3</v>
      </c>
      <c r="K70" s="9">
        <v>0.73</v>
      </c>
      <c r="L70" s="9">
        <v>687672</v>
      </c>
      <c r="M70" s="124" t="str">
        <f t="shared" si="4"/>
        <v>FASE II</v>
      </c>
      <c r="N70" s="155">
        <f t="shared" ref="N70:N133" si="6">E70+K70</f>
        <v>0.73</v>
      </c>
      <c r="O70" s="156">
        <f t="shared" ref="O70:O133" si="7">MAX(L70,F70)</f>
        <v>821235</v>
      </c>
      <c r="P70" s="156">
        <f t="shared" ref="P70:P133" si="8">N70*O70</f>
        <v>599501.54999999993</v>
      </c>
    </row>
    <row r="71" spans="2:16" s="9" customFormat="1" ht="35.1" customHeight="1" x14ac:dyDescent="0.25">
      <c r="B71" s="23" t="s">
        <v>111</v>
      </c>
      <c r="C71" s="11" t="s">
        <v>112</v>
      </c>
      <c r="D71" s="10" t="s">
        <v>30</v>
      </c>
      <c r="E71" s="12">
        <v>11.33</v>
      </c>
      <c r="F71" s="126">
        <v>821235</v>
      </c>
      <c r="G71" s="126">
        <f t="shared" si="5"/>
        <v>9304592.5500000007</v>
      </c>
      <c r="H71" s="8"/>
      <c r="I71" s="9" t="str">
        <f t="array" ref="I71:L71">_xlfn.XLOOKUP(C71,'Neiva 2021 FASE I UNIFICADO'!$C$6:$C$540,'Neiva 2021 FASE I UNIFICADO'!$C$6:$F$540,"NO ESTA")</f>
        <v>MURO EN CONCRETO DE 4000 PSI e=0.15 m Ver. Planos Tipo Muro M-2</v>
      </c>
      <c r="J71" s="9" t="str">
        <v>M3</v>
      </c>
      <c r="K71" s="9">
        <v>11.33</v>
      </c>
      <c r="L71" s="9">
        <v>687672</v>
      </c>
      <c r="M71" s="124" t="str">
        <f t="shared" si="4"/>
        <v>FASE II</v>
      </c>
      <c r="N71" s="155">
        <f t="shared" si="6"/>
        <v>22.66</v>
      </c>
      <c r="O71" s="156">
        <f t="shared" si="7"/>
        <v>821235</v>
      </c>
      <c r="P71" s="156">
        <f t="shared" si="8"/>
        <v>18609185.100000001</v>
      </c>
    </row>
    <row r="72" spans="2:16" s="9" customFormat="1" ht="35.1" customHeight="1" x14ac:dyDescent="0.25">
      <c r="B72" s="23" t="s">
        <v>113</v>
      </c>
      <c r="C72" s="11" t="s">
        <v>114</v>
      </c>
      <c r="D72" s="10" t="s">
        <v>30</v>
      </c>
      <c r="E72" s="12">
        <v>95.594999999999999</v>
      </c>
      <c r="F72" s="126">
        <v>821235</v>
      </c>
      <c r="G72" s="126">
        <f t="shared" si="5"/>
        <v>78505959.829999998</v>
      </c>
      <c r="H72" s="8"/>
      <c r="I72" s="9" t="str">
        <f t="array" ref="I72:L72">_xlfn.XLOOKUP(C72,'Neiva 2021 FASE I UNIFICADO'!$C$6:$C$540,'Neiva 2021 FASE I UNIFICADO'!$C$6:$F$540,"NO ESTA")</f>
        <v>MURO EN CONCRETO DE 4000 PSI e=0.25 m Ver. Planos Tipo Muro M-3</v>
      </c>
      <c r="J72" s="9" t="str">
        <v>M3</v>
      </c>
      <c r="K72" s="9">
        <v>95.6</v>
      </c>
      <c r="L72" s="9">
        <v>687672</v>
      </c>
      <c r="M72" s="124" t="str">
        <f t="shared" ref="M72:M135" si="9">IF(L72=0,0,(IF(F72&lt;L72, "FASE I","FASE II")))</f>
        <v>FASE II</v>
      </c>
      <c r="N72" s="155">
        <f t="shared" si="6"/>
        <v>191.19499999999999</v>
      </c>
      <c r="O72" s="156">
        <f t="shared" si="7"/>
        <v>821235</v>
      </c>
      <c r="P72" s="156">
        <f t="shared" si="8"/>
        <v>157016025.82499999</v>
      </c>
    </row>
    <row r="73" spans="2:16" s="9" customFormat="1" ht="35.1" customHeight="1" x14ac:dyDescent="0.25">
      <c r="B73" s="23" t="s">
        <v>115</v>
      </c>
      <c r="C73" s="11" t="s">
        <v>116</v>
      </c>
      <c r="D73" s="10" t="s">
        <v>30</v>
      </c>
      <c r="E73" s="12">
        <v>20.12</v>
      </c>
      <c r="F73" s="126">
        <v>821235</v>
      </c>
      <c r="G73" s="126">
        <f t="shared" si="5"/>
        <v>16523248.199999999</v>
      </c>
      <c r="H73" s="8"/>
      <c r="I73" s="9" t="str">
        <f t="array" ref="I73:L73">_xlfn.XLOOKUP(C73,'Neiva 2021 FASE I UNIFICADO'!$C$6:$C$540,'Neiva 2021 FASE I UNIFICADO'!$C$6:$F$540,"NO ESTA")</f>
        <v>MURO EN CONCRETO DE 4000 PSI e=0.30 m Ver. Planos Tipo Muro M-4</v>
      </c>
      <c r="J73" s="9" t="str">
        <v>M3</v>
      </c>
      <c r="K73" s="9">
        <v>20.12</v>
      </c>
      <c r="L73" s="9">
        <v>687672</v>
      </c>
      <c r="M73" s="124" t="str">
        <f t="shared" si="9"/>
        <v>FASE II</v>
      </c>
      <c r="N73" s="155">
        <f t="shared" si="6"/>
        <v>40.24</v>
      </c>
      <c r="O73" s="156">
        <f t="shared" si="7"/>
        <v>821235</v>
      </c>
      <c r="P73" s="156">
        <f t="shared" si="8"/>
        <v>33046496.400000002</v>
      </c>
    </row>
    <row r="74" spans="2:16" s="9" customFormat="1" ht="35.1" customHeight="1" x14ac:dyDescent="0.25">
      <c r="B74" s="23" t="s">
        <v>117</v>
      </c>
      <c r="C74" s="11" t="s">
        <v>118</v>
      </c>
      <c r="D74" s="10" t="s">
        <v>30</v>
      </c>
      <c r="E74" s="12">
        <v>80.484999999999999</v>
      </c>
      <c r="F74" s="126">
        <v>821235</v>
      </c>
      <c r="G74" s="126">
        <f t="shared" si="5"/>
        <v>66097098.979999997</v>
      </c>
      <c r="H74" s="8"/>
      <c r="I74" s="9" t="str">
        <f t="array" ref="I74:L74">_xlfn.XLOOKUP(C74,'Neiva 2021 FASE I UNIFICADO'!$C$6:$C$540,'Neiva 2021 FASE I UNIFICADO'!$C$6:$F$540,"NO ESTA")</f>
        <v>MURO EN CONCRETO DE 4000 PSI e=0.40 m Ver. Planos Tipo Muro M-5</v>
      </c>
      <c r="J74" s="9" t="str">
        <v>M3</v>
      </c>
      <c r="K74" s="9">
        <v>80.489999999999995</v>
      </c>
      <c r="L74" s="9">
        <v>687672</v>
      </c>
      <c r="M74" s="124" t="str">
        <f t="shared" si="9"/>
        <v>FASE II</v>
      </c>
      <c r="N74" s="155">
        <f t="shared" si="6"/>
        <v>160.97499999999999</v>
      </c>
      <c r="O74" s="156">
        <f t="shared" si="7"/>
        <v>821235</v>
      </c>
      <c r="P74" s="156">
        <f t="shared" si="8"/>
        <v>132198304.125</v>
      </c>
    </row>
    <row r="75" spans="2:16" s="9" customFormat="1" ht="35.1" customHeight="1" x14ac:dyDescent="0.25">
      <c r="B75" s="23" t="s">
        <v>119</v>
      </c>
      <c r="C75" s="11" t="s">
        <v>120</v>
      </c>
      <c r="D75" s="10" t="s">
        <v>13</v>
      </c>
      <c r="E75" s="12">
        <v>79.69</v>
      </c>
      <c r="F75" s="126">
        <v>141317</v>
      </c>
      <c r="G75" s="126">
        <f t="shared" si="5"/>
        <v>11261551.73</v>
      </c>
      <c r="H75" s="8"/>
      <c r="I75" s="9" t="str">
        <f t="array" ref="I75:L75">_xlfn.XLOOKUP(C75,'Neiva 2021 FASE I UNIFICADO'!$C$6:$C$540,'Neiva 2021 FASE I UNIFICADO'!$C$6:$F$540,"NO ESTA")</f>
        <v>MURO EN LADRILLO GRAN FORMATO e= 0.12 m Ref. Tierra Ver. Planos Tipo Muro M-6</v>
      </c>
      <c r="J75" s="9" t="str">
        <v>M2</v>
      </c>
      <c r="K75" s="9">
        <v>79.69</v>
      </c>
      <c r="L75" s="9">
        <v>146012</v>
      </c>
      <c r="M75" s="124" t="str">
        <f t="shared" si="9"/>
        <v>FASE I</v>
      </c>
      <c r="N75" s="155">
        <f t="shared" si="6"/>
        <v>159.38</v>
      </c>
      <c r="O75" s="156">
        <f t="shared" si="7"/>
        <v>146012</v>
      </c>
      <c r="P75" s="156">
        <f t="shared" si="8"/>
        <v>23271392.559999999</v>
      </c>
    </row>
    <row r="76" spans="2:16" s="9" customFormat="1" ht="35.1" customHeight="1" x14ac:dyDescent="0.25">
      <c r="B76" s="23" t="s">
        <v>121</v>
      </c>
      <c r="C76" s="22" t="s">
        <v>122</v>
      </c>
      <c r="D76" s="23" t="s">
        <v>13</v>
      </c>
      <c r="E76" s="12">
        <v>21.32</v>
      </c>
      <c r="F76" s="126">
        <v>186538</v>
      </c>
      <c r="G76" s="126">
        <f t="shared" si="5"/>
        <v>3976990.16</v>
      </c>
      <c r="H76" s="8"/>
      <c r="I76" s="9" t="str">
        <f t="array" ref="I76:L76">_xlfn.XLOOKUP(C76,'Neiva 2021 FASE I UNIFICADO'!$C$6:$C$540,'Neiva 2021 FASE I UNIFICADO'!$C$6:$F$540,"NO ESTA")</f>
        <v xml:space="preserve">MURO EN LADRILLO GRAN FORMATO e= 0.25 m Ref. Tierra Ver. Planos Tipo Muro M-7 </v>
      </c>
      <c r="J76" s="9" t="str">
        <v>M2</v>
      </c>
      <c r="K76" s="9">
        <v>21.32</v>
      </c>
      <c r="L76" s="9">
        <v>292026</v>
      </c>
      <c r="M76" s="124" t="str">
        <f t="shared" si="9"/>
        <v>FASE I</v>
      </c>
      <c r="N76" s="155">
        <f t="shared" si="6"/>
        <v>42.64</v>
      </c>
      <c r="O76" s="156">
        <f t="shared" si="7"/>
        <v>292026</v>
      </c>
      <c r="P76" s="156">
        <f t="shared" si="8"/>
        <v>12451988.640000001</v>
      </c>
    </row>
    <row r="77" spans="2:16" s="9" customFormat="1" ht="35.1" customHeight="1" x14ac:dyDescent="0.25">
      <c r="B77" s="13" t="s">
        <v>123</v>
      </c>
      <c r="C77" s="24" t="s">
        <v>124</v>
      </c>
      <c r="D77" s="24"/>
      <c r="E77" s="15"/>
      <c r="F77" s="126">
        <v>0</v>
      </c>
      <c r="G77" s="126">
        <f t="shared" si="5"/>
        <v>0</v>
      </c>
      <c r="H77" s="8"/>
      <c r="I77" s="9" t="str">
        <f t="array" ref="I77:L77">_xlfn.XLOOKUP(C77,'Neiva 2021 FASE I UNIFICADO'!$C$6:$C$540,'Neiva 2021 FASE I UNIFICADO'!$C$6:$F$540,"NO ESTA")</f>
        <v>CONSTRUCCIÓN MUROS ARQUITECTONICOS EXTERIORES</v>
      </c>
      <c r="J77" s="9">
        <v>0</v>
      </c>
      <c r="K77" s="9">
        <v>0</v>
      </c>
      <c r="L77" s="9">
        <v>0</v>
      </c>
      <c r="M77" s="124">
        <f t="shared" si="9"/>
        <v>0</v>
      </c>
      <c r="N77" s="155">
        <f t="shared" si="6"/>
        <v>0</v>
      </c>
      <c r="O77" s="156">
        <f t="shared" si="7"/>
        <v>0</v>
      </c>
      <c r="P77" s="156">
        <f t="shared" si="8"/>
        <v>0</v>
      </c>
    </row>
    <row r="78" spans="2:16" s="9" customFormat="1" ht="35.1" customHeight="1" x14ac:dyDescent="0.25">
      <c r="B78" s="23" t="s">
        <v>125</v>
      </c>
      <c r="C78" s="11" t="s">
        <v>1079</v>
      </c>
      <c r="D78" s="10" t="s">
        <v>30</v>
      </c>
      <c r="E78" s="12">
        <v>0</v>
      </c>
      <c r="F78" s="126">
        <v>821235</v>
      </c>
      <c r="G78" s="126">
        <f t="shared" si="5"/>
        <v>0</v>
      </c>
      <c r="H78" s="8"/>
      <c r="I78" s="9" t="str">
        <f t="array" ref="I78">_xlfn.XLOOKUP(C78,'Neiva 2021 FASE I UNIFICADO'!$C$6:$C$540,'Neiva 2021 FASE I UNIFICADO'!$C$6:$F$540,"NO ESTA")</f>
        <v>NO ESTA</v>
      </c>
      <c r="M78" s="124">
        <f t="shared" si="9"/>
        <v>0</v>
      </c>
      <c r="N78" s="155">
        <f t="shared" si="6"/>
        <v>0</v>
      </c>
      <c r="O78" s="156">
        <f t="shared" si="7"/>
        <v>821235</v>
      </c>
      <c r="P78" s="156">
        <f t="shared" si="8"/>
        <v>0</v>
      </c>
    </row>
    <row r="79" spans="2:16" s="9" customFormat="1" ht="35.1" customHeight="1" x14ac:dyDescent="0.25">
      <c r="B79" s="23" t="s">
        <v>126</v>
      </c>
      <c r="C79" s="11" t="s">
        <v>1080</v>
      </c>
      <c r="D79" s="10" t="s">
        <v>30</v>
      </c>
      <c r="E79" s="12">
        <v>0</v>
      </c>
      <c r="F79" s="126">
        <v>821235</v>
      </c>
      <c r="G79" s="126">
        <f t="shared" si="5"/>
        <v>0</v>
      </c>
      <c r="H79" s="8"/>
      <c r="I79" s="9" t="str">
        <f t="array" ref="I79">_xlfn.XLOOKUP(C79,'Neiva 2021 FASE I UNIFICADO'!$C$6:$C$540,'Neiva 2021 FASE I UNIFICADO'!$C$6:$F$540,"NO ESTA")</f>
        <v>NO ESTA</v>
      </c>
      <c r="M79" s="124">
        <f t="shared" si="9"/>
        <v>0</v>
      </c>
      <c r="N79" s="155">
        <f t="shared" si="6"/>
        <v>0</v>
      </c>
      <c r="O79" s="156">
        <f t="shared" si="7"/>
        <v>821235</v>
      </c>
      <c r="P79" s="156">
        <f t="shared" si="8"/>
        <v>0</v>
      </c>
    </row>
    <row r="80" spans="2:16" s="9" customFormat="1" ht="35.1" customHeight="1" x14ac:dyDescent="0.25">
      <c r="B80" s="13" t="s">
        <v>127</v>
      </c>
      <c r="C80" s="14" t="s">
        <v>128</v>
      </c>
      <c r="D80" s="13"/>
      <c r="E80" s="15"/>
      <c r="F80" s="129"/>
      <c r="G80" s="140"/>
      <c r="H80" s="8"/>
      <c r="M80" s="124">
        <f t="shared" si="9"/>
        <v>0</v>
      </c>
      <c r="N80" s="155">
        <f t="shared" si="6"/>
        <v>0</v>
      </c>
      <c r="O80" s="156">
        <f t="shared" si="7"/>
        <v>0</v>
      </c>
      <c r="P80" s="156">
        <f t="shared" si="8"/>
        <v>0</v>
      </c>
    </row>
    <row r="81" spans="2:16" s="9" customFormat="1" ht="35.1" customHeight="1" x14ac:dyDescent="0.25">
      <c r="B81" s="23" t="s">
        <v>129</v>
      </c>
      <c r="C81" s="87" t="s">
        <v>130</v>
      </c>
      <c r="D81" s="10" t="s">
        <v>13</v>
      </c>
      <c r="E81" s="12">
        <v>91.915000000000006</v>
      </c>
      <c r="F81" s="126">
        <v>102358</v>
      </c>
      <c r="G81" s="126">
        <f t="shared" ref="G81:G86" si="10">ROUND(+F81*E81,2)</f>
        <v>9408235.5700000003</v>
      </c>
      <c r="H81" s="8"/>
      <c r="I81" s="9" t="str">
        <f t="array" ref="I81:L81">_xlfn.XLOOKUP(C81,'Neiva 2021 FASE I UNIFICADO'!$C$6:$C$540,'Neiva 2021 FASE I UNIFICADO'!$C$6:$F$540,"NO ESTA")</f>
        <v>ENCHAPE DE MURO BAÑOS PORCELANATO GRIS 30*40CM</v>
      </c>
      <c r="J81" s="9" t="str">
        <v>M2</v>
      </c>
      <c r="K81" s="9">
        <v>91.92</v>
      </c>
      <c r="L81" s="9">
        <v>105344</v>
      </c>
      <c r="M81" s="124" t="str">
        <f t="shared" si="9"/>
        <v>FASE I</v>
      </c>
      <c r="N81" s="155">
        <f t="shared" si="6"/>
        <v>183.83500000000001</v>
      </c>
      <c r="O81" s="156">
        <f t="shared" si="7"/>
        <v>105344</v>
      </c>
      <c r="P81" s="156">
        <f t="shared" si="8"/>
        <v>19365914.240000002</v>
      </c>
    </row>
    <row r="82" spans="2:16" s="9" customFormat="1" ht="35.1" customHeight="1" x14ac:dyDescent="0.25">
      <c r="B82" s="23" t="s">
        <v>131</v>
      </c>
      <c r="C82" s="87" t="s">
        <v>112</v>
      </c>
      <c r="D82" s="10" t="s">
        <v>30</v>
      </c>
      <c r="E82" s="12">
        <v>29.659999999999997</v>
      </c>
      <c r="F82" s="126">
        <v>821235</v>
      </c>
      <c r="G82" s="126">
        <f t="shared" si="10"/>
        <v>24357830.100000001</v>
      </c>
      <c r="H82" s="8"/>
      <c r="I82" s="9" t="str">
        <f t="array" ref="I82:L82">_xlfn.XLOOKUP(C82,'Neiva 2021 FASE I UNIFICADO'!$C$6:$C$540,'Neiva 2021 FASE I UNIFICADO'!$C$6:$F$540,"NO ESTA")</f>
        <v>MURO EN CONCRETO DE 4000 PSI e=0.15 m Ver. Planos Tipo Muro M-2</v>
      </c>
      <c r="J82" s="9" t="str">
        <v>M3</v>
      </c>
      <c r="K82" s="9">
        <v>11.33</v>
      </c>
      <c r="L82" s="9">
        <v>687672</v>
      </c>
      <c r="M82" s="124" t="str">
        <f t="shared" si="9"/>
        <v>FASE II</v>
      </c>
      <c r="N82" s="155">
        <f t="shared" si="6"/>
        <v>40.989999999999995</v>
      </c>
      <c r="O82" s="156">
        <f t="shared" si="7"/>
        <v>821235</v>
      </c>
      <c r="P82" s="156">
        <f t="shared" si="8"/>
        <v>33662422.649999999</v>
      </c>
    </row>
    <row r="83" spans="2:16" s="9" customFormat="1" ht="35.1" customHeight="1" x14ac:dyDescent="0.25">
      <c r="B83" s="23" t="s">
        <v>132</v>
      </c>
      <c r="C83" s="87" t="s">
        <v>114</v>
      </c>
      <c r="D83" s="10" t="s">
        <v>30</v>
      </c>
      <c r="E83" s="12">
        <v>8.76</v>
      </c>
      <c r="F83" s="126">
        <v>821235</v>
      </c>
      <c r="G83" s="126">
        <f t="shared" si="10"/>
        <v>7194018.5999999996</v>
      </c>
      <c r="H83" s="8"/>
      <c r="I83" s="9" t="str">
        <f t="array" ref="I83:L83">_xlfn.XLOOKUP(C83,'Neiva 2021 FASE I UNIFICADO'!$C$6:$C$540,'Neiva 2021 FASE I UNIFICADO'!$C$6:$F$540,"NO ESTA")</f>
        <v>MURO EN CONCRETO DE 4000 PSI e=0.25 m Ver. Planos Tipo Muro M-3</v>
      </c>
      <c r="J83" s="9" t="str">
        <v>M3</v>
      </c>
      <c r="K83" s="9">
        <v>95.6</v>
      </c>
      <c r="L83" s="9">
        <v>687672</v>
      </c>
      <c r="M83" s="124" t="str">
        <f t="shared" si="9"/>
        <v>FASE II</v>
      </c>
      <c r="N83" s="155">
        <f t="shared" si="6"/>
        <v>104.36</v>
      </c>
      <c r="O83" s="156">
        <f t="shared" si="7"/>
        <v>821235</v>
      </c>
      <c r="P83" s="156">
        <f t="shared" si="8"/>
        <v>85704084.599999994</v>
      </c>
    </row>
    <row r="84" spans="2:16" s="9" customFormat="1" ht="35.1" customHeight="1" x14ac:dyDescent="0.25">
      <c r="B84" s="23" t="s">
        <v>133</v>
      </c>
      <c r="C84" s="87" t="s">
        <v>118</v>
      </c>
      <c r="D84" s="10" t="s">
        <v>30</v>
      </c>
      <c r="E84" s="12">
        <v>54.390000000000008</v>
      </c>
      <c r="F84" s="126">
        <v>821235</v>
      </c>
      <c r="G84" s="126">
        <f t="shared" si="10"/>
        <v>44666971.649999999</v>
      </c>
      <c r="H84" s="8"/>
      <c r="I84" s="9" t="str">
        <f t="array" ref="I84:L84">_xlfn.XLOOKUP(C84,'Neiva 2021 FASE I UNIFICADO'!$C$6:$C$540,'Neiva 2021 FASE I UNIFICADO'!$C$6:$F$540,"NO ESTA")</f>
        <v>MURO EN CONCRETO DE 4000 PSI e=0.40 m Ver. Planos Tipo Muro M-5</v>
      </c>
      <c r="J84" s="9" t="str">
        <v>M3</v>
      </c>
      <c r="K84" s="9">
        <v>80.489999999999995</v>
      </c>
      <c r="L84" s="9">
        <v>687672</v>
      </c>
      <c r="M84" s="124" t="str">
        <f t="shared" si="9"/>
        <v>FASE II</v>
      </c>
      <c r="N84" s="155">
        <f t="shared" si="6"/>
        <v>134.88</v>
      </c>
      <c r="O84" s="156">
        <f t="shared" si="7"/>
        <v>821235</v>
      </c>
      <c r="P84" s="156">
        <f t="shared" si="8"/>
        <v>110768176.8</v>
      </c>
    </row>
    <row r="85" spans="2:16" s="9" customFormat="1" ht="35.1" customHeight="1" x14ac:dyDescent="0.25">
      <c r="B85" s="23" t="s">
        <v>135</v>
      </c>
      <c r="C85" s="87" t="s">
        <v>120</v>
      </c>
      <c r="D85" s="10" t="s">
        <v>13</v>
      </c>
      <c r="E85" s="12">
        <v>204.56</v>
      </c>
      <c r="F85" s="126">
        <v>141317</v>
      </c>
      <c r="G85" s="126">
        <f t="shared" si="10"/>
        <v>28907805.52</v>
      </c>
      <c r="H85" s="8"/>
      <c r="I85" s="9" t="str">
        <f t="array" ref="I85:L85">_xlfn.XLOOKUP(C85,'Neiva 2021 FASE I UNIFICADO'!$C$6:$C$540,'Neiva 2021 FASE I UNIFICADO'!$C$6:$F$540,"NO ESTA")</f>
        <v>MURO EN LADRILLO GRAN FORMATO e= 0.12 m Ref. Tierra Ver. Planos Tipo Muro M-6</v>
      </c>
      <c r="J85" s="9" t="str">
        <v>M2</v>
      </c>
      <c r="K85" s="9">
        <v>79.69</v>
      </c>
      <c r="L85" s="9">
        <v>146012</v>
      </c>
      <c r="M85" s="124" t="str">
        <f t="shared" si="9"/>
        <v>FASE I</v>
      </c>
      <c r="N85" s="155">
        <f t="shared" si="6"/>
        <v>284.25</v>
      </c>
      <c r="O85" s="156">
        <f t="shared" si="7"/>
        <v>146012</v>
      </c>
      <c r="P85" s="156">
        <f t="shared" si="8"/>
        <v>41503911</v>
      </c>
    </row>
    <row r="86" spans="2:16" s="9" customFormat="1" ht="35.1" customHeight="1" x14ac:dyDescent="0.25">
      <c r="B86" s="23" t="s">
        <v>136</v>
      </c>
      <c r="C86" s="87" t="s">
        <v>122</v>
      </c>
      <c r="D86" s="23" t="s">
        <v>13</v>
      </c>
      <c r="E86" s="12">
        <v>76.37</v>
      </c>
      <c r="F86" s="126">
        <v>186538</v>
      </c>
      <c r="G86" s="126">
        <f t="shared" si="10"/>
        <v>14245907.060000001</v>
      </c>
      <c r="H86" s="8"/>
      <c r="I86" s="9" t="str">
        <f t="array" ref="I86:L86">_xlfn.XLOOKUP(C86,'Neiva 2021 FASE I UNIFICADO'!$C$6:$C$540,'Neiva 2021 FASE I UNIFICADO'!$C$6:$F$540,"NO ESTA")</f>
        <v xml:space="preserve">MURO EN LADRILLO GRAN FORMATO e= 0.25 m Ref. Tierra Ver. Planos Tipo Muro M-7 </v>
      </c>
      <c r="J86" s="9" t="str">
        <v>M2</v>
      </c>
      <c r="K86" s="9">
        <v>21.32</v>
      </c>
      <c r="L86" s="9">
        <v>292026</v>
      </c>
      <c r="M86" s="124" t="str">
        <f t="shared" si="9"/>
        <v>FASE I</v>
      </c>
      <c r="N86" s="155">
        <f t="shared" si="6"/>
        <v>97.69</v>
      </c>
      <c r="O86" s="156">
        <f t="shared" si="7"/>
        <v>292026</v>
      </c>
      <c r="P86" s="156">
        <f t="shared" si="8"/>
        <v>28528019.939999998</v>
      </c>
    </row>
    <row r="87" spans="2:16" s="9" customFormat="1" ht="35.1" customHeight="1" x14ac:dyDescent="0.25">
      <c r="B87" s="13" t="s">
        <v>137</v>
      </c>
      <c r="C87" s="14" t="s">
        <v>138</v>
      </c>
      <c r="D87" s="13"/>
      <c r="E87" s="15"/>
      <c r="F87" s="129"/>
      <c r="G87" s="140"/>
      <c r="H87" s="8"/>
      <c r="M87" s="124">
        <f t="shared" si="9"/>
        <v>0</v>
      </c>
      <c r="N87" s="155">
        <f t="shared" si="6"/>
        <v>0</v>
      </c>
      <c r="O87" s="156">
        <f t="shared" si="7"/>
        <v>0</v>
      </c>
      <c r="P87" s="156">
        <f t="shared" si="8"/>
        <v>0</v>
      </c>
    </row>
    <row r="88" spans="2:16" s="9" customFormat="1" ht="35.1" customHeight="1" x14ac:dyDescent="0.25">
      <c r="B88" s="23" t="s">
        <v>139</v>
      </c>
      <c r="C88" s="87" t="s">
        <v>130</v>
      </c>
      <c r="D88" s="10" t="s">
        <v>13</v>
      </c>
      <c r="E88" s="12">
        <v>89.605000000000004</v>
      </c>
      <c r="F88" s="126">
        <v>102358</v>
      </c>
      <c r="G88" s="126">
        <f t="shared" ref="G88:G93" si="11">ROUND(+F88*E88,2)</f>
        <v>9171788.5899999999</v>
      </c>
      <c r="H88" s="8"/>
      <c r="I88" s="9" t="str">
        <f t="array" ref="I88:L88">_xlfn.XLOOKUP(C88,'Neiva 2021 FASE I UNIFICADO'!$C$6:$C$540,'Neiva 2021 FASE I UNIFICADO'!$C$6:$F$540,"NO ESTA")</f>
        <v>ENCHAPE DE MURO BAÑOS PORCELANATO GRIS 30*40CM</v>
      </c>
      <c r="J88" s="9" t="str">
        <v>M2</v>
      </c>
      <c r="K88" s="9">
        <v>91.92</v>
      </c>
      <c r="L88" s="9">
        <v>105344</v>
      </c>
      <c r="M88" s="124" t="str">
        <f t="shared" si="9"/>
        <v>FASE I</v>
      </c>
      <c r="N88" s="155">
        <f t="shared" si="6"/>
        <v>181.52500000000001</v>
      </c>
      <c r="O88" s="156">
        <f t="shared" si="7"/>
        <v>105344</v>
      </c>
      <c r="P88" s="156">
        <f t="shared" si="8"/>
        <v>19122569.600000001</v>
      </c>
    </row>
    <row r="89" spans="2:16" s="9" customFormat="1" ht="35.1" customHeight="1" x14ac:dyDescent="0.25">
      <c r="B89" s="23" t="s">
        <v>140</v>
      </c>
      <c r="C89" s="87" t="s">
        <v>112</v>
      </c>
      <c r="D89" s="10" t="s">
        <v>30</v>
      </c>
      <c r="E89" s="12">
        <v>1.1200000000000001</v>
      </c>
      <c r="F89" s="126">
        <v>821235</v>
      </c>
      <c r="G89" s="126">
        <f t="shared" si="11"/>
        <v>919783.2</v>
      </c>
      <c r="H89" s="8"/>
      <c r="I89" s="9" t="str">
        <f t="array" ref="I89:L89">_xlfn.XLOOKUP(C89,'Neiva 2021 FASE I UNIFICADO'!$C$6:$C$540,'Neiva 2021 FASE I UNIFICADO'!$C$6:$F$540,"NO ESTA")</f>
        <v>MURO EN CONCRETO DE 4000 PSI e=0.15 m Ver. Planos Tipo Muro M-2</v>
      </c>
      <c r="J89" s="9" t="str">
        <v>M3</v>
      </c>
      <c r="K89" s="9">
        <v>11.33</v>
      </c>
      <c r="L89" s="9">
        <v>687672</v>
      </c>
      <c r="M89" s="124" t="str">
        <f t="shared" si="9"/>
        <v>FASE II</v>
      </c>
      <c r="N89" s="155">
        <f t="shared" si="6"/>
        <v>12.45</v>
      </c>
      <c r="O89" s="156">
        <f t="shared" si="7"/>
        <v>821235</v>
      </c>
      <c r="P89" s="156">
        <f t="shared" si="8"/>
        <v>10224375.75</v>
      </c>
    </row>
    <row r="90" spans="2:16" s="9" customFormat="1" ht="35.1" customHeight="1" x14ac:dyDescent="0.25">
      <c r="B90" s="23" t="s">
        <v>141</v>
      </c>
      <c r="C90" s="87" t="s">
        <v>114</v>
      </c>
      <c r="D90" s="10" t="s">
        <v>30</v>
      </c>
      <c r="E90" s="12">
        <v>31.71</v>
      </c>
      <c r="F90" s="126">
        <v>821235</v>
      </c>
      <c r="G90" s="126">
        <f t="shared" si="11"/>
        <v>26041361.850000001</v>
      </c>
      <c r="H90" s="8"/>
      <c r="I90" s="9" t="str">
        <f t="array" ref="I90:L90">_xlfn.XLOOKUP(C90,'Neiva 2021 FASE I UNIFICADO'!$C$6:$C$540,'Neiva 2021 FASE I UNIFICADO'!$C$6:$F$540,"NO ESTA")</f>
        <v>MURO EN CONCRETO DE 4000 PSI e=0.25 m Ver. Planos Tipo Muro M-3</v>
      </c>
      <c r="J90" s="9" t="str">
        <v>M3</v>
      </c>
      <c r="K90" s="9">
        <v>95.6</v>
      </c>
      <c r="L90" s="9">
        <v>687672</v>
      </c>
      <c r="M90" s="124" t="str">
        <f t="shared" si="9"/>
        <v>FASE II</v>
      </c>
      <c r="N90" s="155">
        <f t="shared" si="6"/>
        <v>127.31</v>
      </c>
      <c r="O90" s="156">
        <f t="shared" si="7"/>
        <v>821235</v>
      </c>
      <c r="P90" s="156">
        <f t="shared" si="8"/>
        <v>104551427.85000001</v>
      </c>
    </row>
    <row r="91" spans="2:16" s="9" customFormat="1" ht="35.1" customHeight="1" x14ac:dyDescent="0.25">
      <c r="B91" s="23" t="s">
        <v>142</v>
      </c>
      <c r="C91" s="87" t="s">
        <v>118</v>
      </c>
      <c r="D91" s="10" t="s">
        <v>30</v>
      </c>
      <c r="E91" s="12">
        <v>81.89</v>
      </c>
      <c r="F91" s="126">
        <v>821235</v>
      </c>
      <c r="G91" s="126">
        <f t="shared" si="11"/>
        <v>67250934.150000006</v>
      </c>
      <c r="H91" s="8"/>
      <c r="I91" s="9" t="str">
        <f t="array" ref="I91:L91">_xlfn.XLOOKUP(C91,'Neiva 2021 FASE I UNIFICADO'!$C$6:$C$540,'Neiva 2021 FASE I UNIFICADO'!$C$6:$F$540,"NO ESTA")</f>
        <v>MURO EN CONCRETO DE 4000 PSI e=0.40 m Ver. Planos Tipo Muro M-5</v>
      </c>
      <c r="J91" s="9" t="str">
        <v>M3</v>
      </c>
      <c r="K91" s="9">
        <v>80.489999999999995</v>
      </c>
      <c r="L91" s="9">
        <v>687672</v>
      </c>
      <c r="M91" s="124" t="str">
        <f t="shared" si="9"/>
        <v>FASE II</v>
      </c>
      <c r="N91" s="155">
        <f t="shared" si="6"/>
        <v>162.38</v>
      </c>
      <c r="O91" s="156">
        <f t="shared" si="7"/>
        <v>821235</v>
      </c>
      <c r="P91" s="156">
        <f t="shared" si="8"/>
        <v>133352139.3</v>
      </c>
    </row>
    <row r="92" spans="2:16" s="9" customFormat="1" ht="35.1" customHeight="1" x14ac:dyDescent="0.25">
      <c r="B92" s="23" t="s">
        <v>143</v>
      </c>
      <c r="C92" s="87" t="s">
        <v>120</v>
      </c>
      <c r="D92" s="10" t="s">
        <v>13</v>
      </c>
      <c r="E92" s="12">
        <v>139.68</v>
      </c>
      <c r="F92" s="126">
        <v>141317</v>
      </c>
      <c r="G92" s="126">
        <f t="shared" si="11"/>
        <v>19739158.559999999</v>
      </c>
      <c r="H92" s="8"/>
      <c r="I92" s="9" t="str">
        <f t="array" ref="I92:L92">_xlfn.XLOOKUP(C92,'Neiva 2021 FASE I UNIFICADO'!$C$6:$C$540,'Neiva 2021 FASE I UNIFICADO'!$C$6:$F$540,"NO ESTA")</f>
        <v>MURO EN LADRILLO GRAN FORMATO e= 0.12 m Ref. Tierra Ver. Planos Tipo Muro M-6</v>
      </c>
      <c r="J92" s="9" t="str">
        <v>M2</v>
      </c>
      <c r="K92" s="9">
        <v>79.69</v>
      </c>
      <c r="L92" s="9">
        <v>146012</v>
      </c>
      <c r="M92" s="124" t="str">
        <f t="shared" si="9"/>
        <v>FASE I</v>
      </c>
      <c r="N92" s="155">
        <f t="shared" si="6"/>
        <v>219.37</v>
      </c>
      <c r="O92" s="156">
        <f t="shared" si="7"/>
        <v>146012</v>
      </c>
      <c r="P92" s="156">
        <f t="shared" si="8"/>
        <v>32030652.440000001</v>
      </c>
    </row>
    <row r="93" spans="2:16" s="9" customFormat="1" ht="35.1" customHeight="1" x14ac:dyDescent="0.25">
      <c r="B93" s="23" t="s">
        <v>144</v>
      </c>
      <c r="C93" s="87" t="s">
        <v>122</v>
      </c>
      <c r="D93" s="10" t="s">
        <v>13</v>
      </c>
      <c r="E93" s="12">
        <v>124.47</v>
      </c>
      <c r="F93" s="126">
        <v>186538</v>
      </c>
      <c r="G93" s="126">
        <f t="shared" si="11"/>
        <v>23218384.859999999</v>
      </c>
      <c r="H93" s="8"/>
      <c r="I93" s="9" t="str">
        <f t="array" ref="I93:L93">_xlfn.XLOOKUP(C93,'Neiva 2021 FASE I UNIFICADO'!$C$6:$C$540,'Neiva 2021 FASE I UNIFICADO'!$C$6:$F$540,"NO ESTA")</f>
        <v xml:space="preserve">MURO EN LADRILLO GRAN FORMATO e= 0.25 m Ref. Tierra Ver. Planos Tipo Muro M-7 </v>
      </c>
      <c r="J93" s="9" t="str">
        <v>M2</v>
      </c>
      <c r="K93" s="9">
        <v>21.32</v>
      </c>
      <c r="L93" s="9">
        <v>292026</v>
      </c>
      <c r="M93" s="124" t="str">
        <f t="shared" si="9"/>
        <v>FASE I</v>
      </c>
      <c r="N93" s="155">
        <f t="shared" si="6"/>
        <v>145.79</v>
      </c>
      <c r="O93" s="156">
        <f t="shared" si="7"/>
        <v>292026</v>
      </c>
      <c r="P93" s="156">
        <f t="shared" si="8"/>
        <v>42574470.539999999</v>
      </c>
    </row>
    <row r="94" spans="2:16" s="9" customFormat="1" ht="35.1" customHeight="1" x14ac:dyDescent="0.25">
      <c r="B94" s="13" t="s">
        <v>1081</v>
      </c>
      <c r="C94" s="14" t="s">
        <v>1082</v>
      </c>
      <c r="D94" s="13"/>
      <c r="E94" s="15"/>
      <c r="F94" s="129"/>
      <c r="G94" s="140"/>
      <c r="H94" s="8"/>
      <c r="I94" s="9" t="str">
        <f t="array" ref="I94">_xlfn.XLOOKUP(C94,'Neiva 2021 FASE I UNIFICADO'!$C$6:$C$540,'Neiva 2021 FASE I UNIFICADO'!$C$6:$F$540,"NO ESTA")</f>
        <v>NO ESTA</v>
      </c>
      <c r="M94" s="124">
        <f t="shared" si="9"/>
        <v>0</v>
      </c>
      <c r="N94" s="155">
        <f t="shared" si="6"/>
        <v>0</v>
      </c>
      <c r="O94" s="156">
        <f t="shared" si="7"/>
        <v>0</v>
      </c>
      <c r="P94" s="156">
        <f t="shared" si="8"/>
        <v>0</v>
      </c>
    </row>
    <row r="95" spans="2:16" s="9" customFormat="1" ht="35.1" customHeight="1" x14ac:dyDescent="0.25">
      <c r="B95" s="23" t="s">
        <v>1083</v>
      </c>
      <c r="C95" s="87" t="s">
        <v>130</v>
      </c>
      <c r="D95" s="23" t="s">
        <v>13</v>
      </c>
      <c r="E95" s="12">
        <v>179.21</v>
      </c>
      <c r="F95" s="126">
        <v>102358</v>
      </c>
      <c r="G95" s="126">
        <f t="shared" ref="G95:G100" si="12">ROUND(+F95*E95,2)</f>
        <v>18343577.18</v>
      </c>
      <c r="H95" s="8"/>
      <c r="I95" s="9" t="str">
        <f t="array" ref="I95:L95">_xlfn.XLOOKUP(C95,'Neiva 2021 FASE I UNIFICADO'!$C$6:$C$540,'Neiva 2021 FASE I UNIFICADO'!$C$6:$F$540,"NO ESTA")</f>
        <v>ENCHAPE DE MURO BAÑOS PORCELANATO GRIS 30*40CM</v>
      </c>
      <c r="J95" s="9" t="str">
        <v>M2</v>
      </c>
      <c r="K95" s="9">
        <v>91.92</v>
      </c>
      <c r="L95" s="9">
        <v>105344</v>
      </c>
      <c r="M95" s="124" t="str">
        <f t="shared" si="9"/>
        <v>FASE I</v>
      </c>
      <c r="N95" s="155">
        <f t="shared" si="6"/>
        <v>271.13</v>
      </c>
      <c r="O95" s="156">
        <f t="shared" si="7"/>
        <v>105344</v>
      </c>
      <c r="P95" s="156">
        <f t="shared" si="8"/>
        <v>28561918.719999999</v>
      </c>
    </row>
    <row r="96" spans="2:16" s="9" customFormat="1" ht="35.1" customHeight="1" x14ac:dyDescent="0.25">
      <c r="B96" s="23" t="s">
        <v>1084</v>
      </c>
      <c r="C96" s="87" t="s">
        <v>112</v>
      </c>
      <c r="D96" s="23" t="s">
        <v>30</v>
      </c>
      <c r="E96" s="12">
        <v>1.45</v>
      </c>
      <c r="F96" s="126">
        <v>821235</v>
      </c>
      <c r="G96" s="126">
        <f t="shared" si="12"/>
        <v>1190790.75</v>
      </c>
      <c r="H96" s="8"/>
      <c r="I96" s="9" t="str">
        <f t="array" ref="I96:L96">_xlfn.XLOOKUP(C96,'Neiva 2021 FASE I UNIFICADO'!$C$6:$C$540,'Neiva 2021 FASE I UNIFICADO'!$C$6:$F$540,"NO ESTA")</f>
        <v>MURO EN CONCRETO DE 4000 PSI e=0.15 m Ver. Planos Tipo Muro M-2</v>
      </c>
      <c r="J96" s="9" t="str">
        <v>M3</v>
      </c>
      <c r="K96" s="9">
        <v>11.33</v>
      </c>
      <c r="L96" s="9">
        <v>687672</v>
      </c>
      <c r="M96" s="124" t="str">
        <f t="shared" si="9"/>
        <v>FASE II</v>
      </c>
      <c r="N96" s="155">
        <f t="shared" si="6"/>
        <v>12.78</v>
      </c>
      <c r="O96" s="156">
        <f t="shared" si="7"/>
        <v>821235</v>
      </c>
      <c r="P96" s="156">
        <f t="shared" si="8"/>
        <v>10495383.299999999</v>
      </c>
    </row>
    <row r="97" spans="2:16" s="9" customFormat="1" ht="35.1" customHeight="1" x14ac:dyDescent="0.25">
      <c r="B97" s="23" t="s">
        <v>1085</v>
      </c>
      <c r="C97" s="87" t="s">
        <v>114</v>
      </c>
      <c r="D97" s="23" t="s">
        <v>30</v>
      </c>
      <c r="E97" s="12">
        <v>31.54</v>
      </c>
      <c r="F97" s="126">
        <v>821235</v>
      </c>
      <c r="G97" s="126">
        <f t="shared" si="12"/>
        <v>25901751.899999999</v>
      </c>
      <c r="H97" s="8"/>
      <c r="I97" s="9" t="str">
        <f t="array" ref="I97:L97">_xlfn.XLOOKUP(C97,'Neiva 2021 FASE I UNIFICADO'!$C$6:$C$540,'Neiva 2021 FASE I UNIFICADO'!$C$6:$F$540,"NO ESTA")</f>
        <v>MURO EN CONCRETO DE 4000 PSI e=0.25 m Ver. Planos Tipo Muro M-3</v>
      </c>
      <c r="J97" s="9" t="str">
        <v>M3</v>
      </c>
      <c r="K97" s="9">
        <v>95.6</v>
      </c>
      <c r="L97" s="9">
        <v>687672</v>
      </c>
      <c r="M97" s="124" t="str">
        <f t="shared" si="9"/>
        <v>FASE II</v>
      </c>
      <c r="N97" s="155">
        <f t="shared" si="6"/>
        <v>127.13999999999999</v>
      </c>
      <c r="O97" s="156">
        <f t="shared" si="7"/>
        <v>821235</v>
      </c>
      <c r="P97" s="156">
        <f t="shared" si="8"/>
        <v>104411817.89999999</v>
      </c>
    </row>
    <row r="98" spans="2:16" s="9" customFormat="1" ht="35.1" customHeight="1" x14ac:dyDescent="0.25">
      <c r="B98" s="23" t="s">
        <v>1086</v>
      </c>
      <c r="C98" s="87" t="s">
        <v>118</v>
      </c>
      <c r="D98" s="23" t="s">
        <v>30</v>
      </c>
      <c r="E98" s="12">
        <v>69.08</v>
      </c>
      <c r="F98" s="126">
        <v>821235</v>
      </c>
      <c r="G98" s="126">
        <f t="shared" si="12"/>
        <v>56730913.799999997</v>
      </c>
      <c r="H98" s="8"/>
      <c r="I98" s="9" t="str">
        <f t="array" ref="I98:L98">_xlfn.XLOOKUP(C98,'Neiva 2021 FASE I UNIFICADO'!$C$6:$C$540,'Neiva 2021 FASE I UNIFICADO'!$C$6:$F$540,"NO ESTA")</f>
        <v>MURO EN CONCRETO DE 4000 PSI e=0.40 m Ver. Planos Tipo Muro M-5</v>
      </c>
      <c r="J98" s="9" t="str">
        <v>M3</v>
      </c>
      <c r="K98" s="9">
        <v>80.489999999999995</v>
      </c>
      <c r="L98" s="9">
        <v>687672</v>
      </c>
      <c r="M98" s="124" t="str">
        <f t="shared" si="9"/>
        <v>FASE II</v>
      </c>
      <c r="N98" s="155">
        <f t="shared" si="6"/>
        <v>149.57</v>
      </c>
      <c r="O98" s="156">
        <f t="shared" si="7"/>
        <v>821235</v>
      </c>
      <c r="P98" s="156">
        <f t="shared" si="8"/>
        <v>122832118.94999999</v>
      </c>
    </row>
    <row r="99" spans="2:16" s="9" customFormat="1" ht="35.1" customHeight="1" x14ac:dyDescent="0.25">
      <c r="B99" s="23" t="s">
        <v>1087</v>
      </c>
      <c r="C99" s="87" t="s">
        <v>120</v>
      </c>
      <c r="D99" s="23" t="s">
        <v>13</v>
      </c>
      <c r="E99" s="12">
        <v>276.55</v>
      </c>
      <c r="F99" s="126">
        <v>157768</v>
      </c>
      <c r="G99" s="126">
        <f t="shared" si="12"/>
        <v>43630740.399999999</v>
      </c>
      <c r="H99" s="8"/>
      <c r="I99" s="9" t="str">
        <f t="array" ref="I99:L99">_xlfn.XLOOKUP(C99,'Neiva 2021 FASE I UNIFICADO'!$C$6:$C$540,'Neiva 2021 FASE I UNIFICADO'!$C$6:$F$540,"NO ESTA")</f>
        <v>MURO EN LADRILLO GRAN FORMATO e= 0.12 m Ref. Tierra Ver. Planos Tipo Muro M-6</v>
      </c>
      <c r="J99" s="9" t="str">
        <v>M2</v>
      </c>
      <c r="K99" s="9">
        <v>79.69</v>
      </c>
      <c r="L99" s="9">
        <v>146012</v>
      </c>
      <c r="M99" s="124" t="str">
        <f t="shared" si="9"/>
        <v>FASE II</v>
      </c>
      <c r="N99" s="155">
        <f t="shared" si="6"/>
        <v>356.24</v>
      </c>
      <c r="O99" s="156">
        <f t="shared" si="7"/>
        <v>157768</v>
      </c>
      <c r="P99" s="156">
        <f t="shared" si="8"/>
        <v>56203272.32</v>
      </c>
    </row>
    <row r="100" spans="2:16" s="9" customFormat="1" ht="35.1" customHeight="1" x14ac:dyDescent="0.25">
      <c r="B100" s="23" t="s">
        <v>1088</v>
      </c>
      <c r="C100" s="87" t="s">
        <v>122</v>
      </c>
      <c r="D100" s="23" t="s">
        <v>13</v>
      </c>
      <c r="E100" s="12">
        <v>132.12</v>
      </c>
      <c r="F100" s="126">
        <v>315534</v>
      </c>
      <c r="G100" s="126">
        <f t="shared" si="12"/>
        <v>41688352.079999998</v>
      </c>
      <c r="H100" s="8"/>
      <c r="I100" s="9" t="str">
        <f t="array" ref="I100:L100">_xlfn.XLOOKUP(C100,'Neiva 2021 FASE I UNIFICADO'!$C$6:$C$540,'Neiva 2021 FASE I UNIFICADO'!$C$6:$F$540,"NO ESTA")</f>
        <v xml:space="preserve">MURO EN LADRILLO GRAN FORMATO e= 0.25 m Ref. Tierra Ver. Planos Tipo Muro M-7 </v>
      </c>
      <c r="J100" s="9" t="str">
        <v>M2</v>
      </c>
      <c r="K100" s="9">
        <v>21.32</v>
      </c>
      <c r="L100" s="9">
        <v>292026</v>
      </c>
      <c r="M100" s="124" t="str">
        <f t="shared" si="9"/>
        <v>FASE II</v>
      </c>
      <c r="N100" s="155">
        <f t="shared" si="6"/>
        <v>153.44</v>
      </c>
      <c r="O100" s="156">
        <f t="shared" si="7"/>
        <v>315534</v>
      </c>
      <c r="P100" s="156">
        <f t="shared" si="8"/>
        <v>48415536.960000001</v>
      </c>
    </row>
    <row r="101" spans="2:16" s="9" customFormat="1" ht="35.1" customHeight="1" x14ac:dyDescent="0.25">
      <c r="B101" s="13" t="s">
        <v>1089</v>
      </c>
      <c r="C101" s="14" t="s">
        <v>1090</v>
      </c>
      <c r="D101" s="13"/>
      <c r="E101" s="15"/>
      <c r="F101" s="129"/>
      <c r="G101" s="140"/>
      <c r="H101" s="8"/>
      <c r="I101" s="9" t="str">
        <f t="array" ref="I101">_xlfn.XLOOKUP(C101,'Neiva 2021 FASE I UNIFICADO'!$C$6:$C$540,'Neiva 2021 FASE I UNIFICADO'!$C$6:$F$540,"NO ESTA")</f>
        <v>NO ESTA</v>
      </c>
      <c r="M101" s="124">
        <f t="shared" si="9"/>
        <v>0</v>
      </c>
      <c r="N101" s="155">
        <f t="shared" si="6"/>
        <v>0</v>
      </c>
      <c r="O101" s="156">
        <f t="shared" si="7"/>
        <v>0</v>
      </c>
      <c r="P101" s="156">
        <f t="shared" si="8"/>
        <v>0</v>
      </c>
    </row>
    <row r="102" spans="2:16" s="9" customFormat="1" ht="35.1" customHeight="1" x14ac:dyDescent="0.25">
      <c r="B102" s="10" t="s">
        <v>1091</v>
      </c>
      <c r="C102" s="87" t="s">
        <v>130</v>
      </c>
      <c r="D102" s="10" t="s">
        <v>13</v>
      </c>
      <c r="E102" s="12">
        <v>142.06</v>
      </c>
      <c r="F102" s="126">
        <v>102358</v>
      </c>
      <c r="G102" s="126">
        <f t="shared" ref="G102:G107" si="13">ROUND(+F102*E102,2)</f>
        <v>14540977.48</v>
      </c>
      <c r="H102" s="8"/>
      <c r="I102" s="9" t="str">
        <f t="array" ref="I102:L102">_xlfn.XLOOKUP(C102,'Neiva 2021 FASE I UNIFICADO'!$C$6:$C$540,'Neiva 2021 FASE I UNIFICADO'!$C$6:$F$540,"NO ESTA")</f>
        <v>ENCHAPE DE MURO BAÑOS PORCELANATO GRIS 30*40CM</v>
      </c>
      <c r="J102" s="9" t="str">
        <v>M2</v>
      </c>
      <c r="K102" s="9">
        <v>91.92</v>
      </c>
      <c r="L102" s="9">
        <v>105344</v>
      </c>
      <c r="M102" s="124" t="str">
        <f t="shared" si="9"/>
        <v>FASE I</v>
      </c>
      <c r="N102" s="155">
        <f t="shared" si="6"/>
        <v>233.98000000000002</v>
      </c>
      <c r="O102" s="156">
        <f t="shared" si="7"/>
        <v>105344</v>
      </c>
      <c r="P102" s="156">
        <f t="shared" si="8"/>
        <v>24648389.120000001</v>
      </c>
    </row>
    <row r="103" spans="2:16" s="9" customFormat="1" ht="35.1" customHeight="1" x14ac:dyDescent="0.25">
      <c r="B103" s="10" t="s">
        <v>1092</v>
      </c>
      <c r="C103" s="87" t="s">
        <v>112</v>
      </c>
      <c r="D103" s="10" t="s">
        <v>30</v>
      </c>
      <c r="E103" s="12">
        <v>1.25</v>
      </c>
      <c r="F103" s="126">
        <v>821235</v>
      </c>
      <c r="G103" s="126">
        <f t="shared" si="13"/>
        <v>1026543.75</v>
      </c>
      <c r="H103" s="8"/>
      <c r="I103" s="9" t="str">
        <f t="array" ref="I103:L103">_xlfn.XLOOKUP(C103,'Neiva 2021 FASE I UNIFICADO'!$C$6:$C$540,'Neiva 2021 FASE I UNIFICADO'!$C$6:$F$540,"NO ESTA")</f>
        <v>MURO EN CONCRETO DE 4000 PSI e=0.15 m Ver. Planos Tipo Muro M-2</v>
      </c>
      <c r="J103" s="9" t="str">
        <v>M3</v>
      </c>
      <c r="K103" s="9">
        <v>11.33</v>
      </c>
      <c r="L103" s="9">
        <v>687672</v>
      </c>
      <c r="M103" s="124" t="str">
        <f t="shared" si="9"/>
        <v>FASE II</v>
      </c>
      <c r="N103" s="155">
        <f t="shared" si="6"/>
        <v>12.58</v>
      </c>
      <c r="O103" s="156">
        <f t="shared" si="7"/>
        <v>821235</v>
      </c>
      <c r="P103" s="156">
        <f t="shared" si="8"/>
        <v>10331136.300000001</v>
      </c>
    </row>
    <row r="104" spans="2:16" s="9" customFormat="1" ht="35.1" customHeight="1" x14ac:dyDescent="0.25">
      <c r="B104" s="10" t="s">
        <v>1093</v>
      </c>
      <c r="C104" s="87" t="s">
        <v>114</v>
      </c>
      <c r="D104" s="10" t="s">
        <v>30</v>
      </c>
      <c r="E104" s="12">
        <v>27.45</v>
      </c>
      <c r="F104" s="126">
        <v>821235</v>
      </c>
      <c r="G104" s="126">
        <f t="shared" si="13"/>
        <v>22542900.75</v>
      </c>
      <c r="H104" s="8"/>
      <c r="I104" s="9" t="str">
        <f t="array" ref="I104:L104">_xlfn.XLOOKUP(C104,'Neiva 2021 FASE I UNIFICADO'!$C$6:$C$540,'Neiva 2021 FASE I UNIFICADO'!$C$6:$F$540,"NO ESTA")</f>
        <v>MURO EN CONCRETO DE 4000 PSI e=0.25 m Ver. Planos Tipo Muro M-3</v>
      </c>
      <c r="J104" s="9" t="str">
        <v>M3</v>
      </c>
      <c r="K104" s="9">
        <v>95.6</v>
      </c>
      <c r="L104" s="9">
        <v>687672</v>
      </c>
      <c r="M104" s="124" t="str">
        <f t="shared" si="9"/>
        <v>FASE II</v>
      </c>
      <c r="N104" s="155">
        <f t="shared" si="6"/>
        <v>123.05</v>
      </c>
      <c r="O104" s="156">
        <f t="shared" si="7"/>
        <v>821235</v>
      </c>
      <c r="P104" s="156">
        <f t="shared" si="8"/>
        <v>101052966.75</v>
      </c>
    </row>
    <row r="105" spans="2:16" s="9" customFormat="1" ht="35.1" customHeight="1" x14ac:dyDescent="0.25">
      <c r="B105" s="10" t="s">
        <v>1094</v>
      </c>
      <c r="C105" s="87" t="s">
        <v>118</v>
      </c>
      <c r="D105" s="10" t="s">
        <v>30</v>
      </c>
      <c r="E105" s="12">
        <v>14.01</v>
      </c>
      <c r="F105" s="126">
        <v>821235</v>
      </c>
      <c r="G105" s="126">
        <f t="shared" si="13"/>
        <v>11505502.35</v>
      </c>
      <c r="H105" s="8"/>
      <c r="I105" s="9" t="str">
        <f t="array" ref="I105:L105">_xlfn.XLOOKUP(C105,'Neiva 2021 FASE I UNIFICADO'!$C$6:$C$540,'Neiva 2021 FASE I UNIFICADO'!$C$6:$F$540,"NO ESTA")</f>
        <v>MURO EN CONCRETO DE 4000 PSI e=0.40 m Ver. Planos Tipo Muro M-5</v>
      </c>
      <c r="J105" s="9" t="str">
        <v>M3</v>
      </c>
      <c r="K105" s="9">
        <v>80.489999999999995</v>
      </c>
      <c r="L105" s="9">
        <v>687672</v>
      </c>
      <c r="M105" s="124" t="str">
        <f t="shared" si="9"/>
        <v>FASE II</v>
      </c>
      <c r="N105" s="155">
        <f t="shared" si="6"/>
        <v>94.5</v>
      </c>
      <c r="O105" s="156">
        <f t="shared" si="7"/>
        <v>821235</v>
      </c>
      <c r="P105" s="156">
        <f t="shared" si="8"/>
        <v>77606707.5</v>
      </c>
    </row>
    <row r="106" spans="2:16" s="9" customFormat="1" ht="35.1" customHeight="1" x14ac:dyDescent="0.25">
      <c r="B106" s="10" t="s">
        <v>1095</v>
      </c>
      <c r="C106" s="87" t="s">
        <v>120</v>
      </c>
      <c r="D106" s="10" t="s">
        <v>13</v>
      </c>
      <c r="E106" s="12">
        <v>316.99</v>
      </c>
      <c r="F106" s="126">
        <v>157768</v>
      </c>
      <c r="G106" s="126">
        <f t="shared" si="13"/>
        <v>50010878.32</v>
      </c>
      <c r="H106" s="8"/>
      <c r="I106" s="9" t="str">
        <f t="array" ref="I106:L106">_xlfn.XLOOKUP(C106,'Neiva 2021 FASE I UNIFICADO'!$C$6:$C$540,'Neiva 2021 FASE I UNIFICADO'!$C$6:$F$540,"NO ESTA")</f>
        <v>MURO EN LADRILLO GRAN FORMATO e= 0.12 m Ref. Tierra Ver. Planos Tipo Muro M-6</v>
      </c>
      <c r="J106" s="9" t="str">
        <v>M2</v>
      </c>
      <c r="K106" s="9">
        <v>79.69</v>
      </c>
      <c r="L106" s="9">
        <v>146012</v>
      </c>
      <c r="M106" s="124" t="str">
        <f t="shared" si="9"/>
        <v>FASE II</v>
      </c>
      <c r="N106" s="155">
        <f t="shared" si="6"/>
        <v>396.68</v>
      </c>
      <c r="O106" s="156">
        <f t="shared" si="7"/>
        <v>157768</v>
      </c>
      <c r="P106" s="156">
        <f t="shared" si="8"/>
        <v>62583410.240000002</v>
      </c>
    </row>
    <row r="107" spans="2:16" s="9" customFormat="1" ht="35.1" customHeight="1" x14ac:dyDescent="0.25">
      <c r="B107" s="10" t="s">
        <v>1096</v>
      </c>
      <c r="C107" s="87" t="s">
        <v>122</v>
      </c>
      <c r="D107" s="10" t="s">
        <v>13</v>
      </c>
      <c r="E107" s="12">
        <v>112.85</v>
      </c>
      <c r="F107" s="126">
        <v>315534</v>
      </c>
      <c r="G107" s="126">
        <f t="shared" si="13"/>
        <v>35608011.899999999</v>
      </c>
      <c r="H107" s="8"/>
      <c r="I107" s="9" t="str">
        <f t="array" ref="I107:L107">_xlfn.XLOOKUP(C107,'Neiva 2021 FASE I UNIFICADO'!$C$6:$C$540,'Neiva 2021 FASE I UNIFICADO'!$C$6:$F$540,"NO ESTA")</f>
        <v xml:space="preserve">MURO EN LADRILLO GRAN FORMATO e= 0.25 m Ref. Tierra Ver. Planos Tipo Muro M-7 </v>
      </c>
      <c r="J107" s="9" t="str">
        <v>M2</v>
      </c>
      <c r="K107" s="9">
        <v>21.32</v>
      </c>
      <c r="L107" s="9">
        <v>292026</v>
      </c>
      <c r="M107" s="124" t="str">
        <f t="shared" si="9"/>
        <v>FASE II</v>
      </c>
      <c r="N107" s="155">
        <f t="shared" si="6"/>
        <v>134.16999999999999</v>
      </c>
      <c r="O107" s="156">
        <f t="shared" si="7"/>
        <v>315534</v>
      </c>
      <c r="P107" s="156">
        <f t="shared" si="8"/>
        <v>42335196.779999994</v>
      </c>
    </row>
    <row r="108" spans="2:16" s="9" customFormat="1" ht="35.1" customHeight="1" x14ac:dyDescent="0.25">
      <c r="B108" s="13" t="s">
        <v>1097</v>
      </c>
      <c r="C108" s="14" t="s">
        <v>1098</v>
      </c>
      <c r="D108" s="13"/>
      <c r="E108" s="15"/>
      <c r="F108" s="129"/>
      <c r="G108" s="140"/>
      <c r="H108" s="8"/>
      <c r="I108" s="9" t="str">
        <f t="array" ref="I108">_xlfn.XLOOKUP(C108,'Neiva 2021 FASE I UNIFICADO'!$C$6:$C$540,'Neiva 2021 FASE I UNIFICADO'!$C$6:$F$540,"NO ESTA")</f>
        <v>NO ESTA</v>
      </c>
      <c r="M108" s="124">
        <f t="shared" si="9"/>
        <v>0</v>
      </c>
      <c r="N108" s="155">
        <f t="shared" si="6"/>
        <v>0</v>
      </c>
      <c r="O108" s="156">
        <f t="shared" si="7"/>
        <v>0</v>
      </c>
      <c r="P108" s="156">
        <f t="shared" si="8"/>
        <v>0</v>
      </c>
    </row>
    <row r="109" spans="2:16" s="9" customFormat="1" ht="35.1" customHeight="1" x14ac:dyDescent="0.25">
      <c r="B109" s="10" t="s">
        <v>1099</v>
      </c>
      <c r="C109" s="11" t="s">
        <v>1100</v>
      </c>
      <c r="D109" s="10" t="s">
        <v>13</v>
      </c>
      <c r="E109" s="12">
        <v>94.59</v>
      </c>
      <c r="F109" s="126">
        <v>54150</v>
      </c>
      <c r="G109" s="126">
        <f>ROUND(+F109*E109,2)</f>
        <v>5122048.5</v>
      </c>
      <c r="H109" s="8"/>
      <c r="I109" s="9" t="str">
        <f t="array" ref="I109">_xlfn.XLOOKUP(C109,'Neiva 2021 FASE I UNIFICADO'!$C$6:$C$540,'Neiva 2021 FASE I UNIFICADO'!$C$6:$F$540,"NO ESTA")</f>
        <v>NO ESTA</v>
      </c>
      <c r="M109" s="124">
        <f t="shared" si="9"/>
        <v>0</v>
      </c>
      <c r="N109" s="155">
        <f t="shared" si="6"/>
        <v>94.59</v>
      </c>
      <c r="O109" s="156">
        <f t="shared" si="7"/>
        <v>54150</v>
      </c>
      <c r="P109" s="156">
        <f t="shared" si="8"/>
        <v>5122048.5</v>
      </c>
    </row>
    <row r="110" spans="2:16" s="9" customFormat="1" ht="35.1" customHeight="1" x14ac:dyDescent="0.25">
      <c r="B110" s="10" t="s">
        <v>1101</v>
      </c>
      <c r="C110" s="87" t="s">
        <v>112</v>
      </c>
      <c r="D110" s="10" t="s">
        <v>30</v>
      </c>
      <c r="E110" s="12">
        <v>26.75</v>
      </c>
      <c r="F110" s="126">
        <v>821235</v>
      </c>
      <c r="G110" s="126">
        <f>ROUND(+F110*E110,2)</f>
        <v>21968036.25</v>
      </c>
      <c r="H110" s="8"/>
      <c r="I110" s="9" t="str">
        <f t="array" ref="I110:L110">_xlfn.XLOOKUP(C110,'Neiva 2021 FASE I UNIFICADO'!$C$6:$C$540,'Neiva 2021 FASE I UNIFICADO'!$C$6:$F$540,"NO ESTA")</f>
        <v>MURO EN CONCRETO DE 4000 PSI e=0.15 m Ver. Planos Tipo Muro M-2</v>
      </c>
      <c r="J110" s="9" t="str">
        <v>M3</v>
      </c>
      <c r="K110" s="9">
        <v>11.33</v>
      </c>
      <c r="L110" s="9">
        <v>687672</v>
      </c>
      <c r="M110" s="124" t="str">
        <f t="shared" si="9"/>
        <v>FASE II</v>
      </c>
      <c r="N110" s="155">
        <f t="shared" si="6"/>
        <v>38.08</v>
      </c>
      <c r="O110" s="156">
        <f t="shared" si="7"/>
        <v>821235</v>
      </c>
      <c r="P110" s="156">
        <f t="shared" si="8"/>
        <v>31272628.799999997</v>
      </c>
    </row>
    <row r="111" spans="2:16" s="9" customFormat="1" ht="35.1" customHeight="1" x14ac:dyDescent="0.25">
      <c r="B111" s="10" t="s">
        <v>1102</v>
      </c>
      <c r="C111" s="87" t="s">
        <v>114</v>
      </c>
      <c r="D111" s="10" t="s">
        <v>30</v>
      </c>
      <c r="E111" s="12">
        <v>33.22</v>
      </c>
      <c r="F111" s="126">
        <v>821235</v>
      </c>
      <c r="G111" s="126">
        <f>ROUND(+F111*E111,2)</f>
        <v>27281426.699999999</v>
      </c>
      <c r="H111" s="8"/>
      <c r="I111" s="9" t="str">
        <f t="array" ref="I111:L111">_xlfn.XLOOKUP(C111,'Neiva 2021 FASE I UNIFICADO'!$C$6:$C$540,'Neiva 2021 FASE I UNIFICADO'!$C$6:$F$540,"NO ESTA")</f>
        <v>MURO EN CONCRETO DE 4000 PSI e=0.25 m Ver. Planos Tipo Muro M-3</v>
      </c>
      <c r="J111" s="9" t="str">
        <v>M3</v>
      </c>
      <c r="K111" s="9">
        <v>95.6</v>
      </c>
      <c r="L111" s="9">
        <v>687672</v>
      </c>
      <c r="M111" s="124" t="str">
        <f t="shared" si="9"/>
        <v>FASE II</v>
      </c>
      <c r="N111" s="155">
        <f t="shared" si="6"/>
        <v>128.82</v>
      </c>
      <c r="O111" s="156">
        <f t="shared" si="7"/>
        <v>821235</v>
      </c>
      <c r="P111" s="156">
        <f t="shared" si="8"/>
        <v>105791492.69999999</v>
      </c>
    </row>
    <row r="112" spans="2:16" s="9" customFormat="1" ht="35.1" customHeight="1" x14ac:dyDescent="0.25">
      <c r="B112" s="33">
        <v>6</v>
      </c>
      <c r="C112" s="34" t="s">
        <v>145</v>
      </c>
      <c r="D112" s="34"/>
      <c r="E112" s="35"/>
      <c r="F112" s="132"/>
      <c r="G112" s="142"/>
      <c r="H112" s="8"/>
      <c r="M112" s="124">
        <f t="shared" si="9"/>
        <v>0</v>
      </c>
      <c r="N112" s="155">
        <f t="shared" si="6"/>
        <v>0</v>
      </c>
      <c r="O112" s="156">
        <f t="shared" si="7"/>
        <v>0</v>
      </c>
      <c r="P112" s="156">
        <f t="shared" si="8"/>
        <v>0</v>
      </c>
    </row>
    <row r="113" spans="2:16" s="9" customFormat="1" ht="35.1" customHeight="1" x14ac:dyDescent="0.25">
      <c r="B113" s="13" t="s">
        <v>146</v>
      </c>
      <c r="C113" s="14" t="s">
        <v>147</v>
      </c>
      <c r="D113" s="13"/>
      <c r="E113" s="15"/>
      <c r="F113" s="126">
        <v>0</v>
      </c>
      <c r="G113" s="126">
        <f>ROUND(+F113*E113,2)</f>
        <v>0</v>
      </c>
      <c r="H113" s="8"/>
      <c r="I113" s="9" t="str">
        <f t="array" ref="I113:L113">_xlfn.XLOOKUP(C113,'Neiva 2021 FASE I UNIFICADO'!$C$6:$C$540,'Neiva 2021 FASE I UNIFICADO'!$C$6:$F$540,"NO ESTA")</f>
        <v>SUMINISTRO E INSTALACIÓN PISOS SEMISOTANO</v>
      </c>
      <c r="J113" s="9">
        <v>0</v>
      </c>
      <c r="K113" s="9">
        <v>0</v>
      </c>
      <c r="L113" s="9">
        <v>0</v>
      </c>
      <c r="M113" s="124">
        <f t="shared" si="9"/>
        <v>0</v>
      </c>
      <c r="N113" s="155">
        <f t="shared" si="6"/>
        <v>0</v>
      </c>
      <c r="O113" s="156">
        <f t="shared" si="7"/>
        <v>0</v>
      </c>
      <c r="P113" s="156">
        <f t="shared" si="8"/>
        <v>0</v>
      </c>
    </row>
    <row r="114" spans="2:16" s="9" customFormat="1" ht="35.1" customHeight="1" x14ac:dyDescent="0.25">
      <c r="B114" s="23" t="s">
        <v>148</v>
      </c>
      <c r="C114" s="22" t="s">
        <v>149</v>
      </c>
      <c r="D114" s="23" t="s">
        <v>13</v>
      </c>
      <c r="E114" s="12">
        <v>0</v>
      </c>
      <c r="F114" s="126">
        <v>89287</v>
      </c>
      <c r="G114" s="126">
        <f>ROUND(+F114*E114,2)</f>
        <v>0</v>
      </c>
      <c r="H114" s="8"/>
      <c r="I114" s="9" t="str">
        <f t="array" ref="I114:L114">_xlfn.XLOOKUP(C114,'Neiva 2021 FASE I UNIFICADO'!$C$6:$C$540,'Neiva 2021 FASE I UNIFICADO'!$C$6:$F$540,"NO ESTA")</f>
        <v xml:space="preserve">ANDEN INTERNO EN CONCRETO DE 2500 PSI CON ACABADO CEMENTO PULIDO Ref. Planos 03318 </v>
      </c>
      <c r="J114" s="9" t="str">
        <v>M2</v>
      </c>
      <c r="K114" s="9">
        <v>457.19</v>
      </c>
      <c r="L114" s="9">
        <v>89579</v>
      </c>
      <c r="M114" s="124" t="str">
        <f t="shared" si="9"/>
        <v>FASE I</v>
      </c>
      <c r="N114" s="155">
        <f t="shared" si="6"/>
        <v>457.19</v>
      </c>
      <c r="O114" s="156">
        <f t="shared" si="7"/>
        <v>89579</v>
      </c>
      <c r="P114" s="156">
        <f t="shared" si="8"/>
        <v>40954623.009999998</v>
      </c>
    </row>
    <row r="115" spans="2:16" s="9" customFormat="1" ht="35.1" customHeight="1" x14ac:dyDescent="0.25">
      <c r="B115" s="23" t="s">
        <v>150</v>
      </c>
      <c r="C115" s="22" t="s">
        <v>151</v>
      </c>
      <c r="D115" s="23" t="s">
        <v>13</v>
      </c>
      <c r="E115" s="12">
        <v>0</v>
      </c>
      <c r="F115" s="126">
        <v>8211</v>
      </c>
      <c r="G115" s="126">
        <f>ROUND(+F115*E115,2)</f>
        <v>0</v>
      </c>
      <c r="H115" s="8"/>
      <c r="I115" s="9" t="str">
        <f t="array" ref="I115:L115">_xlfn.XLOOKUP(C115,'Neiva 2021 FASE I UNIFICADO'!$C$6:$C$540,'Neiva 2021 FASE I UNIFICADO'!$C$6:$F$540,"NO ESTA")</f>
        <v>ACABADO DE PISO DE CONCRETO GRIS PULIDO   Ref. Planos 09650-1</v>
      </c>
      <c r="J115" s="9" t="str">
        <v>M2</v>
      </c>
      <c r="K115" s="9">
        <v>1963.08</v>
      </c>
      <c r="L115" s="9">
        <v>7314</v>
      </c>
      <c r="M115" s="124" t="str">
        <f t="shared" si="9"/>
        <v>FASE II</v>
      </c>
      <c r="N115" s="155">
        <f t="shared" si="6"/>
        <v>1963.08</v>
      </c>
      <c r="O115" s="156">
        <f t="shared" si="7"/>
        <v>8211</v>
      </c>
      <c r="P115" s="156">
        <f t="shared" si="8"/>
        <v>16118849.879999999</v>
      </c>
    </row>
    <row r="116" spans="2:16" s="9" customFormat="1" ht="35.1" customHeight="1" x14ac:dyDescent="0.25">
      <c r="B116" s="10" t="s">
        <v>152</v>
      </c>
      <c r="C116" s="11" t="s">
        <v>153</v>
      </c>
      <c r="D116" s="10" t="s">
        <v>13</v>
      </c>
      <c r="E116" s="12">
        <v>0</v>
      </c>
      <c r="F116" s="126">
        <v>108210</v>
      </c>
      <c r="G116" s="126">
        <f>ROUND(+F116*E116,2)</f>
        <v>0</v>
      </c>
      <c r="H116" s="8"/>
      <c r="I116" s="9" t="str">
        <f t="array" ref="I116:L116">_xlfn.XLOOKUP(C116,'Neiva 2021 FASE I UNIFICADO'!$C$6:$C$540,'Neiva 2021 FASE I UNIFICADO'!$C$6:$F$540,"NO ESTA")</f>
        <v>SUMINISTRO E INSTALACION PISO TABLETA ZONAS COMUNES Incluye ALISTADO Referencia  ALFA 30 X 30 HUILA Ref. Planos 09610.1</v>
      </c>
      <c r="J116" s="9" t="str">
        <v>M2</v>
      </c>
      <c r="K116" s="9">
        <v>1.4</v>
      </c>
      <c r="L116" s="9">
        <v>102488</v>
      </c>
      <c r="M116" s="124" t="str">
        <f t="shared" si="9"/>
        <v>FASE II</v>
      </c>
      <c r="N116" s="155">
        <f t="shared" si="6"/>
        <v>1.4</v>
      </c>
      <c r="O116" s="156">
        <f t="shared" si="7"/>
        <v>108210</v>
      </c>
      <c r="P116" s="156">
        <f t="shared" si="8"/>
        <v>151494</v>
      </c>
    </row>
    <row r="117" spans="2:16" s="9" customFormat="1" ht="35.1" customHeight="1" x14ac:dyDescent="0.25">
      <c r="B117" s="13" t="s">
        <v>154</v>
      </c>
      <c r="C117" s="24" t="s">
        <v>155</v>
      </c>
      <c r="D117" s="24"/>
      <c r="E117" s="15"/>
      <c r="F117" s="129"/>
      <c r="G117" s="140"/>
      <c r="H117" s="8"/>
      <c r="M117" s="124">
        <f t="shared" si="9"/>
        <v>0</v>
      </c>
      <c r="N117" s="155">
        <f t="shared" si="6"/>
        <v>0</v>
      </c>
      <c r="O117" s="156">
        <f t="shared" si="7"/>
        <v>0</v>
      </c>
      <c r="P117" s="156">
        <f t="shared" si="8"/>
        <v>0</v>
      </c>
    </row>
    <row r="118" spans="2:16" s="9" customFormat="1" ht="35.1" customHeight="1" x14ac:dyDescent="0.25">
      <c r="B118" s="23" t="s">
        <v>156</v>
      </c>
      <c r="C118" s="22" t="s">
        <v>157</v>
      </c>
      <c r="D118" s="23" t="s">
        <v>13</v>
      </c>
      <c r="E118" s="12">
        <v>1832.0720000000001</v>
      </c>
      <c r="F118" s="126">
        <v>91697</v>
      </c>
      <c r="G118" s="126">
        <f>ROUND(+F118*E118,2)</f>
        <v>167995506.18000001</v>
      </c>
      <c r="H118" s="8"/>
      <c r="I118" s="9" t="str">
        <f t="array" ref="I118:L118">_xlfn.XLOOKUP(C118,'Neiva 2021 FASE I UNIFICADO'!$C$6:$C$540,'Neiva 2021 FASE I UNIFICADO'!$C$6:$F$540,"NO ESTA")</f>
        <v>SUMINISTRO E INSTALACION ANDEN EN LOSETA PREFABRICADA Referencia A50  GRIS 40 X 40 incluye alistadio - (Especificación Cartilla Andenes IDU-2011)</v>
      </c>
      <c r="J118" s="9" t="str">
        <v>M2</v>
      </c>
      <c r="K118" s="9">
        <v>45.8</v>
      </c>
      <c r="L118" s="9">
        <v>84865</v>
      </c>
      <c r="M118" s="124" t="str">
        <f t="shared" si="9"/>
        <v>FASE II</v>
      </c>
      <c r="N118" s="155">
        <f t="shared" si="6"/>
        <v>1877.8720000000001</v>
      </c>
      <c r="O118" s="156">
        <f t="shared" si="7"/>
        <v>91697</v>
      </c>
      <c r="P118" s="156">
        <f t="shared" si="8"/>
        <v>172195228.78400001</v>
      </c>
    </row>
    <row r="119" spans="2:16" s="9" customFormat="1" ht="35.1" customHeight="1" x14ac:dyDescent="0.25">
      <c r="B119" s="23" t="s">
        <v>158</v>
      </c>
      <c r="C119" s="22" t="s">
        <v>159</v>
      </c>
      <c r="D119" s="23" t="s">
        <v>13</v>
      </c>
      <c r="E119" s="12">
        <v>183.66400000000002</v>
      </c>
      <c r="F119" s="126">
        <v>96306</v>
      </c>
      <c r="G119" s="126">
        <f>ROUND(+F119*E119,2)</f>
        <v>17687945.18</v>
      </c>
      <c r="H119" s="8"/>
      <c r="I119" s="9" t="str">
        <f t="array" ref="I119:L119">_xlfn.XLOOKUP(C119,'Neiva 2021 FASE I UNIFICADO'!$C$6:$C$540,'Neiva 2021 FASE I UNIFICADO'!$C$6:$F$540,"NO ESTA")</f>
        <v>SUMINISTRO E INSTALACION JARDIN Ref. Planos A2900 (Incluye material aislante, impermeabilizante, tierra, abonos y plantas ornamentales)</v>
      </c>
      <c r="J119" s="9" t="str">
        <v>M2</v>
      </c>
      <c r="K119" s="9">
        <v>4.59</v>
      </c>
      <c r="L119" s="9">
        <v>89130</v>
      </c>
      <c r="M119" s="124" t="str">
        <f t="shared" si="9"/>
        <v>FASE II</v>
      </c>
      <c r="N119" s="155">
        <f t="shared" si="6"/>
        <v>188.25400000000002</v>
      </c>
      <c r="O119" s="156">
        <f t="shared" si="7"/>
        <v>96306</v>
      </c>
      <c r="P119" s="156">
        <f t="shared" si="8"/>
        <v>18129989.724000003</v>
      </c>
    </row>
    <row r="120" spans="2:16" s="9" customFormat="1" ht="35.1" customHeight="1" x14ac:dyDescent="0.25">
      <c r="B120" s="13" t="s">
        <v>160</v>
      </c>
      <c r="C120" s="24" t="s">
        <v>161</v>
      </c>
      <c r="D120" s="24"/>
      <c r="E120" s="15"/>
      <c r="F120" s="129"/>
      <c r="G120" s="140"/>
      <c r="H120" s="8"/>
      <c r="M120" s="124">
        <f t="shared" si="9"/>
        <v>0</v>
      </c>
      <c r="N120" s="155">
        <f t="shared" si="6"/>
        <v>0</v>
      </c>
      <c r="O120" s="156">
        <f t="shared" si="7"/>
        <v>0</v>
      </c>
      <c r="P120" s="156">
        <f t="shared" si="8"/>
        <v>0</v>
      </c>
    </row>
    <row r="121" spans="2:16" s="9" customFormat="1" ht="35.1" customHeight="1" x14ac:dyDescent="0.25">
      <c r="B121" s="23" t="s">
        <v>162</v>
      </c>
      <c r="C121" s="22" t="s">
        <v>153</v>
      </c>
      <c r="D121" s="23" t="s">
        <v>13</v>
      </c>
      <c r="E121" s="12">
        <v>513.95999999999992</v>
      </c>
      <c r="F121" s="126">
        <v>108210</v>
      </c>
      <c r="G121" s="126">
        <f>ROUND(+F121*E121,2)</f>
        <v>55615611.600000001</v>
      </c>
      <c r="H121" s="8"/>
      <c r="I121" s="9" t="str">
        <f t="array" ref="I121:L121">_xlfn.XLOOKUP(C121,'Neiva 2021 FASE I UNIFICADO'!$C$6:$C$540,'Neiva 2021 FASE I UNIFICADO'!$C$6:$F$540,"NO ESTA")</f>
        <v>SUMINISTRO E INSTALACION PISO TABLETA ZONAS COMUNES Incluye ALISTADO Referencia  ALFA 30 X 30 HUILA Ref. Planos 09610.1</v>
      </c>
      <c r="J121" s="9" t="str">
        <v>M2</v>
      </c>
      <c r="K121" s="9">
        <v>1.4</v>
      </c>
      <c r="L121" s="9">
        <v>102488</v>
      </c>
      <c r="M121" s="124" t="str">
        <f t="shared" si="9"/>
        <v>FASE II</v>
      </c>
      <c r="N121" s="155">
        <f t="shared" si="6"/>
        <v>515.3599999999999</v>
      </c>
      <c r="O121" s="156">
        <f t="shared" si="7"/>
        <v>108210</v>
      </c>
      <c r="P121" s="156">
        <f t="shared" si="8"/>
        <v>55767105.599999987</v>
      </c>
    </row>
    <row r="122" spans="2:16" s="9" customFormat="1" ht="35.1" customHeight="1" x14ac:dyDescent="0.25">
      <c r="B122" s="23" t="s">
        <v>163</v>
      </c>
      <c r="C122" s="22" t="s">
        <v>164</v>
      </c>
      <c r="D122" s="23" t="s">
        <v>13</v>
      </c>
      <c r="E122" s="12">
        <v>230.83</v>
      </c>
      <c r="F122" s="126">
        <v>70614</v>
      </c>
      <c r="G122" s="126">
        <f>ROUND(+F122*E122,2)</f>
        <v>16299829.619999999</v>
      </c>
      <c r="H122" s="8"/>
      <c r="I122" s="9" t="str">
        <f t="array" ref="I122:L122">_xlfn.XLOOKUP(C122,'Neiva 2021 FASE I UNIFICADO'!$C$6:$C$540,'Neiva 2021 FASE I UNIFICADO'!$C$6:$F$540,"NO ESTA")</f>
        <v>SUMINISTRO E INSTALACION PISO LOSETA PREFABRICADA GRIS Referencia A30 DE 40X60 - (Especificación Cartilla Andenes IDU-2011)  Ref. Planos 09620.8</v>
      </c>
      <c r="J122" s="9" t="str">
        <v>M2</v>
      </c>
      <c r="K122" s="9">
        <v>576.27</v>
      </c>
      <c r="L122" s="9">
        <v>67225</v>
      </c>
      <c r="M122" s="124" t="str">
        <f t="shared" si="9"/>
        <v>FASE II</v>
      </c>
      <c r="N122" s="155">
        <f t="shared" si="6"/>
        <v>807.1</v>
      </c>
      <c r="O122" s="156">
        <f t="shared" si="7"/>
        <v>70614</v>
      </c>
      <c r="P122" s="156">
        <f t="shared" si="8"/>
        <v>56992559.399999999</v>
      </c>
    </row>
    <row r="123" spans="2:16" s="9" customFormat="1" ht="35.1" customHeight="1" x14ac:dyDescent="0.25">
      <c r="B123" s="23" t="s">
        <v>165</v>
      </c>
      <c r="C123" s="22" t="s">
        <v>166</v>
      </c>
      <c r="D123" s="23" t="s">
        <v>13</v>
      </c>
      <c r="E123" s="12">
        <v>11.069999999999999</v>
      </c>
      <c r="F123" s="126">
        <v>47066</v>
      </c>
      <c r="G123" s="126">
        <f>ROUND(+F123*E123,2)</f>
        <v>521020.62</v>
      </c>
      <c r="H123" s="8"/>
      <c r="I123" s="9" t="str">
        <f t="array" ref="I123:L123">_xlfn.XLOOKUP(C123,'Neiva 2021 FASE I UNIFICADO'!$C$6:$C$540,'Neiva 2021 FASE I UNIFICADO'!$C$6:$F$540,"NO ESTA")</f>
        <v>SUMINISTRO E INSTALACION PISO EN VINILO GRIS TARIMA Ref. Planos 09650.1</v>
      </c>
      <c r="J123" s="9" t="str">
        <v>M2</v>
      </c>
      <c r="K123" s="9">
        <v>33.11</v>
      </c>
      <c r="L123" s="9">
        <v>45103</v>
      </c>
      <c r="M123" s="124" t="str">
        <f t="shared" si="9"/>
        <v>FASE II</v>
      </c>
      <c r="N123" s="155">
        <f t="shared" si="6"/>
        <v>44.18</v>
      </c>
      <c r="O123" s="156">
        <f t="shared" si="7"/>
        <v>47066</v>
      </c>
      <c r="P123" s="156">
        <f t="shared" si="8"/>
        <v>2079375.88</v>
      </c>
    </row>
    <row r="124" spans="2:16" s="9" customFormat="1" ht="35.1" customHeight="1" x14ac:dyDescent="0.25">
      <c r="B124" s="23" t="s">
        <v>167</v>
      </c>
      <c r="C124" s="22" t="s">
        <v>168</v>
      </c>
      <c r="D124" s="23" t="s">
        <v>13</v>
      </c>
      <c r="E124" s="12">
        <v>12.31</v>
      </c>
      <c r="F124" s="126">
        <v>102069</v>
      </c>
      <c r="G124" s="126">
        <f>ROUND(+F124*E124,2)</f>
        <v>1256469.3899999999</v>
      </c>
      <c r="H124" s="8"/>
      <c r="I124" s="9" t="str">
        <f t="array" ref="I124:L124">_xlfn.XLOOKUP(C124,'Neiva 2021 FASE I UNIFICADO'!$C$6:$C$540,'Neiva 2021 FASE I UNIFICADO'!$C$6:$F$540,"NO ESTA")</f>
        <v>SUMINISTRO E INSTALACION PISO EN ALFOMBRA Referencia TRAFICO PESADO Ref. Planos 09680.A1</v>
      </c>
      <c r="J124" s="9" t="str">
        <v>M2</v>
      </c>
      <c r="K124" s="9">
        <v>297.04000000000002</v>
      </c>
      <c r="L124" s="9">
        <v>97000</v>
      </c>
      <c r="M124" s="124" t="str">
        <f t="shared" si="9"/>
        <v>FASE II</v>
      </c>
      <c r="N124" s="155">
        <f t="shared" si="6"/>
        <v>309.35000000000002</v>
      </c>
      <c r="O124" s="156">
        <f t="shared" si="7"/>
        <v>102069</v>
      </c>
      <c r="P124" s="156">
        <f t="shared" si="8"/>
        <v>31575045.150000002</v>
      </c>
    </row>
    <row r="125" spans="2:16" s="9" customFormat="1" ht="35.1" customHeight="1" x14ac:dyDescent="0.25">
      <c r="B125" s="23" t="s">
        <v>169</v>
      </c>
      <c r="C125" s="22" t="s">
        <v>159</v>
      </c>
      <c r="D125" s="23" t="s">
        <v>13</v>
      </c>
      <c r="E125" s="12">
        <v>106.58</v>
      </c>
      <c r="F125" s="126">
        <v>92820</v>
      </c>
      <c r="G125" s="126">
        <f>ROUND(+F125*E125,2)</f>
        <v>9892755.5999999996</v>
      </c>
      <c r="H125" s="8"/>
      <c r="I125" s="9" t="str">
        <f t="array" ref="I125:L125">_xlfn.XLOOKUP(C125,'Neiva 2021 FASE I UNIFICADO'!$C$6:$C$540,'Neiva 2021 FASE I UNIFICADO'!$C$6:$F$540,"NO ESTA")</f>
        <v>SUMINISTRO E INSTALACION JARDIN Ref. Planos A2900 (Incluye material aislante, impermeabilizante, tierra, abonos y plantas ornamentales)</v>
      </c>
      <c r="J125" s="9" t="str">
        <v>M2</v>
      </c>
      <c r="K125" s="9">
        <v>4.59</v>
      </c>
      <c r="L125" s="9">
        <v>89130</v>
      </c>
      <c r="M125" s="124" t="str">
        <f t="shared" si="9"/>
        <v>FASE II</v>
      </c>
      <c r="N125" s="155">
        <f t="shared" si="6"/>
        <v>111.17</v>
      </c>
      <c r="O125" s="156">
        <f t="shared" si="7"/>
        <v>92820</v>
      </c>
      <c r="P125" s="156">
        <f t="shared" si="8"/>
        <v>10318799.4</v>
      </c>
    </row>
    <row r="126" spans="2:16" s="9" customFormat="1" ht="35.1" customHeight="1" x14ac:dyDescent="0.25">
      <c r="B126" s="36" t="s">
        <v>170</v>
      </c>
      <c r="C126" s="37" t="s">
        <v>171</v>
      </c>
      <c r="D126" s="38"/>
      <c r="E126" s="39"/>
      <c r="F126" s="129"/>
      <c r="G126" s="140"/>
      <c r="H126" s="8"/>
      <c r="M126" s="124">
        <f t="shared" si="9"/>
        <v>0</v>
      </c>
      <c r="N126" s="155">
        <f t="shared" si="6"/>
        <v>0</v>
      </c>
      <c r="O126" s="156">
        <f t="shared" si="7"/>
        <v>0</v>
      </c>
      <c r="P126" s="156">
        <f t="shared" si="8"/>
        <v>0</v>
      </c>
    </row>
    <row r="127" spans="2:16" s="9" customFormat="1" ht="35.1" customHeight="1" x14ac:dyDescent="0.25">
      <c r="B127" s="23" t="s">
        <v>172</v>
      </c>
      <c r="C127" s="22" t="s">
        <v>153</v>
      </c>
      <c r="D127" s="23" t="s">
        <v>13</v>
      </c>
      <c r="E127" s="12">
        <v>482.95999999999992</v>
      </c>
      <c r="F127" s="126">
        <v>108210</v>
      </c>
      <c r="G127" s="126">
        <f>ROUND(+F127*E127,2)</f>
        <v>52261101.600000001</v>
      </c>
      <c r="H127" s="8"/>
      <c r="I127" s="9" t="str">
        <f t="array" ref="I127:L127">_xlfn.XLOOKUP(C127,'Neiva 2021 FASE I UNIFICADO'!$C$6:$C$540,'Neiva 2021 FASE I UNIFICADO'!$C$6:$F$540,"NO ESTA")</f>
        <v>SUMINISTRO E INSTALACION PISO TABLETA ZONAS COMUNES Incluye ALISTADO Referencia  ALFA 30 X 30 HUILA Ref. Planos 09610.1</v>
      </c>
      <c r="J127" s="9" t="str">
        <v>M2</v>
      </c>
      <c r="K127" s="9">
        <v>1.4</v>
      </c>
      <c r="L127" s="9">
        <v>102488</v>
      </c>
      <c r="M127" s="124" t="str">
        <f t="shared" si="9"/>
        <v>FASE II</v>
      </c>
      <c r="N127" s="155">
        <f t="shared" si="6"/>
        <v>484.3599999999999</v>
      </c>
      <c r="O127" s="156">
        <f t="shared" si="7"/>
        <v>108210</v>
      </c>
      <c r="P127" s="156">
        <f t="shared" si="8"/>
        <v>52412595.599999987</v>
      </c>
    </row>
    <row r="128" spans="2:16" s="9" customFormat="1" ht="35.1" customHeight="1" x14ac:dyDescent="0.25">
      <c r="B128" s="23" t="s">
        <v>173</v>
      </c>
      <c r="C128" s="22" t="s">
        <v>164</v>
      </c>
      <c r="D128" s="23" t="s">
        <v>13</v>
      </c>
      <c r="E128" s="12">
        <v>80.070000000000007</v>
      </c>
      <c r="F128" s="126">
        <v>70614</v>
      </c>
      <c r="G128" s="126">
        <f>ROUND(+F128*E128,2)</f>
        <v>5654062.9800000004</v>
      </c>
      <c r="H128" s="8"/>
      <c r="I128" s="9" t="str">
        <f t="array" ref="I128:L128">_xlfn.XLOOKUP(C128,'Neiva 2021 FASE I UNIFICADO'!$C$6:$C$540,'Neiva 2021 FASE I UNIFICADO'!$C$6:$F$540,"NO ESTA")</f>
        <v>SUMINISTRO E INSTALACION PISO LOSETA PREFABRICADA GRIS Referencia A30 DE 40X60 - (Especificación Cartilla Andenes IDU-2011)  Ref. Planos 09620.8</v>
      </c>
      <c r="J128" s="9" t="str">
        <v>M2</v>
      </c>
      <c r="K128" s="9">
        <v>576.27</v>
      </c>
      <c r="L128" s="9">
        <v>67225</v>
      </c>
      <c r="M128" s="124" t="str">
        <f t="shared" si="9"/>
        <v>FASE II</v>
      </c>
      <c r="N128" s="155">
        <f t="shared" si="6"/>
        <v>656.34</v>
      </c>
      <c r="O128" s="156">
        <f t="shared" si="7"/>
        <v>70614</v>
      </c>
      <c r="P128" s="156">
        <f t="shared" si="8"/>
        <v>46346792.760000005</v>
      </c>
    </row>
    <row r="129" spans="2:16" s="9" customFormat="1" ht="35.1" customHeight="1" x14ac:dyDescent="0.25">
      <c r="B129" s="23" t="s">
        <v>174</v>
      </c>
      <c r="C129" s="22" t="s">
        <v>159</v>
      </c>
      <c r="D129" s="23" t="s">
        <v>13</v>
      </c>
      <c r="E129" s="12">
        <v>52.37</v>
      </c>
      <c r="F129" s="126">
        <v>92820</v>
      </c>
      <c r="G129" s="126">
        <f>ROUND(+F129*E129,2)</f>
        <v>4860983.4000000004</v>
      </c>
      <c r="H129" s="8"/>
      <c r="I129" s="9" t="str">
        <f t="array" ref="I129:L129">_xlfn.XLOOKUP(C129,'Neiva 2021 FASE I UNIFICADO'!$C$6:$C$540,'Neiva 2021 FASE I UNIFICADO'!$C$6:$F$540,"NO ESTA")</f>
        <v>SUMINISTRO E INSTALACION JARDIN Ref. Planos A2900 (Incluye material aislante, impermeabilizante, tierra, abonos y plantas ornamentales)</v>
      </c>
      <c r="J129" s="9" t="str">
        <v>M2</v>
      </c>
      <c r="K129" s="9">
        <v>4.59</v>
      </c>
      <c r="L129" s="9">
        <v>89130</v>
      </c>
      <c r="M129" s="124" t="str">
        <f t="shared" si="9"/>
        <v>FASE II</v>
      </c>
      <c r="N129" s="155">
        <f t="shared" si="6"/>
        <v>56.959999999999994</v>
      </c>
      <c r="O129" s="156">
        <f t="shared" si="7"/>
        <v>92820</v>
      </c>
      <c r="P129" s="156">
        <f t="shared" si="8"/>
        <v>5287027.1999999993</v>
      </c>
    </row>
    <row r="130" spans="2:16" s="9" customFormat="1" ht="35.1" customHeight="1" x14ac:dyDescent="0.25">
      <c r="B130" s="13" t="s">
        <v>1103</v>
      </c>
      <c r="C130" s="14" t="s">
        <v>1104</v>
      </c>
      <c r="D130" s="27"/>
      <c r="E130" s="15"/>
      <c r="F130" s="129"/>
      <c r="G130" s="140"/>
      <c r="H130" s="8"/>
      <c r="I130" s="9" t="str">
        <f t="array" ref="I130">_xlfn.XLOOKUP(C130,'Neiva 2021 FASE I UNIFICADO'!$C$6:$C$540,'Neiva 2021 FASE I UNIFICADO'!$C$6:$F$540,"NO ESTA")</f>
        <v>NO ESTA</v>
      </c>
      <c r="M130" s="124">
        <f t="shared" si="9"/>
        <v>0</v>
      </c>
      <c r="N130" s="155">
        <f t="shared" si="6"/>
        <v>0</v>
      </c>
      <c r="O130" s="156">
        <f t="shared" si="7"/>
        <v>0</v>
      </c>
      <c r="P130" s="156">
        <f t="shared" si="8"/>
        <v>0</v>
      </c>
    </row>
    <row r="131" spans="2:16" s="9" customFormat="1" ht="35.1" customHeight="1" x14ac:dyDescent="0.25">
      <c r="B131" s="23" t="s">
        <v>1105</v>
      </c>
      <c r="C131" s="22" t="s">
        <v>153</v>
      </c>
      <c r="D131" s="23" t="s">
        <v>13</v>
      </c>
      <c r="E131" s="12">
        <v>1159.8800000000001</v>
      </c>
      <c r="F131" s="126">
        <v>121544</v>
      </c>
      <c r="G131" s="126">
        <f>ROUND(+F131*E131,2)</f>
        <v>140976454.72</v>
      </c>
      <c r="H131" s="8"/>
      <c r="I131" s="9" t="str">
        <f t="array" ref="I131:L131">_xlfn.XLOOKUP(C131,'Neiva 2021 FASE I UNIFICADO'!$C$6:$C$540,'Neiva 2021 FASE I UNIFICADO'!$C$6:$F$540,"NO ESTA")</f>
        <v>SUMINISTRO E INSTALACION PISO TABLETA ZONAS COMUNES Incluye ALISTADO Referencia  ALFA 30 X 30 HUILA Ref. Planos 09610.1</v>
      </c>
      <c r="J131" s="9" t="str">
        <v>M2</v>
      </c>
      <c r="K131" s="9">
        <v>1.4</v>
      </c>
      <c r="L131" s="9">
        <v>102488</v>
      </c>
      <c r="M131" s="124" t="str">
        <f t="shared" si="9"/>
        <v>FASE II</v>
      </c>
      <c r="N131" s="155">
        <f t="shared" si="6"/>
        <v>1161.2800000000002</v>
      </c>
      <c r="O131" s="156">
        <f t="shared" si="7"/>
        <v>121544</v>
      </c>
      <c r="P131" s="156">
        <f t="shared" si="8"/>
        <v>141146616.32000002</v>
      </c>
    </row>
    <row r="132" spans="2:16" s="9" customFormat="1" ht="35.1" customHeight="1" x14ac:dyDescent="0.25">
      <c r="B132" s="23" t="s">
        <v>1106</v>
      </c>
      <c r="C132" s="22" t="s">
        <v>164</v>
      </c>
      <c r="D132" s="23" t="s">
        <v>13</v>
      </c>
      <c r="E132" s="12">
        <v>53.48</v>
      </c>
      <c r="F132" s="126">
        <v>70614</v>
      </c>
      <c r="G132" s="126">
        <f>ROUND(+F132*E132,2)</f>
        <v>3776436.72</v>
      </c>
      <c r="H132" s="8"/>
      <c r="I132" s="9" t="str">
        <f t="array" ref="I132:L132">_xlfn.XLOOKUP(C132,'Neiva 2021 FASE I UNIFICADO'!$C$6:$C$540,'Neiva 2021 FASE I UNIFICADO'!$C$6:$F$540,"NO ESTA")</f>
        <v>SUMINISTRO E INSTALACION PISO LOSETA PREFABRICADA GRIS Referencia A30 DE 40X60 - (Especificación Cartilla Andenes IDU-2011)  Ref. Planos 09620.8</v>
      </c>
      <c r="J132" s="9" t="str">
        <v>M2</v>
      </c>
      <c r="K132" s="9">
        <v>576.27</v>
      </c>
      <c r="L132" s="9">
        <v>67225</v>
      </c>
      <c r="M132" s="124" t="str">
        <f t="shared" si="9"/>
        <v>FASE II</v>
      </c>
      <c r="N132" s="155">
        <f t="shared" si="6"/>
        <v>629.75</v>
      </c>
      <c r="O132" s="156">
        <f t="shared" si="7"/>
        <v>70614</v>
      </c>
      <c r="P132" s="156">
        <f t="shared" si="8"/>
        <v>44469166.5</v>
      </c>
    </row>
    <row r="133" spans="2:16" s="9" customFormat="1" ht="35.1" customHeight="1" x14ac:dyDescent="0.25">
      <c r="B133" s="23" t="s">
        <v>1107</v>
      </c>
      <c r="C133" s="22" t="s">
        <v>159</v>
      </c>
      <c r="D133" s="23" t="s">
        <v>13</v>
      </c>
      <c r="E133" s="12">
        <v>9</v>
      </c>
      <c r="F133" s="126">
        <v>96306</v>
      </c>
      <c r="G133" s="126">
        <f>ROUND(+F133*E133,2)</f>
        <v>866754</v>
      </c>
      <c r="H133" s="8"/>
      <c r="I133" s="9" t="str">
        <f t="array" ref="I133:L133">_xlfn.XLOOKUP(C133,'Neiva 2021 FASE I UNIFICADO'!$C$6:$C$540,'Neiva 2021 FASE I UNIFICADO'!$C$6:$F$540,"NO ESTA")</f>
        <v>SUMINISTRO E INSTALACION JARDIN Ref. Planos A2900 (Incluye material aislante, impermeabilizante, tierra, abonos y plantas ornamentales)</v>
      </c>
      <c r="J133" s="9" t="str">
        <v>M2</v>
      </c>
      <c r="K133" s="9">
        <v>4.59</v>
      </c>
      <c r="L133" s="9">
        <v>89130</v>
      </c>
      <c r="M133" s="124" t="str">
        <f t="shared" si="9"/>
        <v>FASE II</v>
      </c>
      <c r="N133" s="155">
        <f t="shared" si="6"/>
        <v>13.59</v>
      </c>
      <c r="O133" s="156">
        <f t="shared" si="7"/>
        <v>96306</v>
      </c>
      <c r="P133" s="156">
        <f t="shared" si="8"/>
        <v>1308798.54</v>
      </c>
    </row>
    <row r="134" spans="2:16" s="9" customFormat="1" ht="35.1" customHeight="1" x14ac:dyDescent="0.25">
      <c r="B134" s="13" t="s">
        <v>1108</v>
      </c>
      <c r="C134" s="14" t="s">
        <v>1109</v>
      </c>
      <c r="D134" s="27"/>
      <c r="E134" s="15"/>
      <c r="F134" s="129"/>
      <c r="G134" s="140"/>
      <c r="H134" s="8"/>
      <c r="I134" s="9" t="str">
        <f t="array" ref="I134">_xlfn.XLOOKUP(C134,'Neiva 2021 FASE I UNIFICADO'!$C$6:$C$540,'Neiva 2021 FASE I UNIFICADO'!$C$6:$F$540,"NO ESTA")</f>
        <v>NO ESTA</v>
      </c>
      <c r="M134" s="124">
        <f t="shared" si="9"/>
        <v>0</v>
      </c>
      <c r="N134" s="155">
        <f t="shared" ref="N134:N197" si="14">E134+K134</f>
        <v>0</v>
      </c>
      <c r="O134" s="156">
        <f t="shared" ref="O134:O197" si="15">MAX(L134,F134)</f>
        <v>0</v>
      </c>
      <c r="P134" s="156">
        <f t="shared" ref="P134:P197" si="16">N134*O134</f>
        <v>0</v>
      </c>
    </row>
    <row r="135" spans="2:16" s="9" customFormat="1" ht="35.1" customHeight="1" x14ac:dyDescent="0.25">
      <c r="B135" s="23" t="s">
        <v>1110</v>
      </c>
      <c r="C135" s="22" t="s">
        <v>153</v>
      </c>
      <c r="D135" s="23" t="s">
        <v>13</v>
      </c>
      <c r="E135" s="12">
        <v>949.13</v>
      </c>
      <c r="F135" s="126">
        <v>121544</v>
      </c>
      <c r="G135" s="126">
        <f>ROUND(+F135*E135,2)</f>
        <v>115361056.72</v>
      </c>
      <c r="H135" s="8"/>
      <c r="I135" s="9" t="str">
        <f t="array" ref="I135:L135">_xlfn.XLOOKUP(C135,'Neiva 2021 FASE I UNIFICADO'!$C$6:$C$540,'Neiva 2021 FASE I UNIFICADO'!$C$6:$F$540,"NO ESTA")</f>
        <v>SUMINISTRO E INSTALACION PISO TABLETA ZONAS COMUNES Incluye ALISTADO Referencia  ALFA 30 X 30 HUILA Ref. Planos 09610.1</v>
      </c>
      <c r="J135" s="9" t="str">
        <v>M2</v>
      </c>
      <c r="K135" s="9">
        <v>1.4</v>
      </c>
      <c r="L135" s="9">
        <v>102488</v>
      </c>
      <c r="M135" s="124" t="str">
        <f t="shared" si="9"/>
        <v>FASE II</v>
      </c>
      <c r="N135" s="155">
        <f t="shared" si="14"/>
        <v>950.53</v>
      </c>
      <c r="O135" s="156">
        <f t="shared" si="15"/>
        <v>121544</v>
      </c>
      <c r="P135" s="156">
        <f t="shared" si="16"/>
        <v>115531218.31999999</v>
      </c>
    </row>
    <row r="136" spans="2:16" s="9" customFormat="1" ht="35.1" customHeight="1" x14ac:dyDescent="0.25">
      <c r="B136" s="23" t="s">
        <v>1111</v>
      </c>
      <c r="C136" s="22" t="s">
        <v>159</v>
      </c>
      <c r="D136" s="23" t="s">
        <v>13</v>
      </c>
      <c r="E136" s="12">
        <v>56.54</v>
      </c>
      <c r="F136" s="126">
        <v>96306</v>
      </c>
      <c r="G136" s="126">
        <f>ROUND(+F136*E136,2)</f>
        <v>5445141.2400000002</v>
      </c>
      <c r="H136" s="8"/>
      <c r="I136" s="9" t="str">
        <f t="array" ref="I136:L136">_xlfn.XLOOKUP(C136,'Neiva 2021 FASE I UNIFICADO'!$C$6:$C$540,'Neiva 2021 FASE I UNIFICADO'!$C$6:$F$540,"NO ESTA")</f>
        <v>SUMINISTRO E INSTALACION JARDIN Ref. Planos A2900 (Incluye material aislante, impermeabilizante, tierra, abonos y plantas ornamentales)</v>
      </c>
      <c r="J136" s="9" t="str">
        <v>M2</v>
      </c>
      <c r="K136" s="9">
        <v>4.59</v>
      </c>
      <c r="L136" s="9">
        <v>89130</v>
      </c>
      <c r="M136" s="124" t="str">
        <f t="shared" ref="M136:M199" si="17">IF(L136=0,0,(IF(F136&lt;L136, "FASE I","FASE II")))</f>
        <v>FASE II</v>
      </c>
      <c r="N136" s="155">
        <f t="shared" si="14"/>
        <v>61.129999999999995</v>
      </c>
      <c r="O136" s="156">
        <f t="shared" si="15"/>
        <v>96306</v>
      </c>
      <c r="P136" s="156">
        <f t="shared" si="16"/>
        <v>5887185.7799999993</v>
      </c>
    </row>
    <row r="137" spans="2:16" s="9" customFormat="1" ht="35.1" customHeight="1" x14ac:dyDescent="0.25">
      <c r="B137" s="16">
        <v>7</v>
      </c>
      <c r="C137" s="17" t="s">
        <v>175</v>
      </c>
      <c r="D137" s="17"/>
      <c r="E137" s="18"/>
      <c r="F137" s="133"/>
      <c r="G137" s="143"/>
      <c r="H137" s="8"/>
      <c r="M137" s="124">
        <f t="shared" si="17"/>
        <v>0</v>
      </c>
      <c r="N137" s="155">
        <f t="shared" si="14"/>
        <v>0</v>
      </c>
      <c r="O137" s="156">
        <f t="shared" si="15"/>
        <v>0</v>
      </c>
      <c r="P137" s="156">
        <f t="shared" si="16"/>
        <v>0</v>
      </c>
    </row>
    <row r="138" spans="2:16" s="9" customFormat="1" ht="35.1" customHeight="1" x14ac:dyDescent="0.25">
      <c r="B138" s="13" t="s">
        <v>176</v>
      </c>
      <c r="C138" s="24" t="s">
        <v>177</v>
      </c>
      <c r="D138" s="24"/>
      <c r="E138" s="15"/>
      <c r="F138" s="126">
        <v>0</v>
      </c>
      <c r="G138" s="126">
        <f t="shared" ref="G138:G148" si="18">ROUND(+F138*E138,2)</f>
        <v>0</v>
      </c>
      <c r="H138" s="8"/>
      <c r="I138" s="9" t="str">
        <f t="array" ref="I138:L138">_xlfn.XLOOKUP(C138,'Neiva 2021 FASE I UNIFICADO'!$C$6:$C$540,'Neiva 2021 FASE I UNIFICADO'!$C$6:$F$540,"NO ESTA")</f>
        <v>SUMINISTRO E INSTALACION VENTANAS ESPACIO PUBLICO</v>
      </c>
      <c r="J138" s="9">
        <v>0</v>
      </c>
      <c r="K138" s="9">
        <v>0</v>
      </c>
      <c r="L138" s="9">
        <v>0</v>
      </c>
      <c r="M138" s="124">
        <f t="shared" si="17"/>
        <v>0</v>
      </c>
      <c r="N138" s="155">
        <f t="shared" si="14"/>
        <v>0</v>
      </c>
      <c r="O138" s="156">
        <f t="shared" si="15"/>
        <v>0</v>
      </c>
      <c r="P138" s="156">
        <f t="shared" si="16"/>
        <v>0</v>
      </c>
    </row>
    <row r="139" spans="2:16" s="9" customFormat="1" ht="35.1" customHeight="1" x14ac:dyDescent="0.25">
      <c r="B139" s="23" t="s">
        <v>178</v>
      </c>
      <c r="C139" s="22" t="s">
        <v>1112</v>
      </c>
      <c r="D139" s="10" t="s">
        <v>13</v>
      </c>
      <c r="E139" s="12">
        <v>0</v>
      </c>
      <c r="F139" s="126">
        <v>267475</v>
      </c>
      <c r="G139" s="126">
        <f t="shared" si="18"/>
        <v>0</v>
      </c>
      <c r="H139" s="8"/>
      <c r="I139" s="9" t="str">
        <f t="array" ref="I139">_xlfn.XLOOKUP(C139,'Neiva 2021 FASE I UNIFICADO'!$C$6:$C$540,'Neiva 2021 FASE I UNIFICADO'!$C$6:$F$540,"NO ESTA")</f>
        <v>NO ESTA</v>
      </c>
      <c r="M139" s="124">
        <f t="shared" si="17"/>
        <v>0</v>
      </c>
      <c r="N139" s="155">
        <f t="shared" si="14"/>
        <v>0</v>
      </c>
      <c r="O139" s="156">
        <f t="shared" si="15"/>
        <v>267475</v>
      </c>
      <c r="P139" s="156">
        <f t="shared" si="16"/>
        <v>0</v>
      </c>
    </row>
    <row r="140" spans="2:16" s="9" customFormat="1" ht="35.1" customHeight="1" x14ac:dyDescent="0.25">
      <c r="B140" s="13" t="s">
        <v>180</v>
      </c>
      <c r="C140" s="14" t="s">
        <v>181</v>
      </c>
      <c r="D140" s="13"/>
      <c r="E140" s="15"/>
      <c r="F140" s="126">
        <v>0</v>
      </c>
      <c r="G140" s="126">
        <f t="shared" si="18"/>
        <v>0</v>
      </c>
      <c r="H140" s="8"/>
      <c r="I140" s="9" t="str">
        <f t="array" ref="I140:L140">_xlfn.XLOOKUP(C140,'Neiva 2021 FASE I UNIFICADO'!$C$6:$C$540,'Neiva 2021 FASE I UNIFICADO'!$C$6:$F$540,"NO ESTA")</f>
        <v>SUMINISTRO E INSTALACION VENTANAS PISO 1</v>
      </c>
      <c r="J140" s="9">
        <v>0</v>
      </c>
      <c r="K140" s="9">
        <v>0</v>
      </c>
      <c r="L140" s="9">
        <v>0</v>
      </c>
      <c r="M140" s="124">
        <f t="shared" si="17"/>
        <v>0</v>
      </c>
      <c r="N140" s="155">
        <f t="shared" si="14"/>
        <v>0</v>
      </c>
      <c r="O140" s="156">
        <f t="shared" si="15"/>
        <v>0</v>
      </c>
      <c r="P140" s="156">
        <f t="shared" si="16"/>
        <v>0</v>
      </c>
    </row>
    <row r="141" spans="2:16" s="9" customFormat="1" ht="35.1" customHeight="1" x14ac:dyDescent="0.25">
      <c r="B141" s="23" t="s">
        <v>182</v>
      </c>
      <c r="C141" s="22" t="s">
        <v>183</v>
      </c>
      <c r="D141" s="10" t="s">
        <v>13</v>
      </c>
      <c r="E141" s="12">
        <v>0</v>
      </c>
      <c r="F141" s="126">
        <v>267475</v>
      </c>
      <c r="G141" s="126">
        <f t="shared" si="18"/>
        <v>0</v>
      </c>
      <c r="H141" s="8"/>
      <c r="I141" s="9" t="str">
        <f t="array" ref="I141:L141">_xlfn.XLOOKUP(C141,'Neiva 2021 FASE I UNIFICADO'!$C$6:$C$540,'Neiva 2021 FASE I UNIFICADO'!$C$6:$F$540,"NO ESTA")</f>
        <v>SUMINISTRO E INSTALACION VENTANA EN ALUMINIO o similar TIPO V3 Incluye VIDRIO Referencia SOLARBAN Ver NOTAS GENERALES DE PLANCHA</v>
      </c>
      <c r="J141" s="9" t="str">
        <v>M2</v>
      </c>
      <c r="K141" s="9">
        <v>0.55000000000000004</v>
      </c>
      <c r="L141" s="9">
        <v>247547</v>
      </c>
      <c r="M141" s="124" t="str">
        <f t="shared" si="17"/>
        <v>FASE II</v>
      </c>
      <c r="N141" s="155">
        <f t="shared" si="14"/>
        <v>0.55000000000000004</v>
      </c>
      <c r="O141" s="156">
        <f t="shared" si="15"/>
        <v>267475</v>
      </c>
      <c r="P141" s="156">
        <f t="shared" si="16"/>
        <v>147111.25</v>
      </c>
    </row>
    <row r="142" spans="2:16" s="9" customFormat="1" ht="35.1" customHeight="1" x14ac:dyDescent="0.25">
      <c r="B142" s="23" t="s">
        <v>184</v>
      </c>
      <c r="C142" s="22" t="s">
        <v>1113</v>
      </c>
      <c r="D142" s="10" t="s">
        <v>13</v>
      </c>
      <c r="E142" s="12">
        <v>0</v>
      </c>
      <c r="F142" s="126">
        <v>267475</v>
      </c>
      <c r="G142" s="126">
        <f t="shared" si="18"/>
        <v>0</v>
      </c>
      <c r="H142" s="8"/>
      <c r="I142" s="9" t="str">
        <f t="array" ref="I142">_xlfn.XLOOKUP(C142,'Neiva 2021 FASE I UNIFICADO'!$C$6:$C$540,'Neiva 2021 FASE I UNIFICADO'!$C$6:$F$540,"NO ESTA")</f>
        <v>NO ESTA</v>
      </c>
      <c r="M142" s="124">
        <f t="shared" si="17"/>
        <v>0</v>
      </c>
      <c r="N142" s="155">
        <f t="shared" si="14"/>
        <v>0</v>
      </c>
      <c r="O142" s="156">
        <f t="shared" si="15"/>
        <v>267475</v>
      </c>
      <c r="P142" s="156">
        <f t="shared" si="16"/>
        <v>0</v>
      </c>
    </row>
    <row r="143" spans="2:16" s="9" customFormat="1" ht="35.1" customHeight="1" x14ac:dyDescent="0.25">
      <c r="B143" s="13" t="s">
        <v>186</v>
      </c>
      <c r="C143" s="14" t="s">
        <v>187</v>
      </c>
      <c r="D143" s="13"/>
      <c r="E143" s="15"/>
      <c r="F143" s="126">
        <v>0</v>
      </c>
      <c r="G143" s="126">
        <f t="shared" si="18"/>
        <v>0</v>
      </c>
      <c r="H143" s="8"/>
      <c r="I143" s="9" t="str">
        <f t="array" ref="I143:L143">_xlfn.XLOOKUP(C143,'Neiva 2021 FASE I UNIFICADO'!$C$6:$C$540,'Neiva 2021 FASE I UNIFICADO'!$C$6:$F$540,"NO ESTA")</f>
        <v>SUMINISTRO E INSTALACION VENTANAS PISO 2</v>
      </c>
      <c r="J143" s="9">
        <v>0</v>
      </c>
      <c r="K143" s="9">
        <v>0</v>
      </c>
      <c r="L143" s="9">
        <v>0</v>
      </c>
      <c r="M143" s="124">
        <f t="shared" si="17"/>
        <v>0</v>
      </c>
      <c r="N143" s="155">
        <f t="shared" si="14"/>
        <v>0</v>
      </c>
      <c r="O143" s="156">
        <f t="shared" si="15"/>
        <v>0</v>
      </c>
      <c r="P143" s="156">
        <f t="shared" si="16"/>
        <v>0</v>
      </c>
    </row>
    <row r="144" spans="2:16" s="9" customFormat="1" ht="35.1" customHeight="1" x14ac:dyDescent="0.25">
      <c r="B144" s="23" t="s">
        <v>188</v>
      </c>
      <c r="C144" s="22" t="s">
        <v>189</v>
      </c>
      <c r="D144" s="10" t="s">
        <v>13</v>
      </c>
      <c r="E144" s="12">
        <v>0</v>
      </c>
      <c r="F144" s="126">
        <v>267475</v>
      </c>
      <c r="G144" s="126">
        <f t="shared" si="18"/>
        <v>0</v>
      </c>
      <c r="H144" s="8"/>
      <c r="I144" s="9" t="str">
        <f t="array" ref="I144:L144">_xlfn.XLOOKUP(C144,'Neiva 2021 FASE I UNIFICADO'!$C$6:$C$540,'Neiva 2021 FASE I UNIFICADO'!$C$6:$F$540,"NO ESTA")</f>
        <v>SUMINISTRO E INSTALACION VENTANA EN ALUMINIO o similar TIPO V1 Incluye VIDRIO Referencia SOLARBAN Ver NOTAS GENERALES DE PLANCHA</v>
      </c>
      <c r="J144" s="9" t="str">
        <v>M2</v>
      </c>
      <c r="K144" s="9">
        <v>0.05</v>
      </c>
      <c r="L144" s="9">
        <v>247547</v>
      </c>
      <c r="M144" s="124" t="str">
        <f t="shared" si="17"/>
        <v>FASE II</v>
      </c>
      <c r="N144" s="155">
        <f t="shared" si="14"/>
        <v>0.05</v>
      </c>
      <c r="O144" s="156">
        <f t="shared" si="15"/>
        <v>267475</v>
      </c>
      <c r="P144" s="156">
        <f t="shared" si="16"/>
        <v>13373.75</v>
      </c>
    </row>
    <row r="145" spans="2:16" s="9" customFormat="1" ht="35.1" customHeight="1" x14ac:dyDescent="0.25">
      <c r="B145" s="23" t="s">
        <v>190</v>
      </c>
      <c r="C145" s="22" t="s">
        <v>191</v>
      </c>
      <c r="D145" s="10" t="s">
        <v>13</v>
      </c>
      <c r="E145" s="12">
        <v>0</v>
      </c>
      <c r="F145" s="126">
        <v>267475</v>
      </c>
      <c r="G145" s="126">
        <f t="shared" si="18"/>
        <v>0</v>
      </c>
      <c r="H145" s="8"/>
      <c r="I145" s="9" t="str">
        <f t="array" ref="I145:L145">_xlfn.XLOOKUP(C145,'Neiva 2021 FASE I UNIFICADO'!$C$6:$C$540,'Neiva 2021 FASE I UNIFICADO'!$C$6:$F$540,"NO ESTA")</f>
        <v>SUMINISTRO E INSTALACION VENTANA EN ALUMINIO o similar TIPO V2 Incluye VIDRIO Referencia SOLARBAN Ver NOTAS GENERALES DE PLANCHA</v>
      </c>
      <c r="J145" s="9" t="str">
        <v>M2</v>
      </c>
      <c r="K145" s="9">
        <v>0.32</v>
      </c>
      <c r="L145" s="9">
        <v>247547</v>
      </c>
      <c r="M145" s="124" t="str">
        <f t="shared" si="17"/>
        <v>FASE II</v>
      </c>
      <c r="N145" s="155">
        <f t="shared" si="14"/>
        <v>0.32</v>
      </c>
      <c r="O145" s="156">
        <f t="shared" si="15"/>
        <v>267475</v>
      </c>
      <c r="P145" s="156">
        <f t="shared" si="16"/>
        <v>85592</v>
      </c>
    </row>
    <row r="146" spans="2:16" s="9" customFormat="1" ht="35.1" customHeight="1" x14ac:dyDescent="0.25">
      <c r="B146" s="23" t="s">
        <v>192</v>
      </c>
      <c r="C146" s="22" t="s">
        <v>183</v>
      </c>
      <c r="D146" s="10" t="s">
        <v>13</v>
      </c>
      <c r="E146" s="12">
        <v>0</v>
      </c>
      <c r="F146" s="126">
        <v>267475</v>
      </c>
      <c r="G146" s="126">
        <f t="shared" si="18"/>
        <v>0</v>
      </c>
      <c r="H146" s="8"/>
      <c r="I146" s="9" t="str">
        <f t="array" ref="I146:L146">_xlfn.XLOOKUP(C146,'Neiva 2021 FASE I UNIFICADO'!$C$6:$C$540,'Neiva 2021 FASE I UNIFICADO'!$C$6:$F$540,"NO ESTA")</f>
        <v>SUMINISTRO E INSTALACION VENTANA EN ALUMINIO o similar TIPO V3 Incluye VIDRIO Referencia SOLARBAN Ver NOTAS GENERALES DE PLANCHA</v>
      </c>
      <c r="J146" s="9" t="str">
        <v>M2</v>
      </c>
      <c r="K146" s="9">
        <v>0.55000000000000004</v>
      </c>
      <c r="L146" s="9">
        <v>247547</v>
      </c>
      <c r="M146" s="124" t="str">
        <f t="shared" si="17"/>
        <v>FASE II</v>
      </c>
      <c r="N146" s="155">
        <f t="shared" si="14"/>
        <v>0.55000000000000004</v>
      </c>
      <c r="O146" s="156">
        <f t="shared" si="15"/>
        <v>267475</v>
      </c>
      <c r="P146" s="156">
        <f t="shared" si="16"/>
        <v>147111.25</v>
      </c>
    </row>
    <row r="147" spans="2:16" s="9" customFormat="1" ht="35.1" customHeight="1" x14ac:dyDescent="0.25">
      <c r="B147" s="23" t="s">
        <v>193</v>
      </c>
      <c r="C147" s="22" t="s">
        <v>1114</v>
      </c>
      <c r="D147" s="10" t="s">
        <v>13</v>
      </c>
      <c r="E147" s="12">
        <v>0</v>
      </c>
      <c r="F147" s="126">
        <v>267475</v>
      </c>
      <c r="G147" s="126">
        <f t="shared" si="18"/>
        <v>0</v>
      </c>
      <c r="H147" s="8"/>
      <c r="I147" s="9" t="str">
        <f t="array" ref="I147">_xlfn.XLOOKUP(C147,'Neiva 2021 FASE I UNIFICADO'!$C$6:$C$540,'Neiva 2021 FASE I UNIFICADO'!$C$6:$F$540,"NO ESTA")</f>
        <v>NO ESTA</v>
      </c>
      <c r="M147" s="124">
        <f t="shared" si="17"/>
        <v>0</v>
      </c>
      <c r="N147" s="155">
        <f t="shared" si="14"/>
        <v>0</v>
      </c>
      <c r="O147" s="156">
        <f t="shared" si="15"/>
        <v>267475</v>
      </c>
      <c r="P147" s="156">
        <f t="shared" si="16"/>
        <v>0</v>
      </c>
    </row>
    <row r="148" spans="2:16" s="9" customFormat="1" ht="35.1" customHeight="1" x14ac:dyDescent="0.25">
      <c r="B148" s="23" t="s">
        <v>194</v>
      </c>
      <c r="C148" s="22" t="s">
        <v>195</v>
      </c>
      <c r="D148" s="10" t="s">
        <v>13</v>
      </c>
      <c r="E148" s="12">
        <v>0</v>
      </c>
      <c r="F148" s="126">
        <v>267475</v>
      </c>
      <c r="G148" s="126">
        <f t="shared" si="18"/>
        <v>0</v>
      </c>
      <c r="H148" s="8"/>
      <c r="I148" s="9" t="str">
        <f t="array" ref="I148:L148">_xlfn.XLOOKUP(C148,'Neiva 2021 FASE I UNIFICADO'!$C$6:$C$540,'Neiva 2021 FASE I UNIFICADO'!$C$6:$F$540,"NO ESTA")</f>
        <v>SUMINISTRO E INSTALACION VENTANA EN ALUMINIO o similar TIPO V5 Incluye VIDRIO Referencia SOLARBAN Ver NOTAS GENERALES DE PLANCHA</v>
      </c>
      <c r="J148" s="9" t="str">
        <v>M2</v>
      </c>
      <c r="K148" s="9">
        <v>0.36</v>
      </c>
      <c r="L148" s="9">
        <v>247547</v>
      </c>
      <c r="M148" s="124" t="str">
        <f t="shared" si="17"/>
        <v>FASE II</v>
      </c>
      <c r="N148" s="155">
        <f t="shared" si="14"/>
        <v>0.36</v>
      </c>
      <c r="O148" s="156">
        <f t="shared" si="15"/>
        <v>267475</v>
      </c>
      <c r="P148" s="156">
        <f t="shared" si="16"/>
        <v>96291</v>
      </c>
    </row>
    <row r="149" spans="2:16" s="9" customFormat="1" ht="35.1" customHeight="1" x14ac:dyDescent="0.25">
      <c r="B149" s="13" t="s">
        <v>1115</v>
      </c>
      <c r="C149" s="14" t="s">
        <v>1116</v>
      </c>
      <c r="D149" s="13"/>
      <c r="E149" s="15"/>
      <c r="F149" s="129"/>
      <c r="G149" s="140"/>
      <c r="H149" s="8"/>
      <c r="I149" s="9" t="str">
        <f t="array" ref="I149">_xlfn.XLOOKUP(C149,'Neiva 2021 FASE I UNIFICADO'!$C$6:$C$540,'Neiva 2021 FASE I UNIFICADO'!$C$6:$F$540,"NO ESTA")</f>
        <v>NO ESTA</v>
      </c>
      <c r="M149" s="124">
        <f t="shared" si="17"/>
        <v>0</v>
      </c>
      <c r="N149" s="155">
        <f t="shared" si="14"/>
        <v>0</v>
      </c>
      <c r="O149" s="156">
        <f t="shared" si="15"/>
        <v>0</v>
      </c>
      <c r="P149" s="156">
        <f t="shared" si="16"/>
        <v>0</v>
      </c>
    </row>
    <row r="150" spans="2:16" s="9" customFormat="1" ht="35.1" customHeight="1" x14ac:dyDescent="0.25">
      <c r="B150" s="23" t="s">
        <v>1117</v>
      </c>
      <c r="C150" s="22" t="s">
        <v>189</v>
      </c>
      <c r="D150" s="10" t="s">
        <v>13</v>
      </c>
      <c r="E150" s="12">
        <v>0.54</v>
      </c>
      <c r="F150" s="126">
        <v>268159</v>
      </c>
      <c r="G150" s="126">
        <f>ROUND(+F150*E150,2)</f>
        <v>144805.85999999999</v>
      </c>
      <c r="H150" s="8"/>
      <c r="I150" s="9" t="str">
        <f t="array" ref="I150:L150">_xlfn.XLOOKUP(C150,'Neiva 2021 FASE I UNIFICADO'!$C$6:$C$540,'Neiva 2021 FASE I UNIFICADO'!$C$6:$F$540,"NO ESTA")</f>
        <v>SUMINISTRO E INSTALACION VENTANA EN ALUMINIO o similar TIPO V1 Incluye VIDRIO Referencia SOLARBAN Ver NOTAS GENERALES DE PLANCHA</v>
      </c>
      <c r="J150" s="9" t="str">
        <v>M2</v>
      </c>
      <c r="K150" s="9">
        <v>0.05</v>
      </c>
      <c r="L150" s="9">
        <v>247547</v>
      </c>
      <c r="M150" s="124" t="str">
        <f t="shared" si="17"/>
        <v>FASE II</v>
      </c>
      <c r="N150" s="155">
        <f t="shared" si="14"/>
        <v>0.59000000000000008</v>
      </c>
      <c r="O150" s="156">
        <f t="shared" si="15"/>
        <v>268159</v>
      </c>
      <c r="P150" s="156">
        <f t="shared" si="16"/>
        <v>158213.81000000003</v>
      </c>
    </row>
    <row r="151" spans="2:16" s="9" customFormat="1" ht="35.1" customHeight="1" x14ac:dyDescent="0.25">
      <c r="B151" s="23" t="s">
        <v>1118</v>
      </c>
      <c r="C151" s="22" t="s">
        <v>191</v>
      </c>
      <c r="D151" s="10" t="s">
        <v>13</v>
      </c>
      <c r="E151" s="12">
        <v>2.38</v>
      </c>
      <c r="F151" s="126">
        <v>268159</v>
      </c>
      <c r="G151" s="126">
        <f>ROUND(+F151*E151,2)</f>
        <v>638218.42000000004</v>
      </c>
      <c r="H151" s="8"/>
      <c r="I151" s="9" t="str">
        <f t="array" ref="I151:L151">_xlfn.XLOOKUP(C151,'Neiva 2021 FASE I UNIFICADO'!$C$6:$C$540,'Neiva 2021 FASE I UNIFICADO'!$C$6:$F$540,"NO ESTA")</f>
        <v>SUMINISTRO E INSTALACION VENTANA EN ALUMINIO o similar TIPO V2 Incluye VIDRIO Referencia SOLARBAN Ver NOTAS GENERALES DE PLANCHA</v>
      </c>
      <c r="J151" s="9" t="str">
        <v>M2</v>
      </c>
      <c r="K151" s="9">
        <v>0.32</v>
      </c>
      <c r="L151" s="9">
        <v>247547</v>
      </c>
      <c r="M151" s="124" t="str">
        <f t="shared" si="17"/>
        <v>FASE II</v>
      </c>
      <c r="N151" s="155">
        <f t="shared" si="14"/>
        <v>2.6999999999999997</v>
      </c>
      <c r="O151" s="156">
        <f t="shared" si="15"/>
        <v>268159</v>
      </c>
      <c r="P151" s="156">
        <f t="shared" si="16"/>
        <v>724029.29999999993</v>
      </c>
    </row>
    <row r="152" spans="2:16" s="9" customFormat="1" ht="35.1" customHeight="1" x14ac:dyDescent="0.25">
      <c r="B152" s="23" t="s">
        <v>1119</v>
      </c>
      <c r="C152" s="22" t="s">
        <v>183</v>
      </c>
      <c r="D152" s="10" t="s">
        <v>13</v>
      </c>
      <c r="E152" s="12">
        <v>3.45</v>
      </c>
      <c r="F152" s="126">
        <v>268159</v>
      </c>
      <c r="G152" s="126">
        <f>ROUND(+F152*E152,2)</f>
        <v>925148.55</v>
      </c>
      <c r="H152" s="8"/>
      <c r="I152" s="9" t="str">
        <f t="array" ref="I152:L152">_xlfn.XLOOKUP(C152,'Neiva 2021 FASE I UNIFICADO'!$C$6:$C$540,'Neiva 2021 FASE I UNIFICADO'!$C$6:$F$540,"NO ESTA")</f>
        <v>SUMINISTRO E INSTALACION VENTANA EN ALUMINIO o similar TIPO V3 Incluye VIDRIO Referencia SOLARBAN Ver NOTAS GENERALES DE PLANCHA</v>
      </c>
      <c r="J152" s="9" t="str">
        <v>M2</v>
      </c>
      <c r="K152" s="9">
        <v>0.55000000000000004</v>
      </c>
      <c r="L152" s="9">
        <v>247547</v>
      </c>
      <c r="M152" s="124" t="str">
        <f t="shared" si="17"/>
        <v>FASE II</v>
      </c>
      <c r="N152" s="155">
        <f t="shared" si="14"/>
        <v>4</v>
      </c>
      <c r="O152" s="156">
        <f t="shared" si="15"/>
        <v>268159</v>
      </c>
      <c r="P152" s="156">
        <f t="shared" si="16"/>
        <v>1072636</v>
      </c>
    </row>
    <row r="153" spans="2:16" s="9" customFormat="1" ht="35.1" customHeight="1" x14ac:dyDescent="0.25">
      <c r="B153" s="23" t="s">
        <v>1120</v>
      </c>
      <c r="C153" s="22" t="s">
        <v>195</v>
      </c>
      <c r="D153" s="10" t="s">
        <v>13</v>
      </c>
      <c r="E153" s="12">
        <v>1.8</v>
      </c>
      <c r="F153" s="126">
        <v>268159</v>
      </c>
      <c r="G153" s="126">
        <f>ROUND(+F153*E153,2)</f>
        <v>482686.2</v>
      </c>
      <c r="H153" s="8"/>
      <c r="I153" s="9" t="str">
        <f t="array" ref="I153:L153">_xlfn.XLOOKUP(C153,'Neiva 2021 FASE I UNIFICADO'!$C$6:$C$540,'Neiva 2021 FASE I UNIFICADO'!$C$6:$F$540,"NO ESTA")</f>
        <v>SUMINISTRO E INSTALACION VENTANA EN ALUMINIO o similar TIPO V5 Incluye VIDRIO Referencia SOLARBAN Ver NOTAS GENERALES DE PLANCHA</v>
      </c>
      <c r="J153" s="9" t="str">
        <v>M2</v>
      </c>
      <c r="K153" s="9">
        <v>0.36</v>
      </c>
      <c r="L153" s="9">
        <v>247547</v>
      </c>
      <c r="M153" s="124" t="str">
        <f t="shared" si="17"/>
        <v>FASE II</v>
      </c>
      <c r="N153" s="155">
        <f t="shared" si="14"/>
        <v>2.16</v>
      </c>
      <c r="O153" s="156">
        <f t="shared" si="15"/>
        <v>268159</v>
      </c>
      <c r="P153" s="156">
        <f t="shared" si="16"/>
        <v>579223.44000000006</v>
      </c>
    </row>
    <row r="154" spans="2:16" s="9" customFormat="1" ht="35.1" customHeight="1" x14ac:dyDescent="0.25">
      <c r="B154" s="13" t="s">
        <v>1121</v>
      </c>
      <c r="C154" s="14" t="s">
        <v>1122</v>
      </c>
      <c r="D154" s="13"/>
      <c r="E154" s="15"/>
      <c r="F154" s="129"/>
      <c r="G154" s="140"/>
      <c r="H154" s="8"/>
      <c r="I154" s="9" t="str">
        <f t="array" ref="I154">_xlfn.XLOOKUP(C154,'Neiva 2021 FASE I UNIFICADO'!$C$6:$C$540,'Neiva 2021 FASE I UNIFICADO'!$C$6:$F$540,"NO ESTA")</f>
        <v>NO ESTA</v>
      </c>
      <c r="M154" s="124">
        <f t="shared" si="17"/>
        <v>0</v>
      </c>
      <c r="N154" s="155">
        <f t="shared" si="14"/>
        <v>0</v>
      </c>
      <c r="O154" s="156">
        <f t="shared" si="15"/>
        <v>0</v>
      </c>
      <c r="P154" s="156">
        <f t="shared" si="16"/>
        <v>0</v>
      </c>
    </row>
    <row r="155" spans="2:16" s="9" customFormat="1" ht="35.1" customHeight="1" x14ac:dyDescent="0.25">
      <c r="B155" s="23" t="s">
        <v>1123</v>
      </c>
      <c r="C155" s="22" t="s">
        <v>183</v>
      </c>
      <c r="D155" s="10" t="s">
        <v>13</v>
      </c>
      <c r="E155" s="12">
        <v>3.45</v>
      </c>
      <c r="F155" s="126">
        <v>268159</v>
      </c>
      <c r="G155" s="126">
        <f>ROUND(+F155*E155,2)</f>
        <v>925148.55</v>
      </c>
      <c r="H155" s="8"/>
      <c r="I155" s="9" t="str">
        <f t="array" ref="I155:L155">_xlfn.XLOOKUP(C155,'Neiva 2021 FASE I UNIFICADO'!$C$6:$C$540,'Neiva 2021 FASE I UNIFICADO'!$C$6:$F$540,"NO ESTA")</f>
        <v>SUMINISTRO E INSTALACION VENTANA EN ALUMINIO o similar TIPO V3 Incluye VIDRIO Referencia SOLARBAN Ver NOTAS GENERALES DE PLANCHA</v>
      </c>
      <c r="J155" s="9" t="str">
        <v>M2</v>
      </c>
      <c r="K155" s="9">
        <v>0.55000000000000004</v>
      </c>
      <c r="L155" s="9">
        <v>247547</v>
      </c>
      <c r="M155" s="124" t="str">
        <f t="shared" si="17"/>
        <v>FASE II</v>
      </c>
      <c r="N155" s="155">
        <f t="shared" si="14"/>
        <v>4</v>
      </c>
      <c r="O155" s="156">
        <f t="shared" si="15"/>
        <v>268159</v>
      </c>
      <c r="P155" s="156">
        <f t="shared" si="16"/>
        <v>1072636</v>
      </c>
    </row>
    <row r="156" spans="2:16" s="9" customFormat="1" ht="35.1" customHeight="1" x14ac:dyDescent="0.25">
      <c r="B156" s="16">
        <v>8</v>
      </c>
      <c r="C156" s="17" t="s">
        <v>196</v>
      </c>
      <c r="D156" s="17"/>
      <c r="E156" s="18"/>
      <c r="F156" s="133"/>
      <c r="G156" s="143"/>
      <c r="H156" s="8"/>
      <c r="M156" s="124">
        <f t="shared" si="17"/>
        <v>0</v>
      </c>
      <c r="N156" s="155">
        <f t="shared" si="14"/>
        <v>0</v>
      </c>
      <c r="O156" s="156">
        <f t="shared" si="15"/>
        <v>0</v>
      </c>
      <c r="P156" s="156">
        <f t="shared" si="16"/>
        <v>0</v>
      </c>
    </row>
    <row r="157" spans="2:16" s="9" customFormat="1" ht="35.1" customHeight="1" x14ac:dyDescent="0.25">
      <c r="B157" s="13" t="s">
        <v>197</v>
      </c>
      <c r="C157" s="14" t="s">
        <v>198</v>
      </c>
      <c r="D157" s="13"/>
      <c r="E157" s="15"/>
      <c r="F157" s="129"/>
      <c r="G157" s="140"/>
      <c r="H157" s="8"/>
      <c r="M157" s="124">
        <f t="shared" si="17"/>
        <v>0</v>
      </c>
      <c r="N157" s="155">
        <f t="shared" si="14"/>
        <v>0</v>
      </c>
      <c r="O157" s="156">
        <f t="shared" si="15"/>
        <v>0</v>
      </c>
      <c r="P157" s="156">
        <f t="shared" si="16"/>
        <v>0</v>
      </c>
    </row>
    <row r="158" spans="2:16" s="9" customFormat="1" ht="35.1" customHeight="1" x14ac:dyDescent="0.25">
      <c r="B158" s="23" t="s">
        <v>199</v>
      </c>
      <c r="C158" s="22" t="s">
        <v>200</v>
      </c>
      <c r="D158" s="10" t="s">
        <v>13</v>
      </c>
      <c r="E158" s="12">
        <v>44.879999999999995</v>
      </c>
      <c r="F158" s="126">
        <v>311887</v>
      </c>
      <c r="G158" s="126">
        <f>ROUND(+F158*E158,2)</f>
        <v>13997488.560000001</v>
      </c>
      <c r="H158" s="8"/>
      <c r="I158" s="9" t="str">
        <f t="array" ref="I158:L158">_xlfn.XLOOKUP(C158,'Neiva 2021 FASE I UNIFICADO'!$C$6:$C$540,'Neiva 2021 FASE I UNIFICADO'!$C$6:$F$540,"NO ESTA")</f>
        <v>SUMINISTRO E INSTALACION VENTANAL INTERIOR EN ALUMINIO o similar TIPO V-0 Incluye VIDRIO Referencia TRASLUCIDO TEMPLADO 10MM Ver NOTAS GENERALES DE PLANCHA</v>
      </c>
      <c r="J158" s="9" t="str">
        <v>M2</v>
      </c>
      <c r="K158" s="9">
        <v>16.32</v>
      </c>
      <c r="L158" s="9">
        <v>288650</v>
      </c>
      <c r="M158" s="124" t="str">
        <f t="shared" si="17"/>
        <v>FASE II</v>
      </c>
      <c r="N158" s="155">
        <f t="shared" si="14"/>
        <v>61.199999999999996</v>
      </c>
      <c r="O158" s="156">
        <f t="shared" si="15"/>
        <v>311887</v>
      </c>
      <c r="P158" s="156">
        <f t="shared" si="16"/>
        <v>19087484.399999999</v>
      </c>
    </row>
    <row r="159" spans="2:16" s="9" customFormat="1" ht="35.1" customHeight="1" x14ac:dyDescent="0.25">
      <c r="B159" s="23" t="s">
        <v>201</v>
      </c>
      <c r="C159" s="22" t="s">
        <v>202</v>
      </c>
      <c r="D159" s="10" t="s">
        <v>13</v>
      </c>
      <c r="E159" s="12">
        <v>111.41999999999999</v>
      </c>
      <c r="F159" s="126">
        <v>353438</v>
      </c>
      <c r="G159" s="126">
        <f>ROUND(+F159*E159,2)</f>
        <v>39380061.960000001</v>
      </c>
      <c r="H159" s="8"/>
      <c r="I159" s="9" t="str">
        <f t="array" ref="I159:L159">_xlfn.XLOOKUP(C159,'Neiva 2021 FASE I UNIFICADO'!$C$6:$C$540,'Neiva 2021 FASE I UNIFICADO'!$C$6:$F$540,"NO ESTA")</f>
        <v>SUMINISTRO E INSTALACION VENTANAL PERFIL 12cm EN ALUMINIO o similar TIPO V-1 Incluye VIDRIO Referencia SOLARBAN Ver NOTAS GENERALES DE PLANCHA</v>
      </c>
      <c r="J159" s="9" t="str">
        <v>M2</v>
      </c>
      <c r="K159" s="9">
        <v>111.43</v>
      </c>
      <c r="L159" s="9">
        <v>327106</v>
      </c>
      <c r="M159" s="124" t="str">
        <f t="shared" si="17"/>
        <v>FASE II</v>
      </c>
      <c r="N159" s="155">
        <f t="shared" si="14"/>
        <v>222.85</v>
      </c>
      <c r="O159" s="156">
        <f t="shared" si="15"/>
        <v>353438</v>
      </c>
      <c r="P159" s="156">
        <f t="shared" si="16"/>
        <v>78763658.299999997</v>
      </c>
    </row>
    <row r="160" spans="2:16" s="9" customFormat="1" ht="35.1" customHeight="1" x14ac:dyDescent="0.25">
      <c r="B160" s="23" t="s">
        <v>203</v>
      </c>
      <c r="C160" s="22" t="s">
        <v>204</v>
      </c>
      <c r="D160" s="10" t="s">
        <v>13</v>
      </c>
      <c r="E160" s="12">
        <v>17.010000000000002</v>
      </c>
      <c r="F160" s="126">
        <v>369778</v>
      </c>
      <c r="G160" s="126">
        <f>ROUND(+F160*E160,2)</f>
        <v>6289923.7800000003</v>
      </c>
      <c r="H160" s="8"/>
      <c r="I160" s="9" t="str">
        <f t="array" ref="I160:L160">_xlfn.XLOOKUP(C160,'Neiva 2021 FASE I UNIFICADO'!$C$6:$C$540,'Neiva 2021 FASE I UNIFICADO'!$C$6:$F$540,"NO ESTA")</f>
        <v>SUMINISTRO E INSTALACION VENTANAL DOBLE ALTURA EN ALUMINIO o similar TIPO V-4 Incluye VIDRIO Referencia SOLARBAN Ver NOTAS GENERALES DE PLANCHA</v>
      </c>
      <c r="J160" s="9" t="str">
        <v>M2</v>
      </c>
      <c r="K160" s="9">
        <v>17.010000000000002</v>
      </c>
      <c r="L160" s="9">
        <v>342227</v>
      </c>
      <c r="M160" s="124" t="str">
        <f t="shared" si="17"/>
        <v>FASE II</v>
      </c>
      <c r="N160" s="155">
        <f t="shared" si="14"/>
        <v>34.020000000000003</v>
      </c>
      <c r="O160" s="156">
        <f t="shared" si="15"/>
        <v>369778</v>
      </c>
      <c r="P160" s="156">
        <f t="shared" si="16"/>
        <v>12579847.560000001</v>
      </c>
    </row>
    <row r="161" spans="2:16" s="9" customFormat="1" ht="35.1" customHeight="1" x14ac:dyDescent="0.25">
      <c r="B161" s="23" t="s">
        <v>205</v>
      </c>
      <c r="C161" s="22" t="s">
        <v>206</v>
      </c>
      <c r="D161" s="10" t="s">
        <v>13</v>
      </c>
      <c r="E161" s="12">
        <v>13.059999999999999</v>
      </c>
      <c r="F161" s="126">
        <v>369778</v>
      </c>
      <c r="G161" s="126">
        <f>ROUND(+F161*E161,2)</f>
        <v>4829300.68</v>
      </c>
      <c r="H161" s="8"/>
      <c r="I161" s="9" t="str">
        <f t="array" ref="I161:L161">_xlfn.XLOOKUP(C161,'Neiva 2021 FASE I UNIFICADO'!$C$6:$C$540,'Neiva 2021 FASE I UNIFICADO'!$C$6:$F$540,"NO ESTA")</f>
        <v>SUMINISTRO E INSTALACIONVENTANAL DOBLE ALTURA LIBRE EN ALUMINIO o similar TIPO V-5 Incluye VIDRIO Referencia SOLARBAN Ver NOTAS GENERALES DE PLANCHA</v>
      </c>
      <c r="J161" s="9" t="str">
        <v>M2</v>
      </c>
      <c r="K161" s="9">
        <v>13.07</v>
      </c>
      <c r="L161" s="9">
        <v>342227</v>
      </c>
      <c r="M161" s="124" t="str">
        <f t="shared" si="17"/>
        <v>FASE II</v>
      </c>
      <c r="N161" s="155">
        <f t="shared" si="14"/>
        <v>26.13</v>
      </c>
      <c r="O161" s="156">
        <f t="shared" si="15"/>
        <v>369778</v>
      </c>
      <c r="P161" s="156">
        <f t="shared" si="16"/>
        <v>9662299.1399999987</v>
      </c>
    </row>
    <row r="162" spans="2:16" s="9" customFormat="1" ht="35.1" customHeight="1" x14ac:dyDescent="0.25">
      <c r="B162" s="13" t="s">
        <v>207</v>
      </c>
      <c r="C162" s="14" t="s">
        <v>208</v>
      </c>
      <c r="D162" s="13"/>
      <c r="E162" s="15"/>
      <c r="F162" s="129"/>
      <c r="G162" s="140"/>
      <c r="H162" s="8"/>
      <c r="M162" s="124">
        <f t="shared" si="17"/>
        <v>0</v>
      </c>
      <c r="N162" s="155">
        <f t="shared" si="14"/>
        <v>0</v>
      </c>
      <c r="O162" s="156">
        <f t="shared" si="15"/>
        <v>0</v>
      </c>
      <c r="P162" s="156">
        <f t="shared" si="16"/>
        <v>0</v>
      </c>
    </row>
    <row r="163" spans="2:16" s="9" customFormat="1" ht="35.1" customHeight="1" x14ac:dyDescent="0.25">
      <c r="B163" s="23" t="s">
        <v>209</v>
      </c>
      <c r="C163" s="22" t="s">
        <v>210</v>
      </c>
      <c r="D163" s="10" t="s">
        <v>13</v>
      </c>
      <c r="E163" s="12">
        <v>221.89</v>
      </c>
      <c r="F163" s="126">
        <v>247305</v>
      </c>
      <c r="G163" s="126">
        <f t="shared" ref="G163:G169" si="19">ROUND(+F163*E163,2)</f>
        <v>54874506.450000003</v>
      </c>
      <c r="H163" s="8"/>
      <c r="I163" s="9" t="str">
        <f t="array" ref="I163:L163">_xlfn.XLOOKUP(C163,'Neiva 2021 FASE I UNIFICADO'!$C$6:$C$540,'Neiva 2021 FASE I UNIFICADO'!$C$6:$F$540,"NO ESTA")</f>
        <v>SUMINISTRO E INSTALACION CORTASOL Referencia 84R TIPO CS-1 Ver NOTAS GENERALES DE PLANCHA</v>
      </c>
      <c r="J163" s="9" t="str">
        <v>M2</v>
      </c>
      <c r="K163" s="9">
        <v>21.89</v>
      </c>
      <c r="L163" s="9">
        <v>228879</v>
      </c>
      <c r="M163" s="124" t="str">
        <f t="shared" si="17"/>
        <v>FASE II</v>
      </c>
      <c r="N163" s="155">
        <f t="shared" si="14"/>
        <v>243.77999999999997</v>
      </c>
      <c r="O163" s="156">
        <f t="shared" si="15"/>
        <v>247305</v>
      </c>
      <c r="P163" s="156">
        <f t="shared" si="16"/>
        <v>60288012.899999991</v>
      </c>
    </row>
    <row r="164" spans="2:16" s="9" customFormat="1" ht="35.1" customHeight="1" x14ac:dyDescent="0.25">
      <c r="B164" s="23" t="s">
        <v>211</v>
      </c>
      <c r="C164" s="22" t="s">
        <v>200</v>
      </c>
      <c r="D164" s="10" t="s">
        <v>13</v>
      </c>
      <c r="E164" s="12">
        <v>13.48</v>
      </c>
      <c r="F164" s="126">
        <v>311887</v>
      </c>
      <c r="G164" s="126">
        <f t="shared" si="19"/>
        <v>4204236.76</v>
      </c>
      <c r="H164" s="8"/>
      <c r="I164" s="9" t="str">
        <f t="array" ref="I164:L164">_xlfn.XLOOKUP(C164,'Neiva 2021 FASE I UNIFICADO'!$C$6:$C$540,'Neiva 2021 FASE I UNIFICADO'!$C$6:$F$540,"NO ESTA")</f>
        <v>SUMINISTRO E INSTALACION VENTANAL INTERIOR EN ALUMINIO o similar TIPO V-0 Incluye VIDRIO Referencia TRASLUCIDO TEMPLADO 10MM Ver NOTAS GENERALES DE PLANCHA</v>
      </c>
      <c r="J164" s="9" t="str">
        <v>M2</v>
      </c>
      <c r="K164" s="9">
        <v>16.32</v>
      </c>
      <c r="L164" s="9">
        <v>288650</v>
      </c>
      <c r="M164" s="124" t="str">
        <f t="shared" si="17"/>
        <v>FASE II</v>
      </c>
      <c r="N164" s="155">
        <f t="shared" si="14"/>
        <v>29.8</v>
      </c>
      <c r="O164" s="156">
        <f t="shared" si="15"/>
        <v>311887</v>
      </c>
      <c r="P164" s="156">
        <f t="shared" si="16"/>
        <v>9294232.5999999996</v>
      </c>
    </row>
    <row r="165" spans="2:16" s="9" customFormat="1" ht="35.1" customHeight="1" x14ac:dyDescent="0.25">
      <c r="B165" s="23" t="s">
        <v>212</v>
      </c>
      <c r="C165" s="22" t="s">
        <v>202</v>
      </c>
      <c r="D165" s="10" t="s">
        <v>13</v>
      </c>
      <c r="E165" s="12">
        <v>29.999999999999996</v>
      </c>
      <c r="F165" s="126">
        <v>353438</v>
      </c>
      <c r="G165" s="126">
        <f t="shared" si="19"/>
        <v>10603140</v>
      </c>
      <c r="H165" s="8"/>
      <c r="I165" s="9" t="str">
        <f t="array" ref="I165:L165">_xlfn.XLOOKUP(C165,'Neiva 2021 FASE I UNIFICADO'!$C$6:$C$540,'Neiva 2021 FASE I UNIFICADO'!$C$6:$F$540,"NO ESTA")</f>
        <v>SUMINISTRO E INSTALACION VENTANAL PERFIL 12cm EN ALUMINIO o similar TIPO V-1 Incluye VIDRIO Referencia SOLARBAN Ver NOTAS GENERALES DE PLANCHA</v>
      </c>
      <c r="J165" s="9" t="str">
        <v>M2</v>
      </c>
      <c r="K165" s="9">
        <v>111.43</v>
      </c>
      <c r="L165" s="9">
        <v>327106</v>
      </c>
      <c r="M165" s="124" t="str">
        <f t="shared" si="17"/>
        <v>FASE II</v>
      </c>
      <c r="N165" s="155">
        <f t="shared" si="14"/>
        <v>141.43</v>
      </c>
      <c r="O165" s="156">
        <f t="shared" si="15"/>
        <v>353438</v>
      </c>
      <c r="P165" s="156">
        <f t="shared" si="16"/>
        <v>49986736.340000004</v>
      </c>
    </row>
    <row r="166" spans="2:16" s="9" customFormat="1" ht="35.1" customHeight="1" x14ac:dyDescent="0.25">
      <c r="B166" s="23" t="s">
        <v>213</v>
      </c>
      <c r="C166" s="22" t="s">
        <v>214</v>
      </c>
      <c r="D166" s="10" t="s">
        <v>13</v>
      </c>
      <c r="E166" s="12">
        <v>78.760000000000005</v>
      </c>
      <c r="F166" s="126">
        <v>353438</v>
      </c>
      <c r="G166" s="126">
        <f t="shared" si="19"/>
        <v>27836776.879999999</v>
      </c>
      <c r="H166" s="8"/>
      <c r="I166" s="9" t="str">
        <f t="array" ref="I166:L166">_xlfn.XLOOKUP(C166,'Neiva 2021 FASE I UNIFICADO'!$C$6:$C$540,'Neiva 2021 FASE I UNIFICADO'!$C$6:$F$540,"NO ESTA")</f>
        <v>SUMINISTRO E INSTALACION VENTANAL PERFIL 12cm  AULAS COMPLETO EN ALUMINIO o similar TIPO V-2 Incluye VIDRIO Referencia SOLARBAN Ver NOTAS GENERALES DE PLANCHA</v>
      </c>
      <c r="J166" s="9" t="str">
        <v>M2</v>
      </c>
      <c r="K166" s="9">
        <v>63.83</v>
      </c>
      <c r="L166" s="9">
        <v>327106</v>
      </c>
      <c r="M166" s="124" t="str">
        <f t="shared" si="17"/>
        <v>FASE II</v>
      </c>
      <c r="N166" s="155">
        <f t="shared" si="14"/>
        <v>142.59</v>
      </c>
      <c r="O166" s="156">
        <f t="shared" si="15"/>
        <v>353438</v>
      </c>
      <c r="P166" s="156">
        <f t="shared" si="16"/>
        <v>50396724.420000002</v>
      </c>
    </row>
    <row r="167" spans="2:16" s="9" customFormat="1" ht="35.1" customHeight="1" x14ac:dyDescent="0.25">
      <c r="B167" s="23" t="s">
        <v>215</v>
      </c>
      <c r="C167" s="22" t="s">
        <v>216</v>
      </c>
      <c r="D167" s="10" t="s">
        <v>13</v>
      </c>
      <c r="E167" s="12">
        <v>78.989999999999995</v>
      </c>
      <c r="F167" s="126">
        <v>366927</v>
      </c>
      <c r="G167" s="126">
        <f t="shared" si="19"/>
        <v>28983563.73</v>
      </c>
      <c r="H167" s="8"/>
      <c r="I167" s="9" t="str">
        <f t="array" ref="I167:L167">_xlfn.XLOOKUP(C167,'Neiva 2021 FASE I UNIFICADO'!$C$6:$C$540,'Neiva 2021 FASE I UNIFICADO'!$C$6:$F$540,"NO ESTA")</f>
        <v>SUMINISTRO E INSTALACION VENTANAL PERFIL 15cm EN ALUMINIO o similar TIPO V-3 Incluye VIDRIO Referencia SOLARBAN Ver NOTAS GENERALES DE PLANCHA</v>
      </c>
      <c r="J167" s="9" t="str">
        <v>M2</v>
      </c>
      <c r="K167" s="9">
        <v>7.99</v>
      </c>
      <c r="L167" s="9">
        <v>339589</v>
      </c>
      <c r="M167" s="124" t="str">
        <f t="shared" si="17"/>
        <v>FASE II</v>
      </c>
      <c r="N167" s="155">
        <f t="shared" si="14"/>
        <v>86.97999999999999</v>
      </c>
      <c r="O167" s="156">
        <f t="shared" si="15"/>
        <v>366927</v>
      </c>
      <c r="P167" s="156">
        <f t="shared" si="16"/>
        <v>31915310.459999997</v>
      </c>
    </row>
    <row r="168" spans="2:16" s="9" customFormat="1" ht="35.1" customHeight="1" x14ac:dyDescent="0.25">
      <c r="B168" s="23" t="s">
        <v>217</v>
      </c>
      <c r="C168" s="22" t="s">
        <v>218</v>
      </c>
      <c r="D168" s="10" t="s">
        <v>13</v>
      </c>
      <c r="E168" s="12">
        <v>11.76</v>
      </c>
      <c r="F168" s="126">
        <v>369778</v>
      </c>
      <c r="G168" s="126">
        <f t="shared" si="19"/>
        <v>4348589.28</v>
      </c>
      <c r="H168" s="8"/>
      <c r="I168" s="9" t="str">
        <f t="array" ref="I168:L168">_xlfn.XLOOKUP(C168,'Neiva 2021 FASE I UNIFICADO'!$C$6:$C$540,'Neiva 2021 FASE I UNIFICADO'!$C$6:$F$540,"NO ESTA")</f>
        <v>SUMINISTRO E INSTALACION VENTANAL DOBLE ALTURA LIBRE EN ALUMINIO o similar TIPO V-5 Incluye VIDRIO Referencia SOLARBAN Ver NOTAS GENERALES DE PLANCHA</v>
      </c>
      <c r="J168" s="9" t="str">
        <v>M2</v>
      </c>
      <c r="K168" s="9">
        <v>11.76</v>
      </c>
      <c r="L168" s="9">
        <v>342227</v>
      </c>
      <c r="M168" s="124" t="str">
        <f t="shared" si="17"/>
        <v>FASE II</v>
      </c>
      <c r="N168" s="155">
        <f t="shared" si="14"/>
        <v>23.52</v>
      </c>
      <c r="O168" s="156">
        <f t="shared" si="15"/>
        <v>369778</v>
      </c>
      <c r="P168" s="156">
        <f t="shared" si="16"/>
        <v>8697178.5600000005</v>
      </c>
    </row>
    <row r="169" spans="2:16" s="9" customFormat="1" ht="35.1" customHeight="1" x14ac:dyDescent="0.25">
      <c r="B169" s="23" t="s">
        <v>219</v>
      </c>
      <c r="C169" s="11" t="s">
        <v>220</v>
      </c>
      <c r="D169" s="10" t="s">
        <v>13</v>
      </c>
      <c r="E169" s="12">
        <v>15.659999999999998</v>
      </c>
      <c r="F169" s="126">
        <v>411981</v>
      </c>
      <c r="G169" s="126">
        <f t="shared" si="19"/>
        <v>6451622.46</v>
      </c>
      <c r="H169" s="8"/>
      <c r="I169" s="9" t="str">
        <f t="array" ref="I169:L169">_xlfn.XLOOKUP(C169,'Neiva 2021 FASE I UNIFICADO'!$C$6:$C$540,'Neiva 2021 FASE I UNIFICADO'!$C$6:$F$540,"NO ESTA")</f>
        <v>SUMINISTRO E INSTALACION VENTANAL INTERIOR PERFIL 15cm SALONES EN ALUMINIO o similar TIPO V-6Incluye VIDRIO Referencia TRASLUCIDO TEMPLADO 10MM Ver NOTAS GENERALES DE PLANCHA</v>
      </c>
      <c r="J169" s="9" t="str">
        <v>M2</v>
      </c>
      <c r="K169" s="9">
        <v>10.72</v>
      </c>
      <c r="L169" s="9">
        <v>381287</v>
      </c>
      <c r="M169" s="124" t="str">
        <f t="shared" si="17"/>
        <v>FASE II</v>
      </c>
      <c r="N169" s="155">
        <f t="shared" si="14"/>
        <v>26.38</v>
      </c>
      <c r="O169" s="156">
        <f t="shared" si="15"/>
        <v>411981</v>
      </c>
      <c r="P169" s="156">
        <f t="shared" si="16"/>
        <v>10868058.779999999</v>
      </c>
    </row>
    <row r="170" spans="2:16" s="9" customFormat="1" ht="35.1" customHeight="1" x14ac:dyDescent="0.25">
      <c r="B170" s="13" t="s">
        <v>1124</v>
      </c>
      <c r="C170" s="14" t="s">
        <v>1125</v>
      </c>
      <c r="D170" s="13"/>
      <c r="E170" s="15"/>
      <c r="F170" s="129"/>
      <c r="G170" s="140"/>
      <c r="H170" s="8"/>
      <c r="I170" s="9" t="str">
        <f t="array" ref="I170">_xlfn.XLOOKUP(C170,'Neiva 2021 FASE I UNIFICADO'!$C$6:$C$540,'Neiva 2021 FASE I UNIFICADO'!$C$6:$F$540,"NO ESTA")</f>
        <v>NO ESTA</v>
      </c>
      <c r="M170" s="124">
        <f t="shared" si="17"/>
        <v>0</v>
      </c>
      <c r="N170" s="155">
        <f t="shared" si="14"/>
        <v>0</v>
      </c>
      <c r="O170" s="156">
        <f t="shared" si="15"/>
        <v>0</v>
      </c>
      <c r="P170" s="156">
        <f t="shared" si="16"/>
        <v>0</v>
      </c>
    </row>
    <row r="171" spans="2:16" s="9" customFormat="1" ht="35.1" customHeight="1" x14ac:dyDescent="0.25">
      <c r="B171" s="23" t="s">
        <v>1126</v>
      </c>
      <c r="C171" s="22" t="s">
        <v>210</v>
      </c>
      <c r="D171" s="10" t="s">
        <v>13</v>
      </c>
      <c r="E171" s="12">
        <v>181.07</v>
      </c>
      <c r="F171" s="126">
        <v>249572</v>
      </c>
      <c r="G171" s="126">
        <f t="shared" ref="G171:G176" si="20">ROUND(+F171*E171,2)</f>
        <v>45190002.039999999</v>
      </c>
      <c r="H171" s="8"/>
      <c r="I171" s="9" t="str">
        <f t="array" ref="I171:L171">_xlfn.XLOOKUP(C171,'Neiva 2021 FASE I UNIFICADO'!$C$6:$C$540,'Neiva 2021 FASE I UNIFICADO'!$C$6:$F$540,"NO ESTA")</f>
        <v>SUMINISTRO E INSTALACION CORTASOL Referencia 84R TIPO CS-1 Ver NOTAS GENERALES DE PLANCHA</v>
      </c>
      <c r="J171" s="9" t="str">
        <v>M2</v>
      </c>
      <c r="K171" s="9">
        <v>21.89</v>
      </c>
      <c r="L171" s="9">
        <v>228879</v>
      </c>
      <c r="M171" s="124" t="str">
        <f t="shared" si="17"/>
        <v>FASE II</v>
      </c>
      <c r="N171" s="155">
        <f t="shared" si="14"/>
        <v>202.95999999999998</v>
      </c>
      <c r="O171" s="156">
        <f t="shared" si="15"/>
        <v>249572</v>
      </c>
      <c r="P171" s="156">
        <f t="shared" si="16"/>
        <v>50653133.119999997</v>
      </c>
    </row>
    <row r="172" spans="2:16" s="9" customFormat="1" ht="35.1" customHeight="1" x14ac:dyDescent="0.25">
      <c r="B172" s="23" t="s">
        <v>1127</v>
      </c>
      <c r="C172" s="22" t="s">
        <v>1128</v>
      </c>
      <c r="D172" s="10" t="s">
        <v>13</v>
      </c>
      <c r="E172" s="12">
        <v>34.630000000000003</v>
      </c>
      <c r="F172" s="126">
        <v>311887</v>
      </c>
      <c r="G172" s="126">
        <f t="shared" si="20"/>
        <v>10800646.810000001</v>
      </c>
      <c r="H172" s="8"/>
      <c r="I172" s="9" t="str">
        <f t="array" ref="I172">_xlfn.XLOOKUP(C172,'Neiva 2021 FASE I UNIFICADO'!$C$6:$C$540,'Neiva 2021 FASE I UNIFICADO'!$C$6:$F$540,"NO ESTA")</f>
        <v>NO ESTA</v>
      </c>
      <c r="M172" s="124">
        <f t="shared" si="17"/>
        <v>0</v>
      </c>
      <c r="N172" s="155">
        <f t="shared" si="14"/>
        <v>34.630000000000003</v>
      </c>
      <c r="O172" s="156">
        <f t="shared" si="15"/>
        <v>311887</v>
      </c>
      <c r="P172" s="156">
        <f t="shared" si="16"/>
        <v>10800646.810000001</v>
      </c>
    </row>
    <row r="173" spans="2:16" s="9" customFormat="1" ht="35.1" customHeight="1" x14ac:dyDescent="0.25">
      <c r="B173" s="23" t="s">
        <v>1129</v>
      </c>
      <c r="C173" s="22" t="s">
        <v>202</v>
      </c>
      <c r="D173" s="10" t="s">
        <v>13</v>
      </c>
      <c r="E173" s="12">
        <v>87.57</v>
      </c>
      <c r="F173" s="126">
        <v>353438</v>
      </c>
      <c r="G173" s="126">
        <f t="shared" si="20"/>
        <v>30950565.66</v>
      </c>
      <c r="H173" s="8"/>
      <c r="I173" s="9" t="str">
        <f t="array" ref="I173:L173">_xlfn.XLOOKUP(C173,'Neiva 2021 FASE I UNIFICADO'!$C$6:$C$540,'Neiva 2021 FASE I UNIFICADO'!$C$6:$F$540,"NO ESTA")</f>
        <v>SUMINISTRO E INSTALACION VENTANAL PERFIL 12cm EN ALUMINIO o similar TIPO V-1 Incluye VIDRIO Referencia SOLARBAN Ver NOTAS GENERALES DE PLANCHA</v>
      </c>
      <c r="J173" s="9" t="str">
        <v>M2</v>
      </c>
      <c r="K173" s="9">
        <v>111.43</v>
      </c>
      <c r="L173" s="9">
        <v>327106</v>
      </c>
      <c r="M173" s="124" t="str">
        <f t="shared" si="17"/>
        <v>FASE II</v>
      </c>
      <c r="N173" s="155">
        <f t="shared" si="14"/>
        <v>199</v>
      </c>
      <c r="O173" s="156">
        <f t="shared" si="15"/>
        <v>353438</v>
      </c>
      <c r="P173" s="156">
        <f t="shared" si="16"/>
        <v>70334162</v>
      </c>
    </row>
    <row r="174" spans="2:16" s="9" customFormat="1" ht="35.1" customHeight="1" x14ac:dyDescent="0.25">
      <c r="B174" s="23" t="s">
        <v>1130</v>
      </c>
      <c r="C174" s="22" t="s">
        <v>214</v>
      </c>
      <c r="D174" s="10" t="s">
        <v>13</v>
      </c>
      <c r="E174" s="12">
        <v>157.53</v>
      </c>
      <c r="F174" s="126">
        <v>353438</v>
      </c>
      <c r="G174" s="126">
        <f t="shared" si="20"/>
        <v>55677088.140000001</v>
      </c>
      <c r="H174" s="8"/>
      <c r="I174" s="9" t="str">
        <f t="array" ref="I174:L174">_xlfn.XLOOKUP(C174,'Neiva 2021 FASE I UNIFICADO'!$C$6:$C$540,'Neiva 2021 FASE I UNIFICADO'!$C$6:$F$540,"NO ESTA")</f>
        <v>SUMINISTRO E INSTALACION VENTANAL PERFIL 12cm  AULAS COMPLETO EN ALUMINIO o similar TIPO V-2 Incluye VIDRIO Referencia SOLARBAN Ver NOTAS GENERALES DE PLANCHA</v>
      </c>
      <c r="J174" s="9" t="str">
        <v>M2</v>
      </c>
      <c r="K174" s="9">
        <v>63.83</v>
      </c>
      <c r="L174" s="9">
        <v>327106</v>
      </c>
      <c r="M174" s="124" t="str">
        <f t="shared" si="17"/>
        <v>FASE II</v>
      </c>
      <c r="N174" s="155">
        <f t="shared" si="14"/>
        <v>221.36</v>
      </c>
      <c r="O174" s="156">
        <f t="shared" si="15"/>
        <v>353438</v>
      </c>
      <c r="P174" s="156">
        <f t="shared" si="16"/>
        <v>78237035.680000007</v>
      </c>
    </row>
    <row r="175" spans="2:16" s="9" customFormat="1" ht="35.1" customHeight="1" x14ac:dyDescent="0.25">
      <c r="B175" s="23" t="s">
        <v>1131</v>
      </c>
      <c r="C175" s="22" t="s">
        <v>204</v>
      </c>
      <c r="D175" s="10" t="s">
        <v>13</v>
      </c>
      <c r="E175" s="12">
        <v>148.13999999999999</v>
      </c>
      <c r="F175" s="126">
        <v>369778</v>
      </c>
      <c r="G175" s="126">
        <f t="shared" si="20"/>
        <v>54778912.920000002</v>
      </c>
      <c r="H175" s="8"/>
      <c r="I175" s="9" t="str">
        <f t="array" ref="I175:L175">_xlfn.XLOOKUP(C175,'Neiva 2021 FASE I UNIFICADO'!$C$6:$C$540,'Neiva 2021 FASE I UNIFICADO'!$C$6:$F$540,"NO ESTA")</f>
        <v>SUMINISTRO E INSTALACION VENTANAL DOBLE ALTURA EN ALUMINIO o similar TIPO V-4 Incluye VIDRIO Referencia SOLARBAN Ver NOTAS GENERALES DE PLANCHA</v>
      </c>
      <c r="J175" s="9" t="str">
        <v>M2</v>
      </c>
      <c r="K175" s="9">
        <v>17.010000000000002</v>
      </c>
      <c r="L175" s="9">
        <v>342227</v>
      </c>
      <c r="M175" s="124" t="str">
        <f t="shared" si="17"/>
        <v>FASE II</v>
      </c>
      <c r="N175" s="155">
        <f t="shared" si="14"/>
        <v>165.14999999999998</v>
      </c>
      <c r="O175" s="156">
        <f t="shared" si="15"/>
        <v>369778</v>
      </c>
      <c r="P175" s="156">
        <f t="shared" si="16"/>
        <v>61068836.699999988</v>
      </c>
    </row>
    <row r="176" spans="2:16" s="9" customFormat="1" ht="35.1" customHeight="1" x14ac:dyDescent="0.25">
      <c r="B176" s="23" t="s">
        <v>1132</v>
      </c>
      <c r="C176" s="11" t="s">
        <v>1133</v>
      </c>
      <c r="D176" s="10" t="s">
        <v>13</v>
      </c>
      <c r="E176" s="12">
        <v>31.33</v>
      </c>
      <c r="F176" s="126">
        <v>411981</v>
      </c>
      <c r="G176" s="126">
        <f t="shared" si="20"/>
        <v>12907364.73</v>
      </c>
      <c r="H176" s="8"/>
      <c r="I176" s="9" t="str">
        <f t="array" ref="I176">_xlfn.XLOOKUP(C176,'Neiva 2021 FASE I UNIFICADO'!$C$6:$C$540,'Neiva 2021 FASE I UNIFICADO'!$C$6:$F$540,"NO ESTA")</f>
        <v>NO ESTA</v>
      </c>
      <c r="M176" s="124">
        <f t="shared" si="17"/>
        <v>0</v>
      </c>
      <c r="N176" s="155">
        <f t="shared" si="14"/>
        <v>31.33</v>
      </c>
      <c r="O176" s="156">
        <f t="shared" si="15"/>
        <v>411981</v>
      </c>
      <c r="P176" s="156">
        <f t="shared" si="16"/>
        <v>12907364.729999999</v>
      </c>
    </row>
    <row r="177" spans="2:16" s="9" customFormat="1" ht="35.1" customHeight="1" x14ac:dyDescent="0.25">
      <c r="B177" s="13" t="s">
        <v>1134</v>
      </c>
      <c r="C177" s="14" t="s">
        <v>1135</v>
      </c>
      <c r="D177" s="13"/>
      <c r="E177" s="15"/>
      <c r="F177" s="129"/>
      <c r="G177" s="140"/>
      <c r="H177" s="8"/>
      <c r="I177" s="9" t="str">
        <f t="array" ref="I177">_xlfn.XLOOKUP(C177,'Neiva 2021 FASE I UNIFICADO'!$C$6:$C$540,'Neiva 2021 FASE I UNIFICADO'!$C$6:$F$540,"NO ESTA")</f>
        <v>NO ESTA</v>
      </c>
      <c r="M177" s="124">
        <f t="shared" si="17"/>
        <v>0</v>
      </c>
      <c r="N177" s="155">
        <f t="shared" si="14"/>
        <v>0</v>
      </c>
      <c r="O177" s="156">
        <f t="shared" si="15"/>
        <v>0</v>
      </c>
      <c r="P177" s="156">
        <f t="shared" si="16"/>
        <v>0</v>
      </c>
    </row>
    <row r="178" spans="2:16" s="9" customFormat="1" ht="35.1" customHeight="1" x14ac:dyDescent="0.25">
      <c r="B178" s="23" t="s">
        <v>1136</v>
      </c>
      <c r="C178" s="22" t="s">
        <v>210</v>
      </c>
      <c r="D178" s="10" t="s">
        <v>13</v>
      </c>
      <c r="E178" s="12">
        <v>41.36</v>
      </c>
      <c r="F178" s="126">
        <v>249572</v>
      </c>
      <c r="G178" s="126">
        <f t="shared" ref="G178:G183" si="21">ROUND(+F178*E178,2)</f>
        <v>10322297.92</v>
      </c>
      <c r="H178" s="8"/>
      <c r="I178" s="9" t="str">
        <f t="array" ref="I178:L178">_xlfn.XLOOKUP(C178,'Neiva 2021 FASE I UNIFICADO'!$C$6:$C$540,'Neiva 2021 FASE I UNIFICADO'!$C$6:$F$540,"NO ESTA")</f>
        <v>SUMINISTRO E INSTALACION CORTASOL Referencia 84R TIPO CS-1 Ver NOTAS GENERALES DE PLANCHA</v>
      </c>
      <c r="J178" s="9" t="str">
        <v>M2</v>
      </c>
      <c r="K178" s="9">
        <v>21.89</v>
      </c>
      <c r="L178" s="9">
        <v>228879</v>
      </c>
      <c r="M178" s="124" t="str">
        <f t="shared" si="17"/>
        <v>FASE II</v>
      </c>
      <c r="N178" s="155">
        <f t="shared" si="14"/>
        <v>63.25</v>
      </c>
      <c r="O178" s="156">
        <f t="shared" si="15"/>
        <v>249572</v>
      </c>
      <c r="P178" s="156">
        <f t="shared" si="16"/>
        <v>15785429</v>
      </c>
    </row>
    <row r="179" spans="2:16" s="9" customFormat="1" ht="35.1" customHeight="1" x14ac:dyDescent="0.25">
      <c r="B179" s="23" t="s">
        <v>1137</v>
      </c>
      <c r="C179" s="22" t="s">
        <v>1128</v>
      </c>
      <c r="D179" s="10" t="s">
        <v>13</v>
      </c>
      <c r="E179" s="12">
        <v>124.89</v>
      </c>
      <c r="F179" s="126">
        <v>311887</v>
      </c>
      <c r="G179" s="126">
        <f t="shared" si="21"/>
        <v>38951567.43</v>
      </c>
      <c r="H179" s="8"/>
      <c r="I179" s="9" t="str">
        <f t="array" ref="I179">_xlfn.XLOOKUP(C179,'Neiva 2021 FASE I UNIFICADO'!$C$6:$C$540,'Neiva 2021 FASE I UNIFICADO'!$C$6:$F$540,"NO ESTA")</f>
        <v>NO ESTA</v>
      </c>
      <c r="M179" s="124">
        <f t="shared" si="17"/>
        <v>0</v>
      </c>
      <c r="N179" s="155">
        <f t="shared" si="14"/>
        <v>124.89</v>
      </c>
      <c r="O179" s="156">
        <f t="shared" si="15"/>
        <v>311887</v>
      </c>
      <c r="P179" s="156">
        <f t="shared" si="16"/>
        <v>38951567.43</v>
      </c>
    </row>
    <row r="180" spans="2:16" s="9" customFormat="1" ht="35.1" customHeight="1" x14ac:dyDescent="0.25">
      <c r="B180" s="23" t="s">
        <v>1138</v>
      </c>
      <c r="C180" s="22" t="s">
        <v>202</v>
      </c>
      <c r="D180" s="10" t="s">
        <v>13</v>
      </c>
      <c r="E180" s="12">
        <v>82.95</v>
      </c>
      <c r="F180" s="126">
        <v>353438</v>
      </c>
      <c r="G180" s="126">
        <f t="shared" si="21"/>
        <v>29317682.100000001</v>
      </c>
      <c r="H180" s="8"/>
      <c r="I180" s="9" t="str">
        <f t="array" ref="I180:L180">_xlfn.XLOOKUP(C180,'Neiva 2021 FASE I UNIFICADO'!$C$6:$C$540,'Neiva 2021 FASE I UNIFICADO'!$C$6:$F$540,"NO ESTA")</f>
        <v>SUMINISTRO E INSTALACION VENTANAL PERFIL 12cm EN ALUMINIO o similar TIPO V-1 Incluye VIDRIO Referencia SOLARBAN Ver NOTAS GENERALES DE PLANCHA</v>
      </c>
      <c r="J180" s="9" t="str">
        <v>M2</v>
      </c>
      <c r="K180" s="9">
        <v>111.43</v>
      </c>
      <c r="L180" s="9">
        <v>327106</v>
      </c>
      <c r="M180" s="124" t="str">
        <f t="shared" si="17"/>
        <v>FASE II</v>
      </c>
      <c r="N180" s="155">
        <f t="shared" si="14"/>
        <v>194.38</v>
      </c>
      <c r="O180" s="156">
        <f t="shared" si="15"/>
        <v>353438</v>
      </c>
      <c r="P180" s="156">
        <f t="shared" si="16"/>
        <v>68701278.439999998</v>
      </c>
    </row>
    <row r="181" spans="2:16" s="9" customFormat="1" ht="35.1" customHeight="1" x14ac:dyDescent="0.25">
      <c r="B181" s="10" t="s">
        <v>1139</v>
      </c>
      <c r="C181" s="11" t="s">
        <v>214</v>
      </c>
      <c r="D181" s="10" t="s">
        <v>13</v>
      </c>
      <c r="E181" s="12">
        <v>157.53</v>
      </c>
      <c r="F181" s="126">
        <v>353438</v>
      </c>
      <c r="G181" s="126">
        <f t="shared" si="21"/>
        <v>55677088.140000001</v>
      </c>
      <c r="H181" s="8"/>
      <c r="I181" s="9" t="str">
        <f t="array" ref="I181:L181">_xlfn.XLOOKUP(C181,'Neiva 2021 FASE I UNIFICADO'!$C$6:$C$540,'Neiva 2021 FASE I UNIFICADO'!$C$6:$F$540,"NO ESTA")</f>
        <v>SUMINISTRO E INSTALACION VENTANAL PERFIL 12cm  AULAS COMPLETO EN ALUMINIO o similar TIPO V-2 Incluye VIDRIO Referencia SOLARBAN Ver NOTAS GENERALES DE PLANCHA</v>
      </c>
      <c r="J181" s="9" t="str">
        <v>M2</v>
      </c>
      <c r="K181" s="9">
        <v>63.83</v>
      </c>
      <c r="L181" s="9">
        <v>327106</v>
      </c>
      <c r="M181" s="124" t="str">
        <f t="shared" si="17"/>
        <v>FASE II</v>
      </c>
      <c r="N181" s="155">
        <f t="shared" si="14"/>
        <v>221.36</v>
      </c>
      <c r="O181" s="156">
        <f t="shared" si="15"/>
        <v>353438</v>
      </c>
      <c r="P181" s="156">
        <f t="shared" si="16"/>
        <v>78237035.680000007</v>
      </c>
    </row>
    <row r="182" spans="2:16" s="9" customFormat="1" ht="35.1" customHeight="1" x14ac:dyDescent="0.25">
      <c r="B182" s="10" t="s">
        <v>1140</v>
      </c>
      <c r="C182" s="11" t="s">
        <v>216</v>
      </c>
      <c r="D182" s="10" t="s">
        <v>13</v>
      </c>
      <c r="E182" s="12">
        <v>84.61</v>
      </c>
      <c r="F182" s="126">
        <v>366927</v>
      </c>
      <c r="G182" s="126">
        <f t="shared" si="21"/>
        <v>31045693.469999999</v>
      </c>
      <c r="H182" s="8"/>
      <c r="I182" s="9" t="str">
        <f t="array" ref="I182:L182">_xlfn.XLOOKUP(C182,'Neiva 2021 FASE I UNIFICADO'!$C$6:$C$540,'Neiva 2021 FASE I UNIFICADO'!$C$6:$F$540,"NO ESTA")</f>
        <v>SUMINISTRO E INSTALACION VENTANAL PERFIL 15cm EN ALUMINIO o similar TIPO V-3 Incluye VIDRIO Referencia SOLARBAN Ver NOTAS GENERALES DE PLANCHA</v>
      </c>
      <c r="J182" s="9" t="str">
        <v>M2</v>
      </c>
      <c r="K182" s="9">
        <v>7.99</v>
      </c>
      <c r="L182" s="9">
        <v>339589</v>
      </c>
      <c r="M182" s="124" t="str">
        <f t="shared" si="17"/>
        <v>FASE II</v>
      </c>
      <c r="N182" s="155">
        <f t="shared" si="14"/>
        <v>92.6</v>
      </c>
      <c r="O182" s="156">
        <f t="shared" si="15"/>
        <v>366927</v>
      </c>
      <c r="P182" s="156">
        <f t="shared" si="16"/>
        <v>33977440.199999996</v>
      </c>
    </row>
    <row r="183" spans="2:16" s="9" customFormat="1" ht="35.1" customHeight="1" x14ac:dyDescent="0.25">
      <c r="B183" s="10" t="s">
        <v>1141</v>
      </c>
      <c r="C183" s="11" t="s">
        <v>220</v>
      </c>
      <c r="D183" s="10" t="s">
        <v>13</v>
      </c>
      <c r="E183" s="12">
        <v>31.96</v>
      </c>
      <c r="F183" s="126">
        <v>411981</v>
      </c>
      <c r="G183" s="126">
        <f t="shared" si="21"/>
        <v>13166912.76</v>
      </c>
      <c r="H183" s="8"/>
      <c r="I183" s="9" t="str">
        <f t="array" ref="I183:L183">_xlfn.XLOOKUP(C183,'Neiva 2021 FASE I UNIFICADO'!$C$6:$C$540,'Neiva 2021 FASE I UNIFICADO'!$C$6:$F$540,"NO ESTA")</f>
        <v>SUMINISTRO E INSTALACION VENTANAL INTERIOR PERFIL 15cm SALONES EN ALUMINIO o similar TIPO V-6Incluye VIDRIO Referencia TRASLUCIDO TEMPLADO 10MM Ver NOTAS GENERALES DE PLANCHA</v>
      </c>
      <c r="J183" s="9" t="str">
        <v>M2</v>
      </c>
      <c r="K183" s="9">
        <v>10.72</v>
      </c>
      <c r="L183" s="9">
        <v>381287</v>
      </c>
      <c r="M183" s="124" t="str">
        <f t="shared" si="17"/>
        <v>FASE II</v>
      </c>
      <c r="N183" s="155">
        <f t="shared" si="14"/>
        <v>42.68</v>
      </c>
      <c r="O183" s="156">
        <f t="shared" si="15"/>
        <v>411981</v>
      </c>
      <c r="P183" s="156">
        <f t="shared" si="16"/>
        <v>17583349.079999998</v>
      </c>
    </row>
    <row r="184" spans="2:16" s="9" customFormat="1" ht="35.1" customHeight="1" x14ac:dyDescent="0.25">
      <c r="B184" s="16">
        <v>9</v>
      </c>
      <c r="C184" s="17" t="s">
        <v>221</v>
      </c>
      <c r="D184" s="17"/>
      <c r="E184" s="18"/>
      <c r="F184" s="133"/>
      <c r="G184" s="143"/>
      <c r="H184" s="8"/>
      <c r="M184" s="124">
        <f t="shared" si="17"/>
        <v>0</v>
      </c>
      <c r="N184" s="155">
        <f t="shared" si="14"/>
        <v>0</v>
      </c>
      <c r="O184" s="156">
        <f t="shared" si="15"/>
        <v>0</v>
      </c>
      <c r="P184" s="156">
        <f t="shared" si="16"/>
        <v>0</v>
      </c>
    </row>
    <row r="185" spans="2:16" s="9" customFormat="1" ht="35.1" customHeight="1" x14ac:dyDescent="0.25">
      <c r="B185" s="13" t="s">
        <v>222</v>
      </c>
      <c r="C185" s="14" t="s">
        <v>223</v>
      </c>
      <c r="D185" s="13"/>
      <c r="E185" s="15"/>
      <c r="F185" s="126">
        <v>0</v>
      </c>
      <c r="G185" s="126">
        <f t="shared" ref="G185:G197" si="22">ROUND(+F185*E185,2)</f>
        <v>0</v>
      </c>
      <c r="H185" s="8"/>
      <c r="M185" s="124">
        <f t="shared" si="17"/>
        <v>0</v>
      </c>
      <c r="N185" s="155">
        <f t="shared" si="14"/>
        <v>0</v>
      </c>
      <c r="O185" s="156">
        <f t="shared" si="15"/>
        <v>0</v>
      </c>
      <c r="P185" s="156">
        <f t="shared" si="16"/>
        <v>0</v>
      </c>
    </row>
    <row r="186" spans="2:16" s="9" customFormat="1" ht="35.1" customHeight="1" x14ac:dyDescent="0.25">
      <c r="B186" s="23" t="s">
        <v>224</v>
      </c>
      <c r="C186" s="22" t="s">
        <v>225</v>
      </c>
      <c r="D186" s="10" t="s">
        <v>13</v>
      </c>
      <c r="E186" s="12">
        <v>0</v>
      </c>
      <c r="F186" s="126">
        <v>1381990</v>
      </c>
      <c r="G186" s="126">
        <f t="shared" si="22"/>
        <v>0</v>
      </c>
      <c r="H186" s="8"/>
      <c r="M186" s="124">
        <f t="shared" si="17"/>
        <v>0</v>
      </c>
      <c r="N186" s="155">
        <f t="shared" si="14"/>
        <v>0</v>
      </c>
      <c r="O186" s="156">
        <f t="shared" si="15"/>
        <v>1381990</v>
      </c>
      <c r="P186" s="156">
        <f t="shared" si="16"/>
        <v>0</v>
      </c>
    </row>
    <row r="187" spans="2:16" s="9" customFormat="1" ht="35.1" customHeight="1" x14ac:dyDescent="0.25">
      <c r="B187" s="23" t="s">
        <v>226</v>
      </c>
      <c r="C187" s="22" t="s">
        <v>227</v>
      </c>
      <c r="D187" s="10" t="s">
        <v>13</v>
      </c>
      <c r="E187" s="12">
        <v>0</v>
      </c>
      <c r="F187" s="126">
        <v>131548</v>
      </c>
      <c r="G187" s="126">
        <f t="shared" si="22"/>
        <v>0</v>
      </c>
      <c r="H187" s="8"/>
      <c r="M187" s="124">
        <f t="shared" si="17"/>
        <v>0</v>
      </c>
      <c r="N187" s="155">
        <f t="shared" si="14"/>
        <v>0</v>
      </c>
      <c r="O187" s="156">
        <f t="shared" si="15"/>
        <v>131548</v>
      </c>
      <c r="P187" s="156">
        <f t="shared" si="16"/>
        <v>0</v>
      </c>
    </row>
    <row r="188" spans="2:16" s="9" customFormat="1" ht="35.1" customHeight="1" x14ac:dyDescent="0.25">
      <c r="B188" s="23" t="s">
        <v>228</v>
      </c>
      <c r="C188" s="22" t="s">
        <v>229</v>
      </c>
      <c r="D188" s="10" t="s">
        <v>13</v>
      </c>
      <c r="E188" s="12">
        <v>0</v>
      </c>
      <c r="F188" s="126">
        <v>154697</v>
      </c>
      <c r="G188" s="126">
        <f t="shared" si="22"/>
        <v>0</v>
      </c>
      <c r="H188" s="8"/>
      <c r="M188" s="124">
        <f t="shared" si="17"/>
        <v>0</v>
      </c>
      <c r="N188" s="155">
        <f t="shared" si="14"/>
        <v>0</v>
      </c>
      <c r="O188" s="156">
        <f t="shared" si="15"/>
        <v>154697</v>
      </c>
      <c r="P188" s="156">
        <f t="shared" si="16"/>
        <v>0</v>
      </c>
    </row>
    <row r="189" spans="2:16" s="9" customFormat="1" ht="35.1" customHeight="1" x14ac:dyDescent="0.25">
      <c r="B189" s="23" t="s">
        <v>230</v>
      </c>
      <c r="C189" s="22" t="s">
        <v>1142</v>
      </c>
      <c r="D189" s="10" t="s">
        <v>13</v>
      </c>
      <c r="E189" s="12">
        <v>0</v>
      </c>
      <c r="F189" s="126">
        <v>252212</v>
      </c>
      <c r="G189" s="126">
        <f t="shared" si="22"/>
        <v>0</v>
      </c>
      <c r="H189" s="8"/>
      <c r="M189" s="124">
        <f t="shared" si="17"/>
        <v>0</v>
      </c>
      <c r="N189" s="155">
        <f t="shared" si="14"/>
        <v>0</v>
      </c>
      <c r="O189" s="156">
        <f t="shared" si="15"/>
        <v>252212</v>
      </c>
      <c r="P189" s="156">
        <f t="shared" si="16"/>
        <v>0</v>
      </c>
    </row>
    <row r="190" spans="2:16" s="9" customFormat="1" ht="35.1" customHeight="1" x14ac:dyDescent="0.25">
      <c r="B190" s="13" t="s">
        <v>232</v>
      </c>
      <c r="C190" s="14" t="s">
        <v>233</v>
      </c>
      <c r="D190" s="27"/>
      <c r="E190" s="15"/>
      <c r="F190" s="126">
        <v>0</v>
      </c>
      <c r="G190" s="126">
        <f t="shared" si="22"/>
        <v>0</v>
      </c>
      <c r="H190" s="8"/>
      <c r="M190" s="124">
        <f t="shared" si="17"/>
        <v>0</v>
      </c>
      <c r="N190" s="155">
        <f t="shared" si="14"/>
        <v>0</v>
      </c>
      <c r="O190" s="156">
        <f t="shared" si="15"/>
        <v>0</v>
      </c>
      <c r="P190" s="156">
        <f t="shared" si="16"/>
        <v>0</v>
      </c>
    </row>
    <row r="191" spans="2:16" s="9" customFormat="1" ht="35.1" customHeight="1" x14ac:dyDescent="0.25">
      <c r="B191" s="23" t="s">
        <v>234</v>
      </c>
      <c r="C191" s="22" t="s">
        <v>225</v>
      </c>
      <c r="D191" s="10" t="s">
        <v>13</v>
      </c>
      <c r="E191" s="12">
        <v>0</v>
      </c>
      <c r="F191" s="126">
        <v>1381990</v>
      </c>
      <c r="G191" s="126">
        <f t="shared" si="22"/>
        <v>0</v>
      </c>
      <c r="H191" s="8"/>
      <c r="M191" s="124">
        <f t="shared" si="17"/>
        <v>0</v>
      </c>
      <c r="N191" s="155">
        <f t="shared" si="14"/>
        <v>0</v>
      </c>
      <c r="O191" s="156">
        <f t="shared" si="15"/>
        <v>1381990</v>
      </c>
      <c r="P191" s="156">
        <f t="shared" si="16"/>
        <v>0</v>
      </c>
    </row>
    <row r="192" spans="2:16" s="9" customFormat="1" ht="35.1" customHeight="1" x14ac:dyDescent="0.25">
      <c r="B192" s="23" t="s">
        <v>235</v>
      </c>
      <c r="C192" s="22" t="s">
        <v>227</v>
      </c>
      <c r="D192" s="10" t="s">
        <v>13</v>
      </c>
      <c r="E192" s="12">
        <v>0</v>
      </c>
      <c r="F192" s="126">
        <v>131548</v>
      </c>
      <c r="G192" s="126">
        <f t="shared" si="22"/>
        <v>0</v>
      </c>
      <c r="H192" s="8"/>
      <c r="M192" s="124">
        <f t="shared" si="17"/>
        <v>0</v>
      </c>
      <c r="N192" s="155">
        <f t="shared" si="14"/>
        <v>0</v>
      </c>
      <c r="O192" s="156">
        <f t="shared" si="15"/>
        <v>131548</v>
      </c>
      <c r="P192" s="156">
        <f t="shared" si="16"/>
        <v>0</v>
      </c>
    </row>
    <row r="193" spans="2:16" s="9" customFormat="1" ht="35.1" customHeight="1" x14ac:dyDescent="0.25">
      <c r="B193" s="23" t="s">
        <v>236</v>
      </c>
      <c r="C193" s="22" t="s">
        <v>237</v>
      </c>
      <c r="D193" s="10" t="s">
        <v>13</v>
      </c>
      <c r="E193" s="12">
        <v>0</v>
      </c>
      <c r="F193" s="126">
        <v>731553</v>
      </c>
      <c r="G193" s="126">
        <f t="shared" si="22"/>
        <v>0</v>
      </c>
      <c r="H193" s="8"/>
      <c r="M193" s="124">
        <f t="shared" si="17"/>
        <v>0</v>
      </c>
      <c r="N193" s="155">
        <f t="shared" si="14"/>
        <v>0</v>
      </c>
      <c r="O193" s="156">
        <f t="shared" si="15"/>
        <v>731553</v>
      </c>
      <c r="P193" s="156">
        <f t="shared" si="16"/>
        <v>0</v>
      </c>
    </row>
    <row r="194" spans="2:16" s="9" customFormat="1" ht="35.1" customHeight="1" x14ac:dyDescent="0.25">
      <c r="B194" s="23" t="s">
        <v>238</v>
      </c>
      <c r="C194" s="22" t="s">
        <v>239</v>
      </c>
      <c r="D194" s="10" t="s">
        <v>13</v>
      </c>
      <c r="E194" s="12">
        <v>0</v>
      </c>
      <c r="F194" s="126">
        <v>731553</v>
      </c>
      <c r="G194" s="126">
        <f t="shared" si="22"/>
        <v>0</v>
      </c>
      <c r="H194" s="8"/>
      <c r="M194" s="124">
        <f t="shared" si="17"/>
        <v>0</v>
      </c>
      <c r="N194" s="155">
        <f t="shared" si="14"/>
        <v>0</v>
      </c>
      <c r="O194" s="156">
        <f t="shared" si="15"/>
        <v>731553</v>
      </c>
      <c r="P194" s="156">
        <f t="shared" si="16"/>
        <v>0</v>
      </c>
    </row>
    <row r="195" spans="2:16" s="9" customFormat="1" ht="35.1" customHeight="1" x14ac:dyDescent="0.25">
      <c r="B195" s="23" t="s">
        <v>240</v>
      </c>
      <c r="C195" s="22" t="s">
        <v>241</v>
      </c>
      <c r="D195" s="10" t="s">
        <v>13</v>
      </c>
      <c r="E195" s="12">
        <v>0</v>
      </c>
      <c r="F195" s="126">
        <v>731553</v>
      </c>
      <c r="G195" s="126">
        <f t="shared" si="22"/>
        <v>0</v>
      </c>
      <c r="H195" s="8"/>
      <c r="M195" s="124">
        <f t="shared" si="17"/>
        <v>0</v>
      </c>
      <c r="N195" s="155">
        <f t="shared" si="14"/>
        <v>0</v>
      </c>
      <c r="O195" s="156">
        <f t="shared" si="15"/>
        <v>731553</v>
      </c>
      <c r="P195" s="156">
        <f t="shared" si="16"/>
        <v>0</v>
      </c>
    </row>
    <row r="196" spans="2:16" s="9" customFormat="1" ht="35.1" customHeight="1" x14ac:dyDescent="0.25">
      <c r="B196" s="23" t="s">
        <v>242</v>
      </c>
      <c r="C196" s="22" t="s">
        <v>229</v>
      </c>
      <c r="D196" s="10" t="s">
        <v>13</v>
      </c>
      <c r="E196" s="12">
        <v>0</v>
      </c>
      <c r="F196" s="126">
        <v>154697</v>
      </c>
      <c r="G196" s="126">
        <f t="shared" si="22"/>
        <v>0</v>
      </c>
      <c r="H196" s="8"/>
      <c r="M196" s="124">
        <f t="shared" si="17"/>
        <v>0</v>
      </c>
      <c r="N196" s="155">
        <f t="shared" si="14"/>
        <v>0</v>
      </c>
      <c r="O196" s="156">
        <f t="shared" si="15"/>
        <v>154697</v>
      </c>
      <c r="P196" s="156">
        <f t="shared" si="16"/>
        <v>0</v>
      </c>
    </row>
    <row r="197" spans="2:16" s="9" customFormat="1" ht="35.1" customHeight="1" x14ac:dyDescent="0.25">
      <c r="B197" s="23" t="s">
        <v>243</v>
      </c>
      <c r="C197" s="22" t="s">
        <v>244</v>
      </c>
      <c r="D197" s="10" t="s">
        <v>13</v>
      </c>
      <c r="E197" s="12">
        <v>0</v>
      </c>
      <c r="F197" s="126">
        <v>579822</v>
      </c>
      <c r="G197" s="126">
        <f t="shared" si="22"/>
        <v>0</v>
      </c>
      <c r="H197" s="8"/>
      <c r="M197" s="124">
        <f t="shared" si="17"/>
        <v>0</v>
      </c>
      <c r="N197" s="155">
        <f t="shared" si="14"/>
        <v>0</v>
      </c>
      <c r="O197" s="156">
        <f t="shared" si="15"/>
        <v>579822</v>
      </c>
      <c r="P197" s="156">
        <f t="shared" si="16"/>
        <v>0</v>
      </c>
    </row>
    <row r="198" spans="2:16" s="9" customFormat="1" ht="35.1" customHeight="1" x14ac:dyDescent="0.25">
      <c r="B198" s="13" t="s">
        <v>245</v>
      </c>
      <c r="C198" s="14" t="s">
        <v>246</v>
      </c>
      <c r="D198" s="13"/>
      <c r="E198" s="15"/>
      <c r="F198" s="129"/>
      <c r="G198" s="140"/>
      <c r="H198" s="8"/>
      <c r="M198" s="124">
        <f t="shared" si="17"/>
        <v>0</v>
      </c>
      <c r="N198" s="155">
        <f t="shared" ref="N198:N261" si="23">E198+K198</f>
        <v>0</v>
      </c>
      <c r="O198" s="156">
        <f t="shared" ref="O198:O261" si="24">MAX(L198,F198)</f>
        <v>0</v>
      </c>
      <c r="P198" s="156">
        <f t="shared" ref="P198:P261" si="25">N198*O198</f>
        <v>0</v>
      </c>
    </row>
    <row r="199" spans="2:16" s="9" customFormat="1" ht="35.1" customHeight="1" x14ac:dyDescent="0.25">
      <c r="B199" s="23" t="s">
        <v>247</v>
      </c>
      <c r="C199" s="22" t="s">
        <v>225</v>
      </c>
      <c r="D199" s="10" t="s">
        <v>13</v>
      </c>
      <c r="E199" s="12">
        <v>2.2000000000000002</v>
      </c>
      <c r="F199" s="126">
        <v>1381990</v>
      </c>
      <c r="G199" s="126">
        <f t="shared" ref="G199:G204" si="26">ROUND(+F199*E199,2)</f>
        <v>3040378</v>
      </c>
      <c r="H199" s="8"/>
      <c r="I199" s="9" t="str">
        <f t="array" ref="I199:L199">_xlfn.XLOOKUP(C199,'Neiva 2021 FASE I UNIFICADO'!$C$6:$C$540,'Neiva 2021 FASE I UNIFICADO'!$C$6:$F$540,"NO ESTA")</f>
        <v>SUMINISTRO E INSTALACION PUERTA DE EVACUACIÓN TIPO P-1 Ver NOTAS GENERALES DE PLANCHA</v>
      </c>
      <c r="J199" s="9" t="str">
        <v>M2</v>
      </c>
      <c r="K199" s="9">
        <v>4.4000000000000004</v>
      </c>
      <c r="L199" s="9">
        <v>1279025</v>
      </c>
      <c r="M199" s="124" t="str">
        <f t="shared" si="17"/>
        <v>FASE II</v>
      </c>
      <c r="N199" s="155">
        <f t="shared" si="23"/>
        <v>6.6000000000000005</v>
      </c>
      <c r="O199" s="156">
        <f t="shared" si="24"/>
        <v>1381990</v>
      </c>
      <c r="P199" s="156">
        <f t="shared" si="25"/>
        <v>9121134</v>
      </c>
    </row>
    <row r="200" spans="2:16" s="9" customFormat="1" ht="35.1" customHeight="1" x14ac:dyDescent="0.25">
      <c r="B200" s="23" t="s">
        <v>248</v>
      </c>
      <c r="C200" s="22" t="s">
        <v>227</v>
      </c>
      <c r="D200" s="10" t="s">
        <v>13</v>
      </c>
      <c r="E200" s="12">
        <v>2.16</v>
      </c>
      <c r="F200" s="126">
        <v>131548</v>
      </c>
      <c r="G200" s="126">
        <f t="shared" si="26"/>
        <v>284143.68</v>
      </c>
      <c r="H200" s="8">
        <f>ROUND(F200*(1+$H$3),0)</f>
        <v>256887</v>
      </c>
      <c r="I200" s="9" t="str">
        <f t="array" ref="I200:L200">_xlfn.XLOOKUP(C200,'Neiva 2021 FASE I UNIFICADO'!$C$6:$C$540,'Neiva 2021 FASE I UNIFICADO'!$C$6:$F$540,"NO ESTA")</f>
        <v>SUMINISTRO E INSTALACION PUERTA METALICA DEPOSITOS TIPO P-2 Ver NOTAS GENERALES DE PLANCHA</v>
      </c>
      <c r="J200" s="9" t="str">
        <v>M2</v>
      </c>
      <c r="K200" s="9">
        <v>15.12</v>
      </c>
      <c r="L200" s="9">
        <v>121747</v>
      </c>
      <c r="M200" s="124" t="str">
        <f t="shared" ref="M200:M263" si="27">IF(L200=0,0,(IF(F200&lt;L200, "FASE I","FASE II")))</f>
        <v>FASE II</v>
      </c>
      <c r="N200" s="155">
        <f t="shared" si="23"/>
        <v>17.28</v>
      </c>
      <c r="O200" s="156">
        <f t="shared" si="24"/>
        <v>131548</v>
      </c>
      <c r="P200" s="156">
        <f t="shared" si="25"/>
        <v>2273149.44</v>
      </c>
    </row>
    <row r="201" spans="2:16" s="9" customFormat="1" ht="35.1" customHeight="1" x14ac:dyDescent="0.25">
      <c r="B201" s="23" t="s">
        <v>249</v>
      </c>
      <c r="C201" s="22" t="s">
        <v>237</v>
      </c>
      <c r="D201" s="10" t="s">
        <v>13</v>
      </c>
      <c r="E201" s="12">
        <v>4.8</v>
      </c>
      <c r="F201" s="126">
        <v>731553</v>
      </c>
      <c r="G201" s="126">
        <f t="shared" si="26"/>
        <v>3511454.4</v>
      </c>
      <c r="H201" s="8"/>
      <c r="I201" s="9" t="str">
        <f t="array" ref="I201:L201">_xlfn.XLOOKUP(C201,'Neiva 2021 FASE I UNIFICADO'!$C$6:$C$540,'Neiva 2021 FASE I UNIFICADO'!$C$6:$F$540,"NO ESTA")</f>
        <v>SUMINISTRO E INSTALACION PUERTA DIVISORIA DE MADERA TIPO P-3 Ver NOTAS GENERALES DE PLANCHA</v>
      </c>
      <c r="J201" s="9" t="str">
        <v>M2</v>
      </c>
      <c r="K201" s="9">
        <v>2.4</v>
      </c>
      <c r="L201" s="9">
        <v>677048</v>
      </c>
      <c r="M201" s="124" t="str">
        <f t="shared" si="27"/>
        <v>FASE II</v>
      </c>
      <c r="N201" s="155">
        <f t="shared" si="23"/>
        <v>7.1999999999999993</v>
      </c>
      <c r="O201" s="156">
        <f t="shared" si="24"/>
        <v>731553</v>
      </c>
      <c r="P201" s="156">
        <f t="shared" si="25"/>
        <v>5267181.5999999996</v>
      </c>
    </row>
    <row r="202" spans="2:16" s="9" customFormat="1" ht="35.1" customHeight="1" x14ac:dyDescent="0.25">
      <c r="B202" s="23" t="s">
        <v>250</v>
      </c>
      <c r="C202" s="22" t="s">
        <v>239</v>
      </c>
      <c r="D202" s="10" t="s">
        <v>13</v>
      </c>
      <c r="E202" s="12">
        <v>2.16</v>
      </c>
      <c r="F202" s="126">
        <v>731553</v>
      </c>
      <c r="G202" s="126">
        <f t="shared" si="26"/>
        <v>1580154.48</v>
      </c>
      <c r="H202" s="8"/>
      <c r="I202" s="9" t="str">
        <f t="array" ref="I202:L202">_xlfn.XLOOKUP(C202,'Neiva 2021 FASE I UNIFICADO'!$C$6:$C$540,'Neiva 2021 FASE I UNIFICADO'!$C$6:$F$540,"NO ESTA")</f>
        <v>SUMINISTRO E INSTALACION PUERTA DIVISORIA DE MADERA TIPO P-4 Ver NOTAS GENERALES DE PLANCHA</v>
      </c>
      <c r="J202" s="9" t="str">
        <v>M2</v>
      </c>
      <c r="K202" s="9">
        <v>12.96</v>
      </c>
      <c r="L202" s="9">
        <v>677048</v>
      </c>
      <c r="M202" s="124" t="str">
        <f t="shared" si="27"/>
        <v>FASE II</v>
      </c>
      <c r="N202" s="155">
        <f t="shared" si="23"/>
        <v>15.120000000000001</v>
      </c>
      <c r="O202" s="156">
        <f t="shared" si="24"/>
        <v>731553</v>
      </c>
      <c r="P202" s="156">
        <f t="shared" si="25"/>
        <v>11061081.360000001</v>
      </c>
    </row>
    <row r="203" spans="2:16" s="9" customFormat="1" ht="35.1" customHeight="1" x14ac:dyDescent="0.25">
      <c r="B203" s="23" t="s">
        <v>251</v>
      </c>
      <c r="C203" s="22" t="s">
        <v>241</v>
      </c>
      <c r="D203" s="10" t="s">
        <v>13</v>
      </c>
      <c r="E203" s="12">
        <v>2.88</v>
      </c>
      <c r="F203" s="126">
        <v>731553</v>
      </c>
      <c r="G203" s="126">
        <f t="shared" si="26"/>
        <v>2106872.64</v>
      </c>
      <c r="H203" s="8"/>
      <c r="I203" s="9" t="str">
        <f t="array" ref="I203:L203">_xlfn.XLOOKUP(C203,'Neiva 2021 FASE I UNIFICADO'!$C$6:$C$540,'Neiva 2021 FASE I UNIFICADO'!$C$6:$F$540,"NO ESTA")</f>
        <v>SUMINISTRO E INSTALACION PUERTA DIVISORIA DE MADERA TIPO P-5 Ver NOTAS GENERALES DE PLANCHA</v>
      </c>
      <c r="J203" s="9" t="str">
        <v>M2</v>
      </c>
      <c r="K203" s="9">
        <v>5.76</v>
      </c>
      <c r="L203" s="9">
        <v>677048</v>
      </c>
      <c r="M203" s="124" t="str">
        <f t="shared" si="27"/>
        <v>FASE II</v>
      </c>
      <c r="N203" s="155">
        <f t="shared" si="23"/>
        <v>8.64</v>
      </c>
      <c r="O203" s="156">
        <f t="shared" si="24"/>
        <v>731553</v>
      </c>
      <c r="P203" s="156">
        <f t="shared" si="25"/>
        <v>6320617.9200000009</v>
      </c>
    </row>
    <row r="204" spans="2:16" s="9" customFormat="1" ht="35.1" customHeight="1" x14ac:dyDescent="0.25">
      <c r="B204" s="23" t="s">
        <v>252</v>
      </c>
      <c r="C204" s="22" t="s">
        <v>244</v>
      </c>
      <c r="D204" s="10" t="s">
        <v>13</v>
      </c>
      <c r="E204" s="12">
        <v>14.3</v>
      </c>
      <c r="F204" s="126">
        <v>579822</v>
      </c>
      <c r="G204" s="126">
        <f t="shared" si="26"/>
        <v>8291454.5999999996</v>
      </c>
      <c r="H204" s="8"/>
      <c r="I204" s="9" t="str">
        <f t="array" ref="I204:L204">_xlfn.XLOOKUP(C204,'Neiva 2021 FASE I UNIFICADO'!$C$6:$C$540,'Neiva 2021 FASE I UNIFICADO'!$C$6:$F$540,"NO ESTA")</f>
        <v>SUMINISTRO E INSTALACION PUERTA DIVISORIA EN VIDRIO TIPO PV1 Ver NOTAS GENERALES DE PLANCHA</v>
      </c>
      <c r="J204" s="9" t="str">
        <v>M2</v>
      </c>
      <c r="K204" s="9">
        <v>24.8</v>
      </c>
      <c r="L204" s="9">
        <v>536623</v>
      </c>
      <c r="M204" s="124" t="str">
        <f t="shared" si="27"/>
        <v>FASE II</v>
      </c>
      <c r="N204" s="155">
        <f t="shared" si="23"/>
        <v>39.1</v>
      </c>
      <c r="O204" s="156">
        <f t="shared" si="24"/>
        <v>579822</v>
      </c>
      <c r="P204" s="156">
        <f t="shared" si="25"/>
        <v>22671040.199999999</v>
      </c>
    </row>
    <row r="205" spans="2:16" s="9" customFormat="1" ht="35.1" customHeight="1" x14ac:dyDescent="0.25">
      <c r="B205" s="13" t="s">
        <v>1143</v>
      </c>
      <c r="C205" s="14" t="s">
        <v>1144</v>
      </c>
      <c r="D205" s="13"/>
      <c r="E205" s="15"/>
      <c r="F205" s="129"/>
      <c r="G205" s="140"/>
      <c r="H205" s="8"/>
      <c r="I205" s="9" t="str">
        <f t="array" ref="I205">_xlfn.XLOOKUP(C205,'Neiva 2021 FASE I UNIFICADO'!$C$6:$C$540,'Neiva 2021 FASE I UNIFICADO'!$C$6:$F$540,"NO ESTA")</f>
        <v>NO ESTA</v>
      </c>
      <c r="M205" s="124">
        <f t="shared" si="27"/>
        <v>0</v>
      </c>
      <c r="N205" s="155">
        <f t="shared" si="23"/>
        <v>0</v>
      </c>
      <c r="O205" s="156">
        <f t="shared" si="24"/>
        <v>0</v>
      </c>
      <c r="P205" s="156">
        <f t="shared" si="25"/>
        <v>0</v>
      </c>
    </row>
    <row r="206" spans="2:16" s="9" customFormat="1" ht="35.1" customHeight="1" x14ac:dyDescent="0.25">
      <c r="B206" s="23" t="s">
        <v>1145</v>
      </c>
      <c r="C206" s="22" t="s">
        <v>225</v>
      </c>
      <c r="D206" s="10" t="s">
        <v>13</v>
      </c>
      <c r="E206" s="12">
        <v>4.4000000000000004</v>
      </c>
      <c r="F206" s="126">
        <v>1381990</v>
      </c>
      <c r="G206" s="126">
        <f t="shared" ref="G206:G211" si="28">ROUND(+F206*E206,2)</f>
        <v>6080756</v>
      </c>
      <c r="H206" s="8"/>
      <c r="I206" s="9" t="str">
        <f t="array" ref="I206:L206">_xlfn.XLOOKUP(C206,'Neiva 2021 FASE I UNIFICADO'!$C$6:$C$540,'Neiva 2021 FASE I UNIFICADO'!$C$6:$F$540,"NO ESTA")</f>
        <v>SUMINISTRO E INSTALACION PUERTA DE EVACUACIÓN TIPO P-1 Ver NOTAS GENERALES DE PLANCHA</v>
      </c>
      <c r="J206" s="9" t="str">
        <v>M2</v>
      </c>
      <c r="K206" s="9">
        <v>4.4000000000000004</v>
      </c>
      <c r="L206" s="9">
        <v>1279025</v>
      </c>
      <c r="M206" s="124" t="str">
        <f t="shared" si="27"/>
        <v>FASE II</v>
      </c>
      <c r="N206" s="155">
        <f t="shared" si="23"/>
        <v>8.8000000000000007</v>
      </c>
      <c r="O206" s="156">
        <f t="shared" si="24"/>
        <v>1381990</v>
      </c>
      <c r="P206" s="156">
        <f t="shared" si="25"/>
        <v>12161512.000000002</v>
      </c>
    </row>
    <row r="207" spans="2:16" s="9" customFormat="1" ht="35.1" customHeight="1" x14ac:dyDescent="0.25">
      <c r="B207" s="23" t="s">
        <v>1146</v>
      </c>
      <c r="C207" s="22" t="s">
        <v>227</v>
      </c>
      <c r="D207" s="10" t="s">
        <v>13</v>
      </c>
      <c r="E207" s="12">
        <v>4.32</v>
      </c>
      <c r="F207" s="126">
        <v>131548</v>
      </c>
      <c r="G207" s="126">
        <f t="shared" si="28"/>
        <v>568287.36</v>
      </c>
      <c r="H207" s="8">
        <f>ROUND(F207*(1+$H$3),0)</f>
        <v>256887</v>
      </c>
      <c r="I207" s="9" t="str">
        <f t="array" ref="I207:L207">_xlfn.XLOOKUP(C207,'Neiva 2021 FASE I UNIFICADO'!$C$6:$C$540,'Neiva 2021 FASE I UNIFICADO'!$C$6:$F$540,"NO ESTA")</f>
        <v>SUMINISTRO E INSTALACION PUERTA METALICA DEPOSITOS TIPO P-2 Ver NOTAS GENERALES DE PLANCHA</v>
      </c>
      <c r="J207" s="9" t="str">
        <v>M2</v>
      </c>
      <c r="K207" s="9">
        <v>15.12</v>
      </c>
      <c r="L207" s="9">
        <v>121747</v>
      </c>
      <c r="M207" s="124" t="str">
        <f t="shared" si="27"/>
        <v>FASE II</v>
      </c>
      <c r="N207" s="155">
        <f t="shared" si="23"/>
        <v>19.439999999999998</v>
      </c>
      <c r="O207" s="156">
        <f t="shared" si="24"/>
        <v>131548</v>
      </c>
      <c r="P207" s="156">
        <f t="shared" si="25"/>
        <v>2557293.1199999996</v>
      </c>
    </row>
    <row r="208" spans="2:16" s="9" customFormat="1" ht="35.1" customHeight="1" x14ac:dyDescent="0.25">
      <c r="B208" s="23" t="s">
        <v>1147</v>
      </c>
      <c r="C208" s="22" t="s">
        <v>237</v>
      </c>
      <c r="D208" s="10" t="s">
        <v>13</v>
      </c>
      <c r="E208" s="12">
        <v>7.2</v>
      </c>
      <c r="F208" s="126">
        <v>731553</v>
      </c>
      <c r="G208" s="126">
        <f t="shared" si="28"/>
        <v>5267181.5999999996</v>
      </c>
      <c r="H208" s="8"/>
      <c r="I208" s="9" t="str">
        <f t="array" ref="I208:L208">_xlfn.XLOOKUP(C208,'Neiva 2021 FASE I UNIFICADO'!$C$6:$C$540,'Neiva 2021 FASE I UNIFICADO'!$C$6:$F$540,"NO ESTA")</f>
        <v>SUMINISTRO E INSTALACION PUERTA DIVISORIA DE MADERA TIPO P-3 Ver NOTAS GENERALES DE PLANCHA</v>
      </c>
      <c r="J208" s="9" t="str">
        <v>M2</v>
      </c>
      <c r="K208" s="9">
        <v>2.4</v>
      </c>
      <c r="L208" s="9">
        <v>677048</v>
      </c>
      <c r="M208" s="124" t="str">
        <f t="shared" si="27"/>
        <v>FASE II</v>
      </c>
      <c r="N208" s="155">
        <f t="shared" si="23"/>
        <v>9.6</v>
      </c>
      <c r="O208" s="156">
        <f t="shared" si="24"/>
        <v>731553</v>
      </c>
      <c r="P208" s="156">
        <f t="shared" si="25"/>
        <v>7022908.7999999998</v>
      </c>
    </row>
    <row r="209" spans="2:16" s="9" customFormat="1" ht="35.1" customHeight="1" x14ac:dyDescent="0.25">
      <c r="B209" s="23" t="s">
        <v>1148</v>
      </c>
      <c r="C209" s="22" t="s">
        <v>239</v>
      </c>
      <c r="D209" s="10" t="s">
        <v>13</v>
      </c>
      <c r="E209" s="12">
        <v>2.16</v>
      </c>
      <c r="F209" s="126">
        <v>731553</v>
      </c>
      <c r="G209" s="126">
        <f t="shared" si="28"/>
        <v>1580154.48</v>
      </c>
      <c r="H209" s="8"/>
      <c r="I209" s="9" t="str">
        <f t="array" ref="I209:L209">_xlfn.XLOOKUP(C209,'Neiva 2021 FASE I UNIFICADO'!$C$6:$C$540,'Neiva 2021 FASE I UNIFICADO'!$C$6:$F$540,"NO ESTA")</f>
        <v>SUMINISTRO E INSTALACION PUERTA DIVISORIA DE MADERA TIPO P-4 Ver NOTAS GENERALES DE PLANCHA</v>
      </c>
      <c r="J209" s="9" t="str">
        <v>M2</v>
      </c>
      <c r="K209" s="9">
        <v>12.96</v>
      </c>
      <c r="L209" s="9">
        <v>677048</v>
      </c>
      <c r="M209" s="124" t="str">
        <f t="shared" si="27"/>
        <v>FASE II</v>
      </c>
      <c r="N209" s="155">
        <f t="shared" si="23"/>
        <v>15.120000000000001</v>
      </c>
      <c r="O209" s="156">
        <f t="shared" si="24"/>
        <v>731553</v>
      </c>
      <c r="P209" s="156">
        <f t="shared" si="25"/>
        <v>11061081.360000001</v>
      </c>
    </row>
    <row r="210" spans="2:16" s="9" customFormat="1" ht="35.1" customHeight="1" x14ac:dyDescent="0.25">
      <c r="B210" s="23" t="s">
        <v>1149</v>
      </c>
      <c r="C210" s="22" t="s">
        <v>241</v>
      </c>
      <c r="D210" s="10" t="s">
        <v>13</v>
      </c>
      <c r="E210" s="12">
        <v>5.76</v>
      </c>
      <c r="F210" s="126">
        <v>731553</v>
      </c>
      <c r="G210" s="126">
        <f t="shared" si="28"/>
        <v>4213745.28</v>
      </c>
      <c r="H210" s="8"/>
      <c r="I210" s="9" t="str">
        <f t="array" ref="I210:L210">_xlfn.XLOOKUP(C210,'Neiva 2021 FASE I UNIFICADO'!$C$6:$C$540,'Neiva 2021 FASE I UNIFICADO'!$C$6:$F$540,"NO ESTA")</f>
        <v>SUMINISTRO E INSTALACION PUERTA DIVISORIA DE MADERA TIPO P-5 Ver NOTAS GENERALES DE PLANCHA</v>
      </c>
      <c r="J210" s="9" t="str">
        <v>M2</v>
      </c>
      <c r="K210" s="9">
        <v>5.76</v>
      </c>
      <c r="L210" s="9">
        <v>677048</v>
      </c>
      <c r="M210" s="124" t="str">
        <f t="shared" si="27"/>
        <v>FASE II</v>
      </c>
      <c r="N210" s="155">
        <f t="shared" si="23"/>
        <v>11.52</v>
      </c>
      <c r="O210" s="156">
        <f t="shared" si="24"/>
        <v>731553</v>
      </c>
      <c r="P210" s="156">
        <f t="shared" si="25"/>
        <v>8427490.5600000005</v>
      </c>
    </row>
    <row r="211" spans="2:16" s="9" customFormat="1" ht="35.1" customHeight="1" x14ac:dyDescent="0.25">
      <c r="B211" s="23" t="s">
        <v>1150</v>
      </c>
      <c r="C211" s="22" t="s">
        <v>244</v>
      </c>
      <c r="D211" s="10" t="s">
        <v>13</v>
      </c>
      <c r="E211" s="12">
        <v>24.12</v>
      </c>
      <c r="F211" s="126">
        <v>579822</v>
      </c>
      <c r="G211" s="126">
        <f t="shared" si="28"/>
        <v>13985306.640000001</v>
      </c>
      <c r="H211" s="8"/>
      <c r="I211" s="9" t="str">
        <f t="array" ref="I211:L211">_xlfn.XLOOKUP(C211,'Neiva 2021 FASE I UNIFICADO'!$C$6:$C$540,'Neiva 2021 FASE I UNIFICADO'!$C$6:$F$540,"NO ESTA")</f>
        <v>SUMINISTRO E INSTALACION PUERTA DIVISORIA EN VIDRIO TIPO PV1 Ver NOTAS GENERALES DE PLANCHA</v>
      </c>
      <c r="J211" s="9" t="str">
        <v>M2</v>
      </c>
      <c r="K211" s="9">
        <v>24.8</v>
      </c>
      <c r="L211" s="9">
        <v>536623</v>
      </c>
      <c r="M211" s="124" t="str">
        <f t="shared" si="27"/>
        <v>FASE II</v>
      </c>
      <c r="N211" s="155">
        <f t="shared" si="23"/>
        <v>48.92</v>
      </c>
      <c r="O211" s="156">
        <f t="shared" si="24"/>
        <v>579822</v>
      </c>
      <c r="P211" s="156">
        <f t="shared" si="25"/>
        <v>28364892.240000002</v>
      </c>
    </row>
    <row r="212" spans="2:16" s="9" customFormat="1" ht="35.1" customHeight="1" x14ac:dyDescent="0.25">
      <c r="B212" s="13" t="s">
        <v>1151</v>
      </c>
      <c r="C212" s="14" t="s">
        <v>1152</v>
      </c>
      <c r="D212" s="13"/>
      <c r="E212" s="15"/>
      <c r="F212" s="129"/>
      <c r="G212" s="140"/>
      <c r="H212" s="8"/>
      <c r="I212" s="9" t="str">
        <f t="array" ref="I212">_xlfn.XLOOKUP(C212,'Neiva 2021 FASE I UNIFICADO'!$C$6:$C$540,'Neiva 2021 FASE I UNIFICADO'!$C$6:$F$540,"NO ESTA")</f>
        <v>NO ESTA</v>
      </c>
      <c r="M212" s="124">
        <f t="shared" si="27"/>
        <v>0</v>
      </c>
      <c r="N212" s="155">
        <f t="shared" si="23"/>
        <v>0</v>
      </c>
      <c r="O212" s="156">
        <f t="shared" si="24"/>
        <v>0</v>
      </c>
      <c r="P212" s="156">
        <f t="shared" si="25"/>
        <v>0</v>
      </c>
    </row>
    <row r="213" spans="2:16" s="9" customFormat="1" ht="35.1" customHeight="1" x14ac:dyDescent="0.25">
      <c r="B213" s="23" t="s">
        <v>1153</v>
      </c>
      <c r="C213" s="22" t="s">
        <v>225</v>
      </c>
      <c r="D213" s="10" t="s">
        <v>13</v>
      </c>
      <c r="E213" s="12">
        <v>4.4000000000000004</v>
      </c>
      <c r="F213" s="126">
        <v>1381990</v>
      </c>
      <c r="G213" s="126">
        <f t="shared" ref="G213:G220" si="29">ROUND(+F213*E213,2)</f>
        <v>6080756</v>
      </c>
      <c r="H213" s="8"/>
      <c r="I213" s="9" t="str">
        <f t="array" ref="I213:L213">_xlfn.XLOOKUP(C213,'Neiva 2021 FASE I UNIFICADO'!$C$6:$C$540,'Neiva 2021 FASE I UNIFICADO'!$C$6:$F$540,"NO ESTA")</f>
        <v>SUMINISTRO E INSTALACION PUERTA DE EVACUACIÓN TIPO P-1 Ver NOTAS GENERALES DE PLANCHA</v>
      </c>
      <c r="J213" s="9" t="str">
        <v>M2</v>
      </c>
      <c r="K213" s="9">
        <v>4.4000000000000004</v>
      </c>
      <c r="L213" s="9">
        <v>1279025</v>
      </c>
      <c r="M213" s="124" t="str">
        <f t="shared" si="27"/>
        <v>FASE II</v>
      </c>
      <c r="N213" s="155">
        <f t="shared" si="23"/>
        <v>8.8000000000000007</v>
      </c>
      <c r="O213" s="156">
        <f t="shared" si="24"/>
        <v>1381990</v>
      </c>
      <c r="P213" s="156">
        <f t="shared" si="25"/>
        <v>12161512.000000002</v>
      </c>
    </row>
    <row r="214" spans="2:16" s="9" customFormat="1" ht="35.1" customHeight="1" x14ac:dyDescent="0.25">
      <c r="B214" s="23" t="s">
        <v>1154</v>
      </c>
      <c r="C214" s="22" t="s">
        <v>227</v>
      </c>
      <c r="D214" s="10" t="s">
        <v>13</v>
      </c>
      <c r="E214" s="12">
        <v>4.32</v>
      </c>
      <c r="F214" s="126">
        <v>131548</v>
      </c>
      <c r="G214" s="126">
        <f t="shared" si="29"/>
        <v>568287.36</v>
      </c>
      <c r="H214" s="8">
        <f>ROUND(F214*(1+$H$3),0)</f>
        <v>256887</v>
      </c>
      <c r="I214" s="9" t="str">
        <f t="array" ref="I214:L214">_xlfn.XLOOKUP(C214,'Neiva 2021 FASE I UNIFICADO'!$C$6:$C$540,'Neiva 2021 FASE I UNIFICADO'!$C$6:$F$540,"NO ESTA")</f>
        <v>SUMINISTRO E INSTALACION PUERTA METALICA DEPOSITOS TIPO P-2 Ver NOTAS GENERALES DE PLANCHA</v>
      </c>
      <c r="J214" s="9" t="str">
        <v>M2</v>
      </c>
      <c r="K214" s="9">
        <v>15.12</v>
      </c>
      <c r="L214" s="9">
        <v>121747</v>
      </c>
      <c r="M214" s="124" t="str">
        <f t="shared" si="27"/>
        <v>FASE II</v>
      </c>
      <c r="N214" s="155">
        <f t="shared" si="23"/>
        <v>19.439999999999998</v>
      </c>
      <c r="O214" s="156">
        <f t="shared" si="24"/>
        <v>131548</v>
      </c>
      <c r="P214" s="156">
        <f t="shared" si="25"/>
        <v>2557293.1199999996</v>
      </c>
    </row>
    <row r="215" spans="2:16" s="9" customFormat="1" ht="35.1" customHeight="1" x14ac:dyDescent="0.25">
      <c r="B215" s="23" t="s">
        <v>1155</v>
      </c>
      <c r="C215" s="22" t="s">
        <v>237</v>
      </c>
      <c r="D215" s="10" t="s">
        <v>13</v>
      </c>
      <c r="E215" s="12">
        <v>4.8</v>
      </c>
      <c r="F215" s="126">
        <v>731553</v>
      </c>
      <c r="G215" s="126">
        <f t="shared" si="29"/>
        <v>3511454.4</v>
      </c>
      <c r="H215" s="8"/>
      <c r="I215" s="9" t="str">
        <f t="array" ref="I215:L215">_xlfn.XLOOKUP(C215,'Neiva 2021 FASE I UNIFICADO'!$C$6:$C$540,'Neiva 2021 FASE I UNIFICADO'!$C$6:$F$540,"NO ESTA")</f>
        <v>SUMINISTRO E INSTALACION PUERTA DIVISORIA DE MADERA TIPO P-3 Ver NOTAS GENERALES DE PLANCHA</v>
      </c>
      <c r="J215" s="9" t="str">
        <v>M2</v>
      </c>
      <c r="K215" s="9">
        <v>2.4</v>
      </c>
      <c r="L215" s="9">
        <v>677048</v>
      </c>
      <c r="M215" s="124" t="str">
        <f t="shared" si="27"/>
        <v>FASE II</v>
      </c>
      <c r="N215" s="155">
        <f t="shared" si="23"/>
        <v>7.1999999999999993</v>
      </c>
      <c r="O215" s="156">
        <f t="shared" si="24"/>
        <v>731553</v>
      </c>
      <c r="P215" s="156">
        <f t="shared" si="25"/>
        <v>5267181.5999999996</v>
      </c>
    </row>
    <row r="216" spans="2:16" s="9" customFormat="1" ht="35.1" customHeight="1" x14ac:dyDescent="0.25">
      <c r="B216" s="23" t="s">
        <v>1156</v>
      </c>
      <c r="C216" s="22" t="s">
        <v>239</v>
      </c>
      <c r="D216" s="10" t="s">
        <v>13</v>
      </c>
      <c r="E216" s="12">
        <v>2.16</v>
      </c>
      <c r="F216" s="126">
        <v>731553</v>
      </c>
      <c r="G216" s="126">
        <f t="shared" si="29"/>
        <v>1580154.48</v>
      </c>
      <c r="H216" s="8"/>
      <c r="I216" s="9" t="str">
        <f t="array" ref="I216:L216">_xlfn.XLOOKUP(C216,'Neiva 2021 FASE I UNIFICADO'!$C$6:$C$540,'Neiva 2021 FASE I UNIFICADO'!$C$6:$F$540,"NO ESTA")</f>
        <v>SUMINISTRO E INSTALACION PUERTA DIVISORIA DE MADERA TIPO P-4 Ver NOTAS GENERALES DE PLANCHA</v>
      </c>
      <c r="J216" s="9" t="str">
        <v>M2</v>
      </c>
      <c r="K216" s="9">
        <v>12.96</v>
      </c>
      <c r="L216" s="9">
        <v>677048</v>
      </c>
      <c r="M216" s="124" t="str">
        <f t="shared" si="27"/>
        <v>FASE II</v>
      </c>
      <c r="N216" s="155">
        <f t="shared" si="23"/>
        <v>15.120000000000001</v>
      </c>
      <c r="O216" s="156">
        <f t="shared" si="24"/>
        <v>731553</v>
      </c>
      <c r="P216" s="156">
        <f t="shared" si="25"/>
        <v>11061081.360000001</v>
      </c>
    </row>
    <row r="217" spans="2:16" s="9" customFormat="1" ht="35.1" customHeight="1" x14ac:dyDescent="0.25">
      <c r="B217" s="23" t="s">
        <v>1157</v>
      </c>
      <c r="C217" s="22" t="s">
        <v>241</v>
      </c>
      <c r="D217" s="10" t="s">
        <v>13</v>
      </c>
      <c r="E217" s="12">
        <v>3.84</v>
      </c>
      <c r="F217" s="126">
        <v>731553</v>
      </c>
      <c r="G217" s="126">
        <f t="shared" si="29"/>
        <v>2809163.52</v>
      </c>
      <c r="H217" s="8"/>
      <c r="I217" s="9" t="str">
        <f t="array" ref="I217:L217">_xlfn.XLOOKUP(C217,'Neiva 2021 FASE I UNIFICADO'!$C$6:$C$540,'Neiva 2021 FASE I UNIFICADO'!$C$6:$F$540,"NO ESTA")</f>
        <v>SUMINISTRO E INSTALACION PUERTA DIVISORIA DE MADERA TIPO P-5 Ver NOTAS GENERALES DE PLANCHA</v>
      </c>
      <c r="J217" s="9" t="str">
        <v>M2</v>
      </c>
      <c r="K217" s="9">
        <v>5.76</v>
      </c>
      <c r="L217" s="9">
        <v>677048</v>
      </c>
      <c r="M217" s="124" t="str">
        <f t="shared" si="27"/>
        <v>FASE II</v>
      </c>
      <c r="N217" s="155">
        <f t="shared" si="23"/>
        <v>9.6</v>
      </c>
      <c r="O217" s="156">
        <f t="shared" si="24"/>
        <v>731553</v>
      </c>
      <c r="P217" s="156">
        <f t="shared" si="25"/>
        <v>7022908.7999999998</v>
      </c>
    </row>
    <row r="218" spans="2:16" s="9" customFormat="1" ht="35.1" customHeight="1" x14ac:dyDescent="0.25">
      <c r="B218" s="23" t="s">
        <v>1158</v>
      </c>
      <c r="C218" s="22" t="s">
        <v>1159</v>
      </c>
      <c r="D218" s="10" t="s">
        <v>13</v>
      </c>
      <c r="E218" s="12">
        <v>3.36</v>
      </c>
      <c r="F218" s="126">
        <v>731553</v>
      </c>
      <c r="G218" s="126">
        <f t="shared" si="29"/>
        <v>2458018.08</v>
      </c>
      <c r="H218" s="8"/>
      <c r="I218" s="9" t="str">
        <f t="array" ref="I218">_xlfn.XLOOKUP(C218,'Neiva 2021 FASE I UNIFICADO'!$C$6:$C$540,'Neiva 2021 FASE I UNIFICADO'!$C$6:$F$540,"NO ESTA")</f>
        <v>NO ESTA</v>
      </c>
      <c r="M218" s="124">
        <f t="shared" si="27"/>
        <v>0</v>
      </c>
      <c r="N218" s="155">
        <f t="shared" si="23"/>
        <v>3.36</v>
      </c>
      <c r="O218" s="156">
        <f t="shared" si="24"/>
        <v>731553</v>
      </c>
      <c r="P218" s="156">
        <f t="shared" si="25"/>
        <v>2458018.08</v>
      </c>
    </row>
    <row r="219" spans="2:16" s="9" customFormat="1" ht="35.1" customHeight="1" x14ac:dyDescent="0.25">
      <c r="B219" s="23" t="s">
        <v>1160</v>
      </c>
      <c r="C219" s="22" t="s">
        <v>229</v>
      </c>
      <c r="D219" s="10" t="s">
        <v>13</v>
      </c>
      <c r="E219" s="12">
        <v>4.8</v>
      </c>
      <c r="F219" s="126">
        <v>731553</v>
      </c>
      <c r="G219" s="126">
        <f t="shared" si="29"/>
        <v>3511454.4</v>
      </c>
      <c r="H219" s="8">
        <f>ROUND(F219*(1+$H$3),0)</f>
        <v>1428577</v>
      </c>
      <c r="I219" s="9" t="str">
        <f t="array" ref="I219:L219">_xlfn.XLOOKUP(C219,'Neiva 2021 FASE I UNIFICADO'!$C$6:$C$540,'Neiva 2021 FASE I UNIFICADO'!$C$6:$F$540,"NO ESTA")</f>
        <v>SUMINISTRO E INSTALACION PUERTA METALICA DOBLE HOJA TIPO P-7 Ver NOTAS GENERALES DE PLANCHA</v>
      </c>
      <c r="J219" s="9" t="str">
        <v>M2</v>
      </c>
      <c r="K219" s="9">
        <v>33.6</v>
      </c>
      <c r="L219" s="9">
        <v>143171</v>
      </c>
      <c r="M219" s="124" t="str">
        <f t="shared" si="27"/>
        <v>FASE II</v>
      </c>
      <c r="N219" s="155">
        <f t="shared" si="23"/>
        <v>38.4</v>
      </c>
      <c r="O219" s="156">
        <f t="shared" si="24"/>
        <v>731553</v>
      </c>
      <c r="P219" s="156">
        <f t="shared" si="25"/>
        <v>28091635.199999999</v>
      </c>
    </row>
    <row r="220" spans="2:16" s="9" customFormat="1" ht="35.1" customHeight="1" x14ac:dyDescent="0.25">
      <c r="B220" s="23" t="s">
        <v>1161</v>
      </c>
      <c r="C220" s="22" t="s">
        <v>244</v>
      </c>
      <c r="D220" s="10" t="s">
        <v>13</v>
      </c>
      <c r="E220" s="12">
        <v>24.89</v>
      </c>
      <c r="F220" s="126">
        <v>579822</v>
      </c>
      <c r="G220" s="126">
        <f t="shared" si="29"/>
        <v>14431769.58</v>
      </c>
      <c r="H220" s="8"/>
      <c r="I220" s="9" t="str">
        <f t="array" ref="I220:L220">_xlfn.XLOOKUP(C220,'Neiva 2021 FASE I UNIFICADO'!$C$6:$C$540,'Neiva 2021 FASE I UNIFICADO'!$C$6:$F$540,"NO ESTA")</f>
        <v>SUMINISTRO E INSTALACION PUERTA DIVISORIA EN VIDRIO TIPO PV1 Ver NOTAS GENERALES DE PLANCHA</v>
      </c>
      <c r="J220" s="9" t="str">
        <v>M2</v>
      </c>
      <c r="K220" s="9">
        <v>24.8</v>
      </c>
      <c r="L220" s="9">
        <v>536623</v>
      </c>
      <c r="M220" s="124" t="str">
        <f t="shared" si="27"/>
        <v>FASE II</v>
      </c>
      <c r="N220" s="155">
        <f t="shared" si="23"/>
        <v>49.69</v>
      </c>
      <c r="O220" s="156">
        <f t="shared" si="24"/>
        <v>579822</v>
      </c>
      <c r="P220" s="156">
        <f t="shared" si="25"/>
        <v>28811355.18</v>
      </c>
    </row>
    <row r="221" spans="2:16" s="9" customFormat="1" ht="35.1" customHeight="1" x14ac:dyDescent="0.25">
      <c r="B221" s="13" t="s">
        <v>1162</v>
      </c>
      <c r="C221" s="14" t="s">
        <v>1163</v>
      </c>
      <c r="D221" s="13"/>
      <c r="E221" s="15"/>
      <c r="F221" s="129"/>
      <c r="G221" s="140"/>
      <c r="H221" s="8"/>
      <c r="I221" s="9" t="str">
        <f t="array" ref="I221">_xlfn.XLOOKUP(C221,'Neiva 2021 FASE I UNIFICADO'!$C$6:$C$540,'Neiva 2021 FASE I UNIFICADO'!$C$6:$F$540,"NO ESTA")</f>
        <v>NO ESTA</v>
      </c>
      <c r="M221" s="124">
        <f t="shared" si="27"/>
        <v>0</v>
      </c>
      <c r="N221" s="155">
        <f t="shared" si="23"/>
        <v>0</v>
      </c>
      <c r="O221" s="156">
        <f t="shared" si="24"/>
        <v>0</v>
      </c>
      <c r="P221" s="156">
        <f t="shared" si="25"/>
        <v>0</v>
      </c>
    </row>
    <row r="222" spans="2:16" s="9" customFormat="1" ht="35.1" customHeight="1" x14ac:dyDescent="0.25">
      <c r="B222" s="23" t="s">
        <v>1164</v>
      </c>
      <c r="C222" s="22" t="s">
        <v>225</v>
      </c>
      <c r="D222" s="10" t="s">
        <v>13</v>
      </c>
      <c r="E222" s="12">
        <v>2.2000000000000002</v>
      </c>
      <c r="F222" s="126">
        <v>1381990</v>
      </c>
      <c r="G222" s="126">
        <f>ROUND(+F222*E222,2)</f>
        <v>3040378</v>
      </c>
      <c r="H222" s="8"/>
      <c r="I222" s="9" t="str">
        <f t="array" ref="I222:L222">_xlfn.XLOOKUP(C222,'Neiva 2021 FASE I UNIFICADO'!$C$6:$C$540,'Neiva 2021 FASE I UNIFICADO'!$C$6:$F$540,"NO ESTA")</f>
        <v>SUMINISTRO E INSTALACION PUERTA DE EVACUACIÓN TIPO P-1 Ver NOTAS GENERALES DE PLANCHA</v>
      </c>
      <c r="J222" s="9" t="str">
        <v>M2</v>
      </c>
      <c r="K222" s="9">
        <v>4.4000000000000004</v>
      </c>
      <c r="L222" s="9">
        <v>1279025</v>
      </c>
      <c r="M222" s="124" t="str">
        <f t="shared" si="27"/>
        <v>FASE II</v>
      </c>
      <c r="N222" s="155">
        <f t="shared" si="23"/>
        <v>6.6000000000000005</v>
      </c>
      <c r="O222" s="156">
        <f t="shared" si="24"/>
        <v>1381990</v>
      </c>
      <c r="P222" s="156">
        <f t="shared" si="25"/>
        <v>9121134</v>
      </c>
    </row>
    <row r="223" spans="2:16" s="9" customFormat="1" ht="35.1" customHeight="1" x14ac:dyDescent="0.25">
      <c r="B223" s="33">
        <v>10</v>
      </c>
      <c r="C223" s="34" t="s">
        <v>253</v>
      </c>
      <c r="D223" s="34"/>
      <c r="E223" s="35"/>
      <c r="F223" s="134"/>
      <c r="G223" s="144"/>
      <c r="H223" s="8"/>
      <c r="I223" s="9" t="str">
        <f t="array" ref="I223:L223">_xlfn.XLOOKUP(C223,'Neiva 2021 FASE I UNIFICADO'!$C$6:$C$540,'Neiva 2021 FASE I UNIFICADO'!$C$6:$F$540,"NO ESTA")</f>
        <v>OTROS ARQUITECTONICOS</v>
      </c>
      <c r="J223" s="9">
        <v>0</v>
      </c>
      <c r="K223" s="9">
        <v>0</v>
      </c>
      <c r="L223" s="9">
        <v>0</v>
      </c>
      <c r="M223" s="124">
        <f t="shared" si="27"/>
        <v>0</v>
      </c>
      <c r="N223" s="155">
        <f t="shared" si="23"/>
        <v>0</v>
      </c>
      <c r="O223" s="156">
        <f t="shared" si="24"/>
        <v>0</v>
      </c>
      <c r="P223" s="156">
        <f t="shared" si="25"/>
        <v>0</v>
      </c>
    </row>
    <row r="224" spans="2:16" s="9" customFormat="1" ht="35.1" customHeight="1" x14ac:dyDescent="0.25">
      <c r="B224" s="40" t="s">
        <v>1165</v>
      </c>
      <c r="C224" s="14" t="s">
        <v>1166</v>
      </c>
      <c r="D224" s="13"/>
      <c r="E224" s="15"/>
      <c r="F224" s="129"/>
      <c r="G224" s="140"/>
      <c r="H224" s="8"/>
      <c r="I224" s="9" t="str">
        <f t="array" ref="I224">_xlfn.XLOOKUP(C224,'Neiva 2021 FASE I UNIFICADO'!$C$6:$C$540,'Neiva 2021 FASE I UNIFICADO'!$C$6:$F$540,"NO ESTA")</f>
        <v>NO ESTA</v>
      </c>
      <c r="M224" s="124">
        <f t="shared" si="27"/>
        <v>0</v>
      </c>
      <c r="N224" s="155">
        <f t="shared" si="23"/>
        <v>0</v>
      </c>
      <c r="O224" s="156">
        <f t="shared" si="24"/>
        <v>0</v>
      </c>
      <c r="P224" s="156">
        <f t="shared" si="25"/>
        <v>0</v>
      </c>
    </row>
    <row r="225" spans="2:16" s="9" customFormat="1" ht="35.1" customHeight="1" x14ac:dyDescent="0.25">
      <c r="B225" s="23" t="s">
        <v>1167</v>
      </c>
      <c r="C225" s="22" t="s">
        <v>1168</v>
      </c>
      <c r="D225" s="23" t="s">
        <v>16</v>
      </c>
      <c r="E225" s="12">
        <v>2</v>
      </c>
      <c r="F225" s="126">
        <v>133775855</v>
      </c>
      <c r="G225" s="126">
        <f>ROUND(+F225*E225,2)</f>
        <v>267551710</v>
      </c>
      <c r="H225" s="8"/>
      <c r="I225" s="9" t="str">
        <f t="array" ref="I225">_xlfn.XLOOKUP(C225,'Neiva 2021 FASE I UNIFICADO'!$C$6:$C$540,'Neiva 2021 FASE I UNIFICADO'!$C$6:$F$540,"NO ESTA")</f>
        <v>NO ESTA</v>
      </c>
      <c r="M225" s="124">
        <f t="shared" si="27"/>
        <v>0</v>
      </c>
      <c r="N225" s="155">
        <f t="shared" si="23"/>
        <v>2</v>
      </c>
      <c r="O225" s="156">
        <f t="shared" si="24"/>
        <v>133775855</v>
      </c>
      <c r="P225" s="156">
        <f t="shared" si="25"/>
        <v>267551710</v>
      </c>
    </row>
    <row r="226" spans="2:16" s="9" customFormat="1" ht="35.1" customHeight="1" x14ac:dyDescent="0.25">
      <c r="B226" s="41" t="s">
        <v>254</v>
      </c>
      <c r="C226" s="14" t="s">
        <v>255</v>
      </c>
      <c r="D226" s="13"/>
      <c r="E226" s="15"/>
      <c r="F226" s="129"/>
      <c r="G226" s="140"/>
      <c r="H226" s="8"/>
      <c r="I226" s="9" t="str">
        <f t="array" ref="I226:L226">_xlfn.XLOOKUP(C226,'Neiva 2021 FASE I UNIFICADO'!$C$6:$C$540,'Neiva 2021 FASE I UNIFICADO'!$C$6:$F$540,"NO ESTA")</f>
        <v>SUMINISTRO E INSTALACIÓN DE BARANDAS</v>
      </c>
      <c r="J226" s="9">
        <v>0</v>
      </c>
      <c r="K226" s="9">
        <v>0</v>
      </c>
      <c r="L226" s="9">
        <v>0</v>
      </c>
      <c r="M226" s="124">
        <f t="shared" si="27"/>
        <v>0</v>
      </c>
      <c r="N226" s="155">
        <f t="shared" si="23"/>
        <v>0</v>
      </c>
      <c r="O226" s="156">
        <f t="shared" si="24"/>
        <v>0</v>
      </c>
      <c r="P226" s="156">
        <f t="shared" si="25"/>
        <v>0</v>
      </c>
    </row>
    <row r="227" spans="2:16" s="9" customFormat="1" ht="35.1" customHeight="1" x14ac:dyDescent="0.25">
      <c r="B227" s="10" t="s">
        <v>256</v>
      </c>
      <c r="C227" s="22" t="s">
        <v>257</v>
      </c>
      <c r="D227" s="23" t="s">
        <v>94</v>
      </c>
      <c r="E227" s="12">
        <v>288.39999999999998</v>
      </c>
      <c r="F227" s="126">
        <v>592889</v>
      </c>
      <c r="G227" s="126">
        <f>ROUND(+F227*E227,2)</f>
        <v>170989187.59999999</v>
      </c>
      <c r="H227" s="8"/>
      <c r="I227" s="9" t="str">
        <f t="array" ref="I227:L227">_xlfn.XLOOKUP(C227,'Neiva 2021 FASE I UNIFICADO'!$C$6:$C$540,'Neiva 2021 FASE I UNIFICADO'!$C$6:$F$540,"NO ESTA")</f>
        <v>SUMINISTRO E INSTALACION BARANDA TIPO B1 EN ACERO INOXIDABLE (Incluye todos los accesorios para su instalación)</v>
      </c>
      <c r="J227" s="9" t="str">
        <v>ML</v>
      </c>
      <c r="K227" s="9">
        <v>106</v>
      </c>
      <c r="L227" s="9">
        <v>616205</v>
      </c>
      <c r="M227" s="124" t="str">
        <f t="shared" si="27"/>
        <v>FASE I</v>
      </c>
      <c r="N227" s="155">
        <f t="shared" si="23"/>
        <v>394.4</v>
      </c>
      <c r="O227" s="156">
        <f t="shared" si="24"/>
        <v>616205</v>
      </c>
      <c r="P227" s="156">
        <f t="shared" si="25"/>
        <v>243031252</v>
      </c>
    </row>
    <row r="228" spans="2:16" s="9" customFormat="1" ht="35.1" customHeight="1" x14ac:dyDescent="0.25">
      <c r="B228" s="10" t="s">
        <v>258</v>
      </c>
      <c r="C228" s="22" t="s">
        <v>259</v>
      </c>
      <c r="D228" s="23" t="s">
        <v>94</v>
      </c>
      <c r="E228" s="12">
        <v>44.13</v>
      </c>
      <c r="F228" s="126">
        <v>253859</v>
      </c>
      <c r="G228" s="126">
        <f>ROUND(+F228*E228,2)</f>
        <v>11202797.67</v>
      </c>
      <c r="H228" s="8"/>
      <c r="I228" s="9" t="str">
        <f t="array" ref="I228:L228">_xlfn.XLOOKUP(C228,'Neiva 2021 FASE I UNIFICADO'!$C$6:$C$540,'Neiva 2021 FASE I UNIFICADO'!$C$6:$F$540,"NO ESTA")</f>
        <v>SUMINISTRO E INSTALACION PASAMANOS PUNTO FIJO No. 1 (Incluye todos los accesorios para su instalación)</v>
      </c>
      <c r="J228" s="9" t="str">
        <v>ML</v>
      </c>
      <c r="K228" s="9">
        <v>16</v>
      </c>
      <c r="L228" s="9">
        <v>234945</v>
      </c>
      <c r="M228" s="124" t="str">
        <f t="shared" si="27"/>
        <v>FASE II</v>
      </c>
      <c r="N228" s="155">
        <f t="shared" si="23"/>
        <v>60.13</v>
      </c>
      <c r="O228" s="156">
        <f t="shared" si="24"/>
        <v>253859</v>
      </c>
      <c r="P228" s="156">
        <f t="shared" si="25"/>
        <v>15264541.67</v>
      </c>
    </row>
    <row r="229" spans="2:16" s="9" customFormat="1" ht="35.1" customHeight="1" x14ac:dyDescent="0.25">
      <c r="B229" s="41" t="s">
        <v>260</v>
      </c>
      <c r="C229" s="24" t="s">
        <v>261</v>
      </c>
      <c r="D229" s="24"/>
      <c r="E229" s="15"/>
      <c r="F229" s="129"/>
      <c r="G229" s="140"/>
      <c r="H229" s="8"/>
      <c r="I229" s="9" t="str">
        <f t="array" ref="I229:L229">_xlfn.XLOOKUP(C229,'Neiva 2021 FASE I UNIFICADO'!$C$6:$C$540,'Neiva 2021 FASE I UNIFICADO'!$C$6:$F$540,"NO ESTA")</f>
        <v>SUMINISTRO E INSTALACIÓN DE DIVISIONES DE BAÑOS</v>
      </c>
      <c r="J229" s="9">
        <v>0</v>
      </c>
      <c r="K229" s="9">
        <v>0</v>
      </c>
      <c r="L229" s="9">
        <v>0</v>
      </c>
      <c r="M229" s="124">
        <f t="shared" si="27"/>
        <v>0</v>
      </c>
      <c r="N229" s="155">
        <f t="shared" si="23"/>
        <v>0</v>
      </c>
      <c r="O229" s="156">
        <f t="shared" si="24"/>
        <v>0</v>
      </c>
      <c r="P229" s="156">
        <f t="shared" si="25"/>
        <v>0</v>
      </c>
    </row>
    <row r="230" spans="2:16" s="9" customFormat="1" ht="35.1" customHeight="1" x14ac:dyDescent="0.25">
      <c r="B230" s="10" t="s">
        <v>262</v>
      </c>
      <c r="C230" s="22" t="s">
        <v>263</v>
      </c>
      <c r="D230" s="23" t="s">
        <v>13</v>
      </c>
      <c r="E230" s="12">
        <v>83.5</v>
      </c>
      <c r="F230" s="126">
        <v>608913</v>
      </c>
      <c r="G230" s="126">
        <f>ROUND(+F230*E230,2)</f>
        <v>50844235.5</v>
      </c>
      <c r="H230" s="8"/>
      <c r="I230" s="9" t="str">
        <f t="array" ref="I230:L230">_xlfn.XLOOKUP(C230,'Neiva 2021 FASE I UNIFICADO'!$C$6:$C$540,'Neiva 2021 FASE I UNIFICADO'!$C$6:$F$540,"NO ESTA")</f>
        <v>SUMINISTRO E INSTALACION DIVISION EN ACERO INOXIDABLE BAÑOS (Incluye todos los accesorios para su instalación)</v>
      </c>
      <c r="J230" s="9" t="str">
        <v>M2</v>
      </c>
      <c r="K230" s="9">
        <v>83.5</v>
      </c>
      <c r="L230" s="9">
        <v>563546</v>
      </c>
      <c r="M230" s="124" t="str">
        <f t="shared" si="27"/>
        <v>FASE II</v>
      </c>
      <c r="N230" s="155">
        <f t="shared" si="23"/>
        <v>167</v>
      </c>
      <c r="O230" s="156">
        <f t="shared" si="24"/>
        <v>608913</v>
      </c>
      <c r="P230" s="156">
        <f t="shared" si="25"/>
        <v>101688471</v>
      </c>
    </row>
    <row r="231" spans="2:16" s="9" customFormat="1" ht="35.1" customHeight="1" x14ac:dyDescent="0.25">
      <c r="B231" s="33">
        <v>11</v>
      </c>
      <c r="C231" s="34" t="s">
        <v>1169</v>
      </c>
      <c r="D231" s="34"/>
      <c r="E231" s="35"/>
      <c r="F231" s="132"/>
      <c r="G231" s="144"/>
      <c r="H231" s="8"/>
      <c r="I231" s="9" t="str">
        <f t="array" ref="I231">_xlfn.XLOOKUP(C231,'Neiva 2021 FASE I UNIFICADO'!$C$6:$C$540,'Neiva 2021 FASE I UNIFICADO'!$C$6:$F$540,"NO ESTA")</f>
        <v>NO ESTA</v>
      </c>
      <c r="M231" s="124">
        <f t="shared" si="27"/>
        <v>0</v>
      </c>
      <c r="N231" s="155">
        <f t="shared" si="23"/>
        <v>0</v>
      </c>
      <c r="O231" s="156">
        <f t="shared" si="24"/>
        <v>0</v>
      </c>
      <c r="P231" s="156">
        <f t="shared" si="25"/>
        <v>0</v>
      </c>
    </row>
    <row r="232" spans="2:16" s="9" customFormat="1" ht="35.1" customHeight="1" x14ac:dyDescent="0.25">
      <c r="B232" s="13" t="s">
        <v>1170</v>
      </c>
      <c r="C232" s="14" t="s">
        <v>10</v>
      </c>
      <c r="D232" s="13"/>
      <c r="E232" s="15"/>
      <c r="F232" s="129"/>
      <c r="G232" s="140"/>
      <c r="H232" s="8"/>
      <c r="I232" s="9" t="str">
        <f t="array" ref="I232">_xlfn.XLOOKUP(C232,'Neiva 2021 FASE I UNIFICADO'!$C$6:$C$540,'Neiva 2021 FASE I UNIFICADO'!$C$6:$F$540,"NO ESTA")</f>
        <v>NO ESTA</v>
      </c>
      <c r="M232" s="124">
        <f t="shared" si="27"/>
        <v>0</v>
      </c>
      <c r="N232" s="155">
        <f t="shared" si="23"/>
        <v>0</v>
      </c>
      <c r="O232" s="156">
        <f t="shared" si="24"/>
        <v>0</v>
      </c>
      <c r="P232" s="156">
        <f t="shared" si="25"/>
        <v>0</v>
      </c>
    </row>
    <row r="233" spans="2:16" s="9" customFormat="1" ht="35.1" customHeight="1" x14ac:dyDescent="0.25">
      <c r="B233" s="23" t="s">
        <v>1171</v>
      </c>
      <c r="C233" s="22" t="s">
        <v>1050</v>
      </c>
      <c r="D233" s="23" t="s">
        <v>13</v>
      </c>
      <c r="E233" s="12">
        <v>745.71560000000011</v>
      </c>
      <c r="F233" s="126">
        <v>3467</v>
      </c>
      <c r="G233" s="126">
        <f>ROUND(+F233*E233,2)</f>
        <v>2585395.9900000002</v>
      </c>
      <c r="H233" s="8"/>
      <c r="I233" s="9" t="str">
        <f t="array" ref="I233">_xlfn.XLOOKUP(C233,'Neiva 2021 FASE I UNIFICADO'!$C$6:$C$540,'Neiva 2021 FASE I UNIFICADO'!$C$6:$F$540,"NO ESTA")</f>
        <v>NO ESTA</v>
      </c>
      <c r="M233" s="124">
        <f t="shared" si="27"/>
        <v>0</v>
      </c>
      <c r="N233" s="155">
        <f t="shared" si="23"/>
        <v>745.71560000000011</v>
      </c>
      <c r="O233" s="156">
        <f t="shared" si="24"/>
        <v>3467</v>
      </c>
      <c r="P233" s="156">
        <f t="shared" si="25"/>
        <v>2585395.9852000005</v>
      </c>
    </row>
    <row r="234" spans="2:16" s="9" customFormat="1" ht="35.1" customHeight="1" x14ac:dyDescent="0.25">
      <c r="B234" s="23" t="s">
        <v>1172</v>
      </c>
      <c r="C234" s="22" t="s">
        <v>12</v>
      </c>
      <c r="D234" s="23" t="s">
        <v>13</v>
      </c>
      <c r="E234" s="12">
        <v>745.71560000000011</v>
      </c>
      <c r="F234" s="126">
        <v>23484</v>
      </c>
      <c r="G234" s="126">
        <f>ROUND(+F234*E234,2)</f>
        <v>17512385.149999999</v>
      </c>
      <c r="H234" s="8"/>
      <c r="I234" s="9" t="str">
        <f t="array" ref="I234:L234">_xlfn.XLOOKUP(C234,'Neiva 2021 FASE I UNIFICADO'!$C$6:$C$540,'Neiva 2021 FASE I UNIFICADO'!$C$6:$F$540,"NO ESTA")</f>
        <v>DESCAPOTE A MAQUINA (INCLUYE RETIRO)</v>
      </c>
      <c r="J234" s="9" t="str">
        <v>M2</v>
      </c>
      <c r="K234" s="9">
        <v>250</v>
      </c>
      <c r="L234" s="9">
        <v>25729</v>
      </c>
      <c r="M234" s="124" t="str">
        <f t="shared" si="27"/>
        <v>FASE I</v>
      </c>
      <c r="N234" s="155">
        <f t="shared" si="23"/>
        <v>995.71560000000011</v>
      </c>
      <c r="O234" s="156">
        <f t="shared" si="24"/>
        <v>25729</v>
      </c>
      <c r="P234" s="156">
        <f t="shared" si="25"/>
        <v>25618766.672400001</v>
      </c>
    </row>
    <row r="235" spans="2:16" s="9" customFormat="1" ht="35.1" customHeight="1" x14ac:dyDescent="0.25">
      <c r="B235" s="23" t="s">
        <v>1173</v>
      </c>
      <c r="C235" s="22" t="s">
        <v>1052</v>
      </c>
      <c r="D235" s="23" t="s">
        <v>94</v>
      </c>
      <c r="E235" s="12">
        <v>110.98</v>
      </c>
      <c r="F235" s="126">
        <v>34489</v>
      </c>
      <c r="G235" s="126">
        <f>ROUND(+F235*E235,2)</f>
        <v>3827589.22</v>
      </c>
      <c r="H235" s="8"/>
      <c r="I235" s="9" t="str">
        <f t="array" ref="I235">_xlfn.XLOOKUP(C235,'Neiva 2021 FASE I UNIFICADO'!$C$6:$C$540,'Neiva 2021 FASE I UNIFICADO'!$C$6:$F$540,"NO ESTA")</f>
        <v>NO ESTA</v>
      </c>
      <c r="M235" s="124">
        <f t="shared" si="27"/>
        <v>0</v>
      </c>
      <c r="N235" s="155">
        <f t="shared" si="23"/>
        <v>110.98</v>
      </c>
      <c r="O235" s="156">
        <f t="shared" si="24"/>
        <v>34489</v>
      </c>
      <c r="P235" s="156">
        <f t="shared" si="25"/>
        <v>3827589.22</v>
      </c>
    </row>
    <row r="236" spans="2:16" s="9" customFormat="1" ht="35.1" customHeight="1" x14ac:dyDescent="0.25">
      <c r="B236" s="13" t="s">
        <v>1174</v>
      </c>
      <c r="C236" s="14" t="s">
        <v>18</v>
      </c>
      <c r="D236" s="13"/>
      <c r="E236" s="15"/>
      <c r="F236" s="129"/>
      <c r="G236" s="140"/>
      <c r="H236" s="8"/>
      <c r="I236" s="9" t="str">
        <f t="array" ref="I236:L236">_xlfn.XLOOKUP(C236,'Neiva 2021 FASE I UNIFICADO'!$C$6:$C$540,'Neiva 2021 FASE I UNIFICADO'!$C$6:$F$540,"NO ESTA")</f>
        <v>INSTALACION SERVICIOS PROVISIONALES</v>
      </c>
      <c r="J236" s="9">
        <v>0</v>
      </c>
      <c r="K236" s="9">
        <v>0</v>
      </c>
      <c r="L236" s="9">
        <v>0</v>
      </c>
      <c r="M236" s="124">
        <f t="shared" si="27"/>
        <v>0</v>
      </c>
      <c r="N236" s="155">
        <f t="shared" si="23"/>
        <v>0</v>
      </c>
      <c r="O236" s="156">
        <f t="shared" si="24"/>
        <v>0</v>
      </c>
      <c r="P236" s="156">
        <f t="shared" si="25"/>
        <v>0</v>
      </c>
    </row>
    <row r="237" spans="2:16" s="9" customFormat="1" ht="35.1" customHeight="1" x14ac:dyDescent="0.25">
      <c r="B237" s="23" t="s">
        <v>1175</v>
      </c>
      <c r="C237" s="22" t="s">
        <v>1176</v>
      </c>
      <c r="D237" s="23" t="s">
        <v>374</v>
      </c>
      <c r="E237" s="12">
        <v>1</v>
      </c>
      <c r="F237" s="126">
        <v>549836</v>
      </c>
      <c r="G237" s="126">
        <f>ROUND(+F237*E237,2)</f>
        <v>549836</v>
      </c>
      <c r="H237" s="8"/>
      <c r="I237" s="9" t="str">
        <f t="array" ref="I237">_xlfn.XLOOKUP(C237,'Neiva 2021 FASE I UNIFICADO'!$C$6:$C$540,'Neiva 2021 FASE I UNIFICADO'!$C$6:$F$540,"NO ESTA")</f>
        <v>NO ESTA</v>
      </c>
      <c r="M237" s="124">
        <f t="shared" si="27"/>
        <v>0</v>
      </c>
      <c r="N237" s="155">
        <f t="shared" si="23"/>
        <v>1</v>
      </c>
      <c r="O237" s="156">
        <f t="shared" si="24"/>
        <v>549836</v>
      </c>
      <c r="P237" s="156">
        <f t="shared" si="25"/>
        <v>549836</v>
      </c>
    </row>
    <row r="238" spans="2:16" s="9" customFormat="1" ht="35.1" customHeight="1" x14ac:dyDescent="0.25">
      <c r="B238" s="23" t="s">
        <v>1177</v>
      </c>
      <c r="C238" s="22" t="s">
        <v>1178</v>
      </c>
      <c r="D238" s="23" t="s">
        <v>374</v>
      </c>
      <c r="E238" s="12">
        <v>1</v>
      </c>
      <c r="F238" s="126">
        <v>3940517</v>
      </c>
      <c r="G238" s="126">
        <f>ROUND(+F238*E238,2)</f>
        <v>3940517</v>
      </c>
      <c r="H238" s="8"/>
      <c r="I238" s="9" t="str">
        <f t="array" ref="I238">_xlfn.XLOOKUP(C238,'Neiva 2021 FASE I UNIFICADO'!$C$6:$C$540,'Neiva 2021 FASE I UNIFICADO'!$C$6:$F$540,"NO ESTA")</f>
        <v>NO ESTA</v>
      </c>
      <c r="M238" s="124">
        <f t="shared" si="27"/>
        <v>0</v>
      </c>
      <c r="N238" s="155">
        <f t="shared" si="23"/>
        <v>1</v>
      </c>
      <c r="O238" s="156">
        <f t="shared" si="24"/>
        <v>3940517</v>
      </c>
      <c r="P238" s="156">
        <f t="shared" si="25"/>
        <v>3940517</v>
      </c>
    </row>
    <row r="239" spans="2:16" s="9" customFormat="1" ht="35.1" customHeight="1" x14ac:dyDescent="0.25">
      <c r="B239" s="13" t="s">
        <v>1179</v>
      </c>
      <c r="C239" s="14" t="s">
        <v>20</v>
      </c>
      <c r="D239" s="13"/>
      <c r="E239" s="15"/>
      <c r="F239" s="129"/>
      <c r="G239" s="140"/>
      <c r="H239" s="8"/>
      <c r="I239" s="9" t="str">
        <f t="array" ref="I239:L239">_xlfn.XLOOKUP(C239,'Neiva 2021 FASE I UNIFICADO'!$C$6:$C$540,'Neiva 2021 FASE I UNIFICADO'!$C$6:$F$540,"NO ESTA")</f>
        <v>DEMOLICIONES</v>
      </c>
      <c r="J239" s="9">
        <v>0</v>
      </c>
      <c r="K239" s="9">
        <v>0</v>
      </c>
      <c r="L239" s="9">
        <v>0</v>
      </c>
      <c r="M239" s="124">
        <f t="shared" si="27"/>
        <v>0</v>
      </c>
      <c r="N239" s="155">
        <f t="shared" si="23"/>
        <v>0</v>
      </c>
      <c r="O239" s="156">
        <f t="shared" si="24"/>
        <v>0</v>
      </c>
      <c r="P239" s="156">
        <f t="shared" si="25"/>
        <v>0</v>
      </c>
    </row>
    <row r="240" spans="2:16" s="9" customFormat="1" ht="35.1" customHeight="1" x14ac:dyDescent="0.25">
      <c r="B240" s="23" t="s">
        <v>1180</v>
      </c>
      <c r="C240" s="22" t="s">
        <v>1181</v>
      </c>
      <c r="D240" s="23" t="s">
        <v>1182</v>
      </c>
      <c r="E240" s="12">
        <v>1</v>
      </c>
      <c r="F240" s="126">
        <v>1927050</v>
      </c>
      <c r="G240" s="126">
        <f>ROUND(+F240*E240,2)</f>
        <v>1927050</v>
      </c>
      <c r="H240" s="8"/>
      <c r="I240" s="9" t="str">
        <f t="array" ref="I240">_xlfn.XLOOKUP(C240,'Neiva 2021 FASE I UNIFICADO'!$C$6:$C$540,'Neiva 2021 FASE I UNIFICADO'!$C$6:$F$540,"NO ESTA")</f>
        <v>NO ESTA</v>
      </c>
      <c r="M240" s="124">
        <f t="shared" si="27"/>
        <v>0</v>
      </c>
      <c r="N240" s="155">
        <f t="shared" si="23"/>
        <v>1</v>
      </c>
      <c r="O240" s="156">
        <f t="shared" si="24"/>
        <v>1927050</v>
      </c>
      <c r="P240" s="156">
        <f t="shared" si="25"/>
        <v>1927050</v>
      </c>
    </row>
    <row r="241" spans="2:16" s="9" customFormat="1" ht="35.1" customHeight="1" x14ac:dyDescent="0.25">
      <c r="B241" s="13" t="s">
        <v>1183</v>
      </c>
      <c r="C241" s="14" t="s">
        <v>1184</v>
      </c>
      <c r="D241" s="13"/>
      <c r="E241" s="15"/>
      <c r="F241" s="129"/>
      <c r="G241" s="140"/>
      <c r="H241" s="8"/>
      <c r="I241" s="9" t="str">
        <f t="array" ref="I241">_xlfn.XLOOKUP(C241,'Neiva 2021 FASE I UNIFICADO'!$C$6:$C$540,'Neiva 2021 FASE I UNIFICADO'!$C$6:$F$540,"NO ESTA")</f>
        <v>NO ESTA</v>
      </c>
      <c r="M241" s="124">
        <f t="shared" si="27"/>
        <v>0</v>
      </c>
      <c r="N241" s="155">
        <f t="shared" si="23"/>
        <v>0</v>
      </c>
      <c r="O241" s="156">
        <f t="shared" si="24"/>
        <v>0</v>
      </c>
      <c r="P241" s="156">
        <f t="shared" si="25"/>
        <v>0</v>
      </c>
    </row>
    <row r="242" spans="2:16" s="9" customFormat="1" ht="35.1" customHeight="1" x14ac:dyDescent="0.25">
      <c r="B242" s="10" t="s">
        <v>1185</v>
      </c>
      <c r="C242" s="11" t="s">
        <v>1186</v>
      </c>
      <c r="D242" s="10" t="s">
        <v>30</v>
      </c>
      <c r="E242" s="12">
        <v>79.201499999999996</v>
      </c>
      <c r="F242" s="126">
        <v>31642</v>
      </c>
      <c r="G242" s="126">
        <f>ROUND(+F242*E242,2)</f>
        <v>2506093.86</v>
      </c>
      <c r="H242" s="8"/>
      <c r="I242" s="9" t="str">
        <f t="array" ref="I242">_xlfn.XLOOKUP(C242,'Neiva 2021 FASE I UNIFICADO'!$C$6:$C$540,'Neiva 2021 FASE I UNIFICADO'!$C$6:$F$540,"NO ESTA")</f>
        <v>NO ESTA</v>
      </c>
      <c r="M242" s="124">
        <f t="shared" si="27"/>
        <v>0</v>
      </c>
      <c r="N242" s="155">
        <f t="shared" si="23"/>
        <v>79.201499999999996</v>
      </c>
      <c r="O242" s="156">
        <f t="shared" si="24"/>
        <v>31642</v>
      </c>
      <c r="P242" s="156">
        <f t="shared" si="25"/>
        <v>2506093.8629999999</v>
      </c>
    </row>
    <row r="243" spans="2:16" s="9" customFormat="1" ht="35.1" customHeight="1" x14ac:dyDescent="0.25">
      <c r="B243" s="10" t="s">
        <v>1187</v>
      </c>
      <c r="C243" s="20" t="s">
        <v>1188</v>
      </c>
      <c r="D243" s="10" t="s">
        <v>30</v>
      </c>
      <c r="E243" s="12">
        <v>110</v>
      </c>
      <c r="F243" s="126">
        <v>143745</v>
      </c>
      <c r="G243" s="126">
        <f>ROUND(+F243*E243,2)</f>
        <v>15811950</v>
      </c>
      <c r="H243" s="8"/>
      <c r="I243" s="9" t="str">
        <f t="array" ref="I243">_xlfn.XLOOKUP(C243,'Neiva 2021 FASE I UNIFICADO'!$C$6:$C$540,'Neiva 2021 FASE I UNIFICADO'!$C$6:$F$540,"NO ESTA")</f>
        <v>NO ESTA</v>
      </c>
      <c r="M243" s="124">
        <f t="shared" si="27"/>
        <v>0</v>
      </c>
      <c r="N243" s="155">
        <f t="shared" si="23"/>
        <v>110</v>
      </c>
      <c r="O243" s="156">
        <f t="shared" si="24"/>
        <v>143745</v>
      </c>
      <c r="P243" s="156">
        <f t="shared" si="25"/>
        <v>15811950</v>
      </c>
    </row>
    <row r="244" spans="2:16" s="9" customFormat="1" ht="35.1" customHeight="1" x14ac:dyDescent="0.25">
      <c r="B244" s="10" t="s">
        <v>1189</v>
      </c>
      <c r="C244" s="22" t="s">
        <v>422</v>
      </c>
      <c r="D244" s="10" t="s">
        <v>30</v>
      </c>
      <c r="E244" s="12">
        <v>64.790000000000006</v>
      </c>
      <c r="F244" s="126">
        <v>75587</v>
      </c>
      <c r="G244" s="126">
        <f>ROUND(+F244*E244,2)</f>
        <v>4897281.7300000004</v>
      </c>
      <c r="H244" s="8"/>
      <c r="I244" s="9" t="str">
        <f t="array" ref="I244:L244">_xlfn.XLOOKUP(C244,'Neiva 2021 FASE I UNIFICADO'!$C$6:$C$540,'Neiva 2021 FASE I UNIFICADO'!$C$6:$F$540,"NO ESTA")</f>
        <v xml:space="preserve">RELLENO EN ARENA INCLUYE TRANSPORTE Y COLOCACIÓN       </v>
      </c>
      <c r="J244" s="9" t="str">
        <v xml:space="preserve">M3   </v>
      </c>
      <c r="K244" s="9">
        <v>28</v>
      </c>
      <c r="L244" s="9">
        <v>69956</v>
      </c>
      <c r="M244" s="124" t="str">
        <f t="shared" si="27"/>
        <v>FASE II</v>
      </c>
      <c r="N244" s="155">
        <f t="shared" si="23"/>
        <v>92.79</v>
      </c>
      <c r="O244" s="156">
        <f t="shared" si="24"/>
        <v>75587</v>
      </c>
      <c r="P244" s="156">
        <f t="shared" si="25"/>
        <v>7013717.7300000004</v>
      </c>
    </row>
    <row r="245" spans="2:16" s="9" customFormat="1" ht="35.1" customHeight="1" x14ac:dyDescent="0.25">
      <c r="B245" s="10" t="s">
        <v>1190</v>
      </c>
      <c r="C245" s="11" t="s">
        <v>1191</v>
      </c>
      <c r="D245" s="10" t="s">
        <v>30</v>
      </c>
      <c r="E245" s="12">
        <v>2</v>
      </c>
      <c r="F245" s="126">
        <v>518935</v>
      </c>
      <c r="G245" s="126">
        <f>ROUND(+F245*E245,2)</f>
        <v>1037870</v>
      </c>
      <c r="H245" s="8"/>
      <c r="I245" s="9" t="str">
        <f t="array" ref="I245">_xlfn.XLOOKUP(C245,'Neiva 2021 FASE I UNIFICADO'!$C$6:$C$540,'Neiva 2021 FASE I UNIFICADO'!$C$6:$F$540,"NO ESTA")</f>
        <v>NO ESTA</v>
      </c>
      <c r="M245" s="124">
        <f t="shared" si="27"/>
        <v>0</v>
      </c>
      <c r="N245" s="155">
        <f t="shared" si="23"/>
        <v>2</v>
      </c>
      <c r="O245" s="156">
        <f t="shared" si="24"/>
        <v>518935</v>
      </c>
      <c r="P245" s="156">
        <f t="shared" si="25"/>
        <v>1037870</v>
      </c>
    </row>
    <row r="246" spans="2:16" s="9" customFormat="1" ht="35.1" customHeight="1" x14ac:dyDescent="0.25">
      <c r="B246" s="10" t="s">
        <v>1192</v>
      </c>
      <c r="C246" s="11" t="s">
        <v>1193</v>
      </c>
      <c r="D246" s="10" t="s">
        <v>30</v>
      </c>
      <c r="E246" s="12">
        <v>139.05000000000001</v>
      </c>
      <c r="F246" s="126">
        <v>34334</v>
      </c>
      <c r="G246" s="126">
        <f>ROUND(+F246*E246,2)</f>
        <v>4774142.7</v>
      </c>
      <c r="H246" s="8"/>
      <c r="I246" s="9" t="str">
        <f t="array" ref="I246">_xlfn.XLOOKUP(C246,'Neiva 2021 FASE I UNIFICADO'!$C$6:$C$540,'Neiva 2021 FASE I UNIFICADO'!$C$6:$F$540,"NO ESTA")</f>
        <v>NO ESTA</v>
      </c>
      <c r="M246" s="124">
        <f t="shared" si="27"/>
        <v>0</v>
      </c>
      <c r="N246" s="155">
        <f t="shared" si="23"/>
        <v>139.05000000000001</v>
      </c>
      <c r="O246" s="156">
        <f t="shared" si="24"/>
        <v>34334</v>
      </c>
      <c r="P246" s="156">
        <f t="shared" si="25"/>
        <v>4774142.7</v>
      </c>
    </row>
    <row r="247" spans="2:16" s="9" customFormat="1" ht="35.1" customHeight="1" x14ac:dyDescent="0.25">
      <c r="B247" s="32" t="s">
        <v>1194</v>
      </c>
      <c r="C247" s="14" t="s">
        <v>1195</v>
      </c>
      <c r="D247" s="24"/>
      <c r="E247" s="15"/>
      <c r="F247" s="129"/>
      <c r="G247" s="140"/>
      <c r="H247" s="8"/>
      <c r="I247" s="9" t="str">
        <f t="array" ref="I247">_xlfn.XLOOKUP(C247,'Neiva 2021 FASE I UNIFICADO'!$C$6:$C$540,'Neiva 2021 FASE I UNIFICADO'!$C$6:$F$540,"NO ESTA")</f>
        <v>NO ESTA</v>
      </c>
      <c r="M247" s="124">
        <f t="shared" si="27"/>
        <v>0</v>
      </c>
      <c r="N247" s="155">
        <f t="shared" si="23"/>
        <v>0</v>
      </c>
      <c r="O247" s="156">
        <f t="shared" si="24"/>
        <v>0</v>
      </c>
      <c r="P247" s="156">
        <f t="shared" si="25"/>
        <v>0</v>
      </c>
    </row>
    <row r="248" spans="2:16" s="9" customFormat="1" ht="35.1" customHeight="1" x14ac:dyDescent="0.25">
      <c r="B248" s="10" t="s">
        <v>1196</v>
      </c>
      <c r="C248" s="20" t="s">
        <v>1197</v>
      </c>
      <c r="D248" s="10" t="s">
        <v>13</v>
      </c>
      <c r="E248" s="12">
        <v>185.11</v>
      </c>
      <c r="F248" s="126">
        <v>77740</v>
      </c>
      <c r="G248" s="126">
        <f>ROUND(+F248*E248,2)</f>
        <v>14390451.4</v>
      </c>
      <c r="H248" s="8"/>
      <c r="I248" s="9" t="str">
        <f t="array" ref="I248">_xlfn.XLOOKUP(C248,'Neiva 2021 FASE I UNIFICADO'!$C$6:$C$540,'Neiva 2021 FASE I UNIFICADO'!$C$6:$F$540,"NO ESTA")</f>
        <v>NO ESTA</v>
      </c>
      <c r="M248" s="124">
        <f t="shared" si="27"/>
        <v>0</v>
      </c>
      <c r="N248" s="155">
        <f t="shared" si="23"/>
        <v>185.11</v>
      </c>
      <c r="O248" s="156">
        <f t="shared" si="24"/>
        <v>77740</v>
      </c>
      <c r="P248" s="156">
        <f t="shared" si="25"/>
        <v>14390451.4</v>
      </c>
    </row>
    <row r="249" spans="2:16" s="9" customFormat="1" ht="35.1" customHeight="1" x14ac:dyDescent="0.25">
      <c r="B249" s="10" t="s">
        <v>1198</v>
      </c>
      <c r="C249" s="11" t="s">
        <v>1199</v>
      </c>
      <c r="D249" s="10" t="s">
        <v>94</v>
      </c>
      <c r="E249" s="12">
        <v>72.05</v>
      </c>
      <c r="F249" s="126">
        <v>46234</v>
      </c>
      <c r="G249" s="126">
        <f>ROUND(+F249*E249,2)</f>
        <v>3331159.7</v>
      </c>
      <c r="H249" s="8"/>
      <c r="I249" s="9" t="str">
        <f t="array" ref="I249">_xlfn.XLOOKUP(C249,'Neiva 2021 FASE I UNIFICADO'!$C$6:$C$540,'Neiva 2021 FASE I UNIFICADO'!$C$6:$F$540,"NO ESTA")</f>
        <v>NO ESTA</v>
      </c>
      <c r="M249" s="124">
        <f t="shared" si="27"/>
        <v>0</v>
      </c>
      <c r="N249" s="155">
        <f t="shared" si="23"/>
        <v>72.05</v>
      </c>
      <c r="O249" s="156">
        <f t="shared" si="24"/>
        <v>46234</v>
      </c>
      <c r="P249" s="156">
        <f t="shared" si="25"/>
        <v>3331159.6999999997</v>
      </c>
    </row>
    <row r="250" spans="2:16" s="9" customFormat="1" ht="35.1" customHeight="1" x14ac:dyDescent="0.25">
      <c r="B250" s="10" t="s">
        <v>1200</v>
      </c>
      <c r="C250" s="11" t="s">
        <v>1201</v>
      </c>
      <c r="D250" s="10" t="s">
        <v>94</v>
      </c>
      <c r="E250" s="12">
        <v>303.41000000000003</v>
      </c>
      <c r="F250" s="126">
        <v>70666</v>
      </c>
      <c r="G250" s="126">
        <f>ROUND(+F250*E250,2)</f>
        <v>21440771.059999999</v>
      </c>
      <c r="H250" s="8"/>
      <c r="I250" s="9" t="str">
        <f t="array" ref="I250">_xlfn.XLOOKUP(C250,'Neiva 2021 FASE I UNIFICADO'!$C$6:$C$540,'Neiva 2021 FASE I UNIFICADO'!$C$6:$F$540,"NO ESTA")</f>
        <v>NO ESTA</v>
      </c>
      <c r="M250" s="124">
        <f t="shared" si="27"/>
        <v>0</v>
      </c>
      <c r="N250" s="155">
        <f t="shared" si="23"/>
        <v>303.41000000000003</v>
      </c>
      <c r="O250" s="156">
        <f t="shared" si="24"/>
        <v>70666</v>
      </c>
      <c r="P250" s="156">
        <f t="shared" si="25"/>
        <v>21440771.060000002</v>
      </c>
    </row>
    <row r="251" spans="2:16" s="9" customFormat="1" ht="35.1" customHeight="1" x14ac:dyDescent="0.25">
      <c r="B251" s="10" t="s">
        <v>1202</v>
      </c>
      <c r="C251" s="11" t="s">
        <v>1203</v>
      </c>
      <c r="D251" s="10" t="s">
        <v>13</v>
      </c>
      <c r="E251" s="12">
        <v>433</v>
      </c>
      <c r="F251" s="126">
        <v>15630</v>
      </c>
      <c r="G251" s="126">
        <f>ROUND(+F251*E251,2)</f>
        <v>6767790</v>
      </c>
      <c r="H251" s="8"/>
      <c r="I251" s="9" t="str">
        <f t="array" ref="I251">_xlfn.XLOOKUP(C251,'Neiva 2021 FASE I UNIFICADO'!$C$6:$C$540,'Neiva 2021 FASE I UNIFICADO'!$C$6:$F$540,"NO ESTA")</f>
        <v>NO ESTA</v>
      </c>
      <c r="M251" s="124">
        <f t="shared" si="27"/>
        <v>0</v>
      </c>
      <c r="N251" s="155">
        <f t="shared" si="23"/>
        <v>433</v>
      </c>
      <c r="O251" s="156">
        <f t="shared" si="24"/>
        <v>15630</v>
      </c>
      <c r="P251" s="156">
        <f t="shared" si="25"/>
        <v>6767790</v>
      </c>
    </row>
    <row r="252" spans="2:16" s="9" customFormat="1" ht="35.1" customHeight="1" x14ac:dyDescent="0.25">
      <c r="B252" s="13" t="s">
        <v>1204</v>
      </c>
      <c r="C252" s="14" t="s">
        <v>1205</v>
      </c>
      <c r="D252" s="13"/>
      <c r="E252" s="15"/>
      <c r="F252" s="129"/>
      <c r="G252" s="140"/>
      <c r="H252" s="8"/>
      <c r="I252" s="9" t="str">
        <f t="array" ref="I252">_xlfn.XLOOKUP(C252,'Neiva 2021 FASE I UNIFICADO'!$C$6:$C$540,'Neiva 2021 FASE I UNIFICADO'!$C$6:$F$540,"NO ESTA")</f>
        <v>NO ESTA</v>
      </c>
      <c r="M252" s="124">
        <f t="shared" si="27"/>
        <v>0</v>
      </c>
      <c r="N252" s="155">
        <f t="shared" si="23"/>
        <v>0</v>
      </c>
      <c r="O252" s="156">
        <f t="shared" si="24"/>
        <v>0</v>
      </c>
      <c r="P252" s="156">
        <f t="shared" si="25"/>
        <v>0</v>
      </c>
    </row>
    <row r="253" spans="2:16" s="9" customFormat="1" ht="35.1" customHeight="1" x14ac:dyDescent="0.25">
      <c r="B253" s="23" t="s">
        <v>1206</v>
      </c>
      <c r="C253" s="11" t="s">
        <v>1207</v>
      </c>
      <c r="D253" s="10" t="s">
        <v>16</v>
      </c>
      <c r="E253" s="12">
        <v>4</v>
      </c>
      <c r="F253" s="126">
        <v>770952</v>
      </c>
      <c r="G253" s="126">
        <f t="shared" ref="G253:G258" si="30">ROUND(+F253*E253,2)</f>
        <v>3083808</v>
      </c>
      <c r="H253" s="8"/>
      <c r="I253" s="9" t="str">
        <f t="array" ref="I253">_xlfn.XLOOKUP(C253,'Neiva 2021 FASE I UNIFICADO'!$C$6:$C$540,'Neiva 2021 FASE I UNIFICADO'!$C$6:$F$540,"NO ESTA")</f>
        <v>NO ESTA</v>
      </c>
      <c r="M253" s="124">
        <f t="shared" si="27"/>
        <v>0</v>
      </c>
      <c r="N253" s="155">
        <f t="shared" si="23"/>
        <v>4</v>
      </c>
      <c r="O253" s="156">
        <f t="shared" si="24"/>
        <v>770952</v>
      </c>
      <c r="P253" s="156">
        <f t="shared" si="25"/>
        <v>3083808</v>
      </c>
    </row>
    <row r="254" spans="2:16" s="9" customFormat="1" ht="35.1" customHeight="1" x14ac:dyDescent="0.25">
      <c r="B254" s="23" t="s">
        <v>1208</v>
      </c>
      <c r="C254" s="11" t="s">
        <v>1209</v>
      </c>
      <c r="D254" s="10" t="s">
        <v>16</v>
      </c>
      <c r="E254" s="12">
        <v>6</v>
      </c>
      <c r="F254" s="126">
        <v>385502</v>
      </c>
      <c r="G254" s="126">
        <f t="shared" si="30"/>
        <v>2313012</v>
      </c>
      <c r="H254" s="8"/>
      <c r="I254" s="9" t="str">
        <f t="array" ref="I254">_xlfn.XLOOKUP(C254,'Neiva 2021 FASE I UNIFICADO'!$C$6:$C$540,'Neiva 2021 FASE I UNIFICADO'!$C$6:$F$540,"NO ESTA")</f>
        <v>NO ESTA</v>
      </c>
      <c r="M254" s="124">
        <f t="shared" si="27"/>
        <v>0</v>
      </c>
      <c r="N254" s="155">
        <f t="shared" si="23"/>
        <v>6</v>
      </c>
      <c r="O254" s="156">
        <f t="shared" si="24"/>
        <v>385502</v>
      </c>
      <c r="P254" s="156">
        <f t="shared" si="25"/>
        <v>2313012</v>
      </c>
    </row>
    <row r="255" spans="2:16" s="9" customFormat="1" ht="35.1" customHeight="1" x14ac:dyDescent="0.25">
      <c r="B255" s="23" t="s">
        <v>1210</v>
      </c>
      <c r="C255" s="11" t="s">
        <v>1211</v>
      </c>
      <c r="D255" s="10" t="s">
        <v>16</v>
      </c>
      <c r="E255" s="12">
        <v>1</v>
      </c>
      <c r="F255" s="126">
        <v>9636031</v>
      </c>
      <c r="G255" s="126">
        <f t="shared" si="30"/>
        <v>9636031</v>
      </c>
      <c r="H255" s="8"/>
      <c r="I255" s="9" t="str">
        <f t="array" ref="I255">_xlfn.XLOOKUP(C255,'Neiva 2021 FASE I UNIFICADO'!$C$6:$C$540,'Neiva 2021 FASE I UNIFICADO'!$C$6:$F$540,"NO ESTA")</f>
        <v>NO ESTA</v>
      </c>
      <c r="M255" s="124">
        <f t="shared" si="27"/>
        <v>0</v>
      </c>
      <c r="N255" s="155">
        <f t="shared" si="23"/>
        <v>1</v>
      </c>
      <c r="O255" s="156">
        <f t="shared" si="24"/>
        <v>9636031</v>
      </c>
      <c r="P255" s="156">
        <f t="shared" si="25"/>
        <v>9636031</v>
      </c>
    </row>
    <row r="256" spans="2:16" s="9" customFormat="1" ht="35.1" customHeight="1" x14ac:dyDescent="0.25">
      <c r="B256" s="23" t="s">
        <v>1212</v>
      </c>
      <c r="C256" s="22" t="s">
        <v>1213</v>
      </c>
      <c r="D256" s="10" t="s">
        <v>16</v>
      </c>
      <c r="E256" s="12">
        <v>3</v>
      </c>
      <c r="F256" s="126">
        <v>231670</v>
      </c>
      <c r="G256" s="126">
        <f t="shared" si="30"/>
        <v>695010</v>
      </c>
      <c r="H256" s="8"/>
      <c r="I256" s="9" t="str">
        <f t="array" ref="I256">_xlfn.XLOOKUP(C256,'Neiva 2021 FASE I UNIFICADO'!$C$6:$C$540,'Neiva 2021 FASE I UNIFICADO'!$C$6:$F$540,"NO ESTA")</f>
        <v>NO ESTA</v>
      </c>
      <c r="M256" s="124">
        <f t="shared" si="27"/>
        <v>0</v>
      </c>
      <c r="N256" s="155">
        <f t="shared" si="23"/>
        <v>3</v>
      </c>
      <c r="O256" s="156">
        <f t="shared" si="24"/>
        <v>231670</v>
      </c>
      <c r="P256" s="156">
        <f t="shared" si="25"/>
        <v>695010</v>
      </c>
    </row>
    <row r="257" spans="2:16" s="9" customFormat="1" ht="35.1" customHeight="1" x14ac:dyDescent="0.25">
      <c r="B257" s="23" t="s">
        <v>1214</v>
      </c>
      <c r="C257" s="22" t="s">
        <v>1215</v>
      </c>
      <c r="D257" s="10" t="s">
        <v>16</v>
      </c>
      <c r="E257" s="12">
        <v>3</v>
      </c>
      <c r="F257" s="126">
        <v>321336</v>
      </c>
      <c r="G257" s="126">
        <f t="shared" si="30"/>
        <v>964008</v>
      </c>
      <c r="H257" s="8"/>
      <c r="I257" s="9" t="str">
        <f t="array" ref="I257">_xlfn.XLOOKUP(C257,'Neiva 2021 FASE I UNIFICADO'!$C$6:$C$540,'Neiva 2021 FASE I UNIFICADO'!$C$6:$F$540,"NO ESTA")</f>
        <v>NO ESTA</v>
      </c>
      <c r="M257" s="124">
        <f t="shared" si="27"/>
        <v>0</v>
      </c>
      <c r="N257" s="155">
        <f t="shared" si="23"/>
        <v>3</v>
      </c>
      <c r="O257" s="156">
        <f t="shared" si="24"/>
        <v>321336</v>
      </c>
      <c r="P257" s="156">
        <f t="shared" si="25"/>
        <v>964008</v>
      </c>
    </row>
    <row r="258" spans="2:16" s="9" customFormat="1" ht="35.1" customHeight="1" x14ac:dyDescent="0.25">
      <c r="B258" s="23" t="s">
        <v>1216</v>
      </c>
      <c r="C258" s="22" t="s">
        <v>1217</v>
      </c>
      <c r="D258" s="10" t="s">
        <v>16</v>
      </c>
      <c r="E258" s="12">
        <v>1</v>
      </c>
      <c r="F258" s="126">
        <v>385571</v>
      </c>
      <c r="G258" s="126">
        <f t="shared" si="30"/>
        <v>385571</v>
      </c>
      <c r="H258" s="8"/>
      <c r="I258" s="9" t="str">
        <f t="array" ref="I258">_xlfn.XLOOKUP(C258,'Neiva 2021 FASE I UNIFICADO'!$C$6:$C$540,'Neiva 2021 FASE I UNIFICADO'!$C$6:$F$540,"NO ESTA")</f>
        <v>NO ESTA</v>
      </c>
      <c r="M258" s="124">
        <f t="shared" si="27"/>
        <v>0</v>
      </c>
      <c r="N258" s="155">
        <f t="shared" si="23"/>
        <v>1</v>
      </c>
      <c r="O258" s="156">
        <f t="shared" si="24"/>
        <v>385571</v>
      </c>
      <c r="P258" s="156">
        <f t="shared" si="25"/>
        <v>385571</v>
      </c>
    </row>
    <row r="259" spans="2:16" s="9" customFormat="1" ht="35.1" customHeight="1" x14ac:dyDescent="0.25">
      <c r="B259" s="13" t="s">
        <v>1218</v>
      </c>
      <c r="C259" s="14" t="s">
        <v>1219</v>
      </c>
      <c r="D259" s="13"/>
      <c r="E259" s="15"/>
      <c r="F259" s="129"/>
      <c r="G259" s="140"/>
      <c r="H259" s="8"/>
      <c r="I259" s="9" t="str">
        <f t="array" ref="I259">_xlfn.XLOOKUP(C259,'Neiva 2021 FASE I UNIFICADO'!$C$6:$C$540,'Neiva 2021 FASE I UNIFICADO'!$C$6:$F$540,"NO ESTA")</f>
        <v>NO ESTA</v>
      </c>
      <c r="M259" s="124">
        <f t="shared" si="27"/>
        <v>0</v>
      </c>
      <c r="N259" s="155">
        <f t="shared" si="23"/>
        <v>0</v>
      </c>
      <c r="O259" s="156">
        <f t="shared" si="24"/>
        <v>0</v>
      </c>
      <c r="P259" s="156">
        <f t="shared" si="25"/>
        <v>0</v>
      </c>
    </row>
    <row r="260" spans="2:16" s="9" customFormat="1" ht="35.1" customHeight="1" x14ac:dyDescent="0.25">
      <c r="B260" s="10" t="s">
        <v>1220</v>
      </c>
      <c r="C260" s="11" t="s">
        <v>1221</v>
      </c>
      <c r="D260" s="10" t="s">
        <v>16</v>
      </c>
      <c r="E260" s="12">
        <v>8</v>
      </c>
      <c r="F260" s="126">
        <v>3218117</v>
      </c>
      <c r="G260" s="126">
        <f>ROUND(+F260*E260,2)</f>
        <v>25744936</v>
      </c>
      <c r="H260" s="8"/>
      <c r="I260" s="9" t="str">
        <f t="array" ref="I260">_xlfn.XLOOKUP(C260,'Neiva 2021 FASE I UNIFICADO'!$C$6:$C$540,'Neiva 2021 FASE I UNIFICADO'!$C$6:$F$540,"NO ESTA")</f>
        <v>NO ESTA</v>
      </c>
      <c r="M260" s="124">
        <f t="shared" si="27"/>
        <v>0</v>
      </c>
      <c r="N260" s="155">
        <f t="shared" si="23"/>
        <v>8</v>
      </c>
      <c r="O260" s="156">
        <f t="shared" si="24"/>
        <v>3218117</v>
      </c>
      <c r="P260" s="156">
        <f t="shared" si="25"/>
        <v>25744936</v>
      </c>
    </row>
    <row r="261" spans="2:16" s="9" customFormat="1" ht="35.1" customHeight="1" x14ac:dyDescent="0.25">
      <c r="B261" s="33">
        <v>12</v>
      </c>
      <c r="C261" s="34" t="s">
        <v>264</v>
      </c>
      <c r="D261" s="34"/>
      <c r="E261" s="35"/>
      <c r="F261" s="132"/>
      <c r="G261" s="144"/>
      <c r="H261" s="8"/>
      <c r="M261" s="124">
        <f t="shared" si="27"/>
        <v>0</v>
      </c>
      <c r="N261" s="155">
        <f t="shared" si="23"/>
        <v>0</v>
      </c>
      <c r="O261" s="156">
        <f t="shared" si="24"/>
        <v>0</v>
      </c>
      <c r="P261" s="156">
        <f t="shared" si="25"/>
        <v>0</v>
      </c>
    </row>
    <row r="262" spans="2:16" s="9" customFormat="1" ht="35.1" customHeight="1" x14ac:dyDescent="0.25">
      <c r="B262" s="42" t="s">
        <v>265</v>
      </c>
      <c r="C262" s="43" t="s">
        <v>266</v>
      </c>
      <c r="D262" s="24"/>
      <c r="E262" s="15"/>
      <c r="F262" s="129"/>
      <c r="G262" s="140"/>
      <c r="H262" s="8"/>
      <c r="M262" s="124">
        <f t="shared" si="27"/>
        <v>0</v>
      </c>
      <c r="N262" s="155">
        <f t="shared" ref="N262:N325" si="31">E262+K262</f>
        <v>0</v>
      </c>
      <c r="O262" s="156">
        <f t="shared" ref="O262:O325" si="32">MAX(L262,F262)</f>
        <v>0</v>
      </c>
      <c r="P262" s="156">
        <f t="shared" ref="P262:P325" si="33">N262*O262</f>
        <v>0</v>
      </c>
    </row>
    <row r="263" spans="2:16" s="9" customFormat="1" ht="35.1" customHeight="1" x14ac:dyDescent="0.25">
      <c r="B263" s="44" t="s">
        <v>267</v>
      </c>
      <c r="C263" s="22" t="s">
        <v>268</v>
      </c>
      <c r="D263" s="23" t="s">
        <v>269</v>
      </c>
      <c r="E263" s="12">
        <v>121</v>
      </c>
      <c r="F263" s="126">
        <v>12676</v>
      </c>
      <c r="G263" s="126">
        <f t="shared" ref="G263:G291" si="34">ROUND(+F263*E263,2)</f>
        <v>1533796</v>
      </c>
      <c r="H263" s="8"/>
      <c r="I263" s="9" t="str">
        <f t="array" ref="I263:L263">_xlfn.XLOOKUP(C263,'Neiva 2021 FASE I UNIFICADO'!$C$6:$C$540,'Neiva 2021 FASE I UNIFICADO'!$C$6:$F$540,"NO ESTA")</f>
        <v>SUMINISTRO E INSTALACIÓN TUBERIA PVC-P DIAMETRO 1/2" RDE 9</v>
      </c>
      <c r="J263" s="9" t="str">
        <v xml:space="preserve">ML   </v>
      </c>
      <c r="K263" s="9">
        <v>45</v>
      </c>
      <c r="L263" s="9">
        <v>11732</v>
      </c>
      <c r="M263" s="124" t="str">
        <f t="shared" si="27"/>
        <v>FASE II</v>
      </c>
      <c r="N263" s="155">
        <f t="shared" si="31"/>
        <v>166</v>
      </c>
      <c r="O263" s="156">
        <f t="shared" si="32"/>
        <v>12676</v>
      </c>
      <c r="P263" s="156">
        <f t="shared" si="33"/>
        <v>2104216</v>
      </c>
    </row>
    <row r="264" spans="2:16" s="9" customFormat="1" ht="35.1" customHeight="1" x14ac:dyDescent="0.25">
      <c r="B264" s="44" t="s">
        <v>270</v>
      </c>
      <c r="C264" s="22" t="s">
        <v>271</v>
      </c>
      <c r="D264" s="23" t="s">
        <v>269</v>
      </c>
      <c r="E264" s="12">
        <v>49</v>
      </c>
      <c r="F264" s="126">
        <v>18861</v>
      </c>
      <c r="G264" s="126">
        <f t="shared" si="34"/>
        <v>924189</v>
      </c>
      <c r="H264" s="8"/>
      <c r="I264" s="9" t="str">
        <f t="array" ref="I264:L264">_xlfn.XLOOKUP(C264,'Neiva 2021 FASE I UNIFICADO'!$C$6:$C$540,'Neiva 2021 FASE I UNIFICADO'!$C$6:$F$540,"NO ESTA")</f>
        <v>SUMINISTRO E INSTALACIÓN TUBERIA PCV-P DIAMETRO 3/4" RDE 11</v>
      </c>
      <c r="J264" s="9" t="str">
        <v xml:space="preserve">ML   </v>
      </c>
      <c r="K264" s="9">
        <v>18</v>
      </c>
      <c r="L264" s="9">
        <v>17455</v>
      </c>
      <c r="M264" s="124" t="str">
        <f t="shared" ref="M264:M327" si="35">IF(L264=0,0,(IF(F264&lt;L264, "FASE I","FASE II")))</f>
        <v>FASE II</v>
      </c>
      <c r="N264" s="155">
        <f t="shared" si="31"/>
        <v>67</v>
      </c>
      <c r="O264" s="156">
        <f t="shared" si="32"/>
        <v>18861</v>
      </c>
      <c r="P264" s="156">
        <f t="shared" si="33"/>
        <v>1263687</v>
      </c>
    </row>
    <row r="265" spans="2:16" s="9" customFormat="1" ht="35.1" customHeight="1" x14ac:dyDescent="0.25">
      <c r="B265" s="44" t="s">
        <v>272</v>
      </c>
      <c r="C265" s="22" t="s">
        <v>273</v>
      </c>
      <c r="D265" s="23" t="s">
        <v>269</v>
      </c>
      <c r="E265" s="12">
        <v>40</v>
      </c>
      <c r="F265" s="126">
        <v>19999</v>
      </c>
      <c r="G265" s="126">
        <f t="shared" si="34"/>
        <v>799960</v>
      </c>
      <c r="H265" s="8"/>
      <c r="I265" s="9" t="str">
        <f t="array" ref="I265:L265">_xlfn.XLOOKUP(C265,'Neiva 2021 FASE I UNIFICADO'!$C$6:$C$540,'Neiva 2021 FASE I UNIFICADO'!$C$6:$F$540,"NO ESTA")</f>
        <v>SUMINISTRO E INSTALACIÓN TUBERIA PCV-P DIAMETRO 1" RDE 13,5</v>
      </c>
      <c r="J265" s="9" t="str">
        <v xml:space="preserve">ML   </v>
      </c>
      <c r="K265" s="9">
        <v>15</v>
      </c>
      <c r="L265" s="9">
        <v>18509</v>
      </c>
      <c r="M265" s="124" t="str">
        <f t="shared" si="35"/>
        <v>FASE II</v>
      </c>
      <c r="N265" s="155">
        <f t="shared" si="31"/>
        <v>55</v>
      </c>
      <c r="O265" s="156">
        <f t="shared" si="32"/>
        <v>19999</v>
      </c>
      <c r="P265" s="156">
        <f t="shared" si="33"/>
        <v>1099945</v>
      </c>
    </row>
    <row r="266" spans="2:16" s="9" customFormat="1" ht="35.1" customHeight="1" x14ac:dyDescent="0.25">
      <c r="B266" s="44" t="s">
        <v>274</v>
      </c>
      <c r="C266" s="22" t="s">
        <v>275</v>
      </c>
      <c r="D266" s="23" t="s">
        <v>269</v>
      </c>
      <c r="E266" s="12">
        <v>64</v>
      </c>
      <c r="F266" s="126">
        <v>21245</v>
      </c>
      <c r="G266" s="126">
        <f t="shared" si="34"/>
        <v>1359680</v>
      </c>
      <c r="H266" s="8"/>
      <c r="I266" s="9" t="str">
        <f t="array" ref="I266:L266">_xlfn.XLOOKUP(C266,'Neiva 2021 FASE I UNIFICADO'!$C$6:$C$540,'Neiva 2021 FASE I UNIFICADO'!$C$6:$F$540,"NO ESTA")</f>
        <v>SUMINISTRO E INSTALACIÓN TUBERIA PCV-P DIAMETRO 1 1/4" RDE 21</v>
      </c>
      <c r="J266" s="9" t="str">
        <v xml:space="preserve">ML   </v>
      </c>
      <c r="K266" s="9">
        <v>23</v>
      </c>
      <c r="L266" s="9">
        <v>19662</v>
      </c>
      <c r="M266" s="124" t="str">
        <f t="shared" si="35"/>
        <v>FASE II</v>
      </c>
      <c r="N266" s="155">
        <f t="shared" si="31"/>
        <v>87</v>
      </c>
      <c r="O266" s="156">
        <f t="shared" si="32"/>
        <v>21245</v>
      </c>
      <c r="P266" s="156">
        <f t="shared" si="33"/>
        <v>1848315</v>
      </c>
    </row>
    <row r="267" spans="2:16" s="9" customFormat="1" ht="35.1" customHeight="1" x14ac:dyDescent="0.25">
      <c r="B267" s="44" t="s">
        <v>276</v>
      </c>
      <c r="C267" s="22" t="s">
        <v>277</v>
      </c>
      <c r="D267" s="23" t="s">
        <v>269</v>
      </c>
      <c r="E267" s="12">
        <v>57</v>
      </c>
      <c r="F267" s="126">
        <v>27309</v>
      </c>
      <c r="G267" s="126">
        <f t="shared" si="34"/>
        <v>1556613</v>
      </c>
      <c r="H267" s="8"/>
      <c r="I267" s="9" t="str">
        <f t="array" ref="I267:L267">_xlfn.XLOOKUP(C267,'Neiva 2021 FASE I UNIFICADO'!$C$6:$C$540,'Neiva 2021 FASE I UNIFICADO'!$C$6:$F$540,"NO ESTA")</f>
        <v>SUMINISTRO E INSTALACIÓN TUBERIA PCV-P DIAMETRO 1 1/2" RDE 21</v>
      </c>
      <c r="J267" s="9" t="str">
        <v xml:space="preserve">ML   </v>
      </c>
      <c r="K267" s="9">
        <v>21</v>
      </c>
      <c r="L267" s="9">
        <v>25274</v>
      </c>
      <c r="M267" s="124" t="str">
        <f t="shared" si="35"/>
        <v>FASE II</v>
      </c>
      <c r="N267" s="155">
        <f t="shared" si="31"/>
        <v>78</v>
      </c>
      <c r="O267" s="156">
        <f t="shared" si="32"/>
        <v>27309</v>
      </c>
      <c r="P267" s="156">
        <f t="shared" si="33"/>
        <v>2130102</v>
      </c>
    </row>
    <row r="268" spans="2:16" s="9" customFormat="1" ht="35.1" customHeight="1" x14ac:dyDescent="0.25">
      <c r="B268" s="44" t="s">
        <v>278</v>
      </c>
      <c r="C268" s="22" t="s">
        <v>279</v>
      </c>
      <c r="D268" s="23" t="s">
        <v>269</v>
      </c>
      <c r="E268" s="12">
        <v>90</v>
      </c>
      <c r="F268" s="126">
        <v>39097</v>
      </c>
      <c r="G268" s="126">
        <f t="shared" si="34"/>
        <v>3518730</v>
      </c>
      <c r="H268" s="8"/>
      <c r="I268" s="9" t="str">
        <f t="array" ref="I268:L268">_xlfn.XLOOKUP(C268,'Neiva 2021 FASE I UNIFICADO'!$C$6:$C$540,'Neiva 2021 FASE I UNIFICADO'!$C$6:$F$540,"NO ESTA")</f>
        <v>SUMINISTRO E INSTALACIÓN TUBERIA PCV-P DIAMETRO 2" RDE 21</v>
      </c>
      <c r="J268" s="9" t="str">
        <v xml:space="preserve">ML   </v>
      </c>
      <c r="K268" s="9">
        <v>33</v>
      </c>
      <c r="L268" s="9">
        <v>36185</v>
      </c>
      <c r="M268" s="124" t="str">
        <f t="shared" si="35"/>
        <v>FASE II</v>
      </c>
      <c r="N268" s="155">
        <f t="shared" si="31"/>
        <v>123</v>
      </c>
      <c r="O268" s="156">
        <f t="shared" si="32"/>
        <v>39097</v>
      </c>
      <c r="P268" s="156">
        <f t="shared" si="33"/>
        <v>4808931</v>
      </c>
    </row>
    <row r="269" spans="2:16" s="9" customFormat="1" ht="35.1" customHeight="1" x14ac:dyDescent="0.25">
      <c r="B269" s="44" t="s">
        <v>280</v>
      </c>
      <c r="C269" s="22" t="s">
        <v>281</v>
      </c>
      <c r="D269" s="23" t="s">
        <v>269</v>
      </c>
      <c r="E269" s="12">
        <v>18</v>
      </c>
      <c r="F269" s="126">
        <v>52773</v>
      </c>
      <c r="G269" s="126">
        <f t="shared" si="34"/>
        <v>949914</v>
      </c>
      <c r="H269" s="8"/>
      <c r="I269" s="9" t="str">
        <f t="array" ref="I269:L269">_xlfn.XLOOKUP(C269,'Neiva 2021 FASE I UNIFICADO'!$C$6:$C$540,'Neiva 2021 FASE I UNIFICADO'!$C$6:$F$540,"NO ESTA")</f>
        <v>SUMINISTRO E INSTALACIÓN TUBERIA PCV-P DIAMETRO 2 1/2" RDE 21</v>
      </c>
      <c r="J269" s="9" t="str">
        <v xml:space="preserve">ML   </v>
      </c>
      <c r="K269" s="9">
        <v>7</v>
      </c>
      <c r="L269" s="9">
        <v>48841</v>
      </c>
      <c r="M269" s="124" t="str">
        <f t="shared" si="35"/>
        <v>FASE II</v>
      </c>
      <c r="N269" s="155">
        <f t="shared" si="31"/>
        <v>25</v>
      </c>
      <c r="O269" s="156">
        <f t="shared" si="32"/>
        <v>52773</v>
      </c>
      <c r="P269" s="156">
        <f t="shared" si="33"/>
        <v>1319325</v>
      </c>
    </row>
    <row r="270" spans="2:16" s="9" customFormat="1" ht="35.1" customHeight="1" x14ac:dyDescent="0.25">
      <c r="B270" s="44" t="s">
        <v>282</v>
      </c>
      <c r="C270" s="22" t="s">
        <v>283</v>
      </c>
      <c r="D270" s="23" t="s">
        <v>284</v>
      </c>
      <c r="E270" s="12">
        <v>105</v>
      </c>
      <c r="F270" s="126">
        <v>3281</v>
      </c>
      <c r="G270" s="126">
        <f t="shared" si="34"/>
        <v>344505</v>
      </c>
      <c r="H270" s="8"/>
      <c r="I270" s="9" t="str">
        <f t="array" ref="I270:L270">_xlfn.XLOOKUP(C270,'Neiva 2021 FASE I UNIFICADO'!$C$6:$C$540,'Neiva 2021 FASE I UNIFICADO'!$C$6:$F$540,"NO ESTA")</f>
        <v>SUMINISTRO E INSTALACIÓN ACCESORIOS PVC-P 1/2" SCH 40</v>
      </c>
      <c r="J270" s="9" t="str">
        <v xml:space="preserve">UN   </v>
      </c>
      <c r="K270" s="9">
        <v>39</v>
      </c>
      <c r="L270" s="9">
        <v>3037</v>
      </c>
      <c r="M270" s="124" t="str">
        <f t="shared" si="35"/>
        <v>FASE II</v>
      </c>
      <c r="N270" s="155">
        <f t="shared" si="31"/>
        <v>144</v>
      </c>
      <c r="O270" s="156">
        <f t="shared" si="32"/>
        <v>3281</v>
      </c>
      <c r="P270" s="156">
        <f t="shared" si="33"/>
        <v>472464</v>
      </c>
    </row>
    <row r="271" spans="2:16" s="9" customFormat="1" ht="35.1" customHeight="1" x14ac:dyDescent="0.25">
      <c r="B271" s="44" t="s">
        <v>285</v>
      </c>
      <c r="C271" s="22" t="s">
        <v>286</v>
      </c>
      <c r="D271" s="23" t="s">
        <v>284</v>
      </c>
      <c r="E271" s="12">
        <v>38</v>
      </c>
      <c r="F271" s="126">
        <v>3896</v>
      </c>
      <c r="G271" s="126">
        <f t="shared" si="34"/>
        <v>148048</v>
      </c>
      <c r="H271" s="8"/>
      <c r="I271" s="9" t="str">
        <f t="array" ref="I271:L271">_xlfn.XLOOKUP(C271,'Neiva 2021 FASE I UNIFICADO'!$C$6:$C$540,'Neiva 2021 FASE I UNIFICADO'!$C$6:$F$540,"NO ESTA")</f>
        <v>SUMINISTRO E INSTALACIÓN ACCESORIOS PVC-P 3/4" SCH 40</v>
      </c>
      <c r="J271" s="9" t="str">
        <v xml:space="preserve">UN   </v>
      </c>
      <c r="K271" s="9">
        <v>14</v>
      </c>
      <c r="L271" s="9">
        <v>3606</v>
      </c>
      <c r="M271" s="124" t="str">
        <f t="shared" si="35"/>
        <v>FASE II</v>
      </c>
      <c r="N271" s="155">
        <f t="shared" si="31"/>
        <v>52</v>
      </c>
      <c r="O271" s="156">
        <f t="shared" si="32"/>
        <v>3896</v>
      </c>
      <c r="P271" s="156">
        <f t="shared" si="33"/>
        <v>202592</v>
      </c>
    </row>
    <row r="272" spans="2:16" s="9" customFormat="1" ht="35.1" customHeight="1" x14ac:dyDescent="0.25">
      <c r="B272" s="44" t="s">
        <v>287</v>
      </c>
      <c r="C272" s="22" t="s">
        <v>288</v>
      </c>
      <c r="D272" s="23" t="s">
        <v>284</v>
      </c>
      <c r="E272" s="12">
        <v>30</v>
      </c>
      <c r="F272" s="126">
        <v>4602</v>
      </c>
      <c r="G272" s="126">
        <f t="shared" si="34"/>
        <v>138060</v>
      </c>
      <c r="H272" s="8"/>
      <c r="I272" s="9" t="str">
        <f t="array" ref="I272:L272">_xlfn.XLOOKUP(C272,'Neiva 2021 FASE I UNIFICADO'!$C$6:$C$540,'Neiva 2021 FASE I UNIFICADO'!$C$6:$F$540,"NO ESTA")</f>
        <v>SUMINISTRO E INSTALACIÓN ACCESORIOS PVC-P 1" SCH 40</v>
      </c>
      <c r="J272" s="9" t="str">
        <v xml:space="preserve">UN   </v>
      </c>
      <c r="K272" s="9">
        <v>11</v>
      </c>
      <c r="L272" s="9">
        <v>4260</v>
      </c>
      <c r="M272" s="124" t="str">
        <f t="shared" si="35"/>
        <v>FASE II</v>
      </c>
      <c r="N272" s="155">
        <f t="shared" si="31"/>
        <v>41</v>
      </c>
      <c r="O272" s="156">
        <f t="shared" si="32"/>
        <v>4602</v>
      </c>
      <c r="P272" s="156">
        <f t="shared" si="33"/>
        <v>188682</v>
      </c>
    </row>
    <row r="273" spans="2:16" s="9" customFormat="1" ht="35.1" customHeight="1" x14ac:dyDescent="0.25">
      <c r="B273" s="44" t="s">
        <v>289</v>
      </c>
      <c r="C273" s="22" t="s">
        <v>290</v>
      </c>
      <c r="D273" s="23" t="s">
        <v>284</v>
      </c>
      <c r="E273" s="12">
        <v>96</v>
      </c>
      <c r="F273" s="126">
        <v>7266</v>
      </c>
      <c r="G273" s="126">
        <f t="shared" si="34"/>
        <v>697536</v>
      </c>
      <c r="H273" s="8"/>
      <c r="I273" s="9" t="str">
        <f t="array" ref="I273:L273">_xlfn.XLOOKUP(C273,'Neiva 2021 FASE I UNIFICADO'!$C$6:$C$540,'Neiva 2021 FASE I UNIFICADO'!$C$6:$F$540,"NO ESTA")</f>
        <v>SUMINISTRO E INSTALACIÓN ACCESORIOS PVC-P 1 1/4" SCH 40</v>
      </c>
      <c r="J273" s="9" t="str">
        <v xml:space="preserve">UN   </v>
      </c>
      <c r="K273" s="9">
        <v>35</v>
      </c>
      <c r="L273" s="9">
        <v>6724</v>
      </c>
      <c r="M273" s="124" t="str">
        <f t="shared" si="35"/>
        <v>FASE II</v>
      </c>
      <c r="N273" s="155">
        <f t="shared" si="31"/>
        <v>131</v>
      </c>
      <c r="O273" s="156">
        <f t="shared" si="32"/>
        <v>7266</v>
      </c>
      <c r="P273" s="156">
        <f t="shared" si="33"/>
        <v>951846</v>
      </c>
    </row>
    <row r="274" spans="2:16" s="9" customFormat="1" ht="35.1" customHeight="1" x14ac:dyDescent="0.25">
      <c r="B274" s="44" t="s">
        <v>291</v>
      </c>
      <c r="C274" s="22" t="s">
        <v>292</v>
      </c>
      <c r="D274" s="23" t="s">
        <v>284</v>
      </c>
      <c r="E274" s="12">
        <v>82</v>
      </c>
      <c r="F274" s="126">
        <v>8958</v>
      </c>
      <c r="G274" s="126">
        <f t="shared" si="34"/>
        <v>734556</v>
      </c>
      <c r="H274" s="8"/>
      <c r="I274" s="9" t="str">
        <f t="array" ref="I274:L274">_xlfn.XLOOKUP(C274,'Neiva 2021 FASE I UNIFICADO'!$C$6:$C$540,'Neiva 2021 FASE I UNIFICADO'!$C$6:$F$540,"NO ESTA")</f>
        <v xml:space="preserve">SUMINISTRO E INSTALACIÓN ACCESORIOS PVC-P 1 1/2" SCH 40                                                </v>
      </c>
      <c r="J274" s="9" t="str">
        <v xml:space="preserve">UN   </v>
      </c>
      <c r="K274" s="9">
        <v>30</v>
      </c>
      <c r="L274" s="9">
        <v>8290</v>
      </c>
      <c r="M274" s="124" t="str">
        <f t="shared" si="35"/>
        <v>FASE II</v>
      </c>
      <c r="N274" s="155">
        <f t="shared" si="31"/>
        <v>112</v>
      </c>
      <c r="O274" s="156">
        <f t="shared" si="32"/>
        <v>8958</v>
      </c>
      <c r="P274" s="156">
        <f t="shared" si="33"/>
        <v>1003296</v>
      </c>
    </row>
    <row r="275" spans="2:16" s="9" customFormat="1" ht="35.1" customHeight="1" x14ac:dyDescent="0.25">
      <c r="B275" s="44" t="s">
        <v>293</v>
      </c>
      <c r="C275" s="22" t="s">
        <v>294</v>
      </c>
      <c r="D275" s="23" t="s">
        <v>284</v>
      </c>
      <c r="E275" s="12">
        <v>55</v>
      </c>
      <c r="F275" s="126">
        <v>12209</v>
      </c>
      <c r="G275" s="126">
        <f t="shared" si="34"/>
        <v>671495</v>
      </c>
      <c r="H275" s="8"/>
      <c r="I275" s="9" t="str">
        <f t="array" ref="I275:L275">_xlfn.XLOOKUP(C275,'Neiva 2021 FASE I UNIFICADO'!$C$6:$C$540,'Neiva 2021 FASE I UNIFICADO'!$C$6:$F$540,"NO ESTA")</f>
        <v>SUMINISTRO E INSTALACIÓN ACCESORIOS PVC-P 2" SCH 40</v>
      </c>
      <c r="J275" s="9" t="str">
        <v xml:space="preserve">UN   </v>
      </c>
      <c r="K275" s="9">
        <v>21</v>
      </c>
      <c r="L275" s="9">
        <v>11299</v>
      </c>
      <c r="M275" s="124" t="str">
        <f t="shared" si="35"/>
        <v>FASE II</v>
      </c>
      <c r="N275" s="155">
        <f t="shared" si="31"/>
        <v>76</v>
      </c>
      <c r="O275" s="156">
        <f t="shared" si="32"/>
        <v>12209</v>
      </c>
      <c r="P275" s="156">
        <f t="shared" si="33"/>
        <v>927884</v>
      </c>
    </row>
    <row r="276" spans="2:16" s="9" customFormat="1" ht="35.1" customHeight="1" x14ac:dyDescent="0.25">
      <c r="B276" s="44" t="s">
        <v>295</v>
      </c>
      <c r="C276" s="22" t="s">
        <v>296</v>
      </c>
      <c r="D276" s="23" t="s">
        <v>284</v>
      </c>
      <c r="E276" s="12">
        <v>12</v>
      </c>
      <c r="F276" s="126">
        <v>29710</v>
      </c>
      <c r="G276" s="126">
        <f t="shared" si="34"/>
        <v>356520</v>
      </c>
      <c r="H276" s="8"/>
      <c r="I276" s="9" t="str">
        <f t="array" ref="I276:L276">_xlfn.XLOOKUP(C276,'Neiva 2021 FASE I UNIFICADO'!$C$6:$C$540,'Neiva 2021 FASE I UNIFICADO'!$C$6:$F$540,"NO ESTA")</f>
        <v xml:space="preserve">SUMINISTRO E INSTALACIÓN ACCESORIOS PVC-P 2 1/2" SCH 40                                           </v>
      </c>
      <c r="J276" s="9" t="str">
        <v xml:space="preserve">UN   </v>
      </c>
      <c r="K276" s="9">
        <v>4</v>
      </c>
      <c r="L276" s="9">
        <v>27497</v>
      </c>
      <c r="M276" s="124" t="str">
        <f t="shared" si="35"/>
        <v>FASE II</v>
      </c>
      <c r="N276" s="155">
        <f t="shared" si="31"/>
        <v>16</v>
      </c>
      <c r="O276" s="156">
        <f t="shared" si="32"/>
        <v>29710</v>
      </c>
      <c r="P276" s="156">
        <f t="shared" si="33"/>
        <v>475360</v>
      </c>
    </row>
    <row r="277" spans="2:16" s="9" customFormat="1" ht="35.1" customHeight="1" x14ac:dyDescent="0.25">
      <c r="B277" s="44" t="s">
        <v>297</v>
      </c>
      <c r="C277" s="22" t="s">
        <v>298</v>
      </c>
      <c r="D277" s="23" t="s">
        <v>284</v>
      </c>
      <c r="E277" s="12">
        <v>49</v>
      </c>
      <c r="F277" s="126">
        <v>1705</v>
      </c>
      <c r="G277" s="126">
        <f t="shared" si="34"/>
        <v>83545</v>
      </c>
      <c r="H277" s="8"/>
      <c r="I277" s="9" t="str">
        <f t="array" ref="I277:L277">_xlfn.XLOOKUP(C277,'Neiva 2021 FASE I UNIFICADO'!$C$6:$C$540,'Neiva 2021 FASE I UNIFICADO'!$C$6:$F$540,"NO ESTA")</f>
        <v xml:space="preserve">SUMINISTRO E INSTALACIÓN SOPORTE DE 1/2"                                                                 </v>
      </c>
      <c r="J277" s="9" t="str">
        <v xml:space="preserve">UN   </v>
      </c>
      <c r="K277" s="9">
        <v>18</v>
      </c>
      <c r="L277" s="9">
        <v>1578</v>
      </c>
      <c r="M277" s="124" t="str">
        <f t="shared" si="35"/>
        <v>FASE II</v>
      </c>
      <c r="N277" s="155">
        <f t="shared" si="31"/>
        <v>67</v>
      </c>
      <c r="O277" s="156">
        <f t="shared" si="32"/>
        <v>1705</v>
      </c>
      <c r="P277" s="156">
        <f t="shared" si="33"/>
        <v>114235</v>
      </c>
    </row>
    <row r="278" spans="2:16" s="9" customFormat="1" ht="35.1" customHeight="1" x14ac:dyDescent="0.25">
      <c r="B278" s="44" t="s">
        <v>299</v>
      </c>
      <c r="C278" s="22" t="s">
        <v>300</v>
      </c>
      <c r="D278" s="23" t="s">
        <v>284</v>
      </c>
      <c r="E278" s="12">
        <v>18</v>
      </c>
      <c r="F278" s="126">
        <v>2289</v>
      </c>
      <c r="G278" s="126">
        <f t="shared" si="34"/>
        <v>41202</v>
      </c>
      <c r="H278" s="8"/>
      <c r="I278" s="9" t="str">
        <f t="array" ref="I278:L278">_xlfn.XLOOKUP(C278,'Neiva 2021 FASE I UNIFICADO'!$C$6:$C$540,'Neiva 2021 FASE I UNIFICADO'!$C$6:$F$540,"NO ESTA")</f>
        <v xml:space="preserve">SUMINISTRO E INSTALACIÓN SOPORTE DE 3/4"                                                                 </v>
      </c>
      <c r="J278" s="9" t="str">
        <v xml:space="preserve">UN   </v>
      </c>
      <c r="K278" s="9">
        <v>6</v>
      </c>
      <c r="L278" s="9">
        <v>2120</v>
      </c>
      <c r="M278" s="124" t="str">
        <f t="shared" si="35"/>
        <v>FASE II</v>
      </c>
      <c r="N278" s="155">
        <f t="shared" si="31"/>
        <v>24</v>
      </c>
      <c r="O278" s="156">
        <f t="shared" si="32"/>
        <v>2289</v>
      </c>
      <c r="P278" s="156">
        <f t="shared" si="33"/>
        <v>54936</v>
      </c>
    </row>
    <row r="279" spans="2:16" s="9" customFormat="1" ht="35.1" customHeight="1" x14ac:dyDescent="0.25">
      <c r="B279" s="44" t="s">
        <v>301</v>
      </c>
      <c r="C279" s="22" t="s">
        <v>302</v>
      </c>
      <c r="D279" s="23" t="s">
        <v>284</v>
      </c>
      <c r="E279" s="12">
        <v>18</v>
      </c>
      <c r="F279" s="126">
        <v>2761</v>
      </c>
      <c r="G279" s="126">
        <f t="shared" si="34"/>
        <v>49698</v>
      </c>
      <c r="H279" s="8"/>
      <c r="I279" s="9" t="str">
        <f t="array" ref="I279:L279">_xlfn.XLOOKUP(C279,'Neiva 2021 FASE I UNIFICADO'!$C$6:$C$540,'Neiva 2021 FASE I UNIFICADO'!$C$6:$F$540,"NO ESTA")</f>
        <v xml:space="preserve">SUMINISTRO E INSTALACIÓN SOPORTE DE 1"                                                                   </v>
      </c>
      <c r="J279" s="9" t="str">
        <v xml:space="preserve">UN   </v>
      </c>
      <c r="K279" s="9">
        <v>6</v>
      </c>
      <c r="L279" s="9">
        <v>2555</v>
      </c>
      <c r="M279" s="124" t="str">
        <f t="shared" si="35"/>
        <v>FASE II</v>
      </c>
      <c r="N279" s="155">
        <f t="shared" si="31"/>
        <v>24</v>
      </c>
      <c r="O279" s="156">
        <f t="shared" si="32"/>
        <v>2761</v>
      </c>
      <c r="P279" s="156">
        <f t="shared" si="33"/>
        <v>66264</v>
      </c>
    </row>
    <row r="280" spans="2:16" s="9" customFormat="1" ht="35.1" customHeight="1" x14ac:dyDescent="0.25">
      <c r="B280" s="44" t="s">
        <v>303</v>
      </c>
      <c r="C280" s="22" t="s">
        <v>304</v>
      </c>
      <c r="D280" s="23" t="s">
        <v>284</v>
      </c>
      <c r="E280" s="12">
        <v>26</v>
      </c>
      <c r="F280" s="126">
        <v>3131</v>
      </c>
      <c r="G280" s="126">
        <f t="shared" si="34"/>
        <v>81406</v>
      </c>
      <c r="H280" s="8"/>
      <c r="I280" s="9" t="str">
        <f t="array" ref="I280:L280">_xlfn.XLOOKUP(C280,'Neiva 2021 FASE I UNIFICADO'!$C$6:$C$540,'Neiva 2021 FASE I UNIFICADO'!$C$6:$F$540,"NO ESTA")</f>
        <v xml:space="preserve">SUMINISTRO E INSTALACIÓN SOPORTE DE 1 1/4"                                                               </v>
      </c>
      <c r="J280" s="9" t="str">
        <v xml:space="preserve">UN   </v>
      </c>
      <c r="K280" s="9">
        <v>10</v>
      </c>
      <c r="L280" s="9">
        <v>2898</v>
      </c>
      <c r="M280" s="124" t="str">
        <f t="shared" si="35"/>
        <v>FASE II</v>
      </c>
      <c r="N280" s="155">
        <f t="shared" si="31"/>
        <v>36</v>
      </c>
      <c r="O280" s="156">
        <f t="shared" si="32"/>
        <v>3131</v>
      </c>
      <c r="P280" s="156">
        <f t="shared" si="33"/>
        <v>112716</v>
      </c>
    </row>
    <row r="281" spans="2:16" s="9" customFormat="1" ht="35.1" customHeight="1" x14ac:dyDescent="0.25">
      <c r="B281" s="44" t="s">
        <v>305</v>
      </c>
      <c r="C281" s="45" t="s">
        <v>306</v>
      </c>
      <c r="D281" s="23" t="s">
        <v>284</v>
      </c>
      <c r="E281" s="12">
        <v>24</v>
      </c>
      <c r="F281" s="126">
        <v>3791</v>
      </c>
      <c r="G281" s="126">
        <f t="shared" si="34"/>
        <v>90984</v>
      </c>
      <c r="H281" s="8"/>
      <c r="I281" s="9" t="str">
        <f t="array" ref="I281:L281">_xlfn.XLOOKUP(C281,'Neiva 2021 FASE I UNIFICADO'!$C$6:$C$540,'Neiva 2021 FASE I UNIFICADO'!$C$6:$F$540,"NO ESTA")</f>
        <v xml:space="preserve">SUMINISTRO E INSTALACIÓN SOPORTE DE 1 1/2"                                                               </v>
      </c>
      <c r="J281" s="9" t="str">
        <v xml:space="preserve">UN   </v>
      </c>
      <c r="K281" s="9">
        <v>9</v>
      </c>
      <c r="L281" s="9">
        <v>3509</v>
      </c>
      <c r="M281" s="124" t="str">
        <f t="shared" si="35"/>
        <v>FASE II</v>
      </c>
      <c r="N281" s="155">
        <f t="shared" si="31"/>
        <v>33</v>
      </c>
      <c r="O281" s="156">
        <f t="shared" si="32"/>
        <v>3791</v>
      </c>
      <c r="P281" s="156">
        <f t="shared" si="33"/>
        <v>125103</v>
      </c>
    </row>
    <row r="282" spans="2:16" s="9" customFormat="1" ht="35.1" customHeight="1" x14ac:dyDescent="0.25">
      <c r="B282" s="44" t="s">
        <v>307</v>
      </c>
      <c r="C282" s="22" t="s">
        <v>308</v>
      </c>
      <c r="D282" s="23" t="s">
        <v>284</v>
      </c>
      <c r="E282" s="12">
        <v>31</v>
      </c>
      <c r="F282" s="126">
        <v>4884</v>
      </c>
      <c r="G282" s="126">
        <f t="shared" si="34"/>
        <v>151404</v>
      </c>
      <c r="H282" s="8"/>
      <c r="I282" s="9" t="str">
        <f t="array" ref="I282:L282">_xlfn.XLOOKUP(C282,'Neiva 2021 FASE I UNIFICADO'!$C$6:$C$540,'Neiva 2021 FASE I UNIFICADO'!$C$6:$F$540,"NO ESTA")</f>
        <v xml:space="preserve">SUMINISTRO E INSTALACIÓN SOPORTE DE 2"                                                                   </v>
      </c>
      <c r="J282" s="9" t="str">
        <v xml:space="preserve">UN   </v>
      </c>
      <c r="K282" s="9">
        <v>11</v>
      </c>
      <c r="L282" s="9">
        <v>4520</v>
      </c>
      <c r="M282" s="124" t="str">
        <f t="shared" si="35"/>
        <v>FASE II</v>
      </c>
      <c r="N282" s="155">
        <f t="shared" si="31"/>
        <v>42</v>
      </c>
      <c r="O282" s="156">
        <f t="shared" si="32"/>
        <v>4884</v>
      </c>
      <c r="P282" s="156">
        <f t="shared" si="33"/>
        <v>205128</v>
      </c>
    </row>
    <row r="283" spans="2:16" s="9" customFormat="1" ht="35.1" customHeight="1" x14ac:dyDescent="0.25">
      <c r="B283" s="44" t="s">
        <v>309</v>
      </c>
      <c r="C283" s="22" t="s">
        <v>310</v>
      </c>
      <c r="D283" s="23" t="s">
        <v>284</v>
      </c>
      <c r="E283" s="12">
        <v>7</v>
      </c>
      <c r="F283" s="126">
        <v>5644</v>
      </c>
      <c r="G283" s="135">
        <f t="shared" si="34"/>
        <v>39508</v>
      </c>
      <c r="H283" s="8"/>
      <c r="I283" s="9" t="str">
        <f t="array" ref="I283:L283">_xlfn.XLOOKUP(C283,'Neiva 2021 FASE I UNIFICADO'!$C$6:$C$540,'Neiva 2021 FASE I UNIFICADO'!$C$6:$F$540,"NO ESTA")</f>
        <v xml:space="preserve">SUMINISTRO E INSTALACIÓN SOPORTE DE 2 1/2"                                                               </v>
      </c>
      <c r="J283" s="9" t="str">
        <v xml:space="preserve">UN   </v>
      </c>
      <c r="K283" s="9">
        <v>3</v>
      </c>
      <c r="L283" s="9">
        <v>5223</v>
      </c>
      <c r="M283" s="124" t="str">
        <f t="shared" si="35"/>
        <v>FASE II</v>
      </c>
      <c r="N283" s="155">
        <f t="shared" si="31"/>
        <v>10</v>
      </c>
      <c r="O283" s="156">
        <f t="shared" si="32"/>
        <v>5644</v>
      </c>
      <c r="P283" s="156">
        <f t="shared" si="33"/>
        <v>56440</v>
      </c>
    </row>
    <row r="284" spans="2:16" s="9" customFormat="1" ht="35.1" customHeight="1" x14ac:dyDescent="0.25">
      <c r="B284" s="44" t="s">
        <v>311</v>
      </c>
      <c r="C284" s="22" t="s">
        <v>312</v>
      </c>
      <c r="D284" s="23" t="s">
        <v>284</v>
      </c>
      <c r="E284" s="46">
        <v>41</v>
      </c>
      <c r="F284" s="135">
        <v>64227</v>
      </c>
      <c r="G284" s="126">
        <f t="shared" si="34"/>
        <v>2633307</v>
      </c>
      <c r="H284" s="8"/>
      <c r="I284" s="9" t="str">
        <f t="array" ref="I284:L284">_xlfn.XLOOKUP(C284,'Neiva 2021 FASE I UNIFICADO'!$C$6:$C$540,'Neiva 2021 FASE I UNIFICADO'!$C$6:$F$540,"NO ESTA")</f>
        <v xml:space="preserve">SUMINISTRO E INSTALACIÓN PUNTO HIDRÁULICO PVC-P 1/2"                                                      </v>
      </c>
      <c r="J284" s="9" t="str">
        <v xml:space="preserve">UN   </v>
      </c>
      <c r="K284" s="9">
        <v>15</v>
      </c>
      <c r="L284" s="9">
        <v>59442</v>
      </c>
      <c r="M284" s="124" t="str">
        <f t="shared" si="35"/>
        <v>FASE II</v>
      </c>
      <c r="N284" s="155">
        <f t="shared" si="31"/>
        <v>56</v>
      </c>
      <c r="O284" s="156">
        <f t="shared" si="32"/>
        <v>64227</v>
      </c>
      <c r="P284" s="156">
        <f t="shared" si="33"/>
        <v>3596712</v>
      </c>
    </row>
    <row r="285" spans="2:16" s="9" customFormat="1" ht="35.1" customHeight="1" x14ac:dyDescent="0.25">
      <c r="B285" s="44" t="s">
        <v>313</v>
      </c>
      <c r="C285" s="22" t="s">
        <v>314</v>
      </c>
      <c r="D285" s="23" t="s">
        <v>284</v>
      </c>
      <c r="E285" s="12">
        <v>14</v>
      </c>
      <c r="F285" s="126">
        <v>68433</v>
      </c>
      <c r="G285" s="126">
        <f t="shared" si="34"/>
        <v>958062</v>
      </c>
      <c r="H285" s="8"/>
      <c r="I285" s="9" t="str">
        <f t="array" ref="I285:L285">_xlfn.XLOOKUP(C285,'Neiva 2021 FASE I UNIFICADO'!$C$6:$C$540,'Neiva 2021 FASE I UNIFICADO'!$C$6:$F$540,"NO ESTA")</f>
        <v xml:space="preserve">SUMINISTRO E INSTALACIÓN PUNTO HIDRÁULICO PVC-P 3/4"                                                      </v>
      </c>
      <c r="J285" s="9" t="str">
        <v xml:space="preserve">UN   </v>
      </c>
      <c r="K285" s="9">
        <v>5</v>
      </c>
      <c r="L285" s="9">
        <v>63334</v>
      </c>
      <c r="M285" s="124" t="str">
        <f t="shared" si="35"/>
        <v>FASE II</v>
      </c>
      <c r="N285" s="155">
        <f t="shared" si="31"/>
        <v>19</v>
      </c>
      <c r="O285" s="156">
        <f t="shared" si="32"/>
        <v>68433</v>
      </c>
      <c r="P285" s="156">
        <f t="shared" si="33"/>
        <v>1300227</v>
      </c>
    </row>
    <row r="286" spans="2:16" s="9" customFormat="1" ht="35.1" customHeight="1" x14ac:dyDescent="0.25">
      <c r="B286" s="44" t="s">
        <v>315</v>
      </c>
      <c r="C286" s="22" t="s">
        <v>316</v>
      </c>
      <c r="D286" s="23" t="s">
        <v>284</v>
      </c>
      <c r="E286" s="12">
        <v>39</v>
      </c>
      <c r="F286" s="126">
        <v>97439</v>
      </c>
      <c r="G286" s="126">
        <f t="shared" si="34"/>
        <v>3800121</v>
      </c>
      <c r="H286" s="8"/>
      <c r="I286" s="9" t="str">
        <f t="array" ref="I286:L286">_xlfn.XLOOKUP(C286,'Neiva 2021 FASE I UNIFICADO'!$C$6:$C$540,'Neiva 2021 FASE I UNIFICADO'!$C$6:$F$540,"NO ESTA")</f>
        <v xml:space="preserve">SUMINISTRO E INSTALACIÓN PUNTO HIDRÁULICO PVC-P 1 1/4"                                                    </v>
      </c>
      <c r="J286" s="9" t="str">
        <v xml:space="preserve">UN   </v>
      </c>
      <c r="K286" s="9">
        <v>15</v>
      </c>
      <c r="L286" s="9">
        <v>90180</v>
      </c>
      <c r="M286" s="124" t="str">
        <f t="shared" si="35"/>
        <v>FASE II</v>
      </c>
      <c r="N286" s="155">
        <f t="shared" si="31"/>
        <v>54</v>
      </c>
      <c r="O286" s="156">
        <f t="shared" si="32"/>
        <v>97439</v>
      </c>
      <c r="P286" s="156">
        <f t="shared" si="33"/>
        <v>5261706</v>
      </c>
    </row>
    <row r="287" spans="2:16" s="9" customFormat="1" ht="35.1" customHeight="1" x14ac:dyDescent="0.25">
      <c r="B287" s="44" t="s">
        <v>317</v>
      </c>
      <c r="C287" s="22" t="s">
        <v>318</v>
      </c>
      <c r="D287" s="23" t="s">
        <v>284</v>
      </c>
      <c r="E287" s="12">
        <v>12</v>
      </c>
      <c r="F287" s="126">
        <v>63313</v>
      </c>
      <c r="G287" s="126">
        <f t="shared" si="34"/>
        <v>759756</v>
      </c>
      <c r="H287" s="8"/>
      <c r="I287" s="9" t="str">
        <f t="array" ref="I287:L287">_xlfn.XLOOKUP(C287,'Neiva 2021 FASE I UNIFICADO'!$C$6:$C$540,'Neiva 2021 FASE I UNIFICADO'!$C$6:$F$540,"NO ESTA")</f>
        <v xml:space="preserve">SUMINISTRO E INSTALACIÓN REGISTRO CORTINA ROSCAR 1/2"                                                   </v>
      </c>
      <c r="J287" s="9" t="str">
        <v xml:space="preserve">UN   </v>
      </c>
      <c r="K287" s="9">
        <v>5</v>
      </c>
      <c r="L287" s="9">
        <v>58595</v>
      </c>
      <c r="M287" s="124" t="str">
        <f t="shared" si="35"/>
        <v>FASE II</v>
      </c>
      <c r="N287" s="155">
        <f t="shared" si="31"/>
        <v>17</v>
      </c>
      <c r="O287" s="156">
        <f t="shared" si="32"/>
        <v>63313</v>
      </c>
      <c r="P287" s="156">
        <f t="shared" si="33"/>
        <v>1076321</v>
      </c>
    </row>
    <row r="288" spans="2:16" s="9" customFormat="1" ht="35.1" customHeight="1" x14ac:dyDescent="0.25">
      <c r="B288" s="44" t="s">
        <v>319</v>
      </c>
      <c r="C288" s="22" t="s">
        <v>320</v>
      </c>
      <c r="D288" s="23" t="s">
        <v>284</v>
      </c>
      <c r="E288" s="12">
        <v>6</v>
      </c>
      <c r="F288" s="126">
        <v>164084</v>
      </c>
      <c r="G288" s="126">
        <f t="shared" si="34"/>
        <v>984504</v>
      </c>
      <c r="H288" s="8"/>
      <c r="I288" s="9" t="str">
        <f t="array" ref="I288:L288">_xlfn.XLOOKUP(C288,'Neiva 2021 FASE I UNIFICADO'!$C$6:$C$540,'Neiva 2021 FASE I UNIFICADO'!$C$6:$F$540,"NO ESTA")</f>
        <v xml:space="preserve">SUMINISTRO E INSTALACIÓN REGISTRO CORTINA P/D ROSCAR 1 1/4"                                                 </v>
      </c>
      <c r="J288" s="9" t="str">
        <v xml:space="preserve">UN   </v>
      </c>
      <c r="K288" s="9">
        <v>2</v>
      </c>
      <c r="L288" s="9">
        <v>151859</v>
      </c>
      <c r="M288" s="124" t="str">
        <f t="shared" si="35"/>
        <v>FASE II</v>
      </c>
      <c r="N288" s="155">
        <f t="shared" si="31"/>
        <v>8</v>
      </c>
      <c r="O288" s="156">
        <f t="shared" si="32"/>
        <v>164084</v>
      </c>
      <c r="P288" s="156">
        <f t="shared" si="33"/>
        <v>1312672</v>
      </c>
    </row>
    <row r="289" spans="2:16" s="9" customFormat="1" ht="35.1" customHeight="1" x14ac:dyDescent="0.25">
      <c r="B289" s="44" t="s">
        <v>321</v>
      </c>
      <c r="C289" s="22" t="s">
        <v>322</v>
      </c>
      <c r="D289" s="23" t="s">
        <v>284</v>
      </c>
      <c r="E289" s="12">
        <v>6</v>
      </c>
      <c r="F289" s="126">
        <v>222753</v>
      </c>
      <c r="G289" s="126">
        <f t="shared" si="34"/>
        <v>1336518</v>
      </c>
      <c r="H289" s="8"/>
      <c r="I289" s="9" t="str">
        <f t="array" ref="I289:L289">_xlfn.XLOOKUP(C289,'Neiva 2021 FASE I UNIFICADO'!$C$6:$C$540,'Neiva 2021 FASE I UNIFICADO'!$C$6:$F$540,"NO ESTA")</f>
        <v xml:space="preserve">SUMINISTRO E INSTALACIÓN REGISTRO CORTINA P/D ROSCAR 1 1/2"                                                 </v>
      </c>
      <c r="J289" s="9" t="str">
        <v xml:space="preserve">UN   </v>
      </c>
      <c r="K289" s="9">
        <v>2</v>
      </c>
      <c r="L289" s="9">
        <v>206156</v>
      </c>
      <c r="M289" s="124" t="str">
        <f t="shared" si="35"/>
        <v>FASE II</v>
      </c>
      <c r="N289" s="155">
        <f t="shared" si="31"/>
        <v>8</v>
      </c>
      <c r="O289" s="156">
        <f t="shared" si="32"/>
        <v>222753</v>
      </c>
      <c r="P289" s="156">
        <f t="shared" si="33"/>
        <v>1782024</v>
      </c>
    </row>
    <row r="290" spans="2:16" s="9" customFormat="1" ht="35.1" customHeight="1" x14ac:dyDescent="0.25">
      <c r="B290" s="44" t="s">
        <v>323</v>
      </c>
      <c r="C290" s="22" t="s">
        <v>324</v>
      </c>
      <c r="D290" s="23" t="s">
        <v>284</v>
      </c>
      <c r="E290" s="12">
        <v>0</v>
      </c>
      <c r="F290" s="126">
        <v>108436</v>
      </c>
      <c r="G290" s="141">
        <f t="shared" si="34"/>
        <v>0</v>
      </c>
      <c r="H290" s="8"/>
      <c r="I290" s="9" t="str">
        <f t="array" ref="I290:L290">_xlfn.XLOOKUP(C290,'Neiva 2021 FASE I UNIFICADO'!$C$6:$C$540,'Neiva 2021 FASE I UNIFICADO'!$C$6:$F$540,"NO ESTA")</f>
        <v xml:space="preserve">SUMINISTRO E INSTALACIÓN VÁLVULA FLOTADOR 1"                                                           </v>
      </c>
      <c r="J290" s="9" t="str">
        <v xml:space="preserve">UN   </v>
      </c>
      <c r="K290" s="9">
        <v>2</v>
      </c>
      <c r="L290" s="9">
        <v>100357</v>
      </c>
      <c r="M290" s="124" t="str">
        <f t="shared" si="35"/>
        <v>FASE II</v>
      </c>
      <c r="N290" s="155">
        <f t="shared" si="31"/>
        <v>2</v>
      </c>
      <c r="O290" s="156">
        <f t="shared" si="32"/>
        <v>108436</v>
      </c>
      <c r="P290" s="156">
        <f t="shared" si="33"/>
        <v>216872</v>
      </c>
    </row>
    <row r="291" spans="2:16" s="9" customFormat="1" ht="35.1" customHeight="1" x14ac:dyDescent="0.25">
      <c r="B291" s="44" t="s">
        <v>325</v>
      </c>
      <c r="C291" s="22" t="s">
        <v>326</v>
      </c>
      <c r="D291" s="23" t="s">
        <v>284</v>
      </c>
      <c r="E291" s="12">
        <v>0</v>
      </c>
      <c r="F291" s="126">
        <v>169565</v>
      </c>
      <c r="G291" s="141">
        <f t="shared" si="34"/>
        <v>0</v>
      </c>
      <c r="H291" s="8"/>
      <c r="I291" s="9" t="str">
        <f t="array" ref="I291:L291">_xlfn.XLOOKUP(C291,'Neiva 2021 FASE I UNIFICADO'!$C$6:$C$540,'Neiva 2021 FASE I UNIFICADO'!$C$6:$F$540,"NO ESTA")</f>
        <v xml:space="preserve">SUMINISTRO E INSTALACIÓN MEDIDOR VELOCIMETRICO  3/4"                                                   </v>
      </c>
      <c r="J291" s="9" t="str">
        <v xml:space="preserve">UN   </v>
      </c>
      <c r="K291" s="9">
        <v>1</v>
      </c>
      <c r="L291" s="9">
        <v>156932</v>
      </c>
      <c r="M291" s="124" t="str">
        <f t="shared" si="35"/>
        <v>FASE II</v>
      </c>
      <c r="N291" s="155">
        <f t="shared" si="31"/>
        <v>1</v>
      </c>
      <c r="O291" s="156">
        <f t="shared" si="32"/>
        <v>169565</v>
      </c>
      <c r="P291" s="156">
        <f t="shared" si="33"/>
        <v>169565</v>
      </c>
    </row>
    <row r="292" spans="2:16" s="9" customFormat="1" ht="35.1" customHeight="1" x14ac:dyDescent="0.25">
      <c r="B292" s="47" t="s">
        <v>327</v>
      </c>
      <c r="C292" s="24" t="s">
        <v>328</v>
      </c>
      <c r="D292" s="24"/>
      <c r="E292" s="15"/>
      <c r="F292" s="129"/>
      <c r="G292" s="140"/>
      <c r="H292" s="8"/>
      <c r="I292" s="9" t="str">
        <f t="array" ref="I292:L292">_xlfn.XLOOKUP(C292,'Neiva 2021 FASE I UNIFICADO'!$C$6:$C$540,'Neiva 2021 FASE I UNIFICADO'!$C$6:$F$540,"NO ESTA")</f>
        <v xml:space="preserve">SUMINISTRO E INSTALACION RED DESAGÜES AGUAS RESIDUALES                                                                              </v>
      </c>
      <c r="J292" s="9">
        <v>0</v>
      </c>
      <c r="K292" s="9">
        <v>0</v>
      </c>
      <c r="L292" s="9">
        <v>0</v>
      </c>
      <c r="M292" s="124">
        <f t="shared" si="35"/>
        <v>0</v>
      </c>
      <c r="N292" s="155">
        <f t="shared" si="31"/>
        <v>0</v>
      </c>
      <c r="O292" s="156">
        <f t="shared" si="32"/>
        <v>0</v>
      </c>
      <c r="P292" s="156">
        <f t="shared" si="33"/>
        <v>0</v>
      </c>
    </row>
    <row r="293" spans="2:16" s="9" customFormat="1" ht="35.1" customHeight="1" x14ac:dyDescent="0.25">
      <c r="B293" s="10" t="s">
        <v>329</v>
      </c>
      <c r="C293" s="48" t="s">
        <v>330</v>
      </c>
      <c r="D293" s="23" t="s">
        <v>269</v>
      </c>
      <c r="E293" s="12">
        <v>34</v>
      </c>
      <c r="F293" s="126">
        <v>24554</v>
      </c>
      <c r="G293" s="126">
        <f t="shared" ref="G293:G311" si="36">ROUND(+F293*E293,2)</f>
        <v>834836</v>
      </c>
      <c r="H293" s="8"/>
      <c r="I293" s="9" t="str">
        <f t="array" ref="I293:L293">_xlfn.XLOOKUP(C293,'Neiva 2021 FASE I UNIFICADO'!$C$6:$C$540,'Neiva 2021 FASE I UNIFICADO'!$C$6:$F$540,"NO ESTA")</f>
        <v xml:space="preserve">SUMINISTRO E INSTALACIÓN TUBERIA PVC-S DIAMETRO 2"                                                                        </v>
      </c>
      <c r="J293" s="9" t="str">
        <v xml:space="preserve">ML   </v>
      </c>
      <c r="K293" s="9">
        <v>12</v>
      </c>
      <c r="L293" s="9">
        <v>22725</v>
      </c>
      <c r="M293" s="124" t="str">
        <f t="shared" si="35"/>
        <v>FASE II</v>
      </c>
      <c r="N293" s="155">
        <f t="shared" si="31"/>
        <v>46</v>
      </c>
      <c r="O293" s="156">
        <f t="shared" si="32"/>
        <v>24554</v>
      </c>
      <c r="P293" s="156">
        <f t="shared" si="33"/>
        <v>1129484</v>
      </c>
    </row>
    <row r="294" spans="2:16" s="9" customFormat="1" ht="35.1" customHeight="1" x14ac:dyDescent="0.25">
      <c r="B294" s="10" t="s">
        <v>331</v>
      </c>
      <c r="C294" s="22" t="s">
        <v>332</v>
      </c>
      <c r="D294" s="23" t="s">
        <v>269</v>
      </c>
      <c r="E294" s="12">
        <v>157</v>
      </c>
      <c r="F294" s="126">
        <v>36135</v>
      </c>
      <c r="G294" s="126">
        <f t="shared" si="36"/>
        <v>5673195</v>
      </c>
      <c r="H294" s="8"/>
      <c r="I294" s="9" t="str">
        <f t="array" ref="I294:L294">_xlfn.XLOOKUP(C294,'Neiva 2021 FASE I UNIFICADO'!$C$6:$C$540,'Neiva 2021 FASE I UNIFICADO'!$C$6:$F$540,"NO ESTA")</f>
        <v xml:space="preserve">SUMINISTRO E INSTALACIÓN TUBERIA PVC-S DIAMETRO 3"                                                                        </v>
      </c>
      <c r="J294" s="9" t="str">
        <v xml:space="preserve">ML   </v>
      </c>
      <c r="K294" s="9">
        <v>58</v>
      </c>
      <c r="L294" s="9">
        <v>33443</v>
      </c>
      <c r="M294" s="124" t="str">
        <f t="shared" si="35"/>
        <v>FASE II</v>
      </c>
      <c r="N294" s="155">
        <f t="shared" si="31"/>
        <v>215</v>
      </c>
      <c r="O294" s="156">
        <f t="shared" si="32"/>
        <v>36135</v>
      </c>
      <c r="P294" s="156">
        <f t="shared" si="33"/>
        <v>7769025</v>
      </c>
    </row>
    <row r="295" spans="2:16" s="9" customFormat="1" ht="35.1" customHeight="1" x14ac:dyDescent="0.25">
      <c r="B295" s="10" t="s">
        <v>333</v>
      </c>
      <c r="C295" s="22" t="s">
        <v>334</v>
      </c>
      <c r="D295" s="23" t="s">
        <v>269</v>
      </c>
      <c r="E295" s="12">
        <v>272</v>
      </c>
      <c r="F295" s="126">
        <v>51550</v>
      </c>
      <c r="G295" s="126">
        <f t="shared" si="36"/>
        <v>14021600</v>
      </c>
      <c r="H295" s="8"/>
      <c r="I295" s="9" t="str">
        <f t="array" ref="I295:L295">_xlfn.XLOOKUP(C295,'Neiva 2021 FASE I UNIFICADO'!$C$6:$C$540,'Neiva 2021 FASE I UNIFICADO'!$C$6:$F$540,"NO ESTA")</f>
        <v xml:space="preserve">SUMINISTRO E INSTALACIÓN TUBERÍA PVC-S DIAMETRO 4"                                                                        </v>
      </c>
      <c r="J295" s="9" t="str">
        <v xml:space="preserve">ML   </v>
      </c>
      <c r="K295" s="9">
        <v>101</v>
      </c>
      <c r="L295" s="9">
        <v>47709</v>
      </c>
      <c r="M295" s="124" t="str">
        <f t="shared" si="35"/>
        <v>FASE II</v>
      </c>
      <c r="N295" s="155">
        <f t="shared" si="31"/>
        <v>373</v>
      </c>
      <c r="O295" s="156">
        <f t="shared" si="32"/>
        <v>51550</v>
      </c>
      <c r="P295" s="156">
        <f t="shared" si="33"/>
        <v>19228150</v>
      </c>
    </row>
    <row r="296" spans="2:16" s="9" customFormat="1" ht="35.1" customHeight="1" x14ac:dyDescent="0.25">
      <c r="B296" s="10" t="s">
        <v>335</v>
      </c>
      <c r="C296" s="22" t="s">
        <v>336</v>
      </c>
      <c r="D296" s="23" t="s">
        <v>269</v>
      </c>
      <c r="E296" s="12">
        <v>72</v>
      </c>
      <c r="F296" s="126">
        <v>21367</v>
      </c>
      <c r="G296" s="126">
        <f t="shared" si="36"/>
        <v>1538424</v>
      </c>
      <c r="H296" s="8"/>
      <c r="I296" s="9" t="str">
        <f t="array" ref="I296:L296">_xlfn.XLOOKUP(C296,'Neiva 2021 FASE I UNIFICADO'!$C$6:$C$540,'Neiva 2021 FASE I UNIFICADO'!$C$6:$F$540,"NO ESTA")</f>
        <v xml:space="preserve">SUMINISTRO E INSTALACIÓN TUBERIA PVC-VENT DIAMETRO 2"                                                                     </v>
      </c>
      <c r="J296" s="9" t="str">
        <v xml:space="preserve">ML   </v>
      </c>
      <c r="K296" s="9">
        <v>26</v>
      </c>
      <c r="L296" s="9">
        <v>19775</v>
      </c>
      <c r="M296" s="124" t="str">
        <f t="shared" si="35"/>
        <v>FASE II</v>
      </c>
      <c r="N296" s="155">
        <f t="shared" si="31"/>
        <v>98</v>
      </c>
      <c r="O296" s="156">
        <f t="shared" si="32"/>
        <v>21367</v>
      </c>
      <c r="P296" s="156">
        <f t="shared" si="33"/>
        <v>2093966</v>
      </c>
    </row>
    <row r="297" spans="2:16" s="9" customFormat="1" ht="35.1" customHeight="1" x14ac:dyDescent="0.25">
      <c r="B297" s="10" t="s">
        <v>337</v>
      </c>
      <c r="C297" s="22" t="s">
        <v>338</v>
      </c>
      <c r="D297" s="23" t="s">
        <v>269</v>
      </c>
      <c r="E297" s="12">
        <v>97</v>
      </c>
      <c r="F297" s="126">
        <v>31767</v>
      </c>
      <c r="G297" s="126">
        <f t="shared" si="36"/>
        <v>3081399</v>
      </c>
      <c r="H297" s="8"/>
      <c r="I297" s="9" t="str">
        <f t="array" ref="I297:L297">_xlfn.XLOOKUP(C297,'Neiva 2021 FASE I UNIFICADO'!$C$6:$C$540,'Neiva 2021 FASE I UNIFICADO'!$C$6:$F$540,"NO ESTA")</f>
        <v xml:space="preserve">SUMINISTRO E INSTALACIÓN TUBERIA PVC-VENT DIAMETRO 3"                                                                     </v>
      </c>
      <c r="J297" s="9" t="str">
        <v xml:space="preserve">ML   </v>
      </c>
      <c r="K297" s="9">
        <v>36</v>
      </c>
      <c r="L297" s="9">
        <v>29401</v>
      </c>
      <c r="M297" s="124" t="str">
        <f t="shared" si="35"/>
        <v>FASE II</v>
      </c>
      <c r="N297" s="155">
        <f t="shared" si="31"/>
        <v>133</v>
      </c>
      <c r="O297" s="156">
        <f t="shared" si="32"/>
        <v>31767</v>
      </c>
      <c r="P297" s="156">
        <f t="shared" si="33"/>
        <v>4225011</v>
      </c>
    </row>
    <row r="298" spans="2:16" s="9" customFormat="1" ht="35.1" customHeight="1" x14ac:dyDescent="0.25">
      <c r="B298" s="10" t="s">
        <v>339</v>
      </c>
      <c r="C298" s="22" t="s">
        <v>340</v>
      </c>
      <c r="D298" s="23" t="s">
        <v>284</v>
      </c>
      <c r="E298" s="12">
        <v>122</v>
      </c>
      <c r="F298" s="126">
        <v>7512</v>
      </c>
      <c r="G298" s="126">
        <f t="shared" si="36"/>
        <v>916464</v>
      </c>
      <c r="H298" s="8"/>
      <c r="I298" s="9" t="str">
        <f t="array" ref="I298:L298">_xlfn.XLOOKUP(C298,'Neiva 2021 FASE I UNIFICADO'!$C$6:$C$540,'Neiva 2021 FASE I UNIFICADO'!$C$6:$F$540,"NO ESTA")</f>
        <v xml:space="preserve">SUMINISTRO E INSTALACIÓN ACCESORIOS PVC-S DIAMETRO  2"                                                             </v>
      </c>
      <c r="J298" s="9" t="str">
        <v xml:space="preserve">UN   </v>
      </c>
      <c r="K298" s="9">
        <v>45</v>
      </c>
      <c r="L298" s="9">
        <v>6952</v>
      </c>
      <c r="M298" s="124" t="str">
        <f t="shared" si="35"/>
        <v>FASE II</v>
      </c>
      <c r="N298" s="155">
        <f t="shared" si="31"/>
        <v>167</v>
      </c>
      <c r="O298" s="156">
        <f t="shared" si="32"/>
        <v>7512</v>
      </c>
      <c r="P298" s="156">
        <f t="shared" si="33"/>
        <v>1254504</v>
      </c>
    </row>
    <row r="299" spans="2:16" s="9" customFormat="1" ht="35.1" customHeight="1" x14ac:dyDescent="0.25">
      <c r="B299" s="10" t="s">
        <v>341</v>
      </c>
      <c r="C299" s="22" t="s">
        <v>342</v>
      </c>
      <c r="D299" s="23" t="s">
        <v>284</v>
      </c>
      <c r="E299" s="12">
        <v>161</v>
      </c>
      <c r="F299" s="126">
        <v>10700</v>
      </c>
      <c r="G299" s="126">
        <f t="shared" si="36"/>
        <v>1722700</v>
      </c>
      <c r="H299" s="8"/>
      <c r="I299" s="9" t="str">
        <f t="array" ref="I299:L299">_xlfn.XLOOKUP(C299,'Neiva 2021 FASE I UNIFICADO'!$C$6:$C$540,'Neiva 2021 FASE I UNIFICADO'!$C$6:$F$540,"NO ESTA")</f>
        <v xml:space="preserve">SUMINISTRO E INSTALACIÓN ACCESORIOS PVC-S DIAMETRO  3"                                                             </v>
      </c>
      <c r="J299" s="9" t="str">
        <v xml:space="preserve">UN   </v>
      </c>
      <c r="K299" s="9">
        <v>60</v>
      </c>
      <c r="L299" s="9">
        <v>9904</v>
      </c>
      <c r="M299" s="124" t="str">
        <f t="shared" si="35"/>
        <v>FASE II</v>
      </c>
      <c r="N299" s="155">
        <f t="shared" si="31"/>
        <v>221</v>
      </c>
      <c r="O299" s="156">
        <f t="shared" si="32"/>
        <v>10700</v>
      </c>
      <c r="P299" s="156">
        <f t="shared" si="33"/>
        <v>2364700</v>
      </c>
    </row>
    <row r="300" spans="2:16" s="9" customFormat="1" ht="35.1" customHeight="1" x14ac:dyDescent="0.25">
      <c r="B300" s="10" t="s">
        <v>343</v>
      </c>
      <c r="C300" s="22" t="s">
        <v>344</v>
      </c>
      <c r="D300" s="23" t="s">
        <v>284</v>
      </c>
      <c r="E300" s="12">
        <v>288</v>
      </c>
      <c r="F300" s="126">
        <v>15725</v>
      </c>
      <c r="G300" s="126">
        <f t="shared" si="36"/>
        <v>4528800</v>
      </c>
      <c r="H300" s="8"/>
      <c r="I300" s="9" t="str">
        <f t="array" ref="I300:L300">_xlfn.XLOOKUP(C300,'Neiva 2021 FASE I UNIFICADO'!$C$6:$C$540,'Neiva 2021 FASE I UNIFICADO'!$C$6:$F$540,"NO ESTA")</f>
        <v xml:space="preserve">SUMINISTRO E INSTALACIÓN ACCESORIOS PVC-S DIAMETRO  4"                                                             </v>
      </c>
      <c r="J300" s="9" t="str">
        <v xml:space="preserve">UN   </v>
      </c>
      <c r="K300" s="9">
        <v>106</v>
      </c>
      <c r="L300" s="9">
        <v>14553</v>
      </c>
      <c r="M300" s="124" t="str">
        <f t="shared" si="35"/>
        <v>FASE II</v>
      </c>
      <c r="N300" s="155">
        <f t="shared" si="31"/>
        <v>394</v>
      </c>
      <c r="O300" s="156">
        <f t="shared" si="32"/>
        <v>15725</v>
      </c>
      <c r="P300" s="156">
        <f t="shared" si="33"/>
        <v>6195650</v>
      </c>
    </row>
    <row r="301" spans="2:16" s="9" customFormat="1" ht="35.1" customHeight="1" x14ac:dyDescent="0.25">
      <c r="B301" s="10" t="s">
        <v>345</v>
      </c>
      <c r="C301" s="22" t="s">
        <v>346</v>
      </c>
      <c r="D301" s="23" t="s">
        <v>284</v>
      </c>
      <c r="E301" s="12">
        <v>14</v>
      </c>
      <c r="F301" s="126">
        <v>4884</v>
      </c>
      <c r="G301" s="126">
        <f t="shared" si="36"/>
        <v>68376</v>
      </c>
      <c r="H301" s="8"/>
      <c r="I301" s="9" t="str">
        <f t="array" ref="I301:L301">_xlfn.XLOOKUP(C301,'Neiva 2021 FASE I UNIFICADO'!$C$6:$C$540,'Neiva 2021 FASE I UNIFICADO'!$C$6:$F$540,"NO ESTA")</f>
        <v xml:space="preserve">SUMINISTRO E INSTALACIÓN SOPORTE 2"                                                                   </v>
      </c>
      <c r="J301" s="9" t="str">
        <v xml:space="preserve">UN   </v>
      </c>
      <c r="K301" s="9">
        <v>5</v>
      </c>
      <c r="L301" s="9">
        <v>4520</v>
      </c>
      <c r="M301" s="124" t="str">
        <f t="shared" si="35"/>
        <v>FASE II</v>
      </c>
      <c r="N301" s="155">
        <f t="shared" si="31"/>
        <v>19</v>
      </c>
      <c r="O301" s="156">
        <f t="shared" si="32"/>
        <v>4884</v>
      </c>
      <c r="P301" s="156">
        <f t="shared" si="33"/>
        <v>92796</v>
      </c>
    </row>
    <row r="302" spans="2:16" s="9" customFormat="1" ht="35.1" customHeight="1" x14ac:dyDescent="0.25">
      <c r="B302" s="10" t="s">
        <v>347</v>
      </c>
      <c r="C302" s="22" t="s">
        <v>348</v>
      </c>
      <c r="D302" s="23" t="s">
        <v>284</v>
      </c>
      <c r="E302" s="12">
        <v>64</v>
      </c>
      <c r="F302" s="126">
        <v>6212</v>
      </c>
      <c r="G302" s="126">
        <f t="shared" si="36"/>
        <v>397568</v>
      </c>
      <c r="H302" s="8"/>
      <c r="I302" s="9" t="str">
        <f t="array" ref="I302:L302">_xlfn.XLOOKUP(C302,'Neiva 2021 FASE I UNIFICADO'!$C$6:$C$540,'Neiva 2021 FASE I UNIFICADO'!$C$6:$F$540,"NO ESTA")</f>
        <v xml:space="preserve">SUMINISTRO E INSTALACIÓN SOPORTE 3"                                                                   </v>
      </c>
      <c r="J302" s="9" t="str">
        <v xml:space="preserve">UN   </v>
      </c>
      <c r="K302" s="9">
        <v>23</v>
      </c>
      <c r="L302" s="9">
        <v>5749</v>
      </c>
      <c r="M302" s="124" t="str">
        <f t="shared" si="35"/>
        <v>FASE II</v>
      </c>
      <c r="N302" s="155">
        <f t="shared" si="31"/>
        <v>87</v>
      </c>
      <c r="O302" s="156">
        <f t="shared" si="32"/>
        <v>6212</v>
      </c>
      <c r="P302" s="156">
        <f t="shared" si="33"/>
        <v>540444</v>
      </c>
    </row>
    <row r="303" spans="2:16" s="9" customFormat="1" ht="35.1" customHeight="1" x14ac:dyDescent="0.25">
      <c r="B303" s="10" t="s">
        <v>349</v>
      </c>
      <c r="C303" s="22" t="s">
        <v>350</v>
      </c>
      <c r="D303" s="23" t="s">
        <v>284</v>
      </c>
      <c r="E303" s="12">
        <v>101</v>
      </c>
      <c r="F303" s="126">
        <v>12329</v>
      </c>
      <c r="G303" s="126">
        <f t="shared" si="36"/>
        <v>1245229</v>
      </c>
      <c r="H303" s="8"/>
      <c r="I303" s="9" t="str">
        <f t="array" ref="I303:L303">_xlfn.XLOOKUP(C303,'Neiva 2021 FASE I UNIFICADO'!$C$6:$C$540,'Neiva 2021 FASE I UNIFICADO'!$C$6:$F$540,"NO ESTA")</f>
        <v xml:space="preserve">SUMINISTRO E INSTALACIÓN SOPORTE 4"                                                                   </v>
      </c>
      <c r="J303" s="9" t="str">
        <v xml:space="preserve">UN   </v>
      </c>
      <c r="K303" s="9">
        <v>38</v>
      </c>
      <c r="L303" s="9">
        <v>11411</v>
      </c>
      <c r="M303" s="124" t="str">
        <f t="shared" si="35"/>
        <v>FASE II</v>
      </c>
      <c r="N303" s="155">
        <f t="shared" si="31"/>
        <v>139</v>
      </c>
      <c r="O303" s="156">
        <f t="shared" si="32"/>
        <v>12329</v>
      </c>
      <c r="P303" s="156">
        <f t="shared" si="33"/>
        <v>1713731</v>
      </c>
    </row>
    <row r="304" spans="2:16" s="9" customFormat="1" ht="35.1" customHeight="1" x14ac:dyDescent="0.25">
      <c r="B304" s="10" t="s">
        <v>351</v>
      </c>
      <c r="C304" s="22" t="s">
        <v>352</v>
      </c>
      <c r="D304" s="23" t="s">
        <v>284</v>
      </c>
      <c r="E304" s="12">
        <v>36</v>
      </c>
      <c r="F304" s="126">
        <v>41384</v>
      </c>
      <c r="G304" s="126">
        <f t="shared" si="36"/>
        <v>1489824</v>
      </c>
      <c r="H304" s="8"/>
      <c r="I304" s="9" t="str">
        <f t="array" ref="I304:L304">_xlfn.XLOOKUP(C304,'Neiva 2021 FASE I UNIFICADO'!$C$6:$C$540,'Neiva 2021 FASE I UNIFICADO'!$C$6:$F$540,"NO ESTA")</f>
        <v xml:space="preserve">SUMINISTRO E INSTALACIÓN SALIDA SANITARIA 2"                                    </v>
      </c>
      <c r="J304" s="9" t="str">
        <v xml:space="preserve">UN   </v>
      </c>
      <c r="K304" s="9">
        <v>14</v>
      </c>
      <c r="L304" s="9">
        <v>38301</v>
      </c>
      <c r="M304" s="124" t="str">
        <f t="shared" si="35"/>
        <v>FASE II</v>
      </c>
      <c r="N304" s="155">
        <f t="shared" si="31"/>
        <v>50</v>
      </c>
      <c r="O304" s="156">
        <f t="shared" si="32"/>
        <v>41384</v>
      </c>
      <c r="P304" s="156">
        <f t="shared" si="33"/>
        <v>2069200</v>
      </c>
    </row>
    <row r="305" spans="2:16" s="9" customFormat="1" ht="35.1" customHeight="1" x14ac:dyDescent="0.25">
      <c r="B305" s="10" t="s">
        <v>353</v>
      </c>
      <c r="C305" s="22" t="s">
        <v>354</v>
      </c>
      <c r="D305" s="23" t="s">
        <v>284</v>
      </c>
      <c r="E305" s="12">
        <v>23</v>
      </c>
      <c r="F305" s="126">
        <v>50021</v>
      </c>
      <c r="G305" s="126">
        <f t="shared" si="36"/>
        <v>1150483</v>
      </c>
      <c r="H305" s="8"/>
      <c r="I305" s="9" t="str">
        <f t="array" ref="I305:L305">_xlfn.XLOOKUP(C305,'Neiva 2021 FASE I UNIFICADO'!$C$6:$C$540,'Neiva 2021 FASE I UNIFICADO'!$C$6:$F$540,"NO ESTA")</f>
        <v xml:space="preserve">SUMINISTRO E INSTALACIÓN SALIDA SANITARIA 3"                                    </v>
      </c>
      <c r="J305" s="9" t="str">
        <v xml:space="preserve">UN   </v>
      </c>
      <c r="K305" s="9">
        <v>9</v>
      </c>
      <c r="L305" s="9">
        <v>46295</v>
      </c>
      <c r="M305" s="124" t="str">
        <f t="shared" si="35"/>
        <v>FASE II</v>
      </c>
      <c r="N305" s="155">
        <f t="shared" si="31"/>
        <v>32</v>
      </c>
      <c r="O305" s="156">
        <f t="shared" si="32"/>
        <v>50021</v>
      </c>
      <c r="P305" s="156">
        <f t="shared" si="33"/>
        <v>1600672</v>
      </c>
    </row>
    <row r="306" spans="2:16" s="9" customFormat="1" ht="35.1" customHeight="1" x14ac:dyDescent="0.25">
      <c r="B306" s="10" t="s">
        <v>355</v>
      </c>
      <c r="C306" s="22" t="s">
        <v>356</v>
      </c>
      <c r="D306" s="23" t="s">
        <v>284</v>
      </c>
      <c r="E306" s="12">
        <v>42</v>
      </c>
      <c r="F306" s="126">
        <v>61472</v>
      </c>
      <c r="G306" s="126">
        <f t="shared" si="36"/>
        <v>2581824</v>
      </c>
      <c r="H306" s="8"/>
      <c r="I306" s="9" t="str">
        <f t="array" ref="I306:L306">_xlfn.XLOOKUP(C306,'Neiva 2021 FASE I UNIFICADO'!$C$6:$C$540,'Neiva 2021 FASE I UNIFICADO'!$C$6:$F$540,"NO ESTA")</f>
        <v xml:space="preserve">SUMINISTRO E INSTALACIÓN SALIDA SANITARIA 4"                                    </v>
      </c>
      <c r="J306" s="9" t="str">
        <v xml:space="preserve">UN   </v>
      </c>
      <c r="K306" s="9">
        <v>16</v>
      </c>
      <c r="L306" s="9">
        <v>56892</v>
      </c>
      <c r="M306" s="124" t="str">
        <f t="shared" si="35"/>
        <v>FASE II</v>
      </c>
      <c r="N306" s="155">
        <f t="shared" si="31"/>
        <v>58</v>
      </c>
      <c r="O306" s="156">
        <f t="shared" si="32"/>
        <v>61472</v>
      </c>
      <c r="P306" s="156">
        <f t="shared" si="33"/>
        <v>3565376</v>
      </c>
    </row>
    <row r="307" spans="2:16" s="9" customFormat="1" ht="35.1" customHeight="1" x14ac:dyDescent="0.25">
      <c r="B307" s="10" t="s">
        <v>357</v>
      </c>
      <c r="C307" s="22" t="s">
        <v>358</v>
      </c>
      <c r="D307" s="23" t="s">
        <v>284</v>
      </c>
      <c r="E307" s="12">
        <v>1</v>
      </c>
      <c r="F307" s="126">
        <v>542308</v>
      </c>
      <c r="G307" s="126">
        <f t="shared" si="36"/>
        <v>542308</v>
      </c>
      <c r="H307" s="8"/>
      <c r="I307" s="9" t="str">
        <f t="array" ref="I307:L307">_xlfn.XLOOKUP(C307,'Neiva 2021 FASE I UNIFICADO'!$C$6:$C$540,'Neiva 2021 FASE I UNIFICADO'!$C$6:$F$540,"NO ESTA")</f>
        <v xml:space="preserve">SUMINISTRO Y CONSTRUCCIÓN CAJA DE INSPECCIÓN 0.80mX0.80m H mäx:1.0m                                                                    </v>
      </c>
      <c r="J307" s="9" t="str">
        <v xml:space="preserve">UN   </v>
      </c>
      <c r="K307" s="9">
        <v>1</v>
      </c>
      <c r="L307" s="9">
        <v>501903</v>
      </c>
      <c r="M307" s="124" t="str">
        <f t="shared" si="35"/>
        <v>FASE II</v>
      </c>
      <c r="N307" s="155">
        <f t="shared" si="31"/>
        <v>2</v>
      </c>
      <c r="O307" s="156">
        <f t="shared" si="32"/>
        <v>542308</v>
      </c>
      <c r="P307" s="156">
        <f t="shared" si="33"/>
        <v>1084616</v>
      </c>
    </row>
    <row r="308" spans="2:16" s="9" customFormat="1" ht="35.1" customHeight="1" x14ac:dyDescent="0.25">
      <c r="B308" s="10" t="s">
        <v>359</v>
      </c>
      <c r="C308" s="22" t="s">
        <v>360</v>
      </c>
      <c r="D308" s="23" t="s">
        <v>269</v>
      </c>
      <c r="E308" s="12">
        <v>29</v>
      </c>
      <c r="F308" s="126">
        <v>45798</v>
      </c>
      <c r="G308" s="126">
        <f t="shared" si="36"/>
        <v>1328142</v>
      </c>
      <c r="H308" s="8"/>
      <c r="I308" s="9" t="str">
        <f t="array" ref="I308:L308">_xlfn.XLOOKUP(C308,'Neiva 2021 FASE I UNIFICADO'!$C$6:$C$540,'Neiva 2021 FASE I UNIFICADO'!$C$6:$F$540,"NO ESTA")</f>
        <v xml:space="preserve">SUMINISTRO E INSTALACIÓN TUBERIA PVC-ALC DIAMETRO 160mm                                                                   </v>
      </c>
      <c r="J308" s="9" t="str">
        <v xml:space="preserve">ML   </v>
      </c>
      <c r="K308" s="9">
        <v>11</v>
      </c>
      <c r="L308" s="9">
        <v>42386</v>
      </c>
      <c r="M308" s="124" t="str">
        <f t="shared" si="35"/>
        <v>FASE II</v>
      </c>
      <c r="N308" s="155">
        <f t="shared" si="31"/>
        <v>40</v>
      </c>
      <c r="O308" s="156">
        <f t="shared" si="32"/>
        <v>45798</v>
      </c>
      <c r="P308" s="156">
        <f t="shared" si="33"/>
        <v>1831920</v>
      </c>
    </row>
    <row r="309" spans="2:16" s="9" customFormat="1" ht="35.1" customHeight="1" x14ac:dyDescent="0.25">
      <c r="B309" s="10" t="s">
        <v>361</v>
      </c>
      <c r="C309" s="22" t="s">
        <v>362</v>
      </c>
      <c r="D309" s="23" t="s">
        <v>269</v>
      </c>
      <c r="E309" s="12">
        <v>7</v>
      </c>
      <c r="F309" s="126">
        <v>63955</v>
      </c>
      <c r="G309" s="126">
        <f t="shared" si="36"/>
        <v>447685</v>
      </c>
      <c r="H309" s="8"/>
      <c r="I309" s="9" t="str">
        <f t="array" ref="I309:L309">_xlfn.XLOOKUP(C309,'Neiva 2021 FASE I UNIFICADO'!$C$6:$C$540,'Neiva 2021 FASE I UNIFICADO'!$C$6:$F$540,"NO ESTA")</f>
        <v xml:space="preserve">SUMINISTRO E INSTALACIÓN TUBERIA PVC-ALC DIAMETRO 200mm                                                                   </v>
      </c>
      <c r="J309" s="9" t="str">
        <v xml:space="preserve">ML   </v>
      </c>
      <c r="K309" s="9">
        <v>3</v>
      </c>
      <c r="L309" s="9">
        <v>59190</v>
      </c>
      <c r="M309" s="124" t="str">
        <f t="shared" si="35"/>
        <v>FASE II</v>
      </c>
      <c r="N309" s="155">
        <f t="shared" si="31"/>
        <v>10</v>
      </c>
      <c r="O309" s="156">
        <f t="shared" si="32"/>
        <v>63955</v>
      </c>
      <c r="P309" s="156">
        <f t="shared" si="33"/>
        <v>639550</v>
      </c>
    </row>
    <row r="310" spans="2:16" s="9" customFormat="1" ht="35.1" customHeight="1" x14ac:dyDescent="0.25">
      <c r="B310" s="10" t="s">
        <v>363</v>
      </c>
      <c r="C310" s="22" t="s">
        <v>364</v>
      </c>
      <c r="D310" s="23" t="s">
        <v>269</v>
      </c>
      <c r="E310" s="12">
        <v>29</v>
      </c>
      <c r="F310" s="126">
        <v>97168</v>
      </c>
      <c r="G310" s="126">
        <f t="shared" si="36"/>
        <v>2817872</v>
      </c>
      <c r="H310" s="8"/>
      <c r="I310" s="9" t="str">
        <f t="array" ref="I310:L310">_xlfn.XLOOKUP(C310,'Neiva 2021 FASE I UNIFICADO'!$C$6:$C$540,'Neiva 2021 FASE I UNIFICADO'!$C$6:$F$540,"NO ESTA")</f>
        <v xml:space="preserve">SUMINISTRO E INSTALACIÓN TUBERÍA PVC-P DIAMETRO 4"                                                        </v>
      </c>
      <c r="J310" s="9" t="str">
        <v xml:space="preserve">ML   </v>
      </c>
      <c r="K310" s="9">
        <v>11</v>
      </c>
      <c r="L310" s="9">
        <v>89928</v>
      </c>
      <c r="M310" s="124" t="str">
        <f t="shared" si="35"/>
        <v>FASE II</v>
      </c>
      <c r="N310" s="155">
        <f t="shared" si="31"/>
        <v>40</v>
      </c>
      <c r="O310" s="156">
        <f t="shared" si="32"/>
        <v>97168</v>
      </c>
      <c r="P310" s="156">
        <f t="shared" si="33"/>
        <v>3886720</v>
      </c>
    </row>
    <row r="311" spans="2:16" s="9" customFormat="1" ht="35.1" customHeight="1" x14ac:dyDescent="0.25">
      <c r="B311" s="10" t="s">
        <v>365</v>
      </c>
      <c r="C311" s="22" t="s">
        <v>366</v>
      </c>
      <c r="D311" s="23" t="s">
        <v>284</v>
      </c>
      <c r="E311" s="12">
        <v>15</v>
      </c>
      <c r="F311" s="126">
        <v>78251</v>
      </c>
      <c r="G311" s="126">
        <f t="shared" si="36"/>
        <v>1173765</v>
      </c>
      <c r="H311" s="8"/>
      <c r="I311" s="9" t="str">
        <f t="array" ref="I311:L311">_xlfn.XLOOKUP(C311,'Neiva 2021 FASE I UNIFICADO'!$C$6:$C$540,'Neiva 2021 FASE I UNIFICADO'!$C$6:$F$540,"NO ESTA")</f>
        <v xml:space="preserve">SUMINISTRO E INSTALACIÓN ACCESORIOS PVC-P DIAMETRO 4"                                                             </v>
      </c>
      <c r="J311" s="9" t="str">
        <v xml:space="preserve">UN   </v>
      </c>
      <c r="K311" s="9">
        <v>5</v>
      </c>
      <c r="L311" s="9">
        <v>72421</v>
      </c>
      <c r="M311" s="124" t="str">
        <f t="shared" si="35"/>
        <v>FASE II</v>
      </c>
      <c r="N311" s="155">
        <f t="shared" si="31"/>
        <v>20</v>
      </c>
      <c r="O311" s="156">
        <f t="shared" si="32"/>
        <v>78251</v>
      </c>
      <c r="P311" s="156">
        <f t="shared" si="33"/>
        <v>1565020</v>
      </c>
    </row>
    <row r="312" spans="2:16" s="9" customFormat="1" ht="35.1" customHeight="1" x14ac:dyDescent="0.25">
      <c r="B312" s="47" t="s">
        <v>367</v>
      </c>
      <c r="C312" s="24" t="s">
        <v>368</v>
      </c>
      <c r="D312" s="24" t="s">
        <v>369</v>
      </c>
      <c r="E312" s="15"/>
      <c r="F312" s="129"/>
      <c r="G312" s="140"/>
      <c r="H312" s="8"/>
      <c r="I312" s="9" t="str">
        <f t="array" ref="I312:L312">_xlfn.XLOOKUP(C312,'Neiva 2021 FASE I UNIFICADO'!$C$6:$C$540,'Neiva 2021 FASE I UNIFICADO'!$C$6:$F$540,"NO ESTA")</f>
        <v>SUMINISTRO E INSTALACIÓN DE APARATOS SANITARIOS</v>
      </c>
      <c r="J312" s="9" t="str">
        <v xml:space="preserve">     </v>
      </c>
      <c r="K312" s="9">
        <v>0</v>
      </c>
      <c r="L312" s="9">
        <v>0</v>
      </c>
      <c r="M312" s="124">
        <f t="shared" si="35"/>
        <v>0</v>
      </c>
      <c r="N312" s="155">
        <f t="shared" si="31"/>
        <v>0</v>
      </c>
      <c r="O312" s="156">
        <f t="shared" si="32"/>
        <v>0</v>
      </c>
      <c r="P312" s="156">
        <f t="shared" si="33"/>
        <v>0</v>
      </c>
    </row>
    <row r="313" spans="2:16" s="9" customFormat="1" ht="35.1" customHeight="1" x14ac:dyDescent="0.25">
      <c r="B313" s="23" t="s">
        <v>370</v>
      </c>
      <c r="C313" s="87" t="s">
        <v>371</v>
      </c>
      <c r="D313" s="23" t="s">
        <v>284</v>
      </c>
      <c r="E313" s="12">
        <v>24</v>
      </c>
      <c r="F313" s="126">
        <v>1105824</v>
      </c>
      <c r="G313" s="126">
        <f t="shared" ref="G313:G320" si="37">ROUND(+F313*E313,2)</f>
        <v>26539776</v>
      </c>
      <c r="H313" s="8"/>
      <c r="I313" s="9" t="str">
        <f t="array" ref="I313:L313">_xlfn.XLOOKUP(C313,'Neiva 2021 FASE I UNIFICADO'!$C$6:$C$540,'Neiva 2021 FASE I UNIFICADO'!$C$6:$F$540,"NO ESTA")</f>
        <v>SUMINISTRO E INSTALACIÓN SANITARIO INSTITUCIONAL incluye FLUXOMETRO</v>
      </c>
      <c r="J313" s="9" t="str">
        <v xml:space="preserve">UN   </v>
      </c>
      <c r="K313" s="9">
        <v>28</v>
      </c>
      <c r="L313" s="9">
        <v>1023434</v>
      </c>
      <c r="M313" s="124" t="str">
        <f t="shared" si="35"/>
        <v>FASE II</v>
      </c>
      <c r="N313" s="155">
        <f t="shared" si="31"/>
        <v>52</v>
      </c>
      <c r="O313" s="156">
        <f t="shared" si="32"/>
        <v>1105824</v>
      </c>
      <c r="P313" s="156">
        <f t="shared" si="33"/>
        <v>57502848</v>
      </c>
    </row>
    <row r="314" spans="2:16" s="9" customFormat="1" ht="35.1" customHeight="1" x14ac:dyDescent="0.25">
      <c r="B314" s="23" t="s">
        <v>372</v>
      </c>
      <c r="C314" s="87" t="s">
        <v>373</v>
      </c>
      <c r="D314" s="23" t="s">
        <v>374</v>
      </c>
      <c r="E314" s="12">
        <v>4</v>
      </c>
      <c r="F314" s="126">
        <v>670042</v>
      </c>
      <c r="G314" s="126">
        <f t="shared" si="37"/>
        <v>2680168</v>
      </c>
      <c r="H314" s="8"/>
      <c r="I314" s="9" t="str">
        <f t="array" ref="I314:L314">_xlfn.XLOOKUP(C314,'Neiva 2021 FASE I UNIFICADO'!$C$6:$C$540,'Neiva 2021 FASE I UNIFICADO'!$C$6:$F$540,"NO ESTA")</f>
        <v xml:space="preserve">SUMINISTRO E INSTALACIÓN SANITARIO DE BAJO CONSUMO </v>
      </c>
      <c r="J314" s="9" t="str">
        <v>UN</v>
      </c>
      <c r="K314" s="9">
        <v>4</v>
      </c>
      <c r="L314" s="9">
        <v>620120</v>
      </c>
      <c r="M314" s="124" t="str">
        <f t="shared" si="35"/>
        <v>FASE II</v>
      </c>
      <c r="N314" s="155">
        <f t="shared" si="31"/>
        <v>8</v>
      </c>
      <c r="O314" s="156">
        <f t="shared" si="32"/>
        <v>670042</v>
      </c>
      <c r="P314" s="156">
        <f t="shared" si="33"/>
        <v>5360336</v>
      </c>
    </row>
    <row r="315" spans="2:16" s="9" customFormat="1" ht="35.1" customHeight="1" x14ac:dyDescent="0.25">
      <c r="B315" s="23" t="s">
        <v>375</v>
      </c>
      <c r="C315" s="87" t="s">
        <v>376</v>
      </c>
      <c r="D315" s="23" t="s">
        <v>284</v>
      </c>
      <c r="E315" s="12">
        <v>9</v>
      </c>
      <c r="F315" s="126">
        <v>757710</v>
      </c>
      <c r="G315" s="126">
        <f t="shared" si="37"/>
        <v>6819390</v>
      </c>
      <c r="H315" s="8"/>
      <c r="I315" s="9" t="str">
        <f t="array" ref="I315:L315">_xlfn.XLOOKUP(C315,'Neiva 2021 FASE I UNIFICADO'!$C$6:$C$540,'Neiva 2021 FASE I UNIFICADO'!$C$6:$F$540,"NO ESTA")</f>
        <v>SUMINISTRO E INSTALACIÓN ORINAL</v>
      </c>
      <c r="J315" s="9" t="str">
        <v xml:space="preserve">UN   </v>
      </c>
      <c r="K315" s="9">
        <v>12</v>
      </c>
      <c r="L315" s="9">
        <v>701257</v>
      </c>
      <c r="M315" s="124" t="str">
        <f t="shared" si="35"/>
        <v>FASE II</v>
      </c>
      <c r="N315" s="155">
        <f t="shared" si="31"/>
        <v>21</v>
      </c>
      <c r="O315" s="156">
        <f t="shared" si="32"/>
        <v>757710</v>
      </c>
      <c r="P315" s="156">
        <f t="shared" si="33"/>
        <v>15911910</v>
      </c>
    </row>
    <row r="316" spans="2:16" s="9" customFormat="1" ht="35.1" customHeight="1" x14ac:dyDescent="0.25">
      <c r="B316" s="23" t="s">
        <v>377</v>
      </c>
      <c r="C316" s="11" t="s">
        <v>378</v>
      </c>
      <c r="D316" s="23" t="s">
        <v>94</v>
      </c>
      <c r="E316" s="12">
        <v>13</v>
      </c>
      <c r="F316" s="126">
        <v>218116</v>
      </c>
      <c r="G316" s="126">
        <f t="shared" si="37"/>
        <v>2835508</v>
      </c>
      <c r="H316" s="8"/>
      <c r="I316" s="9" t="str">
        <f t="array" ref="I316:L316">_xlfn.XLOOKUP(C316,'Neiva 2021 FASE I UNIFICADO'!$C$6:$C$540,'Neiva 2021 FASE I UNIFICADO'!$C$6:$F$540,"NO ESTA")</f>
        <v>SUMINISTRO E INSTALACIÓN MESÓN EN GRANITO NEGRO ABSOLUTO o similar, ANCHO 0.60m</v>
      </c>
      <c r="J316" s="9" t="str">
        <v>ML</v>
      </c>
      <c r="K316" s="9">
        <v>14</v>
      </c>
      <c r="L316" s="9">
        <v>201866</v>
      </c>
      <c r="M316" s="124" t="str">
        <f t="shared" si="35"/>
        <v>FASE II</v>
      </c>
      <c r="N316" s="155">
        <f t="shared" si="31"/>
        <v>27</v>
      </c>
      <c r="O316" s="156">
        <f t="shared" si="32"/>
        <v>218116</v>
      </c>
      <c r="P316" s="156">
        <f t="shared" si="33"/>
        <v>5889132</v>
      </c>
    </row>
    <row r="317" spans="2:16" s="9" customFormat="1" ht="35.1" customHeight="1" x14ac:dyDescent="0.25">
      <c r="B317" s="23" t="s">
        <v>379</v>
      </c>
      <c r="C317" s="87" t="s">
        <v>380</v>
      </c>
      <c r="D317" s="23" t="s">
        <v>284</v>
      </c>
      <c r="E317" s="12">
        <v>18</v>
      </c>
      <c r="F317" s="126">
        <v>588854</v>
      </c>
      <c r="G317" s="126">
        <f t="shared" si="37"/>
        <v>10599372</v>
      </c>
      <c r="H317" s="8"/>
      <c r="I317" s="9" t="str">
        <f t="array" ref="I317:L317">_xlfn.XLOOKUP(C317,'Neiva 2021 FASE I UNIFICADO'!$C$6:$C$540,'Neiva 2021 FASE I UNIFICADO'!$C$6:$F$540,"NO ESTA")</f>
        <v xml:space="preserve">SUMINISTRO E INSTALACIÓN LAVAMANOS SOBREPONER </v>
      </c>
      <c r="J317" s="9" t="str">
        <v xml:space="preserve">UN   </v>
      </c>
      <c r="K317" s="9">
        <v>20</v>
      </c>
      <c r="L317" s="9">
        <v>544981</v>
      </c>
      <c r="M317" s="124" t="str">
        <f t="shared" si="35"/>
        <v>FASE II</v>
      </c>
      <c r="N317" s="155">
        <f t="shared" si="31"/>
        <v>38</v>
      </c>
      <c r="O317" s="156">
        <f t="shared" si="32"/>
        <v>588854</v>
      </c>
      <c r="P317" s="156">
        <f t="shared" si="33"/>
        <v>22376452</v>
      </c>
    </row>
    <row r="318" spans="2:16" s="9" customFormat="1" ht="35.1" customHeight="1" x14ac:dyDescent="0.25">
      <c r="B318" s="23" t="s">
        <v>381</v>
      </c>
      <c r="C318" s="87" t="s">
        <v>382</v>
      </c>
      <c r="D318" s="23" t="s">
        <v>284</v>
      </c>
      <c r="E318" s="12">
        <v>3</v>
      </c>
      <c r="F318" s="126">
        <v>556929</v>
      </c>
      <c r="G318" s="126">
        <f t="shared" si="37"/>
        <v>1670787</v>
      </c>
      <c r="H318" s="8"/>
      <c r="I318" s="9" t="str">
        <f t="array" ref="I318:L318">_xlfn.XLOOKUP(C318,'Neiva 2021 FASE I UNIFICADO'!$C$6:$C$540,'Neiva 2021 FASE I UNIFICADO'!$C$6:$F$540,"NO ESTA")</f>
        <v>SUMINISTRO E INSTALACIÓN LAVAMANOS PEDESTAL</v>
      </c>
      <c r="J318" s="9" t="str">
        <v xml:space="preserve">UN   </v>
      </c>
      <c r="K318" s="9">
        <v>3</v>
      </c>
      <c r="L318" s="9">
        <v>515435</v>
      </c>
      <c r="M318" s="124" t="str">
        <f t="shared" si="35"/>
        <v>FASE II</v>
      </c>
      <c r="N318" s="155">
        <f t="shared" si="31"/>
        <v>6</v>
      </c>
      <c r="O318" s="156">
        <f t="shared" si="32"/>
        <v>556929</v>
      </c>
      <c r="P318" s="156">
        <f t="shared" si="33"/>
        <v>3341574</v>
      </c>
    </row>
    <row r="319" spans="2:16" s="9" customFormat="1" ht="35.1" customHeight="1" x14ac:dyDescent="0.25">
      <c r="B319" s="23" t="s">
        <v>383</v>
      </c>
      <c r="C319" s="11" t="s">
        <v>384</v>
      </c>
      <c r="D319" s="23" t="s">
        <v>13</v>
      </c>
      <c r="E319" s="12">
        <v>11</v>
      </c>
      <c r="F319" s="126">
        <v>90851</v>
      </c>
      <c r="G319" s="126">
        <f t="shared" si="37"/>
        <v>999361</v>
      </c>
      <c r="H319" s="8"/>
      <c r="I319" s="9" t="str">
        <f t="array" ref="I319:L319">_xlfn.XLOOKUP(C319,'Neiva 2021 FASE I UNIFICADO'!$C$6:$C$540,'Neiva 2021 FASE I UNIFICADO'!$C$6:$F$540,"NO ESTA")</f>
        <v>SUMINISTRO E INSTALACIÓN ESPEJO e=4MM PEGADO SOBRE BASTIDOR EN ALUMINIO DE 2X1</v>
      </c>
      <c r="J319" s="9" t="str">
        <v>M2</v>
      </c>
      <c r="K319" s="9">
        <v>12</v>
      </c>
      <c r="L319" s="9">
        <v>84082</v>
      </c>
      <c r="M319" s="124" t="str">
        <f t="shared" si="35"/>
        <v>FASE II</v>
      </c>
      <c r="N319" s="155">
        <f t="shared" si="31"/>
        <v>23</v>
      </c>
      <c r="O319" s="156">
        <f t="shared" si="32"/>
        <v>90851</v>
      </c>
      <c r="P319" s="156">
        <f t="shared" si="33"/>
        <v>2089573</v>
      </c>
    </row>
    <row r="320" spans="2:16" s="9" customFormat="1" ht="35.1" customHeight="1" x14ac:dyDescent="0.25">
      <c r="B320" s="23" t="s">
        <v>385</v>
      </c>
      <c r="C320" s="11" t="s">
        <v>386</v>
      </c>
      <c r="D320" s="23" t="s">
        <v>284</v>
      </c>
      <c r="E320" s="12">
        <v>1</v>
      </c>
      <c r="F320" s="126">
        <v>44128</v>
      </c>
      <c r="G320" s="126">
        <f t="shared" si="37"/>
        <v>44128</v>
      </c>
      <c r="H320" s="8"/>
      <c r="I320" s="9" t="str">
        <f t="array" ref="I320:L320">_xlfn.XLOOKUP(C320,'Neiva 2021 FASE I UNIFICADO'!$C$6:$C$540,'Neiva 2021 FASE I UNIFICADO'!$C$6:$F$540,"NO ESTA")</f>
        <v>SUMINISTRO E INSTALACIÓN LLAVES MANGUERA</v>
      </c>
      <c r="J320" s="9" t="str">
        <v xml:space="preserve">UN   </v>
      </c>
      <c r="K320" s="9">
        <v>2</v>
      </c>
      <c r="L320" s="9">
        <v>40840</v>
      </c>
      <c r="M320" s="124" t="str">
        <f t="shared" si="35"/>
        <v>FASE II</v>
      </c>
      <c r="N320" s="155">
        <f t="shared" si="31"/>
        <v>3</v>
      </c>
      <c r="O320" s="156">
        <f t="shared" si="32"/>
        <v>44128</v>
      </c>
      <c r="P320" s="156">
        <f t="shared" si="33"/>
        <v>132384</v>
      </c>
    </row>
    <row r="321" spans="2:16" s="9" customFormat="1" ht="35.1" customHeight="1" x14ac:dyDescent="0.25">
      <c r="B321" s="47" t="s">
        <v>387</v>
      </c>
      <c r="C321" s="24" t="s">
        <v>388</v>
      </c>
      <c r="D321" s="24"/>
      <c r="E321" s="15"/>
      <c r="F321" s="129"/>
      <c r="G321" s="140"/>
      <c r="H321" s="8"/>
      <c r="I321" s="9" t="str">
        <f t="array" ref="I321:L321">_xlfn.XLOOKUP(C321,'Neiva 2021 FASE I UNIFICADO'!$C$6:$C$540,'Neiva 2021 FASE I UNIFICADO'!$C$6:$F$540,"NO ESTA")</f>
        <v xml:space="preserve">SUMINISTRO E INSTALACION RED DESAGÜES AGUAS LLUVIAS                                                                                 </v>
      </c>
      <c r="J321" s="9">
        <v>0</v>
      </c>
      <c r="K321" s="9">
        <v>0</v>
      </c>
      <c r="L321" s="9">
        <v>0</v>
      </c>
      <c r="M321" s="124">
        <f t="shared" si="35"/>
        <v>0</v>
      </c>
      <c r="N321" s="155">
        <f t="shared" si="31"/>
        <v>0</v>
      </c>
      <c r="O321" s="156">
        <f t="shared" si="32"/>
        <v>0</v>
      </c>
      <c r="P321" s="156">
        <f t="shared" si="33"/>
        <v>0</v>
      </c>
    </row>
    <row r="322" spans="2:16" s="9" customFormat="1" ht="35.1" customHeight="1" x14ac:dyDescent="0.25">
      <c r="B322" s="23" t="s">
        <v>389</v>
      </c>
      <c r="C322" s="22" t="s">
        <v>390</v>
      </c>
      <c r="D322" s="23" t="s">
        <v>269</v>
      </c>
      <c r="E322" s="12">
        <v>248</v>
      </c>
      <c r="F322" s="126">
        <v>36135</v>
      </c>
      <c r="G322" s="126">
        <f t="shared" ref="G322:G344" si="38">ROUND(+F322*E322,2)</f>
        <v>8961480</v>
      </c>
      <c r="H322" s="8"/>
      <c r="I322" s="9" t="str">
        <f t="array" ref="I322:L322">_xlfn.XLOOKUP(C322,'Neiva 2021 FASE I UNIFICADO'!$C$6:$C$540,'Neiva 2021 FASE I UNIFICADO'!$C$6:$F$540,"NO ESTA")</f>
        <v xml:space="preserve">SUMINISTRO E INSTALACIÓN TUBERIA PVC-S DIAMETRO  3 PUL                                                                 </v>
      </c>
      <c r="J322" s="9" t="str">
        <v xml:space="preserve">ML   </v>
      </c>
      <c r="K322" s="9">
        <v>92</v>
      </c>
      <c r="L322" s="9">
        <v>33443</v>
      </c>
      <c r="M322" s="124" t="str">
        <f t="shared" si="35"/>
        <v>FASE II</v>
      </c>
      <c r="N322" s="155">
        <f t="shared" si="31"/>
        <v>340</v>
      </c>
      <c r="O322" s="156">
        <f t="shared" si="32"/>
        <v>36135</v>
      </c>
      <c r="P322" s="156">
        <f t="shared" si="33"/>
        <v>12285900</v>
      </c>
    </row>
    <row r="323" spans="2:16" s="9" customFormat="1" ht="35.1" customHeight="1" x14ac:dyDescent="0.25">
      <c r="B323" s="23" t="s">
        <v>391</v>
      </c>
      <c r="C323" s="11" t="s">
        <v>392</v>
      </c>
      <c r="D323" s="10" t="s">
        <v>269</v>
      </c>
      <c r="E323" s="12">
        <v>122</v>
      </c>
      <c r="F323" s="126">
        <v>51550</v>
      </c>
      <c r="G323" s="126">
        <f t="shared" si="38"/>
        <v>6289100</v>
      </c>
      <c r="H323" s="8"/>
      <c r="I323" s="9" t="str">
        <f t="array" ref="I323:L323">_xlfn.XLOOKUP(C323,'Neiva 2021 FASE I UNIFICADO'!$C$6:$C$540,'Neiva 2021 FASE I UNIFICADO'!$C$6:$F$540,"NO ESTA")</f>
        <v xml:space="preserve">SUMINISTRO E INSTALACIÓN TUBERIA PVC-S DIAMETRO 4 PUL                                                                 </v>
      </c>
      <c r="J323" s="9" t="str">
        <v xml:space="preserve">ML   </v>
      </c>
      <c r="K323" s="9">
        <v>45</v>
      </c>
      <c r="L323" s="9">
        <v>47709</v>
      </c>
      <c r="M323" s="124" t="str">
        <f t="shared" si="35"/>
        <v>FASE II</v>
      </c>
      <c r="N323" s="155">
        <f t="shared" si="31"/>
        <v>167</v>
      </c>
      <c r="O323" s="156">
        <f t="shared" si="32"/>
        <v>51550</v>
      </c>
      <c r="P323" s="156">
        <f t="shared" si="33"/>
        <v>8608850</v>
      </c>
    </row>
    <row r="324" spans="2:16" s="9" customFormat="1" ht="35.1" customHeight="1" x14ac:dyDescent="0.25">
      <c r="B324" s="23" t="s">
        <v>393</v>
      </c>
      <c r="C324" s="11" t="s">
        <v>394</v>
      </c>
      <c r="D324" s="10" t="s">
        <v>269</v>
      </c>
      <c r="E324" s="12">
        <v>161</v>
      </c>
      <c r="F324" s="126">
        <v>93160</v>
      </c>
      <c r="G324" s="126">
        <f t="shared" si="38"/>
        <v>14998760</v>
      </c>
      <c r="H324" s="8"/>
      <c r="I324" s="9" t="str">
        <f t="array" ref="I324:L324">_xlfn.XLOOKUP(C324,'Neiva 2021 FASE I UNIFICADO'!$C$6:$C$540,'Neiva 2021 FASE I UNIFICADO'!$C$6:$F$540,"NO ESTA")</f>
        <v xml:space="preserve">SUMINISTRO E INSTALACIÓN TUBERIA PVC-S DIAMETRO 6 PUL                                                                 </v>
      </c>
      <c r="J324" s="9" t="str">
        <v xml:space="preserve">ML   </v>
      </c>
      <c r="K324" s="9">
        <v>60</v>
      </c>
      <c r="L324" s="9">
        <v>86220</v>
      </c>
      <c r="M324" s="124" t="str">
        <f t="shared" si="35"/>
        <v>FASE II</v>
      </c>
      <c r="N324" s="155">
        <f t="shared" si="31"/>
        <v>221</v>
      </c>
      <c r="O324" s="156">
        <f t="shared" si="32"/>
        <v>93160</v>
      </c>
      <c r="P324" s="156">
        <f t="shared" si="33"/>
        <v>20588360</v>
      </c>
    </row>
    <row r="325" spans="2:16" s="9" customFormat="1" ht="35.1" customHeight="1" x14ac:dyDescent="0.25">
      <c r="B325" s="23" t="s">
        <v>395</v>
      </c>
      <c r="C325" s="11" t="s">
        <v>396</v>
      </c>
      <c r="D325" s="10" t="s">
        <v>374</v>
      </c>
      <c r="E325" s="12">
        <v>101</v>
      </c>
      <c r="F325" s="126">
        <v>10700</v>
      </c>
      <c r="G325" s="126">
        <f t="shared" si="38"/>
        <v>1080700</v>
      </c>
      <c r="H325" s="8"/>
      <c r="I325" s="9" t="str">
        <f t="array" ref="I325:L325">_xlfn.XLOOKUP(C325,'Neiva 2021 FASE I UNIFICADO'!$C$6:$C$540,'Neiva 2021 FASE I UNIFICADO'!$C$6:$F$540,"NO ESTA")</f>
        <v xml:space="preserve">SUMINISTRO E INSTALACIÓN ACCESORIOS PVC-S DIAMETRO 3"                                                             </v>
      </c>
      <c r="J325" s="9" t="str">
        <v>UN</v>
      </c>
      <c r="K325" s="9">
        <v>38</v>
      </c>
      <c r="L325" s="9">
        <v>9904</v>
      </c>
      <c r="M325" s="124" t="str">
        <f t="shared" si="35"/>
        <v>FASE II</v>
      </c>
      <c r="N325" s="155">
        <f t="shared" si="31"/>
        <v>139</v>
      </c>
      <c r="O325" s="156">
        <f t="shared" si="32"/>
        <v>10700</v>
      </c>
      <c r="P325" s="156">
        <f t="shared" si="33"/>
        <v>1487300</v>
      </c>
    </row>
    <row r="326" spans="2:16" s="9" customFormat="1" ht="35.1" customHeight="1" x14ac:dyDescent="0.25">
      <c r="B326" s="23" t="s">
        <v>397</v>
      </c>
      <c r="C326" s="49" t="s">
        <v>398</v>
      </c>
      <c r="D326" s="10" t="s">
        <v>374</v>
      </c>
      <c r="E326" s="12">
        <v>58</v>
      </c>
      <c r="F326" s="126">
        <v>15725</v>
      </c>
      <c r="G326" s="126">
        <f t="shared" si="38"/>
        <v>912050</v>
      </c>
      <c r="H326" s="8"/>
      <c r="I326" s="9" t="str">
        <f t="array" ref="I326:L326">_xlfn.XLOOKUP(C326,'Neiva 2021 FASE I UNIFICADO'!$C$6:$C$540,'Neiva 2021 FASE I UNIFICADO'!$C$6:$F$540,"NO ESTA")</f>
        <v xml:space="preserve">SUMINISTRO E INSTALACIÓN ACCESORIOS PVC-S DIAMETRO 4"                                                             </v>
      </c>
      <c r="J326" s="9" t="str">
        <v>UN</v>
      </c>
      <c r="K326" s="9">
        <v>21</v>
      </c>
      <c r="L326" s="9">
        <v>14553</v>
      </c>
      <c r="M326" s="124" t="str">
        <f t="shared" si="35"/>
        <v>FASE II</v>
      </c>
      <c r="N326" s="155">
        <f t="shared" ref="N326:N389" si="39">E326+K326</f>
        <v>79</v>
      </c>
      <c r="O326" s="156">
        <f t="shared" ref="O326:O389" si="40">MAX(L326,F326)</f>
        <v>15725</v>
      </c>
      <c r="P326" s="156">
        <f t="shared" ref="P326:P389" si="41">N326*O326</f>
        <v>1242275</v>
      </c>
    </row>
    <row r="327" spans="2:16" s="9" customFormat="1" ht="35.1" customHeight="1" x14ac:dyDescent="0.25">
      <c r="B327" s="23" t="s">
        <v>399</v>
      </c>
      <c r="C327" s="11" t="s">
        <v>400</v>
      </c>
      <c r="D327" s="10" t="s">
        <v>374</v>
      </c>
      <c r="E327" s="12">
        <v>68</v>
      </c>
      <c r="F327" s="126">
        <v>74938</v>
      </c>
      <c r="G327" s="126">
        <f t="shared" si="38"/>
        <v>5095784</v>
      </c>
      <c r="H327" s="8"/>
      <c r="I327" s="9" t="str">
        <f t="array" ref="I327:L327">_xlfn.XLOOKUP(C327,'Neiva 2021 FASE I UNIFICADO'!$C$6:$C$540,'Neiva 2021 FASE I UNIFICADO'!$C$6:$F$540,"NO ESTA")</f>
        <v xml:space="preserve">SUMINISTRO E INSTALACIÓN ACCESORIOS PVC-S DIAMETRO 6"                                                             </v>
      </c>
      <c r="J327" s="9" t="str">
        <v>UN</v>
      </c>
      <c r="K327" s="9">
        <v>25</v>
      </c>
      <c r="L327" s="9">
        <v>69355</v>
      </c>
      <c r="M327" s="124" t="str">
        <f t="shared" si="35"/>
        <v>FASE II</v>
      </c>
      <c r="N327" s="155">
        <f t="shared" si="39"/>
        <v>93</v>
      </c>
      <c r="O327" s="156">
        <f t="shared" si="40"/>
        <v>74938</v>
      </c>
      <c r="P327" s="156">
        <f t="shared" si="41"/>
        <v>6969234</v>
      </c>
    </row>
    <row r="328" spans="2:16" s="9" customFormat="1" ht="35.1" customHeight="1" x14ac:dyDescent="0.25">
      <c r="B328" s="23" t="s">
        <v>401</v>
      </c>
      <c r="C328" s="11" t="s">
        <v>402</v>
      </c>
      <c r="D328" s="10" t="s">
        <v>269</v>
      </c>
      <c r="E328" s="12">
        <v>31</v>
      </c>
      <c r="F328" s="126">
        <v>50021</v>
      </c>
      <c r="G328" s="126">
        <f t="shared" si="38"/>
        <v>1550651</v>
      </c>
      <c r="H328" s="8"/>
      <c r="I328" s="9" t="str">
        <f t="array" ref="I328:L328">_xlfn.XLOOKUP(C328,'Neiva 2021 FASE I UNIFICADO'!$C$6:$C$540,'Neiva 2021 FASE I UNIFICADO'!$C$6:$F$540,"NO ESTA")</f>
        <v xml:space="preserve">SUMINISTRO E INSTALACIÓN SALIDA SANITARIA DIAMETRO 3 PULG                                                               </v>
      </c>
      <c r="J328" s="9" t="str">
        <v xml:space="preserve">ML   </v>
      </c>
      <c r="K328" s="9">
        <v>12</v>
      </c>
      <c r="L328" s="9">
        <v>46295</v>
      </c>
      <c r="M328" s="124" t="str">
        <f t="shared" ref="M328:M391" si="42">IF(L328=0,0,(IF(F328&lt;L328, "FASE I","FASE II")))</f>
        <v>FASE II</v>
      </c>
      <c r="N328" s="155">
        <f t="shared" si="39"/>
        <v>43</v>
      </c>
      <c r="O328" s="156">
        <f t="shared" si="40"/>
        <v>50021</v>
      </c>
      <c r="P328" s="156">
        <f t="shared" si="41"/>
        <v>2150903</v>
      </c>
    </row>
    <row r="329" spans="2:16" s="9" customFormat="1" ht="35.1" customHeight="1" x14ac:dyDescent="0.25">
      <c r="B329" s="23" t="s">
        <v>403</v>
      </c>
      <c r="C329" s="11" t="s">
        <v>404</v>
      </c>
      <c r="D329" s="10" t="s">
        <v>269</v>
      </c>
      <c r="E329" s="12">
        <v>23</v>
      </c>
      <c r="F329" s="126">
        <v>61472</v>
      </c>
      <c r="G329" s="126">
        <f t="shared" si="38"/>
        <v>1413856</v>
      </c>
      <c r="H329" s="8"/>
      <c r="I329" s="9" t="str">
        <f t="array" ref="I329:L329">_xlfn.XLOOKUP(C329,'Neiva 2021 FASE I UNIFICADO'!$C$6:$C$540,'Neiva 2021 FASE I UNIFICADO'!$C$6:$F$540,"NO ESTA")</f>
        <v xml:space="preserve">SUMINISTRO E INSTALACIÓN SALIDA SANITARIA DIAMETRO 4 PULG                                                               </v>
      </c>
      <c r="J329" s="9" t="str">
        <v xml:space="preserve">ML   </v>
      </c>
      <c r="K329" s="9">
        <v>8</v>
      </c>
      <c r="L329" s="9">
        <v>56892</v>
      </c>
      <c r="M329" s="124" t="str">
        <f t="shared" si="42"/>
        <v>FASE II</v>
      </c>
      <c r="N329" s="155">
        <f t="shared" si="39"/>
        <v>31</v>
      </c>
      <c r="O329" s="156">
        <f t="shared" si="40"/>
        <v>61472</v>
      </c>
      <c r="P329" s="156">
        <f t="shared" si="41"/>
        <v>1905632</v>
      </c>
    </row>
    <row r="330" spans="2:16" s="9" customFormat="1" ht="35.1" customHeight="1" x14ac:dyDescent="0.25">
      <c r="B330" s="23" t="s">
        <v>405</v>
      </c>
      <c r="C330" s="11" t="s">
        <v>406</v>
      </c>
      <c r="D330" s="10" t="s">
        <v>269</v>
      </c>
      <c r="E330" s="12">
        <v>0</v>
      </c>
      <c r="F330" s="126">
        <v>53541</v>
      </c>
      <c r="G330" s="126">
        <f t="shared" si="38"/>
        <v>0</v>
      </c>
      <c r="H330" s="8"/>
      <c r="I330" s="9" t="str">
        <f t="array" ref="I330:L330">_xlfn.XLOOKUP(C330,'Neiva 2021 FASE I UNIFICADO'!$C$6:$C$540,'Neiva 2021 FASE I UNIFICADO'!$C$6:$F$540,"NO ESTA")</f>
        <v xml:space="preserve">SUMINISTRO E INSTALACIÓN POLIETILENO PEAD PARA FILTRO 90 mm                                                                  </v>
      </c>
      <c r="J330" s="9" t="str">
        <v xml:space="preserve">ML   </v>
      </c>
      <c r="K330" s="9">
        <v>50</v>
      </c>
      <c r="L330" s="9">
        <v>49552</v>
      </c>
      <c r="M330" s="124" t="str">
        <f t="shared" si="42"/>
        <v>FASE II</v>
      </c>
      <c r="N330" s="155">
        <f t="shared" si="39"/>
        <v>50</v>
      </c>
      <c r="O330" s="156">
        <f t="shared" si="40"/>
        <v>53541</v>
      </c>
      <c r="P330" s="156">
        <f t="shared" si="41"/>
        <v>2677050</v>
      </c>
    </row>
    <row r="331" spans="2:16" s="9" customFormat="1" ht="35.1" customHeight="1" x14ac:dyDescent="0.25">
      <c r="B331" s="23" t="s">
        <v>407</v>
      </c>
      <c r="C331" s="11" t="s">
        <v>408</v>
      </c>
      <c r="D331" s="10" t="s">
        <v>269</v>
      </c>
      <c r="E331" s="12">
        <v>0</v>
      </c>
      <c r="F331" s="126">
        <v>27913</v>
      </c>
      <c r="G331" s="126">
        <f t="shared" si="38"/>
        <v>0</v>
      </c>
      <c r="H331" s="8"/>
      <c r="I331" s="9" t="str">
        <f t="array" ref="I331:L331">_xlfn.XLOOKUP(C331,'Neiva 2021 FASE I UNIFICADO'!$C$6:$C$540,'Neiva 2021 FASE I UNIFICADO'!$C$6:$F$540,"NO ESTA")</f>
        <v xml:space="preserve">SUMINISTRO E INSTALACIÓN TUBERIA PVC-ALC 90 mm                                                                  </v>
      </c>
      <c r="J331" s="9" t="str">
        <v xml:space="preserve">ML   </v>
      </c>
      <c r="K331" s="9">
        <v>30</v>
      </c>
      <c r="L331" s="9">
        <v>25833</v>
      </c>
      <c r="M331" s="124" t="str">
        <f t="shared" si="42"/>
        <v>FASE II</v>
      </c>
      <c r="N331" s="155">
        <f t="shared" si="39"/>
        <v>30</v>
      </c>
      <c r="O331" s="156">
        <f t="shared" si="40"/>
        <v>27913</v>
      </c>
      <c r="P331" s="156">
        <f t="shared" si="41"/>
        <v>837390</v>
      </c>
    </row>
    <row r="332" spans="2:16" s="9" customFormat="1" ht="35.1" customHeight="1" x14ac:dyDescent="0.25">
      <c r="B332" s="23" t="s">
        <v>409</v>
      </c>
      <c r="C332" s="11" t="s">
        <v>410</v>
      </c>
      <c r="D332" s="10" t="s">
        <v>269</v>
      </c>
      <c r="E332" s="12">
        <v>0</v>
      </c>
      <c r="F332" s="126">
        <v>34303</v>
      </c>
      <c r="G332" s="126">
        <f t="shared" si="38"/>
        <v>0</v>
      </c>
      <c r="H332" s="8"/>
      <c r="I332" s="9" t="str">
        <f t="array" ref="I332:L332">_xlfn.XLOOKUP(C332,'Neiva 2021 FASE I UNIFICADO'!$C$6:$C$540,'Neiva 2021 FASE I UNIFICADO'!$C$6:$F$540,"NO ESTA")</f>
        <v xml:space="preserve">SUMINISTRO E INSTALACIÓN TUBERIA PVC-ALC 110 mm                                                                 </v>
      </c>
      <c r="J332" s="9" t="str">
        <v xml:space="preserve">ML   </v>
      </c>
      <c r="K332" s="9">
        <v>15</v>
      </c>
      <c r="L332" s="9">
        <v>31747</v>
      </c>
      <c r="M332" s="124" t="str">
        <f t="shared" si="42"/>
        <v>FASE II</v>
      </c>
      <c r="N332" s="155">
        <f t="shared" si="39"/>
        <v>15</v>
      </c>
      <c r="O332" s="156">
        <f t="shared" si="40"/>
        <v>34303</v>
      </c>
      <c r="P332" s="156">
        <f t="shared" si="41"/>
        <v>514545</v>
      </c>
    </row>
    <row r="333" spans="2:16" s="9" customFormat="1" ht="35.1" customHeight="1" x14ac:dyDescent="0.25">
      <c r="B333" s="23" t="s">
        <v>411</v>
      </c>
      <c r="C333" s="11" t="s">
        <v>412</v>
      </c>
      <c r="D333" s="10" t="s">
        <v>269</v>
      </c>
      <c r="E333" s="12">
        <v>0</v>
      </c>
      <c r="F333" s="126">
        <v>45798</v>
      </c>
      <c r="G333" s="126">
        <f t="shared" si="38"/>
        <v>0</v>
      </c>
      <c r="H333" s="8"/>
      <c r="I333" s="9" t="str">
        <f t="array" ref="I333:L333">_xlfn.XLOOKUP(C333,'Neiva 2021 FASE I UNIFICADO'!$C$6:$C$540,'Neiva 2021 FASE I UNIFICADO'!$C$6:$F$540,"NO ESTA")</f>
        <v xml:space="preserve">SUMINISTRO E INSTALACIÓN TUBERIA PVC-ALC 160 mm                                                                 </v>
      </c>
      <c r="J333" s="9" t="str">
        <v xml:space="preserve">ML   </v>
      </c>
      <c r="K333" s="9">
        <v>70</v>
      </c>
      <c r="L333" s="9">
        <v>42386</v>
      </c>
      <c r="M333" s="124" t="str">
        <f t="shared" si="42"/>
        <v>FASE II</v>
      </c>
      <c r="N333" s="155">
        <f t="shared" si="39"/>
        <v>70</v>
      </c>
      <c r="O333" s="156">
        <f t="shared" si="40"/>
        <v>45798</v>
      </c>
      <c r="P333" s="156">
        <f t="shared" si="41"/>
        <v>3205860</v>
      </c>
    </row>
    <row r="334" spans="2:16" s="9" customFormat="1" ht="35.1" customHeight="1" x14ac:dyDescent="0.25">
      <c r="B334" s="23" t="s">
        <v>413</v>
      </c>
      <c r="C334" s="11" t="s">
        <v>414</v>
      </c>
      <c r="D334" s="10" t="s">
        <v>269</v>
      </c>
      <c r="E334" s="12">
        <v>0</v>
      </c>
      <c r="F334" s="126">
        <v>79901</v>
      </c>
      <c r="G334" s="126">
        <f t="shared" si="38"/>
        <v>0</v>
      </c>
      <c r="H334" s="8"/>
      <c r="I334" s="9" t="str">
        <f t="array" ref="I334:L334">_xlfn.XLOOKUP(C334,'Neiva 2021 FASE I UNIFICADO'!$C$6:$C$540,'Neiva 2021 FASE I UNIFICADO'!$C$6:$F$540,"NO ESTA")</f>
        <v xml:space="preserve">SUMINISTRO E INSTALACIÓN TUBERIA PVC-ALC 250mm                                                                   </v>
      </c>
      <c r="J334" s="9" t="str">
        <v xml:space="preserve">ML   </v>
      </c>
      <c r="K334" s="9">
        <v>20</v>
      </c>
      <c r="L334" s="9">
        <v>73947</v>
      </c>
      <c r="M334" s="124" t="str">
        <f t="shared" si="42"/>
        <v>FASE II</v>
      </c>
      <c r="N334" s="155">
        <f t="shared" si="39"/>
        <v>20</v>
      </c>
      <c r="O334" s="156">
        <f t="shared" si="40"/>
        <v>79901</v>
      </c>
      <c r="P334" s="156">
        <f t="shared" si="41"/>
        <v>1598020</v>
      </c>
    </row>
    <row r="335" spans="2:16" s="9" customFormat="1" ht="35.1" customHeight="1" x14ac:dyDescent="0.25">
      <c r="B335" s="23" t="s">
        <v>415</v>
      </c>
      <c r="C335" s="11" t="s">
        <v>358</v>
      </c>
      <c r="D335" s="10" t="s">
        <v>284</v>
      </c>
      <c r="E335" s="12">
        <v>0</v>
      </c>
      <c r="F335" s="126">
        <v>542308</v>
      </c>
      <c r="G335" s="126">
        <f t="shared" si="38"/>
        <v>0</v>
      </c>
      <c r="H335" s="8"/>
      <c r="I335" s="9" t="str">
        <f t="array" ref="I335:L335">_xlfn.XLOOKUP(C335,'Neiva 2021 FASE I UNIFICADO'!$C$6:$C$540,'Neiva 2021 FASE I UNIFICADO'!$C$6:$F$540,"NO ESTA")</f>
        <v xml:space="preserve">SUMINISTRO Y CONSTRUCCIÓN CAJA DE INSPECCIÓN 0.80mX0.80m H mäx:1.0m                                                                    </v>
      </c>
      <c r="J335" s="9" t="str">
        <v xml:space="preserve">UN   </v>
      </c>
      <c r="K335" s="9">
        <v>1</v>
      </c>
      <c r="L335" s="9">
        <v>501903</v>
      </c>
      <c r="M335" s="124" t="str">
        <f t="shared" si="42"/>
        <v>FASE II</v>
      </c>
      <c r="N335" s="155">
        <f t="shared" si="39"/>
        <v>1</v>
      </c>
      <c r="O335" s="156">
        <f t="shared" si="40"/>
        <v>542308</v>
      </c>
      <c r="P335" s="156">
        <f t="shared" si="41"/>
        <v>542308</v>
      </c>
    </row>
    <row r="336" spans="2:16" s="9" customFormat="1" ht="35.1" customHeight="1" x14ac:dyDescent="0.25">
      <c r="B336" s="47" t="s">
        <v>416</v>
      </c>
      <c r="C336" s="24" t="s">
        <v>417</v>
      </c>
      <c r="D336" s="24" t="s">
        <v>369</v>
      </c>
      <c r="E336" s="15"/>
      <c r="F336" s="126">
        <v>0</v>
      </c>
      <c r="G336" s="126">
        <f t="shared" si="38"/>
        <v>0</v>
      </c>
      <c r="H336" s="8"/>
      <c r="I336" s="9" t="str">
        <f t="array" ref="I336:L336">_xlfn.XLOOKUP(C336,'Neiva 2021 FASE I UNIFICADO'!$C$6:$C$540,'Neiva 2021 FASE I UNIFICADO'!$C$6:$F$540,"NO ESTA")</f>
        <v xml:space="preserve">EXCAVACIONES Y RELLENOS                                                                                       </v>
      </c>
      <c r="J336" s="9">
        <v>0</v>
      </c>
      <c r="K336" s="9">
        <v>0</v>
      </c>
      <c r="L336" s="9">
        <v>0</v>
      </c>
      <c r="M336" s="124">
        <f t="shared" si="42"/>
        <v>0</v>
      </c>
      <c r="N336" s="155">
        <f t="shared" si="39"/>
        <v>0</v>
      </c>
      <c r="O336" s="156">
        <f t="shared" si="40"/>
        <v>0</v>
      </c>
      <c r="P336" s="156">
        <f t="shared" si="41"/>
        <v>0</v>
      </c>
    </row>
    <row r="337" spans="2:16" s="9" customFormat="1" ht="35.1" customHeight="1" x14ac:dyDescent="0.25">
      <c r="B337" s="10" t="s">
        <v>418</v>
      </c>
      <c r="C337" s="11" t="s">
        <v>1222</v>
      </c>
      <c r="D337" s="10" t="s">
        <v>420</v>
      </c>
      <c r="E337" s="12">
        <v>0</v>
      </c>
      <c r="F337" s="126">
        <v>39971</v>
      </c>
      <c r="G337" s="126">
        <f t="shared" si="38"/>
        <v>0</v>
      </c>
      <c r="H337" s="8"/>
      <c r="I337" s="9" t="str">
        <f t="array" ref="I337">_xlfn.XLOOKUP(C337,'Neiva 2021 FASE I UNIFICADO'!$C$6:$C$540,'Neiva 2021 FASE I UNIFICADO'!$C$6:$F$540,"NO ESTA")</f>
        <v>NO ESTA</v>
      </c>
      <c r="M337" s="124">
        <f t="shared" si="42"/>
        <v>0</v>
      </c>
      <c r="N337" s="155">
        <f t="shared" si="39"/>
        <v>0</v>
      </c>
      <c r="O337" s="156">
        <f t="shared" si="40"/>
        <v>39971</v>
      </c>
      <c r="P337" s="156">
        <f t="shared" si="41"/>
        <v>0</v>
      </c>
    </row>
    <row r="338" spans="2:16" s="9" customFormat="1" ht="35.1" customHeight="1" x14ac:dyDescent="0.25">
      <c r="B338" s="10" t="s">
        <v>421</v>
      </c>
      <c r="C338" s="11" t="s">
        <v>422</v>
      </c>
      <c r="D338" s="10" t="s">
        <v>420</v>
      </c>
      <c r="E338" s="12">
        <v>0</v>
      </c>
      <c r="F338" s="126">
        <v>75587</v>
      </c>
      <c r="G338" s="126">
        <f t="shared" si="38"/>
        <v>0</v>
      </c>
      <c r="H338" s="8"/>
      <c r="I338" s="9" t="str">
        <f t="array" ref="I338:L338">_xlfn.XLOOKUP(C338,'Neiva 2021 FASE I UNIFICADO'!$C$6:$C$540,'Neiva 2021 FASE I UNIFICADO'!$C$6:$F$540,"NO ESTA")</f>
        <v xml:space="preserve">RELLENO EN ARENA INCLUYE TRANSPORTE Y COLOCACIÓN       </v>
      </c>
      <c r="J338" s="9" t="str">
        <v xml:space="preserve">M3   </v>
      </c>
      <c r="K338" s="9">
        <v>28</v>
      </c>
      <c r="L338" s="9">
        <v>69956</v>
      </c>
      <c r="M338" s="124" t="str">
        <f t="shared" si="42"/>
        <v>FASE II</v>
      </c>
      <c r="N338" s="155">
        <f t="shared" si="39"/>
        <v>28</v>
      </c>
      <c r="O338" s="156">
        <f t="shared" si="40"/>
        <v>75587</v>
      </c>
      <c r="P338" s="156">
        <f t="shared" si="41"/>
        <v>2116436</v>
      </c>
    </row>
    <row r="339" spans="2:16" s="9" customFormat="1" ht="35.1" customHeight="1" x14ac:dyDescent="0.25">
      <c r="B339" s="10" t="s">
        <v>423</v>
      </c>
      <c r="C339" s="11" t="s">
        <v>36</v>
      </c>
      <c r="D339" s="10" t="s">
        <v>420</v>
      </c>
      <c r="E339" s="12">
        <v>0</v>
      </c>
      <c r="F339" s="126">
        <v>62932</v>
      </c>
      <c r="G339" s="126">
        <f t="shared" si="38"/>
        <v>0</v>
      </c>
      <c r="H339" s="8"/>
      <c r="I339" s="9" t="str">
        <f t="array" ref="I339:L339">_xlfn.XLOOKUP(C339,'Neiva 2021 FASE I UNIFICADO'!$C$6:$C$540,'Neiva 2021 FASE I UNIFICADO'!$C$6:$F$540,"NO ESTA")</f>
        <v>RELLENO EN RECEBO COMÚN (Incluye Compactación)</v>
      </c>
      <c r="J339" s="9" t="str">
        <v>M3</v>
      </c>
      <c r="K339" s="9">
        <v>122.54</v>
      </c>
      <c r="L339" s="9">
        <v>58243</v>
      </c>
      <c r="M339" s="124" t="str">
        <f t="shared" si="42"/>
        <v>FASE II</v>
      </c>
      <c r="N339" s="155">
        <f t="shared" si="39"/>
        <v>122.54</v>
      </c>
      <c r="O339" s="156">
        <f t="shared" si="40"/>
        <v>62932</v>
      </c>
      <c r="P339" s="156">
        <f t="shared" si="41"/>
        <v>7711687.2800000003</v>
      </c>
    </row>
    <row r="340" spans="2:16" s="9" customFormat="1" ht="35.1" customHeight="1" x14ac:dyDescent="0.25">
      <c r="B340" s="10" t="s">
        <v>424</v>
      </c>
      <c r="C340" s="11" t="s">
        <v>425</v>
      </c>
      <c r="D340" s="10" t="s">
        <v>420</v>
      </c>
      <c r="E340" s="12">
        <v>0</v>
      </c>
      <c r="F340" s="126">
        <v>12500</v>
      </c>
      <c r="G340" s="126">
        <f t="shared" si="38"/>
        <v>0</v>
      </c>
      <c r="H340" s="8"/>
      <c r="I340" s="9" t="str">
        <f t="array" ref="I340:L340">_xlfn.XLOOKUP(C340,'Neiva 2021 FASE I UNIFICADO'!$C$6:$C$540,'Neiva 2021 FASE I UNIFICADO'!$C$6:$F$540,"NO ESTA")</f>
        <v>RELLENO EN MATERIAL COMÚN SELECCIONADO DE OBRA (Incluye Compactación)</v>
      </c>
      <c r="J340" s="9" t="str">
        <v xml:space="preserve">M3   </v>
      </c>
      <c r="K340" s="9">
        <v>37</v>
      </c>
      <c r="L340" s="9">
        <v>11569</v>
      </c>
      <c r="M340" s="124" t="str">
        <f t="shared" si="42"/>
        <v>FASE II</v>
      </c>
      <c r="N340" s="155">
        <f t="shared" si="39"/>
        <v>37</v>
      </c>
      <c r="O340" s="156">
        <f t="shared" si="40"/>
        <v>12500</v>
      </c>
      <c r="P340" s="156">
        <f t="shared" si="41"/>
        <v>462500</v>
      </c>
    </row>
    <row r="341" spans="2:16" s="9" customFormat="1" ht="35.1" customHeight="1" x14ac:dyDescent="0.25">
      <c r="B341" s="47" t="s">
        <v>426</v>
      </c>
      <c r="C341" s="24" t="s">
        <v>427</v>
      </c>
      <c r="D341" s="24" t="s">
        <v>369</v>
      </c>
      <c r="E341" s="15"/>
      <c r="F341" s="126">
        <v>0</v>
      </c>
      <c r="G341" s="126">
        <f t="shared" si="38"/>
        <v>0</v>
      </c>
      <c r="H341" s="8"/>
      <c r="I341" s="9" t="str">
        <f t="array" ref="I341:L341">_xlfn.XLOOKUP(C341,'Neiva 2021 FASE I UNIFICADO'!$C$6:$C$540,'Neiva 2021 FASE I UNIFICADO'!$C$6:$F$540,"NO ESTA")</f>
        <v xml:space="preserve">SUMINISTRO E INSTALACION DE EQUIPOS DE BOMBEO                                                                                             </v>
      </c>
      <c r="J341" s="9">
        <v>0</v>
      </c>
      <c r="K341" s="9">
        <v>0</v>
      </c>
      <c r="L341" s="9">
        <v>0</v>
      </c>
      <c r="M341" s="124">
        <f t="shared" si="42"/>
        <v>0</v>
      </c>
      <c r="N341" s="155">
        <f t="shared" si="39"/>
        <v>0</v>
      </c>
      <c r="O341" s="156">
        <f t="shared" si="40"/>
        <v>0</v>
      </c>
      <c r="P341" s="156">
        <f t="shared" si="41"/>
        <v>0</v>
      </c>
    </row>
    <row r="342" spans="2:16" s="9" customFormat="1" ht="35.1" customHeight="1" x14ac:dyDescent="0.25">
      <c r="B342" s="10" t="s">
        <v>428</v>
      </c>
      <c r="C342" s="11" t="s">
        <v>1223</v>
      </c>
      <c r="D342" s="10" t="s">
        <v>374</v>
      </c>
      <c r="E342" s="12">
        <v>0</v>
      </c>
      <c r="F342" s="126">
        <v>34968236</v>
      </c>
      <c r="G342" s="126">
        <f t="shared" si="38"/>
        <v>0</v>
      </c>
      <c r="H342" s="8"/>
      <c r="I342" s="9" t="str">
        <f t="array" ref="I342">_xlfn.XLOOKUP(C342,'Neiva 2021 FASE I UNIFICADO'!$C$6:$C$540,'Neiva 2021 FASE I UNIFICADO'!$C$6:$F$540,"NO ESTA")</f>
        <v>NO ESTA</v>
      </c>
      <c r="M342" s="124">
        <f t="shared" si="42"/>
        <v>0</v>
      </c>
      <c r="N342" s="155">
        <f t="shared" si="39"/>
        <v>0</v>
      </c>
      <c r="O342" s="156">
        <f t="shared" si="40"/>
        <v>34968236</v>
      </c>
      <c r="P342" s="156">
        <f t="shared" si="41"/>
        <v>0</v>
      </c>
    </row>
    <row r="343" spans="2:16" s="9" customFormat="1" ht="35.1" customHeight="1" x14ac:dyDescent="0.25">
      <c r="B343" s="10" t="s">
        <v>430</v>
      </c>
      <c r="C343" s="11" t="s">
        <v>1224</v>
      </c>
      <c r="D343" s="10" t="s">
        <v>374</v>
      </c>
      <c r="E343" s="12">
        <v>0</v>
      </c>
      <c r="F343" s="126">
        <v>95772561</v>
      </c>
      <c r="G343" s="126">
        <f t="shared" si="38"/>
        <v>0</v>
      </c>
      <c r="H343" s="8"/>
      <c r="I343" s="9" t="str">
        <f t="array" ref="I343">_xlfn.XLOOKUP(C343,'Neiva 2021 FASE I UNIFICADO'!$C$6:$C$540,'Neiva 2021 FASE I UNIFICADO'!$C$6:$F$540,"NO ESTA")</f>
        <v>NO ESTA</v>
      </c>
      <c r="M343" s="124">
        <f t="shared" si="42"/>
        <v>0</v>
      </c>
      <c r="N343" s="155">
        <f t="shared" si="39"/>
        <v>0</v>
      </c>
      <c r="O343" s="156">
        <f t="shared" si="40"/>
        <v>95772561</v>
      </c>
      <c r="P343" s="156">
        <f t="shared" si="41"/>
        <v>0</v>
      </c>
    </row>
    <row r="344" spans="2:16" s="9" customFormat="1" ht="35.1" customHeight="1" x14ac:dyDescent="0.25">
      <c r="B344" s="23" t="s">
        <v>432</v>
      </c>
      <c r="C344" s="11" t="s">
        <v>433</v>
      </c>
      <c r="D344" s="10" t="s">
        <v>374</v>
      </c>
      <c r="E344" s="12">
        <v>0</v>
      </c>
      <c r="F344" s="126">
        <v>14095722</v>
      </c>
      <c r="G344" s="126">
        <f t="shared" si="38"/>
        <v>0</v>
      </c>
      <c r="H344" s="8"/>
      <c r="I344" s="9" t="str">
        <f t="array" ref="I344:L344">_xlfn.XLOOKUP(C344,'Neiva 2021 FASE I UNIFICADO'!$C$6:$C$540,'Neiva 2021 FASE I UNIFICADO'!$C$6:$F$540,"NO ESTA")</f>
        <v xml:space="preserve">SUMINISTRO E INSTALACIÓN DE EQUIPO EYECTOR 2 BOMBAS 3HP C/U </v>
      </c>
      <c r="J344" s="9" t="str">
        <v>UN</v>
      </c>
      <c r="K344" s="9">
        <v>1</v>
      </c>
      <c r="L344" s="9">
        <v>13045522</v>
      </c>
      <c r="M344" s="124" t="str">
        <f t="shared" si="42"/>
        <v>FASE II</v>
      </c>
      <c r="N344" s="155">
        <f t="shared" si="39"/>
        <v>1</v>
      </c>
      <c r="O344" s="156">
        <f t="shared" si="40"/>
        <v>14095722</v>
      </c>
      <c r="P344" s="156">
        <f t="shared" si="41"/>
        <v>14095722</v>
      </c>
    </row>
    <row r="345" spans="2:16" s="9" customFormat="1" ht="35.1" customHeight="1" x14ac:dyDescent="0.25">
      <c r="B345" s="16">
        <v>13</v>
      </c>
      <c r="C345" s="17" t="s">
        <v>434</v>
      </c>
      <c r="D345" s="17"/>
      <c r="E345" s="18"/>
      <c r="F345" s="133"/>
      <c r="G345" s="143"/>
      <c r="H345" s="8"/>
      <c r="M345" s="124">
        <f t="shared" si="42"/>
        <v>0</v>
      </c>
      <c r="N345" s="155">
        <f t="shared" si="39"/>
        <v>0</v>
      </c>
      <c r="O345" s="156">
        <f t="shared" si="40"/>
        <v>0</v>
      </c>
      <c r="P345" s="156">
        <f t="shared" si="41"/>
        <v>0</v>
      </c>
    </row>
    <row r="346" spans="2:16" s="9" customFormat="1" ht="35.1" customHeight="1" x14ac:dyDescent="0.25">
      <c r="B346" s="50" t="s">
        <v>435</v>
      </c>
      <c r="C346" s="51" t="s">
        <v>436</v>
      </c>
      <c r="D346" s="51"/>
      <c r="E346" s="52"/>
      <c r="F346" s="129"/>
      <c r="G346" s="140"/>
      <c r="H346" s="8"/>
      <c r="M346" s="124">
        <f t="shared" si="42"/>
        <v>0</v>
      </c>
      <c r="N346" s="155">
        <f t="shared" si="39"/>
        <v>0</v>
      </c>
      <c r="O346" s="156">
        <f t="shared" si="40"/>
        <v>0</v>
      </c>
      <c r="P346" s="156">
        <f t="shared" si="41"/>
        <v>0</v>
      </c>
    </row>
    <row r="347" spans="2:16" s="9" customFormat="1" ht="35.1" customHeight="1" x14ac:dyDescent="0.25">
      <c r="B347" s="23" t="s">
        <v>437</v>
      </c>
      <c r="C347" s="22" t="s">
        <v>438</v>
      </c>
      <c r="D347" s="23" t="s">
        <v>269</v>
      </c>
      <c r="E347" s="12">
        <v>694</v>
      </c>
      <c r="F347" s="126">
        <v>24331</v>
      </c>
      <c r="G347" s="126">
        <f t="shared" ref="G347:G359" si="43">ROUND(+F347*E347,2)</f>
        <v>16885714</v>
      </c>
      <c r="H347" s="8">
        <f>ROUND(F347*(1+$H$3),0)</f>
        <v>47514</v>
      </c>
      <c r="I347" s="9" t="str">
        <f t="array" ref="I347:L347">_xlfn.XLOOKUP(C347,'Neiva 2021 FASE I UNIFICADO'!$C$6:$C$540,'Neiva 2021 FASE I UNIFICADO'!$C$6:$F$540,"NO ESTA")</f>
        <v xml:space="preserve">SUMINISTRO E INSTALACIÓN TUBERIA ACERO 1" SCH 40 INCLUYE. SOPORTES Y ADITAMENTOS                                 </v>
      </c>
      <c r="J347" s="9" t="str">
        <v xml:space="preserve">ML   </v>
      </c>
      <c r="K347" s="9">
        <v>257</v>
      </c>
      <c r="L347" s="9">
        <v>22518</v>
      </c>
      <c r="M347" s="124" t="str">
        <f t="shared" si="42"/>
        <v>FASE II</v>
      </c>
      <c r="N347" s="155">
        <f t="shared" si="39"/>
        <v>951</v>
      </c>
      <c r="O347" s="156">
        <f t="shared" si="40"/>
        <v>24331</v>
      </c>
      <c r="P347" s="156">
        <f t="shared" si="41"/>
        <v>23138781</v>
      </c>
    </row>
    <row r="348" spans="2:16" s="9" customFormat="1" ht="35.1" customHeight="1" x14ac:dyDescent="0.25">
      <c r="B348" s="23" t="s">
        <v>439</v>
      </c>
      <c r="C348" s="22" t="s">
        <v>440</v>
      </c>
      <c r="D348" s="23" t="s">
        <v>269</v>
      </c>
      <c r="E348" s="12">
        <v>350</v>
      </c>
      <c r="F348" s="126">
        <v>52113</v>
      </c>
      <c r="G348" s="126">
        <f t="shared" si="43"/>
        <v>18239550</v>
      </c>
      <c r="H348" s="8">
        <f t="shared" ref="H348:H357" si="44">ROUND(F348*(1+$H$3),0)</f>
        <v>101766</v>
      </c>
      <c r="I348" s="9" t="str">
        <f t="array" ref="I348:L348">_xlfn.XLOOKUP(C348,'Neiva 2021 FASE I UNIFICADO'!$C$6:$C$540,'Neiva 2021 FASE I UNIFICADO'!$C$6:$F$540,"NO ESTA")</f>
        <v xml:space="preserve">SUMINISTRO E INSTALACIÓN TUBERIA ACERO 2" SCH 40 INCLUYE. SOPORTES Y ADITAMENTOS                                 </v>
      </c>
      <c r="J348" s="9" t="str">
        <v xml:space="preserve">ML   </v>
      </c>
      <c r="K348" s="9">
        <v>129</v>
      </c>
      <c r="L348" s="9">
        <v>48230</v>
      </c>
      <c r="M348" s="124" t="str">
        <f t="shared" si="42"/>
        <v>FASE II</v>
      </c>
      <c r="N348" s="155">
        <f t="shared" si="39"/>
        <v>479</v>
      </c>
      <c r="O348" s="156">
        <f t="shared" si="40"/>
        <v>52113</v>
      </c>
      <c r="P348" s="156">
        <f t="shared" si="41"/>
        <v>24962127</v>
      </c>
    </row>
    <row r="349" spans="2:16" s="9" customFormat="1" ht="35.1" customHeight="1" x14ac:dyDescent="0.25">
      <c r="B349" s="23" t="s">
        <v>441</v>
      </c>
      <c r="C349" s="22" t="s">
        <v>442</v>
      </c>
      <c r="D349" s="23" t="s">
        <v>269</v>
      </c>
      <c r="E349" s="12">
        <v>301</v>
      </c>
      <c r="F349" s="126">
        <v>97096</v>
      </c>
      <c r="G349" s="126">
        <f t="shared" si="43"/>
        <v>29225896</v>
      </c>
      <c r="H349" s="8">
        <f t="shared" si="44"/>
        <v>189609</v>
      </c>
      <c r="I349" s="9" t="str">
        <f t="array" ref="I349:L349">_xlfn.XLOOKUP(C349,'Neiva 2021 FASE I UNIFICADO'!$C$6:$C$540,'Neiva 2021 FASE I UNIFICADO'!$C$6:$F$540,"NO ESTA")</f>
        <v xml:space="preserve">SUMINISTRO E INSTALACIÓN TUBERIA ACERO 3" SCH 40 INCLUYE. SOPORTES Y ADITAMENTOS                                 </v>
      </c>
      <c r="J349" s="9" t="str">
        <v xml:space="preserve">ML   </v>
      </c>
      <c r="K349" s="9">
        <v>112</v>
      </c>
      <c r="L349" s="9">
        <v>89862</v>
      </c>
      <c r="M349" s="124" t="str">
        <f t="shared" si="42"/>
        <v>FASE II</v>
      </c>
      <c r="N349" s="155">
        <f t="shared" si="39"/>
        <v>413</v>
      </c>
      <c r="O349" s="156">
        <f t="shared" si="40"/>
        <v>97096</v>
      </c>
      <c r="P349" s="156">
        <f t="shared" si="41"/>
        <v>40100648</v>
      </c>
    </row>
    <row r="350" spans="2:16" s="9" customFormat="1" ht="35.1" customHeight="1" x14ac:dyDescent="0.25">
      <c r="B350" s="23" t="s">
        <v>443</v>
      </c>
      <c r="C350" s="22" t="s">
        <v>444</v>
      </c>
      <c r="D350" s="23" t="s">
        <v>269</v>
      </c>
      <c r="E350" s="12">
        <v>44</v>
      </c>
      <c r="F350" s="126">
        <v>137013</v>
      </c>
      <c r="G350" s="126">
        <f t="shared" si="43"/>
        <v>6028572</v>
      </c>
      <c r="H350" s="8">
        <f t="shared" si="44"/>
        <v>267559</v>
      </c>
      <c r="I350" s="9" t="str">
        <f t="array" ref="I350:L350">_xlfn.XLOOKUP(C350,'Neiva 2021 FASE I UNIFICADO'!$C$6:$C$540,'Neiva 2021 FASE I UNIFICADO'!$C$6:$F$540,"NO ESTA")</f>
        <v xml:space="preserve">SUMINISTRO E INSTALACIÓN TUBERIA ACERO 4" SCH 40 INCLUYE. SOPORTES Y ADITAMENTOS                                 </v>
      </c>
      <c r="J350" s="9" t="str">
        <v xml:space="preserve">ML   </v>
      </c>
      <c r="K350" s="9">
        <v>16</v>
      </c>
      <c r="L350" s="9">
        <v>126806</v>
      </c>
      <c r="M350" s="124" t="str">
        <f t="shared" si="42"/>
        <v>FASE II</v>
      </c>
      <c r="N350" s="155">
        <f t="shared" si="39"/>
        <v>60</v>
      </c>
      <c r="O350" s="156">
        <f t="shared" si="40"/>
        <v>137013</v>
      </c>
      <c r="P350" s="156">
        <f t="shared" si="41"/>
        <v>8220780</v>
      </c>
    </row>
    <row r="351" spans="2:16" s="9" customFormat="1" ht="35.1" customHeight="1" x14ac:dyDescent="0.25">
      <c r="B351" s="23" t="s">
        <v>445</v>
      </c>
      <c r="C351" s="22" t="s">
        <v>446</v>
      </c>
      <c r="D351" s="23" t="s">
        <v>284</v>
      </c>
      <c r="E351" s="12">
        <v>256</v>
      </c>
      <c r="F351" s="126">
        <v>8196</v>
      </c>
      <c r="G351" s="126">
        <f t="shared" si="43"/>
        <v>2098176</v>
      </c>
      <c r="H351" s="8">
        <f t="shared" si="44"/>
        <v>16005</v>
      </c>
      <c r="I351" s="9" t="str">
        <f t="array" ref="I351:L351">_xlfn.XLOOKUP(C351,'Neiva 2021 FASE I UNIFICADO'!$C$6:$C$540,'Neiva 2021 FASE I UNIFICADO'!$C$6:$F$540,"NO ESTA")</f>
        <v xml:space="preserve">SUMINISTRO E INSTALACIÓN ACCESORIOS ACERO NEGRO 1"                                                       </v>
      </c>
      <c r="J351" s="9" t="str">
        <v xml:space="preserve">UN   </v>
      </c>
      <c r="K351" s="9">
        <v>95</v>
      </c>
      <c r="L351" s="9">
        <v>7586</v>
      </c>
      <c r="M351" s="124" t="str">
        <f t="shared" si="42"/>
        <v>FASE II</v>
      </c>
      <c r="N351" s="155">
        <f t="shared" si="39"/>
        <v>351</v>
      </c>
      <c r="O351" s="156">
        <f t="shared" si="40"/>
        <v>8196</v>
      </c>
      <c r="P351" s="156">
        <f t="shared" si="41"/>
        <v>2876796</v>
      </c>
    </row>
    <row r="352" spans="2:16" s="9" customFormat="1" ht="35.1" customHeight="1" x14ac:dyDescent="0.25">
      <c r="B352" s="23" t="s">
        <v>447</v>
      </c>
      <c r="C352" s="22" t="s">
        <v>448</v>
      </c>
      <c r="D352" s="23" t="s">
        <v>284</v>
      </c>
      <c r="E352" s="12">
        <v>95</v>
      </c>
      <c r="F352" s="126">
        <v>17833</v>
      </c>
      <c r="G352" s="126">
        <f t="shared" si="43"/>
        <v>1694135</v>
      </c>
      <c r="H352" s="8">
        <f t="shared" si="44"/>
        <v>34824</v>
      </c>
      <c r="I352" s="9" t="str">
        <f t="array" ref="I352:L352">_xlfn.XLOOKUP(C352,'Neiva 2021 FASE I UNIFICADO'!$C$6:$C$540,'Neiva 2021 FASE I UNIFICADO'!$C$6:$F$540,"NO ESTA")</f>
        <v xml:space="preserve">SUMINISTRO E INSTALACIÓN ACCESORIOS ACERO NEGRO 2"                                                       </v>
      </c>
      <c r="J352" s="9" t="str">
        <v xml:space="preserve">UN   </v>
      </c>
      <c r="K352" s="9">
        <v>35</v>
      </c>
      <c r="L352" s="9">
        <v>16504</v>
      </c>
      <c r="M352" s="124" t="str">
        <f t="shared" si="42"/>
        <v>FASE II</v>
      </c>
      <c r="N352" s="155">
        <f t="shared" si="39"/>
        <v>130</v>
      </c>
      <c r="O352" s="156">
        <f t="shared" si="40"/>
        <v>17833</v>
      </c>
      <c r="P352" s="156">
        <f t="shared" si="41"/>
        <v>2318290</v>
      </c>
    </row>
    <row r="353" spans="2:16" s="9" customFormat="1" ht="35.1" customHeight="1" x14ac:dyDescent="0.25">
      <c r="B353" s="23" t="s">
        <v>449</v>
      </c>
      <c r="C353" s="22" t="s">
        <v>450</v>
      </c>
      <c r="D353" s="23" t="s">
        <v>284</v>
      </c>
      <c r="E353" s="12">
        <v>128</v>
      </c>
      <c r="F353" s="126">
        <v>27612</v>
      </c>
      <c r="G353" s="126">
        <f t="shared" si="43"/>
        <v>3534336</v>
      </c>
      <c r="H353" s="8">
        <f t="shared" si="44"/>
        <v>53921</v>
      </c>
      <c r="I353" s="9" t="str">
        <f t="array" ref="I353:L353">_xlfn.XLOOKUP(C353,'Neiva 2021 FASE I UNIFICADO'!$C$6:$C$540,'Neiva 2021 FASE I UNIFICADO'!$C$6:$F$540,"NO ESTA")</f>
        <v xml:space="preserve">SUMINISTRO E INSTALACIÓN ACCESORIOS ACERO NEGRO 3"                                                       </v>
      </c>
      <c r="J353" s="9" t="str">
        <v xml:space="preserve">UN   </v>
      </c>
      <c r="K353" s="9">
        <v>48</v>
      </c>
      <c r="L353" s="9">
        <v>25555</v>
      </c>
      <c r="M353" s="124" t="str">
        <f t="shared" si="42"/>
        <v>FASE II</v>
      </c>
      <c r="N353" s="155">
        <f t="shared" si="39"/>
        <v>176</v>
      </c>
      <c r="O353" s="156">
        <f t="shared" si="40"/>
        <v>27612</v>
      </c>
      <c r="P353" s="156">
        <f t="shared" si="41"/>
        <v>4859712</v>
      </c>
    </row>
    <row r="354" spans="2:16" s="9" customFormat="1" ht="35.1" customHeight="1" x14ac:dyDescent="0.25">
      <c r="B354" s="23" t="s">
        <v>451</v>
      </c>
      <c r="C354" s="22" t="s">
        <v>452</v>
      </c>
      <c r="D354" s="23" t="s">
        <v>284</v>
      </c>
      <c r="E354" s="12">
        <v>19</v>
      </c>
      <c r="F354" s="126">
        <v>43148</v>
      </c>
      <c r="G354" s="126">
        <f t="shared" si="43"/>
        <v>819812</v>
      </c>
      <c r="H354" s="8">
        <f t="shared" si="44"/>
        <v>84259</v>
      </c>
      <c r="I354" s="9" t="str">
        <f t="array" ref="I354:L354">_xlfn.XLOOKUP(C354,'Neiva 2021 FASE I UNIFICADO'!$C$6:$C$540,'Neiva 2021 FASE I UNIFICADO'!$C$6:$F$540,"NO ESTA")</f>
        <v xml:space="preserve">SUMINISTRO E INSTALACIÓN ACCESORIOS ACERO NEGRO 4"                                                       </v>
      </c>
      <c r="J354" s="9" t="str">
        <v xml:space="preserve">UN   </v>
      </c>
      <c r="K354" s="9">
        <v>7</v>
      </c>
      <c r="L354" s="9">
        <v>39933</v>
      </c>
      <c r="M354" s="124" t="str">
        <f t="shared" si="42"/>
        <v>FASE II</v>
      </c>
      <c r="N354" s="155">
        <f t="shared" si="39"/>
        <v>26</v>
      </c>
      <c r="O354" s="156">
        <f t="shared" si="40"/>
        <v>43148</v>
      </c>
      <c r="P354" s="156">
        <f t="shared" si="41"/>
        <v>1121848</v>
      </c>
    </row>
    <row r="355" spans="2:16" s="9" customFormat="1" ht="35.1" customHeight="1" x14ac:dyDescent="0.25">
      <c r="B355" s="23" t="s">
        <v>453</v>
      </c>
      <c r="C355" s="22" t="s">
        <v>454</v>
      </c>
      <c r="D355" s="23" t="s">
        <v>284</v>
      </c>
      <c r="E355" s="12">
        <v>55</v>
      </c>
      <c r="F355" s="126">
        <v>8320</v>
      </c>
      <c r="G355" s="126">
        <f t="shared" si="43"/>
        <v>457600</v>
      </c>
      <c r="H355" s="8">
        <f t="shared" si="44"/>
        <v>16247</v>
      </c>
      <c r="I355" s="9" t="str">
        <f t="array" ref="I355:L355">_xlfn.XLOOKUP(C355,'Neiva 2021 FASE I UNIFICADO'!$C$6:$C$540,'Neiva 2021 FASE I UNIFICADO'!$C$6:$F$540,"NO ESTA")</f>
        <v xml:space="preserve">SUMINISTRO E INSTALACIÓN ACOPLES HIERRO FUNDIDO DIAMETRO 2"                                                      </v>
      </c>
      <c r="J355" s="9" t="str">
        <v xml:space="preserve">UN   </v>
      </c>
      <c r="K355" s="9">
        <v>21</v>
      </c>
      <c r="L355" s="9">
        <v>7700</v>
      </c>
      <c r="M355" s="124" t="str">
        <f t="shared" si="42"/>
        <v>FASE II</v>
      </c>
      <c r="N355" s="155">
        <f t="shared" si="39"/>
        <v>76</v>
      </c>
      <c r="O355" s="156">
        <f t="shared" si="40"/>
        <v>8320</v>
      </c>
      <c r="P355" s="156">
        <f t="shared" si="41"/>
        <v>632320</v>
      </c>
    </row>
    <row r="356" spans="2:16" s="9" customFormat="1" ht="35.1" customHeight="1" x14ac:dyDescent="0.25">
      <c r="B356" s="23" t="s">
        <v>455</v>
      </c>
      <c r="C356" s="22" t="s">
        <v>456</v>
      </c>
      <c r="D356" s="23" t="s">
        <v>284</v>
      </c>
      <c r="E356" s="12">
        <v>58</v>
      </c>
      <c r="F356" s="126">
        <v>11043</v>
      </c>
      <c r="G356" s="126">
        <f t="shared" si="43"/>
        <v>640494</v>
      </c>
      <c r="H356" s="8">
        <f t="shared" si="44"/>
        <v>21565</v>
      </c>
      <c r="I356" s="9" t="str">
        <f t="array" ref="I356:L356">_xlfn.XLOOKUP(C356,'Neiva 2021 FASE I UNIFICADO'!$C$6:$C$540,'Neiva 2021 FASE I UNIFICADO'!$C$6:$F$540,"NO ESTA")</f>
        <v xml:space="preserve">SUMINISTRO E INSTALACIÓN ACOPLES HIERRO FUNDIDO DIAMETRO 3"                                                       </v>
      </c>
      <c r="J356" s="9" t="str">
        <v xml:space="preserve">UN   </v>
      </c>
      <c r="K356" s="9">
        <v>22</v>
      </c>
      <c r="L356" s="9">
        <v>10220</v>
      </c>
      <c r="M356" s="124" t="str">
        <f t="shared" si="42"/>
        <v>FASE II</v>
      </c>
      <c r="N356" s="155">
        <f t="shared" si="39"/>
        <v>80</v>
      </c>
      <c r="O356" s="156">
        <f t="shared" si="40"/>
        <v>11043</v>
      </c>
      <c r="P356" s="156">
        <f t="shared" si="41"/>
        <v>883440</v>
      </c>
    </row>
    <row r="357" spans="2:16" s="9" customFormat="1" ht="35.1" customHeight="1" x14ac:dyDescent="0.25">
      <c r="B357" s="23" t="s">
        <v>457</v>
      </c>
      <c r="C357" s="22" t="s">
        <v>458</v>
      </c>
      <c r="D357" s="23" t="s">
        <v>284</v>
      </c>
      <c r="E357" s="12">
        <v>9</v>
      </c>
      <c r="F357" s="126">
        <v>13663</v>
      </c>
      <c r="G357" s="126">
        <f t="shared" si="43"/>
        <v>122967</v>
      </c>
      <c r="H357" s="8">
        <f t="shared" si="44"/>
        <v>26681</v>
      </c>
      <c r="I357" s="9" t="str">
        <f t="array" ref="I357:L357">_xlfn.XLOOKUP(C357,'Neiva 2021 FASE I UNIFICADO'!$C$6:$C$540,'Neiva 2021 FASE I UNIFICADO'!$C$6:$F$540,"NO ESTA")</f>
        <v xml:space="preserve">SUMINISTRO E INSTALACIÓN ACOPLES HIERRO FUNDIDO DIAMETRO 4"                                                       </v>
      </c>
      <c r="J357" s="9" t="str">
        <v xml:space="preserve">UN   </v>
      </c>
      <c r="K357" s="9">
        <v>3</v>
      </c>
      <c r="L357" s="9">
        <v>12644</v>
      </c>
      <c r="M357" s="124" t="str">
        <f t="shared" si="42"/>
        <v>FASE II</v>
      </c>
      <c r="N357" s="155">
        <f t="shared" si="39"/>
        <v>12</v>
      </c>
      <c r="O357" s="156">
        <f t="shared" si="40"/>
        <v>13663</v>
      </c>
      <c r="P357" s="156">
        <f t="shared" si="41"/>
        <v>163956</v>
      </c>
    </row>
    <row r="358" spans="2:16" s="9" customFormat="1" ht="35.1" customHeight="1" x14ac:dyDescent="0.25">
      <c r="B358" s="23" t="s">
        <v>459</v>
      </c>
      <c r="C358" s="22" t="s">
        <v>460</v>
      </c>
      <c r="D358" s="23" t="s">
        <v>269</v>
      </c>
      <c r="E358" s="12">
        <v>602</v>
      </c>
      <c r="F358" s="126">
        <v>5888</v>
      </c>
      <c r="G358" s="126">
        <f t="shared" si="43"/>
        <v>3544576</v>
      </c>
      <c r="H358" s="8"/>
      <c r="I358" s="9" t="str">
        <f t="array" ref="I358:L358">_xlfn.XLOOKUP(C358,'Neiva 2021 FASE I UNIFICADO'!$C$6:$C$540,'Neiva 2021 FASE I UNIFICADO'!$C$6:$F$540,"NO ESTA")</f>
        <v xml:space="preserve">SUMINISTRO Y APLICACIÓN PINTURA RED DE INCENDIO DIAMETRO DE 1" A 2"                                                              </v>
      </c>
      <c r="J358" s="9" t="str">
        <v xml:space="preserve">ML   </v>
      </c>
      <c r="K358" s="9">
        <v>222</v>
      </c>
      <c r="L358" s="9">
        <v>5448</v>
      </c>
      <c r="M358" s="124" t="str">
        <f t="shared" si="42"/>
        <v>FASE II</v>
      </c>
      <c r="N358" s="155">
        <f t="shared" si="39"/>
        <v>824</v>
      </c>
      <c r="O358" s="156">
        <f t="shared" si="40"/>
        <v>5888</v>
      </c>
      <c r="P358" s="156">
        <f t="shared" si="41"/>
        <v>4851712</v>
      </c>
    </row>
    <row r="359" spans="2:16" s="9" customFormat="1" ht="35.1" customHeight="1" x14ac:dyDescent="0.25">
      <c r="B359" s="23" t="s">
        <v>461</v>
      </c>
      <c r="C359" s="22" t="s">
        <v>462</v>
      </c>
      <c r="D359" s="23" t="s">
        <v>269</v>
      </c>
      <c r="E359" s="12">
        <v>107</v>
      </c>
      <c r="F359" s="126">
        <v>10014</v>
      </c>
      <c r="G359" s="126">
        <f t="shared" si="43"/>
        <v>1071498</v>
      </c>
      <c r="H359" s="8"/>
      <c r="I359" s="9" t="str">
        <f t="array" ref="I359:L359">_xlfn.XLOOKUP(C359,'Neiva 2021 FASE I UNIFICADO'!$C$6:$C$540,'Neiva 2021 FASE I UNIFICADO'!$C$6:$F$540,"NO ESTA")</f>
        <v xml:space="preserve">SUMINISTRO Y APLICACIÓN PINTURA RED DE INCENDIO DIAMETRO DE  2 1/2" A 4"                                                          </v>
      </c>
      <c r="J359" s="9" t="str">
        <v xml:space="preserve">ML   </v>
      </c>
      <c r="K359" s="9">
        <v>40</v>
      </c>
      <c r="L359" s="9">
        <v>9269</v>
      </c>
      <c r="M359" s="124" t="str">
        <f t="shared" si="42"/>
        <v>FASE II</v>
      </c>
      <c r="N359" s="155">
        <f t="shared" si="39"/>
        <v>147</v>
      </c>
      <c r="O359" s="156">
        <f t="shared" si="40"/>
        <v>10014</v>
      </c>
      <c r="P359" s="156">
        <f t="shared" si="41"/>
        <v>1472058</v>
      </c>
    </row>
    <row r="360" spans="2:16" s="9" customFormat="1" ht="35.1" customHeight="1" x14ac:dyDescent="0.25">
      <c r="B360" s="50" t="s">
        <v>463</v>
      </c>
      <c r="C360" s="51" t="s">
        <v>464</v>
      </c>
      <c r="D360" s="51"/>
      <c r="E360" s="52"/>
      <c r="F360" s="129"/>
      <c r="G360" s="140"/>
      <c r="H360" s="8"/>
      <c r="I360" s="9" t="str">
        <f t="array" ref="I360:L360">_xlfn.XLOOKUP(C360,'Neiva 2021 FASE I UNIFICADO'!$C$6:$C$540,'Neiva 2021 FASE I UNIFICADO'!$C$6:$F$540,"NO ESTA")</f>
        <v>SUMINISTRO E INSTALACION ELEMENTOS RED CONTRA INCENDIO</v>
      </c>
      <c r="J360" s="9">
        <v>0</v>
      </c>
      <c r="K360" s="9">
        <v>0</v>
      </c>
      <c r="L360" s="9">
        <v>0</v>
      </c>
      <c r="M360" s="124">
        <f t="shared" si="42"/>
        <v>0</v>
      </c>
      <c r="N360" s="155">
        <f t="shared" si="39"/>
        <v>0</v>
      </c>
      <c r="O360" s="156">
        <f t="shared" si="40"/>
        <v>0</v>
      </c>
      <c r="P360" s="156">
        <f t="shared" si="41"/>
        <v>0</v>
      </c>
    </row>
    <row r="361" spans="2:16" s="9" customFormat="1" ht="35.1" customHeight="1" x14ac:dyDescent="0.25">
      <c r="B361" s="23" t="s">
        <v>465</v>
      </c>
      <c r="C361" s="22" t="s">
        <v>466</v>
      </c>
      <c r="D361" s="23" t="s">
        <v>284</v>
      </c>
      <c r="E361" s="12">
        <v>276</v>
      </c>
      <c r="F361" s="126">
        <v>59366</v>
      </c>
      <c r="G361" s="126">
        <f t="shared" ref="G361:G375" si="45">ROUND(+F361*E361,2)</f>
        <v>16385016</v>
      </c>
      <c r="H361" s="8"/>
      <c r="I361" s="9" t="str">
        <f t="array" ref="I361:L361">_xlfn.XLOOKUP(C361,'Neiva 2021 FASE I UNIFICADO'!$C$6:$C$540,'Neiva 2021 FASE I UNIFICADO'!$C$6:$F$540,"NO ESTA")</f>
        <v xml:space="preserve">SUMINISTRO E INSTALACIÓN ROCIADOR PENDENT K:5.6                                                          </v>
      </c>
      <c r="J361" s="9" t="str">
        <v xml:space="preserve">UN   </v>
      </c>
      <c r="K361" s="9">
        <v>102</v>
      </c>
      <c r="L361" s="9">
        <v>54943</v>
      </c>
      <c r="M361" s="124" t="str">
        <f t="shared" si="42"/>
        <v>FASE II</v>
      </c>
      <c r="N361" s="155">
        <f t="shared" si="39"/>
        <v>378</v>
      </c>
      <c r="O361" s="156">
        <f t="shared" si="40"/>
        <v>59366</v>
      </c>
      <c r="P361" s="156">
        <f t="shared" si="41"/>
        <v>22440348</v>
      </c>
    </row>
    <row r="362" spans="2:16" s="9" customFormat="1" ht="35.1" customHeight="1" x14ac:dyDescent="0.25">
      <c r="B362" s="23" t="s">
        <v>467</v>
      </c>
      <c r="C362" s="22" t="s">
        <v>468</v>
      </c>
      <c r="D362" s="23" t="s">
        <v>284</v>
      </c>
      <c r="E362" s="12">
        <v>38</v>
      </c>
      <c r="F362" s="126">
        <v>38899</v>
      </c>
      <c r="G362" s="126">
        <f t="shared" si="45"/>
        <v>1478162</v>
      </c>
      <c r="H362" s="8"/>
      <c r="I362" s="9" t="str">
        <f t="array" ref="I362:L362">_xlfn.XLOOKUP(C362,'Neiva 2021 FASE I UNIFICADO'!$C$6:$C$540,'Neiva 2021 FASE I UNIFICADO'!$C$6:$F$540,"NO ESTA")</f>
        <v xml:space="preserve">SUMINISTRO E INSTALACIÓN ROCIADOR MONTANTE K:5.6                                                          </v>
      </c>
      <c r="J362" s="9" t="str">
        <v xml:space="preserve">UN   </v>
      </c>
      <c r="K362" s="9">
        <v>14</v>
      </c>
      <c r="L362" s="9">
        <v>36002</v>
      </c>
      <c r="M362" s="124" t="str">
        <f t="shared" si="42"/>
        <v>FASE II</v>
      </c>
      <c r="N362" s="155">
        <f t="shared" si="39"/>
        <v>52</v>
      </c>
      <c r="O362" s="156">
        <f t="shared" si="40"/>
        <v>38899</v>
      </c>
      <c r="P362" s="156">
        <f t="shared" si="41"/>
        <v>2022748</v>
      </c>
    </row>
    <row r="363" spans="2:16" s="9" customFormat="1" ht="35.1" customHeight="1" x14ac:dyDescent="0.25">
      <c r="B363" s="23" t="s">
        <v>469</v>
      </c>
      <c r="C363" s="22" t="s">
        <v>470</v>
      </c>
      <c r="D363" s="23" t="s">
        <v>284</v>
      </c>
      <c r="E363" s="12">
        <v>27</v>
      </c>
      <c r="F363" s="126">
        <v>128366</v>
      </c>
      <c r="G363" s="126">
        <f t="shared" si="45"/>
        <v>3465882</v>
      </c>
      <c r="H363" s="8"/>
      <c r="I363" s="9" t="str">
        <f t="array" ref="I363:L363">_xlfn.XLOOKUP(C363,'Neiva 2021 FASE I UNIFICADO'!$C$6:$C$540,'Neiva 2021 FASE I UNIFICADO'!$C$6:$F$540,"NO ESTA")</f>
        <v xml:space="preserve">SUMINISTRO E INSTALACIÓN ROCIADOR PENDENT K:11.2                                                          </v>
      </c>
      <c r="J363" s="9" t="str">
        <v xml:space="preserve">UN   </v>
      </c>
      <c r="K363" s="9">
        <v>10</v>
      </c>
      <c r="L363" s="9">
        <v>118801</v>
      </c>
      <c r="M363" s="124" t="str">
        <f t="shared" si="42"/>
        <v>FASE II</v>
      </c>
      <c r="N363" s="155">
        <f t="shared" si="39"/>
        <v>37</v>
      </c>
      <c r="O363" s="156">
        <f t="shared" si="40"/>
        <v>128366</v>
      </c>
      <c r="P363" s="156">
        <f t="shared" si="41"/>
        <v>4749542</v>
      </c>
    </row>
    <row r="364" spans="2:16" s="9" customFormat="1" ht="35.1" customHeight="1" x14ac:dyDescent="0.25">
      <c r="B364" s="23" t="s">
        <v>471</v>
      </c>
      <c r="C364" s="22" t="s">
        <v>472</v>
      </c>
      <c r="D364" s="23" t="s">
        <v>284</v>
      </c>
      <c r="E364" s="12">
        <v>341</v>
      </c>
      <c r="F364" s="126">
        <v>46856</v>
      </c>
      <c r="G364" s="126">
        <f t="shared" si="45"/>
        <v>15977896</v>
      </c>
      <c r="H364" s="8"/>
      <c r="I364" s="9" t="str">
        <f t="array" ref="I364:L364">_xlfn.XLOOKUP(C364,'Neiva 2021 FASE I UNIFICADO'!$C$6:$C$540,'Neiva 2021 FASE I UNIFICADO'!$C$6:$F$540,"NO ESTA")</f>
        <v xml:space="preserve">SUMINISTRO E INSTALACIÓN PUNTO HIDRÁULICO PARA ROCIADOR                                                  </v>
      </c>
      <c r="J364" s="9" t="str">
        <v xml:space="preserve">UN   </v>
      </c>
      <c r="K364" s="9">
        <v>126</v>
      </c>
      <c r="L364" s="9">
        <v>43364</v>
      </c>
      <c r="M364" s="124" t="str">
        <f t="shared" si="42"/>
        <v>FASE II</v>
      </c>
      <c r="N364" s="155">
        <f t="shared" si="39"/>
        <v>467</v>
      </c>
      <c r="O364" s="156">
        <f t="shared" si="40"/>
        <v>46856</v>
      </c>
      <c r="P364" s="156">
        <f t="shared" si="41"/>
        <v>21881752</v>
      </c>
    </row>
    <row r="365" spans="2:16" s="9" customFormat="1" ht="35.1" customHeight="1" x14ac:dyDescent="0.25">
      <c r="B365" s="23" t="s">
        <v>473</v>
      </c>
      <c r="C365" s="22" t="s">
        <v>474</v>
      </c>
      <c r="D365" s="23" t="s">
        <v>284</v>
      </c>
      <c r="E365" s="12">
        <v>2</v>
      </c>
      <c r="F365" s="126">
        <v>4184551</v>
      </c>
      <c r="G365" s="126">
        <f t="shared" si="45"/>
        <v>8369102</v>
      </c>
      <c r="H365" s="8"/>
      <c r="I365" s="9" t="str">
        <f t="array" ref="I365:L365">_xlfn.XLOOKUP(C365,'Neiva 2021 FASE I UNIFICADO'!$C$6:$C$540,'Neiva 2021 FASE I UNIFICADO'!$C$6:$F$540,"NO ESTA")</f>
        <v xml:space="preserve">SUMINISTRO E INSTALACIÓN ESTACIÓN DE CONTROL, PRUEBA Y DRENAJE 3"                                        </v>
      </c>
      <c r="J365" s="9" t="str">
        <v xml:space="preserve">UN   </v>
      </c>
      <c r="K365" s="9">
        <v>3</v>
      </c>
      <c r="L365" s="9">
        <v>3872781</v>
      </c>
      <c r="M365" s="124" t="str">
        <f t="shared" si="42"/>
        <v>FASE II</v>
      </c>
      <c r="N365" s="155">
        <f t="shared" si="39"/>
        <v>5</v>
      </c>
      <c r="O365" s="156">
        <f t="shared" si="40"/>
        <v>4184551</v>
      </c>
      <c r="P365" s="156">
        <f t="shared" si="41"/>
        <v>20922755</v>
      </c>
    </row>
    <row r="366" spans="2:16" s="9" customFormat="1" ht="35.1" customHeight="1" x14ac:dyDescent="0.25">
      <c r="B366" s="23" t="s">
        <v>475</v>
      </c>
      <c r="C366" s="22" t="s">
        <v>476</v>
      </c>
      <c r="D366" s="23" t="s">
        <v>284</v>
      </c>
      <c r="E366" s="12">
        <v>7</v>
      </c>
      <c r="F366" s="126">
        <v>80107</v>
      </c>
      <c r="G366" s="126">
        <f t="shared" si="45"/>
        <v>560749</v>
      </c>
      <c r="H366" s="8"/>
      <c r="I366" s="9" t="str">
        <f t="array" ref="I366:L366">_xlfn.XLOOKUP(C366,'Neiva 2021 FASE I UNIFICADO'!$C$6:$C$540,'Neiva 2021 FASE I UNIFICADO'!$C$6:$F$540,"NO ESTA")</f>
        <v xml:space="preserve">SUMINISTRO E INSTALACIÓN VÁLVULA TOMA Y DESC. AIRE 1" INCENDIO                                           </v>
      </c>
      <c r="J366" s="9" t="str">
        <v xml:space="preserve">UN   </v>
      </c>
      <c r="K366" s="9">
        <v>3</v>
      </c>
      <c r="L366" s="9">
        <v>74140</v>
      </c>
      <c r="M366" s="124" t="str">
        <f t="shared" si="42"/>
        <v>FASE II</v>
      </c>
      <c r="N366" s="155">
        <f t="shared" si="39"/>
        <v>10</v>
      </c>
      <c r="O366" s="156">
        <f t="shared" si="40"/>
        <v>80107</v>
      </c>
      <c r="P366" s="156">
        <f t="shared" si="41"/>
        <v>801070</v>
      </c>
    </row>
    <row r="367" spans="2:16" s="9" customFormat="1" ht="35.1" customHeight="1" x14ac:dyDescent="0.25">
      <c r="B367" s="23" t="s">
        <v>477</v>
      </c>
      <c r="C367" s="22" t="s">
        <v>478</v>
      </c>
      <c r="D367" s="23" t="s">
        <v>284</v>
      </c>
      <c r="E367" s="12">
        <v>1</v>
      </c>
      <c r="F367" s="126">
        <v>1486386</v>
      </c>
      <c r="G367" s="126">
        <f t="shared" si="45"/>
        <v>1486386</v>
      </c>
      <c r="H367" s="8"/>
      <c r="I367" s="9" t="str">
        <f t="array" ref="I367:L367">_xlfn.XLOOKUP(C367,'Neiva 2021 FASE I UNIFICADO'!$C$6:$C$540,'Neiva 2021 FASE I UNIFICADO'!$C$6:$F$540,"NO ESTA")</f>
        <v xml:space="preserve">SUMINISTRO E INSTALACIÓN SIAMESA DE INYECCIÓN                                                            </v>
      </c>
      <c r="J367" s="9" t="str">
        <v xml:space="preserve">UN   </v>
      </c>
      <c r="K367" s="9">
        <v>1</v>
      </c>
      <c r="L367" s="9">
        <v>1375643</v>
      </c>
      <c r="M367" s="124" t="str">
        <f t="shared" si="42"/>
        <v>FASE II</v>
      </c>
      <c r="N367" s="155">
        <f t="shared" si="39"/>
        <v>2</v>
      </c>
      <c r="O367" s="156">
        <f t="shared" si="40"/>
        <v>1486386</v>
      </c>
      <c r="P367" s="156">
        <f t="shared" si="41"/>
        <v>2972772</v>
      </c>
    </row>
    <row r="368" spans="2:16" s="9" customFormat="1" ht="35.1" customHeight="1" x14ac:dyDescent="0.25">
      <c r="B368" s="23" t="s">
        <v>479</v>
      </c>
      <c r="C368" s="22" t="s">
        <v>480</v>
      </c>
      <c r="D368" s="23" t="s">
        <v>284</v>
      </c>
      <c r="E368" s="12">
        <v>0</v>
      </c>
      <c r="F368" s="126">
        <v>5375637</v>
      </c>
      <c r="G368" s="126">
        <f t="shared" si="45"/>
        <v>0</v>
      </c>
      <c r="H368" s="8"/>
      <c r="I368" s="9" t="str">
        <f t="array" ref="I368:L368">_xlfn.XLOOKUP(C368,'Neiva 2021 FASE I UNIFICADO'!$C$6:$C$540,'Neiva 2021 FASE I UNIFICADO'!$C$6:$F$540,"NO ESTA")</f>
        <v xml:space="preserve">SUMINISTRO E INSTALACIÓN CABEZAL DE PRUEBAS                                                         </v>
      </c>
      <c r="J368" s="9" t="str">
        <v xml:space="preserve">UN   </v>
      </c>
      <c r="K368" s="9">
        <v>1</v>
      </c>
      <c r="L368" s="9">
        <v>4975125</v>
      </c>
      <c r="M368" s="124" t="str">
        <f t="shared" si="42"/>
        <v>FASE II</v>
      </c>
      <c r="N368" s="155">
        <f t="shared" si="39"/>
        <v>1</v>
      </c>
      <c r="O368" s="156">
        <f t="shared" si="40"/>
        <v>5375637</v>
      </c>
      <c r="P368" s="156">
        <f t="shared" si="41"/>
        <v>5375637</v>
      </c>
    </row>
    <row r="369" spans="2:16" s="9" customFormat="1" ht="35.1" customHeight="1" x14ac:dyDescent="0.25">
      <c r="B369" s="23" t="s">
        <v>481</v>
      </c>
      <c r="C369" s="22" t="s">
        <v>482</v>
      </c>
      <c r="D369" s="23" t="s">
        <v>284</v>
      </c>
      <c r="E369" s="12">
        <v>0</v>
      </c>
      <c r="F369" s="126">
        <v>429459</v>
      </c>
      <c r="G369" s="126">
        <f t="shared" si="45"/>
        <v>0</v>
      </c>
      <c r="H369" s="8"/>
      <c r="I369" s="9" t="str">
        <f t="array" ref="I369:L369">_xlfn.XLOOKUP(C369,'Neiva 2021 FASE I UNIFICADO'!$C$6:$C$540,'Neiva 2021 FASE I UNIFICADO'!$C$6:$F$540,"NO ESTA")</f>
        <v xml:space="preserve">SUMINISTRO E INSTALACIÓN CHEQUE RANURADO 4"                                                              </v>
      </c>
      <c r="J369" s="9" t="str">
        <v xml:space="preserve">UN   </v>
      </c>
      <c r="K369" s="9">
        <v>1</v>
      </c>
      <c r="L369" s="9">
        <v>397462</v>
      </c>
      <c r="M369" s="124" t="str">
        <f t="shared" si="42"/>
        <v>FASE II</v>
      </c>
      <c r="N369" s="155">
        <f t="shared" si="39"/>
        <v>1</v>
      </c>
      <c r="O369" s="156">
        <f t="shared" si="40"/>
        <v>429459</v>
      </c>
      <c r="P369" s="156">
        <f t="shared" si="41"/>
        <v>429459</v>
      </c>
    </row>
    <row r="370" spans="2:16" s="9" customFormat="1" ht="35.1" customHeight="1" x14ac:dyDescent="0.25">
      <c r="B370" s="23" t="s">
        <v>483</v>
      </c>
      <c r="C370" s="22" t="s">
        <v>484</v>
      </c>
      <c r="D370" s="23" t="s">
        <v>284</v>
      </c>
      <c r="E370" s="12">
        <v>0</v>
      </c>
      <c r="F370" s="126">
        <v>1544969</v>
      </c>
      <c r="G370" s="126">
        <f t="shared" si="45"/>
        <v>0</v>
      </c>
      <c r="H370" s="8"/>
      <c r="I370" s="9" t="str">
        <f t="array" ref="I370:L370">_xlfn.XLOOKUP(C370,'Neiva 2021 FASE I UNIFICADO'!$C$6:$C$540,'Neiva 2021 FASE I UNIFICADO'!$C$6:$F$540,"NO ESTA")</f>
        <v xml:space="preserve">SUMINISTRO E INSTALACIÓN VÁLVULA OS&amp;Y 4"                                                                 </v>
      </c>
      <c r="J370" s="9" t="str">
        <v xml:space="preserve">UN   </v>
      </c>
      <c r="K370" s="9">
        <v>1</v>
      </c>
      <c r="L370" s="9">
        <v>1429860</v>
      </c>
      <c r="M370" s="124" t="str">
        <f t="shared" si="42"/>
        <v>FASE II</v>
      </c>
      <c r="N370" s="155">
        <f t="shared" si="39"/>
        <v>1</v>
      </c>
      <c r="O370" s="156">
        <f t="shared" si="40"/>
        <v>1544969</v>
      </c>
      <c r="P370" s="156">
        <f t="shared" si="41"/>
        <v>1544969</v>
      </c>
    </row>
    <row r="371" spans="2:16" s="9" customFormat="1" ht="35.1" customHeight="1" x14ac:dyDescent="0.25">
      <c r="B371" s="23" t="s">
        <v>485</v>
      </c>
      <c r="C371" s="22" t="s">
        <v>486</v>
      </c>
      <c r="D371" s="23" t="s">
        <v>284</v>
      </c>
      <c r="E371" s="12">
        <v>15</v>
      </c>
      <c r="F371" s="126">
        <v>139754</v>
      </c>
      <c r="G371" s="126">
        <f t="shared" si="45"/>
        <v>2096310</v>
      </c>
      <c r="H371" s="8"/>
      <c r="I371" s="9" t="str">
        <f t="array" ref="I371:L371">_xlfn.XLOOKUP(C371,'Neiva 2021 FASE I UNIFICADO'!$C$6:$C$540,'Neiva 2021 FASE I UNIFICADO'!$C$6:$F$540,"NO ESTA")</f>
        <v xml:space="preserve">SUMINISTRO E INSTALACIÓN SOPORTE LONGITUDINAL 4 VÍAS 3"                                                               </v>
      </c>
      <c r="J371" s="9" t="str">
        <v xml:space="preserve">UN   </v>
      </c>
      <c r="K371" s="9">
        <v>5</v>
      </c>
      <c r="L371" s="9">
        <v>129341</v>
      </c>
      <c r="M371" s="124" t="str">
        <f t="shared" si="42"/>
        <v>FASE II</v>
      </c>
      <c r="N371" s="155">
        <f t="shared" si="39"/>
        <v>20</v>
      </c>
      <c r="O371" s="156">
        <f t="shared" si="40"/>
        <v>139754</v>
      </c>
      <c r="P371" s="156">
        <f t="shared" si="41"/>
        <v>2795080</v>
      </c>
    </row>
    <row r="372" spans="2:16" s="9" customFormat="1" ht="35.1" customHeight="1" x14ac:dyDescent="0.25">
      <c r="B372" s="23" t="s">
        <v>487</v>
      </c>
      <c r="C372" s="22" t="s">
        <v>488</v>
      </c>
      <c r="D372" s="23" t="s">
        <v>284</v>
      </c>
      <c r="E372" s="12">
        <v>2</v>
      </c>
      <c r="F372" s="126">
        <v>281071</v>
      </c>
      <c r="G372" s="126">
        <f t="shared" si="45"/>
        <v>562142</v>
      </c>
      <c r="H372" s="8"/>
      <c r="I372" s="9" t="str">
        <f t="array" ref="I372:L372">_xlfn.XLOOKUP(C372,'Neiva 2021 FASE I UNIFICADO'!$C$6:$C$540,'Neiva 2021 FASE I UNIFICADO'!$C$6:$F$540,"NO ESTA")</f>
        <v xml:space="preserve">SUMINISTRO E INSTALACIÓN SOPORTE LONGITUDINAL 4 VÍAS 4"                                                               </v>
      </c>
      <c r="J372" s="9" t="str">
        <v xml:space="preserve">UN   </v>
      </c>
      <c r="K372" s="9">
        <v>1</v>
      </c>
      <c r="L372" s="9">
        <v>260130</v>
      </c>
      <c r="M372" s="124" t="str">
        <f t="shared" si="42"/>
        <v>FASE II</v>
      </c>
      <c r="N372" s="155">
        <f t="shared" si="39"/>
        <v>3</v>
      </c>
      <c r="O372" s="156">
        <f t="shared" si="40"/>
        <v>281071</v>
      </c>
      <c r="P372" s="156">
        <f t="shared" si="41"/>
        <v>843213</v>
      </c>
    </row>
    <row r="373" spans="2:16" s="9" customFormat="1" ht="35.1" customHeight="1" x14ac:dyDescent="0.25">
      <c r="B373" s="23" t="s">
        <v>489</v>
      </c>
      <c r="C373" s="22" t="s">
        <v>490</v>
      </c>
      <c r="D373" s="23" t="s">
        <v>284</v>
      </c>
      <c r="E373" s="12">
        <v>32</v>
      </c>
      <c r="F373" s="126">
        <v>120195</v>
      </c>
      <c r="G373" s="126">
        <f t="shared" si="45"/>
        <v>3846240</v>
      </c>
      <c r="H373" s="8"/>
      <c r="I373" s="9" t="str">
        <f t="array" ref="I373:L373">_xlfn.XLOOKUP(C373,'Neiva 2021 FASE I UNIFICADO'!$C$6:$C$540,'Neiva 2021 FASE I UNIFICADO'!$C$6:$F$540,"NO ESTA")</f>
        <v xml:space="preserve">SUMINISTRO E INSTALACIÓN SOPORTE LATERAL 2 VÍAS 2"                                                       </v>
      </c>
      <c r="J373" s="9" t="str">
        <v xml:space="preserve">UN   </v>
      </c>
      <c r="K373" s="9">
        <v>12</v>
      </c>
      <c r="L373" s="9">
        <v>111240</v>
      </c>
      <c r="M373" s="124" t="str">
        <f t="shared" si="42"/>
        <v>FASE II</v>
      </c>
      <c r="N373" s="155">
        <f t="shared" si="39"/>
        <v>44</v>
      </c>
      <c r="O373" s="156">
        <f t="shared" si="40"/>
        <v>120195</v>
      </c>
      <c r="P373" s="156">
        <f t="shared" si="41"/>
        <v>5288580</v>
      </c>
    </row>
    <row r="374" spans="2:16" s="9" customFormat="1" ht="35.1" customHeight="1" x14ac:dyDescent="0.25">
      <c r="B374" s="23" t="s">
        <v>491</v>
      </c>
      <c r="C374" s="22" t="s">
        <v>492</v>
      </c>
      <c r="D374" s="23" t="s">
        <v>284</v>
      </c>
      <c r="E374" s="12">
        <v>27</v>
      </c>
      <c r="F374" s="126">
        <v>126619</v>
      </c>
      <c r="G374" s="126">
        <f t="shared" si="45"/>
        <v>3418713</v>
      </c>
      <c r="H374" s="8"/>
      <c r="I374" s="9" t="str">
        <f t="array" ref="I374:L374">_xlfn.XLOOKUP(C374,'Neiva 2021 FASE I UNIFICADO'!$C$6:$C$540,'Neiva 2021 FASE I UNIFICADO'!$C$6:$F$540,"NO ESTA")</f>
        <v xml:space="preserve">SUMINISTRO E INSTALACIÓN SOPORTE LATERAL 2 VÍAS 3"                                                       </v>
      </c>
      <c r="J374" s="9" t="str">
        <v xml:space="preserve">UN   </v>
      </c>
      <c r="K374" s="9">
        <v>10</v>
      </c>
      <c r="L374" s="9">
        <v>117185</v>
      </c>
      <c r="M374" s="124" t="str">
        <f t="shared" si="42"/>
        <v>FASE II</v>
      </c>
      <c r="N374" s="155">
        <f t="shared" si="39"/>
        <v>37</v>
      </c>
      <c r="O374" s="156">
        <f t="shared" si="40"/>
        <v>126619</v>
      </c>
      <c r="P374" s="156">
        <f t="shared" si="41"/>
        <v>4684903</v>
      </c>
    </row>
    <row r="375" spans="2:16" s="9" customFormat="1" ht="35.1" customHeight="1" x14ac:dyDescent="0.25">
      <c r="B375" s="23" t="s">
        <v>493</v>
      </c>
      <c r="C375" s="22" t="s">
        <v>494</v>
      </c>
      <c r="D375" s="23" t="s">
        <v>284</v>
      </c>
      <c r="E375" s="12">
        <v>6</v>
      </c>
      <c r="F375" s="126">
        <v>1605959</v>
      </c>
      <c r="G375" s="126">
        <f t="shared" si="45"/>
        <v>9635754</v>
      </c>
      <c r="H375" s="8"/>
      <c r="I375" s="9" t="str">
        <f t="array" ref="I375:L375">_xlfn.XLOOKUP(C375,'Neiva 2021 FASE I UNIFICADO'!$C$6:$C$540,'Neiva 2021 FASE I UNIFICADO'!$C$6:$F$540,"NO ESTA")</f>
        <v xml:space="preserve">SUMINISTRO E INSTALACIÓN GABINETE TIPO II </v>
      </c>
      <c r="J375" s="9" t="str">
        <v xml:space="preserve">UN   </v>
      </c>
      <c r="K375" s="9">
        <v>2</v>
      </c>
      <c r="L375" s="9">
        <v>1486307</v>
      </c>
      <c r="M375" s="124" t="str">
        <f t="shared" si="42"/>
        <v>FASE II</v>
      </c>
      <c r="N375" s="155">
        <f t="shared" si="39"/>
        <v>8</v>
      </c>
      <c r="O375" s="156">
        <f t="shared" si="40"/>
        <v>1605959</v>
      </c>
      <c r="P375" s="156">
        <f t="shared" si="41"/>
        <v>12847672</v>
      </c>
    </row>
    <row r="376" spans="2:16" s="9" customFormat="1" ht="35.1" customHeight="1" x14ac:dyDescent="0.25">
      <c r="B376" s="33">
        <v>14</v>
      </c>
      <c r="C376" s="34" t="s">
        <v>495</v>
      </c>
      <c r="D376" s="34"/>
      <c r="E376" s="35"/>
      <c r="F376" s="132"/>
      <c r="G376" s="142"/>
      <c r="H376" s="8"/>
      <c r="I376" s="9" t="str">
        <f t="array" ref="I376:L376">_xlfn.XLOOKUP(C376,'Neiva 2021 FASE I UNIFICADO'!$C$6:$C$540,'Neiva 2021 FASE I UNIFICADO'!$C$6:$F$540,"NO ESTA")</f>
        <v>SALIDAS DE ALUMBRADO Y TOMACORRIENTES ELÉCTRICOS</v>
      </c>
      <c r="J376" s="9">
        <v>0</v>
      </c>
      <c r="K376" s="9">
        <v>0</v>
      </c>
      <c r="L376" s="9">
        <v>0</v>
      </c>
      <c r="M376" s="124">
        <f t="shared" si="42"/>
        <v>0</v>
      </c>
      <c r="N376" s="155">
        <f t="shared" si="39"/>
        <v>0</v>
      </c>
      <c r="O376" s="156">
        <f t="shared" si="40"/>
        <v>0</v>
      </c>
      <c r="P376" s="156">
        <f t="shared" si="41"/>
        <v>0</v>
      </c>
    </row>
    <row r="377" spans="2:16" s="9" customFormat="1" ht="35.1" customHeight="1" x14ac:dyDescent="0.25">
      <c r="B377" s="47" t="s">
        <v>496</v>
      </c>
      <c r="C377" s="43" t="s">
        <v>497</v>
      </c>
      <c r="D377" s="24"/>
      <c r="E377" s="15"/>
      <c r="F377" s="129"/>
      <c r="G377" s="140"/>
      <c r="H377" s="8"/>
      <c r="I377" s="9" t="str">
        <f t="array" ref="I377:L377">_xlfn.XLOOKUP(C377,'Neiva 2021 FASE I UNIFICADO'!$C$6:$C$540,'Neiva 2021 FASE I UNIFICADO'!$C$6:$F$540,"NO ESTA")</f>
        <v>SUMINISTRO E INSTALACIÓN SALIDAS DE ALUMBRADO EN TUBERIA PVC INCRUSTRADA (NO SE INCLUYE LAS LUMINARIAS)</v>
      </c>
      <c r="J377" s="9">
        <v>0</v>
      </c>
      <c r="K377" s="9">
        <v>0</v>
      </c>
      <c r="L377" s="9">
        <v>0</v>
      </c>
      <c r="M377" s="124">
        <f t="shared" si="42"/>
        <v>0</v>
      </c>
      <c r="N377" s="155">
        <f t="shared" si="39"/>
        <v>0</v>
      </c>
      <c r="O377" s="156">
        <f t="shared" si="40"/>
        <v>0</v>
      </c>
      <c r="P377" s="156">
        <f t="shared" si="41"/>
        <v>0</v>
      </c>
    </row>
    <row r="378" spans="2:16" s="9" customFormat="1" ht="35.1" customHeight="1" x14ac:dyDescent="0.25">
      <c r="B378" s="23" t="s">
        <v>498</v>
      </c>
      <c r="C378" s="87" t="s">
        <v>499</v>
      </c>
      <c r="D378" s="23" t="s">
        <v>374</v>
      </c>
      <c r="E378" s="12">
        <v>153</v>
      </c>
      <c r="F378" s="126">
        <v>83078</v>
      </c>
      <c r="G378" s="126">
        <f t="shared" ref="G378:G393" si="46">ROUND(+F378*E378,2)</f>
        <v>12710934</v>
      </c>
      <c r="H378" s="8"/>
      <c r="I378" s="9" t="str">
        <f t="array" ref="I378:L378">_xlfn.XLOOKUP(C378,'Neiva 2021 FASE I UNIFICADO'!$C$6:$C$540,'Neiva 2021 FASE I UNIFICADO'!$C$6:$F$540,"NO ESTA")</f>
        <v>SUMINISTRO E INSTALACIÓN SALIDA PARA LAMPARA LED DE 1x28 W</v>
      </c>
      <c r="J378" s="9" t="str">
        <v>UN</v>
      </c>
      <c r="K378" s="9">
        <v>57</v>
      </c>
      <c r="L378" s="9">
        <v>76889</v>
      </c>
      <c r="M378" s="124" t="str">
        <f t="shared" si="42"/>
        <v>FASE II</v>
      </c>
      <c r="N378" s="155">
        <f t="shared" si="39"/>
        <v>210</v>
      </c>
      <c r="O378" s="156">
        <f t="shared" si="40"/>
        <v>83078</v>
      </c>
      <c r="P378" s="156">
        <f t="shared" si="41"/>
        <v>17446380</v>
      </c>
    </row>
    <row r="379" spans="2:16" s="9" customFormat="1" ht="35.1" customHeight="1" x14ac:dyDescent="0.25">
      <c r="B379" s="23" t="s">
        <v>500</v>
      </c>
      <c r="C379" s="87" t="s">
        <v>501</v>
      </c>
      <c r="D379" s="23" t="s">
        <v>374</v>
      </c>
      <c r="E379" s="12">
        <v>82</v>
      </c>
      <c r="F379" s="126">
        <v>75156</v>
      </c>
      <c r="G379" s="126">
        <f t="shared" si="46"/>
        <v>6162792</v>
      </c>
      <c r="H379" s="8"/>
      <c r="I379" s="9" t="str">
        <f t="array" ref="I379:L379">_xlfn.XLOOKUP(C379,'Neiva 2021 FASE I UNIFICADO'!$C$6:$C$540,'Neiva 2021 FASE I UNIFICADO'!$C$6:$F$540,"NO ESTA")</f>
        <v>SUMINISTRO E INSTALACIÓN SALIDA PARA LAMPARA LED DE 2x54 W</v>
      </c>
      <c r="J379" s="9" t="str">
        <v>UN</v>
      </c>
      <c r="K379" s="9">
        <v>30</v>
      </c>
      <c r="L379" s="9">
        <v>69557</v>
      </c>
      <c r="M379" s="124" t="str">
        <f t="shared" si="42"/>
        <v>FASE II</v>
      </c>
      <c r="N379" s="155">
        <f t="shared" si="39"/>
        <v>112</v>
      </c>
      <c r="O379" s="156">
        <f t="shared" si="40"/>
        <v>75156</v>
      </c>
      <c r="P379" s="156">
        <f t="shared" si="41"/>
        <v>8417472</v>
      </c>
    </row>
    <row r="380" spans="2:16" s="9" customFormat="1" ht="35.1" customHeight="1" x14ac:dyDescent="0.25">
      <c r="B380" s="23" t="s">
        <v>502</v>
      </c>
      <c r="C380" s="22" t="s">
        <v>503</v>
      </c>
      <c r="D380" s="23" t="s">
        <v>374</v>
      </c>
      <c r="E380" s="12">
        <v>121</v>
      </c>
      <c r="F380" s="126">
        <v>70467</v>
      </c>
      <c r="G380" s="126">
        <f t="shared" si="46"/>
        <v>8526507</v>
      </c>
      <c r="H380" s="8"/>
      <c r="I380" s="9" t="str">
        <f t="array" ref="I380:L380">_xlfn.XLOOKUP(C380,'Neiva 2021 FASE I UNIFICADO'!$C$6:$C$540,'Neiva 2021 FASE I UNIFICADO'!$C$6:$F$540,"NO ESTA")</f>
        <v>SUMINISTRO E INSTALACIÓN SALIDA PARA BALA DE LED 35W 120V</v>
      </c>
      <c r="J380" s="9" t="str">
        <v>UN</v>
      </c>
      <c r="K380" s="9">
        <v>45</v>
      </c>
      <c r="L380" s="9">
        <v>65217</v>
      </c>
      <c r="M380" s="124" t="str">
        <f t="shared" si="42"/>
        <v>FASE II</v>
      </c>
      <c r="N380" s="155">
        <f t="shared" si="39"/>
        <v>166</v>
      </c>
      <c r="O380" s="156">
        <f t="shared" si="40"/>
        <v>70467</v>
      </c>
      <c r="P380" s="156">
        <f t="shared" si="41"/>
        <v>11697522</v>
      </c>
    </row>
    <row r="381" spans="2:16" s="9" customFormat="1" ht="35.1" customHeight="1" x14ac:dyDescent="0.25">
      <c r="B381" s="23" t="s">
        <v>504</v>
      </c>
      <c r="C381" s="22" t="s">
        <v>505</v>
      </c>
      <c r="D381" s="23" t="s">
        <v>374</v>
      </c>
      <c r="E381" s="12">
        <v>50</v>
      </c>
      <c r="F381" s="126">
        <v>70467</v>
      </c>
      <c r="G381" s="126">
        <f t="shared" si="46"/>
        <v>3523350</v>
      </c>
      <c r="H381" s="8"/>
      <c r="I381" s="9" t="str">
        <f t="array" ref="I381:L381">_xlfn.XLOOKUP(C381,'Neiva 2021 FASE I UNIFICADO'!$C$6:$C$540,'Neiva 2021 FASE I UNIFICADO'!$C$6:$F$540,"NO ESTA")</f>
        <v>SUMINISTRO E INSTALACIÓN SALIDA PARA BALA RECESADA LED 10W 120V</v>
      </c>
      <c r="J381" s="9" t="str">
        <v>UN</v>
      </c>
      <c r="K381" s="9">
        <v>19</v>
      </c>
      <c r="L381" s="9">
        <v>65217</v>
      </c>
      <c r="M381" s="124" t="str">
        <f t="shared" si="42"/>
        <v>FASE II</v>
      </c>
      <c r="N381" s="155">
        <f t="shared" si="39"/>
        <v>69</v>
      </c>
      <c r="O381" s="156">
        <f t="shared" si="40"/>
        <v>70467</v>
      </c>
      <c r="P381" s="156">
        <f t="shared" si="41"/>
        <v>4862223</v>
      </c>
    </row>
    <row r="382" spans="2:16" s="9" customFormat="1" ht="35.1" customHeight="1" x14ac:dyDescent="0.25">
      <c r="B382" s="23" t="s">
        <v>506</v>
      </c>
      <c r="C382" s="22" t="s">
        <v>507</v>
      </c>
      <c r="D382" s="23" t="s">
        <v>374</v>
      </c>
      <c r="E382" s="12">
        <v>184</v>
      </c>
      <c r="F382" s="126">
        <v>70467</v>
      </c>
      <c r="G382" s="126">
        <f t="shared" si="46"/>
        <v>12965928</v>
      </c>
      <c r="H382" s="8"/>
      <c r="I382" s="9" t="str">
        <f t="array" ref="I382:L382">_xlfn.XLOOKUP(C382,'Neiva 2021 FASE I UNIFICADO'!$C$6:$C$540,'Neiva 2021 FASE I UNIFICADO'!$C$6:$F$540,"NO ESTA")</f>
        <v>SUMINISTRO E INSTALACIÓN SALIDA PARA LUMINARIA LED 2x26W 120V</v>
      </c>
      <c r="J382" s="9" t="str">
        <v>UN</v>
      </c>
      <c r="K382" s="9">
        <v>68</v>
      </c>
      <c r="L382" s="9">
        <v>65217</v>
      </c>
      <c r="M382" s="124" t="str">
        <f t="shared" si="42"/>
        <v>FASE II</v>
      </c>
      <c r="N382" s="155">
        <f t="shared" si="39"/>
        <v>252</v>
      </c>
      <c r="O382" s="156">
        <f t="shared" si="40"/>
        <v>70467</v>
      </c>
      <c r="P382" s="156">
        <f t="shared" si="41"/>
        <v>17757684</v>
      </c>
    </row>
    <row r="383" spans="2:16" s="9" customFormat="1" ht="35.1" customHeight="1" x14ac:dyDescent="0.25">
      <c r="B383" s="23" t="s">
        <v>508</v>
      </c>
      <c r="C383" s="22" t="s">
        <v>509</v>
      </c>
      <c r="D383" s="23" t="s">
        <v>374</v>
      </c>
      <c r="E383" s="12">
        <v>6</v>
      </c>
      <c r="F383" s="126">
        <v>68243</v>
      </c>
      <c r="G383" s="126">
        <f t="shared" si="46"/>
        <v>409458</v>
      </c>
      <c r="H383" s="8"/>
      <c r="I383" s="9" t="str">
        <f t="array" ref="I383:L383">_xlfn.XLOOKUP(C383,'Neiva 2021 FASE I UNIFICADO'!$C$6:$C$540,'Neiva 2021 FASE I UNIFICADO'!$C$6:$F$540,"NO ESTA")</f>
        <v>SUMINISTRO E INSTALACIÓN SALIDA PARA REFLECTOR DE LUZ DIRECTA</v>
      </c>
      <c r="J383" s="9" t="str">
        <v>UN</v>
      </c>
      <c r="K383" s="9">
        <v>2</v>
      </c>
      <c r="L383" s="9">
        <v>63160</v>
      </c>
      <c r="M383" s="124" t="str">
        <f t="shared" si="42"/>
        <v>FASE II</v>
      </c>
      <c r="N383" s="155">
        <f t="shared" si="39"/>
        <v>8</v>
      </c>
      <c r="O383" s="156">
        <f t="shared" si="40"/>
        <v>68243</v>
      </c>
      <c r="P383" s="156">
        <f t="shared" si="41"/>
        <v>545944</v>
      </c>
    </row>
    <row r="384" spans="2:16" s="9" customFormat="1" ht="35.1" customHeight="1" x14ac:dyDescent="0.25">
      <c r="B384" s="23" t="s">
        <v>510</v>
      </c>
      <c r="C384" s="22" t="s">
        <v>511</v>
      </c>
      <c r="D384" s="23" t="s">
        <v>374</v>
      </c>
      <c r="E384" s="12">
        <v>6</v>
      </c>
      <c r="F384" s="126">
        <v>74815</v>
      </c>
      <c r="G384" s="126">
        <f t="shared" si="46"/>
        <v>448890</v>
      </c>
      <c r="H384" s="8"/>
      <c r="I384" s="9" t="str">
        <f t="array" ref="I384:L384">_xlfn.XLOOKUP(C384,'Neiva 2021 FASE I UNIFICADO'!$C$6:$C$540,'Neiva 2021 FASE I UNIFICADO'!$C$6:$F$540,"NO ESTA")</f>
        <v>SUMINISTRO E INSTALACIÓN SALIDA PARA APLIQUE DE ESCALERA 1000W 120V</v>
      </c>
      <c r="J384" s="9" t="str">
        <v>UN</v>
      </c>
      <c r="K384" s="9">
        <v>2</v>
      </c>
      <c r="L384" s="9">
        <v>69240</v>
      </c>
      <c r="M384" s="124" t="str">
        <f t="shared" si="42"/>
        <v>FASE II</v>
      </c>
      <c r="N384" s="155">
        <f t="shared" si="39"/>
        <v>8</v>
      </c>
      <c r="O384" s="156">
        <f t="shared" si="40"/>
        <v>74815</v>
      </c>
      <c r="P384" s="156">
        <f t="shared" si="41"/>
        <v>598520</v>
      </c>
    </row>
    <row r="385" spans="2:16" s="9" customFormat="1" ht="35.1" customHeight="1" x14ac:dyDescent="0.25">
      <c r="B385" s="23" t="s">
        <v>512</v>
      </c>
      <c r="C385" s="22" t="s">
        <v>513</v>
      </c>
      <c r="D385" s="23" t="s">
        <v>374</v>
      </c>
      <c r="E385" s="12">
        <v>67</v>
      </c>
      <c r="F385" s="126">
        <v>74815</v>
      </c>
      <c r="G385" s="126">
        <f t="shared" si="46"/>
        <v>5012605</v>
      </c>
      <c r="H385" s="8"/>
      <c r="I385" s="9" t="str">
        <f t="array" ref="I385:L385">_xlfn.XLOOKUP(C385,'Neiva 2021 FASE I UNIFICADO'!$C$6:$C$540,'Neiva 2021 FASE I UNIFICADO'!$C$6:$F$540,"NO ESTA")</f>
        <v>SUMINISTRO E INSTALACIÓN SALIDA PARA BALAS LED DE PISO 3W 120V</v>
      </c>
      <c r="J385" s="9" t="str">
        <v>UN</v>
      </c>
      <c r="K385" s="9">
        <v>25</v>
      </c>
      <c r="L385" s="9">
        <v>69240</v>
      </c>
      <c r="M385" s="124" t="str">
        <f t="shared" si="42"/>
        <v>FASE II</v>
      </c>
      <c r="N385" s="155">
        <f t="shared" si="39"/>
        <v>92</v>
      </c>
      <c r="O385" s="156">
        <f t="shared" si="40"/>
        <v>74815</v>
      </c>
      <c r="P385" s="156">
        <f t="shared" si="41"/>
        <v>6882980</v>
      </c>
    </row>
    <row r="386" spans="2:16" s="9" customFormat="1" ht="35.1" customHeight="1" x14ac:dyDescent="0.25">
      <c r="B386" s="23" t="s">
        <v>514</v>
      </c>
      <c r="C386" s="22" t="s">
        <v>515</v>
      </c>
      <c r="D386" s="23" t="s">
        <v>374</v>
      </c>
      <c r="E386" s="12">
        <v>10</v>
      </c>
      <c r="F386" s="126">
        <v>74815</v>
      </c>
      <c r="G386" s="126">
        <f t="shared" si="46"/>
        <v>748150</v>
      </c>
      <c r="H386" s="8"/>
      <c r="I386" s="9" t="str">
        <f t="array" ref="I386:L386">_xlfn.XLOOKUP(C386,'Neiva 2021 FASE I UNIFICADO'!$C$6:$C$540,'Neiva 2021 FASE I UNIFICADO'!$C$6:$F$540,"NO ESTA")</f>
        <v>SUMINISTRO E INSTALACIÓN SALIDA PARA BALAS DE PISO 50W 120V</v>
      </c>
      <c r="J386" s="9" t="str">
        <v>UN</v>
      </c>
      <c r="K386" s="9">
        <v>4</v>
      </c>
      <c r="L386" s="9">
        <v>69240</v>
      </c>
      <c r="M386" s="124" t="str">
        <f t="shared" si="42"/>
        <v>FASE II</v>
      </c>
      <c r="N386" s="155">
        <f t="shared" si="39"/>
        <v>14</v>
      </c>
      <c r="O386" s="156">
        <f t="shared" si="40"/>
        <v>74815</v>
      </c>
      <c r="P386" s="156">
        <f t="shared" si="41"/>
        <v>1047410</v>
      </c>
    </row>
    <row r="387" spans="2:16" s="9" customFormat="1" ht="35.1" customHeight="1" x14ac:dyDescent="0.25">
      <c r="B387" s="23" t="s">
        <v>516</v>
      </c>
      <c r="C387" s="87" t="s">
        <v>517</v>
      </c>
      <c r="D387" s="23" t="s">
        <v>374</v>
      </c>
      <c r="E387" s="12">
        <v>42</v>
      </c>
      <c r="F387" s="126">
        <v>80011</v>
      </c>
      <c r="G387" s="126">
        <f t="shared" si="46"/>
        <v>3360462</v>
      </c>
      <c r="H387" s="8"/>
      <c r="I387" s="9" t="str">
        <f t="array" ref="I387:L387">_xlfn.XLOOKUP(C387,'Neiva 2021 FASE I UNIFICADO'!$C$6:$C$540,'Neiva 2021 FASE I UNIFICADO'!$C$6:$F$540,"NO ESTA")</f>
        <v>SUMINISTRO E INSTALACIÓN SALIDA PARA INTERRUPTOR SENCILLO COLOR BLANCO</v>
      </c>
      <c r="J387" s="9" t="str">
        <v>UN</v>
      </c>
      <c r="K387" s="9">
        <v>16</v>
      </c>
      <c r="L387" s="9">
        <v>74050</v>
      </c>
      <c r="M387" s="124" t="str">
        <f t="shared" si="42"/>
        <v>FASE II</v>
      </c>
      <c r="N387" s="155">
        <f t="shared" si="39"/>
        <v>58</v>
      </c>
      <c r="O387" s="156">
        <f t="shared" si="40"/>
        <v>80011</v>
      </c>
      <c r="P387" s="156">
        <f t="shared" si="41"/>
        <v>4640638</v>
      </c>
    </row>
    <row r="388" spans="2:16" s="9" customFormat="1" ht="35.1" customHeight="1" x14ac:dyDescent="0.25">
      <c r="B388" s="23" t="s">
        <v>518</v>
      </c>
      <c r="C388" s="87" t="s">
        <v>519</v>
      </c>
      <c r="D388" s="23" t="s">
        <v>374</v>
      </c>
      <c r="E388" s="12">
        <v>18</v>
      </c>
      <c r="F388" s="126">
        <v>86756</v>
      </c>
      <c r="G388" s="126">
        <f t="shared" si="46"/>
        <v>1561608</v>
      </c>
      <c r="H388" s="8"/>
      <c r="I388" s="9" t="str">
        <f t="array" ref="I388:L388">_xlfn.XLOOKUP(C388,'Neiva 2021 FASE I UNIFICADO'!$C$6:$C$540,'Neiva 2021 FASE I UNIFICADO'!$C$6:$F$540,"NO ESTA")</f>
        <v>SUMINISTRO E INSTALACIÓN SALIDA PARA INTERRUPTOR DOBLE COLOR BLANCO</v>
      </c>
      <c r="J388" s="9" t="str">
        <v>UN</v>
      </c>
      <c r="K388" s="9">
        <v>6</v>
      </c>
      <c r="L388" s="9">
        <v>80291</v>
      </c>
      <c r="M388" s="124" t="str">
        <f t="shared" si="42"/>
        <v>FASE II</v>
      </c>
      <c r="N388" s="155">
        <f t="shared" si="39"/>
        <v>24</v>
      </c>
      <c r="O388" s="156">
        <f t="shared" si="40"/>
        <v>86756</v>
      </c>
      <c r="P388" s="156">
        <f t="shared" si="41"/>
        <v>2082144</v>
      </c>
    </row>
    <row r="389" spans="2:16" s="9" customFormat="1" ht="35.1" customHeight="1" x14ac:dyDescent="0.25">
      <c r="B389" s="23" t="s">
        <v>520</v>
      </c>
      <c r="C389" s="87" t="s">
        <v>521</v>
      </c>
      <c r="D389" s="23" t="s">
        <v>374</v>
      </c>
      <c r="E389" s="12">
        <v>6</v>
      </c>
      <c r="F389" s="126">
        <v>88571</v>
      </c>
      <c r="G389" s="126">
        <f t="shared" si="46"/>
        <v>531426</v>
      </c>
      <c r="H389" s="8"/>
      <c r="I389" s="9" t="str">
        <f t="array" ref="I389:L389">_xlfn.XLOOKUP(C389,'Neiva 2021 FASE I UNIFICADO'!$C$6:$C$540,'Neiva 2021 FASE I UNIFICADO'!$C$6:$F$540,"NO ESTA")</f>
        <v>SUMINISTRO E INSTALACIÓN SALIDA PARA INTERRUPTOR SENCILLO CONMUTABLE COLOR BLANCO</v>
      </c>
      <c r="J389" s="9" t="str">
        <v>UN</v>
      </c>
      <c r="K389" s="9">
        <v>2</v>
      </c>
      <c r="L389" s="9">
        <v>81973</v>
      </c>
      <c r="M389" s="124" t="str">
        <f t="shared" si="42"/>
        <v>FASE II</v>
      </c>
      <c r="N389" s="155">
        <f t="shared" si="39"/>
        <v>8</v>
      </c>
      <c r="O389" s="156">
        <f t="shared" si="40"/>
        <v>88571</v>
      </c>
      <c r="P389" s="156">
        <f t="shared" si="41"/>
        <v>708568</v>
      </c>
    </row>
    <row r="390" spans="2:16" s="9" customFormat="1" ht="35.1" customHeight="1" x14ac:dyDescent="0.25">
      <c r="B390" s="23" t="s">
        <v>522</v>
      </c>
      <c r="C390" s="87" t="s">
        <v>523</v>
      </c>
      <c r="D390" s="23" t="s">
        <v>374</v>
      </c>
      <c r="E390" s="12">
        <v>4</v>
      </c>
      <c r="F390" s="126">
        <v>96779</v>
      </c>
      <c r="G390" s="126">
        <f t="shared" si="46"/>
        <v>387116</v>
      </c>
      <c r="H390" s="8"/>
      <c r="I390" s="9" t="str">
        <f t="array" ref="I390:L390">_xlfn.XLOOKUP(C390,'Neiva 2021 FASE I UNIFICADO'!$C$6:$C$540,'Neiva 2021 FASE I UNIFICADO'!$C$6:$F$540,"NO ESTA")</f>
        <v>SUMINISTRO E INSTALACIÓN SALIDA PARA INTERRUPTOR DOBLE CONMUTABLE COLOR BLANCO</v>
      </c>
      <c r="J390" s="9" t="str">
        <v>UN</v>
      </c>
      <c r="K390" s="9">
        <v>2</v>
      </c>
      <c r="L390" s="9">
        <v>89569</v>
      </c>
      <c r="M390" s="124" t="str">
        <f t="shared" si="42"/>
        <v>FASE II</v>
      </c>
      <c r="N390" s="155">
        <f t="shared" ref="N390:N453" si="47">E390+K390</f>
        <v>6</v>
      </c>
      <c r="O390" s="156">
        <f t="shared" ref="O390:O453" si="48">MAX(L390,F390)</f>
        <v>96779</v>
      </c>
      <c r="P390" s="156">
        <f t="shared" ref="P390:P453" si="49">N390*O390</f>
        <v>580674</v>
      </c>
    </row>
    <row r="391" spans="2:16" s="9" customFormat="1" ht="35.1" customHeight="1" x14ac:dyDescent="0.25">
      <c r="B391" s="23" t="s">
        <v>524</v>
      </c>
      <c r="C391" s="22" t="s">
        <v>525</v>
      </c>
      <c r="D391" s="23" t="s">
        <v>374</v>
      </c>
      <c r="E391" s="12">
        <v>12</v>
      </c>
      <c r="F391" s="126">
        <v>90828</v>
      </c>
      <c r="G391" s="126">
        <f t="shared" si="46"/>
        <v>1089936</v>
      </c>
      <c r="H391" s="8"/>
      <c r="I391" s="9" t="str">
        <f t="array" ref="I391:L391">_xlfn.XLOOKUP(C391,'Neiva 2021 FASE I UNIFICADO'!$C$6:$C$540,'Neiva 2021 FASE I UNIFICADO'!$C$6:$F$540,"NO ESTA")</f>
        <v>SUMINISTRO E INSTALACIÓN SALIDA PARA INTERRUPTOR DE SENSOR DE PRESENCIA</v>
      </c>
      <c r="J391" s="9" t="str">
        <v>UN</v>
      </c>
      <c r="K391" s="9">
        <v>5</v>
      </c>
      <c r="L391" s="9">
        <v>84061</v>
      </c>
      <c r="M391" s="124" t="str">
        <f t="shared" si="42"/>
        <v>FASE II</v>
      </c>
      <c r="N391" s="155">
        <f t="shared" si="47"/>
        <v>17</v>
      </c>
      <c r="O391" s="156">
        <f t="shared" si="48"/>
        <v>90828</v>
      </c>
      <c r="P391" s="156">
        <f t="shared" si="49"/>
        <v>1544076</v>
      </c>
    </row>
    <row r="392" spans="2:16" s="9" customFormat="1" ht="35.1" customHeight="1" x14ac:dyDescent="0.25">
      <c r="B392" s="23" t="s">
        <v>526</v>
      </c>
      <c r="C392" s="22" t="s">
        <v>527</v>
      </c>
      <c r="D392" s="23" t="s">
        <v>374</v>
      </c>
      <c r="E392" s="12">
        <v>4</v>
      </c>
      <c r="F392" s="126">
        <v>102414</v>
      </c>
      <c r="G392" s="126">
        <f t="shared" si="46"/>
        <v>409656</v>
      </c>
      <c r="H392" s="8"/>
      <c r="I392" s="9" t="str">
        <f t="array" ref="I392:L392">_xlfn.XLOOKUP(C392,'Neiva 2021 FASE I UNIFICADO'!$C$6:$C$540,'Neiva 2021 FASE I UNIFICADO'!$C$6:$F$540,"NO ESTA")</f>
        <v>SUMINISTRO E INSTALACIÓN SALIDA PARA SENSOR DE MOVIEMIENTO DE TECHO</v>
      </c>
      <c r="J392" s="9" t="str">
        <v>UN</v>
      </c>
      <c r="K392" s="9">
        <v>1</v>
      </c>
      <c r="L392" s="9">
        <v>94783</v>
      </c>
      <c r="M392" s="124" t="str">
        <f t="shared" ref="M392:M455" si="50">IF(L392=0,0,(IF(F392&lt;L392, "FASE I","FASE II")))</f>
        <v>FASE II</v>
      </c>
      <c r="N392" s="155">
        <f t="shared" si="47"/>
        <v>5</v>
      </c>
      <c r="O392" s="156">
        <f t="shared" si="48"/>
        <v>102414</v>
      </c>
      <c r="P392" s="156">
        <f t="shared" si="49"/>
        <v>512070</v>
      </c>
    </row>
    <row r="393" spans="2:16" s="9" customFormat="1" ht="35.1" customHeight="1" x14ac:dyDescent="0.25">
      <c r="B393" s="23" t="s">
        <v>528</v>
      </c>
      <c r="C393" s="22" t="s">
        <v>529</v>
      </c>
      <c r="D393" s="23" t="s">
        <v>269</v>
      </c>
      <c r="E393" s="12">
        <v>474</v>
      </c>
      <c r="F393" s="126">
        <v>1705</v>
      </c>
      <c r="G393" s="126">
        <f t="shared" si="46"/>
        <v>808170</v>
      </c>
      <c r="H393" s="8"/>
      <c r="I393" s="9" t="str">
        <f t="array" ref="I393:L393">_xlfn.XLOOKUP(C393,'Neiva 2021 FASE I UNIFICADO'!$C$6:$C$540,'Neiva 2021 FASE I UNIFICADO'!$C$6:$F$540,"NO ESTA")</f>
        <v xml:space="preserve">SUMINISTRO E INSTALACIÓN SALIDAS PARCIALES DE CIRCUITO PARA SALIDAS DE ALUMBRADO Y TOMACORIRIENTE DE USO NORMAL EN CABLE #12 AWG THHN/THWN, DESDE EL TABLERO DE AUTOMATICOS POR EL DUCTO PORTACABLES HASTA LOS PRIMEROS PUNTOS DE DERIVACIÓN. </v>
      </c>
      <c r="J393" s="9" t="str">
        <v xml:space="preserve">ML   </v>
      </c>
      <c r="K393" s="9">
        <v>176</v>
      </c>
      <c r="L393" s="9">
        <v>1578</v>
      </c>
      <c r="M393" s="124" t="str">
        <f t="shared" si="50"/>
        <v>FASE II</v>
      </c>
      <c r="N393" s="155">
        <f t="shared" si="47"/>
        <v>650</v>
      </c>
      <c r="O393" s="156">
        <f t="shared" si="48"/>
        <v>1705</v>
      </c>
      <c r="P393" s="156">
        <f t="shared" si="49"/>
        <v>1108250</v>
      </c>
    </row>
    <row r="394" spans="2:16" s="9" customFormat="1" ht="35.1" customHeight="1" x14ac:dyDescent="0.25">
      <c r="B394" s="47" t="s">
        <v>530</v>
      </c>
      <c r="C394" s="24" t="s">
        <v>531</v>
      </c>
      <c r="D394" s="24"/>
      <c r="E394" s="15"/>
      <c r="F394" s="129"/>
      <c r="G394" s="140"/>
      <c r="H394" s="8"/>
      <c r="I394" s="9" t="str">
        <f t="array" ref="I394:L394">_xlfn.XLOOKUP(C394,'Neiva 2021 FASE I UNIFICADO'!$C$6:$C$540,'Neiva 2021 FASE I UNIFICADO'!$C$6:$F$540,"NO ESTA")</f>
        <v xml:space="preserve">SUMINISTRO E INSTALACIÓN SALIDAS PARA TOMACORRIENTES USO NORMAL EN TUBERIA PVC INCRUSTRADA </v>
      </c>
      <c r="J394" s="9">
        <v>0</v>
      </c>
      <c r="K394" s="9">
        <v>0</v>
      </c>
      <c r="L394" s="9">
        <v>0</v>
      </c>
      <c r="M394" s="124">
        <f t="shared" si="50"/>
        <v>0</v>
      </c>
      <c r="N394" s="155">
        <f t="shared" si="47"/>
        <v>0</v>
      </c>
      <c r="O394" s="156">
        <f t="shared" si="48"/>
        <v>0</v>
      </c>
      <c r="P394" s="156">
        <f t="shared" si="49"/>
        <v>0</v>
      </c>
    </row>
    <row r="395" spans="2:16" s="9" customFormat="1" ht="35.1" customHeight="1" x14ac:dyDescent="0.25">
      <c r="B395" s="23" t="s">
        <v>532</v>
      </c>
      <c r="C395" s="22" t="s">
        <v>533</v>
      </c>
      <c r="D395" s="23" t="s">
        <v>284</v>
      </c>
      <c r="E395" s="12">
        <v>264</v>
      </c>
      <c r="F395" s="126">
        <v>82527</v>
      </c>
      <c r="G395" s="126">
        <f>ROUND(+F395*E395,2)</f>
        <v>21787128</v>
      </c>
      <c r="H395" s="8"/>
      <c r="I395" s="9" t="str">
        <f t="array" ref="I395:L395">_xlfn.XLOOKUP(C395,'Neiva 2021 FASE I UNIFICADO'!$C$6:$C$540,'Neiva 2021 FASE I UNIFICADO'!$C$6:$F$540,"NO ESTA")</f>
        <v>SUMINISTRO E INSTALACIÓN SALIDA PARA TOMACORRIENTE DOBLE MONOFÁSICO CON POLO A TIERRA</v>
      </c>
      <c r="J395" s="9" t="str">
        <v xml:space="preserve">UN   </v>
      </c>
      <c r="K395" s="9">
        <v>97</v>
      </c>
      <c r="L395" s="9">
        <v>76379</v>
      </c>
      <c r="M395" s="124" t="str">
        <f t="shared" si="50"/>
        <v>FASE II</v>
      </c>
      <c r="N395" s="155">
        <f t="shared" si="47"/>
        <v>361</v>
      </c>
      <c r="O395" s="156">
        <f t="shared" si="48"/>
        <v>82527</v>
      </c>
      <c r="P395" s="156">
        <f t="shared" si="49"/>
        <v>29792247</v>
      </c>
    </row>
    <row r="396" spans="2:16" s="9" customFormat="1" ht="35.1" customHeight="1" x14ac:dyDescent="0.25">
      <c r="B396" s="23" t="s">
        <v>534</v>
      </c>
      <c r="C396" s="22" t="s">
        <v>535</v>
      </c>
      <c r="D396" s="23" t="s">
        <v>284</v>
      </c>
      <c r="E396" s="12">
        <v>5</v>
      </c>
      <c r="F396" s="126">
        <v>111563</v>
      </c>
      <c r="G396" s="126">
        <f>ROUND(+F396*E396,2)</f>
        <v>557815</v>
      </c>
      <c r="H396" s="8"/>
      <c r="I396" s="9" t="str">
        <f t="array" ref="I396:L396">_xlfn.XLOOKUP(C396,'Neiva 2021 FASE I UNIFICADO'!$C$6:$C$540,'Neiva 2021 FASE I UNIFICADO'!$C$6:$F$540,"NO ESTA")</f>
        <v>SUMINISTRO E INSTALACIÓN SALIDA PARA TOMACORRIENTE DOBLE TIPO GFCI COLOR BLANCO MONOFÁSICODE MURO CON POLO A TIERRA</v>
      </c>
      <c r="J396" s="9" t="str">
        <v xml:space="preserve">UN   </v>
      </c>
      <c r="K396" s="9">
        <v>2</v>
      </c>
      <c r="L396" s="9">
        <v>103251</v>
      </c>
      <c r="M396" s="124" t="str">
        <f t="shared" si="50"/>
        <v>FASE II</v>
      </c>
      <c r="N396" s="155">
        <f t="shared" si="47"/>
        <v>7</v>
      </c>
      <c r="O396" s="156">
        <f t="shared" si="48"/>
        <v>111563</v>
      </c>
      <c r="P396" s="156">
        <f t="shared" si="49"/>
        <v>780941</v>
      </c>
    </row>
    <row r="397" spans="2:16" s="9" customFormat="1" ht="35.1" customHeight="1" x14ac:dyDescent="0.25">
      <c r="B397" s="23" t="s">
        <v>536</v>
      </c>
      <c r="C397" s="22" t="s">
        <v>537</v>
      </c>
      <c r="D397" s="23" t="s">
        <v>284</v>
      </c>
      <c r="E397" s="12">
        <v>18</v>
      </c>
      <c r="F397" s="126">
        <v>83516</v>
      </c>
      <c r="G397" s="126">
        <f>ROUND(+F397*E397,2)</f>
        <v>1503288</v>
      </c>
      <c r="H397" s="8"/>
      <c r="I397" s="9" t="str">
        <f t="array" ref="I397:L397">_xlfn.XLOOKUP(C397,'Neiva 2021 FASE I UNIFICADO'!$C$6:$C$540,'Neiva 2021 FASE I UNIFICADO'!$C$6:$F$540,"NO ESTA")</f>
        <v>SUMINISTRO E INSTALACIÓN SALIDA PARA SECADOR 20A-120V a 1.2 METROS DE ALTURA</v>
      </c>
      <c r="J397" s="9" t="str">
        <v xml:space="preserve">UN   </v>
      </c>
      <c r="K397" s="9">
        <v>7</v>
      </c>
      <c r="L397" s="9">
        <v>77293</v>
      </c>
      <c r="M397" s="124" t="str">
        <f t="shared" si="50"/>
        <v>FASE II</v>
      </c>
      <c r="N397" s="155">
        <f t="shared" si="47"/>
        <v>25</v>
      </c>
      <c r="O397" s="156">
        <f t="shared" si="48"/>
        <v>83516</v>
      </c>
      <c r="P397" s="156">
        <f t="shared" si="49"/>
        <v>2087900</v>
      </c>
    </row>
    <row r="398" spans="2:16" s="9" customFormat="1" ht="35.1" customHeight="1" x14ac:dyDescent="0.25">
      <c r="B398" s="23" t="s">
        <v>538</v>
      </c>
      <c r="C398" s="87" t="s">
        <v>539</v>
      </c>
      <c r="D398" s="23" t="s">
        <v>284</v>
      </c>
      <c r="E398" s="12">
        <v>3</v>
      </c>
      <c r="F398" s="126">
        <v>101196</v>
      </c>
      <c r="G398" s="126">
        <f>ROUND(+F398*E398,2)</f>
        <v>303588</v>
      </c>
      <c r="H398" s="8"/>
      <c r="I398" s="9" t="str">
        <f t="array" ref="I398:L398">_xlfn.XLOOKUP(C398,'Neiva 2021 FASE I UNIFICADO'!$C$6:$C$540,'Neiva 2021 FASE I UNIFICADO'!$C$6:$F$540,"NO ESTA")</f>
        <v>SUMINISTRO E INSTALACIÓN SALIDA PARA TOMA TRIFÁSICA 208v 3FASES EN CAFETERIA</v>
      </c>
      <c r="J398" s="9" t="str">
        <v xml:space="preserve">UN   </v>
      </c>
      <c r="K398" s="9">
        <v>1</v>
      </c>
      <c r="L398" s="9">
        <v>93657</v>
      </c>
      <c r="M398" s="124" t="str">
        <f t="shared" si="50"/>
        <v>FASE II</v>
      </c>
      <c r="N398" s="155">
        <f t="shared" si="47"/>
        <v>4</v>
      </c>
      <c r="O398" s="156">
        <f t="shared" si="48"/>
        <v>101196</v>
      </c>
      <c r="P398" s="156">
        <f t="shared" si="49"/>
        <v>404784</v>
      </c>
    </row>
    <row r="399" spans="2:16" s="9" customFormat="1" ht="35.1" customHeight="1" x14ac:dyDescent="0.25">
      <c r="B399" s="23" t="s">
        <v>540</v>
      </c>
      <c r="C399" s="22" t="s">
        <v>541</v>
      </c>
      <c r="D399" s="23" t="s">
        <v>269</v>
      </c>
      <c r="E399" s="12">
        <v>985</v>
      </c>
      <c r="F399" s="126">
        <v>1705</v>
      </c>
      <c r="G399" s="126">
        <f>ROUND(+F399*E399,2)</f>
        <v>1679425</v>
      </c>
      <c r="H399" s="8"/>
      <c r="I399" s="9" t="str">
        <f t="array" ref="I399:L399">_xlfn.XLOOKUP(C399,'Neiva 2021 FASE I UNIFICADO'!$C$6:$C$540,'Neiva 2021 FASE I UNIFICADO'!$C$6:$F$540,"NO ESTA")</f>
        <v xml:space="preserve">SUMINISTRO E INSTALACIÓN SALIDAS PARCIALES DE CIRCUITO PARA TOMACORIRIENTE DE USO NORMAL EN CABLE #12 AWG THHN/THWN, DESDE EL TABLERO DE AUTOMATICOS POR EL DUCTO PORTACABLES HASTA LOS PRIMEROS PUNTOS DE DERIVACIÓN. </v>
      </c>
      <c r="J399" s="9" t="str">
        <v xml:space="preserve">ML   </v>
      </c>
      <c r="K399" s="9">
        <v>365</v>
      </c>
      <c r="L399" s="9">
        <v>1578</v>
      </c>
      <c r="M399" s="124" t="str">
        <f t="shared" si="50"/>
        <v>FASE II</v>
      </c>
      <c r="N399" s="155">
        <f t="shared" si="47"/>
        <v>1350</v>
      </c>
      <c r="O399" s="156">
        <f t="shared" si="48"/>
        <v>1705</v>
      </c>
      <c r="P399" s="156">
        <f t="shared" si="49"/>
        <v>2301750</v>
      </c>
    </row>
    <row r="400" spans="2:16" s="9" customFormat="1" ht="35.1" customHeight="1" x14ac:dyDescent="0.25">
      <c r="B400" s="47" t="s">
        <v>542</v>
      </c>
      <c r="C400" s="24" t="s">
        <v>543</v>
      </c>
      <c r="D400" s="24"/>
      <c r="E400" s="15"/>
      <c r="F400" s="129"/>
      <c r="G400" s="140"/>
      <c r="H400" s="8"/>
      <c r="I400" s="9" t="str">
        <f t="array" ref="I400:L400">_xlfn.XLOOKUP(C400,'Neiva 2021 FASE I UNIFICADO'!$C$6:$C$540,'Neiva 2021 FASE I UNIFICADO'!$C$6:$F$540,"NO ESTA")</f>
        <v xml:space="preserve">SUMINISTRO E INSTALACIÓN SALIDAS PARA TOMACORRIENTES USO REGULADO EN TUBERIA PVC INCRUSTRADA </v>
      </c>
      <c r="J400" s="9">
        <v>0</v>
      </c>
      <c r="K400" s="9">
        <v>0</v>
      </c>
      <c r="L400" s="9">
        <v>0</v>
      </c>
      <c r="M400" s="124">
        <f t="shared" si="50"/>
        <v>0</v>
      </c>
      <c r="N400" s="155">
        <f t="shared" si="47"/>
        <v>0</v>
      </c>
      <c r="O400" s="156">
        <f t="shared" si="48"/>
        <v>0</v>
      </c>
      <c r="P400" s="156">
        <f t="shared" si="49"/>
        <v>0</v>
      </c>
    </row>
    <row r="401" spans="2:16" s="9" customFormat="1" ht="35.1" customHeight="1" x14ac:dyDescent="0.25">
      <c r="B401" s="23" t="s">
        <v>544</v>
      </c>
      <c r="C401" s="87" t="s">
        <v>545</v>
      </c>
      <c r="D401" s="23" t="s">
        <v>374</v>
      </c>
      <c r="E401" s="12">
        <v>39</v>
      </c>
      <c r="F401" s="126">
        <v>122076</v>
      </c>
      <c r="G401" s="126">
        <f>ROUND(+F401*E401,2)</f>
        <v>4760964</v>
      </c>
      <c r="H401" s="8"/>
      <c r="I401" s="9" t="str">
        <f t="array" ref="I401:L401">_xlfn.XLOOKUP(C401,'Neiva 2021 FASE I UNIFICADO'!$C$6:$C$540,'Neiva 2021 FASE I UNIFICADO'!$C$6:$F$540,"NO ESTA")</f>
        <v>SUMINISTRO E INSTALACIÓN SALIDA PARA TOMACORRIENTE DOBLE DE COLOR NARAJA, PARA INSTALAR EN MURO</v>
      </c>
      <c r="J401" s="9" t="str">
        <v>UN</v>
      </c>
      <c r="K401" s="9">
        <v>15</v>
      </c>
      <c r="L401" s="9">
        <v>112981</v>
      </c>
      <c r="M401" s="124" t="str">
        <f t="shared" si="50"/>
        <v>FASE II</v>
      </c>
      <c r="N401" s="155">
        <f t="shared" si="47"/>
        <v>54</v>
      </c>
      <c r="O401" s="156">
        <f t="shared" si="48"/>
        <v>122076</v>
      </c>
      <c r="P401" s="156">
        <f t="shared" si="49"/>
        <v>6592104</v>
      </c>
    </row>
    <row r="402" spans="2:16" s="9" customFormat="1" ht="35.1" customHeight="1" x14ac:dyDescent="0.25">
      <c r="B402" s="23" t="s">
        <v>546</v>
      </c>
      <c r="C402" s="87" t="s">
        <v>547</v>
      </c>
      <c r="D402" s="23" t="s">
        <v>374</v>
      </c>
      <c r="E402" s="12">
        <v>80</v>
      </c>
      <c r="F402" s="126">
        <v>112524</v>
      </c>
      <c r="G402" s="126">
        <f>ROUND(+F402*E402,2)</f>
        <v>9001920</v>
      </c>
      <c r="H402" s="8"/>
      <c r="I402" s="9" t="str">
        <f t="array" ref="I402:L402">_xlfn.XLOOKUP(C402,'Neiva 2021 FASE I UNIFICADO'!$C$6:$C$540,'Neiva 2021 FASE I UNIFICADO'!$C$6:$F$540,"NO ESTA")</f>
        <v xml:space="preserve">SUMINISTRO E INSTALACIÓN SALIDA PARA TOMACORRIENTE DOBLE DE COLOR NARAJA, PARA INSTALAR EN CANALETA PERIMETRAL </v>
      </c>
      <c r="J402" s="9" t="str">
        <v>UN</v>
      </c>
      <c r="K402" s="9">
        <v>29</v>
      </c>
      <c r="L402" s="9">
        <v>104140</v>
      </c>
      <c r="M402" s="124" t="str">
        <f t="shared" si="50"/>
        <v>FASE II</v>
      </c>
      <c r="N402" s="155">
        <f t="shared" si="47"/>
        <v>109</v>
      </c>
      <c r="O402" s="156">
        <f t="shared" si="48"/>
        <v>112524</v>
      </c>
      <c r="P402" s="156">
        <f t="shared" si="49"/>
        <v>12265116</v>
      </c>
    </row>
    <row r="403" spans="2:16" s="9" customFormat="1" ht="35.1" customHeight="1" x14ac:dyDescent="0.25">
      <c r="B403" s="23" t="s">
        <v>548</v>
      </c>
      <c r="C403" s="87" t="s">
        <v>549</v>
      </c>
      <c r="D403" s="23" t="s">
        <v>269</v>
      </c>
      <c r="E403" s="12">
        <v>36</v>
      </c>
      <c r="F403" s="126">
        <v>11430</v>
      </c>
      <c r="G403" s="126">
        <f>ROUND(+F403*E403,2)</f>
        <v>411480</v>
      </c>
      <c r="H403" s="8"/>
      <c r="I403" s="9" t="str">
        <f t="array" ref="I403:L403">_xlfn.XLOOKUP(C403,'Neiva 2021 FASE I UNIFICADO'!$C$6:$C$540,'Neiva 2021 FASE I UNIFICADO'!$C$6:$F$540,"NO ESTA")</f>
        <v>SUMINISTRO E INSTALACIÓN INTERCONEXIÓN ENTRE EL DUCTO PORTACABLES Y LA CANALETA PERIMETRAL EN ø 1 1/2" CON 4#12 AWG THHN/THWN</v>
      </c>
      <c r="J403" s="9" t="str">
        <v xml:space="preserve">ML   </v>
      </c>
      <c r="K403" s="9">
        <v>14</v>
      </c>
      <c r="L403" s="9">
        <v>10579</v>
      </c>
      <c r="M403" s="124" t="str">
        <f t="shared" si="50"/>
        <v>FASE II</v>
      </c>
      <c r="N403" s="155">
        <f t="shared" si="47"/>
        <v>50</v>
      </c>
      <c r="O403" s="156">
        <f t="shared" si="48"/>
        <v>11430</v>
      </c>
      <c r="P403" s="156">
        <f t="shared" si="49"/>
        <v>571500</v>
      </c>
    </row>
    <row r="404" spans="2:16" s="9" customFormat="1" ht="35.1" customHeight="1" x14ac:dyDescent="0.25">
      <c r="B404" s="23" t="s">
        <v>550</v>
      </c>
      <c r="C404" s="87" t="s">
        <v>551</v>
      </c>
      <c r="D404" s="23" t="s">
        <v>269</v>
      </c>
      <c r="E404" s="12">
        <v>1496</v>
      </c>
      <c r="F404" s="126">
        <v>1705</v>
      </c>
      <c r="G404" s="126">
        <f>ROUND(+F404*E404,2)</f>
        <v>2550680</v>
      </c>
      <c r="H404" s="8"/>
      <c r="I404" s="9" t="str">
        <f t="array" ref="I404:L404">_xlfn.XLOOKUP(C404,'Neiva 2021 FASE I UNIFICADO'!$C$6:$C$540,'Neiva 2021 FASE I UNIFICADO'!$C$6:$F$540,"NO ESTA")</f>
        <v xml:space="preserve">SUMINISTRO E INSTALACIÓN SALIDAS PARCIALES DE CIRCUITO PARA TOMACORIRIENTE DE USO REGULADO EN CABLE #12 AWG THHN/THWN, DESDE EL TABLERO DE AUTOMATICOS POR EL DUCTO PORTACABLES HASTA LOS PRIMEROS PUNTOS DE DERIVACIÓN. </v>
      </c>
      <c r="J404" s="9" t="str">
        <v xml:space="preserve">ML   </v>
      </c>
      <c r="K404" s="9">
        <v>554</v>
      </c>
      <c r="L404" s="9">
        <v>1578</v>
      </c>
      <c r="M404" s="124" t="str">
        <f t="shared" si="50"/>
        <v>FASE II</v>
      </c>
      <c r="N404" s="155">
        <f t="shared" si="47"/>
        <v>2050</v>
      </c>
      <c r="O404" s="156">
        <f t="shared" si="48"/>
        <v>1705</v>
      </c>
      <c r="P404" s="156">
        <f t="shared" si="49"/>
        <v>3495250</v>
      </c>
    </row>
    <row r="405" spans="2:16" s="9" customFormat="1" ht="35.1" customHeight="1" x14ac:dyDescent="0.25">
      <c r="B405" s="33">
        <v>15</v>
      </c>
      <c r="C405" s="34" t="s">
        <v>552</v>
      </c>
      <c r="D405" s="34"/>
      <c r="E405" s="35"/>
      <c r="F405" s="132"/>
      <c r="G405" s="142"/>
      <c r="H405" s="8"/>
      <c r="I405" s="9" t="str">
        <f t="array" ref="I405:L405">_xlfn.XLOOKUP(C405,'Neiva 2021 FASE I UNIFICADO'!$C$6:$C$540,'Neiva 2021 FASE I UNIFICADO'!$C$6:$F$540,"NO ESTA")</f>
        <v>DUCTOS, ACOMETIDAS, TABLEROS, PUESTA A TIERRA, PARARRAYOS Y PLANTA ELÉCTRICA</v>
      </c>
      <c r="J405" s="9">
        <v>0</v>
      </c>
      <c r="K405" s="9">
        <v>0</v>
      </c>
      <c r="L405" s="9">
        <v>0</v>
      </c>
      <c r="M405" s="124">
        <f t="shared" si="50"/>
        <v>0</v>
      </c>
      <c r="N405" s="155">
        <f t="shared" si="47"/>
        <v>0</v>
      </c>
      <c r="O405" s="156">
        <f t="shared" si="48"/>
        <v>0</v>
      </c>
      <c r="P405" s="156">
        <f t="shared" si="49"/>
        <v>0</v>
      </c>
    </row>
    <row r="406" spans="2:16" s="9" customFormat="1" ht="35.1" customHeight="1" x14ac:dyDescent="0.25">
      <c r="B406" s="53" t="s">
        <v>553</v>
      </c>
      <c r="C406" s="24" t="s">
        <v>554</v>
      </c>
      <c r="D406" s="24"/>
      <c r="E406" s="15"/>
      <c r="F406" s="129"/>
      <c r="G406" s="140"/>
      <c r="H406" s="8"/>
      <c r="I406" s="9" t="str">
        <f t="array" ref="I406:L406">_xlfn.XLOOKUP(C406,'Neiva 2021 FASE I UNIFICADO'!$C$6:$C$540,'Neiva 2021 FASE I UNIFICADO'!$C$6:$F$540,"NO ESTA")</f>
        <v>SUMINISTRO E INSTALACIÓN DE DUCTOS PORTACABLES</v>
      </c>
      <c r="J406" s="9">
        <v>0</v>
      </c>
      <c r="K406" s="9">
        <v>0</v>
      </c>
      <c r="L406" s="9">
        <v>0</v>
      </c>
      <c r="M406" s="124">
        <f t="shared" si="50"/>
        <v>0</v>
      </c>
      <c r="N406" s="155">
        <f t="shared" si="47"/>
        <v>0</v>
      </c>
      <c r="O406" s="156">
        <f t="shared" si="48"/>
        <v>0</v>
      </c>
      <c r="P406" s="156">
        <f t="shared" si="49"/>
        <v>0</v>
      </c>
    </row>
    <row r="407" spans="2:16" s="9" customFormat="1" ht="35.1" customHeight="1" x14ac:dyDescent="0.25">
      <c r="B407" s="23" t="s">
        <v>555</v>
      </c>
      <c r="C407" s="87" t="s">
        <v>556</v>
      </c>
      <c r="D407" s="23" t="s">
        <v>269</v>
      </c>
      <c r="E407" s="12">
        <v>194</v>
      </c>
      <c r="F407" s="126">
        <v>105294</v>
      </c>
      <c r="G407" s="126">
        <f t="shared" ref="G407:G412" si="51">ROUND(+F407*E407,2)</f>
        <v>20427036</v>
      </c>
      <c r="H407" s="8"/>
      <c r="I407" s="9" t="str">
        <f t="array" ref="I407">_xlfn.XLOOKUP(C407,'Neiva 2021 FASE I UNIFICADO'!$C$6:$C$540,'Neiva 2021 FASE I UNIFICADO'!$C$6:$F$540,"NO ESTA")</f>
        <v>NO ESTA</v>
      </c>
      <c r="M407" s="124">
        <f t="shared" si="50"/>
        <v>0</v>
      </c>
      <c r="N407" s="155">
        <f t="shared" si="47"/>
        <v>194</v>
      </c>
      <c r="O407" s="156">
        <f t="shared" si="48"/>
        <v>105294</v>
      </c>
      <c r="P407" s="156">
        <f t="shared" si="49"/>
        <v>20427036</v>
      </c>
    </row>
    <row r="408" spans="2:16" s="9" customFormat="1" ht="35.1" customHeight="1" x14ac:dyDescent="0.25">
      <c r="B408" s="23" t="s">
        <v>557</v>
      </c>
      <c r="C408" s="22" t="s">
        <v>558</v>
      </c>
      <c r="D408" s="23" t="s">
        <v>284</v>
      </c>
      <c r="E408" s="12">
        <v>8</v>
      </c>
      <c r="F408" s="126">
        <v>135206</v>
      </c>
      <c r="G408" s="126">
        <f t="shared" si="51"/>
        <v>1081648</v>
      </c>
      <c r="H408" s="8"/>
      <c r="I408" s="9" t="str">
        <f t="array" ref="I408:L408">_xlfn.XLOOKUP(C408,'Neiva 2021 FASE I UNIFICADO'!$C$6:$C$540,'Neiva 2021 FASE I UNIFICADO'!$C$6:$F$540,"NO ESTA")</f>
        <v>SUMINISTRO E INSTALACIÓN TÉE PARA DUCTO PORTACABLES TROQUELADO DE 30x10 cm</v>
      </c>
      <c r="J408" s="9" t="str">
        <v xml:space="preserve">UN   </v>
      </c>
      <c r="K408" s="9">
        <v>3</v>
      </c>
      <c r="L408" s="9">
        <v>125132</v>
      </c>
      <c r="M408" s="124" t="str">
        <f t="shared" si="50"/>
        <v>FASE II</v>
      </c>
      <c r="N408" s="155">
        <f t="shared" si="47"/>
        <v>11</v>
      </c>
      <c r="O408" s="156">
        <f t="shared" si="48"/>
        <v>135206</v>
      </c>
      <c r="P408" s="156">
        <f t="shared" si="49"/>
        <v>1487266</v>
      </c>
    </row>
    <row r="409" spans="2:16" s="9" customFormat="1" ht="35.1" customHeight="1" x14ac:dyDescent="0.25">
      <c r="B409" s="23" t="s">
        <v>559</v>
      </c>
      <c r="C409" s="22" t="s">
        <v>560</v>
      </c>
      <c r="D409" s="23" t="s">
        <v>284</v>
      </c>
      <c r="E409" s="12">
        <v>91</v>
      </c>
      <c r="F409" s="126">
        <v>29987</v>
      </c>
      <c r="G409" s="126">
        <f t="shared" si="51"/>
        <v>2728817</v>
      </c>
      <c r="H409" s="8"/>
      <c r="I409" s="9" t="str">
        <f t="array" ref="I409:L409">_xlfn.XLOOKUP(C409,'Neiva 2021 FASE I UNIFICADO'!$C$6:$C$540,'Neiva 2021 FASE I UNIFICADO'!$C$6:$F$540,"NO ESTA")</f>
        <v>SUMINISTRO E INSTALACIÓN SOPORTES DE FIJACIÓN TIPO PELDAÑO DESCOLGADO PARA DUCTOS PORTACABLES TROQUELADO</v>
      </c>
      <c r="J409" s="9" t="str">
        <v xml:space="preserve">UN   </v>
      </c>
      <c r="K409" s="9">
        <v>34</v>
      </c>
      <c r="L409" s="9">
        <v>27753</v>
      </c>
      <c r="M409" s="124" t="str">
        <f t="shared" si="50"/>
        <v>FASE II</v>
      </c>
      <c r="N409" s="155">
        <f t="shared" si="47"/>
        <v>125</v>
      </c>
      <c r="O409" s="156">
        <f t="shared" si="48"/>
        <v>29987</v>
      </c>
      <c r="P409" s="156">
        <f t="shared" si="49"/>
        <v>3748375</v>
      </c>
    </row>
    <row r="410" spans="2:16" s="9" customFormat="1" ht="35.1" customHeight="1" x14ac:dyDescent="0.25">
      <c r="B410" s="23" t="s">
        <v>561</v>
      </c>
      <c r="C410" s="87" t="s">
        <v>562</v>
      </c>
      <c r="D410" s="23" t="s">
        <v>269</v>
      </c>
      <c r="E410" s="12">
        <v>67</v>
      </c>
      <c r="F410" s="126">
        <v>196007</v>
      </c>
      <c r="G410" s="126">
        <f t="shared" si="51"/>
        <v>13132469</v>
      </c>
      <c r="H410" s="8"/>
      <c r="I410" s="9" t="str">
        <f t="array" ref="I410">_xlfn.XLOOKUP(C410,'Neiva 2021 FASE I UNIFICADO'!$C$6:$C$540,'Neiva 2021 FASE I UNIFICADO'!$C$6:$F$540,"NO ESTA")</f>
        <v>NO ESTA</v>
      </c>
      <c r="M410" s="124">
        <f t="shared" si="50"/>
        <v>0</v>
      </c>
      <c r="N410" s="155">
        <f t="shared" si="47"/>
        <v>67</v>
      </c>
      <c r="O410" s="156">
        <f t="shared" si="48"/>
        <v>196007</v>
      </c>
      <c r="P410" s="156">
        <f t="shared" si="49"/>
        <v>13132469</v>
      </c>
    </row>
    <row r="411" spans="2:16" s="9" customFormat="1" ht="35.1" customHeight="1" x14ac:dyDescent="0.25">
      <c r="B411" s="23" t="s">
        <v>563</v>
      </c>
      <c r="C411" s="22" t="s">
        <v>564</v>
      </c>
      <c r="D411" s="23" t="s">
        <v>284</v>
      </c>
      <c r="E411" s="12">
        <v>2</v>
      </c>
      <c r="F411" s="126">
        <v>162245</v>
      </c>
      <c r="G411" s="126">
        <f t="shared" si="51"/>
        <v>324490</v>
      </c>
      <c r="H411" s="8"/>
      <c r="I411" s="9" t="str">
        <f t="array" ref="I411:L411">_xlfn.XLOOKUP(C411,'Neiva 2021 FASE I UNIFICADO'!$C$6:$C$540,'Neiva 2021 FASE I UNIFICADO'!$C$6:$F$540,"NO ESTA")</f>
        <v>SUMINISTRO E INSTALACIÓN TÉE PARA DUCTO PORTACABLES TROQUELADO DE 100x30 cm</v>
      </c>
      <c r="J411" s="9" t="str">
        <v xml:space="preserve">UN   </v>
      </c>
      <c r="K411" s="9">
        <v>1</v>
      </c>
      <c r="L411" s="9">
        <v>150157</v>
      </c>
      <c r="M411" s="124" t="str">
        <f t="shared" si="50"/>
        <v>FASE II</v>
      </c>
      <c r="N411" s="155">
        <f t="shared" si="47"/>
        <v>3</v>
      </c>
      <c r="O411" s="156">
        <f t="shared" si="48"/>
        <v>162245</v>
      </c>
      <c r="P411" s="156">
        <f t="shared" si="49"/>
        <v>486735</v>
      </c>
    </row>
    <row r="412" spans="2:16" s="9" customFormat="1" ht="35.1" customHeight="1" x14ac:dyDescent="0.25">
      <c r="B412" s="23" t="s">
        <v>565</v>
      </c>
      <c r="C412" s="22" t="s">
        <v>566</v>
      </c>
      <c r="D412" s="23" t="s">
        <v>284</v>
      </c>
      <c r="E412" s="12">
        <v>34</v>
      </c>
      <c r="F412" s="126">
        <v>29987</v>
      </c>
      <c r="G412" s="126">
        <f t="shared" si="51"/>
        <v>1019558</v>
      </c>
      <c r="H412" s="8"/>
      <c r="I412" s="9" t="str">
        <f t="array" ref="I412:L412">_xlfn.XLOOKUP(C412,'Neiva 2021 FASE I UNIFICADO'!$C$6:$C$540,'Neiva 2021 FASE I UNIFICADO'!$C$6:$F$540,"NO ESTA")</f>
        <v>SUMINISTRO E INSTALACIÓN SOPORTES DE FIJACIÓN TIPO PELDAÑO DESCOLGADO PARA DUCTO PORTACABLES TROQUELADO</v>
      </c>
      <c r="J412" s="9" t="str">
        <v xml:space="preserve">UN   </v>
      </c>
      <c r="K412" s="9">
        <v>12</v>
      </c>
      <c r="L412" s="9">
        <v>27753</v>
      </c>
      <c r="M412" s="124" t="str">
        <f t="shared" si="50"/>
        <v>FASE II</v>
      </c>
      <c r="N412" s="155">
        <f t="shared" si="47"/>
        <v>46</v>
      </c>
      <c r="O412" s="156">
        <f t="shared" si="48"/>
        <v>29987</v>
      </c>
      <c r="P412" s="156">
        <f t="shared" si="49"/>
        <v>1379402</v>
      </c>
    </row>
    <row r="413" spans="2:16" s="9" customFormat="1" ht="35.1" customHeight="1" x14ac:dyDescent="0.25">
      <c r="B413" s="53" t="s">
        <v>567</v>
      </c>
      <c r="C413" s="24" t="s">
        <v>568</v>
      </c>
      <c r="D413" s="24"/>
      <c r="E413" s="15"/>
      <c r="F413" s="129"/>
      <c r="G413" s="140"/>
      <c r="H413" s="8"/>
      <c r="I413" s="9" t="str">
        <f t="array" ref="I413:L413">_xlfn.XLOOKUP(C413,'Neiva 2021 FASE I UNIFICADO'!$C$6:$C$540,'Neiva 2021 FASE I UNIFICADO'!$C$6:$F$540,"NO ESTA")</f>
        <v>CANALETA PERIMETRAL MULTITOMA</v>
      </c>
      <c r="J413" s="9">
        <v>0</v>
      </c>
      <c r="K413" s="9">
        <v>0</v>
      </c>
      <c r="L413" s="9">
        <v>0</v>
      </c>
      <c r="M413" s="124">
        <f t="shared" si="50"/>
        <v>0</v>
      </c>
      <c r="N413" s="155">
        <f t="shared" si="47"/>
        <v>0</v>
      </c>
      <c r="O413" s="156">
        <f t="shared" si="48"/>
        <v>0</v>
      </c>
      <c r="P413" s="156">
        <f t="shared" si="49"/>
        <v>0</v>
      </c>
    </row>
    <row r="414" spans="2:16" s="9" customFormat="1" ht="35.1" customHeight="1" x14ac:dyDescent="0.25">
      <c r="B414" s="23" t="s">
        <v>569</v>
      </c>
      <c r="C414" s="22" t="s">
        <v>570</v>
      </c>
      <c r="D414" s="23" t="s">
        <v>269</v>
      </c>
      <c r="E414" s="12">
        <v>182</v>
      </c>
      <c r="F414" s="126">
        <v>29842</v>
      </c>
      <c r="G414" s="126">
        <f>ROUND(+F414*E414,2)</f>
        <v>5431244</v>
      </c>
      <c r="H414" s="8"/>
      <c r="I414" s="9" t="str">
        <f t="array" ref="I414:L414">_xlfn.XLOOKUP(C414,'Neiva 2021 FASE I UNIFICADO'!$C$6:$C$540,'Neiva 2021 FASE I UNIFICADO'!$C$6:$F$540,"NO ESTA")</f>
        <v>SUMINISTRO E INSTALACIÓN CANALETA MULTITOMA DE DOS COMPARTIMIENTOS EN LÁMINA COLD ROLLED CAL. 18 DE SECCIÓN 10x4 cm CON TAPA CLIP Y ACABADO ELECTROESTÁTICO GRIS NOPAL TEXTURIZADO</v>
      </c>
      <c r="J414" s="9" t="str">
        <v xml:space="preserve">ML   </v>
      </c>
      <c r="K414" s="9">
        <v>68</v>
      </c>
      <c r="L414" s="9">
        <v>27618</v>
      </c>
      <c r="M414" s="124" t="str">
        <f t="shared" si="50"/>
        <v>FASE II</v>
      </c>
      <c r="N414" s="155">
        <f t="shared" si="47"/>
        <v>250</v>
      </c>
      <c r="O414" s="156">
        <f t="shared" si="48"/>
        <v>29842</v>
      </c>
      <c r="P414" s="156">
        <f t="shared" si="49"/>
        <v>7460500</v>
      </c>
    </row>
    <row r="415" spans="2:16" s="9" customFormat="1" ht="35.1" customHeight="1" x14ac:dyDescent="0.25">
      <c r="B415" s="23" t="s">
        <v>571</v>
      </c>
      <c r="C415" s="22" t="s">
        <v>572</v>
      </c>
      <c r="D415" s="23" t="s">
        <v>374</v>
      </c>
      <c r="E415" s="12">
        <v>80</v>
      </c>
      <c r="F415" s="126">
        <v>23284</v>
      </c>
      <c r="G415" s="126">
        <f>ROUND(+F415*E415,2)</f>
        <v>1862720</v>
      </c>
      <c r="H415" s="8"/>
      <c r="I415" s="9" t="str">
        <f t="array" ref="I415:L415">_xlfn.XLOOKUP(C415,'Neiva 2021 FASE I UNIFICADO'!$C$6:$C$540,'Neiva 2021 FASE I UNIFICADO'!$C$6:$F$540,"NO ESTA")</f>
        <v>SUMINISTRO E INSTALACIÓN PLACA TOMA TROQUELADA PARA CANALETA 10x4 cm, CON PERFORACIONES PARA UNA (1) TOMA DOBLE COLOR BLANCO, UNA (1) TOMA DOBLE COLOR NARANJA Y UNA (1) TOMA RJ-45</v>
      </c>
      <c r="J415" s="9" t="str">
        <v>UN</v>
      </c>
      <c r="K415" s="9">
        <v>29</v>
      </c>
      <c r="L415" s="9">
        <v>21548</v>
      </c>
      <c r="M415" s="124" t="str">
        <f t="shared" si="50"/>
        <v>FASE II</v>
      </c>
      <c r="N415" s="155">
        <f t="shared" si="47"/>
        <v>109</v>
      </c>
      <c r="O415" s="156">
        <f t="shared" si="48"/>
        <v>23284</v>
      </c>
      <c r="P415" s="156">
        <f t="shared" si="49"/>
        <v>2537956</v>
      </c>
    </row>
    <row r="416" spans="2:16" s="9" customFormat="1" ht="35.1" customHeight="1" x14ac:dyDescent="0.25">
      <c r="B416" s="53" t="s">
        <v>573</v>
      </c>
      <c r="C416" s="24" t="s">
        <v>574</v>
      </c>
      <c r="D416" s="24"/>
      <c r="E416" s="15"/>
      <c r="F416" s="129"/>
      <c r="G416" s="140"/>
      <c r="H416" s="8"/>
      <c r="I416" s="9" t="str">
        <f t="array" ref="I416:L416">_xlfn.XLOOKUP(C416,'Neiva 2021 FASE I UNIFICADO'!$C$6:$C$540,'Neiva 2021 FASE I UNIFICADO'!$C$6:$F$540,"NO ESTA")</f>
        <v>SUMINISTRO E INSTALACIÓN COMETIDA RED MEDIA TENSIÓN (SEGÚN NORMAS CODENSA SA ESP)</v>
      </c>
      <c r="J416" s="9">
        <v>0</v>
      </c>
      <c r="K416" s="9">
        <v>0</v>
      </c>
      <c r="L416" s="9">
        <v>0</v>
      </c>
      <c r="M416" s="124">
        <f t="shared" si="50"/>
        <v>0</v>
      </c>
      <c r="N416" s="155">
        <f t="shared" si="47"/>
        <v>0</v>
      </c>
      <c r="O416" s="156">
        <f t="shared" si="48"/>
        <v>0</v>
      </c>
      <c r="P416" s="156">
        <f t="shared" si="49"/>
        <v>0</v>
      </c>
    </row>
    <row r="417" spans="2:16" s="9" customFormat="1" ht="35.1" customHeight="1" x14ac:dyDescent="0.25">
      <c r="B417" s="23" t="s">
        <v>575</v>
      </c>
      <c r="C417" s="22" t="s">
        <v>576</v>
      </c>
      <c r="D417" s="23" t="s">
        <v>374</v>
      </c>
      <c r="E417" s="12">
        <v>0</v>
      </c>
      <c r="F417" s="126">
        <v>71697829</v>
      </c>
      <c r="G417" s="126">
        <f t="shared" ref="G417:G430" si="52">ROUND(+F417*E417,2)</f>
        <v>0</v>
      </c>
      <c r="H417" s="8"/>
      <c r="I417" s="9" t="str">
        <f t="array" ref="I417:L417">_xlfn.XLOOKUP(C417,'Neiva 2021 FASE I UNIFICADO'!$C$6:$C$540,'Neiva 2021 FASE I UNIFICADO'!$C$6:$F$540,"NO ESTA")</f>
        <v>SUMINISTRO E INSTALACIÓN TRANSFORMADOR DE DISTRIBUCIÓN DE 500 Kva, NIVEL DE TENSIÓN PRIMARIO 13.200 VOLTIOS, NIVEL DE TENSIÓN SECUNDARIO 208/120 VOLTIOS. INCLUYE: RIEL DE SOPORTE PARA TRANSFORMADOR (PATIN), RUEDAS PARA RIEL CON FRENO MECANICO</v>
      </c>
      <c r="J417" s="9" t="str">
        <v>UN</v>
      </c>
      <c r="K417" s="9">
        <v>1</v>
      </c>
      <c r="L417" s="9">
        <v>66355986</v>
      </c>
      <c r="M417" s="124" t="str">
        <f t="shared" si="50"/>
        <v>FASE II</v>
      </c>
      <c r="N417" s="155">
        <f t="shared" si="47"/>
        <v>1</v>
      </c>
      <c r="O417" s="156">
        <f t="shared" si="48"/>
        <v>71697829</v>
      </c>
      <c r="P417" s="156">
        <f t="shared" si="49"/>
        <v>71697829</v>
      </c>
    </row>
    <row r="418" spans="2:16" s="9" customFormat="1" ht="35.1" customHeight="1" x14ac:dyDescent="0.25">
      <c r="B418" s="23" t="s">
        <v>577</v>
      </c>
      <c r="C418" s="22" t="s">
        <v>578</v>
      </c>
      <c r="D418" s="23" t="s">
        <v>374</v>
      </c>
      <c r="E418" s="12">
        <v>0</v>
      </c>
      <c r="F418" s="126">
        <v>5308517</v>
      </c>
      <c r="G418" s="126">
        <f t="shared" si="52"/>
        <v>0</v>
      </c>
      <c r="H418" s="8"/>
      <c r="I418" s="9" t="str">
        <f t="array" ref="I418:L418">_xlfn.XLOOKUP(C418,'Neiva 2021 FASE I UNIFICADO'!$C$6:$C$540,'Neiva 2021 FASE I UNIFICADO'!$C$6:$F$540,"NO ESTA")</f>
        <v>SUMINISTRO E INSTALACIÓN PUERTA CORTAFUEGO PINTURA ELECTROESTÁTICA Y SEÑALES DE RIESGO ELÉCTRICO. INCLUYE ACCESORIOS PARA ENCLAVAMIENTO</v>
      </c>
      <c r="J418" s="9" t="str">
        <v>UN</v>
      </c>
      <c r="K418" s="9">
        <v>1</v>
      </c>
      <c r="L418" s="9">
        <v>4913006</v>
      </c>
      <c r="M418" s="124" t="str">
        <f t="shared" si="50"/>
        <v>FASE II</v>
      </c>
      <c r="N418" s="155">
        <f t="shared" si="47"/>
        <v>1</v>
      </c>
      <c r="O418" s="156">
        <f t="shared" si="48"/>
        <v>5308517</v>
      </c>
      <c r="P418" s="156">
        <f t="shared" si="49"/>
        <v>5308517</v>
      </c>
    </row>
    <row r="419" spans="2:16" s="9" customFormat="1" ht="35.1" customHeight="1" x14ac:dyDescent="0.25">
      <c r="B419" s="23" t="s">
        <v>579</v>
      </c>
      <c r="C419" s="22" t="s">
        <v>580</v>
      </c>
      <c r="D419" s="23" t="s">
        <v>374</v>
      </c>
      <c r="E419" s="12">
        <v>0</v>
      </c>
      <c r="F419" s="126">
        <v>197566</v>
      </c>
      <c r="G419" s="126">
        <f t="shared" si="52"/>
        <v>0</v>
      </c>
      <c r="H419" s="8"/>
      <c r="I419" s="9" t="str">
        <f t="array" ref="I419:L419">_xlfn.XLOOKUP(C419,'Neiva 2021 FASE I UNIFICADO'!$C$6:$C$540,'Neiva 2021 FASE I UNIFICADO'!$C$6:$F$540,"NO ESTA")</f>
        <v>SUMINISTRO E INSTALACIÓN BARRERA DE PROTECCIÓN PARA EVITAR CONTACTO DIRECTO CON TRANSFORMADOR. INCLUYE INDUMENTARIA PARA ASEGURAR LA BARRERA A LA DISTANCIA ADECUADA DEL TRANSFORMADOR</v>
      </c>
      <c r="J419" s="9" t="str">
        <v>UN</v>
      </c>
      <c r="K419" s="9">
        <v>1</v>
      </c>
      <c r="L419" s="9">
        <v>182846</v>
      </c>
      <c r="M419" s="124" t="str">
        <f t="shared" si="50"/>
        <v>FASE II</v>
      </c>
      <c r="N419" s="155">
        <f t="shared" si="47"/>
        <v>1</v>
      </c>
      <c r="O419" s="156">
        <f t="shared" si="48"/>
        <v>197566</v>
      </c>
      <c r="P419" s="156">
        <f t="shared" si="49"/>
        <v>197566</v>
      </c>
    </row>
    <row r="420" spans="2:16" s="9" customFormat="1" ht="35.1" customHeight="1" x14ac:dyDescent="0.25">
      <c r="B420" s="23" t="s">
        <v>581</v>
      </c>
      <c r="C420" s="22" t="s">
        <v>1225</v>
      </c>
      <c r="D420" s="23" t="s">
        <v>374</v>
      </c>
      <c r="E420" s="12">
        <v>0</v>
      </c>
      <c r="F420" s="126">
        <v>161010</v>
      </c>
      <c r="G420" s="126">
        <f t="shared" si="52"/>
        <v>0</v>
      </c>
      <c r="H420" s="8"/>
      <c r="I420" s="9" t="str">
        <f t="array" ref="I420">_xlfn.XLOOKUP(C420,'Neiva 2021 FASE I UNIFICADO'!$C$6:$C$540,'Neiva 2021 FASE I UNIFICADO'!$C$6:$F$540,"NO ESTA")</f>
        <v>NO ESTA</v>
      </c>
      <c r="M420" s="124">
        <f t="shared" si="50"/>
        <v>0</v>
      </c>
      <c r="N420" s="155">
        <f t="shared" si="47"/>
        <v>0</v>
      </c>
      <c r="O420" s="156">
        <f t="shared" si="48"/>
        <v>161010</v>
      </c>
      <c r="P420" s="156">
        <f t="shared" si="49"/>
        <v>0</v>
      </c>
    </row>
    <row r="421" spans="2:16" s="9" customFormat="1" ht="35.1" customHeight="1" x14ac:dyDescent="0.25">
      <c r="B421" s="23" t="s">
        <v>583</v>
      </c>
      <c r="C421" s="22" t="s">
        <v>584</v>
      </c>
      <c r="D421" s="23" t="s">
        <v>374</v>
      </c>
      <c r="E421" s="12">
        <v>0</v>
      </c>
      <c r="F421" s="126">
        <v>324542</v>
      </c>
      <c r="G421" s="126">
        <f t="shared" si="52"/>
        <v>0</v>
      </c>
      <c r="H421" s="8"/>
      <c r="I421" s="9" t="str">
        <f t="array" ref="I421:L421">_xlfn.XLOOKUP(C421,'Neiva 2021 FASE I UNIFICADO'!$C$6:$C$540,'Neiva 2021 FASE I UNIFICADO'!$C$6:$F$540,"NO ESTA")</f>
        <v>SUMINISTRO E INSTALACIÓN PASAMUROS DE MEDIA TENSIÓN, PASA MUROS EN PVC INCLUYE OBRAS NECESARIAS PARA LA INSTALACIÓN DE LAS MISMAS (JUEGO)</v>
      </c>
      <c r="J421" s="9" t="str">
        <v>UN</v>
      </c>
      <c r="K421" s="9">
        <v>1</v>
      </c>
      <c r="L421" s="9">
        <v>300362</v>
      </c>
      <c r="M421" s="124" t="str">
        <f t="shared" si="50"/>
        <v>FASE II</v>
      </c>
      <c r="N421" s="155">
        <f t="shared" si="47"/>
        <v>1</v>
      </c>
      <c r="O421" s="156">
        <f t="shared" si="48"/>
        <v>324542</v>
      </c>
      <c r="P421" s="156">
        <f t="shared" si="49"/>
        <v>324542</v>
      </c>
    </row>
    <row r="422" spans="2:16" s="9" customFormat="1" ht="35.1" customHeight="1" x14ac:dyDescent="0.25">
      <c r="B422" s="23" t="s">
        <v>585</v>
      </c>
      <c r="C422" s="22" t="s">
        <v>586</v>
      </c>
      <c r="D422" s="23" t="s">
        <v>374</v>
      </c>
      <c r="E422" s="12">
        <v>0</v>
      </c>
      <c r="F422" s="126">
        <v>395661</v>
      </c>
      <c r="G422" s="126">
        <f t="shared" si="52"/>
        <v>0</v>
      </c>
      <c r="H422" s="8"/>
      <c r="I422" s="9" t="str">
        <f t="array" ref="I422:L422">_xlfn.XLOOKUP(C422,'Neiva 2021 FASE I UNIFICADO'!$C$6:$C$540,'Neiva 2021 FASE I UNIFICADO'!$C$6:$F$540,"NO ESTA")</f>
        <v>SUMINISTRO E INSTALACIÓN DUCTO DE VENTILACIÓN CON DÁMPER FIRE, INCLUYE REJILLA DAMPER PARA EMERGENCIA</v>
      </c>
      <c r="J422" s="9" t="str">
        <v>UN</v>
      </c>
      <c r="K422" s="9">
        <v>1</v>
      </c>
      <c r="L422" s="9">
        <v>366182</v>
      </c>
      <c r="M422" s="124" t="str">
        <f t="shared" si="50"/>
        <v>FASE II</v>
      </c>
      <c r="N422" s="155">
        <f t="shared" si="47"/>
        <v>1</v>
      </c>
      <c r="O422" s="156">
        <f t="shared" si="48"/>
        <v>395661</v>
      </c>
      <c r="P422" s="156">
        <f t="shared" si="49"/>
        <v>395661</v>
      </c>
    </row>
    <row r="423" spans="2:16" s="9" customFormat="1" ht="35.1" customHeight="1" x14ac:dyDescent="0.25">
      <c r="B423" s="23" t="s">
        <v>587</v>
      </c>
      <c r="C423" s="22" t="s">
        <v>1226</v>
      </c>
      <c r="D423" s="23" t="s">
        <v>374</v>
      </c>
      <c r="E423" s="12">
        <v>0</v>
      </c>
      <c r="F423" s="126">
        <v>289655</v>
      </c>
      <c r="G423" s="126">
        <f t="shared" si="52"/>
        <v>0</v>
      </c>
      <c r="H423" s="8"/>
      <c r="I423" s="9" t="str">
        <f t="array" ref="I423">_xlfn.XLOOKUP(C423,'Neiva 2021 FASE I UNIFICADO'!$C$6:$C$540,'Neiva 2021 FASE I UNIFICADO'!$C$6:$F$540,"NO ESTA")</f>
        <v>NO ESTA</v>
      </c>
      <c r="M423" s="124">
        <f t="shared" si="50"/>
        <v>0</v>
      </c>
      <c r="N423" s="155">
        <f t="shared" si="47"/>
        <v>0</v>
      </c>
      <c r="O423" s="156">
        <f t="shared" si="48"/>
        <v>289655</v>
      </c>
      <c r="P423" s="156">
        <f t="shared" si="49"/>
        <v>0</v>
      </c>
    </row>
    <row r="424" spans="2:16" s="9" customFormat="1" ht="35.1" customHeight="1" x14ac:dyDescent="0.25">
      <c r="B424" s="23" t="s">
        <v>589</v>
      </c>
      <c r="C424" s="22" t="s">
        <v>590</v>
      </c>
      <c r="D424" s="23" t="s">
        <v>374</v>
      </c>
      <c r="E424" s="12">
        <v>1</v>
      </c>
      <c r="F424" s="126">
        <v>584126</v>
      </c>
      <c r="G424" s="126">
        <f t="shared" si="52"/>
        <v>584126</v>
      </c>
      <c r="H424" s="8"/>
      <c r="I424" s="9" t="str">
        <f t="array" ref="I424:L424">_xlfn.XLOOKUP(C424,'Neiva 2021 FASE I UNIFICADO'!$C$6:$C$540,'Neiva 2021 FASE I UNIFICADO'!$C$6:$F$540,"NO ESTA")</f>
        <v>SUMINISTRO E INSTALACIÓN DE DPS (DISPOSITIVO DE PROTECCIÓN CONTRA SOBRETENSIONES)</v>
      </c>
      <c r="J424" s="9" t="str">
        <v>UN</v>
      </c>
      <c r="K424" s="9">
        <v>1</v>
      </c>
      <c r="L424" s="9">
        <v>540606</v>
      </c>
      <c r="M424" s="124" t="str">
        <f t="shared" si="50"/>
        <v>FASE II</v>
      </c>
      <c r="N424" s="155">
        <f t="shared" si="47"/>
        <v>2</v>
      </c>
      <c r="O424" s="156">
        <f t="shared" si="48"/>
        <v>584126</v>
      </c>
      <c r="P424" s="156">
        <f t="shared" si="49"/>
        <v>1168252</v>
      </c>
    </row>
    <row r="425" spans="2:16" s="9" customFormat="1" ht="35.1" customHeight="1" x14ac:dyDescent="0.25">
      <c r="B425" s="23" t="s">
        <v>591</v>
      </c>
      <c r="C425" s="22" t="s">
        <v>1227</v>
      </c>
      <c r="D425" s="23" t="s">
        <v>374</v>
      </c>
      <c r="E425" s="12">
        <v>0</v>
      </c>
      <c r="F425" s="126">
        <v>18747389</v>
      </c>
      <c r="G425" s="126">
        <f t="shared" si="52"/>
        <v>0</v>
      </c>
      <c r="H425" s="8"/>
      <c r="I425" s="9" t="str">
        <f t="array" ref="I425">_xlfn.XLOOKUP(C425,'Neiva 2021 FASE I UNIFICADO'!$C$6:$C$540,'Neiva 2021 FASE I UNIFICADO'!$C$6:$F$540,"NO ESTA")</f>
        <v>NO ESTA</v>
      </c>
      <c r="M425" s="124">
        <f t="shared" si="50"/>
        <v>0</v>
      </c>
      <c r="N425" s="155">
        <f t="shared" si="47"/>
        <v>0</v>
      </c>
      <c r="O425" s="156">
        <f t="shared" si="48"/>
        <v>18747389</v>
      </c>
      <c r="P425" s="156">
        <f t="shared" si="49"/>
        <v>0</v>
      </c>
    </row>
    <row r="426" spans="2:16" s="9" customFormat="1" ht="35.1" customHeight="1" x14ac:dyDescent="0.25">
      <c r="B426" s="23" t="s">
        <v>593</v>
      </c>
      <c r="C426" s="22" t="s">
        <v>594</v>
      </c>
      <c r="D426" s="23" t="s">
        <v>374</v>
      </c>
      <c r="E426" s="12">
        <v>2</v>
      </c>
      <c r="F426" s="126">
        <v>1490034</v>
      </c>
      <c r="G426" s="126">
        <f t="shared" si="52"/>
        <v>2980068</v>
      </c>
      <c r="H426" s="8"/>
      <c r="I426" s="9" t="str">
        <f t="array" ref="I426:L426">_xlfn.XLOOKUP(C426,'Neiva 2021 FASE I UNIFICADO'!$C$6:$C$540,'Neiva 2021 FASE I UNIFICADO'!$C$6:$F$540,"NO ESTA")</f>
        <v xml:space="preserve">SUMINISTRO E INSTALACIÓN CAJA DE INSPECCIÓN SENCILLA CON TAPA EN CONCRETO SEGÚN NORMA CS-276 CODENSA S.A. ESP PARA RED DE MEDIA Y BAJA TENSIÓN. </v>
      </c>
      <c r="J426" s="9" t="str">
        <v>UN</v>
      </c>
      <c r="K426" s="9">
        <v>1</v>
      </c>
      <c r="L426" s="9">
        <v>1379019</v>
      </c>
      <c r="M426" s="124" t="str">
        <f t="shared" si="50"/>
        <v>FASE II</v>
      </c>
      <c r="N426" s="155">
        <f t="shared" si="47"/>
        <v>3</v>
      </c>
      <c r="O426" s="156">
        <f t="shared" si="48"/>
        <v>1490034</v>
      </c>
      <c r="P426" s="156">
        <f t="shared" si="49"/>
        <v>4470102</v>
      </c>
    </row>
    <row r="427" spans="2:16" s="9" customFormat="1" ht="35.1" customHeight="1" x14ac:dyDescent="0.25">
      <c r="B427" s="53" t="s">
        <v>595</v>
      </c>
      <c r="C427" s="24" t="s">
        <v>596</v>
      </c>
      <c r="D427" s="24"/>
      <c r="E427" s="15"/>
      <c r="F427" s="126">
        <v>0</v>
      </c>
      <c r="G427" s="126">
        <f t="shared" si="52"/>
        <v>0</v>
      </c>
      <c r="H427" s="8"/>
      <c r="I427" s="9" t="str">
        <f t="array" ref="I427:L427">_xlfn.XLOOKUP(C427,'Neiva 2021 FASE I UNIFICADO'!$C$6:$C$540,'Neiva 2021 FASE I UNIFICADO'!$C$6:$F$540,"NO ESTA")</f>
        <v>SUMINISTRO E INSTALACIÓN ALIMENTADORES ELÉCTRICOS PRINCIPALES</v>
      </c>
      <c r="J427" s="9">
        <v>0</v>
      </c>
      <c r="K427" s="9">
        <v>0</v>
      </c>
      <c r="L427" s="9">
        <v>0</v>
      </c>
      <c r="M427" s="124">
        <f t="shared" si="50"/>
        <v>0</v>
      </c>
      <c r="N427" s="155">
        <f t="shared" si="47"/>
        <v>0</v>
      </c>
      <c r="O427" s="156">
        <f t="shared" si="48"/>
        <v>0</v>
      </c>
      <c r="P427" s="156">
        <f t="shared" si="49"/>
        <v>0</v>
      </c>
    </row>
    <row r="428" spans="2:16" s="9" customFormat="1" ht="35.1" customHeight="1" x14ac:dyDescent="0.25">
      <c r="B428" s="23" t="s">
        <v>597</v>
      </c>
      <c r="C428" s="22" t="s">
        <v>598</v>
      </c>
      <c r="D428" s="23" t="s">
        <v>269</v>
      </c>
      <c r="E428" s="12">
        <v>0</v>
      </c>
      <c r="F428" s="126">
        <v>314854</v>
      </c>
      <c r="G428" s="126">
        <f t="shared" si="52"/>
        <v>0</v>
      </c>
      <c r="H428" s="8"/>
      <c r="I428" s="9" t="str">
        <f t="array" ref="I428:L428">_xlfn.XLOOKUP(C428,'Neiva 2021 FASE I UNIFICADO'!$C$6:$C$540,'Neiva 2021 FASE I UNIFICADO'!$C$6:$F$540,"NO ESTA")</f>
        <v>SUMINISTRO E INSTALACIÓN INTERCONEXIÓN ENTRE CAJA CS-276 Y CELDA DE MEDIDA CABLE XLPE 15KV T AWG EN TUBERÍA PVC 6".</v>
      </c>
      <c r="J428" s="9" t="str">
        <v xml:space="preserve">ML   </v>
      </c>
      <c r="K428" s="9">
        <v>20</v>
      </c>
      <c r="L428" s="9">
        <v>291397</v>
      </c>
      <c r="M428" s="124" t="str">
        <f t="shared" si="50"/>
        <v>FASE II</v>
      </c>
      <c r="N428" s="155">
        <f t="shared" si="47"/>
        <v>20</v>
      </c>
      <c r="O428" s="156">
        <f t="shared" si="48"/>
        <v>314854</v>
      </c>
      <c r="P428" s="156">
        <f t="shared" si="49"/>
        <v>6297080</v>
      </c>
    </row>
    <row r="429" spans="2:16" s="9" customFormat="1" ht="35.1" customHeight="1" x14ac:dyDescent="0.25">
      <c r="B429" s="23" t="s">
        <v>599</v>
      </c>
      <c r="C429" s="22" t="s">
        <v>1228</v>
      </c>
      <c r="D429" s="23" t="s">
        <v>269</v>
      </c>
      <c r="E429" s="12">
        <v>0</v>
      </c>
      <c r="F429" s="126">
        <v>1162072</v>
      </c>
      <c r="G429" s="126">
        <f t="shared" si="52"/>
        <v>0</v>
      </c>
      <c r="H429" s="8"/>
      <c r="I429" s="9" t="str">
        <f t="array" ref="I429">_xlfn.XLOOKUP(C429,'Neiva 2021 FASE I UNIFICADO'!$C$6:$C$540,'Neiva 2021 FASE I UNIFICADO'!$C$6:$F$540,"NO ESTA")</f>
        <v>NO ESTA</v>
      </c>
      <c r="M429" s="124">
        <f t="shared" si="50"/>
        <v>0</v>
      </c>
      <c r="N429" s="155">
        <f t="shared" si="47"/>
        <v>0</v>
      </c>
      <c r="O429" s="156">
        <f t="shared" si="48"/>
        <v>1162072</v>
      </c>
      <c r="P429" s="156">
        <f t="shared" si="49"/>
        <v>0</v>
      </c>
    </row>
    <row r="430" spans="2:16" s="9" customFormat="1" ht="35.1" customHeight="1" x14ac:dyDescent="0.25">
      <c r="B430" s="23" t="s">
        <v>601</v>
      </c>
      <c r="C430" s="22" t="s">
        <v>1229</v>
      </c>
      <c r="D430" s="23" t="s">
        <v>269</v>
      </c>
      <c r="E430" s="12">
        <v>0</v>
      </c>
      <c r="F430" s="126">
        <v>1222558</v>
      </c>
      <c r="G430" s="126">
        <f t="shared" si="52"/>
        <v>0</v>
      </c>
      <c r="H430" s="8"/>
      <c r="I430" s="9" t="str">
        <f t="array" ref="I430">_xlfn.XLOOKUP(C430,'Neiva 2021 FASE I UNIFICADO'!$C$6:$C$540,'Neiva 2021 FASE I UNIFICADO'!$C$6:$F$540,"NO ESTA")</f>
        <v>NO ESTA</v>
      </c>
      <c r="M430" s="124">
        <f t="shared" si="50"/>
        <v>0</v>
      </c>
      <c r="N430" s="155">
        <f t="shared" si="47"/>
        <v>0</v>
      </c>
      <c r="O430" s="156">
        <f t="shared" si="48"/>
        <v>1222558</v>
      </c>
      <c r="P430" s="156">
        <f t="shared" si="49"/>
        <v>0</v>
      </c>
    </row>
    <row r="431" spans="2:16" s="9" customFormat="1" ht="35.1" customHeight="1" x14ac:dyDescent="0.25">
      <c r="B431" s="53" t="s">
        <v>603</v>
      </c>
      <c r="C431" s="24" t="s">
        <v>596</v>
      </c>
      <c r="D431" s="24"/>
      <c r="E431" s="15"/>
      <c r="F431" s="129"/>
      <c r="G431" s="140"/>
      <c r="H431" s="8"/>
      <c r="I431" s="9" t="str">
        <f t="array" ref="I431:L431">_xlfn.XLOOKUP(C431,'Neiva 2021 FASE I UNIFICADO'!$C$6:$C$540,'Neiva 2021 FASE I UNIFICADO'!$C$6:$F$540,"NO ESTA")</f>
        <v>SUMINISTRO E INSTALACIÓN ALIMENTADORES ELÉCTRICOS PRINCIPALES</v>
      </c>
      <c r="J431" s="9">
        <v>0</v>
      </c>
      <c r="K431" s="9">
        <v>0</v>
      </c>
      <c r="L431" s="9">
        <v>0</v>
      </c>
      <c r="M431" s="124">
        <f t="shared" si="50"/>
        <v>0</v>
      </c>
      <c r="N431" s="155">
        <f t="shared" si="47"/>
        <v>0</v>
      </c>
      <c r="O431" s="156">
        <f t="shared" si="48"/>
        <v>0</v>
      </c>
      <c r="P431" s="156">
        <f t="shared" si="49"/>
        <v>0</v>
      </c>
    </row>
    <row r="432" spans="2:16" s="9" customFormat="1" ht="35.1" customHeight="1" x14ac:dyDescent="0.25">
      <c r="B432" s="23" t="s">
        <v>604</v>
      </c>
      <c r="C432" s="22" t="s">
        <v>605</v>
      </c>
      <c r="D432" s="23" t="s">
        <v>269</v>
      </c>
      <c r="E432" s="12">
        <v>0</v>
      </c>
      <c r="F432" s="126">
        <v>190892</v>
      </c>
      <c r="G432" s="126">
        <f t="shared" ref="G432:G450" si="53">ROUND(+F432*E432,2)</f>
        <v>0</v>
      </c>
      <c r="H432" s="8"/>
      <c r="I432" s="9" t="str">
        <f t="array" ref="I432:L432">_xlfn.XLOOKUP(C432,'Neiva 2021 FASE I UNIFICADO'!$C$6:$C$540,'Neiva 2021 FASE I UNIFICADO'!$C$6:$F$540,"NO ESTA")</f>
        <v>SUMINISTRO E INSTALACIÓN ALIMENTADOR DESDE TRANSFERENCIA HASTA TABLERO GENERAL DE MAQUINAS EN 3#4/0+1#4/0N+1#2T AWG EN BANDEJA PORTA CABLES</v>
      </c>
      <c r="J432" s="9" t="str">
        <v xml:space="preserve">ML   </v>
      </c>
      <c r="K432" s="9">
        <v>8</v>
      </c>
      <c r="L432" s="9">
        <v>176671</v>
      </c>
      <c r="M432" s="124" t="str">
        <f t="shared" si="50"/>
        <v>FASE II</v>
      </c>
      <c r="N432" s="155">
        <f t="shared" si="47"/>
        <v>8</v>
      </c>
      <c r="O432" s="156">
        <f t="shared" si="48"/>
        <v>190892</v>
      </c>
      <c r="P432" s="156">
        <f t="shared" si="49"/>
        <v>1527136</v>
      </c>
    </row>
    <row r="433" spans="2:16" s="9" customFormat="1" ht="35.1" customHeight="1" x14ac:dyDescent="0.25">
      <c r="B433" s="23" t="s">
        <v>606</v>
      </c>
      <c r="C433" s="22" t="s">
        <v>607</v>
      </c>
      <c r="D433" s="23" t="s">
        <v>269</v>
      </c>
      <c r="E433" s="12">
        <v>0</v>
      </c>
      <c r="F433" s="126">
        <v>61314</v>
      </c>
      <c r="G433" s="126">
        <f t="shared" si="53"/>
        <v>0</v>
      </c>
      <c r="H433" s="8"/>
      <c r="I433" s="9" t="str">
        <f t="array" ref="I433:L433">_xlfn.XLOOKUP(C433,'Neiva 2021 FASE I UNIFICADO'!$C$6:$C$540,'Neiva 2021 FASE I UNIFICADO'!$C$6:$F$540,"NO ESTA")</f>
        <v>SUMINISTRO E INSTALACIÓN ALIMENTADOR DESDE EL TABLERO GENERAL MAQUINAS HASTA EL TABLERO DE ASCENSOR EN 3#6+1#6N+1#8T AWG EN TUBERIA PVC ø 1 1/2" INCLUYENDO DE TERMINALES DE CONEXIÓN</v>
      </c>
      <c r="J433" s="9" t="str">
        <v xml:space="preserve">ML   </v>
      </c>
      <c r="K433" s="9">
        <v>52</v>
      </c>
      <c r="L433" s="9">
        <v>56745</v>
      </c>
      <c r="M433" s="124" t="str">
        <f t="shared" si="50"/>
        <v>FASE II</v>
      </c>
      <c r="N433" s="155">
        <f t="shared" si="47"/>
        <v>52</v>
      </c>
      <c r="O433" s="156">
        <f t="shared" si="48"/>
        <v>61314</v>
      </c>
      <c r="P433" s="156">
        <f t="shared" si="49"/>
        <v>3188328</v>
      </c>
    </row>
    <row r="434" spans="2:16" s="9" customFormat="1" ht="35.1" customHeight="1" x14ac:dyDescent="0.25">
      <c r="B434" s="23" t="s">
        <v>608</v>
      </c>
      <c r="C434" s="22" t="s">
        <v>609</v>
      </c>
      <c r="D434" s="23" t="s">
        <v>269</v>
      </c>
      <c r="E434" s="12">
        <v>0</v>
      </c>
      <c r="F434" s="126">
        <v>61314</v>
      </c>
      <c r="G434" s="126">
        <f t="shared" si="53"/>
        <v>0</v>
      </c>
      <c r="H434" s="8"/>
      <c r="I434" s="9" t="str">
        <f t="array" ref="I434:L434">_xlfn.XLOOKUP(C434,'Neiva 2021 FASE I UNIFICADO'!$C$6:$C$540,'Neiva 2021 FASE I UNIFICADO'!$C$6:$F$540,"NO ESTA")</f>
        <v>SUMINISTRO E INSTALACIÓN ALIMENTADOR DESDE EL TABLERO GENERAL MAQUINAS HASTA EL TABLERO NORMAL BOMBAS EN 3#6+1#6N+1#8T AWG EN TUBERIA PVC 1 ø 1 1/2" INCLUYENDO DE TERMINALES DE CONEXIÓN</v>
      </c>
      <c r="J434" s="9" t="str">
        <v xml:space="preserve">ML   </v>
      </c>
      <c r="K434" s="9">
        <v>106</v>
      </c>
      <c r="L434" s="9">
        <v>56745</v>
      </c>
      <c r="M434" s="124" t="str">
        <f t="shared" si="50"/>
        <v>FASE II</v>
      </c>
      <c r="N434" s="155">
        <f t="shared" si="47"/>
        <v>106</v>
      </c>
      <c r="O434" s="156">
        <f t="shared" si="48"/>
        <v>61314</v>
      </c>
      <c r="P434" s="156">
        <f t="shared" si="49"/>
        <v>6499284</v>
      </c>
    </row>
    <row r="435" spans="2:16" s="9" customFormat="1" ht="35.1" customHeight="1" x14ac:dyDescent="0.25">
      <c r="B435" s="23" t="s">
        <v>610</v>
      </c>
      <c r="C435" s="22" t="s">
        <v>611</v>
      </c>
      <c r="D435" s="23" t="s">
        <v>269</v>
      </c>
      <c r="E435" s="12">
        <v>0</v>
      </c>
      <c r="F435" s="126">
        <v>358460</v>
      </c>
      <c r="G435" s="126">
        <f t="shared" si="53"/>
        <v>0</v>
      </c>
      <c r="H435" s="8"/>
      <c r="I435" s="9" t="str">
        <f t="array" ref="I435:L435">_xlfn.XLOOKUP(C435,'Neiva 2021 FASE I UNIFICADO'!$C$6:$C$540,'Neiva 2021 FASE I UNIFICADO'!$C$6:$F$540,"NO ESTA")</f>
        <v>SUMINISTRO E INSTALACIÓN ALIMENTADOR DESDE TRANSFERENCIA HASTA EL TABLERO GENERAL DE DISTRIBUCIÓN EN 6#4/0+2#4/0N+1#4T EN BANDEJA PORTACABLES</v>
      </c>
      <c r="J435" s="9" t="str">
        <v xml:space="preserve">ML   </v>
      </c>
      <c r="K435" s="9">
        <v>5</v>
      </c>
      <c r="L435" s="9">
        <v>331752</v>
      </c>
      <c r="M435" s="124" t="str">
        <f t="shared" si="50"/>
        <v>FASE II</v>
      </c>
      <c r="N435" s="155">
        <f t="shared" si="47"/>
        <v>5</v>
      </c>
      <c r="O435" s="156">
        <f t="shared" si="48"/>
        <v>358460</v>
      </c>
      <c r="P435" s="156">
        <f t="shared" si="49"/>
        <v>1792300</v>
      </c>
    </row>
    <row r="436" spans="2:16" s="9" customFormat="1" ht="35.1" customHeight="1" x14ac:dyDescent="0.25">
      <c r="B436" s="23" t="s">
        <v>612</v>
      </c>
      <c r="C436" s="22" t="s">
        <v>613</v>
      </c>
      <c r="D436" s="23" t="s">
        <v>269</v>
      </c>
      <c r="E436" s="12">
        <v>0</v>
      </c>
      <c r="F436" s="126">
        <v>61314</v>
      </c>
      <c r="G436" s="126">
        <f t="shared" si="53"/>
        <v>0</v>
      </c>
      <c r="H436" s="8"/>
      <c r="I436" s="9" t="str">
        <f t="array" ref="I436:L436">_xlfn.XLOOKUP(C436,'Neiva 2021 FASE I UNIFICADO'!$C$6:$C$540,'Neiva 2021 FASE I UNIFICADO'!$C$6:$F$540,"NO ESTA")</f>
        <v>SUMINISTRO E INSTALACIÓN ALIMENTADOR DESDE EL TABLERO GENERAL DE DISTRIBUCIÓN HASTA EL TNS SOTANO POR CARCAMO CON 3#6+1#6N+1#8T AWG INCLUYE TERMINALES DE CONEXIÓN</v>
      </c>
      <c r="J436" s="9" t="str">
        <v xml:space="preserve">ML   </v>
      </c>
      <c r="K436" s="9">
        <v>6</v>
      </c>
      <c r="L436" s="9">
        <v>56745</v>
      </c>
      <c r="M436" s="124" t="str">
        <f t="shared" si="50"/>
        <v>FASE II</v>
      </c>
      <c r="N436" s="155">
        <f t="shared" si="47"/>
        <v>6</v>
      </c>
      <c r="O436" s="156">
        <f t="shared" si="48"/>
        <v>61314</v>
      </c>
      <c r="P436" s="156">
        <f t="shared" si="49"/>
        <v>367884</v>
      </c>
    </row>
    <row r="437" spans="2:16" s="9" customFormat="1" ht="35.1" customHeight="1" x14ac:dyDescent="0.25">
      <c r="B437" s="23" t="s">
        <v>614</v>
      </c>
      <c r="C437" s="22" t="s">
        <v>615</v>
      </c>
      <c r="D437" s="23" t="s">
        <v>269</v>
      </c>
      <c r="E437" s="12">
        <v>0</v>
      </c>
      <c r="F437" s="126">
        <v>128769</v>
      </c>
      <c r="G437" s="126">
        <f t="shared" si="53"/>
        <v>0</v>
      </c>
      <c r="H437" s="8"/>
      <c r="I437" s="9" t="str">
        <f t="array" ref="I437:L437">_xlfn.XLOOKUP(C437,'Neiva 2021 FASE I UNIFICADO'!$C$6:$C$540,'Neiva 2021 FASE I UNIFICADO'!$C$6:$F$540,"NO ESTA")</f>
        <v>SUMINISTRO E INSTALACIÓN ALIMENTADOR DESDE EL TABLERO GENERAL DE DISTRIBUCIÓN HASTA EL TNP1 PISO 1 EN 1 ø 2" CON 3#2/0+1#2/0N+1#4T AWG INCLUYE TERMINALES DE CONEXIÓN</v>
      </c>
      <c r="J437" s="9" t="str">
        <v xml:space="preserve">ML   </v>
      </c>
      <c r="K437" s="9">
        <v>60</v>
      </c>
      <c r="L437" s="9">
        <v>119175</v>
      </c>
      <c r="M437" s="124" t="str">
        <f t="shared" si="50"/>
        <v>FASE II</v>
      </c>
      <c r="N437" s="155">
        <f t="shared" si="47"/>
        <v>60</v>
      </c>
      <c r="O437" s="156">
        <f t="shared" si="48"/>
        <v>128769</v>
      </c>
      <c r="P437" s="156">
        <f t="shared" si="49"/>
        <v>7726140</v>
      </c>
    </row>
    <row r="438" spans="2:16" s="9" customFormat="1" ht="35.1" customHeight="1" x14ac:dyDescent="0.25">
      <c r="B438" s="23" t="s">
        <v>616</v>
      </c>
      <c r="C438" s="22" t="s">
        <v>617</v>
      </c>
      <c r="D438" s="23" t="s">
        <v>269</v>
      </c>
      <c r="E438" s="12">
        <v>0</v>
      </c>
      <c r="F438" s="126">
        <v>190576</v>
      </c>
      <c r="G438" s="126">
        <f t="shared" si="53"/>
        <v>0</v>
      </c>
      <c r="H438" s="8"/>
      <c r="I438" s="9" t="str">
        <f t="array" ref="I438:L438">_xlfn.XLOOKUP(C438,'Neiva 2021 FASE I UNIFICADO'!$C$6:$C$540,'Neiva 2021 FASE I UNIFICADO'!$C$6:$F$540,"NO ESTA")</f>
        <v>SUMINISTRO E INSTALACIÓN ALIMENTADOR DESDE EL TABLERO GENERAL DE DISTRIBUCIÓN HASTA EL TNP2 PISO 2 EN 1 ø 3" CON 3#4/0+1#2/0N+1#4T AWG INCLUYE TERMINALES DE CONEXIÓN</v>
      </c>
      <c r="J438" s="9" t="str">
        <v xml:space="preserve">ML   </v>
      </c>
      <c r="K438" s="9">
        <v>64</v>
      </c>
      <c r="L438" s="9">
        <v>176378</v>
      </c>
      <c r="M438" s="124" t="str">
        <f t="shared" si="50"/>
        <v>FASE II</v>
      </c>
      <c r="N438" s="155">
        <f t="shared" si="47"/>
        <v>64</v>
      </c>
      <c r="O438" s="156">
        <f t="shared" si="48"/>
        <v>190576</v>
      </c>
      <c r="P438" s="156">
        <f t="shared" si="49"/>
        <v>12196864</v>
      </c>
    </row>
    <row r="439" spans="2:16" s="9" customFormat="1" ht="35.1" customHeight="1" x14ac:dyDescent="0.25">
      <c r="B439" s="23" t="s">
        <v>618</v>
      </c>
      <c r="C439" s="22" t="s">
        <v>619</v>
      </c>
      <c r="D439" s="23" t="s">
        <v>269</v>
      </c>
      <c r="E439" s="12">
        <v>0</v>
      </c>
      <c r="F439" s="126">
        <v>190576</v>
      </c>
      <c r="G439" s="126">
        <f t="shared" si="53"/>
        <v>0</v>
      </c>
      <c r="H439" s="8"/>
      <c r="I439" s="9" t="str">
        <f t="array" ref="I439:L439">_xlfn.XLOOKUP(C439,'Neiva 2021 FASE I UNIFICADO'!$C$6:$C$540,'Neiva 2021 FASE I UNIFICADO'!$C$6:$F$540,"NO ESTA")</f>
        <v>SUMINISTRO E INSTALACIÓN ALIMENTADOR DESDE EL TABLERO GENERAL DE DISTRIBUCIÓN HASTA EL TNP3 PISO 3 EN 1 ø 3" CON 3#4/0+1#2/0N+1#4T AWG INCLUYE TERMINALES DE CONEXIÓN</v>
      </c>
      <c r="J439" s="9" t="str">
        <v xml:space="preserve">ML   </v>
      </c>
      <c r="K439" s="9">
        <v>68</v>
      </c>
      <c r="L439" s="9">
        <v>176378</v>
      </c>
      <c r="M439" s="124" t="str">
        <f t="shared" si="50"/>
        <v>FASE II</v>
      </c>
      <c r="N439" s="155">
        <f t="shared" si="47"/>
        <v>68</v>
      </c>
      <c r="O439" s="156">
        <f t="shared" si="48"/>
        <v>190576</v>
      </c>
      <c r="P439" s="156">
        <f t="shared" si="49"/>
        <v>12959168</v>
      </c>
    </row>
    <row r="440" spans="2:16" s="9" customFormat="1" ht="35.1" customHeight="1" x14ac:dyDescent="0.25">
      <c r="B440" s="23" t="s">
        <v>620</v>
      </c>
      <c r="C440" s="22" t="s">
        <v>621</v>
      </c>
      <c r="D440" s="23" t="s">
        <v>269</v>
      </c>
      <c r="E440" s="12">
        <v>0</v>
      </c>
      <c r="F440" s="126">
        <v>190576</v>
      </c>
      <c r="G440" s="126">
        <f t="shared" si="53"/>
        <v>0</v>
      </c>
      <c r="H440" s="8"/>
      <c r="I440" s="9" t="str">
        <f t="array" ref="I440:L440">_xlfn.XLOOKUP(C440,'Neiva 2021 FASE I UNIFICADO'!$C$6:$C$540,'Neiva 2021 FASE I UNIFICADO'!$C$6:$F$540,"NO ESTA")</f>
        <v>SUMINISTRO E INSTALACIÓN ALIMENTADOR DESDE EL TABLERO GENERAL DE DISTRIBUCIÓN HASTA EL TNP3 PISO 4 EN 1 Ø 3" CON 3#4/0+1#2/0N+1#4T AWG INCLUYE TERMINALES DE CONEXIÓN</v>
      </c>
      <c r="J440" s="9" t="str">
        <v xml:space="preserve">ML   </v>
      </c>
      <c r="K440" s="9">
        <v>72</v>
      </c>
      <c r="L440" s="9">
        <v>176378</v>
      </c>
      <c r="M440" s="124" t="str">
        <f t="shared" si="50"/>
        <v>FASE II</v>
      </c>
      <c r="N440" s="155">
        <f t="shared" si="47"/>
        <v>72</v>
      </c>
      <c r="O440" s="156">
        <f t="shared" si="48"/>
        <v>190576</v>
      </c>
      <c r="P440" s="156">
        <f t="shared" si="49"/>
        <v>13721472</v>
      </c>
    </row>
    <row r="441" spans="2:16" s="9" customFormat="1" ht="35.1" customHeight="1" x14ac:dyDescent="0.25">
      <c r="B441" s="23" t="s">
        <v>622</v>
      </c>
      <c r="C441" s="22" t="s">
        <v>623</v>
      </c>
      <c r="D441" s="23" t="s">
        <v>269</v>
      </c>
      <c r="E441" s="12">
        <v>0</v>
      </c>
      <c r="F441" s="126">
        <v>170907</v>
      </c>
      <c r="G441" s="126">
        <f t="shared" si="53"/>
        <v>0</v>
      </c>
      <c r="H441" s="8"/>
      <c r="I441" s="9" t="str">
        <f t="array" ref="I441:L441">_xlfn.XLOOKUP(C441,'Neiva 2021 FASE I UNIFICADO'!$C$6:$C$540,'Neiva 2021 FASE I UNIFICADO'!$C$6:$F$540,"NO ESTA")</f>
        <v xml:space="preserve">SUMINISTRO E INSTALACIÓNALIMENTADOR DESDE EL TABLERO GENERAL DE DISTRIBUCIÓN HASTA LA UPS1 PISO 1 EN 1 Ø 2" con 3#3/0+1#2/0N+1#2/OT AWG INCLUYENDO TERMINALES DE CONEXIÓN </v>
      </c>
      <c r="J441" s="9" t="str">
        <v xml:space="preserve">ML   </v>
      </c>
      <c r="K441" s="9">
        <v>60</v>
      </c>
      <c r="L441" s="9">
        <v>158175</v>
      </c>
      <c r="M441" s="124" t="str">
        <f t="shared" si="50"/>
        <v>FASE II</v>
      </c>
      <c r="N441" s="155">
        <f t="shared" si="47"/>
        <v>60</v>
      </c>
      <c r="O441" s="156">
        <f t="shared" si="48"/>
        <v>170907</v>
      </c>
      <c r="P441" s="156">
        <f t="shared" si="49"/>
        <v>10254420</v>
      </c>
    </row>
    <row r="442" spans="2:16" s="9" customFormat="1" ht="35.1" customHeight="1" x14ac:dyDescent="0.25">
      <c r="B442" s="23" t="s">
        <v>624</v>
      </c>
      <c r="C442" s="22" t="s">
        <v>625</v>
      </c>
      <c r="D442" s="23" t="s">
        <v>269</v>
      </c>
      <c r="E442" s="12">
        <v>0</v>
      </c>
      <c r="F442" s="126">
        <v>99722</v>
      </c>
      <c r="G442" s="126">
        <f t="shared" si="53"/>
        <v>0</v>
      </c>
      <c r="H442" s="8"/>
      <c r="I442" s="9" t="str">
        <f t="array" ref="I442:L442">_xlfn.XLOOKUP(C442,'Neiva 2021 FASE I UNIFICADO'!$C$6:$C$540,'Neiva 2021 FASE I UNIFICADO'!$C$6:$F$540,"NO ESTA")</f>
        <v xml:space="preserve">SUMINISTRO E INSTALACIÓN ALIMENTADOR DESDE UPS1 HASTA EL TABLERO REGULADO 1 PISO 1 EN 1 Ø 2" con 3#2+1#2N+1#8T AWG INCLUYENDO TERMINALES DE CONEXIÓN </v>
      </c>
      <c r="J442" s="9" t="str">
        <v xml:space="preserve">ML   </v>
      </c>
      <c r="K442" s="9">
        <v>7</v>
      </c>
      <c r="L442" s="9">
        <v>92292</v>
      </c>
      <c r="M442" s="124" t="str">
        <f t="shared" si="50"/>
        <v>FASE II</v>
      </c>
      <c r="N442" s="155">
        <f t="shared" si="47"/>
        <v>7</v>
      </c>
      <c r="O442" s="156">
        <f t="shared" si="48"/>
        <v>99722</v>
      </c>
      <c r="P442" s="156">
        <f t="shared" si="49"/>
        <v>698054</v>
      </c>
    </row>
    <row r="443" spans="2:16" s="9" customFormat="1" ht="35.1" customHeight="1" x14ac:dyDescent="0.25">
      <c r="B443" s="23" t="s">
        <v>1230</v>
      </c>
      <c r="C443" s="22" t="s">
        <v>1231</v>
      </c>
      <c r="D443" s="23" t="s">
        <v>269</v>
      </c>
      <c r="E443" s="12">
        <v>72</v>
      </c>
      <c r="F443" s="126">
        <v>170978</v>
      </c>
      <c r="G443" s="126">
        <f t="shared" si="53"/>
        <v>12310416</v>
      </c>
      <c r="H443" s="8"/>
      <c r="I443" s="9" t="str">
        <f t="array" ref="I443">_xlfn.XLOOKUP(C443,'Neiva 2021 FASE I UNIFICADO'!$C$6:$C$540,'Neiva 2021 FASE I UNIFICADO'!$C$6:$F$540,"NO ESTA")</f>
        <v>NO ESTA</v>
      </c>
      <c r="M443" s="124">
        <f t="shared" si="50"/>
        <v>0</v>
      </c>
      <c r="N443" s="155">
        <f t="shared" si="47"/>
        <v>72</v>
      </c>
      <c r="O443" s="156">
        <f t="shared" si="48"/>
        <v>170978</v>
      </c>
      <c r="P443" s="156">
        <f t="shared" si="49"/>
        <v>12310416</v>
      </c>
    </row>
    <row r="444" spans="2:16" s="9" customFormat="1" ht="35.1" customHeight="1" x14ac:dyDescent="0.25">
      <c r="B444" s="23" t="s">
        <v>1232</v>
      </c>
      <c r="C444" s="22" t="s">
        <v>1233</v>
      </c>
      <c r="D444" s="23" t="s">
        <v>269</v>
      </c>
      <c r="E444" s="12">
        <v>7</v>
      </c>
      <c r="F444" s="126">
        <v>99722</v>
      </c>
      <c r="G444" s="126">
        <f t="shared" si="53"/>
        <v>698054</v>
      </c>
      <c r="H444" s="8"/>
      <c r="I444" s="9" t="str">
        <f t="array" ref="I444">_xlfn.XLOOKUP(C444,'Neiva 2021 FASE I UNIFICADO'!$C$6:$C$540,'Neiva 2021 FASE I UNIFICADO'!$C$6:$F$540,"NO ESTA")</f>
        <v>NO ESTA</v>
      </c>
      <c r="M444" s="124">
        <f t="shared" si="50"/>
        <v>0</v>
      </c>
      <c r="N444" s="155">
        <f t="shared" si="47"/>
        <v>7</v>
      </c>
      <c r="O444" s="156">
        <f t="shared" si="48"/>
        <v>99722</v>
      </c>
      <c r="P444" s="156">
        <f t="shared" si="49"/>
        <v>698054</v>
      </c>
    </row>
    <row r="445" spans="2:16" s="9" customFormat="1" ht="35.1" customHeight="1" x14ac:dyDescent="0.25">
      <c r="B445" s="23" t="s">
        <v>1234</v>
      </c>
      <c r="C445" s="22" t="s">
        <v>1235</v>
      </c>
      <c r="D445" s="23" t="s">
        <v>269</v>
      </c>
      <c r="E445" s="12">
        <v>76</v>
      </c>
      <c r="F445" s="126">
        <v>474160</v>
      </c>
      <c r="G445" s="126">
        <f t="shared" si="53"/>
        <v>36036160</v>
      </c>
      <c r="H445" s="8"/>
      <c r="I445" s="9" t="str">
        <f t="array" ref="I445">_xlfn.XLOOKUP(C445,'Neiva 2021 FASE I UNIFICADO'!$C$6:$C$540,'Neiva 2021 FASE I UNIFICADO'!$C$6:$F$540,"NO ESTA")</f>
        <v>NO ESTA</v>
      </c>
      <c r="M445" s="124">
        <f t="shared" si="50"/>
        <v>0</v>
      </c>
      <c r="N445" s="155">
        <f t="shared" si="47"/>
        <v>76</v>
      </c>
      <c r="O445" s="156">
        <f t="shared" si="48"/>
        <v>474160</v>
      </c>
      <c r="P445" s="156">
        <f t="shared" si="49"/>
        <v>36036160</v>
      </c>
    </row>
    <row r="446" spans="2:16" s="9" customFormat="1" ht="35.1" customHeight="1" x14ac:dyDescent="0.25">
      <c r="B446" s="23" t="s">
        <v>1236</v>
      </c>
      <c r="C446" s="22" t="s">
        <v>1237</v>
      </c>
      <c r="D446" s="23" t="s">
        <v>269</v>
      </c>
      <c r="E446" s="12">
        <v>76</v>
      </c>
      <c r="F446" s="126">
        <v>474160</v>
      </c>
      <c r="G446" s="126">
        <f t="shared" si="53"/>
        <v>36036160</v>
      </c>
      <c r="H446" s="8"/>
      <c r="I446" s="9" t="str">
        <f t="array" ref="I446">_xlfn.XLOOKUP(C446,'Neiva 2021 FASE I UNIFICADO'!$C$6:$C$540,'Neiva 2021 FASE I UNIFICADO'!$C$6:$F$540,"NO ESTA")</f>
        <v>NO ESTA</v>
      </c>
      <c r="M446" s="124">
        <f t="shared" si="50"/>
        <v>0</v>
      </c>
      <c r="N446" s="155">
        <f t="shared" si="47"/>
        <v>76</v>
      </c>
      <c r="O446" s="156">
        <f t="shared" si="48"/>
        <v>474160</v>
      </c>
      <c r="P446" s="156">
        <f t="shared" si="49"/>
        <v>36036160</v>
      </c>
    </row>
    <row r="447" spans="2:16" s="9" customFormat="1" ht="35.1" customHeight="1" x14ac:dyDescent="0.25">
      <c r="B447" s="23" t="s">
        <v>626</v>
      </c>
      <c r="C447" s="22" t="s">
        <v>1238</v>
      </c>
      <c r="D447" s="23" t="s">
        <v>269</v>
      </c>
      <c r="E447" s="12">
        <v>0</v>
      </c>
      <c r="F447" s="126">
        <v>162435</v>
      </c>
      <c r="G447" s="126">
        <f t="shared" si="53"/>
        <v>0</v>
      </c>
      <c r="H447" s="8"/>
      <c r="I447" s="9" t="str">
        <f t="array" ref="I447">_xlfn.XLOOKUP(C447,'Neiva 2021 FASE I UNIFICADO'!$C$6:$C$540,'Neiva 2021 FASE I UNIFICADO'!$C$6:$F$540,"NO ESTA")</f>
        <v>NO ESTA</v>
      </c>
      <c r="M447" s="124">
        <f t="shared" si="50"/>
        <v>0</v>
      </c>
      <c r="N447" s="155">
        <f t="shared" si="47"/>
        <v>0</v>
      </c>
      <c r="O447" s="156">
        <f t="shared" si="48"/>
        <v>162435</v>
      </c>
      <c r="P447" s="156">
        <f t="shared" si="49"/>
        <v>0</v>
      </c>
    </row>
    <row r="448" spans="2:16" s="9" customFormat="1" ht="35.1" customHeight="1" x14ac:dyDescent="0.25">
      <c r="B448" s="53" t="s">
        <v>628</v>
      </c>
      <c r="C448" s="24" t="s">
        <v>629</v>
      </c>
      <c r="D448" s="24"/>
      <c r="E448" s="15"/>
      <c r="F448" s="126">
        <v>0</v>
      </c>
      <c r="G448" s="126">
        <f t="shared" si="53"/>
        <v>0</v>
      </c>
      <c r="H448" s="8"/>
      <c r="I448" s="9" t="str">
        <f t="array" ref="I448:L448">_xlfn.XLOOKUP(C448,'Neiva 2021 FASE I UNIFICADO'!$C$6:$C$540,'Neiva 2021 FASE I UNIFICADO'!$C$6:$F$540,"NO ESTA")</f>
        <v xml:space="preserve">SUMINISTRO E INSTALACIÓN DE CANALIZACIONES </v>
      </c>
      <c r="J448" s="9">
        <v>0</v>
      </c>
      <c r="K448" s="9">
        <v>0</v>
      </c>
      <c r="L448" s="9">
        <v>0</v>
      </c>
      <c r="M448" s="124">
        <f t="shared" si="50"/>
        <v>0</v>
      </c>
      <c r="N448" s="155">
        <f t="shared" si="47"/>
        <v>0</v>
      </c>
      <c r="O448" s="156">
        <f t="shared" si="48"/>
        <v>0</v>
      </c>
      <c r="P448" s="156">
        <f t="shared" si="49"/>
        <v>0</v>
      </c>
    </row>
    <row r="449" spans="2:16" s="9" customFormat="1" ht="35.1" customHeight="1" x14ac:dyDescent="0.25">
      <c r="B449" s="23" t="s">
        <v>630</v>
      </c>
      <c r="C449" s="22" t="s">
        <v>631</v>
      </c>
      <c r="D449" s="23" t="s">
        <v>269</v>
      </c>
      <c r="E449" s="12">
        <v>0</v>
      </c>
      <c r="F449" s="126">
        <v>36352</v>
      </c>
      <c r="G449" s="126">
        <f t="shared" si="53"/>
        <v>0</v>
      </c>
      <c r="H449" s="8"/>
      <c r="I449" s="9" t="str">
        <f t="array" ref="I449:L449">_xlfn.XLOOKUP(C449,'Neiva 2021 FASE I UNIFICADO'!$C$6:$C$540,'Neiva 2021 FASE I UNIFICADO'!$C$6:$F$540,"NO ESTA")</f>
        <v>SUMINISTRO E INSTALACIÓN TUBERÍA PVC Ø 4" (Incluye todos los materiales para su instalación)</v>
      </c>
      <c r="J449" s="9" t="str">
        <v xml:space="preserve">ML   </v>
      </c>
      <c r="K449" s="9">
        <v>50</v>
      </c>
      <c r="L449" s="9">
        <v>33644</v>
      </c>
      <c r="M449" s="124" t="str">
        <f t="shared" si="50"/>
        <v>FASE II</v>
      </c>
      <c r="N449" s="155">
        <f t="shared" si="47"/>
        <v>50</v>
      </c>
      <c r="O449" s="156">
        <f t="shared" si="48"/>
        <v>36352</v>
      </c>
      <c r="P449" s="156">
        <f t="shared" si="49"/>
        <v>1817600</v>
      </c>
    </row>
    <row r="450" spans="2:16" s="9" customFormat="1" ht="35.1" customHeight="1" x14ac:dyDescent="0.25">
      <c r="B450" s="23" t="s">
        <v>632</v>
      </c>
      <c r="C450" s="22" t="s">
        <v>1239</v>
      </c>
      <c r="D450" s="23" t="s">
        <v>269</v>
      </c>
      <c r="E450" s="12">
        <v>0</v>
      </c>
      <c r="F450" s="126">
        <v>65836</v>
      </c>
      <c r="G450" s="126">
        <f t="shared" si="53"/>
        <v>0</v>
      </c>
      <c r="H450" s="8"/>
      <c r="I450" s="9" t="str">
        <f t="array" ref="I450">_xlfn.XLOOKUP(C450,'Neiva 2021 FASE I UNIFICADO'!$C$6:$C$540,'Neiva 2021 FASE I UNIFICADO'!$C$6:$F$540,"NO ESTA")</f>
        <v>NO ESTA</v>
      </c>
      <c r="M450" s="124">
        <f t="shared" si="50"/>
        <v>0</v>
      </c>
      <c r="N450" s="155">
        <f t="shared" si="47"/>
        <v>0</v>
      </c>
      <c r="O450" s="156">
        <f t="shared" si="48"/>
        <v>65836</v>
      </c>
      <c r="P450" s="156">
        <f t="shared" si="49"/>
        <v>0</v>
      </c>
    </row>
    <row r="451" spans="2:16" s="9" customFormat="1" ht="39.950000000000003" customHeight="1" x14ac:dyDescent="0.25">
      <c r="B451" s="53" t="s">
        <v>634</v>
      </c>
      <c r="C451" s="24" t="s">
        <v>635</v>
      </c>
      <c r="D451" s="24"/>
      <c r="E451" s="15"/>
      <c r="F451" s="129"/>
      <c r="G451" s="140"/>
      <c r="H451" s="8"/>
      <c r="I451" s="9" t="str">
        <f t="array" ref="I451:L451">_xlfn.XLOOKUP(C451,'Neiva 2021 FASE I UNIFICADO'!$C$6:$C$540,'Neiva 2021 FASE I UNIFICADO'!$C$6:$F$540,"NO ESTA")</f>
        <v>SUMINISTRO E INSTALACIÓN DE TABLEROS E INTERRUPTORES</v>
      </c>
      <c r="J451" s="9">
        <v>0</v>
      </c>
      <c r="K451" s="9">
        <v>0</v>
      </c>
      <c r="L451" s="9">
        <v>0</v>
      </c>
      <c r="M451" s="124">
        <f t="shared" si="50"/>
        <v>0</v>
      </c>
      <c r="N451" s="155">
        <f t="shared" si="47"/>
        <v>0</v>
      </c>
      <c r="O451" s="156">
        <f t="shared" si="48"/>
        <v>0</v>
      </c>
      <c r="P451" s="156">
        <f t="shared" si="49"/>
        <v>0</v>
      </c>
    </row>
    <row r="452" spans="2:16" s="9" customFormat="1" ht="39.950000000000003" customHeight="1" x14ac:dyDescent="0.25">
      <c r="B452" s="23" t="s">
        <v>636</v>
      </c>
      <c r="C452" s="22" t="s">
        <v>637</v>
      </c>
      <c r="D452" s="23" t="s">
        <v>374</v>
      </c>
      <c r="E452" s="12">
        <v>0</v>
      </c>
      <c r="F452" s="126">
        <v>850198</v>
      </c>
      <c r="G452" s="126">
        <f t="shared" ref="G452:G460" si="54">ROUND(+F452*E452,2)</f>
        <v>0</v>
      </c>
      <c r="H452" s="8"/>
      <c r="I452" s="9" t="str">
        <f t="array" ref="I452:L452">_xlfn.XLOOKUP(C452,'Neiva 2021 FASE I UNIFICADO'!$C$6:$C$540,'Neiva 2021 FASE I UNIFICADO'!$C$6:$F$540,"NO ESTA")</f>
        <v>SUMINISTRO E INSTALACIÓN TABLERO AUTOMATICO DE 38 CIRCUITOS TIPO PESADO CON PUERTA Y CERRRADURA DE CIERRE, CERRADURA Y ESPACIO TOTALIZADOR INDUSTRIAL (TNP4)</v>
      </c>
      <c r="J452" s="9" t="str">
        <v>UN</v>
      </c>
      <c r="K452" s="9">
        <v>1</v>
      </c>
      <c r="L452" s="9">
        <v>786853</v>
      </c>
      <c r="M452" s="124" t="str">
        <f t="shared" si="50"/>
        <v>FASE II</v>
      </c>
      <c r="N452" s="155">
        <f t="shared" si="47"/>
        <v>1</v>
      </c>
      <c r="O452" s="156">
        <f t="shared" si="48"/>
        <v>850198</v>
      </c>
      <c r="P452" s="156">
        <f t="shared" si="49"/>
        <v>850198</v>
      </c>
    </row>
    <row r="453" spans="2:16" s="9" customFormat="1" ht="39.950000000000003" customHeight="1" x14ac:dyDescent="0.25">
      <c r="B453" s="23" t="s">
        <v>638</v>
      </c>
      <c r="C453" s="22" t="s">
        <v>639</v>
      </c>
      <c r="D453" s="23" t="s">
        <v>374</v>
      </c>
      <c r="E453" s="12">
        <v>0</v>
      </c>
      <c r="F453" s="126">
        <v>682920</v>
      </c>
      <c r="G453" s="126">
        <f t="shared" si="54"/>
        <v>0</v>
      </c>
      <c r="H453" s="8"/>
      <c r="I453" s="9" t="str">
        <f t="array" ref="I453:L453">_xlfn.XLOOKUP(C453,'Neiva 2021 FASE I UNIFICADO'!$C$6:$C$540,'Neiva 2021 FASE I UNIFICADO'!$C$6:$F$540,"NO ESTA")</f>
        <v xml:space="preserve">SUMINISTRO E INSTALACIÓN TABLERO AUTOMATICO DE 18 CIRCUITOS TIPO PESADO CON PUERTA Y CERRRADURA DE CIERRE, CERRADURA Y ESPACIO TOTALIZADOR INDUSTRIAL CON BARRAJE DE TIERRA AISLADA. </v>
      </c>
      <c r="J453" s="9" t="str">
        <v>UN</v>
      </c>
      <c r="K453" s="9">
        <v>1</v>
      </c>
      <c r="L453" s="9">
        <v>632039</v>
      </c>
      <c r="M453" s="124" t="str">
        <f t="shared" si="50"/>
        <v>FASE II</v>
      </c>
      <c r="N453" s="155">
        <f t="shared" si="47"/>
        <v>1</v>
      </c>
      <c r="O453" s="156">
        <f t="shared" si="48"/>
        <v>682920</v>
      </c>
      <c r="P453" s="156">
        <f t="shared" si="49"/>
        <v>682920</v>
      </c>
    </row>
    <row r="454" spans="2:16" s="9" customFormat="1" ht="39.950000000000003" customHeight="1" x14ac:dyDescent="0.25">
      <c r="B454" s="23" t="s">
        <v>640</v>
      </c>
      <c r="C454" s="22" t="s">
        <v>641</v>
      </c>
      <c r="D454" s="23" t="s">
        <v>374</v>
      </c>
      <c r="E454" s="12">
        <v>0</v>
      </c>
      <c r="F454" s="126">
        <v>686237</v>
      </c>
      <c r="G454" s="126">
        <f t="shared" si="54"/>
        <v>0</v>
      </c>
      <c r="H454" s="8"/>
      <c r="I454" s="9" t="str">
        <f t="array" ref="I454:L454">_xlfn.XLOOKUP(C454,'Neiva 2021 FASE I UNIFICADO'!$C$6:$C$540,'Neiva 2021 FASE I UNIFICADO'!$C$6:$F$540,"NO ESTA")</f>
        <v>SUMINISTRO E INSTALACIÓN TABLERO AUTOMATICO DE 24 CIRCUITOS TIPO PESADO CON PUERTA Y CERRRADURA DE CIERRE, CERRADURA Y ESPACIO TOTALIZADOR INDUSTRIAL CON BARRAJE DE TIERRA AISLADA (TNS, TR1, TR2)</v>
      </c>
      <c r="J454" s="9" t="str">
        <v>UN</v>
      </c>
      <c r="K454" s="9">
        <v>3</v>
      </c>
      <c r="L454" s="9">
        <v>635109</v>
      </c>
      <c r="M454" s="124" t="str">
        <f t="shared" si="50"/>
        <v>FASE II</v>
      </c>
      <c r="N454" s="155">
        <f t="shared" ref="N454:N517" si="55">E454+K454</f>
        <v>3</v>
      </c>
      <c r="O454" s="156">
        <f t="shared" ref="O454:O517" si="56">MAX(L454,F454)</f>
        <v>686237</v>
      </c>
      <c r="P454" s="156">
        <f t="shared" ref="P454:P517" si="57">N454*O454</f>
        <v>2058711</v>
      </c>
    </row>
    <row r="455" spans="2:16" s="9" customFormat="1" ht="39.950000000000003" customHeight="1" x14ac:dyDescent="0.25">
      <c r="B455" s="23" t="s">
        <v>642</v>
      </c>
      <c r="C455" s="22" t="s">
        <v>643</v>
      </c>
      <c r="D455" s="23" t="s">
        <v>374</v>
      </c>
      <c r="E455" s="12">
        <v>0</v>
      </c>
      <c r="F455" s="126">
        <v>963294</v>
      </c>
      <c r="G455" s="126">
        <f t="shared" si="54"/>
        <v>0</v>
      </c>
      <c r="H455" s="8"/>
      <c r="I455" s="9" t="str">
        <f t="array" ref="I455:L455">_xlfn.XLOOKUP(C455,'Neiva 2021 FASE I UNIFICADO'!$C$6:$C$540,'Neiva 2021 FASE I UNIFICADO'!$C$6:$F$540,"NO ESTA")</f>
        <v>SUMINISTRO E INSTALACIÓN TABLERO AUTOMATICO DE 42 CIRCUITOS TIPO PESADO CON PUERTA Y CERRRADURA DE CIERRE, CERRADURA Y ESPACIO TOTALIZADOR INDUSTRIAL (TNP1, TNP2, TNP3)</v>
      </c>
      <c r="J455" s="9" t="str">
        <v>UN</v>
      </c>
      <c r="K455" s="9">
        <v>3</v>
      </c>
      <c r="L455" s="9">
        <v>891523</v>
      </c>
      <c r="M455" s="124" t="str">
        <f t="shared" si="50"/>
        <v>FASE II</v>
      </c>
      <c r="N455" s="155">
        <f t="shared" si="55"/>
        <v>3</v>
      </c>
      <c r="O455" s="156">
        <f t="shared" si="56"/>
        <v>963294</v>
      </c>
      <c r="P455" s="156">
        <f t="shared" si="57"/>
        <v>2889882</v>
      </c>
    </row>
    <row r="456" spans="2:16" s="9" customFormat="1" ht="39.950000000000003" customHeight="1" x14ac:dyDescent="0.25">
      <c r="B456" s="23" t="s">
        <v>644</v>
      </c>
      <c r="C456" s="87" t="s">
        <v>645</v>
      </c>
      <c r="D456" s="23" t="s">
        <v>374</v>
      </c>
      <c r="E456" s="12">
        <v>51</v>
      </c>
      <c r="F456" s="126">
        <v>20555</v>
      </c>
      <c r="G456" s="126">
        <f t="shared" si="54"/>
        <v>1048305</v>
      </c>
      <c r="H456" s="8"/>
      <c r="I456" s="9" t="str">
        <f t="array" ref="I456:L456">_xlfn.XLOOKUP(C456,'Neiva 2021 FASE I UNIFICADO'!$C$6:$C$540,'Neiva 2021 FASE I UNIFICADO'!$C$6:$F$540,"NO ESTA")</f>
        <v>SUMINISTRO E INSTALACIÓN INTERRUPTORES AUTOMÁTICOS ENCHUFABLES 240 V. 10kA 1x20 AMPS. TIPO ENCHUFABLE 10 Ka 240V.</v>
      </c>
      <c r="J456" s="9" t="str">
        <v>UN</v>
      </c>
      <c r="K456" s="9">
        <v>19</v>
      </c>
      <c r="L456" s="9">
        <v>19024</v>
      </c>
      <c r="M456" s="124" t="str">
        <f t="shared" ref="M456:M519" si="58">IF(L456=0,0,(IF(F456&lt;L456, "FASE I","FASE II")))</f>
        <v>FASE II</v>
      </c>
      <c r="N456" s="155">
        <f t="shared" si="55"/>
        <v>70</v>
      </c>
      <c r="O456" s="156">
        <f t="shared" si="56"/>
        <v>20555</v>
      </c>
      <c r="P456" s="156">
        <f t="shared" si="57"/>
        <v>1438850</v>
      </c>
    </row>
    <row r="457" spans="2:16" s="9" customFormat="1" ht="39.950000000000003" customHeight="1" x14ac:dyDescent="0.25">
      <c r="B457" s="23" t="s">
        <v>646</v>
      </c>
      <c r="C457" s="87" t="s">
        <v>647</v>
      </c>
      <c r="D457" s="23" t="s">
        <v>374</v>
      </c>
      <c r="E457" s="12">
        <v>36</v>
      </c>
      <c r="F457" s="126">
        <v>20555</v>
      </c>
      <c r="G457" s="126">
        <f t="shared" si="54"/>
        <v>739980</v>
      </c>
      <c r="H457" s="8"/>
      <c r="I457" s="9" t="str">
        <f t="array" ref="I457:L457">_xlfn.XLOOKUP(C457,'Neiva 2021 FASE I UNIFICADO'!$C$6:$C$540,'Neiva 2021 FASE I UNIFICADO'!$C$6:$F$540,"NO ESTA")</f>
        <v>SUMINISTRO E INSTALACIÓN INTERRUPTORES AUTOMÁTICOS ENCHUFABLES 240 V. 10kA 1x30 AMPS. TIPO ENCHUFABLE 10 Ka 240V.</v>
      </c>
      <c r="J457" s="9" t="str">
        <v>UN</v>
      </c>
      <c r="K457" s="9">
        <v>14</v>
      </c>
      <c r="L457" s="9">
        <v>19024</v>
      </c>
      <c r="M457" s="124" t="str">
        <f t="shared" si="58"/>
        <v>FASE II</v>
      </c>
      <c r="N457" s="155">
        <f t="shared" si="55"/>
        <v>50</v>
      </c>
      <c r="O457" s="156">
        <f t="shared" si="56"/>
        <v>20555</v>
      </c>
      <c r="P457" s="156">
        <f t="shared" si="57"/>
        <v>1027750</v>
      </c>
    </row>
    <row r="458" spans="2:16" s="9" customFormat="1" ht="39.950000000000003" customHeight="1" x14ac:dyDescent="0.25">
      <c r="B458" s="23" t="s">
        <v>648</v>
      </c>
      <c r="C458" s="87" t="s">
        <v>649</v>
      </c>
      <c r="D458" s="23" t="s">
        <v>374</v>
      </c>
      <c r="E458" s="12">
        <v>4</v>
      </c>
      <c r="F458" s="126">
        <v>58041</v>
      </c>
      <c r="G458" s="126">
        <f t="shared" si="54"/>
        <v>232164</v>
      </c>
      <c r="H458" s="8"/>
      <c r="I458" s="9" t="str">
        <f t="array" ref="I458:L458">_xlfn.XLOOKUP(C458,'Neiva 2021 FASE I UNIFICADO'!$C$6:$C$540,'Neiva 2021 FASE I UNIFICADO'!$C$6:$F$540,"NO ESTA")</f>
        <v>SUMINISTRO E INSTALACIÓN INTERRUPTORES AUTOMÁTICOS ENCHUFABLES 240 V. 10kA 3x30 AMPS. TIPO ENCHUFABLE 10 Ka 240V.</v>
      </c>
      <c r="J458" s="9" t="str">
        <v>UN</v>
      </c>
      <c r="K458" s="9">
        <v>2</v>
      </c>
      <c r="L458" s="9">
        <v>53716</v>
      </c>
      <c r="M458" s="124" t="str">
        <f t="shared" si="58"/>
        <v>FASE II</v>
      </c>
      <c r="N458" s="155">
        <f t="shared" si="55"/>
        <v>6</v>
      </c>
      <c r="O458" s="156">
        <f t="shared" si="56"/>
        <v>58041</v>
      </c>
      <c r="P458" s="156">
        <f t="shared" si="57"/>
        <v>348246</v>
      </c>
    </row>
    <row r="459" spans="2:16" s="9" customFormat="1" ht="39.950000000000003" customHeight="1" x14ac:dyDescent="0.25">
      <c r="B459" s="53" t="s">
        <v>650</v>
      </c>
      <c r="C459" s="24" t="s">
        <v>1240</v>
      </c>
      <c r="D459" s="24"/>
      <c r="E459" s="15">
        <v>0</v>
      </c>
      <c r="F459" s="126">
        <v>0</v>
      </c>
      <c r="G459" s="126">
        <f t="shared" si="54"/>
        <v>0</v>
      </c>
      <c r="H459" s="8"/>
      <c r="I459" s="9" t="str">
        <f t="array" ref="I459">_xlfn.XLOOKUP(C459,'Neiva 2021 FASE I UNIFICADO'!$C$6:$C$540,'Neiva 2021 FASE I UNIFICADO'!$C$6:$F$540,"NO ESTA")</f>
        <v>NO ESTA</v>
      </c>
      <c r="M459" s="124">
        <f t="shared" si="58"/>
        <v>0</v>
      </c>
      <c r="N459" s="155">
        <f t="shared" si="55"/>
        <v>0</v>
      </c>
      <c r="O459" s="156">
        <f t="shared" si="56"/>
        <v>0</v>
      </c>
      <c r="P459" s="156">
        <f t="shared" si="57"/>
        <v>0</v>
      </c>
    </row>
    <row r="460" spans="2:16" s="9" customFormat="1" ht="39.950000000000003" customHeight="1" x14ac:dyDescent="0.25">
      <c r="B460" s="23" t="s">
        <v>652</v>
      </c>
      <c r="C460" s="22" t="s">
        <v>1241</v>
      </c>
      <c r="D460" s="23" t="s">
        <v>374</v>
      </c>
      <c r="E460" s="12">
        <v>0</v>
      </c>
      <c r="F460" s="126">
        <v>582207</v>
      </c>
      <c r="G460" s="126">
        <f t="shared" si="54"/>
        <v>0</v>
      </c>
      <c r="H460" s="8"/>
      <c r="I460" s="9" t="str">
        <f t="array" ref="I460">_xlfn.XLOOKUP(C460,'Neiva 2021 FASE I UNIFICADO'!$C$6:$C$540,'Neiva 2021 FASE I UNIFICADO'!$C$6:$F$540,"NO ESTA")</f>
        <v>NO ESTA</v>
      </c>
      <c r="M460" s="124">
        <f t="shared" si="58"/>
        <v>0</v>
      </c>
      <c r="N460" s="155">
        <f t="shared" si="55"/>
        <v>0</v>
      </c>
      <c r="O460" s="156">
        <f t="shared" si="56"/>
        <v>582207</v>
      </c>
      <c r="P460" s="156">
        <f t="shared" si="57"/>
        <v>0</v>
      </c>
    </row>
    <row r="461" spans="2:16" s="9" customFormat="1" ht="39.950000000000003" customHeight="1" x14ac:dyDescent="0.25">
      <c r="B461" s="53" t="s">
        <v>654</v>
      </c>
      <c r="C461" s="24" t="s">
        <v>655</v>
      </c>
      <c r="D461" s="24"/>
      <c r="E461" s="15"/>
      <c r="F461" s="129"/>
      <c r="G461" s="140"/>
      <c r="H461" s="8"/>
      <c r="I461" s="9" t="str">
        <f t="array" ref="I461:L461">_xlfn.XLOOKUP(C461,'Neiva 2021 FASE I UNIFICADO'!$C$6:$C$540,'Neiva 2021 FASE I UNIFICADO'!$C$6:$F$540,"NO ESTA")</f>
        <v>SUMINISTRO E INSTALACIÓN TABLEROS DE DISTRIBUCIÓN GENERAL</v>
      </c>
      <c r="J461" s="9">
        <v>0</v>
      </c>
      <c r="K461" s="9">
        <v>0</v>
      </c>
      <c r="L461" s="9">
        <v>0</v>
      </c>
      <c r="M461" s="124">
        <f t="shared" si="58"/>
        <v>0</v>
      </c>
      <c r="N461" s="155">
        <f t="shared" si="55"/>
        <v>0</v>
      </c>
      <c r="O461" s="156">
        <f t="shared" si="56"/>
        <v>0</v>
      </c>
      <c r="P461" s="156">
        <f t="shared" si="57"/>
        <v>0</v>
      </c>
    </row>
    <row r="462" spans="2:16" s="9" customFormat="1" ht="39.950000000000003" customHeight="1" x14ac:dyDescent="0.25">
      <c r="B462" s="23" t="s">
        <v>656</v>
      </c>
      <c r="C462" s="22" t="s">
        <v>1242</v>
      </c>
      <c r="D462" s="23" t="s">
        <v>374</v>
      </c>
      <c r="E462" s="12">
        <v>0</v>
      </c>
      <c r="F462" s="126">
        <v>15777849</v>
      </c>
      <c r="G462" s="126">
        <f t="shared" ref="G462:G490" si="59">ROUND(+F462*E462,2)</f>
        <v>0</v>
      </c>
      <c r="H462" s="8"/>
      <c r="I462" s="9" t="str">
        <f t="array" ref="I462">_xlfn.XLOOKUP(C462,'Neiva 2021 FASE I UNIFICADO'!$C$6:$C$540,'Neiva 2021 FASE I UNIFICADO'!$C$6:$F$540,"NO ESTA")</f>
        <v>NO ESTA</v>
      </c>
      <c r="M462" s="124">
        <f t="shared" si="58"/>
        <v>0</v>
      </c>
      <c r="N462" s="155">
        <f t="shared" si="55"/>
        <v>0</v>
      </c>
      <c r="O462" s="156">
        <f t="shared" si="56"/>
        <v>15777849</v>
      </c>
      <c r="P462" s="156">
        <f t="shared" si="57"/>
        <v>0</v>
      </c>
    </row>
    <row r="463" spans="2:16" s="9" customFormat="1" ht="39.950000000000003" customHeight="1" x14ac:dyDescent="0.25">
      <c r="B463" s="23" t="s">
        <v>658</v>
      </c>
      <c r="C463" s="87" t="s">
        <v>659</v>
      </c>
      <c r="D463" s="23" t="s">
        <v>374</v>
      </c>
      <c r="E463" s="12">
        <v>1</v>
      </c>
      <c r="F463" s="126">
        <v>11923749</v>
      </c>
      <c r="G463" s="126">
        <f t="shared" si="59"/>
        <v>11923749</v>
      </c>
      <c r="H463" s="8"/>
      <c r="I463" s="9" t="str">
        <f t="array" ref="I463">_xlfn.XLOOKUP(C463,'Neiva 2021 FASE I UNIFICADO'!$C$6:$C$540,'Neiva 2021 FASE I UNIFICADO'!$C$6:$F$540,"NO ESTA")</f>
        <v>NO ESTA</v>
      </c>
      <c r="M463" s="124">
        <f t="shared" si="58"/>
        <v>0</v>
      </c>
      <c r="N463" s="155">
        <f t="shared" si="55"/>
        <v>1</v>
      </c>
      <c r="O463" s="156">
        <f t="shared" si="56"/>
        <v>11923749</v>
      </c>
      <c r="P463" s="156">
        <f t="shared" si="57"/>
        <v>11923749</v>
      </c>
    </row>
    <row r="464" spans="2:16" s="9" customFormat="1" ht="39.950000000000003" customHeight="1" x14ac:dyDescent="0.25">
      <c r="B464" s="23" t="s">
        <v>660</v>
      </c>
      <c r="C464" s="22" t="s">
        <v>1243</v>
      </c>
      <c r="D464" s="23" t="s">
        <v>374</v>
      </c>
      <c r="E464" s="12">
        <v>0</v>
      </c>
      <c r="F464" s="126">
        <v>13850799</v>
      </c>
      <c r="G464" s="126">
        <f t="shared" si="59"/>
        <v>0</v>
      </c>
      <c r="H464" s="8"/>
      <c r="I464" s="9" t="str">
        <f t="array" ref="I464">_xlfn.XLOOKUP(C464,'Neiva 2021 FASE I UNIFICADO'!$C$6:$C$540,'Neiva 2021 FASE I UNIFICADO'!$C$6:$F$540,"NO ESTA")</f>
        <v>NO ESTA</v>
      </c>
      <c r="M464" s="124">
        <f t="shared" si="58"/>
        <v>0</v>
      </c>
      <c r="N464" s="155">
        <f t="shared" si="55"/>
        <v>0</v>
      </c>
      <c r="O464" s="156">
        <f t="shared" si="56"/>
        <v>13850799</v>
      </c>
      <c r="P464" s="156">
        <f t="shared" si="57"/>
        <v>0</v>
      </c>
    </row>
    <row r="465" spans="2:16" s="9" customFormat="1" ht="39.950000000000003" customHeight="1" x14ac:dyDescent="0.25">
      <c r="B465" s="54" t="s">
        <v>662</v>
      </c>
      <c r="C465" s="24" t="s">
        <v>663</v>
      </c>
      <c r="D465" s="24"/>
      <c r="E465" s="15"/>
      <c r="F465" s="126">
        <v>0</v>
      </c>
      <c r="G465" s="126">
        <f t="shared" si="59"/>
        <v>0</v>
      </c>
      <c r="H465" s="8"/>
      <c r="I465" s="9" t="str">
        <f t="array" ref="I465:L465">_xlfn.XLOOKUP(C465,'Neiva 2021 FASE I UNIFICADO'!$C$6:$C$540,'Neiva 2021 FASE I UNIFICADO'!$C$6:$F$540,"NO ESTA")</f>
        <v xml:space="preserve">SUMINISTRO E INSTALACIÓN PUESTA A TIERRA TRANSFORMADOR Y SUBESTACIÓN (Incluye preparación de tierra con la solución Sanick Gel para obtener una elevada conductividad eléctrica (ver especificaciones técnicas de diseño anexas) </v>
      </c>
      <c r="J465" s="9">
        <v>0</v>
      </c>
      <c r="K465" s="9">
        <v>0</v>
      </c>
      <c r="L465" s="9">
        <v>0</v>
      </c>
      <c r="M465" s="124">
        <f t="shared" si="58"/>
        <v>0</v>
      </c>
      <c r="N465" s="155">
        <f t="shared" si="55"/>
        <v>0</v>
      </c>
      <c r="O465" s="156">
        <f t="shared" si="56"/>
        <v>0</v>
      </c>
      <c r="P465" s="156">
        <f t="shared" si="57"/>
        <v>0</v>
      </c>
    </row>
    <row r="466" spans="2:16" s="9" customFormat="1" ht="35.1" customHeight="1" x14ac:dyDescent="0.25">
      <c r="B466" s="23" t="s">
        <v>664</v>
      </c>
      <c r="C466" s="22" t="s">
        <v>665</v>
      </c>
      <c r="D466" s="23" t="s">
        <v>269</v>
      </c>
      <c r="E466" s="12">
        <v>0</v>
      </c>
      <c r="F466" s="126">
        <v>24409</v>
      </c>
      <c r="G466" s="126">
        <f t="shared" si="59"/>
        <v>0</v>
      </c>
      <c r="H466" s="8"/>
      <c r="I466" s="9" t="str">
        <f t="array" ref="I466:L466">_xlfn.XLOOKUP(C466,'Neiva 2021 FASE I UNIFICADO'!$C$6:$C$540,'Neiva 2021 FASE I UNIFICADO'!$C$6:$F$540,"NO ESTA")</f>
        <v>SUMINISTRO E INSTALACIÓN CONDUCTOR 2/0 Cu. TEMPLE DURO</v>
      </c>
      <c r="J466" s="9" t="str">
        <v xml:space="preserve">ML   </v>
      </c>
      <c r="K466" s="9">
        <v>35</v>
      </c>
      <c r="L466" s="9">
        <v>22591</v>
      </c>
      <c r="M466" s="124" t="str">
        <f t="shared" si="58"/>
        <v>FASE II</v>
      </c>
      <c r="N466" s="155">
        <f t="shared" si="55"/>
        <v>35</v>
      </c>
      <c r="O466" s="156">
        <f t="shared" si="56"/>
        <v>24409</v>
      </c>
      <c r="P466" s="156">
        <f t="shared" si="57"/>
        <v>854315</v>
      </c>
    </row>
    <row r="467" spans="2:16" s="9" customFormat="1" ht="35.1" customHeight="1" x14ac:dyDescent="0.25">
      <c r="B467" s="23" t="s">
        <v>666</v>
      </c>
      <c r="C467" s="22" t="s">
        <v>1244</v>
      </c>
      <c r="D467" s="23" t="s">
        <v>374</v>
      </c>
      <c r="E467" s="12">
        <v>0</v>
      </c>
      <c r="F467" s="126">
        <v>127634</v>
      </c>
      <c r="G467" s="126">
        <f t="shared" si="59"/>
        <v>0</v>
      </c>
      <c r="H467" s="8"/>
      <c r="I467" s="9" t="str">
        <f t="array" ref="I467">_xlfn.XLOOKUP(C467,'Neiva 2021 FASE I UNIFICADO'!$C$6:$C$540,'Neiva 2021 FASE I UNIFICADO'!$C$6:$F$540,"NO ESTA")</f>
        <v>NO ESTA</v>
      </c>
      <c r="M467" s="124">
        <f t="shared" si="58"/>
        <v>0</v>
      </c>
      <c r="N467" s="155">
        <f t="shared" si="55"/>
        <v>0</v>
      </c>
      <c r="O467" s="156">
        <f t="shared" si="56"/>
        <v>127634</v>
      </c>
      <c r="P467" s="156">
        <f t="shared" si="57"/>
        <v>0</v>
      </c>
    </row>
    <row r="468" spans="2:16" s="9" customFormat="1" ht="35.1" customHeight="1" x14ac:dyDescent="0.25">
      <c r="B468" s="23" t="s">
        <v>668</v>
      </c>
      <c r="C468" s="22" t="s">
        <v>1245</v>
      </c>
      <c r="D468" s="23" t="s">
        <v>374</v>
      </c>
      <c r="E468" s="12">
        <v>0</v>
      </c>
      <c r="F468" s="126">
        <v>132126</v>
      </c>
      <c r="G468" s="126">
        <f t="shared" si="59"/>
        <v>0</v>
      </c>
      <c r="H468" s="8"/>
      <c r="I468" s="9" t="str">
        <f t="array" ref="I468">_xlfn.XLOOKUP(C468,'Neiva 2021 FASE I UNIFICADO'!$C$6:$C$540,'Neiva 2021 FASE I UNIFICADO'!$C$6:$F$540,"NO ESTA")</f>
        <v>NO ESTA</v>
      </c>
      <c r="M468" s="124">
        <f t="shared" si="58"/>
        <v>0</v>
      </c>
      <c r="N468" s="155">
        <f t="shared" si="55"/>
        <v>0</v>
      </c>
      <c r="O468" s="156">
        <f t="shared" si="56"/>
        <v>132126</v>
      </c>
      <c r="P468" s="156">
        <f t="shared" si="57"/>
        <v>0</v>
      </c>
    </row>
    <row r="469" spans="2:16" s="9" customFormat="1" ht="35.1" customHeight="1" x14ac:dyDescent="0.25">
      <c r="B469" s="23" t="s">
        <v>670</v>
      </c>
      <c r="C469" s="22" t="s">
        <v>1246</v>
      </c>
      <c r="D469" s="23" t="s">
        <v>374</v>
      </c>
      <c r="E469" s="12">
        <v>0</v>
      </c>
      <c r="F469" s="126">
        <v>132126</v>
      </c>
      <c r="G469" s="126">
        <f t="shared" si="59"/>
        <v>0</v>
      </c>
      <c r="H469" s="8"/>
      <c r="I469" s="9" t="str">
        <f t="array" ref="I469">_xlfn.XLOOKUP(C469,'Neiva 2021 FASE I UNIFICADO'!$C$6:$C$540,'Neiva 2021 FASE I UNIFICADO'!$C$6:$F$540,"NO ESTA")</f>
        <v>NO ESTA</v>
      </c>
      <c r="M469" s="124">
        <f t="shared" si="58"/>
        <v>0</v>
      </c>
      <c r="N469" s="155">
        <f t="shared" si="55"/>
        <v>0</v>
      </c>
      <c r="O469" s="156">
        <f t="shared" si="56"/>
        <v>132126</v>
      </c>
      <c r="P469" s="156">
        <f t="shared" si="57"/>
        <v>0</v>
      </c>
    </row>
    <row r="470" spans="2:16" s="9" customFormat="1" ht="35.1" customHeight="1" x14ac:dyDescent="0.25">
      <c r="B470" s="23" t="s">
        <v>672</v>
      </c>
      <c r="C470" s="55" t="s">
        <v>1247</v>
      </c>
      <c r="D470" s="56" t="s">
        <v>16</v>
      </c>
      <c r="E470" s="12">
        <v>0</v>
      </c>
      <c r="F470" s="126">
        <v>166876</v>
      </c>
      <c r="G470" s="126">
        <f t="shared" si="59"/>
        <v>0</v>
      </c>
      <c r="H470" s="8"/>
      <c r="I470" s="9" t="str">
        <f t="array" ref="I470">_xlfn.XLOOKUP(C470,'Neiva 2021 FASE I UNIFICADO'!$C$6:$C$540,'Neiva 2021 FASE I UNIFICADO'!$C$6:$F$540,"NO ESTA")</f>
        <v>NO ESTA</v>
      </c>
      <c r="M470" s="124">
        <f t="shared" si="58"/>
        <v>0</v>
      </c>
      <c r="N470" s="155">
        <f t="shared" si="55"/>
        <v>0</v>
      </c>
      <c r="O470" s="156">
        <f t="shared" si="56"/>
        <v>166876</v>
      </c>
      <c r="P470" s="156">
        <f t="shared" si="57"/>
        <v>0</v>
      </c>
    </row>
    <row r="471" spans="2:16" s="9" customFormat="1" ht="35.1" customHeight="1" x14ac:dyDescent="0.25">
      <c r="B471" s="54" t="s">
        <v>674</v>
      </c>
      <c r="C471" s="24" t="s">
        <v>675</v>
      </c>
      <c r="D471" s="24"/>
      <c r="E471" s="15"/>
      <c r="F471" s="126">
        <v>0</v>
      </c>
      <c r="G471" s="126">
        <f t="shared" si="59"/>
        <v>0</v>
      </c>
      <c r="H471" s="8"/>
      <c r="I471" s="9" t="str">
        <f t="array" ref="I471:L471">_xlfn.XLOOKUP(C471,'Neiva 2021 FASE I UNIFICADO'!$C$6:$C$540,'Neiva 2021 FASE I UNIFICADO'!$C$6:$F$540,"NO ESTA")</f>
        <v xml:space="preserve">SUMINISTRO E INSTALACIÓN PUESTA A TIERRA TABLERO DE DISTRIBUCIÓN Y GENERAL (Incluye preparación de tierra con la solución Sanick Gel para obtener una elevada conductividad eléctrica (ver especificaciones técnicas de diseño anexas) </v>
      </c>
      <c r="J471" s="9">
        <v>0</v>
      </c>
      <c r="K471" s="9">
        <v>0</v>
      </c>
      <c r="L471" s="9">
        <v>0</v>
      </c>
      <c r="M471" s="124">
        <f t="shared" si="58"/>
        <v>0</v>
      </c>
      <c r="N471" s="155">
        <f t="shared" si="55"/>
        <v>0</v>
      </c>
      <c r="O471" s="156">
        <f t="shared" si="56"/>
        <v>0</v>
      </c>
      <c r="P471" s="156">
        <f t="shared" si="57"/>
        <v>0</v>
      </c>
    </row>
    <row r="472" spans="2:16" s="9" customFormat="1" ht="35.1" customHeight="1" x14ac:dyDescent="0.25">
      <c r="B472" s="23" t="s">
        <v>676</v>
      </c>
      <c r="C472" s="22" t="s">
        <v>677</v>
      </c>
      <c r="D472" s="23" t="s">
        <v>269</v>
      </c>
      <c r="E472" s="12">
        <v>0</v>
      </c>
      <c r="F472" s="126">
        <v>7194</v>
      </c>
      <c r="G472" s="126">
        <f t="shared" si="59"/>
        <v>0</v>
      </c>
      <c r="H472" s="8"/>
      <c r="I472" s="9" t="str">
        <f t="array" ref="I472:L472">_xlfn.XLOOKUP(C472,'Neiva 2021 FASE I UNIFICADO'!$C$6:$C$540,'Neiva 2021 FASE I UNIFICADO'!$C$6:$F$540,"NO ESTA")</f>
        <v>SUMINISTRO E INSTALACIÓN CONDUCTOR 6 Cu TEMPLE DURO</v>
      </c>
      <c r="J472" s="9" t="str">
        <v xml:space="preserve">ML   </v>
      </c>
      <c r="K472" s="9">
        <v>10</v>
      </c>
      <c r="L472" s="9">
        <v>6659</v>
      </c>
      <c r="M472" s="124" t="str">
        <f t="shared" si="58"/>
        <v>FASE II</v>
      </c>
      <c r="N472" s="155">
        <f t="shared" si="55"/>
        <v>10</v>
      </c>
      <c r="O472" s="156">
        <f t="shared" si="56"/>
        <v>7194</v>
      </c>
      <c r="P472" s="156">
        <f t="shared" si="57"/>
        <v>71940</v>
      </c>
    </row>
    <row r="473" spans="2:16" s="9" customFormat="1" ht="35.1" customHeight="1" x14ac:dyDescent="0.25">
      <c r="B473" s="23" t="s">
        <v>678</v>
      </c>
      <c r="C473" s="22" t="s">
        <v>679</v>
      </c>
      <c r="D473" s="23" t="s">
        <v>374</v>
      </c>
      <c r="E473" s="12">
        <v>0</v>
      </c>
      <c r="F473" s="126">
        <v>127634</v>
      </c>
      <c r="G473" s="126">
        <f t="shared" si="59"/>
        <v>0</v>
      </c>
      <c r="H473" s="8"/>
      <c r="I473" s="9" t="str">
        <f t="array" ref="I473:L473">_xlfn.XLOOKUP(C473,'Neiva 2021 FASE I UNIFICADO'!$C$6:$C$540,'Neiva 2021 FASE I UNIFICADO'!$C$6:$F$540,"NO ESTA")</f>
        <v>SUMINISTRO E INSTALACIÓN ELECTRODO DE PUESTA A TIERRA EN VARILLA DE COBRE DE 5/8" X 2.40 M</v>
      </c>
      <c r="J473" s="9" t="str">
        <v>UN</v>
      </c>
      <c r="K473" s="9">
        <v>1</v>
      </c>
      <c r="L473" s="9">
        <v>118125</v>
      </c>
      <c r="M473" s="124" t="str">
        <f t="shared" si="58"/>
        <v>FASE II</v>
      </c>
      <c r="N473" s="155">
        <f t="shared" si="55"/>
        <v>1</v>
      </c>
      <c r="O473" s="156">
        <f t="shared" si="56"/>
        <v>127634</v>
      </c>
      <c r="P473" s="156">
        <f t="shared" si="57"/>
        <v>127634</v>
      </c>
    </row>
    <row r="474" spans="2:16" s="9" customFormat="1" ht="35.1" customHeight="1" x14ac:dyDescent="0.25">
      <c r="B474" s="23" t="s">
        <v>680</v>
      </c>
      <c r="C474" s="22" t="s">
        <v>681</v>
      </c>
      <c r="D474" s="23" t="s">
        <v>374</v>
      </c>
      <c r="E474" s="12">
        <v>0</v>
      </c>
      <c r="F474" s="126">
        <v>132126</v>
      </c>
      <c r="G474" s="126">
        <f t="shared" si="59"/>
        <v>0</v>
      </c>
      <c r="H474" s="8"/>
      <c r="I474" s="9" t="str">
        <f t="array" ref="I474:L474">_xlfn.XLOOKUP(C474,'Neiva 2021 FASE I UNIFICADO'!$C$6:$C$540,'Neiva 2021 FASE I UNIFICADO'!$C$6:$F$540,"NO ESTA")</f>
        <v>SUMINISTRO E INSTALACIÓN CONEXIÓN TERMOSOLDADA DE VARILLA A CABLE DE COBRE DESNUDO # 6 AWG, INCLUYE SUMINISTRO DE MOLDE, FÚNDENTE Y DEMÁS ACCESORIOS.</v>
      </c>
      <c r="J474" s="9" t="str">
        <v>UN</v>
      </c>
      <c r="K474" s="9">
        <v>1</v>
      </c>
      <c r="L474" s="9">
        <v>122282</v>
      </c>
      <c r="M474" s="124" t="str">
        <f t="shared" si="58"/>
        <v>FASE II</v>
      </c>
      <c r="N474" s="155">
        <f t="shared" si="55"/>
        <v>1</v>
      </c>
      <c r="O474" s="156">
        <f t="shared" si="56"/>
        <v>132126</v>
      </c>
      <c r="P474" s="156">
        <f t="shared" si="57"/>
        <v>132126</v>
      </c>
    </row>
    <row r="475" spans="2:16" s="9" customFormat="1" ht="35.1" customHeight="1" x14ac:dyDescent="0.25">
      <c r="B475" s="23" t="s">
        <v>682</v>
      </c>
      <c r="C475" s="22" t="s">
        <v>1248</v>
      </c>
      <c r="D475" s="23" t="s">
        <v>374</v>
      </c>
      <c r="E475" s="12">
        <v>0</v>
      </c>
      <c r="F475" s="126">
        <v>132126</v>
      </c>
      <c r="G475" s="126">
        <f t="shared" si="59"/>
        <v>0</v>
      </c>
      <c r="H475" s="8"/>
      <c r="I475" s="9" t="str">
        <f t="array" ref="I475">_xlfn.XLOOKUP(C475,'Neiva 2021 FASE I UNIFICADO'!$C$6:$C$540,'Neiva 2021 FASE I UNIFICADO'!$C$6:$F$540,"NO ESTA")</f>
        <v>NO ESTA</v>
      </c>
      <c r="M475" s="124">
        <f t="shared" si="58"/>
        <v>0</v>
      </c>
      <c r="N475" s="155">
        <f t="shared" si="55"/>
        <v>0</v>
      </c>
      <c r="O475" s="156">
        <f t="shared" si="56"/>
        <v>132126</v>
      </c>
      <c r="P475" s="156">
        <f t="shared" si="57"/>
        <v>0</v>
      </c>
    </row>
    <row r="476" spans="2:16" s="9" customFormat="1" ht="39.950000000000003" customHeight="1" x14ac:dyDescent="0.25">
      <c r="B476" s="23" t="s">
        <v>684</v>
      </c>
      <c r="C476" s="22" t="s">
        <v>1247</v>
      </c>
      <c r="D476" s="23" t="s">
        <v>374</v>
      </c>
      <c r="E476" s="12">
        <v>0</v>
      </c>
      <c r="F476" s="126">
        <v>166876</v>
      </c>
      <c r="G476" s="126">
        <f t="shared" si="59"/>
        <v>0</v>
      </c>
      <c r="H476" s="8"/>
      <c r="I476" s="9" t="str">
        <f t="array" ref="I476">_xlfn.XLOOKUP(C476,'Neiva 2021 FASE I UNIFICADO'!$C$6:$C$540,'Neiva 2021 FASE I UNIFICADO'!$C$6:$F$540,"NO ESTA")</f>
        <v>NO ESTA</v>
      </c>
      <c r="M476" s="124">
        <f t="shared" si="58"/>
        <v>0</v>
      </c>
      <c r="N476" s="155">
        <f t="shared" si="55"/>
        <v>0</v>
      </c>
      <c r="O476" s="156">
        <f t="shared" si="56"/>
        <v>166876</v>
      </c>
      <c r="P476" s="156">
        <f t="shared" si="57"/>
        <v>0</v>
      </c>
    </row>
    <row r="477" spans="2:16" s="9" customFormat="1" ht="35.1" customHeight="1" x14ac:dyDescent="0.25">
      <c r="B477" s="54" t="s">
        <v>685</v>
      </c>
      <c r="C477" s="24" t="s">
        <v>686</v>
      </c>
      <c r="D477" s="24"/>
      <c r="E477" s="15">
        <v>0</v>
      </c>
      <c r="F477" s="126">
        <v>0</v>
      </c>
      <c r="G477" s="126">
        <f t="shared" si="59"/>
        <v>0</v>
      </c>
      <c r="H477" s="8"/>
      <c r="I477" s="9" t="str">
        <f t="array" ref="I477:L477">_xlfn.XLOOKUP(C477,'Neiva 2021 FASE I UNIFICADO'!$C$6:$C$540,'Neiva 2021 FASE I UNIFICADO'!$C$6:$F$540,"NO ESTA")</f>
        <v xml:space="preserve">SUMINISTRO E INSTALACIÓN PUESTA A TIERRA PLANTA GENERADORA (Incluye preparación de tierra con la solución Sanick Gel para obtener una elevada conductividad eléctrica (ver especificaciones técnicas de diseño anexas) </v>
      </c>
      <c r="J477" s="9">
        <v>0</v>
      </c>
      <c r="K477" s="9">
        <v>0</v>
      </c>
      <c r="L477" s="9">
        <v>0</v>
      </c>
      <c r="M477" s="124">
        <f t="shared" si="58"/>
        <v>0</v>
      </c>
      <c r="N477" s="155">
        <f t="shared" si="55"/>
        <v>0</v>
      </c>
      <c r="O477" s="156">
        <f t="shared" si="56"/>
        <v>0</v>
      </c>
      <c r="P477" s="156">
        <f t="shared" si="57"/>
        <v>0</v>
      </c>
    </row>
    <row r="478" spans="2:16" s="9" customFormat="1" ht="35.1" customHeight="1" x14ac:dyDescent="0.25">
      <c r="B478" s="23" t="s">
        <v>687</v>
      </c>
      <c r="C478" s="22" t="s">
        <v>665</v>
      </c>
      <c r="D478" s="23" t="s">
        <v>269</v>
      </c>
      <c r="E478" s="12">
        <v>0</v>
      </c>
      <c r="F478" s="126">
        <v>24409</v>
      </c>
      <c r="G478" s="126">
        <f t="shared" si="59"/>
        <v>0</v>
      </c>
      <c r="H478" s="8"/>
      <c r="I478" s="9" t="str">
        <f t="array" ref="I478:L478">_xlfn.XLOOKUP(C478,'Neiva 2021 FASE I UNIFICADO'!$C$6:$C$540,'Neiva 2021 FASE I UNIFICADO'!$C$6:$F$540,"NO ESTA")</f>
        <v>SUMINISTRO E INSTALACIÓN CONDUCTOR 2/0 Cu. TEMPLE DURO</v>
      </c>
      <c r="J478" s="9" t="str">
        <v xml:space="preserve">ML   </v>
      </c>
      <c r="K478" s="9">
        <v>35</v>
      </c>
      <c r="L478" s="9">
        <v>22591</v>
      </c>
      <c r="M478" s="124" t="str">
        <f t="shared" si="58"/>
        <v>FASE II</v>
      </c>
      <c r="N478" s="155">
        <f t="shared" si="55"/>
        <v>35</v>
      </c>
      <c r="O478" s="156">
        <f t="shared" si="56"/>
        <v>24409</v>
      </c>
      <c r="P478" s="156">
        <f t="shared" si="57"/>
        <v>854315</v>
      </c>
    </row>
    <row r="479" spans="2:16" s="9" customFormat="1" ht="57" customHeight="1" x14ac:dyDescent="0.25">
      <c r="B479" s="23" t="s">
        <v>688</v>
      </c>
      <c r="C479" s="22" t="s">
        <v>1249</v>
      </c>
      <c r="D479" s="23" t="s">
        <v>374</v>
      </c>
      <c r="E479" s="12">
        <v>0</v>
      </c>
      <c r="F479" s="126">
        <v>707808</v>
      </c>
      <c r="G479" s="126">
        <f t="shared" si="59"/>
        <v>0</v>
      </c>
      <c r="H479" s="8"/>
      <c r="I479" s="9" t="str">
        <f t="array" ref="I479">_xlfn.XLOOKUP(C479,'Neiva 2021 FASE I UNIFICADO'!$C$6:$C$540,'Neiva 2021 FASE I UNIFICADO'!$C$6:$F$540,"NO ESTA")</f>
        <v>NO ESTA</v>
      </c>
      <c r="M479" s="124">
        <f t="shared" si="58"/>
        <v>0</v>
      </c>
      <c r="N479" s="155">
        <f t="shared" si="55"/>
        <v>0</v>
      </c>
      <c r="O479" s="156">
        <f t="shared" si="56"/>
        <v>707808</v>
      </c>
      <c r="P479" s="156">
        <f t="shared" si="57"/>
        <v>0</v>
      </c>
    </row>
    <row r="480" spans="2:16" s="9" customFormat="1" ht="35.1" customHeight="1" x14ac:dyDescent="0.25">
      <c r="B480" s="13" t="s">
        <v>690</v>
      </c>
      <c r="C480" s="24" t="s">
        <v>691</v>
      </c>
      <c r="D480" s="24"/>
      <c r="E480" s="15">
        <v>0</v>
      </c>
      <c r="F480" s="126">
        <v>0</v>
      </c>
      <c r="G480" s="126">
        <f t="shared" si="59"/>
        <v>0</v>
      </c>
      <c r="H480" s="8"/>
      <c r="I480" s="9" t="str">
        <f t="array" ref="I480:L480">_xlfn.XLOOKUP(C480,'Neiva 2021 FASE I UNIFICADO'!$C$6:$C$540,'Neiva 2021 FASE I UNIFICADO'!$C$6:$F$540,"NO ESTA")</f>
        <v>SISTEMA DE PROTECCIÓN EXTERNA CONTRA DESCARGAS ATMOSFÉRICAS BAJANTES DE PARARRAYOS DESDE CUBIERTA A TERRENO</v>
      </c>
      <c r="J480" s="9">
        <v>0</v>
      </c>
      <c r="K480" s="9">
        <v>0</v>
      </c>
      <c r="L480" s="9">
        <v>0</v>
      </c>
      <c r="M480" s="124">
        <f t="shared" si="58"/>
        <v>0</v>
      </c>
      <c r="N480" s="155">
        <f t="shared" si="55"/>
        <v>0</v>
      </c>
      <c r="O480" s="156">
        <f t="shared" si="56"/>
        <v>0</v>
      </c>
      <c r="P480" s="156">
        <f t="shared" si="57"/>
        <v>0</v>
      </c>
    </row>
    <row r="481" spans="2:16" s="9" customFormat="1" ht="35.1" customHeight="1" x14ac:dyDescent="0.25">
      <c r="B481" s="23" t="s">
        <v>692</v>
      </c>
      <c r="C481" s="22" t="s">
        <v>693</v>
      </c>
      <c r="D481" s="23" t="s">
        <v>269</v>
      </c>
      <c r="E481" s="12">
        <v>0</v>
      </c>
      <c r="F481" s="126">
        <v>4755</v>
      </c>
      <c r="G481" s="126">
        <f t="shared" si="59"/>
        <v>0</v>
      </c>
      <c r="H481" s="8"/>
      <c r="I481" s="9" t="str">
        <f t="array" ref="I481:L481">_xlfn.XLOOKUP(C481,'Neiva 2021 FASE I UNIFICADO'!$C$6:$C$540,'Neiva 2021 FASE I UNIFICADO'!$C$6:$F$540,"NO ESTA")</f>
        <v>SUMINISTRO E INSTALACIÓN TENDIDO DE TUBERÍA Ø 3/4” PVC EMBEBIDO EN LAS COLUMNAS DE CONCRETO, DESDE LA CUBIERTA HASTA EL TERRENO.</v>
      </c>
      <c r="J481" s="9" t="str">
        <v xml:space="preserve">ML   </v>
      </c>
      <c r="K481" s="9">
        <v>65</v>
      </c>
      <c r="L481" s="9">
        <v>4400</v>
      </c>
      <c r="M481" s="124" t="str">
        <f t="shared" si="58"/>
        <v>FASE II</v>
      </c>
      <c r="N481" s="155">
        <f t="shared" si="55"/>
        <v>65</v>
      </c>
      <c r="O481" s="156">
        <f t="shared" si="56"/>
        <v>4755</v>
      </c>
      <c r="P481" s="156">
        <f t="shared" si="57"/>
        <v>309075</v>
      </c>
    </row>
    <row r="482" spans="2:16" s="9" customFormat="1" ht="35.1" customHeight="1" x14ac:dyDescent="0.25">
      <c r="B482" s="23" t="s">
        <v>694</v>
      </c>
      <c r="C482" s="22" t="s">
        <v>695</v>
      </c>
      <c r="D482" s="23" t="s">
        <v>269</v>
      </c>
      <c r="E482" s="12">
        <v>0</v>
      </c>
      <c r="F482" s="126">
        <v>14774</v>
      </c>
      <c r="G482" s="126">
        <f t="shared" si="59"/>
        <v>0</v>
      </c>
      <c r="H482" s="8"/>
      <c r="I482" s="9" t="str">
        <f t="array" ref="I482:L482">_xlfn.XLOOKUP(C482,'Neiva 2021 FASE I UNIFICADO'!$C$6:$C$540,'Neiva 2021 FASE I UNIFICADO'!$C$6:$F$540,"NO ESTA")</f>
        <v>SUMINISTRO E INSTALACIÓN TENDIDO DE CONDUCTOR DE COBRE DESNUDO # 2 AWG, DESDE LA CUBIERTA HASTA EL TERRENO POR LAS BAJANTES.</v>
      </c>
      <c r="J482" s="9" t="str">
        <v xml:space="preserve">ML   </v>
      </c>
      <c r="K482" s="9">
        <v>69</v>
      </c>
      <c r="L482" s="9">
        <v>13673</v>
      </c>
      <c r="M482" s="124" t="str">
        <f t="shared" si="58"/>
        <v>FASE II</v>
      </c>
      <c r="N482" s="155">
        <f t="shared" si="55"/>
        <v>69</v>
      </c>
      <c r="O482" s="156">
        <f t="shared" si="56"/>
        <v>14774</v>
      </c>
      <c r="P482" s="156">
        <f t="shared" si="57"/>
        <v>1019406</v>
      </c>
    </row>
    <row r="483" spans="2:16" s="9" customFormat="1" ht="35.1" customHeight="1" x14ac:dyDescent="0.25">
      <c r="B483" s="23" t="s">
        <v>696</v>
      </c>
      <c r="C483" s="22" t="s">
        <v>697</v>
      </c>
      <c r="D483" s="23" t="s">
        <v>269</v>
      </c>
      <c r="E483" s="12">
        <v>0</v>
      </c>
      <c r="F483" s="126">
        <v>5396</v>
      </c>
      <c r="G483" s="126">
        <f t="shared" si="59"/>
        <v>0</v>
      </c>
      <c r="H483" s="8"/>
      <c r="I483" s="9" t="str">
        <f t="array" ref="I483:L483">_xlfn.XLOOKUP(C483,'Neiva 2021 FASE I UNIFICADO'!$C$6:$C$540,'Neiva 2021 FASE I UNIFICADO'!$C$6:$F$540,"NO ESTA")</f>
        <v>SUMINISTRO E INSTALACIÓN TENDIDO DE ALAMBRON 8MM SOBREPUESTO EN LOS BORDES DE LA CUBIERTA PARA INTERCONEXIÓN DE PUNTAS CAPTADORAS Y BAJANTES A MALLA A TIERRA.</v>
      </c>
      <c r="J483" s="9" t="str">
        <v xml:space="preserve">ML   </v>
      </c>
      <c r="K483" s="9">
        <v>244</v>
      </c>
      <c r="L483" s="9">
        <v>4994</v>
      </c>
      <c r="M483" s="124" t="str">
        <f t="shared" si="58"/>
        <v>FASE II</v>
      </c>
      <c r="N483" s="155">
        <f t="shared" si="55"/>
        <v>244</v>
      </c>
      <c r="O483" s="156">
        <f t="shared" si="56"/>
        <v>5396</v>
      </c>
      <c r="P483" s="156">
        <f t="shared" si="57"/>
        <v>1316624</v>
      </c>
    </row>
    <row r="484" spans="2:16" s="9" customFormat="1" ht="35.1" customHeight="1" x14ac:dyDescent="0.25">
      <c r="B484" s="23" t="s">
        <v>698</v>
      </c>
      <c r="C484" s="22" t="s">
        <v>1250</v>
      </c>
      <c r="D484" s="23" t="s">
        <v>269</v>
      </c>
      <c r="E484" s="12">
        <v>0</v>
      </c>
      <c r="F484" s="126">
        <v>14774</v>
      </c>
      <c r="G484" s="126">
        <f t="shared" si="59"/>
        <v>0</v>
      </c>
      <c r="H484" s="8"/>
      <c r="I484" s="9" t="str">
        <f t="array" ref="I484">_xlfn.XLOOKUP(C484,'Neiva 2021 FASE I UNIFICADO'!$C$6:$C$540,'Neiva 2021 FASE I UNIFICADO'!$C$6:$F$540,"NO ESTA")</f>
        <v>NO ESTA</v>
      </c>
      <c r="M484" s="124">
        <f t="shared" si="58"/>
        <v>0</v>
      </c>
      <c r="N484" s="155">
        <f t="shared" si="55"/>
        <v>0</v>
      </c>
      <c r="O484" s="156">
        <f t="shared" si="56"/>
        <v>14774</v>
      </c>
      <c r="P484" s="156">
        <f t="shared" si="57"/>
        <v>0</v>
      </c>
    </row>
    <row r="485" spans="2:16" s="9" customFormat="1" ht="54" customHeight="1" x14ac:dyDescent="0.25">
      <c r="B485" s="23" t="s">
        <v>700</v>
      </c>
      <c r="C485" s="22" t="s">
        <v>1251</v>
      </c>
      <c r="D485" s="23" t="s">
        <v>374</v>
      </c>
      <c r="E485" s="12">
        <v>0</v>
      </c>
      <c r="F485" s="126">
        <v>213900</v>
      </c>
      <c r="G485" s="126">
        <f t="shared" si="59"/>
        <v>0</v>
      </c>
      <c r="H485" s="8"/>
      <c r="I485" s="9" t="str">
        <f t="array" ref="I485">_xlfn.XLOOKUP(C485,'Neiva 2021 FASE I UNIFICADO'!$C$6:$C$540,'Neiva 2021 FASE I UNIFICADO'!$C$6:$F$540,"NO ESTA")</f>
        <v>NO ESTA</v>
      </c>
      <c r="M485" s="124">
        <f t="shared" si="58"/>
        <v>0</v>
      </c>
      <c r="N485" s="155">
        <f t="shared" si="55"/>
        <v>0</v>
      </c>
      <c r="O485" s="156">
        <f t="shared" si="56"/>
        <v>213900</v>
      </c>
      <c r="P485" s="156">
        <f t="shared" si="57"/>
        <v>0</v>
      </c>
    </row>
    <row r="486" spans="2:16" s="9" customFormat="1" ht="35.1" customHeight="1" x14ac:dyDescent="0.25">
      <c r="B486" s="23" t="s">
        <v>702</v>
      </c>
      <c r="C486" s="22" t="s">
        <v>703</v>
      </c>
      <c r="D486" s="23" t="s">
        <v>374</v>
      </c>
      <c r="E486" s="12">
        <v>0</v>
      </c>
      <c r="F486" s="126">
        <v>21111</v>
      </c>
      <c r="G486" s="126">
        <f t="shared" si="59"/>
        <v>0</v>
      </c>
      <c r="H486" s="8"/>
      <c r="I486" s="9" t="str">
        <f t="array" ref="I486:L486">_xlfn.XLOOKUP(C486,'Neiva 2021 FASE I UNIFICADO'!$C$6:$C$540,'Neiva 2021 FASE I UNIFICADO'!$C$6:$F$540,"NO ESTA")</f>
        <v>SUMINISTRO E INSTALACIÓN ABRAZADERAS DE BRONCE PARA SOPORTAR EL CABLE AL MURO DE CONCRETO APROBADAS PARA INTEMPERIE.</v>
      </c>
      <c r="J486" s="9" t="str">
        <v>UN</v>
      </c>
      <c r="K486" s="9">
        <v>86</v>
      </c>
      <c r="L486" s="9">
        <v>19538</v>
      </c>
      <c r="M486" s="124" t="str">
        <f t="shared" si="58"/>
        <v>FASE II</v>
      </c>
      <c r="N486" s="155">
        <f t="shared" si="55"/>
        <v>86</v>
      </c>
      <c r="O486" s="156">
        <f t="shared" si="56"/>
        <v>21111</v>
      </c>
      <c r="P486" s="156">
        <f t="shared" si="57"/>
        <v>1815546</v>
      </c>
    </row>
    <row r="487" spans="2:16" s="9" customFormat="1" ht="35.1" customHeight="1" x14ac:dyDescent="0.25">
      <c r="B487" s="23" t="s">
        <v>704</v>
      </c>
      <c r="C487" s="22" t="s">
        <v>705</v>
      </c>
      <c r="D487" s="23" t="s">
        <v>374</v>
      </c>
      <c r="E487" s="12">
        <v>0</v>
      </c>
      <c r="F487" s="126">
        <v>26196</v>
      </c>
      <c r="G487" s="126">
        <f t="shared" si="59"/>
        <v>0</v>
      </c>
      <c r="H487" s="8"/>
      <c r="I487" s="9" t="str">
        <f t="array" ref="I487:L487">_xlfn.XLOOKUP(C487,'Neiva 2021 FASE I UNIFICADO'!$C$6:$C$540,'Neiva 2021 FASE I UNIFICADO'!$C$6:$F$540,"NO ESTA")</f>
        <v>SUMINISTRO E INSTALACIÓN GRAPA DERIVACIÓN EN T DE BRONCE PARA SOPORTAR EL CABLE AL MURO DE CONCRETO APROBADAS PARA INTEMPERIE.</v>
      </c>
      <c r="J487" s="9" t="str">
        <v>UN</v>
      </c>
      <c r="K487" s="9">
        <v>4</v>
      </c>
      <c r="L487" s="9">
        <v>24245</v>
      </c>
      <c r="M487" s="124" t="str">
        <f t="shared" si="58"/>
        <v>FASE II</v>
      </c>
      <c r="N487" s="155">
        <f t="shared" si="55"/>
        <v>4</v>
      </c>
      <c r="O487" s="156">
        <f t="shared" si="56"/>
        <v>26196</v>
      </c>
      <c r="P487" s="156">
        <f t="shared" si="57"/>
        <v>104784</v>
      </c>
    </row>
    <row r="488" spans="2:16" s="9" customFormat="1" ht="35.1" customHeight="1" x14ac:dyDescent="0.25">
      <c r="B488" s="23" t="s">
        <v>706</v>
      </c>
      <c r="C488" s="22" t="s">
        <v>707</v>
      </c>
      <c r="D488" s="23" t="s">
        <v>374</v>
      </c>
      <c r="E488" s="12">
        <v>0</v>
      </c>
      <c r="F488" s="126">
        <v>214977</v>
      </c>
      <c r="G488" s="126">
        <f t="shared" si="59"/>
        <v>0</v>
      </c>
      <c r="H488" s="8"/>
      <c r="I488" s="9" t="str">
        <f t="array" ref="I488:L488">_xlfn.XLOOKUP(C488,'Neiva 2021 FASE I UNIFICADO'!$C$6:$C$540,'Neiva 2021 FASE I UNIFICADO'!$C$6:$F$540,"NO ESTA")</f>
        <v>SUMINISTRO E INSTALACIÓN ELECTRODO DE PUESTA A TIERRA EN CU DE 5/8"X 8' + CONECTOR</v>
      </c>
      <c r="J488" s="9" t="str">
        <v>UN</v>
      </c>
      <c r="K488" s="9">
        <v>4</v>
      </c>
      <c r="L488" s="9">
        <v>198960</v>
      </c>
      <c r="M488" s="124" t="str">
        <f t="shared" si="58"/>
        <v>FASE II</v>
      </c>
      <c r="N488" s="155">
        <f t="shared" si="55"/>
        <v>4</v>
      </c>
      <c r="O488" s="156">
        <f t="shared" si="56"/>
        <v>214977</v>
      </c>
      <c r="P488" s="156">
        <f t="shared" si="57"/>
        <v>859908</v>
      </c>
    </row>
    <row r="489" spans="2:16" s="9" customFormat="1" ht="35.1" customHeight="1" x14ac:dyDescent="0.25">
      <c r="B489" s="23" t="s">
        <v>708</v>
      </c>
      <c r="C489" s="22" t="s">
        <v>709</v>
      </c>
      <c r="D489" s="23" t="s">
        <v>374</v>
      </c>
      <c r="E489" s="12">
        <v>0</v>
      </c>
      <c r="F489" s="126">
        <v>132126</v>
      </c>
      <c r="G489" s="126">
        <f t="shared" si="59"/>
        <v>0</v>
      </c>
      <c r="H489" s="8"/>
      <c r="I489" s="9" t="str">
        <f t="array" ref="I489:L489">_xlfn.XLOOKUP(C489,'Neiva 2021 FASE I UNIFICADO'!$C$6:$C$540,'Neiva 2021 FASE I UNIFICADO'!$C$6:$F$540,"NO ESTA")</f>
        <v>SUMINISTRO E INSTALACIÓN CONEXIÓN EXOTÉRMICA VARILLA-CABLE CALIBRE #2 AWG. INCLUYE SUMINISTRO DE MOLDE FÚNDENTE Y DEMÁS ACCESORIOS.</v>
      </c>
      <c r="J489" s="9" t="str">
        <v>UN</v>
      </c>
      <c r="K489" s="9">
        <v>4</v>
      </c>
      <c r="L489" s="9">
        <v>122282</v>
      </c>
      <c r="M489" s="124" t="str">
        <f t="shared" si="58"/>
        <v>FASE II</v>
      </c>
      <c r="N489" s="155">
        <f t="shared" si="55"/>
        <v>4</v>
      </c>
      <c r="O489" s="156">
        <f t="shared" si="56"/>
        <v>132126</v>
      </c>
      <c r="P489" s="156">
        <f t="shared" si="57"/>
        <v>528504</v>
      </c>
    </row>
    <row r="490" spans="2:16" s="9" customFormat="1" ht="35.1" customHeight="1" x14ac:dyDescent="0.25">
      <c r="B490" s="23" t="s">
        <v>710</v>
      </c>
      <c r="C490" s="22" t="s">
        <v>1252</v>
      </c>
      <c r="D490" s="23" t="s">
        <v>374</v>
      </c>
      <c r="E490" s="12">
        <v>0</v>
      </c>
      <c r="F490" s="126">
        <v>262735</v>
      </c>
      <c r="G490" s="126">
        <f t="shared" si="59"/>
        <v>0</v>
      </c>
      <c r="H490" s="8"/>
      <c r="I490" s="9" t="str">
        <f t="array" ref="I490">_xlfn.XLOOKUP(C490,'Neiva 2021 FASE I UNIFICADO'!$C$6:$C$540,'Neiva 2021 FASE I UNIFICADO'!$C$6:$F$540,"NO ESTA")</f>
        <v>NO ESTA</v>
      </c>
      <c r="M490" s="124">
        <f t="shared" si="58"/>
        <v>0</v>
      </c>
      <c r="N490" s="155">
        <f t="shared" si="55"/>
        <v>0</v>
      </c>
      <c r="O490" s="156">
        <f t="shared" si="56"/>
        <v>262735</v>
      </c>
      <c r="P490" s="156">
        <f t="shared" si="57"/>
        <v>0</v>
      </c>
    </row>
    <row r="491" spans="2:16" s="9" customFormat="1" ht="35.1" customHeight="1" x14ac:dyDescent="0.25">
      <c r="B491" s="13" t="s">
        <v>1253</v>
      </c>
      <c r="C491" s="24" t="s">
        <v>1254</v>
      </c>
      <c r="D491" s="24"/>
      <c r="E491" s="15"/>
      <c r="F491" s="129"/>
      <c r="G491" s="140"/>
      <c r="H491" s="8"/>
      <c r="I491" s="9" t="str">
        <f t="array" ref="I491">_xlfn.XLOOKUP(C491,'Neiva 2021 FASE I UNIFICADO'!$C$6:$C$540,'Neiva 2021 FASE I UNIFICADO'!$C$6:$F$540,"NO ESTA")</f>
        <v>NO ESTA</v>
      </c>
      <c r="M491" s="124">
        <f t="shared" si="58"/>
        <v>0</v>
      </c>
      <c r="N491" s="155">
        <f t="shared" si="55"/>
        <v>0</v>
      </c>
      <c r="O491" s="156">
        <f t="shared" si="56"/>
        <v>0</v>
      </c>
      <c r="P491" s="156">
        <f t="shared" si="57"/>
        <v>0</v>
      </c>
    </row>
    <row r="492" spans="2:16" s="9" customFormat="1" ht="108.75" customHeight="1" x14ac:dyDescent="0.25">
      <c r="B492" s="23" t="s">
        <v>1255</v>
      </c>
      <c r="C492" s="22" t="s">
        <v>1256</v>
      </c>
      <c r="D492" s="23" t="s">
        <v>374</v>
      </c>
      <c r="E492" s="12">
        <v>1</v>
      </c>
      <c r="F492" s="126">
        <v>206192449</v>
      </c>
      <c r="G492" s="126">
        <f t="shared" ref="G492:G503" si="60">ROUND(+F492*E492,2)</f>
        <v>206192449</v>
      </c>
      <c r="H492" s="8"/>
      <c r="I492" s="9" t="str">
        <f t="array" ref="I492">_xlfn.XLOOKUP(C492,'Neiva 2021 FASE I UNIFICADO'!$C$6:$C$540,'Neiva 2021 FASE I UNIFICADO'!$C$6:$F$540,"NO ESTA")</f>
        <v>NO ESTA</v>
      </c>
      <c r="M492" s="124">
        <f t="shared" si="58"/>
        <v>0</v>
      </c>
      <c r="N492" s="155">
        <f t="shared" si="55"/>
        <v>1</v>
      </c>
      <c r="O492" s="156">
        <f t="shared" si="56"/>
        <v>206192449</v>
      </c>
      <c r="P492" s="156">
        <f t="shared" si="57"/>
        <v>206192449</v>
      </c>
    </row>
    <row r="493" spans="2:16" s="9" customFormat="1" ht="35.1" customHeight="1" x14ac:dyDescent="0.25">
      <c r="B493" s="23" t="s">
        <v>1257</v>
      </c>
      <c r="C493" s="22" t="s">
        <v>1258</v>
      </c>
      <c r="D493" s="23" t="s">
        <v>374</v>
      </c>
      <c r="E493" s="12">
        <v>1</v>
      </c>
      <c r="F493" s="126">
        <v>1002721</v>
      </c>
      <c r="G493" s="126">
        <f t="shared" si="60"/>
        <v>1002721</v>
      </c>
      <c r="H493" s="8"/>
      <c r="I493" s="9" t="str">
        <f t="array" ref="I493">_xlfn.XLOOKUP(C493,'Neiva 2021 FASE I UNIFICADO'!$C$6:$C$540,'Neiva 2021 FASE I UNIFICADO'!$C$6:$F$540,"NO ESTA")</f>
        <v>NO ESTA</v>
      </c>
      <c r="M493" s="124">
        <f t="shared" si="58"/>
        <v>0</v>
      </c>
      <c r="N493" s="155">
        <f t="shared" si="55"/>
        <v>1</v>
      </c>
      <c r="O493" s="156">
        <f t="shared" si="56"/>
        <v>1002721</v>
      </c>
      <c r="P493" s="156">
        <f t="shared" si="57"/>
        <v>1002721</v>
      </c>
    </row>
    <row r="494" spans="2:16" s="9" customFormat="1" ht="35.1" customHeight="1" x14ac:dyDescent="0.25">
      <c r="B494" s="23" t="s">
        <v>1259</v>
      </c>
      <c r="C494" s="22" t="s">
        <v>1260</v>
      </c>
      <c r="D494" s="23" t="s">
        <v>374</v>
      </c>
      <c r="E494" s="12">
        <v>4</v>
      </c>
      <c r="F494" s="126">
        <v>187808</v>
      </c>
      <c r="G494" s="126">
        <f t="shared" si="60"/>
        <v>751232</v>
      </c>
      <c r="H494" s="8"/>
      <c r="I494" s="9" t="str">
        <f t="array" ref="I494">_xlfn.XLOOKUP(C494,'Neiva 2021 FASE I UNIFICADO'!$C$6:$C$540,'Neiva 2021 FASE I UNIFICADO'!$C$6:$F$540,"NO ESTA")</f>
        <v>NO ESTA</v>
      </c>
      <c r="M494" s="124">
        <f t="shared" si="58"/>
        <v>0</v>
      </c>
      <c r="N494" s="155">
        <f t="shared" si="55"/>
        <v>4</v>
      </c>
      <c r="O494" s="156">
        <f t="shared" si="56"/>
        <v>187808</v>
      </c>
      <c r="P494" s="156">
        <f t="shared" si="57"/>
        <v>751232</v>
      </c>
    </row>
    <row r="495" spans="2:16" s="9" customFormat="1" ht="50.25" customHeight="1" x14ac:dyDescent="0.25">
      <c r="B495" s="23" t="s">
        <v>1261</v>
      </c>
      <c r="C495" s="22" t="s">
        <v>1262</v>
      </c>
      <c r="D495" s="23" t="s">
        <v>374</v>
      </c>
      <c r="E495" s="12">
        <v>1</v>
      </c>
      <c r="F495" s="126">
        <v>1546095</v>
      </c>
      <c r="G495" s="126">
        <f t="shared" si="60"/>
        <v>1546095</v>
      </c>
      <c r="H495" s="8"/>
      <c r="I495" s="9" t="str">
        <f t="array" ref="I495">_xlfn.XLOOKUP(C495,'Neiva 2021 FASE I UNIFICADO'!$C$6:$C$540,'Neiva 2021 FASE I UNIFICADO'!$C$6:$F$540,"NO ESTA")</f>
        <v>NO ESTA</v>
      </c>
      <c r="M495" s="124">
        <f t="shared" si="58"/>
        <v>0</v>
      </c>
      <c r="N495" s="155">
        <f t="shared" si="55"/>
        <v>1</v>
      </c>
      <c r="O495" s="156">
        <f t="shared" si="56"/>
        <v>1546095</v>
      </c>
      <c r="P495" s="156">
        <f t="shared" si="57"/>
        <v>1546095</v>
      </c>
    </row>
    <row r="496" spans="2:16" s="9" customFormat="1" ht="35.1" customHeight="1" x14ac:dyDescent="0.25">
      <c r="B496" s="23" t="s">
        <v>1263</v>
      </c>
      <c r="C496" s="22" t="s">
        <v>1264</v>
      </c>
      <c r="D496" s="23" t="s">
        <v>374</v>
      </c>
      <c r="E496" s="12">
        <v>1</v>
      </c>
      <c r="F496" s="126">
        <v>779111</v>
      </c>
      <c r="G496" s="126">
        <f t="shared" si="60"/>
        <v>779111</v>
      </c>
      <c r="H496" s="8"/>
      <c r="I496" s="9" t="str">
        <f t="array" ref="I496">_xlfn.XLOOKUP(C496,'Neiva 2021 FASE I UNIFICADO'!$C$6:$C$540,'Neiva 2021 FASE I UNIFICADO'!$C$6:$F$540,"NO ESTA")</f>
        <v>NO ESTA</v>
      </c>
      <c r="M496" s="124">
        <f t="shared" si="58"/>
        <v>0</v>
      </c>
      <c r="N496" s="155">
        <f t="shared" si="55"/>
        <v>1</v>
      </c>
      <c r="O496" s="156">
        <f t="shared" si="56"/>
        <v>779111</v>
      </c>
      <c r="P496" s="156">
        <f t="shared" si="57"/>
        <v>779111</v>
      </c>
    </row>
    <row r="497" spans="2:16" s="9" customFormat="1" ht="35.1" customHeight="1" x14ac:dyDescent="0.25">
      <c r="B497" s="23" t="s">
        <v>1265</v>
      </c>
      <c r="C497" s="22" t="s">
        <v>1266</v>
      </c>
      <c r="D497" s="23" t="s">
        <v>374</v>
      </c>
      <c r="E497" s="12">
        <v>1</v>
      </c>
      <c r="F497" s="126">
        <v>1474412</v>
      </c>
      <c r="G497" s="126">
        <f t="shared" si="60"/>
        <v>1474412</v>
      </c>
      <c r="H497" s="8"/>
      <c r="I497" s="9" t="str">
        <f t="array" ref="I497">_xlfn.XLOOKUP(C497,'Neiva 2021 FASE I UNIFICADO'!$C$6:$C$540,'Neiva 2021 FASE I UNIFICADO'!$C$6:$F$540,"NO ESTA")</f>
        <v>NO ESTA</v>
      </c>
      <c r="M497" s="124">
        <f t="shared" si="58"/>
        <v>0</v>
      </c>
      <c r="N497" s="155">
        <f t="shared" si="55"/>
        <v>1</v>
      </c>
      <c r="O497" s="156">
        <f t="shared" si="56"/>
        <v>1474412</v>
      </c>
      <c r="P497" s="156">
        <f t="shared" si="57"/>
        <v>1474412</v>
      </c>
    </row>
    <row r="498" spans="2:16" s="9" customFormat="1" ht="42.75" customHeight="1" x14ac:dyDescent="0.25">
      <c r="B498" s="23" t="s">
        <v>1267</v>
      </c>
      <c r="C498" s="22" t="s">
        <v>1268</v>
      </c>
      <c r="D498" s="23" t="s">
        <v>269</v>
      </c>
      <c r="E498" s="12">
        <v>8</v>
      </c>
      <c r="F498" s="126">
        <v>218590</v>
      </c>
      <c r="G498" s="126">
        <f t="shared" si="60"/>
        <v>1748720</v>
      </c>
      <c r="H498" s="8"/>
      <c r="I498" s="9" t="str">
        <f t="array" ref="I498">_xlfn.XLOOKUP(C498,'Neiva 2021 FASE I UNIFICADO'!$C$6:$C$540,'Neiva 2021 FASE I UNIFICADO'!$C$6:$F$540,"NO ESTA")</f>
        <v>NO ESTA</v>
      </c>
      <c r="M498" s="124">
        <f t="shared" si="58"/>
        <v>0</v>
      </c>
      <c r="N498" s="155">
        <f t="shared" si="55"/>
        <v>8</v>
      </c>
      <c r="O498" s="156">
        <f t="shared" si="56"/>
        <v>218590</v>
      </c>
      <c r="P498" s="156">
        <f t="shared" si="57"/>
        <v>1748720</v>
      </c>
    </row>
    <row r="499" spans="2:16" s="9" customFormat="1" ht="35.1" customHeight="1" x14ac:dyDescent="0.25">
      <c r="B499" s="23" t="s">
        <v>1269</v>
      </c>
      <c r="C499" s="22" t="s">
        <v>1270</v>
      </c>
      <c r="D499" s="23" t="s">
        <v>374</v>
      </c>
      <c r="E499" s="12">
        <v>2</v>
      </c>
      <c r="F499" s="126">
        <v>218590</v>
      </c>
      <c r="G499" s="126">
        <f t="shared" si="60"/>
        <v>437180</v>
      </c>
      <c r="H499" s="8"/>
      <c r="I499" s="9" t="str">
        <f t="array" ref="I499">_xlfn.XLOOKUP(C499,'Neiva 2021 FASE I UNIFICADO'!$C$6:$C$540,'Neiva 2021 FASE I UNIFICADO'!$C$6:$F$540,"NO ESTA")</f>
        <v>NO ESTA</v>
      </c>
      <c r="M499" s="124">
        <f t="shared" si="58"/>
        <v>0</v>
      </c>
      <c r="N499" s="155">
        <f t="shared" si="55"/>
        <v>2</v>
      </c>
      <c r="O499" s="156">
        <f t="shared" si="56"/>
        <v>218590</v>
      </c>
      <c r="P499" s="156">
        <f t="shared" si="57"/>
        <v>437180</v>
      </c>
    </row>
    <row r="500" spans="2:16" s="9" customFormat="1" ht="35.1" customHeight="1" x14ac:dyDescent="0.25">
      <c r="B500" s="23" t="s">
        <v>1271</v>
      </c>
      <c r="C500" s="22" t="s">
        <v>1272</v>
      </c>
      <c r="D500" s="23" t="s">
        <v>374</v>
      </c>
      <c r="E500" s="12">
        <v>1</v>
      </c>
      <c r="F500" s="126">
        <v>492365</v>
      </c>
      <c r="G500" s="126">
        <f t="shared" si="60"/>
        <v>492365</v>
      </c>
      <c r="H500" s="8"/>
      <c r="I500" s="9" t="str">
        <f t="array" ref="I500">_xlfn.XLOOKUP(C500,'Neiva 2021 FASE I UNIFICADO'!$C$6:$C$540,'Neiva 2021 FASE I UNIFICADO'!$C$6:$F$540,"NO ESTA")</f>
        <v>NO ESTA</v>
      </c>
      <c r="M500" s="124">
        <f t="shared" si="58"/>
        <v>0</v>
      </c>
      <c r="N500" s="155">
        <f t="shared" si="55"/>
        <v>1</v>
      </c>
      <c r="O500" s="156">
        <f t="shared" si="56"/>
        <v>492365</v>
      </c>
      <c r="P500" s="156">
        <f t="shared" si="57"/>
        <v>492365</v>
      </c>
    </row>
    <row r="501" spans="2:16" s="9" customFormat="1" ht="37.5" customHeight="1" x14ac:dyDescent="0.25">
      <c r="B501" s="23" t="s">
        <v>1273</v>
      </c>
      <c r="C501" s="22" t="s">
        <v>1274</v>
      </c>
      <c r="D501" s="23" t="s">
        <v>374</v>
      </c>
      <c r="E501" s="12">
        <v>1</v>
      </c>
      <c r="F501" s="126">
        <v>448760</v>
      </c>
      <c r="G501" s="126">
        <f t="shared" si="60"/>
        <v>448760</v>
      </c>
      <c r="H501" s="8"/>
      <c r="I501" s="9" t="str">
        <f t="array" ref="I501">_xlfn.XLOOKUP(C501,'Neiva 2021 FASE I UNIFICADO'!$C$6:$C$540,'Neiva 2021 FASE I UNIFICADO'!$C$6:$F$540,"NO ESTA")</f>
        <v>NO ESTA</v>
      </c>
      <c r="M501" s="124">
        <f t="shared" si="58"/>
        <v>0</v>
      </c>
      <c r="N501" s="155">
        <f t="shared" si="55"/>
        <v>1</v>
      </c>
      <c r="O501" s="156">
        <f t="shared" si="56"/>
        <v>448760</v>
      </c>
      <c r="P501" s="156">
        <f t="shared" si="57"/>
        <v>448760</v>
      </c>
    </row>
    <row r="502" spans="2:16" s="9" customFormat="1" ht="35.1" customHeight="1" x14ac:dyDescent="0.25">
      <c r="B502" s="23" t="s">
        <v>1275</v>
      </c>
      <c r="C502" s="22" t="s">
        <v>1276</v>
      </c>
      <c r="D502" s="23" t="s">
        <v>269</v>
      </c>
      <c r="E502" s="12">
        <v>8</v>
      </c>
      <c r="F502" s="126">
        <v>110064</v>
      </c>
      <c r="G502" s="126">
        <f t="shared" si="60"/>
        <v>880512</v>
      </c>
      <c r="H502" s="8"/>
      <c r="I502" s="9" t="str">
        <f t="array" ref="I502">_xlfn.XLOOKUP(C502,'Neiva 2021 FASE I UNIFICADO'!$C$6:$C$540,'Neiva 2021 FASE I UNIFICADO'!$C$6:$F$540,"NO ESTA")</f>
        <v>NO ESTA</v>
      </c>
      <c r="M502" s="124">
        <f t="shared" si="58"/>
        <v>0</v>
      </c>
      <c r="N502" s="155">
        <f t="shared" si="55"/>
        <v>8</v>
      </c>
      <c r="O502" s="156">
        <f t="shared" si="56"/>
        <v>110064</v>
      </c>
      <c r="P502" s="156">
        <f t="shared" si="57"/>
        <v>880512</v>
      </c>
    </row>
    <row r="503" spans="2:16" s="9" customFormat="1" ht="35.1" customHeight="1" x14ac:dyDescent="0.25">
      <c r="B503" s="23" t="s">
        <v>1277</v>
      </c>
      <c r="C503" s="22" t="s">
        <v>1278</v>
      </c>
      <c r="D503" s="23" t="s">
        <v>269</v>
      </c>
      <c r="E503" s="12">
        <v>2</v>
      </c>
      <c r="F503" s="126">
        <v>110064</v>
      </c>
      <c r="G503" s="126">
        <f t="shared" si="60"/>
        <v>220128</v>
      </c>
      <c r="H503" s="8"/>
      <c r="I503" s="9" t="str">
        <f t="array" ref="I503">_xlfn.XLOOKUP(C503,'Neiva 2021 FASE I UNIFICADO'!$C$6:$C$540,'Neiva 2021 FASE I UNIFICADO'!$C$6:$F$540,"NO ESTA")</f>
        <v>NO ESTA</v>
      </c>
      <c r="M503" s="124">
        <f t="shared" si="58"/>
        <v>0</v>
      </c>
      <c r="N503" s="155">
        <f t="shared" si="55"/>
        <v>2</v>
      </c>
      <c r="O503" s="156">
        <f t="shared" si="56"/>
        <v>110064</v>
      </c>
      <c r="P503" s="156">
        <f t="shared" si="57"/>
        <v>220128</v>
      </c>
    </row>
    <row r="504" spans="2:16" s="9" customFormat="1" ht="35.1" customHeight="1" x14ac:dyDescent="0.25">
      <c r="B504" s="13" t="s">
        <v>1279</v>
      </c>
      <c r="C504" s="14" t="s">
        <v>1280</v>
      </c>
      <c r="D504" s="24"/>
      <c r="E504" s="15"/>
      <c r="F504" s="129"/>
      <c r="G504" s="140"/>
      <c r="H504" s="8"/>
      <c r="I504" s="9" t="str">
        <f t="array" ref="I504">_xlfn.XLOOKUP(C504,'Neiva 2021 FASE I UNIFICADO'!$C$6:$C$540,'Neiva 2021 FASE I UNIFICADO'!$C$6:$F$540,"NO ESTA")</f>
        <v>NO ESTA</v>
      </c>
      <c r="M504" s="124">
        <f t="shared" si="58"/>
        <v>0</v>
      </c>
      <c r="N504" s="155">
        <f t="shared" si="55"/>
        <v>0</v>
      </c>
      <c r="O504" s="156">
        <f t="shared" si="56"/>
        <v>0</v>
      </c>
      <c r="P504" s="156">
        <f t="shared" si="57"/>
        <v>0</v>
      </c>
    </row>
    <row r="505" spans="2:16" s="9" customFormat="1" ht="35.1" customHeight="1" x14ac:dyDescent="0.25">
      <c r="B505" s="23" t="s">
        <v>1281</v>
      </c>
      <c r="C505" s="22" t="s">
        <v>1282</v>
      </c>
      <c r="D505" s="23" t="s">
        <v>374</v>
      </c>
      <c r="E505" s="12">
        <v>1</v>
      </c>
      <c r="F505" s="126">
        <v>23219474</v>
      </c>
      <c r="G505" s="126">
        <f>ROUND(+F505*E505,2)</f>
        <v>23219474</v>
      </c>
      <c r="H505" s="8"/>
      <c r="I505" s="9" t="str">
        <f t="array" ref="I505">_xlfn.XLOOKUP(C505,'Neiva 2021 FASE I UNIFICADO'!$C$6:$C$540,'Neiva 2021 FASE I UNIFICADO'!$C$6:$F$540,"NO ESTA")</f>
        <v>NO ESTA</v>
      </c>
      <c r="M505" s="124">
        <f t="shared" si="58"/>
        <v>0</v>
      </c>
      <c r="N505" s="155">
        <f t="shared" si="55"/>
        <v>1</v>
      </c>
      <c r="O505" s="156">
        <f t="shared" si="56"/>
        <v>23219474</v>
      </c>
      <c r="P505" s="156">
        <f t="shared" si="57"/>
        <v>23219474</v>
      </c>
    </row>
    <row r="506" spans="2:16" s="9" customFormat="1" ht="39.950000000000003" customHeight="1" x14ac:dyDescent="0.25">
      <c r="B506" s="13" t="s">
        <v>1283</v>
      </c>
      <c r="C506" s="14" t="s">
        <v>1284</v>
      </c>
      <c r="D506" s="24"/>
      <c r="E506" s="15"/>
      <c r="F506" s="129"/>
      <c r="G506" s="140"/>
      <c r="H506" s="8"/>
      <c r="I506" s="9" t="str">
        <f t="array" ref="I506">_xlfn.XLOOKUP(C506,'Neiva 2021 FASE I UNIFICADO'!$C$6:$C$540,'Neiva 2021 FASE I UNIFICADO'!$C$6:$F$540,"NO ESTA")</f>
        <v>NO ESTA</v>
      </c>
      <c r="M506" s="124">
        <f t="shared" si="58"/>
        <v>0</v>
      </c>
      <c r="N506" s="155">
        <f t="shared" si="55"/>
        <v>0</v>
      </c>
      <c r="O506" s="156">
        <f t="shared" si="56"/>
        <v>0</v>
      </c>
      <c r="P506" s="156">
        <f t="shared" si="57"/>
        <v>0</v>
      </c>
    </row>
    <row r="507" spans="2:16" s="9" customFormat="1" ht="39.950000000000003" customHeight="1" x14ac:dyDescent="0.25">
      <c r="B507" s="23" t="s">
        <v>1285</v>
      </c>
      <c r="C507" s="22" t="s">
        <v>1286</v>
      </c>
      <c r="D507" s="23" t="s">
        <v>374</v>
      </c>
      <c r="E507" s="12">
        <v>1</v>
      </c>
      <c r="F507" s="126">
        <v>2269168</v>
      </c>
      <c r="G507" s="126">
        <f>ROUND(+F507*E507,2)</f>
        <v>2269168</v>
      </c>
      <c r="H507" s="8"/>
      <c r="I507" s="9" t="str">
        <f t="array" ref="I507">_xlfn.XLOOKUP(C507,'Neiva 2021 FASE I UNIFICADO'!$C$6:$C$540,'Neiva 2021 FASE I UNIFICADO'!$C$6:$F$540,"NO ESTA")</f>
        <v>NO ESTA</v>
      </c>
      <c r="M507" s="124">
        <f t="shared" si="58"/>
        <v>0</v>
      </c>
      <c r="N507" s="155">
        <f t="shared" si="55"/>
        <v>1</v>
      </c>
      <c r="O507" s="156">
        <f t="shared" si="56"/>
        <v>2269168</v>
      </c>
      <c r="P507" s="156">
        <f t="shared" si="57"/>
        <v>2269168</v>
      </c>
    </row>
    <row r="508" spans="2:16" s="9" customFormat="1" ht="39.950000000000003" customHeight="1" x14ac:dyDescent="0.25">
      <c r="B508" s="23" t="s">
        <v>1287</v>
      </c>
      <c r="C508" s="22" t="s">
        <v>1288</v>
      </c>
      <c r="D508" s="23" t="s">
        <v>269</v>
      </c>
      <c r="E508" s="12">
        <v>10</v>
      </c>
      <c r="F508" s="126">
        <v>100733</v>
      </c>
      <c r="G508" s="126">
        <f>ROUND(+F508*E508,2)</f>
        <v>1007330</v>
      </c>
      <c r="H508" s="8">
        <f>ROUND(F508*(1+$H$3),0)</f>
        <v>196711</v>
      </c>
      <c r="I508" s="9" t="str">
        <f t="array" ref="I508">_xlfn.XLOOKUP(C508,'Neiva 2021 FASE I UNIFICADO'!$C$6:$C$540,'Neiva 2021 FASE I UNIFICADO'!$C$6:$F$540,"NO ESTA")</f>
        <v>NO ESTA</v>
      </c>
      <c r="M508" s="124">
        <f t="shared" si="58"/>
        <v>0</v>
      </c>
      <c r="N508" s="155">
        <f t="shared" si="55"/>
        <v>10</v>
      </c>
      <c r="O508" s="156">
        <f t="shared" si="56"/>
        <v>100733</v>
      </c>
      <c r="P508" s="156">
        <f t="shared" si="57"/>
        <v>1007330</v>
      </c>
    </row>
    <row r="509" spans="2:16" s="9" customFormat="1" ht="39.950000000000003" customHeight="1" x14ac:dyDescent="0.25">
      <c r="B509" s="23" t="s">
        <v>1289</v>
      </c>
      <c r="C509" s="22" t="s">
        <v>1290</v>
      </c>
      <c r="D509" s="23" t="s">
        <v>269</v>
      </c>
      <c r="E509" s="12">
        <v>5</v>
      </c>
      <c r="F509" s="126">
        <v>184288</v>
      </c>
      <c r="G509" s="126">
        <f>ROUND(+F509*E509,2)</f>
        <v>921440</v>
      </c>
      <c r="H509" s="8">
        <f>ROUND(F509*(1+$H$3),0)</f>
        <v>359878</v>
      </c>
      <c r="I509" s="9" t="str">
        <f t="array" ref="I509">_xlfn.XLOOKUP(C509,'Neiva 2021 FASE I UNIFICADO'!$C$6:$C$540,'Neiva 2021 FASE I UNIFICADO'!$C$6:$F$540,"NO ESTA")</f>
        <v>NO ESTA</v>
      </c>
      <c r="M509" s="124">
        <f t="shared" si="58"/>
        <v>0</v>
      </c>
      <c r="N509" s="155">
        <f t="shared" si="55"/>
        <v>5</v>
      </c>
      <c r="O509" s="156">
        <f t="shared" si="56"/>
        <v>184288</v>
      </c>
      <c r="P509" s="156">
        <f t="shared" si="57"/>
        <v>921440</v>
      </c>
    </row>
    <row r="510" spans="2:16" s="9" customFormat="1" ht="39.950000000000003" customHeight="1" x14ac:dyDescent="0.25">
      <c r="B510" s="23" t="s">
        <v>1291</v>
      </c>
      <c r="C510" s="22" t="s">
        <v>1292</v>
      </c>
      <c r="D510" s="23" t="s">
        <v>269</v>
      </c>
      <c r="E510" s="12">
        <v>5</v>
      </c>
      <c r="F510" s="126">
        <v>184288</v>
      </c>
      <c r="G510" s="126">
        <f>ROUND(+F510*E510,2)</f>
        <v>921440</v>
      </c>
      <c r="H510" s="8">
        <f>ROUND(F510*(1+$H$3),0)</f>
        <v>359878</v>
      </c>
      <c r="I510" s="9" t="str">
        <f t="array" ref="I510">_xlfn.XLOOKUP(C510,'Neiva 2021 FASE I UNIFICADO'!$C$6:$C$540,'Neiva 2021 FASE I UNIFICADO'!$C$6:$F$540,"NO ESTA")</f>
        <v>NO ESTA</v>
      </c>
      <c r="M510" s="124">
        <f t="shared" si="58"/>
        <v>0</v>
      </c>
      <c r="N510" s="155">
        <f t="shared" si="55"/>
        <v>5</v>
      </c>
      <c r="O510" s="156">
        <f t="shared" si="56"/>
        <v>184288</v>
      </c>
      <c r="P510" s="156">
        <f t="shared" si="57"/>
        <v>921440</v>
      </c>
    </row>
    <row r="511" spans="2:16" s="9" customFormat="1" ht="35.1" customHeight="1" x14ac:dyDescent="0.25">
      <c r="B511" s="23" t="s">
        <v>1293</v>
      </c>
      <c r="C511" s="22" t="s">
        <v>1294</v>
      </c>
      <c r="D511" s="23" t="s">
        <v>1182</v>
      </c>
      <c r="E511" s="12">
        <v>200</v>
      </c>
      <c r="F511" s="126">
        <v>12373</v>
      </c>
      <c r="G511" s="126">
        <f>ROUND(+F511*E511,2)</f>
        <v>2474600</v>
      </c>
      <c r="H511" s="8"/>
      <c r="I511" s="9" t="str">
        <f t="array" ref="I511">_xlfn.XLOOKUP(C511,'Neiva 2021 FASE I UNIFICADO'!$C$6:$C$540,'Neiva 2021 FASE I UNIFICADO'!$C$6:$F$540,"NO ESTA")</f>
        <v>NO ESTA</v>
      </c>
      <c r="M511" s="124">
        <f t="shared" si="58"/>
        <v>0</v>
      </c>
      <c r="N511" s="155">
        <f t="shared" si="55"/>
        <v>200</v>
      </c>
      <c r="O511" s="156">
        <f t="shared" si="56"/>
        <v>12373</v>
      </c>
      <c r="P511" s="156">
        <f t="shared" si="57"/>
        <v>2474600</v>
      </c>
    </row>
    <row r="512" spans="2:16" s="9" customFormat="1" ht="35.1" customHeight="1" x14ac:dyDescent="0.25">
      <c r="B512" s="57">
        <v>16</v>
      </c>
      <c r="C512" s="58" t="s">
        <v>712</v>
      </c>
      <c r="D512" s="34"/>
      <c r="E512" s="35"/>
      <c r="F512" s="132"/>
      <c r="G512" s="142"/>
      <c r="H512" s="8"/>
      <c r="I512" s="9" t="str">
        <f t="array" ref="I512:L512">_xlfn.XLOOKUP(C512,'Neiva 2021 FASE I UNIFICADO'!$C$6:$C$540,'Neiva 2021 FASE I UNIFICADO'!$C$6:$F$540,"NO ESTA")</f>
        <v>LUMINARIAS Y LAMPARAS</v>
      </c>
      <c r="J512" s="9">
        <v>0</v>
      </c>
      <c r="K512" s="9">
        <v>0</v>
      </c>
      <c r="L512" s="9">
        <v>0</v>
      </c>
      <c r="M512" s="124">
        <f t="shared" si="58"/>
        <v>0</v>
      </c>
      <c r="N512" s="155">
        <f t="shared" si="55"/>
        <v>0</v>
      </c>
      <c r="O512" s="156">
        <f t="shared" si="56"/>
        <v>0</v>
      </c>
      <c r="P512" s="156">
        <f t="shared" si="57"/>
        <v>0</v>
      </c>
    </row>
    <row r="513" spans="2:16" s="9" customFormat="1" ht="35.1" customHeight="1" x14ac:dyDescent="0.25">
      <c r="B513" s="13" t="s">
        <v>713</v>
      </c>
      <c r="C513" s="24" t="s">
        <v>714</v>
      </c>
      <c r="D513" s="24"/>
      <c r="E513" s="15"/>
      <c r="F513" s="129"/>
      <c r="G513" s="140"/>
      <c r="H513" s="8"/>
      <c r="I513" s="9" t="str">
        <f t="array" ref="I513:L513">_xlfn.XLOOKUP(C513,'Neiva 2021 FASE I UNIFICADO'!$C$6:$C$540,'Neiva 2021 FASE I UNIFICADO'!$C$6:$F$540,"NO ESTA")</f>
        <v xml:space="preserve">SUMINISTRO E INSTALACIÓN DE LÁMPARAS FLUORESCENTES </v>
      </c>
      <c r="J513" s="9">
        <v>0</v>
      </c>
      <c r="K513" s="9">
        <v>0</v>
      </c>
      <c r="L513" s="9">
        <v>0</v>
      </c>
      <c r="M513" s="124">
        <f t="shared" si="58"/>
        <v>0</v>
      </c>
      <c r="N513" s="155">
        <f t="shared" si="55"/>
        <v>0</v>
      </c>
      <c r="O513" s="156">
        <f t="shared" si="56"/>
        <v>0</v>
      </c>
      <c r="P513" s="156">
        <f t="shared" si="57"/>
        <v>0</v>
      </c>
    </row>
    <row r="514" spans="2:16" s="9" customFormat="1" ht="35.1" customHeight="1" x14ac:dyDescent="0.25">
      <c r="B514" s="23" t="s">
        <v>715</v>
      </c>
      <c r="C514" s="87" t="s">
        <v>716</v>
      </c>
      <c r="D514" s="23" t="s">
        <v>374</v>
      </c>
      <c r="E514" s="12">
        <v>153</v>
      </c>
      <c r="F514" s="126">
        <v>97894</v>
      </c>
      <c r="G514" s="126">
        <f t="shared" ref="G514:G522" si="61">ROUND(+F514*E514,2)</f>
        <v>14977782</v>
      </c>
      <c r="H514" s="8"/>
      <c r="I514" s="9" t="str">
        <f t="array" ref="I514:L514">_xlfn.XLOOKUP(C514,'Neiva 2021 FASE I UNIFICADO'!$C$6:$C$540,'Neiva 2021 FASE I UNIFICADO'!$C$6:$F$540,"NO ESTA")</f>
        <v>SUMINISTRO E INSTALACIÓN LÁMPARA LED 1x28 W</v>
      </c>
      <c r="J514" s="9" t="str">
        <v>UN</v>
      </c>
      <c r="K514" s="9">
        <v>57</v>
      </c>
      <c r="L514" s="9">
        <v>125754</v>
      </c>
      <c r="M514" s="124" t="str">
        <f t="shared" si="58"/>
        <v>FASE I</v>
      </c>
      <c r="N514" s="155">
        <f t="shared" si="55"/>
        <v>210</v>
      </c>
      <c r="O514" s="156">
        <f t="shared" si="56"/>
        <v>125754</v>
      </c>
      <c r="P514" s="156">
        <f t="shared" si="57"/>
        <v>26408340</v>
      </c>
    </row>
    <row r="515" spans="2:16" s="9" customFormat="1" ht="35.1" customHeight="1" x14ac:dyDescent="0.25">
      <c r="B515" s="23" t="s">
        <v>717</v>
      </c>
      <c r="C515" s="87" t="s">
        <v>718</v>
      </c>
      <c r="D515" s="23" t="s">
        <v>374</v>
      </c>
      <c r="E515" s="12">
        <v>82</v>
      </c>
      <c r="F515" s="126">
        <v>178068</v>
      </c>
      <c r="G515" s="126">
        <f t="shared" si="61"/>
        <v>14601576</v>
      </c>
      <c r="H515" s="8"/>
      <c r="I515" s="9" t="str">
        <f t="array" ref="I515:L515">_xlfn.XLOOKUP(C515,'Neiva 2021 FASE I UNIFICADO'!$C$6:$C$540,'Neiva 2021 FASE I UNIFICADO'!$C$6:$F$540,"NO ESTA")</f>
        <v>SUMINISTRO E INSTALACIÓN LÁMPARA LED 2x54 W</v>
      </c>
      <c r="J515" s="9" t="str">
        <v>UN</v>
      </c>
      <c r="K515" s="9">
        <v>30</v>
      </c>
      <c r="L515" s="9">
        <v>203359</v>
      </c>
      <c r="M515" s="124" t="str">
        <f t="shared" si="58"/>
        <v>FASE I</v>
      </c>
      <c r="N515" s="155">
        <f t="shared" si="55"/>
        <v>112</v>
      </c>
      <c r="O515" s="156">
        <f t="shared" si="56"/>
        <v>203359</v>
      </c>
      <c r="P515" s="156">
        <f t="shared" si="57"/>
        <v>22776208</v>
      </c>
    </row>
    <row r="516" spans="2:16" s="9" customFormat="1" ht="35.1" customHeight="1" x14ac:dyDescent="0.25">
      <c r="B516" s="23" t="s">
        <v>719</v>
      </c>
      <c r="C516" s="22" t="s">
        <v>720</v>
      </c>
      <c r="D516" s="23" t="s">
        <v>374</v>
      </c>
      <c r="E516" s="12">
        <v>121</v>
      </c>
      <c r="F516" s="126">
        <v>190945</v>
      </c>
      <c r="G516" s="126">
        <f t="shared" si="61"/>
        <v>23104345</v>
      </c>
      <c r="H516" s="8"/>
      <c r="I516" s="9" t="str">
        <f t="array" ref="I516:L516">_xlfn.XLOOKUP(C516,'Neiva 2021 FASE I UNIFICADO'!$C$6:$C$540,'Neiva 2021 FASE I UNIFICADO'!$C$6:$F$540,"NO ESTA")</f>
        <v>SUMINISTRO E INSTALACIÓN BALA LED 35W 120 V</v>
      </c>
      <c r="J516" s="9" t="str">
        <v>UN</v>
      </c>
      <c r="K516" s="9">
        <v>45</v>
      </c>
      <c r="L516" s="9">
        <v>176718</v>
      </c>
      <c r="M516" s="124" t="str">
        <f t="shared" si="58"/>
        <v>FASE II</v>
      </c>
      <c r="N516" s="155">
        <f t="shared" si="55"/>
        <v>166</v>
      </c>
      <c r="O516" s="156">
        <f t="shared" si="56"/>
        <v>190945</v>
      </c>
      <c r="P516" s="156">
        <f t="shared" si="57"/>
        <v>31696870</v>
      </c>
    </row>
    <row r="517" spans="2:16" s="9" customFormat="1" ht="35.1" customHeight="1" x14ac:dyDescent="0.25">
      <c r="B517" s="23" t="s">
        <v>721</v>
      </c>
      <c r="C517" s="22" t="s">
        <v>722</v>
      </c>
      <c r="D517" s="23" t="s">
        <v>374</v>
      </c>
      <c r="E517" s="12">
        <v>50</v>
      </c>
      <c r="F517" s="126">
        <v>140842</v>
      </c>
      <c r="G517" s="126">
        <f t="shared" si="61"/>
        <v>7042100</v>
      </c>
      <c r="H517" s="8"/>
      <c r="I517" s="9" t="str">
        <f t="array" ref="I517:L517">_xlfn.XLOOKUP(C517,'Neiva 2021 FASE I UNIFICADO'!$C$6:$C$540,'Neiva 2021 FASE I UNIFICADO'!$C$6:$F$540,"NO ESTA")</f>
        <v>SUMINISTRO E INSTALACIÓN BALA RECESADA LED 10W 120 V</v>
      </c>
      <c r="J517" s="9" t="str">
        <v>UN</v>
      </c>
      <c r="K517" s="9">
        <v>19</v>
      </c>
      <c r="L517" s="9">
        <v>130349</v>
      </c>
      <c r="M517" s="124" t="str">
        <f t="shared" si="58"/>
        <v>FASE II</v>
      </c>
      <c r="N517" s="155">
        <f t="shared" si="55"/>
        <v>69</v>
      </c>
      <c r="O517" s="156">
        <f t="shared" si="56"/>
        <v>140842</v>
      </c>
      <c r="P517" s="156">
        <f t="shared" si="57"/>
        <v>9718098</v>
      </c>
    </row>
    <row r="518" spans="2:16" s="9" customFormat="1" ht="35.1" customHeight="1" x14ac:dyDescent="0.25">
      <c r="B518" s="23" t="s">
        <v>723</v>
      </c>
      <c r="C518" s="22" t="s">
        <v>724</v>
      </c>
      <c r="D518" s="23" t="s">
        <v>374</v>
      </c>
      <c r="E518" s="12">
        <v>184</v>
      </c>
      <c r="F518" s="126">
        <v>226917</v>
      </c>
      <c r="G518" s="126">
        <f t="shared" si="61"/>
        <v>41752728</v>
      </c>
      <c r="H518" s="8"/>
      <c r="I518" s="9" t="str">
        <f t="array" ref="I518:L518">_xlfn.XLOOKUP(C518,'Neiva 2021 FASE I UNIFICADO'!$C$6:$C$540,'Neiva 2021 FASE I UNIFICADO'!$C$6:$F$540,"NO ESTA")</f>
        <v>SUMINISTRO E INSTALACIÓN LUMINARIA LED 2x26W 120V</v>
      </c>
      <c r="J518" s="9" t="str">
        <v>UN</v>
      </c>
      <c r="K518" s="9">
        <v>68</v>
      </c>
      <c r="L518" s="9">
        <v>210010</v>
      </c>
      <c r="M518" s="124" t="str">
        <f t="shared" si="58"/>
        <v>FASE II</v>
      </c>
      <c r="N518" s="155">
        <f t="shared" ref="N518:N581" si="62">E518+K518</f>
        <v>252</v>
      </c>
      <c r="O518" s="156">
        <f t="shared" ref="O518:O581" si="63">MAX(L518,F518)</f>
        <v>226917</v>
      </c>
      <c r="P518" s="156">
        <f t="shared" ref="P518:P581" si="64">N518*O518</f>
        <v>57183084</v>
      </c>
    </row>
    <row r="519" spans="2:16" s="9" customFormat="1" ht="35.1" customHeight="1" x14ac:dyDescent="0.25">
      <c r="B519" s="23" t="s">
        <v>725</v>
      </c>
      <c r="C519" s="22" t="s">
        <v>726</v>
      </c>
      <c r="D519" s="23" t="s">
        <v>374</v>
      </c>
      <c r="E519" s="12">
        <v>6</v>
      </c>
      <c r="F519" s="126">
        <v>270567</v>
      </c>
      <c r="G519" s="126">
        <f t="shared" si="61"/>
        <v>1623402</v>
      </c>
      <c r="H519" s="8"/>
      <c r="I519" s="9" t="str">
        <f t="array" ref="I519:L519">_xlfn.XLOOKUP(C519,'Neiva 2021 FASE I UNIFICADO'!$C$6:$C$540,'Neiva 2021 FASE I UNIFICADO'!$C$6:$F$540,"NO ESTA")</f>
        <v>SUMINISTRO E INSTALACIÓN REFLECTOR DE LUZ INDIRECTA</v>
      </c>
      <c r="J519" s="9" t="str">
        <v>UN</v>
      </c>
      <c r="K519" s="9">
        <v>2</v>
      </c>
      <c r="L519" s="9">
        <v>250408</v>
      </c>
      <c r="M519" s="124" t="str">
        <f t="shared" si="58"/>
        <v>FASE II</v>
      </c>
      <c r="N519" s="155">
        <f t="shared" si="62"/>
        <v>8</v>
      </c>
      <c r="O519" s="156">
        <f t="shared" si="63"/>
        <v>270567</v>
      </c>
      <c r="P519" s="156">
        <f t="shared" si="64"/>
        <v>2164536</v>
      </c>
    </row>
    <row r="520" spans="2:16" s="9" customFormat="1" ht="35.1" customHeight="1" x14ac:dyDescent="0.25">
      <c r="B520" s="23" t="s">
        <v>727</v>
      </c>
      <c r="C520" s="22" t="s">
        <v>728</v>
      </c>
      <c r="D520" s="23" t="s">
        <v>374</v>
      </c>
      <c r="E520" s="12">
        <v>6</v>
      </c>
      <c r="F520" s="126">
        <v>199908</v>
      </c>
      <c r="G520" s="126">
        <f t="shared" si="61"/>
        <v>1199448</v>
      </c>
      <c r="H520" s="8"/>
      <c r="I520" s="9" t="str">
        <f t="array" ref="I520:L520">_xlfn.XLOOKUP(C520,'Neiva 2021 FASE I UNIFICADO'!$C$6:$C$540,'Neiva 2021 FASE I UNIFICADO'!$C$6:$F$540,"NO ESTA")</f>
        <v>SUMINISTRO E INSTALACIÓN APLIQUE DE ESCALERA 1000W 120V</v>
      </c>
      <c r="J520" s="9" t="str">
        <v>UN</v>
      </c>
      <c r="K520" s="9">
        <v>2</v>
      </c>
      <c r="L520" s="9">
        <v>185014</v>
      </c>
      <c r="M520" s="124" t="str">
        <f t="shared" ref="M520:M583" si="65">IF(L520=0,0,(IF(F520&lt;L520, "FASE I","FASE II")))</f>
        <v>FASE II</v>
      </c>
      <c r="N520" s="155">
        <f t="shared" si="62"/>
        <v>8</v>
      </c>
      <c r="O520" s="156">
        <f t="shared" si="63"/>
        <v>199908</v>
      </c>
      <c r="P520" s="156">
        <f t="shared" si="64"/>
        <v>1599264</v>
      </c>
    </row>
    <row r="521" spans="2:16" s="9" customFormat="1" ht="35.1" customHeight="1" x14ac:dyDescent="0.25">
      <c r="B521" s="23" t="s">
        <v>729</v>
      </c>
      <c r="C521" s="55" t="s">
        <v>730</v>
      </c>
      <c r="D521" s="56" t="s">
        <v>374</v>
      </c>
      <c r="E521" s="12">
        <v>67</v>
      </c>
      <c r="F521" s="126">
        <v>97132</v>
      </c>
      <c r="G521" s="126">
        <f t="shared" si="61"/>
        <v>6507844</v>
      </c>
      <c r="H521" s="8"/>
      <c r="I521" s="9" t="str">
        <f t="array" ref="I521:L521">_xlfn.XLOOKUP(C521,'Neiva 2021 FASE I UNIFICADO'!$C$6:$C$540,'Neiva 2021 FASE I UNIFICADO'!$C$6:$F$540,"NO ESTA")</f>
        <v>SUMINISTRO E INSTALACIÓN BALAS LED DE PISO 3W 120V</v>
      </c>
      <c r="J521" s="9" t="str">
        <v>UN</v>
      </c>
      <c r="K521" s="9">
        <v>25</v>
      </c>
      <c r="L521" s="9">
        <v>89895</v>
      </c>
      <c r="M521" s="124" t="str">
        <f t="shared" si="65"/>
        <v>FASE II</v>
      </c>
      <c r="N521" s="155">
        <f t="shared" si="62"/>
        <v>92</v>
      </c>
      <c r="O521" s="156">
        <f t="shared" si="63"/>
        <v>97132</v>
      </c>
      <c r="P521" s="156">
        <f t="shared" si="64"/>
        <v>8936144</v>
      </c>
    </row>
    <row r="522" spans="2:16" s="9" customFormat="1" ht="35.1" customHeight="1" x14ac:dyDescent="0.25">
      <c r="B522" s="23" t="s">
        <v>731</v>
      </c>
      <c r="C522" s="22" t="s">
        <v>732</v>
      </c>
      <c r="D522" s="23" t="s">
        <v>374</v>
      </c>
      <c r="E522" s="12">
        <v>10</v>
      </c>
      <c r="F522" s="126">
        <v>77862</v>
      </c>
      <c r="G522" s="126">
        <f t="shared" si="61"/>
        <v>778620</v>
      </c>
      <c r="H522" s="8"/>
      <c r="I522" s="9" t="str">
        <f t="array" ref="I522:L522">_xlfn.XLOOKUP(C522,'Neiva 2021 FASE I UNIFICADO'!$C$6:$C$540,'Neiva 2021 FASE I UNIFICADO'!$C$6:$F$540,"NO ESTA")</f>
        <v>SUMINISTRO E INSTALACIÓN BALAS DE PISO 50W 120 V</v>
      </c>
      <c r="J522" s="9" t="str">
        <v>UN</v>
      </c>
      <c r="K522" s="9">
        <v>4</v>
      </c>
      <c r="L522" s="9">
        <v>72061</v>
      </c>
      <c r="M522" s="124" t="str">
        <f t="shared" si="65"/>
        <v>FASE II</v>
      </c>
      <c r="N522" s="155">
        <f t="shared" si="62"/>
        <v>14</v>
      </c>
      <c r="O522" s="156">
        <f t="shared" si="63"/>
        <v>77862</v>
      </c>
      <c r="P522" s="156">
        <f t="shared" si="64"/>
        <v>1090068</v>
      </c>
    </row>
    <row r="523" spans="2:16" s="9" customFormat="1" ht="35.1" customHeight="1" x14ac:dyDescent="0.25">
      <c r="B523" s="33">
        <v>17</v>
      </c>
      <c r="C523" s="34" t="s">
        <v>733</v>
      </c>
      <c r="D523" s="34"/>
      <c r="E523" s="35"/>
      <c r="F523" s="132"/>
      <c r="G523" s="142"/>
      <c r="H523" s="8"/>
      <c r="I523" s="9" t="str">
        <f t="array" ref="I523:L523">_xlfn.XLOOKUP(C523,'Neiva 2021 FASE I UNIFICADO'!$C$6:$C$540,'Neiva 2021 FASE I UNIFICADO'!$C$6:$F$540,"NO ESTA")</f>
        <v>AIRE ACONDICIONADO</v>
      </c>
      <c r="J523" s="9">
        <v>0</v>
      </c>
      <c r="K523" s="9">
        <v>0</v>
      </c>
      <c r="L523" s="9">
        <v>0</v>
      </c>
      <c r="M523" s="124">
        <f t="shared" si="65"/>
        <v>0</v>
      </c>
      <c r="N523" s="155">
        <f t="shared" si="62"/>
        <v>0</v>
      </c>
      <c r="O523" s="156">
        <f t="shared" si="63"/>
        <v>0</v>
      </c>
      <c r="P523" s="156">
        <f t="shared" si="64"/>
        <v>0</v>
      </c>
    </row>
    <row r="524" spans="2:16" s="9" customFormat="1" ht="35.1" customHeight="1" x14ac:dyDescent="0.25">
      <c r="B524" s="13" t="s">
        <v>1295</v>
      </c>
      <c r="C524" s="24" t="s">
        <v>1296</v>
      </c>
      <c r="D524" s="24"/>
      <c r="E524" s="15"/>
      <c r="F524" s="129"/>
      <c r="G524" s="140"/>
      <c r="H524" s="8"/>
      <c r="I524" s="9" t="str">
        <f t="array" ref="I524">_xlfn.XLOOKUP(C524,'Neiva 2021 FASE I UNIFICADO'!$C$6:$C$540,'Neiva 2021 FASE I UNIFICADO'!$C$6:$F$540,"NO ESTA")</f>
        <v>NO ESTA</v>
      </c>
      <c r="M524" s="124">
        <f t="shared" si="65"/>
        <v>0</v>
      </c>
      <c r="N524" s="155">
        <f t="shared" si="62"/>
        <v>0</v>
      </c>
      <c r="O524" s="156">
        <f t="shared" si="63"/>
        <v>0</v>
      </c>
      <c r="P524" s="156">
        <f t="shared" si="64"/>
        <v>0</v>
      </c>
    </row>
    <row r="525" spans="2:16" s="9" customFormat="1" ht="35.1" customHeight="1" x14ac:dyDescent="0.25">
      <c r="B525" s="23" t="s">
        <v>1297</v>
      </c>
      <c r="C525" s="22" t="s">
        <v>1298</v>
      </c>
      <c r="D525" s="10" t="s">
        <v>16</v>
      </c>
      <c r="E525" s="12">
        <v>1</v>
      </c>
      <c r="F525" s="126">
        <v>240166908</v>
      </c>
      <c r="G525" s="126">
        <f t="shared" ref="G525:G539" si="66">ROUND(+F525*E525,2)</f>
        <v>240166908</v>
      </c>
      <c r="H525" s="8"/>
      <c r="I525" s="9" t="str">
        <f t="array" ref="I525">_xlfn.XLOOKUP(C525,'Neiva 2021 FASE I UNIFICADO'!$C$6:$C$540,'Neiva 2021 FASE I UNIFICADO'!$C$6:$F$540,"NO ESTA")</f>
        <v>NO ESTA</v>
      </c>
      <c r="M525" s="124">
        <f t="shared" si="65"/>
        <v>0</v>
      </c>
      <c r="N525" s="155">
        <f t="shared" si="62"/>
        <v>1</v>
      </c>
      <c r="O525" s="156">
        <f t="shared" si="63"/>
        <v>240166908</v>
      </c>
      <c r="P525" s="156">
        <f t="shared" si="64"/>
        <v>240166908</v>
      </c>
    </row>
    <row r="526" spans="2:16" s="9" customFormat="1" ht="35.1" customHeight="1" x14ac:dyDescent="0.25">
      <c r="B526" s="23" t="s">
        <v>1299</v>
      </c>
      <c r="C526" s="22" t="s">
        <v>1300</v>
      </c>
      <c r="D526" s="10" t="s">
        <v>16</v>
      </c>
      <c r="E526" s="12">
        <v>1</v>
      </c>
      <c r="F526" s="126">
        <v>192633008</v>
      </c>
      <c r="G526" s="126">
        <f t="shared" si="66"/>
        <v>192633008</v>
      </c>
      <c r="H526" s="8"/>
      <c r="I526" s="9" t="str">
        <f t="array" ref="I526">_xlfn.XLOOKUP(C526,'Neiva 2021 FASE I UNIFICADO'!$C$6:$C$540,'Neiva 2021 FASE I UNIFICADO'!$C$6:$F$540,"NO ESTA")</f>
        <v>NO ESTA</v>
      </c>
      <c r="M526" s="124">
        <f t="shared" si="65"/>
        <v>0</v>
      </c>
      <c r="N526" s="155">
        <f t="shared" si="62"/>
        <v>1</v>
      </c>
      <c r="O526" s="156">
        <f t="shared" si="63"/>
        <v>192633008</v>
      </c>
      <c r="P526" s="156">
        <f t="shared" si="64"/>
        <v>192633008</v>
      </c>
    </row>
    <row r="527" spans="2:16" s="9" customFormat="1" ht="35.1" customHeight="1" x14ac:dyDescent="0.25">
      <c r="B527" s="23" t="s">
        <v>1301</v>
      </c>
      <c r="C527" s="22" t="s">
        <v>1302</v>
      </c>
      <c r="D527" s="10" t="s">
        <v>16</v>
      </c>
      <c r="E527" s="12">
        <v>2</v>
      </c>
      <c r="F527" s="126">
        <v>835146</v>
      </c>
      <c r="G527" s="126">
        <f t="shared" si="66"/>
        <v>1670292</v>
      </c>
      <c r="H527" s="8"/>
      <c r="I527" s="9" t="str">
        <f t="array" ref="I527">_xlfn.XLOOKUP(C527,'Neiva 2021 FASE I UNIFICADO'!$C$6:$C$540,'Neiva 2021 FASE I UNIFICADO'!$C$6:$F$540,"NO ESTA")</f>
        <v>NO ESTA</v>
      </c>
      <c r="M527" s="124">
        <f t="shared" si="65"/>
        <v>0</v>
      </c>
      <c r="N527" s="155">
        <f t="shared" si="62"/>
        <v>2</v>
      </c>
      <c r="O527" s="156">
        <f t="shared" si="63"/>
        <v>835146</v>
      </c>
      <c r="P527" s="156">
        <f t="shared" si="64"/>
        <v>1670292</v>
      </c>
    </row>
    <row r="528" spans="2:16" s="9" customFormat="1" ht="35.1" customHeight="1" x14ac:dyDescent="0.25">
      <c r="B528" s="23" t="s">
        <v>1303</v>
      </c>
      <c r="C528" s="22" t="s">
        <v>1304</v>
      </c>
      <c r="D528" s="10" t="s">
        <v>16</v>
      </c>
      <c r="E528" s="12">
        <v>9</v>
      </c>
      <c r="F528" s="126">
        <v>3210413</v>
      </c>
      <c r="G528" s="126">
        <f t="shared" si="66"/>
        <v>28893717</v>
      </c>
      <c r="H528" s="8"/>
      <c r="I528" s="9" t="str">
        <f t="array" ref="I528">_xlfn.XLOOKUP(C528,'Neiva 2021 FASE I UNIFICADO'!$C$6:$C$540,'Neiva 2021 FASE I UNIFICADO'!$C$6:$F$540,"NO ESTA")</f>
        <v>NO ESTA</v>
      </c>
      <c r="M528" s="124">
        <f t="shared" si="65"/>
        <v>0</v>
      </c>
      <c r="N528" s="155">
        <f t="shared" si="62"/>
        <v>9</v>
      </c>
      <c r="O528" s="156">
        <f t="shared" si="63"/>
        <v>3210413</v>
      </c>
      <c r="P528" s="156">
        <f t="shared" si="64"/>
        <v>28893717</v>
      </c>
    </row>
    <row r="529" spans="2:16" s="9" customFormat="1" ht="35.1" customHeight="1" x14ac:dyDescent="0.25">
      <c r="B529" s="23" t="s">
        <v>1305</v>
      </c>
      <c r="C529" s="22" t="s">
        <v>1306</v>
      </c>
      <c r="D529" s="10" t="s">
        <v>16</v>
      </c>
      <c r="E529" s="12">
        <v>16</v>
      </c>
      <c r="F529" s="126">
        <v>2182653</v>
      </c>
      <c r="G529" s="126">
        <f t="shared" si="66"/>
        <v>34922448</v>
      </c>
      <c r="H529" s="8"/>
      <c r="I529" s="9" t="str">
        <f t="array" ref="I529">_xlfn.XLOOKUP(C529,'Neiva 2021 FASE I UNIFICADO'!$C$6:$C$540,'Neiva 2021 FASE I UNIFICADO'!$C$6:$F$540,"NO ESTA")</f>
        <v>NO ESTA</v>
      </c>
      <c r="M529" s="124">
        <f t="shared" si="65"/>
        <v>0</v>
      </c>
      <c r="N529" s="155">
        <f t="shared" si="62"/>
        <v>16</v>
      </c>
      <c r="O529" s="156">
        <f t="shared" si="63"/>
        <v>2182653</v>
      </c>
      <c r="P529" s="156">
        <f t="shared" si="64"/>
        <v>34922448</v>
      </c>
    </row>
    <row r="530" spans="2:16" s="9" customFormat="1" ht="35.1" customHeight="1" x14ac:dyDescent="0.25">
      <c r="B530" s="23" t="s">
        <v>1307</v>
      </c>
      <c r="C530" s="22" t="s">
        <v>1308</v>
      </c>
      <c r="D530" s="10" t="s">
        <v>16</v>
      </c>
      <c r="E530" s="12">
        <v>1</v>
      </c>
      <c r="F530" s="126">
        <v>2054183</v>
      </c>
      <c r="G530" s="126">
        <f t="shared" si="66"/>
        <v>2054183</v>
      </c>
      <c r="H530" s="8"/>
      <c r="I530" s="9" t="str">
        <f t="array" ref="I530">_xlfn.XLOOKUP(C530,'Neiva 2021 FASE I UNIFICADO'!$C$6:$C$540,'Neiva 2021 FASE I UNIFICADO'!$C$6:$F$540,"NO ESTA")</f>
        <v>NO ESTA</v>
      </c>
      <c r="M530" s="124">
        <f t="shared" si="65"/>
        <v>0</v>
      </c>
      <c r="N530" s="155">
        <f t="shared" si="62"/>
        <v>1</v>
      </c>
      <c r="O530" s="156">
        <f t="shared" si="63"/>
        <v>2054183</v>
      </c>
      <c r="P530" s="156">
        <f t="shared" si="64"/>
        <v>2054183</v>
      </c>
    </row>
    <row r="531" spans="2:16" s="9" customFormat="1" ht="35.1" customHeight="1" x14ac:dyDescent="0.25">
      <c r="B531" s="23" t="s">
        <v>1309</v>
      </c>
      <c r="C531" s="22" t="s">
        <v>1310</v>
      </c>
      <c r="D531" s="10" t="s">
        <v>16</v>
      </c>
      <c r="E531" s="12">
        <v>1</v>
      </c>
      <c r="F531" s="126">
        <v>1925713</v>
      </c>
      <c r="G531" s="126">
        <f t="shared" si="66"/>
        <v>1925713</v>
      </c>
      <c r="H531" s="8"/>
      <c r="I531" s="9" t="str">
        <f t="array" ref="I531">_xlfn.XLOOKUP(C531,'Neiva 2021 FASE I UNIFICADO'!$C$6:$C$540,'Neiva 2021 FASE I UNIFICADO'!$C$6:$F$540,"NO ESTA")</f>
        <v>NO ESTA</v>
      </c>
      <c r="M531" s="124">
        <f t="shared" si="65"/>
        <v>0</v>
      </c>
      <c r="N531" s="155">
        <f t="shared" si="62"/>
        <v>1</v>
      </c>
      <c r="O531" s="156">
        <f t="shared" si="63"/>
        <v>1925713</v>
      </c>
      <c r="P531" s="156">
        <f t="shared" si="64"/>
        <v>1925713</v>
      </c>
    </row>
    <row r="532" spans="2:16" s="9" customFormat="1" ht="35.1" customHeight="1" x14ac:dyDescent="0.25">
      <c r="B532" s="23" t="s">
        <v>1311</v>
      </c>
      <c r="C532" s="22" t="s">
        <v>1312</v>
      </c>
      <c r="D532" s="10" t="s">
        <v>16</v>
      </c>
      <c r="E532" s="12">
        <v>3</v>
      </c>
      <c r="F532" s="126">
        <v>1154893</v>
      </c>
      <c r="G532" s="126">
        <f t="shared" si="66"/>
        <v>3464679</v>
      </c>
      <c r="H532" s="8"/>
      <c r="I532" s="9" t="str">
        <f t="array" ref="I532">_xlfn.XLOOKUP(C532,'Neiva 2021 FASE I UNIFICADO'!$C$6:$C$540,'Neiva 2021 FASE I UNIFICADO'!$C$6:$F$540,"NO ESTA")</f>
        <v>NO ESTA</v>
      </c>
      <c r="M532" s="124">
        <f t="shared" si="65"/>
        <v>0</v>
      </c>
      <c r="N532" s="155">
        <f t="shared" si="62"/>
        <v>3</v>
      </c>
      <c r="O532" s="156">
        <f t="shared" si="63"/>
        <v>1154893</v>
      </c>
      <c r="P532" s="156">
        <f t="shared" si="64"/>
        <v>3464679</v>
      </c>
    </row>
    <row r="533" spans="2:16" s="9" customFormat="1" ht="35.1" customHeight="1" x14ac:dyDescent="0.25">
      <c r="B533" s="23" t="s">
        <v>1313</v>
      </c>
      <c r="C533" s="22" t="s">
        <v>1314</v>
      </c>
      <c r="D533" s="10" t="s">
        <v>16</v>
      </c>
      <c r="E533" s="12">
        <v>3</v>
      </c>
      <c r="F533" s="126">
        <v>1527456</v>
      </c>
      <c r="G533" s="126">
        <f t="shared" si="66"/>
        <v>4582368</v>
      </c>
      <c r="H533" s="8"/>
      <c r="I533" s="9" t="str">
        <f t="array" ref="I533">_xlfn.XLOOKUP(C533,'Neiva 2021 FASE I UNIFICADO'!$C$6:$C$540,'Neiva 2021 FASE I UNIFICADO'!$C$6:$F$540,"NO ESTA")</f>
        <v>NO ESTA</v>
      </c>
      <c r="M533" s="124">
        <f t="shared" si="65"/>
        <v>0</v>
      </c>
      <c r="N533" s="155">
        <f t="shared" si="62"/>
        <v>3</v>
      </c>
      <c r="O533" s="156">
        <f t="shared" si="63"/>
        <v>1527456</v>
      </c>
      <c r="P533" s="156">
        <f t="shared" si="64"/>
        <v>4582368</v>
      </c>
    </row>
    <row r="534" spans="2:16" s="9" customFormat="1" ht="35.1" customHeight="1" x14ac:dyDescent="0.25">
      <c r="B534" s="23" t="s">
        <v>1315</v>
      </c>
      <c r="C534" s="22" t="s">
        <v>1316</v>
      </c>
      <c r="D534" s="10" t="s">
        <v>16</v>
      </c>
      <c r="E534" s="12">
        <v>1</v>
      </c>
      <c r="F534" s="126">
        <v>1649502</v>
      </c>
      <c r="G534" s="126">
        <f t="shared" si="66"/>
        <v>1649502</v>
      </c>
      <c r="H534" s="8"/>
      <c r="I534" s="9" t="str">
        <f t="array" ref="I534">_xlfn.XLOOKUP(C534,'Neiva 2021 FASE I UNIFICADO'!$C$6:$C$540,'Neiva 2021 FASE I UNIFICADO'!$C$6:$F$540,"NO ESTA")</f>
        <v>NO ESTA</v>
      </c>
      <c r="M534" s="124">
        <f t="shared" si="65"/>
        <v>0</v>
      </c>
      <c r="N534" s="155">
        <f t="shared" si="62"/>
        <v>1</v>
      </c>
      <c r="O534" s="156">
        <f t="shared" si="63"/>
        <v>1649502</v>
      </c>
      <c r="P534" s="156">
        <f t="shared" si="64"/>
        <v>1649502</v>
      </c>
    </row>
    <row r="535" spans="2:16" s="9" customFormat="1" ht="35.1" customHeight="1" x14ac:dyDescent="0.25">
      <c r="B535" s="23" t="s">
        <v>1317</v>
      </c>
      <c r="C535" s="22" t="s">
        <v>1318</v>
      </c>
      <c r="D535" s="10" t="s">
        <v>16</v>
      </c>
      <c r="E535" s="12">
        <v>1</v>
      </c>
      <c r="F535" s="126">
        <v>1797243</v>
      </c>
      <c r="G535" s="126">
        <f t="shared" si="66"/>
        <v>1797243</v>
      </c>
      <c r="H535" s="8"/>
      <c r="I535" s="9" t="str">
        <f t="array" ref="I535">_xlfn.XLOOKUP(C535,'Neiva 2021 FASE I UNIFICADO'!$C$6:$C$540,'Neiva 2021 FASE I UNIFICADO'!$C$6:$F$540,"NO ESTA")</f>
        <v>NO ESTA</v>
      </c>
      <c r="M535" s="124">
        <f t="shared" si="65"/>
        <v>0</v>
      </c>
      <c r="N535" s="155">
        <f t="shared" si="62"/>
        <v>1</v>
      </c>
      <c r="O535" s="156">
        <f t="shared" si="63"/>
        <v>1797243</v>
      </c>
      <c r="P535" s="156">
        <f t="shared" si="64"/>
        <v>1797243</v>
      </c>
    </row>
    <row r="536" spans="2:16" s="9" customFormat="1" ht="35.1" customHeight="1" x14ac:dyDescent="0.25">
      <c r="B536" s="23" t="s">
        <v>1319</v>
      </c>
      <c r="C536" s="22" t="s">
        <v>1320</v>
      </c>
      <c r="D536" s="10" t="s">
        <v>16</v>
      </c>
      <c r="E536" s="12">
        <v>2</v>
      </c>
      <c r="F536" s="126">
        <v>9892555</v>
      </c>
      <c r="G536" s="126">
        <f t="shared" si="66"/>
        <v>19785110</v>
      </c>
      <c r="H536" s="8"/>
      <c r="I536" s="9" t="str">
        <f t="array" ref="I536">_xlfn.XLOOKUP(C536,'Neiva 2021 FASE I UNIFICADO'!$C$6:$C$540,'Neiva 2021 FASE I UNIFICADO'!$C$6:$F$540,"NO ESTA")</f>
        <v>NO ESTA</v>
      </c>
      <c r="M536" s="124">
        <f t="shared" si="65"/>
        <v>0</v>
      </c>
      <c r="N536" s="155">
        <f t="shared" si="62"/>
        <v>2</v>
      </c>
      <c r="O536" s="156">
        <f t="shared" si="63"/>
        <v>9892555</v>
      </c>
      <c r="P536" s="156">
        <f t="shared" si="64"/>
        <v>19785110</v>
      </c>
    </row>
    <row r="537" spans="2:16" s="9" customFormat="1" ht="35.1" customHeight="1" x14ac:dyDescent="0.25">
      <c r="B537" s="23" t="s">
        <v>1321</v>
      </c>
      <c r="C537" s="22" t="s">
        <v>1322</v>
      </c>
      <c r="D537" s="10" t="s">
        <v>16</v>
      </c>
      <c r="E537" s="12">
        <v>1</v>
      </c>
      <c r="F537" s="126">
        <v>15930736</v>
      </c>
      <c r="G537" s="126">
        <f t="shared" si="66"/>
        <v>15930736</v>
      </c>
      <c r="H537" s="8"/>
      <c r="I537" s="9" t="str">
        <f t="array" ref="I537">_xlfn.XLOOKUP(C537,'Neiva 2021 FASE I UNIFICADO'!$C$6:$C$540,'Neiva 2021 FASE I UNIFICADO'!$C$6:$F$540,"NO ESTA")</f>
        <v>NO ESTA</v>
      </c>
      <c r="M537" s="124">
        <f t="shared" si="65"/>
        <v>0</v>
      </c>
      <c r="N537" s="155">
        <f t="shared" si="62"/>
        <v>1</v>
      </c>
      <c r="O537" s="156">
        <f t="shared" si="63"/>
        <v>15930736</v>
      </c>
      <c r="P537" s="156">
        <f t="shared" si="64"/>
        <v>15930736</v>
      </c>
    </row>
    <row r="538" spans="2:16" s="9" customFormat="1" ht="35.1" customHeight="1" x14ac:dyDescent="0.25">
      <c r="B538" s="23" t="s">
        <v>1323</v>
      </c>
      <c r="C538" s="22" t="s">
        <v>1324</v>
      </c>
      <c r="D538" s="10" t="s">
        <v>16</v>
      </c>
      <c r="E538" s="12">
        <v>4</v>
      </c>
      <c r="F538" s="126">
        <v>6637724</v>
      </c>
      <c r="G538" s="126">
        <f t="shared" si="66"/>
        <v>26550896</v>
      </c>
      <c r="H538" s="8"/>
      <c r="I538" s="9" t="str">
        <f t="array" ref="I538">_xlfn.XLOOKUP(C538,'Neiva 2021 FASE I UNIFICADO'!$C$6:$C$540,'Neiva 2021 FASE I UNIFICADO'!$C$6:$F$540,"NO ESTA")</f>
        <v>NO ESTA</v>
      </c>
      <c r="M538" s="124">
        <f t="shared" si="65"/>
        <v>0</v>
      </c>
      <c r="N538" s="155">
        <f t="shared" si="62"/>
        <v>4</v>
      </c>
      <c r="O538" s="156">
        <f t="shared" si="63"/>
        <v>6637724</v>
      </c>
      <c r="P538" s="156">
        <f t="shared" si="64"/>
        <v>26550896</v>
      </c>
    </row>
    <row r="539" spans="2:16" s="9" customFormat="1" ht="35.1" customHeight="1" x14ac:dyDescent="0.25">
      <c r="B539" s="23" t="s">
        <v>1325</v>
      </c>
      <c r="C539" s="22" t="s">
        <v>1326</v>
      </c>
      <c r="D539" s="10" t="s">
        <v>16</v>
      </c>
      <c r="E539" s="12">
        <v>2</v>
      </c>
      <c r="F539" s="126">
        <v>23228066</v>
      </c>
      <c r="G539" s="126">
        <f t="shared" si="66"/>
        <v>46456132</v>
      </c>
      <c r="H539" s="8"/>
      <c r="I539" s="9" t="str">
        <f t="array" ref="I539">_xlfn.XLOOKUP(C539,'Neiva 2021 FASE I UNIFICADO'!$C$6:$C$540,'Neiva 2021 FASE I UNIFICADO'!$C$6:$F$540,"NO ESTA")</f>
        <v>NO ESTA</v>
      </c>
      <c r="M539" s="124">
        <f t="shared" si="65"/>
        <v>0</v>
      </c>
      <c r="N539" s="155">
        <f t="shared" si="62"/>
        <v>2</v>
      </c>
      <c r="O539" s="156">
        <f t="shared" si="63"/>
        <v>23228066</v>
      </c>
      <c r="P539" s="156">
        <f t="shared" si="64"/>
        <v>46456132</v>
      </c>
    </row>
    <row r="540" spans="2:16" s="9" customFormat="1" ht="35.1" customHeight="1" x14ac:dyDescent="0.25">
      <c r="B540" s="13" t="s">
        <v>734</v>
      </c>
      <c r="C540" s="24" t="s">
        <v>735</v>
      </c>
      <c r="D540" s="24"/>
      <c r="E540" s="15"/>
      <c r="F540" s="129"/>
      <c r="G540" s="140"/>
      <c r="H540" s="8"/>
      <c r="I540" s="9" t="str">
        <f t="array" ref="I540:L540">_xlfn.XLOOKUP(C540,'Neiva 2021 FASE I UNIFICADO'!$C$6:$C$540,'Neiva 2021 FASE I UNIFICADO'!$C$6:$F$540,"NO ESTA")</f>
        <v>SUMINISTRO E INSTALACION DE TUBERIA AGUA FRIA PVC</v>
      </c>
      <c r="J540" s="9">
        <v>0</v>
      </c>
      <c r="K540" s="9">
        <v>0</v>
      </c>
      <c r="L540" s="9">
        <v>0</v>
      </c>
      <c r="M540" s="124">
        <f t="shared" si="65"/>
        <v>0</v>
      </c>
      <c r="N540" s="155">
        <f t="shared" si="62"/>
        <v>0</v>
      </c>
      <c r="O540" s="156">
        <f t="shared" si="63"/>
        <v>0</v>
      </c>
      <c r="P540" s="156">
        <f t="shared" si="64"/>
        <v>0</v>
      </c>
    </row>
    <row r="541" spans="2:16" s="9" customFormat="1" ht="35.1" customHeight="1" x14ac:dyDescent="0.25">
      <c r="B541" s="23" t="s">
        <v>736</v>
      </c>
      <c r="C541" s="22" t="s">
        <v>737</v>
      </c>
      <c r="D541" s="10" t="s">
        <v>94</v>
      </c>
      <c r="E541" s="12">
        <v>45</v>
      </c>
      <c r="F541" s="126">
        <v>71680</v>
      </c>
      <c r="G541" s="126">
        <f t="shared" ref="G541:G548" si="67">ROUND(+F541*E541,2)</f>
        <v>3225600</v>
      </c>
      <c r="H541" s="8"/>
      <c r="I541" s="9" t="str">
        <f t="array" ref="I541:L541">_xlfn.XLOOKUP(C541,'Neiva 2021 FASE I UNIFICADO'!$C$6:$C$540,'Neiva 2021 FASE I UNIFICADO'!$C$6:$F$540,"NO ESTA")</f>
        <v>SUMINISTRO E INSTALACION TUBERIA Y ACCESORIOS RDE 21 Ø DIAMETRO  4"</v>
      </c>
      <c r="J541" s="9" t="str">
        <v>ML</v>
      </c>
      <c r="K541" s="9">
        <v>17</v>
      </c>
      <c r="L541" s="9">
        <v>66339</v>
      </c>
      <c r="M541" s="124" t="str">
        <f t="shared" si="65"/>
        <v>FASE II</v>
      </c>
      <c r="N541" s="155">
        <f t="shared" si="62"/>
        <v>62</v>
      </c>
      <c r="O541" s="156">
        <f t="shared" si="63"/>
        <v>71680</v>
      </c>
      <c r="P541" s="156">
        <f t="shared" si="64"/>
        <v>4444160</v>
      </c>
    </row>
    <row r="542" spans="2:16" s="9" customFormat="1" ht="35.1" customHeight="1" x14ac:dyDescent="0.25">
      <c r="B542" s="23" t="s">
        <v>738</v>
      </c>
      <c r="C542" s="22" t="s">
        <v>739</v>
      </c>
      <c r="D542" s="10" t="s">
        <v>94</v>
      </c>
      <c r="E542" s="12">
        <v>24</v>
      </c>
      <c r="F542" s="126">
        <v>46609</v>
      </c>
      <c r="G542" s="126">
        <f t="shared" si="67"/>
        <v>1118616</v>
      </c>
      <c r="H542" s="8"/>
      <c r="I542" s="9" t="str">
        <f t="array" ref="I542:L542">_xlfn.XLOOKUP(C542,'Neiva 2021 FASE I UNIFICADO'!$C$6:$C$540,'Neiva 2021 FASE I UNIFICADO'!$C$6:$F$540,"NO ESTA")</f>
        <v>SUMINISTRO E INSTALACION TUBERIA Y ACCESORIOS RDE 21 Ø DIAMETRO  3"</v>
      </c>
      <c r="J542" s="9" t="str">
        <v>ML</v>
      </c>
      <c r="K542" s="9">
        <v>9</v>
      </c>
      <c r="L542" s="9">
        <v>43135</v>
      </c>
      <c r="M542" s="124" t="str">
        <f t="shared" si="65"/>
        <v>FASE II</v>
      </c>
      <c r="N542" s="155">
        <f t="shared" si="62"/>
        <v>33</v>
      </c>
      <c r="O542" s="156">
        <f t="shared" si="63"/>
        <v>46609</v>
      </c>
      <c r="P542" s="156">
        <f t="shared" si="64"/>
        <v>1538097</v>
      </c>
    </row>
    <row r="543" spans="2:16" s="9" customFormat="1" ht="35.1" customHeight="1" x14ac:dyDescent="0.25">
      <c r="B543" s="23" t="s">
        <v>740</v>
      </c>
      <c r="C543" s="22" t="s">
        <v>741</v>
      </c>
      <c r="D543" s="10" t="s">
        <v>94</v>
      </c>
      <c r="E543" s="12">
        <v>64</v>
      </c>
      <c r="F543" s="126">
        <v>34736</v>
      </c>
      <c r="G543" s="126">
        <f t="shared" si="67"/>
        <v>2223104</v>
      </c>
      <c r="H543" s="8"/>
      <c r="I543" s="9" t="str">
        <f t="array" ref="I543:L543">_xlfn.XLOOKUP(C543,'Neiva 2021 FASE I UNIFICADO'!$C$6:$C$540,'Neiva 2021 FASE I UNIFICADO'!$C$6:$F$540,"NO ESTA")</f>
        <v>SUMINISTRO E INSTALACION TUBERIA Y ACCESORIOS RDE 21 Ø DIAMETRO  2 1/2"</v>
      </c>
      <c r="J543" s="9" t="str">
        <v>ML</v>
      </c>
      <c r="K543" s="9">
        <v>24</v>
      </c>
      <c r="L543" s="9">
        <v>32147</v>
      </c>
      <c r="M543" s="124" t="str">
        <f t="shared" si="65"/>
        <v>FASE II</v>
      </c>
      <c r="N543" s="155">
        <f t="shared" si="62"/>
        <v>88</v>
      </c>
      <c r="O543" s="156">
        <f t="shared" si="63"/>
        <v>34736</v>
      </c>
      <c r="P543" s="156">
        <f t="shared" si="64"/>
        <v>3056768</v>
      </c>
    </row>
    <row r="544" spans="2:16" s="9" customFormat="1" ht="35.1" customHeight="1" x14ac:dyDescent="0.25">
      <c r="B544" s="23" t="s">
        <v>742</v>
      </c>
      <c r="C544" s="22" t="s">
        <v>743</v>
      </c>
      <c r="D544" s="10" t="s">
        <v>94</v>
      </c>
      <c r="E544" s="12">
        <v>185.4</v>
      </c>
      <c r="F544" s="126">
        <v>23647</v>
      </c>
      <c r="G544" s="126">
        <f t="shared" si="67"/>
        <v>4384153.8</v>
      </c>
      <c r="H544" s="8"/>
      <c r="I544" s="9" t="str">
        <f t="array" ref="I544:L544">_xlfn.XLOOKUP(C544,'Neiva 2021 FASE I UNIFICADO'!$C$6:$C$540,'Neiva 2021 FASE I UNIFICADO'!$C$6:$F$540,"NO ESTA")</f>
        <v>SUMINISTRO E INSTALACION TUBERIA Y ACCESORIOS RDE 21 Ø DIAMETRO  2"</v>
      </c>
      <c r="J544" s="9" t="str">
        <v>ML</v>
      </c>
      <c r="K544" s="9">
        <v>68</v>
      </c>
      <c r="L544" s="9">
        <v>21886</v>
      </c>
      <c r="M544" s="124" t="str">
        <f t="shared" si="65"/>
        <v>FASE II</v>
      </c>
      <c r="N544" s="155">
        <f t="shared" si="62"/>
        <v>253.4</v>
      </c>
      <c r="O544" s="156">
        <f t="shared" si="63"/>
        <v>23647</v>
      </c>
      <c r="P544" s="156">
        <f t="shared" si="64"/>
        <v>5992149.7999999998</v>
      </c>
    </row>
    <row r="545" spans="2:16" s="9" customFormat="1" ht="35.1" customHeight="1" x14ac:dyDescent="0.25">
      <c r="B545" s="23" t="s">
        <v>744</v>
      </c>
      <c r="C545" s="22" t="s">
        <v>745</v>
      </c>
      <c r="D545" s="10" t="s">
        <v>94</v>
      </c>
      <c r="E545" s="12">
        <v>106.80000000000001</v>
      </c>
      <c r="F545" s="126">
        <v>17230</v>
      </c>
      <c r="G545" s="126">
        <f t="shared" si="67"/>
        <v>1840164</v>
      </c>
      <c r="H545" s="8"/>
      <c r="I545" s="9" t="str">
        <f t="array" ref="I545:L545">_xlfn.XLOOKUP(C545,'Neiva 2021 FASE I UNIFICADO'!$C$6:$C$540,'Neiva 2021 FASE I UNIFICADO'!$C$6:$F$540,"NO ESTA")</f>
        <v>SUMINISTRO E INSTALACION TUBERIA Y ACCESORIOS RDE 21 Ø DIAMETRO  1 1/2"</v>
      </c>
      <c r="J545" s="9" t="str">
        <v>ML</v>
      </c>
      <c r="K545" s="9">
        <v>40</v>
      </c>
      <c r="L545" s="9">
        <v>15947</v>
      </c>
      <c r="M545" s="124" t="str">
        <f t="shared" si="65"/>
        <v>FASE II</v>
      </c>
      <c r="N545" s="155">
        <f t="shared" si="62"/>
        <v>146.80000000000001</v>
      </c>
      <c r="O545" s="156">
        <f t="shared" si="63"/>
        <v>17230</v>
      </c>
      <c r="P545" s="156">
        <f t="shared" si="64"/>
        <v>2529364</v>
      </c>
    </row>
    <row r="546" spans="2:16" s="9" customFormat="1" ht="35.1" customHeight="1" x14ac:dyDescent="0.25">
      <c r="B546" s="23" t="s">
        <v>746</v>
      </c>
      <c r="C546" s="22" t="s">
        <v>747</v>
      </c>
      <c r="D546" s="10" t="s">
        <v>94</v>
      </c>
      <c r="E546" s="12">
        <v>165.6</v>
      </c>
      <c r="F546" s="126">
        <v>14658</v>
      </c>
      <c r="G546" s="126">
        <f t="shared" si="67"/>
        <v>2427364.7999999998</v>
      </c>
      <c r="H546" s="8"/>
      <c r="I546" s="9" t="str">
        <f t="array" ref="I546:L546">_xlfn.XLOOKUP(C546,'Neiva 2021 FASE I UNIFICADO'!$C$6:$C$540,'Neiva 2021 FASE I UNIFICADO'!$C$6:$F$540,"NO ESTA")</f>
        <v>SUMINISTRO E INSTALACION TUBERIA Y ACCESORIOS RDE 21 Ø DIAMETRO  1 1/4"</v>
      </c>
      <c r="J546" s="9" t="str">
        <v>ML</v>
      </c>
      <c r="K546" s="9">
        <v>61</v>
      </c>
      <c r="L546" s="9">
        <v>13566</v>
      </c>
      <c r="M546" s="124" t="str">
        <f t="shared" si="65"/>
        <v>FASE II</v>
      </c>
      <c r="N546" s="155">
        <f t="shared" si="62"/>
        <v>226.6</v>
      </c>
      <c r="O546" s="156">
        <f t="shared" si="63"/>
        <v>14658</v>
      </c>
      <c r="P546" s="156">
        <f t="shared" si="64"/>
        <v>3321502.8</v>
      </c>
    </row>
    <row r="547" spans="2:16" s="9" customFormat="1" ht="35.1" customHeight="1" x14ac:dyDescent="0.25">
      <c r="B547" s="23" t="s">
        <v>748</v>
      </c>
      <c r="C547" s="22" t="s">
        <v>749</v>
      </c>
      <c r="D547" s="10" t="s">
        <v>94</v>
      </c>
      <c r="E547" s="12">
        <v>28.799999999999997</v>
      </c>
      <c r="F547" s="126">
        <v>10725</v>
      </c>
      <c r="G547" s="126">
        <f t="shared" si="67"/>
        <v>308880</v>
      </c>
      <c r="H547" s="8"/>
      <c r="I547" s="9" t="str">
        <f t="array" ref="I547:L547">_xlfn.XLOOKUP(C547,'Neiva 2021 FASE I UNIFICADO'!$C$6:$C$540,'Neiva 2021 FASE I UNIFICADO'!$C$6:$F$540,"NO ESTA")</f>
        <v>SUMINISTRO E INSTALACION TUBERIA Y ACCESORIOS RDE 21 Ø DIAMETRO  1"</v>
      </c>
      <c r="J547" s="9" t="str">
        <v>ML</v>
      </c>
      <c r="K547" s="9">
        <v>10</v>
      </c>
      <c r="L547" s="9">
        <v>9925</v>
      </c>
      <c r="M547" s="124" t="str">
        <f t="shared" si="65"/>
        <v>FASE II</v>
      </c>
      <c r="N547" s="155">
        <f t="shared" si="62"/>
        <v>38.799999999999997</v>
      </c>
      <c r="O547" s="156">
        <f t="shared" si="63"/>
        <v>10725</v>
      </c>
      <c r="P547" s="156">
        <f t="shared" si="64"/>
        <v>416129.99999999994</v>
      </c>
    </row>
    <row r="548" spans="2:16" s="9" customFormat="1" ht="35.1" customHeight="1" x14ac:dyDescent="0.25">
      <c r="B548" s="23" t="s">
        <v>750</v>
      </c>
      <c r="C548" s="22" t="s">
        <v>751</v>
      </c>
      <c r="D548" s="10" t="s">
        <v>94</v>
      </c>
      <c r="E548" s="12">
        <v>32</v>
      </c>
      <c r="F548" s="126">
        <v>9421</v>
      </c>
      <c r="G548" s="126">
        <f t="shared" si="67"/>
        <v>301472</v>
      </c>
      <c r="H548" s="8"/>
      <c r="I548" s="9" t="str">
        <f t="array" ref="I548:L548">_xlfn.XLOOKUP(C548,'Neiva 2021 FASE I UNIFICADO'!$C$6:$C$540,'Neiva 2021 FASE I UNIFICADO'!$C$6:$F$540,"NO ESTA")</f>
        <v>SUMINISTRO E INSTALACION TUBERIA Y ACCESORIOS RDE 21 Ø DIAMETRO  3/4"</v>
      </c>
      <c r="J548" s="9" t="str">
        <v>ML</v>
      </c>
      <c r="K548" s="9">
        <v>12</v>
      </c>
      <c r="L548" s="9">
        <v>8719</v>
      </c>
      <c r="M548" s="124" t="str">
        <f t="shared" si="65"/>
        <v>FASE II</v>
      </c>
      <c r="N548" s="155">
        <f t="shared" si="62"/>
        <v>44</v>
      </c>
      <c r="O548" s="156">
        <f t="shared" si="63"/>
        <v>9421</v>
      </c>
      <c r="P548" s="156">
        <f t="shared" si="64"/>
        <v>414524</v>
      </c>
    </row>
    <row r="549" spans="2:16" s="9" customFormat="1" ht="35.1" customHeight="1" x14ac:dyDescent="0.25">
      <c r="B549" s="13" t="s">
        <v>752</v>
      </c>
      <c r="C549" s="24" t="s">
        <v>1327</v>
      </c>
      <c r="D549" s="24"/>
      <c r="E549" s="15"/>
      <c r="F549" s="129"/>
      <c r="G549" s="140"/>
      <c r="H549" s="8"/>
      <c r="I549" s="9" t="str">
        <f t="array" ref="I549">_xlfn.XLOOKUP(C549,'Neiva 2021 FASE I UNIFICADO'!$C$6:$C$540,'Neiva 2021 FASE I UNIFICADO'!$C$6:$F$540,"NO ESTA")</f>
        <v>NO ESTA</v>
      </c>
      <c r="M549" s="124">
        <f t="shared" si="65"/>
        <v>0</v>
      </c>
      <c r="N549" s="155">
        <f t="shared" si="62"/>
        <v>0</v>
      </c>
      <c r="O549" s="156">
        <f t="shared" si="63"/>
        <v>0</v>
      </c>
      <c r="P549" s="156">
        <f t="shared" si="64"/>
        <v>0</v>
      </c>
    </row>
    <row r="550" spans="2:16" s="9" customFormat="1" ht="35.1" customHeight="1" x14ac:dyDescent="0.25">
      <c r="B550" s="10" t="s">
        <v>754</v>
      </c>
      <c r="C550" s="22" t="s">
        <v>755</v>
      </c>
      <c r="D550" s="10" t="s">
        <v>94</v>
      </c>
      <c r="E550" s="12">
        <v>45</v>
      </c>
      <c r="F550" s="126">
        <v>41384</v>
      </c>
      <c r="G550" s="126">
        <f t="shared" ref="G550:G557" si="68">ROUND(+F550*E550,2)</f>
        <v>1862280</v>
      </c>
      <c r="H550" s="8"/>
      <c r="I550" s="9" t="str">
        <f t="array" ref="I550:L550">_xlfn.XLOOKUP(C550,'Neiva 2021 FASE I UNIFICADO'!$C$6:$C$540,'Neiva 2021 FASE I UNIFICADO'!$C$6:$F$540,"NO ESTA")</f>
        <v>SUMINISTRO E INSTALACION DE AISLAMIENTO TERMICO TUBERIA Y ACCESORIOS RDE 21 Ø DIAMETRO  4"</v>
      </c>
      <c r="J550" s="9" t="str">
        <v>ML</v>
      </c>
      <c r="K550" s="9">
        <v>17</v>
      </c>
      <c r="L550" s="9">
        <v>38301</v>
      </c>
      <c r="M550" s="124" t="str">
        <f t="shared" si="65"/>
        <v>FASE II</v>
      </c>
      <c r="N550" s="155">
        <f t="shared" si="62"/>
        <v>62</v>
      </c>
      <c r="O550" s="156">
        <f t="shared" si="63"/>
        <v>41384</v>
      </c>
      <c r="P550" s="156">
        <f t="shared" si="64"/>
        <v>2565808</v>
      </c>
    </row>
    <row r="551" spans="2:16" s="9" customFormat="1" ht="35.1" customHeight="1" x14ac:dyDescent="0.25">
      <c r="B551" s="10" t="s">
        <v>756</v>
      </c>
      <c r="C551" s="87" t="s">
        <v>757</v>
      </c>
      <c r="D551" s="10" t="s">
        <v>94</v>
      </c>
      <c r="E551" s="12">
        <v>24</v>
      </c>
      <c r="F551" s="126">
        <v>37175</v>
      </c>
      <c r="G551" s="126">
        <f t="shared" si="68"/>
        <v>892200</v>
      </c>
      <c r="H551" s="8"/>
      <c r="I551" s="9" t="str">
        <f t="array" ref="I551:L551">_xlfn.XLOOKUP(C551,'Neiva 2021 FASE I UNIFICADO'!$C$6:$C$540,'Neiva 2021 FASE I UNIFICADO'!$C$6:$F$540,"NO ESTA")</f>
        <v>SUMINISTRO E INSTALACION DE AISLAMIENTO TERMICO TUBERIA Y ACCESORIOS RDE 21 Ø DIAMETRO  3"</v>
      </c>
      <c r="J551" s="9" t="str">
        <v>ML</v>
      </c>
      <c r="K551" s="9">
        <v>9</v>
      </c>
      <c r="L551" s="9">
        <v>34406</v>
      </c>
      <c r="M551" s="124" t="str">
        <f t="shared" si="65"/>
        <v>FASE II</v>
      </c>
      <c r="N551" s="155">
        <f t="shared" si="62"/>
        <v>33</v>
      </c>
      <c r="O551" s="156">
        <f t="shared" si="63"/>
        <v>37175</v>
      </c>
      <c r="P551" s="156">
        <f t="shared" si="64"/>
        <v>1226775</v>
      </c>
    </row>
    <row r="552" spans="2:16" s="9" customFormat="1" ht="35.1" customHeight="1" x14ac:dyDescent="0.25">
      <c r="B552" s="23" t="s">
        <v>758</v>
      </c>
      <c r="C552" s="22" t="s">
        <v>759</v>
      </c>
      <c r="D552" s="10" t="s">
        <v>94</v>
      </c>
      <c r="E552" s="12">
        <v>64</v>
      </c>
      <c r="F552" s="126">
        <v>28505</v>
      </c>
      <c r="G552" s="126">
        <f t="shared" si="68"/>
        <v>1824320</v>
      </c>
      <c r="H552" s="8"/>
      <c r="I552" s="9" t="str">
        <f t="array" ref="I552:L552">_xlfn.XLOOKUP(C552,'Neiva 2021 FASE I UNIFICADO'!$C$6:$C$540,'Neiva 2021 FASE I UNIFICADO'!$C$6:$F$540,"NO ESTA")</f>
        <v>SUMINISTRO E INSTALACION DE AISLAMIENTO TERMICO TUBERIA Y ACCESORIOS RDE 21 Ø DIAMETRO  2 1/2"</v>
      </c>
      <c r="J552" s="9" t="str">
        <v>ML</v>
      </c>
      <c r="K552" s="9">
        <v>24</v>
      </c>
      <c r="L552" s="9">
        <v>26381</v>
      </c>
      <c r="M552" s="124" t="str">
        <f t="shared" si="65"/>
        <v>FASE II</v>
      </c>
      <c r="N552" s="155">
        <f t="shared" si="62"/>
        <v>88</v>
      </c>
      <c r="O552" s="156">
        <f t="shared" si="63"/>
        <v>28505</v>
      </c>
      <c r="P552" s="156">
        <f t="shared" si="64"/>
        <v>2508440</v>
      </c>
    </row>
    <row r="553" spans="2:16" s="9" customFormat="1" ht="35.1" customHeight="1" x14ac:dyDescent="0.25">
      <c r="B553" s="23" t="s">
        <v>760</v>
      </c>
      <c r="C553" s="22" t="s">
        <v>761</v>
      </c>
      <c r="D553" s="10" t="s">
        <v>94</v>
      </c>
      <c r="E553" s="12">
        <v>185.4</v>
      </c>
      <c r="F553" s="126">
        <v>22485</v>
      </c>
      <c r="G553" s="126">
        <f t="shared" si="68"/>
        <v>4168719</v>
      </c>
      <c r="H553" s="8"/>
      <c r="I553" s="9" t="str">
        <f t="array" ref="I553:L553">_xlfn.XLOOKUP(C553,'Neiva 2021 FASE I UNIFICADO'!$C$6:$C$540,'Neiva 2021 FASE I UNIFICADO'!$C$6:$F$540,"NO ESTA")</f>
        <v>SUMINISTRO E INSTALACION DE AISLAMIENTO TERMICO TUBERIA Y ACCESORIOS RDE 21 Ø DIAMETRO  2"</v>
      </c>
      <c r="J553" s="9" t="str">
        <v>ML</v>
      </c>
      <c r="K553" s="9">
        <v>68</v>
      </c>
      <c r="L553" s="9">
        <v>20809</v>
      </c>
      <c r="M553" s="124" t="str">
        <f t="shared" si="65"/>
        <v>FASE II</v>
      </c>
      <c r="N553" s="155">
        <f t="shared" si="62"/>
        <v>253.4</v>
      </c>
      <c r="O553" s="156">
        <f t="shared" si="63"/>
        <v>22485</v>
      </c>
      <c r="P553" s="156">
        <f t="shared" si="64"/>
        <v>5697699</v>
      </c>
    </row>
    <row r="554" spans="2:16" s="9" customFormat="1" ht="35.1" customHeight="1" x14ac:dyDescent="0.25">
      <c r="B554" s="23" t="s">
        <v>762</v>
      </c>
      <c r="C554" s="87" t="s">
        <v>763</v>
      </c>
      <c r="D554" s="10" t="s">
        <v>94</v>
      </c>
      <c r="E554" s="12">
        <v>106.80000000000001</v>
      </c>
      <c r="F554" s="126">
        <v>16958</v>
      </c>
      <c r="G554" s="126">
        <f t="shared" si="68"/>
        <v>1811114.4</v>
      </c>
      <c r="H554" s="8"/>
      <c r="I554" s="9" t="str">
        <f t="array" ref="I554:L554">_xlfn.XLOOKUP(C554,'Neiva 2021 FASE I UNIFICADO'!$C$6:$C$540,'Neiva 2021 FASE I UNIFICADO'!$C$6:$F$540,"NO ESTA")</f>
        <v>SUMINISTRO E INSTALACION DE AISLAMIENTO TERMICO TUBERIA Y ACCESORIOS RDE 21 Ø DIAMETRO  1 1/2"</v>
      </c>
      <c r="J554" s="9" t="str">
        <v>ML</v>
      </c>
      <c r="K554" s="9">
        <v>40</v>
      </c>
      <c r="L554" s="9">
        <v>15695</v>
      </c>
      <c r="M554" s="124" t="str">
        <f t="shared" si="65"/>
        <v>FASE II</v>
      </c>
      <c r="N554" s="155">
        <f t="shared" si="62"/>
        <v>146.80000000000001</v>
      </c>
      <c r="O554" s="156">
        <f t="shared" si="63"/>
        <v>16958</v>
      </c>
      <c r="P554" s="156">
        <f t="shared" si="64"/>
        <v>2489434.4000000004</v>
      </c>
    </row>
    <row r="555" spans="2:16" s="9" customFormat="1" ht="35.1" customHeight="1" x14ac:dyDescent="0.25">
      <c r="B555" s="23" t="s">
        <v>764</v>
      </c>
      <c r="C555" s="87" t="s">
        <v>765</v>
      </c>
      <c r="D555" s="10" t="s">
        <v>94</v>
      </c>
      <c r="E555" s="12">
        <v>165.6</v>
      </c>
      <c r="F555" s="126">
        <v>14543</v>
      </c>
      <c r="G555" s="126">
        <f t="shared" si="68"/>
        <v>2408320.7999999998</v>
      </c>
      <c r="H555" s="8"/>
      <c r="I555" s="9" t="str">
        <f t="array" ref="I555:L555">_xlfn.XLOOKUP(C555,'Neiva 2021 FASE I UNIFICADO'!$C$6:$C$540,'Neiva 2021 FASE I UNIFICADO'!$C$6:$F$540,"NO ESTA")</f>
        <v>SUMINISTRO E INSTALACION DE AISLAMIENTO TERMICO TUBERIA Y ACCESORIOS RDE 21 Ø DIAMETRO  1 1/4"</v>
      </c>
      <c r="J555" s="9" t="str">
        <v>ML</v>
      </c>
      <c r="K555" s="9">
        <v>61</v>
      </c>
      <c r="L555" s="9">
        <v>13460</v>
      </c>
      <c r="M555" s="124" t="str">
        <f t="shared" si="65"/>
        <v>FASE II</v>
      </c>
      <c r="N555" s="155">
        <f t="shared" si="62"/>
        <v>226.6</v>
      </c>
      <c r="O555" s="156">
        <f t="shared" si="63"/>
        <v>14543</v>
      </c>
      <c r="P555" s="156">
        <f t="shared" si="64"/>
        <v>3295443.8</v>
      </c>
    </row>
    <row r="556" spans="2:16" s="9" customFormat="1" ht="35.1" customHeight="1" x14ac:dyDescent="0.25">
      <c r="B556" s="23" t="s">
        <v>766</v>
      </c>
      <c r="C556" s="22" t="s">
        <v>767</v>
      </c>
      <c r="D556" s="10" t="s">
        <v>94</v>
      </c>
      <c r="E556" s="12">
        <v>28.799999999999997</v>
      </c>
      <c r="F556" s="126">
        <v>10599</v>
      </c>
      <c r="G556" s="126">
        <f t="shared" si="68"/>
        <v>305251.20000000001</v>
      </c>
      <c r="H556" s="8"/>
      <c r="I556" s="9" t="str">
        <f t="array" ref="I556:L556">_xlfn.XLOOKUP(C556,'Neiva 2021 FASE I UNIFICADO'!$C$6:$C$540,'Neiva 2021 FASE I UNIFICADO'!$C$6:$F$540,"NO ESTA")</f>
        <v>SUMINISTRO E INSTALACION DE AISLAMIENTO TERMICO TUBERIA Y ACCESORIOS RDE 21 Ø DIAMETRO  1"</v>
      </c>
      <c r="J556" s="9" t="str">
        <v>ML</v>
      </c>
      <c r="K556" s="9">
        <v>10</v>
      </c>
      <c r="L556" s="9">
        <v>9809</v>
      </c>
      <c r="M556" s="124" t="str">
        <f t="shared" si="65"/>
        <v>FASE II</v>
      </c>
      <c r="N556" s="155">
        <f t="shared" si="62"/>
        <v>38.799999999999997</v>
      </c>
      <c r="O556" s="156">
        <f t="shared" si="63"/>
        <v>10599</v>
      </c>
      <c r="P556" s="156">
        <f t="shared" si="64"/>
        <v>411241.19999999995</v>
      </c>
    </row>
    <row r="557" spans="2:16" s="9" customFormat="1" ht="35.1" customHeight="1" x14ac:dyDescent="0.25">
      <c r="B557" s="23" t="s">
        <v>768</v>
      </c>
      <c r="C557" s="22" t="s">
        <v>769</v>
      </c>
      <c r="D557" s="10" t="s">
        <v>94</v>
      </c>
      <c r="E557" s="12">
        <v>32</v>
      </c>
      <c r="F557" s="126">
        <v>9250</v>
      </c>
      <c r="G557" s="126">
        <f t="shared" si="68"/>
        <v>296000</v>
      </c>
      <c r="H557" s="8"/>
      <c r="I557" s="9" t="str">
        <f t="array" ref="I557:L557">_xlfn.XLOOKUP(C557,'Neiva 2021 FASE I UNIFICADO'!$C$6:$C$540,'Neiva 2021 FASE I UNIFICADO'!$C$6:$F$540,"NO ESTA")</f>
        <v>SUMINISTRO E INSTALACION DE AISLAMIENTO TERMICO TUBERIA Y ACCESORIOS RDE 21 Ø DIAMETRO  3/4"</v>
      </c>
      <c r="J557" s="9" t="str">
        <v>ML</v>
      </c>
      <c r="K557" s="9">
        <v>12</v>
      </c>
      <c r="L557" s="9">
        <v>8561</v>
      </c>
      <c r="M557" s="124" t="str">
        <f t="shared" si="65"/>
        <v>FASE II</v>
      </c>
      <c r="N557" s="155">
        <f t="shared" si="62"/>
        <v>44</v>
      </c>
      <c r="O557" s="156">
        <f t="shared" si="63"/>
        <v>9250</v>
      </c>
      <c r="P557" s="156">
        <f t="shared" si="64"/>
        <v>407000</v>
      </c>
    </row>
    <row r="558" spans="2:16" s="9" customFormat="1" ht="35.1" customHeight="1" x14ac:dyDescent="0.25">
      <c r="B558" s="13" t="s">
        <v>770</v>
      </c>
      <c r="C558" s="24" t="s">
        <v>1328</v>
      </c>
      <c r="D558" s="24"/>
      <c r="E558" s="15"/>
      <c r="F558" s="129"/>
      <c r="G558" s="140"/>
      <c r="H558" s="8"/>
      <c r="I558" s="9" t="str">
        <f t="array" ref="I558">_xlfn.XLOOKUP(C558,'Neiva 2021 FASE I UNIFICADO'!$C$6:$C$540,'Neiva 2021 FASE I UNIFICADO'!$C$6:$F$540,"NO ESTA")</f>
        <v>NO ESTA</v>
      </c>
      <c r="M558" s="124">
        <f t="shared" si="65"/>
        <v>0</v>
      </c>
      <c r="N558" s="155">
        <f t="shared" si="62"/>
        <v>0</v>
      </c>
      <c r="O558" s="156">
        <f t="shared" si="63"/>
        <v>0</v>
      </c>
      <c r="P558" s="156">
        <f t="shared" si="64"/>
        <v>0</v>
      </c>
    </row>
    <row r="559" spans="2:16" s="9" customFormat="1" ht="35.1" customHeight="1" x14ac:dyDescent="0.25">
      <c r="B559" s="23" t="s">
        <v>772</v>
      </c>
      <c r="C559" s="22" t="s">
        <v>773</v>
      </c>
      <c r="D559" s="10" t="s">
        <v>16</v>
      </c>
      <c r="E559" s="12">
        <v>3</v>
      </c>
      <c r="F559" s="126">
        <v>288532</v>
      </c>
      <c r="G559" s="126">
        <f t="shared" ref="G559:G595" si="69">ROUND(+F559*E559,2)</f>
        <v>865596</v>
      </c>
      <c r="H559" s="8"/>
      <c r="I559" s="9" t="str">
        <f t="array" ref="I559:L559">_xlfn.XLOOKUP(C559,'Neiva 2021 FASE I UNIFICADO'!$C$6:$C$540,'Neiva 2021 FASE I UNIFICADO'!$C$6:$F$540,"NO ESTA")</f>
        <v>SUMINISTRO E INSTALACION MANOMETROS 4", INCLUYE GRIFOS DE PRUEBA Y ACCESORIOS</v>
      </c>
      <c r="J559" s="9" t="str">
        <v>UND</v>
      </c>
      <c r="K559" s="9">
        <v>1</v>
      </c>
      <c r="L559" s="9">
        <v>267035</v>
      </c>
      <c r="M559" s="124" t="str">
        <f t="shared" si="65"/>
        <v>FASE II</v>
      </c>
      <c r="N559" s="155">
        <f t="shared" si="62"/>
        <v>4</v>
      </c>
      <c r="O559" s="156">
        <f t="shared" si="63"/>
        <v>288532</v>
      </c>
      <c r="P559" s="156">
        <f t="shared" si="64"/>
        <v>1154128</v>
      </c>
    </row>
    <row r="560" spans="2:16" s="9" customFormat="1" ht="35.1" customHeight="1" x14ac:dyDescent="0.25">
      <c r="B560" s="23" t="s">
        <v>774</v>
      </c>
      <c r="C560" s="22" t="s">
        <v>775</v>
      </c>
      <c r="D560" s="10" t="s">
        <v>16</v>
      </c>
      <c r="E560" s="12">
        <v>3</v>
      </c>
      <c r="F560" s="126">
        <v>555192</v>
      </c>
      <c r="G560" s="126">
        <f t="shared" si="69"/>
        <v>1665576</v>
      </c>
      <c r="H560" s="8"/>
      <c r="I560" s="9" t="str">
        <f t="array" ref="I560:L560">_xlfn.XLOOKUP(C560,'Neiva 2021 FASE I UNIFICADO'!$C$6:$C$540,'Neiva 2021 FASE I UNIFICADO'!$C$6:$F$540,"NO ESTA")</f>
        <v>SUMINISTRO E INSTALACION TERMOMETROS 0-100F DE COLUMNA 7"</v>
      </c>
      <c r="J560" s="9" t="str">
        <v>UND</v>
      </c>
      <c r="K560" s="9">
        <v>1</v>
      </c>
      <c r="L560" s="9">
        <v>513828</v>
      </c>
      <c r="M560" s="124" t="str">
        <f t="shared" si="65"/>
        <v>FASE II</v>
      </c>
      <c r="N560" s="155">
        <f t="shared" si="62"/>
        <v>4</v>
      </c>
      <c r="O560" s="156">
        <f t="shared" si="63"/>
        <v>555192</v>
      </c>
      <c r="P560" s="156">
        <f t="shared" si="64"/>
        <v>2220768</v>
      </c>
    </row>
    <row r="561" spans="2:16" s="9" customFormat="1" ht="35.1" customHeight="1" x14ac:dyDescent="0.25">
      <c r="B561" s="23" t="s">
        <v>776</v>
      </c>
      <c r="C561" s="22" t="s">
        <v>777</v>
      </c>
      <c r="D561" s="10" t="s">
        <v>16</v>
      </c>
      <c r="E561" s="12">
        <v>3</v>
      </c>
      <c r="F561" s="126">
        <v>195476</v>
      </c>
      <c r="G561" s="126">
        <f t="shared" si="69"/>
        <v>586428</v>
      </c>
      <c r="H561" s="8"/>
      <c r="I561" s="9" t="str">
        <f t="array" ref="I561:L561">_xlfn.XLOOKUP(C561,'Neiva 2021 FASE I UNIFICADO'!$C$6:$C$540,'Neiva 2021 FASE I UNIFICADO'!$C$6:$F$540,"NO ESTA")</f>
        <v>SUMINISTRO E INSTALACION ELIMINADORES DE AIRE</v>
      </c>
      <c r="J561" s="9" t="str">
        <v>UND</v>
      </c>
      <c r="K561" s="9">
        <v>1</v>
      </c>
      <c r="L561" s="9">
        <v>180913</v>
      </c>
      <c r="M561" s="124" t="str">
        <f t="shared" si="65"/>
        <v>FASE II</v>
      </c>
      <c r="N561" s="155">
        <f t="shared" si="62"/>
        <v>4</v>
      </c>
      <c r="O561" s="156">
        <f t="shared" si="63"/>
        <v>195476</v>
      </c>
      <c r="P561" s="156">
        <f t="shared" si="64"/>
        <v>781904</v>
      </c>
    </row>
    <row r="562" spans="2:16" s="9" customFormat="1" ht="35.1" customHeight="1" x14ac:dyDescent="0.25">
      <c r="B562" s="23" t="s">
        <v>778</v>
      </c>
      <c r="C562" s="22" t="s">
        <v>779</v>
      </c>
      <c r="D562" s="10" t="s">
        <v>16</v>
      </c>
      <c r="E562" s="12">
        <v>1</v>
      </c>
      <c r="F562" s="126">
        <v>452416</v>
      </c>
      <c r="G562" s="126">
        <f t="shared" si="69"/>
        <v>452416</v>
      </c>
      <c r="H562" s="8"/>
      <c r="I562" s="9" t="str">
        <f t="array" ref="I562:L562">_xlfn.XLOOKUP(C562,'Neiva 2021 FASE I UNIFICADO'!$C$6:$C$540,'Neiva 2021 FASE I UNIFICADO'!$C$6:$F$540,"NO ESTA")</f>
        <v xml:space="preserve">SUMINISTRO E INSTALACION TANQUE DE EXPANSIÓN PVC CON VALVULA DE NIVEL </v>
      </c>
      <c r="J562" s="9" t="str">
        <v>UND</v>
      </c>
      <c r="K562" s="9">
        <v>1</v>
      </c>
      <c r="L562" s="9">
        <v>418710</v>
      </c>
      <c r="M562" s="124" t="str">
        <f t="shared" si="65"/>
        <v>FASE II</v>
      </c>
      <c r="N562" s="155">
        <f t="shared" si="62"/>
        <v>2</v>
      </c>
      <c r="O562" s="156">
        <f t="shared" si="63"/>
        <v>452416</v>
      </c>
      <c r="P562" s="156">
        <f t="shared" si="64"/>
        <v>904832</v>
      </c>
    </row>
    <row r="563" spans="2:16" s="9" customFormat="1" ht="35.1" customHeight="1" x14ac:dyDescent="0.25">
      <c r="B563" s="23" t="s">
        <v>780</v>
      </c>
      <c r="C563" s="22" t="s">
        <v>781</v>
      </c>
      <c r="D563" s="10" t="s">
        <v>16</v>
      </c>
      <c r="E563" s="12">
        <v>3</v>
      </c>
      <c r="F563" s="126">
        <v>2334368</v>
      </c>
      <c r="G563" s="126">
        <f t="shared" si="69"/>
        <v>7003104</v>
      </c>
      <c r="H563" s="8"/>
      <c r="I563" s="9" t="str">
        <f t="array" ref="I563:L563">_xlfn.XLOOKUP(C563,'Neiva 2021 FASE I UNIFICADO'!$C$6:$C$540,'Neiva 2021 FASE I UNIFICADO'!$C$6:$F$540,"NO ESTA")</f>
        <v>SUMINISTRO E INSTALACION VALVULAS MARIPOSA DE 4" SUCCIÓN DE BOMBA</v>
      </c>
      <c r="J563" s="9" t="str">
        <v>UND</v>
      </c>
      <c r="K563" s="9">
        <v>1</v>
      </c>
      <c r="L563" s="9">
        <v>2160446</v>
      </c>
      <c r="M563" s="124" t="str">
        <f t="shared" si="65"/>
        <v>FASE II</v>
      </c>
      <c r="N563" s="155">
        <f t="shared" si="62"/>
        <v>4</v>
      </c>
      <c r="O563" s="156">
        <f t="shared" si="63"/>
        <v>2334368</v>
      </c>
      <c r="P563" s="156">
        <f t="shared" si="64"/>
        <v>9337472</v>
      </c>
    </row>
    <row r="564" spans="2:16" s="9" customFormat="1" ht="35.1" customHeight="1" x14ac:dyDescent="0.25">
      <c r="B564" s="23" t="s">
        <v>782</v>
      </c>
      <c r="C564" s="22" t="s">
        <v>783</v>
      </c>
      <c r="D564" s="10" t="s">
        <v>16</v>
      </c>
      <c r="E564" s="12">
        <v>3</v>
      </c>
      <c r="F564" s="126">
        <v>2334368</v>
      </c>
      <c r="G564" s="126">
        <f t="shared" si="69"/>
        <v>7003104</v>
      </c>
      <c r="H564" s="8"/>
      <c r="I564" s="9" t="str">
        <f t="array" ref="I564:L564">_xlfn.XLOOKUP(C564,'Neiva 2021 FASE I UNIFICADO'!$C$6:$C$540,'Neiva 2021 FASE I UNIFICADO'!$C$6:$F$540,"NO ESTA")</f>
        <v>SUMINISTRO E INSTALACION VALVULAS MARIPOSA DE 4" DESCARGA DE BOMBA</v>
      </c>
      <c r="J564" s="9" t="str">
        <v>UND</v>
      </c>
      <c r="K564" s="9">
        <v>1</v>
      </c>
      <c r="L564" s="9">
        <v>2160446</v>
      </c>
      <c r="M564" s="124" t="str">
        <f t="shared" si="65"/>
        <v>FASE II</v>
      </c>
      <c r="N564" s="155">
        <f t="shared" si="62"/>
        <v>4</v>
      </c>
      <c r="O564" s="156">
        <f t="shared" si="63"/>
        <v>2334368</v>
      </c>
      <c r="P564" s="156">
        <f t="shared" si="64"/>
        <v>9337472</v>
      </c>
    </row>
    <row r="565" spans="2:16" s="9" customFormat="1" ht="35.1" customHeight="1" x14ac:dyDescent="0.25">
      <c r="B565" s="23" t="s">
        <v>784</v>
      </c>
      <c r="C565" s="22" t="s">
        <v>785</v>
      </c>
      <c r="D565" s="10" t="s">
        <v>16</v>
      </c>
      <c r="E565" s="12">
        <v>1</v>
      </c>
      <c r="F565" s="126">
        <v>1233385</v>
      </c>
      <c r="G565" s="126">
        <f t="shared" si="69"/>
        <v>1233385</v>
      </c>
      <c r="H565" s="8"/>
      <c r="I565" s="9" t="str">
        <f t="array" ref="I565:L565">_xlfn.XLOOKUP(C565,'Neiva 2021 FASE I UNIFICADO'!$C$6:$C$540,'Neiva 2021 FASE I UNIFICADO'!$C$6:$F$540,"NO ESTA")</f>
        <v>SUMINISTRO E INSTALACION VALVULA TRIPLE - FLOTREX</v>
      </c>
      <c r="J565" s="9" t="str">
        <v>UND</v>
      </c>
      <c r="K565" s="9">
        <v>1</v>
      </c>
      <c r="L565" s="9">
        <v>1141492</v>
      </c>
      <c r="M565" s="124" t="str">
        <f t="shared" si="65"/>
        <v>FASE II</v>
      </c>
      <c r="N565" s="155">
        <f t="shared" si="62"/>
        <v>2</v>
      </c>
      <c r="O565" s="156">
        <f t="shared" si="63"/>
        <v>1233385</v>
      </c>
      <c r="P565" s="156">
        <f t="shared" si="64"/>
        <v>2466770</v>
      </c>
    </row>
    <row r="566" spans="2:16" s="9" customFormat="1" ht="35.1" customHeight="1" x14ac:dyDescent="0.25">
      <c r="B566" s="23" t="s">
        <v>786</v>
      </c>
      <c r="C566" s="22" t="s">
        <v>787</v>
      </c>
      <c r="D566" s="10" t="s">
        <v>16</v>
      </c>
      <c r="E566" s="12">
        <v>0</v>
      </c>
      <c r="F566" s="126">
        <v>363171</v>
      </c>
      <c r="G566" s="141">
        <f t="shared" si="69"/>
        <v>0</v>
      </c>
      <c r="H566" s="8"/>
      <c r="I566" s="9" t="str">
        <f t="array" ref="I566:L566">_xlfn.XLOOKUP(C566,'Neiva 2021 FASE I UNIFICADO'!$C$6:$C$540,'Neiva 2021 FASE I UNIFICADO'!$C$6:$F$540,"NO ESTA")</f>
        <v>SUMINISTRO E INSTALACION VALVULA CORTINA 3" 125PSI - PISO 3</v>
      </c>
      <c r="J566" s="9" t="str">
        <v>UND</v>
      </c>
      <c r="K566" s="9">
        <v>1</v>
      </c>
      <c r="L566" s="9">
        <v>336113</v>
      </c>
      <c r="M566" s="124" t="str">
        <f t="shared" si="65"/>
        <v>FASE II</v>
      </c>
      <c r="N566" s="155">
        <f t="shared" si="62"/>
        <v>1</v>
      </c>
      <c r="O566" s="156">
        <f t="shared" si="63"/>
        <v>363171</v>
      </c>
      <c r="P566" s="156">
        <f t="shared" si="64"/>
        <v>363171</v>
      </c>
    </row>
    <row r="567" spans="2:16" s="9" customFormat="1" ht="35.1" customHeight="1" x14ac:dyDescent="0.25">
      <c r="B567" s="23" t="s">
        <v>788</v>
      </c>
      <c r="C567" s="22" t="s">
        <v>789</v>
      </c>
      <c r="D567" s="10" t="s">
        <v>16</v>
      </c>
      <c r="E567" s="12">
        <v>0</v>
      </c>
      <c r="F567" s="126">
        <v>507699</v>
      </c>
      <c r="G567" s="141">
        <f t="shared" si="69"/>
        <v>0</v>
      </c>
      <c r="H567" s="8"/>
      <c r="I567" s="9" t="str">
        <f t="array" ref="I567:L567">_xlfn.XLOOKUP(C567,'Neiva 2021 FASE I UNIFICADO'!$C$6:$C$540,'Neiva 2021 FASE I UNIFICADO'!$C$6:$F$540,"NO ESTA")</f>
        <v>SUMINISTRO E INSTALACION VALVULA GLOBO 3" 125PSI - PISO 3</v>
      </c>
      <c r="J567" s="9" t="str">
        <v>UND</v>
      </c>
      <c r="K567" s="9">
        <v>1</v>
      </c>
      <c r="L567" s="9">
        <v>469873</v>
      </c>
      <c r="M567" s="124" t="str">
        <f t="shared" si="65"/>
        <v>FASE II</v>
      </c>
      <c r="N567" s="155">
        <f t="shared" si="62"/>
        <v>1</v>
      </c>
      <c r="O567" s="156">
        <f t="shared" si="63"/>
        <v>507699</v>
      </c>
      <c r="P567" s="156">
        <f t="shared" si="64"/>
        <v>507699</v>
      </c>
    </row>
    <row r="568" spans="2:16" s="9" customFormat="1" ht="35.1" customHeight="1" x14ac:dyDescent="0.25">
      <c r="B568" s="23" t="s">
        <v>790</v>
      </c>
      <c r="C568" s="22" t="s">
        <v>791</v>
      </c>
      <c r="D568" s="10" t="s">
        <v>16</v>
      </c>
      <c r="E568" s="12">
        <v>5</v>
      </c>
      <c r="F568" s="126">
        <v>322703</v>
      </c>
      <c r="G568" s="126">
        <f t="shared" si="69"/>
        <v>1613515</v>
      </c>
      <c r="H568" s="8"/>
      <c r="I568" s="9" t="str">
        <f t="array" ref="I568:L568">_xlfn.XLOOKUP(C568,'Neiva 2021 FASE I UNIFICADO'!$C$6:$C$540,'Neiva 2021 FASE I UNIFICADO'!$C$6:$F$540,"NO ESTA")</f>
        <v>SUMINISTRO E INSTALACION VALVULAS CORTINA 2 1/2" 125PSI - PISOS 2,3,4</v>
      </c>
      <c r="J568" s="9" t="str">
        <v>UND</v>
      </c>
      <c r="K568" s="9">
        <v>2</v>
      </c>
      <c r="L568" s="9">
        <v>298659</v>
      </c>
      <c r="M568" s="124" t="str">
        <f t="shared" si="65"/>
        <v>FASE II</v>
      </c>
      <c r="N568" s="155">
        <f t="shared" si="62"/>
        <v>7</v>
      </c>
      <c r="O568" s="156">
        <f t="shared" si="63"/>
        <v>322703</v>
      </c>
      <c r="P568" s="156">
        <f t="shared" si="64"/>
        <v>2258921</v>
      </c>
    </row>
    <row r="569" spans="2:16" s="9" customFormat="1" ht="35.1" customHeight="1" x14ac:dyDescent="0.25">
      <c r="B569" s="23" t="s">
        <v>792</v>
      </c>
      <c r="C569" s="22" t="s">
        <v>793</v>
      </c>
      <c r="D569" s="10" t="s">
        <v>16</v>
      </c>
      <c r="E569" s="12">
        <v>5</v>
      </c>
      <c r="F569" s="126">
        <v>455284</v>
      </c>
      <c r="G569" s="126">
        <f t="shared" si="69"/>
        <v>2276420</v>
      </c>
      <c r="H569" s="8"/>
      <c r="I569" s="9" t="str">
        <f t="array" ref="I569:L569">_xlfn.XLOOKUP(C569,'Neiva 2021 FASE I UNIFICADO'!$C$6:$C$540,'Neiva 2021 FASE I UNIFICADO'!$C$6:$F$540,"NO ESTA")</f>
        <v>SUMINISTRO E INSTALACION VALVULAS GLOBO 2 1/2" 125PSI - PISOS 2,3,4</v>
      </c>
      <c r="J569" s="9" t="str">
        <v>UND</v>
      </c>
      <c r="K569" s="9">
        <v>2</v>
      </c>
      <c r="L569" s="9">
        <v>421363</v>
      </c>
      <c r="M569" s="124" t="str">
        <f t="shared" si="65"/>
        <v>FASE II</v>
      </c>
      <c r="N569" s="155">
        <f t="shared" si="62"/>
        <v>7</v>
      </c>
      <c r="O569" s="156">
        <f t="shared" si="63"/>
        <v>455284</v>
      </c>
      <c r="P569" s="156">
        <f t="shared" si="64"/>
        <v>3186988</v>
      </c>
    </row>
    <row r="570" spans="2:16" s="9" customFormat="1" ht="35.1" customHeight="1" x14ac:dyDescent="0.25">
      <c r="B570" s="23" t="s">
        <v>794</v>
      </c>
      <c r="C570" s="22" t="s">
        <v>795</v>
      </c>
      <c r="D570" s="10" t="s">
        <v>16</v>
      </c>
      <c r="E570" s="12">
        <v>1</v>
      </c>
      <c r="F570" s="126">
        <v>238683</v>
      </c>
      <c r="G570" s="126">
        <f t="shared" si="69"/>
        <v>238683</v>
      </c>
      <c r="H570" s="8"/>
      <c r="I570" s="9" t="str">
        <f t="array" ref="I570:L570">_xlfn.XLOOKUP(C570,'Neiva 2021 FASE I UNIFICADO'!$C$6:$C$540,'Neiva 2021 FASE I UNIFICADO'!$C$6:$F$540,"NO ESTA")</f>
        <v>SUMINISTRO E INSTALACION VALVULAS CORTINA 2" 125PSI - PISO 1,4</v>
      </c>
      <c r="J570" s="9" t="str">
        <v>UND</v>
      </c>
      <c r="K570" s="9">
        <v>1</v>
      </c>
      <c r="L570" s="9">
        <v>220900</v>
      </c>
      <c r="M570" s="124" t="str">
        <f t="shared" si="65"/>
        <v>FASE II</v>
      </c>
      <c r="N570" s="155">
        <f t="shared" si="62"/>
        <v>2</v>
      </c>
      <c r="O570" s="156">
        <f t="shared" si="63"/>
        <v>238683</v>
      </c>
      <c r="P570" s="156">
        <f t="shared" si="64"/>
        <v>477366</v>
      </c>
    </row>
    <row r="571" spans="2:16" s="9" customFormat="1" ht="35.1" customHeight="1" x14ac:dyDescent="0.25">
      <c r="B571" s="23" t="s">
        <v>796</v>
      </c>
      <c r="C571" s="22" t="s">
        <v>797</v>
      </c>
      <c r="D571" s="10" t="s">
        <v>16</v>
      </c>
      <c r="E571" s="12">
        <v>1</v>
      </c>
      <c r="F571" s="126">
        <v>260152</v>
      </c>
      <c r="G571" s="126">
        <f t="shared" si="69"/>
        <v>260152</v>
      </c>
      <c r="H571" s="8"/>
      <c r="I571" s="9" t="str">
        <f t="array" ref="I571:L571">_xlfn.XLOOKUP(C571,'Neiva 2021 FASE I UNIFICADO'!$C$6:$C$540,'Neiva 2021 FASE I UNIFICADO'!$C$6:$F$540,"NO ESTA")</f>
        <v>SUMINISTRO E INSTALACION VALVULAS GLOBO 2" 125PSI - PISO 1,4</v>
      </c>
      <c r="J571" s="9" t="str">
        <v>UND</v>
      </c>
      <c r="K571" s="9">
        <v>1</v>
      </c>
      <c r="L571" s="9">
        <v>240769</v>
      </c>
      <c r="M571" s="124" t="str">
        <f t="shared" si="65"/>
        <v>FASE II</v>
      </c>
      <c r="N571" s="155">
        <f t="shared" si="62"/>
        <v>2</v>
      </c>
      <c r="O571" s="156">
        <f t="shared" si="63"/>
        <v>260152</v>
      </c>
      <c r="P571" s="156">
        <f t="shared" si="64"/>
        <v>520304</v>
      </c>
    </row>
    <row r="572" spans="2:16" s="9" customFormat="1" ht="35.1" customHeight="1" x14ac:dyDescent="0.25">
      <c r="B572" s="23" t="s">
        <v>1329</v>
      </c>
      <c r="C572" s="22" t="s">
        <v>1330</v>
      </c>
      <c r="D572" s="10" t="s">
        <v>16</v>
      </c>
      <c r="E572" s="12">
        <v>2</v>
      </c>
      <c r="F572" s="126">
        <v>125501</v>
      </c>
      <c r="G572" s="126">
        <f t="shared" si="69"/>
        <v>251002</v>
      </c>
      <c r="H572" s="8"/>
      <c r="I572" s="9" t="str">
        <f t="array" ref="I572">_xlfn.XLOOKUP(C572,'Neiva 2021 FASE I UNIFICADO'!$C$6:$C$540,'Neiva 2021 FASE I UNIFICADO'!$C$6:$F$540,"NO ESTA")</f>
        <v>NO ESTA</v>
      </c>
      <c r="M572" s="124">
        <f t="shared" si="65"/>
        <v>0</v>
      </c>
      <c r="N572" s="155">
        <f t="shared" si="62"/>
        <v>2</v>
      </c>
      <c r="O572" s="156">
        <f t="shared" si="63"/>
        <v>125501</v>
      </c>
      <c r="P572" s="156">
        <f t="shared" si="64"/>
        <v>251002</v>
      </c>
    </row>
    <row r="573" spans="2:16" s="9" customFormat="1" ht="35.1" customHeight="1" x14ac:dyDescent="0.25">
      <c r="B573" s="23" t="s">
        <v>1331</v>
      </c>
      <c r="C573" s="22" t="s">
        <v>1332</v>
      </c>
      <c r="D573" s="10" t="s">
        <v>16</v>
      </c>
      <c r="E573" s="12">
        <v>2</v>
      </c>
      <c r="F573" s="126">
        <v>160830</v>
      </c>
      <c r="G573" s="126">
        <f t="shared" si="69"/>
        <v>321660</v>
      </c>
      <c r="H573" s="8"/>
      <c r="I573" s="9" t="str">
        <f t="array" ref="I573">_xlfn.XLOOKUP(C573,'Neiva 2021 FASE I UNIFICADO'!$C$6:$C$540,'Neiva 2021 FASE I UNIFICADO'!$C$6:$F$540,"NO ESTA")</f>
        <v>NO ESTA</v>
      </c>
      <c r="M573" s="124">
        <f t="shared" si="65"/>
        <v>0</v>
      </c>
      <c r="N573" s="155">
        <f t="shared" si="62"/>
        <v>2</v>
      </c>
      <c r="O573" s="156">
        <f t="shared" si="63"/>
        <v>160830</v>
      </c>
      <c r="P573" s="156">
        <f t="shared" si="64"/>
        <v>321660</v>
      </c>
    </row>
    <row r="574" spans="2:16" s="9" customFormat="1" ht="35.1" customHeight="1" x14ac:dyDescent="0.25">
      <c r="B574" s="23" t="s">
        <v>798</v>
      </c>
      <c r="C574" s="22" t="s">
        <v>799</v>
      </c>
      <c r="D574" s="10" t="s">
        <v>16</v>
      </c>
      <c r="E574" s="12">
        <v>1</v>
      </c>
      <c r="F574" s="126">
        <v>584781</v>
      </c>
      <c r="G574" s="126">
        <f t="shared" si="69"/>
        <v>584781</v>
      </c>
      <c r="H574" s="8"/>
      <c r="I574" s="9" t="str">
        <f t="array" ref="I574:L574">_xlfn.XLOOKUP(C574,'Neiva 2021 FASE I UNIFICADO'!$C$6:$C$540,'Neiva 2021 FASE I UNIFICADO'!$C$6:$F$540,"NO ESTA")</f>
        <v>SUMINISTRO E INSTALACION FILTRO / STRAINER incluye SOPORTERIA</v>
      </c>
      <c r="J574" s="9" t="str">
        <v>UND</v>
      </c>
      <c r="K574" s="9">
        <v>1</v>
      </c>
      <c r="L574" s="9">
        <v>541212</v>
      </c>
      <c r="M574" s="124" t="str">
        <f t="shared" si="65"/>
        <v>FASE II</v>
      </c>
      <c r="N574" s="155">
        <f t="shared" si="62"/>
        <v>2</v>
      </c>
      <c r="O574" s="156">
        <f t="shared" si="63"/>
        <v>584781</v>
      </c>
      <c r="P574" s="156">
        <f t="shared" si="64"/>
        <v>1169562</v>
      </c>
    </row>
    <row r="575" spans="2:16" s="9" customFormat="1" ht="35.1" customHeight="1" x14ac:dyDescent="0.25">
      <c r="B575" s="23" t="s">
        <v>800</v>
      </c>
      <c r="C575" s="22" t="s">
        <v>801</v>
      </c>
      <c r="D575" s="10" t="s">
        <v>16</v>
      </c>
      <c r="E575" s="12">
        <v>1</v>
      </c>
      <c r="F575" s="126">
        <v>3213217</v>
      </c>
      <c r="G575" s="126">
        <f t="shared" si="69"/>
        <v>3213217</v>
      </c>
      <c r="H575" s="8"/>
      <c r="I575" s="9" t="str">
        <f t="array" ref="I575:L575">_xlfn.XLOOKUP(C575,'Neiva 2021 FASE I UNIFICADO'!$C$6:$C$540,'Neiva 2021 FASE I UNIFICADO'!$C$6:$F$540,"NO ESTA")</f>
        <v>SUMINISTRO E INSTALACION FLANCHES, CABEZALES Y ACCESORIOS VARIOS ASOCIADOS</v>
      </c>
      <c r="J575" s="9" t="str">
        <v>UND</v>
      </c>
      <c r="K575" s="9">
        <v>1</v>
      </c>
      <c r="L575" s="9">
        <v>2973816</v>
      </c>
      <c r="M575" s="124" t="str">
        <f t="shared" si="65"/>
        <v>FASE II</v>
      </c>
      <c r="N575" s="155">
        <f t="shared" si="62"/>
        <v>2</v>
      </c>
      <c r="O575" s="156">
        <f t="shared" si="63"/>
        <v>3213217</v>
      </c>
      <c r="P575" s="156">
        <f t="shared" si="64"/>
        <v>6426434</v>
      </c>
    </row>
    <row r="576" spans="2:16" s="9" customFormat="1" ht="35.1" customHeight="1" x14ac:dyDescent="0.25">
      <c r="B576" s="23" t="s">
        <v>802</v>
      </c>
      <c r="C576" s="22" t="s">
        <v>803</v>
      </c>
      <c r="D576" s="10" t="s">
        <v>16</v>
      </c>
      <c r="E576" s="12">
        <v>2</v>
      </c>
      <c r="F576" s="126">
        <v>1006067</v>
      </c>
      <c r="G576" s="126">
        <f t="shared" si="69"/>
        <v>2012134</v>
      </c>
      <c r="H576" s="8"/>
      <c r="I576" s="9" t="str">
        <f t="array" ref="I576:L576">_xlfn.XLOOKUP(C576,'Neiva 2021 FASE I UNIFICADO'!$C$6:$C$540,'Neiva 2021 FASE I UNIFICADO'!$C$6:$F$540,"NO ESTA")</f>
        <v>SUMINISTRO E INSTALACION JUNTAS FLEXIBLES CHILLER 4"</v>
      </c>
      <c r="J576" s="9" t="str">
        <v>UND</v>
      </c>
      <c r="K576" s="9">
        <v>2</v>
      </c>
      <c r="L576" s="9">
        <v>931109</v>
      </c>
      <c r="M576" s="124" t="str">
        <f t="shared" si="65"/>
        <v>FASE II</v>
      </c>
      <c r="N576" s="155">
        <f t="shared" si="62"/>
        <v>4</v>
      </c>
      <c r="O576" s="156">
        <f t="shared" si="63"/>
        <v>1006067</v>
      </c>
      <c r="P576" s="156">
        <f t="shared" si="64"/>
        <v>4024268</v>
      </c>
    </row>
    <row r="577" spans="2:16" s="9" customFormat="1" ht="35.1" customHeight="1" x14ac:dyDescent="0.25">
      <c r="B577" s="23" t="s">
        <v>804</v>
      </c>
      <c r="C577" s="22" t="s">
        <v>805</v>
      </c>
      <c r="D577" s="10" t="s">
        <v>16</v>
      </c>
      <c r="E577" s="12">
        <v>2</v>
      </c>
      <c r="F577" s="126">
        <v>960934</v>
      </c>
      <c r="G577" s="126">
        <f t="shared" si="69"/>
        <v>1921868</v>
      </c>
      <c r="H577" s="8"/>
      <c r="I577" s="9" t="str">
        <f t="array" ref="I577:L577">_xlfn.XLOOKUP(C577,'Neiva 2021 FASE I UNIFICADO'!$C$6:$C$540,'Neiva 2021 FASE I UNIFICADO'!$C$6:$F$540,"NO ESTA")</f>
        <v>SUMINISTRO E INSTALACION JUNTAS FLEXIBLES BOMBA VERTICAL 3"</v>
      </c>
      <c r="J577" s="9" t="str">
        <v>UND</v>
      </c>
      <c r="K577" s="9">
        <v>2</v>
      </c>
      <c r="L577" s="9">
        <v>889340</v>
      </c>
      <c r="M577" s="124" t="str">
        <f t="shared" si="65"/>
        <v>FASE II</v>
      </c>
      <c r="N577" s="155">
        <f t="shared" si="62"/>
        <v>4</v>
      </c>
      <c r="O577" s="156">
        <f t="shared" si="63"/>
        <v>960934</v>
      </c>
      <c r="P577" s="156">
        <f t="shared" si="64"/>
        <v>3843736</v>
      </c>
    </row>
    <row r="578" spans="2:16" s="9" customFormat="1" ht="35.1" customHeight="1" x14ac:dyDescent="0.25">
      <c r="B578" s="23" t="s">
        <v>806</v>
      </c>
      <c r="C578" s="22" t="s">
        <v>807</v>
      </c>
      <c r="D578" s="10" t="s">
        <v>16</v>
      </c>
      <c r="E578" s="12">
        <v>0</v>
      </c>
      <c r="F578" s="126">
        <v>254114</v>
      </c>
      <c r="G578" s="126">
        <f t="shared" si="69"/>
        <v>0</v>
      </c>
      <c r="H578" s="8"/>
      <c r="I578" s="9" t="str">
        <f t="array" ref="I578:L578">_xlfn.XLOOKUP(C578,'Neiva 2021 FASE I UNIFICADO'!$C$6:$C$540,'Neiva 2021 FASE I UNIFICADO'!$C$6:$F$540,"NO ESTA")</f>
        <v>SUMINISTRO E INSTALACION VALVULA DE CORTINA 2" FC 150 PSI</v>
      </c>
      <c r="J578" s="9" t="str">
        <v>UND</v>
      </c>
      <c r="K578" s="9">
        <v>1</v>
      </c>
      <c r="L578" s="9">
        <v>235182</v>
      </c>
      <c r="M578" s="124" t="str">
        <f t="shared" si="65"/>
        <v>FASE II</v>
      </c>
      <c r="N578" s="155">
        <f t="shared" si="62"/>
        <v>1</v>
      </c>
      <c r="O578" s="156">
        <f t="shared" si="63"/>
        <v>254114</v>
      </c>
      <c r="P578" s="156">
        <f t="shared" si="64"/>
        <v>254114</v>
      </c>
    </row>
    <row r="579" spans="2:16" s="9" customFormat="1" ht="35.1" customHeight="1" x14ac:dyDescent="0.25">
      <c r="B579" s="23" t="s">
        <v>808</v>
      </c>
      <c r="C579" s="22" t="s">
        <v>809</v>
      </c>
      <c r="D579" s="10" t="s">
        <v>16</v>
      </c>
      <c r="E579" s="12">
        <v>0</v>
      </c>
      <c r="F579" s="126">
        <v>282827</v>
      </c>
      <c r="G579" s="126">
        <f t="shared" si="69"/>
        <v>0</v>
      </c>
      <c r="H579" s="8"/>
      <c r="I579" s="9" t="str">
        <f t="array" ref="I579:L579">_xlfn.XLOOKUP(C579,'Neiva 2021 FASE I UNIFICADO'!$C$6:$C$540,'Neiva 2021 FASE I UNIFICADO'!$C$6:$F$540,"NO ESTA")</f>
        <v>SUMINISTRO E INSTALACION VALVULA DE GLOBO 2" FC 150 PSI</v>
      </c>
      <c r="J579" s="9" t="str">
        <v>UND</v>
      </c>
      <c r="K579" s="9">
        <v>1</v>
      </c>
      <c r="L579" s="9">
        <v>261755</v>
      </c>
      <c r="M579" s="124" t="str">
        <f t="shared" si="65"/>
        <v>FASE II</v>
      </c>
      <c r="N579" s="155">
        <f t="shared" si="62"/>
        <v>1</v>
      </c>
      <c r="O579" s="156">
        <f t="shared" si="63"/>
        <v>282827</v>
      </c>
      <c r="P579" s="156">
        <f t="shared" si="64"/>
        <v>282827</v>
      </c>
    </row>
    <row r="580" spans="2:16" s="9" customFormat="1" ht="35.1" customHeight="1" x14ac:dyDescent="0.25">
      <c r="B580" s="23" t="s">
        <v>810</v>
      </c>
      <c r="C580" s="87" t="s">
        <v>811</v>
      </c>
      <c r="D580" s="10" t="s">
        <v>16</v>
      </c>
      <c r="E580" s="12">
        <v>17</v>
      </c>
      <c r="F580" s="126">
        <v>214747</v>
      </c>
      <c r="G580" s="126">
        <f t="shared" si="69"/>
        <v>3650699</v>
      </c>
      <c r="H580" s="8"/>
      <c r="I580" s="9" t="str">
        <f t="array" ref="I580:L580">_xlfn.XLOOKUP(C580,'Neiva 2021 FASE I UNIFICADO'!$C$6:$C$540,'Neiva 2021 FASE I UNIFICADO'!$C$6:$F$540,"NO ESTA")</f>
        <v>SUMINISTRO E INSTALACION VALVULAS DE CORTINA 1 1/4" FC 125 PSI</v>
      </c>
      <c r="J580" s="9" t="str">
        <v>UND</v>
      </c>
      <c r="K580" s="9">
        <v>6</v>
      </c>
      <c r="L580" s="9">
        <v>198747</v>
      </c>
      <c r="M580" s="124" t="str">
        <f t="shared" si="65"/>
        <v>FASE II</v>
      </c>
      <c r="N580" s="155">
        <f t="shared" si="62"/>
        <v>23</v>
      </c>
      <c r="O580" s="156">
        <f t="shared" si="63"/>
        <v>214747</v>
      </c>
      <c r="P580" s="156">
        <f t="shared" si="64"/>
        <v>4939181</v>
      </c>
    </row>
    <row r="581" spans="2:16" s="9" customFormat="1" ht="35.1" customHeight="1" x14ac:dyDescent="0.25">
      <c r="B581" s="23" t="s">
        <v>812</v>
      </c>
      <c r="C581" s="87" t="s">
        <v>813</v>
      </c>
      <c r="D581" s="10" t="s">
        <v>16</v>
      </c>
      <c r="E581" s="12">
        <v>17</v>
      </c>
      <c r="F581" s="126">
        <v>324203</v>
      </c>
      <c r="G581" s="126">
        <f t="shared" si="69"/>
        <v>5511451</v>
      </c>
      <c r="H581" s="8"/>
      <c r="I581" s="9" t="str">
        <f t="array" ref="I581:L581">_xlfn.XLOOKUP(C581,'Neiva 2021 FASE I UNIFICADO'!$C$6:$C$540,'Neiva 2021 FASE I UNIFICADO'!$C$6:$F$540,"NO ESTA")</f>
        <v>SUMINISTRO E INSTALACION VALVULAS DE GLOBO 1 1/4" FC 125 PSI</v>
      </c>
      <c r="J581" s="9" t="str">
        <v>UND</v>
      </c>
      <c r="K581" s="9">
        <v>6</v>
      </c>
      <c r="L581" s="9">
        <v>300049</v>
      </c>
      <c r="M581" s="124" t="str">
        <f t="shared" si="65"/>
        <v>FASE II</v>
      </c>
      <c r="N581" s="155">
        <f t="shared" si="62"/>
        <v>23</v>
      </c>
      <c r="O581" s="156">
        <f t="shared" si="63"/>
        <v>324203</v>
      </c>
      <c r="P581" s="156">
        <f t="shared" si="64"/>
        <v>7456669</v>
      </c>
    </row>
    <row r="582" spans="2:16" s="9" customFormat="1" ht="35.1" customHeight="1" x14ac:dyDescent="0.25">
      <c r="B582" s="23" t="s">
        <v>814</v>
      </c>
      <c r="C582" s="87" t="s">
        <v>815</v>
      </c>
      <c r="D582" s="10" t="s">
        <v>16</v>
      </c>
      <c r="E582" s="12">
        <v>1</v>
      </c>
      <c r="F582" s="126">
        <v>234017</v>
      </c>
      <c r="G582" s="126">
        <f t="shared" si="69"/>
        <v>234017</v>
      </c>
      <c r="H582" s="59"/>
      <c r="I582" s="9" t="str">
        <f t="array" ref="I582:L582">_xlfn.XLOOKUP(C582,'Neiva 2021 FASE I UNIFICADO'!$C$6:$C$540,'Neiva 2021 FASE I UNIFICADO'!$C$6:$F$540,"NO ESTA")</f>
        <v>SUMINISTRO E INSTALACION VALVULAS DE CORTINA 1 1/2" FC 125-150 PSI</v>
      </c>
      <c r="J582" s="9" t="str">
        <v>UND</v>
      </c>
      <c r="K582" s="9">
        <v>1</v>
      </c>
      <c r="L582" s="9">
        <v>216582</v>
      </c>
      <c r="M582" s="124" t="str">
        <f t="shared" si="65"/>
        <v>FASE II</v>
      </c>
      <c r="N582" s="155">
        <f t="shared" ref="N582:N645" si="70">E582+K582</f>
        <v>2</v>
      </c>
      <c r="O582" s="156">
        <f t="shared" ref="O582:O645" si="71">MAX(L582,F582)</f>
        <v>234017</v>
      </c>
      <c r="P582" s="156">
        <f t="shared" ref="P582:P645" si="72">N582*O582</f>
        <v>468034</v>
      </c>
    </row>
    <row r="583" spans="2:16" s="9" customFormat="1" ht="35.1" customHeight="1" x14ac:dyDescent="0.25">
      <c r="B583" s="23" t="s">
        <v>816</v>
      </c>
      <c r="C583" s="87" t="s">
        <v>817</v>
      </c>
      <c r="D583" s="10" t="s">
        <v>16</v>
      </c>
      <c r="E583" s="12">
        <v>1</v>
      </c>
      <c r="F583" s="126">
        <v>336793</v>
      </c>
      <c r="G583" s="126">
        <f t="shared" si="69"/>
        <v>336793</v>
      </c>
      <c r="H583" s="8"/>
      <c r="I583" s="9" t="str">
        <f t="array" ref="I583:L583">_xlfn.XLOOKUP(C583,'Neiva 2021 FASE I UNIFICADO'!$C$6:$C$540,'Neiva 2021 FASE I UNIFICADO'!$C$6:$F$540,"NO ESTA")</f>
        <v>SUMINISTRO E INSTALACIONVALVULAS DE GLOBO 1   1/2" FC 125-150 PSI</v>
      </c>
      <c r="J583" s="9" t="str">
        <v>UND</v>
      </c>
      <c r="K583" s="9">
        <v>1</v>
      </c>
      <c r="L583" s="9">
        <v>311701</v>
      </c>
      <c r="M583" s="124" t="str">
        <f t="shared" si="65"/>
        <v>FASE II</v>
      </c>
      <c r="N583" s="155">
        <f t="shared" si="70"/>
        <v>2</v>
      </c>
      <c r="O583" s="156">
        <f t="shared" si="71"/>
        <v>336793</v>
      </c>
      <c r="P583" s="156">
        <f t="shared" si="72"/>
        <v>673586</v>
      </c>
    </row>
    <row r="584" spans="2:16" s="9" customFormat="1" ht="35.1" customHeight="1" x14ac:dyDescent="0.25">
      <c r="B584" s="23" t="s">
        <v>818</v>
      </c>
      <c r="C584" s="87" t="s">
        <v>819</v>
      </c>
      <c r="D584" s="10" t="s">
        <v>16</v>
      </c>
      <c r="E584" s="12">
        <v>2</v>
      </c>
      <c r="F584" s="126">
        <v>156935</v>
      </c>
      <c r="G584" s="126">
        <f t="shared" si="69"/>
        <v>313870</v>
      </c>
      <c r="H584" s="8"/>
      <c r="I584" s="9" t="str">
        <f t="array" ref="I584:L584">_xlfn.XLOOKUP(C584,'Neiva 2021 FASE I UNIFICADO'!$C$6:$C$540,'Neiva 2021 FASE I UNIFICADO'!$C$6:$F$540,"NO ESTA")</f>
        <v>SUMINISTRO E INSTALACION VALVULAS DE CORTINA 1" FC 125 PSI</v>
      </c>
      <c r="J584" s="9" t="str">
        <v>UND</v>
      </c>
      <c r="K584" s="9">
        <v>2</v>
      </c>
      <c r="L584" s="9">
        <v>145243</v>
      </c>
      <c r="M584" s="124" t="str">
        <f t="shared" ref="M584:M647" si="73">IF(L584=0,0,(IF(F584&lt;L584, "FASE I","FASE II")))</f>
        <v>FASE II</v>
      </c>
      <c r="N584" s="155">
        <f t="shared" si="70"/>
        <v>4</v>
      </c>
      <c r="O584" s="156">
        <f t="shared" si="71"/>
        <v>156935</v>
      </c>
      <c r="P584" s="156">
        <f t="shared" si="72"/>
        <v>627740</v>
      </c>
    </row>
    <row r="585" spans="2:16" s="9" customFormat="1" ht="35.1" customHeight="1" x14ac:dyDescent="0.25">
      <c r="B585" s="23" t="s">
        <v>820</v>
      </c>
      <c r="C585" s="22" t="s">
        <v>821</v>
      </c>
      <c r="D585" s="10" t="s">
        <v>16</v>
      </c>
      <c r="E585" s="12">
        <v>2</v>
      </c>
      <c r="F585" s="126">
        <v>195476</v>
      </c>
      <c r="G585" s="126">
        <f t="shared" si="69"/>
        <v>390952</v>
      </c>
      <c r="H585" s="8"/>
      <c r="I585" s="9" t="str">
        <f t="array" ref="I585:L585">_xlfn.XLOOKUP(C585,'Neiva 2021 FASE I UNIFICADO'!$C$6:$C$540,'Neiva 2021 FASE I UNIFICADO'!$C$6:$F$540,"NO ESTA")</f>
        <v>SUMINISTRO E INSTALACION VALVULAS DE GLOBO 1" FC 125 PSI</v>
      </c>
      <c r="J585" s="9" t="str">
        <v>UND</v>
      </c>
      <c r="K585" s="9">
        <v>2</v>
      </c>
      <c r="L585" s="9">
        <v>180913</v>
      </c>
      <c r="M585" s="124" t="str">
        <f t="shared" si="73"/>
        <v>FASE II</v>
      </c>
      <c r="N585" s="155">
        <f t="shared" si="70"/>
        <v>4</v>
      </c>
      <c r="O585" s="156">
        <f t="shared" si="71"/>
        <v>195476</v>
      </c>
      <c r="P585" s="156">
        <f t="shared" si="72"/>
        <v>781904</v>
      </c>
    </row>
    <row r="586" spans="2:16" s="9" customFormat="1" ht="35.1" customHeight="1" x14ac:dyDescent="0.25">
      <c r="B586" s="23" t="s">
        <v>822</v>
      </c>
      <c r="C586" s="87" t="s">
        <v>823</v>
      </c>
      <c r="D586" s="10" t="s">
        <v>16</v>
      </c>
      <c r="E586" s="12">
        <v>4</v>
      </c>
      <c r="F586" s="126">
        <v>125501</v>
      </c>
      <c r="G586" s="126">
        <f t="shared" si="69"/>
        <v>502004</v>
      </c>
      <c r="H586" s="8"/>
      <c r="I586" s="9" t="str">
        <f t="array" ref="I586:L586">_xlfn.XLOOKUP(C586,'Neiva 2021 FASE I UNIFICADO'!$C$6:$C$540,'Neiva 2021 FASE I UNIFICADO'!$C$6:$F$540,"NO ESTA")</f>
        <v>SUMINISTRO E INSTALACION VALVULAS DE CORTINA 3/4" FC 125 PSI</v>
      </c>
      <c r="J586" s="9" t="str">
        <v>UND</v>
      </c>
      <c r="K586" s="9">
        <v>4</v>
      </c>
      <c r="L586" s="9">
        <v>116150</v>
      </c>
      <c r="M586" s="124" t="str">
        <f t="shared" si="73"/>
        <v>FASE II</v>
      </c>
      <c r="N586" s="155">
        <f t="shared" si="70"/>
        <v>8</v>
      </c>
      <c r="O586" s="156">
        <f t="shared" si="71"/>
        <v>125501</v>
      </c>
      <c r="P586" s="156">
        <f t="shared" si="72"/>
        <v>1004008</v>
      </c>
    </row>
    <row r="587" spans="2:16" s="9" customFormat="1" ht="35.1" customHeight="1" x14ac:dyDescent="0.25">
      <c r="B587" s="23" t="s">
        <v>824</v>
      </c>
      <c r="C587" s="22" t="s">
        <v>825</v>
      </c>
      <c r="D587" s="10" t="s">
        <v>16</v>
      </c>
      <c r="E587" s="12">
        <v>4</v>
      </c>
      <c r="F587" s="126">
        <v>160830</v>
      </c>
      <c r="G587" s="126">
        <f t="shared" si="69"/>
        <v>643320</v>
      </c>
      <c r="H587" s="8"/>
      <c r="I587" s="9" t="str">
        <f t="array" ref="I587:L587">_xlfn.XLOOKUP(C587,'Neiva 2021 FASE I UNIFICADO'!$C$6:$C$540,'Neiva 2021 FASE I UNIFICADO'!$C$6:$F$540,"NO ESTA")</f>
        <v>SUMINISTRO E INSTALACION VALVULAS DE GLOBO 3/4" FC 125 PSI</v>
      </c>
      <c r="J587" s="9" t="str">
        <v>UND</v>
      </c>
      <c r="K587" s="9">
        <v>4</v>
      </c>
      <c r="L587" s="9">
        <v>148848</v>
      </c>
      <c r="M587" s="124" t="str">
        <f t="shared" si="73"/>
        <v>FASE II</v>
      </c>
      <c r="N587" s="155">
        <f t="shared" si="70"/>
        <v>8</v>
      </c>
      <c r="O587" s="156">
        <f t="shared" si="71"/>
        <v>160830</v>
      </c>
      <c r="P587" s="156">
        <f t="shared" si="72"/>
        <v>1286640</v>
      </c>
    </row>
    <row r="588" spans="2:16" s="9" customFormat="1" ht="35.1" customHeight="1" x14ac:dyDescent="0.25">
      <c r="B588" s="23" t="s">
        <v>826</v>
      </c>
      <c r="C588" s="22" t="s">
        <v>827</v>
      </c>
      <c r="D588" s="10" t="s">
        <v>16</v>
      </c>
      <c r="E588" s="12">
        <v>6</v>
      </c>
      <c r="F588" s="126">
        <v>195476</v>
      </c>
      <c r="G588" s="126">
        <f t="shared" si="69"/>
        <v>1172856</v>
      </c>
      <c r="H588" s="8"/>
      <c r="I588" s="9" t="str">
        <f t="array" ref="I588:L588">_xlfn.XLOOKUP(C588,'Neiva 2021 FASE I UNIFICADO'!$C$6:$C$540,'Neiva 2021 FASE I UNIFICADO'!$C$6:$F$540,"NO ESTA")</f>
        <v>SUMINISTRO E INSTALACION TERMOTATOS DIGITALES NO PROGRAMABLES FC</v>
      </c>
      <c r="J588" s="9" t="str">
        <v>UND</v>
      </c>
      <c r="K588" s="9">
        <v>2</v>
      </c>
      <c r="L588" s="9">
        <v>180913</v>
      </c>
      <c r="M588" s="124" t="str">
        <f t="shared" si="73"/>
        <v>FASE II</v>
      </c>
      <c r="N588" s="155">
        <f t="shared" si="70"/>
        <v>8</v>
      </c>
      <c r="O588" s="156">
        <f t="shared" si="71"/>
        <v>195476</v>
      </c>
      <c r="P588" s="156">
        <f t="shared" si="72"/>
        <v>1563808</v>
      </c>
    </row>
    <row r="589" spans="2:16" s="9" customFormat="1" ht="35.1" customHeight="1" x14ac:dyDescent="0.25">
      <c r="B589" s="23" t="s">
        <v>828</v>
      </c>
      <c r="C589" s="22" t="s">
        <v>829</v>
      </c>
      <c r="D589" s="10" t="s">
        <v>16</v>
      </c>
      <c r="E589" s="12">
        <v>22</v>
      </c>
      <c r="F589" s="126">
        <v>323946</v>
      </c>
      <c r="G589" s="126">
        <f t="shared" si="69"/>
        <v>7126812</v>
      </c>
      <c r="H589" s="8"/>
      <c r="I589" s="9" t="str">
        <f t="array" ref="I589:L589">_xlfn.XLOOKUP(C589,'Neiva 2021 FASE I UNIFICADO'!$C$6:$C$540,'Neiva 2021 FASE I UNIFICADO'!$C$6:$F$540,"NO ESTA")</f>
        <v xml:space="preserve">SUMINISTRO E INSTALACION TERMOSTATOS PROPORCIONALES DIGITALES </v>
      </c>
      <c r="J589" s="9" t="str">
        <v>UND</v>
      </c>
      <c r="K589" s="9">
        <v>8</v>
      </c>
      <c r="L589" s="9">
        <v>299811</v>
      </c>
      <c r="M589" s="124" t="str">
        <f t="shared" si="73"/>
        <v>FASE II</v>
      </c>
      <c r="N589" s="155">
        <f t="shared" si="70"/>
        <v>30</v>
      </c>
      <c r="O589" s="156">
        <f t="shared" si="71"/>
        <v>323946</v>
      </c>
      <c r="P589" s="156">
        <f t="shared" si="72"/>
        <v>9718380</v>
      </c>
    </row>
    <row r="590" spans="2:16" s="9" customFormat="1" ht="35.1" customHeight="1" x14ac:dyDescent="0.25">
      <c r="B590" s="23" t="s">
        <v>830</v>
      </c>
      <c r="C590" s="22" t="s">
        <v>831</v>
      </c>
      <c r="D590" s="10" t="s">
        <v>16</v>
      </c>
      <c r="E590" s="12">
        <v>6</v>
      </c>
      <c r="F590" s="126">
        <v>246864</v>
      </c>
      <c r="G590" s="126">
        <f t="shared" si="69"/>
        <v>1481184</v>
      </c>
      <c r="H590" s="8"/>
      <c r="I590" s="9" t="str">
        <f t="array" ref="I590:L590">_xlfn.XLOOKUP(C590,'Neiva 2021 FASE I UNIFICADO'!$C$6:$C$540,'Neiva 2021 FASE I UNIFICADO'!$C$6:$F$540,"NO ESTA")</f>
        <v>SUMINISTRO E INSTALACION ELECTROVALVULAS ON-OFF  110V</v>
      </c>
      <c r="J590" s="9" t="str">
        <v>UND</v>
      </c>
      <c r="K590" s="9">
        <v>2</v>
      </c>
      <c r="L590" s="9">
        <v>228472</v>
      </c>
      <c r="M590" s="124" t="str">
        <f t="shared" si="73"/>
        <v>FASE II</v>
      </c>
      <c r="N590" s="155">
        <f t="shared" si="70"/>
        <v>8</v>
      </c>
      <c r="O590" s="156">
        <f t="shared" si="71"/>
        <v>246864</v>
      </c>
      <c r="P590" s="156">
        <f t="shared" si="72"/>
        <v>1974912</v>
      </c>
    </row>
    <row r="591" spans="2:16" s="9" customFormat="1" ht="35.1" customHeight="1" x14ac:dyDescent="0.25">
      <c r="B591" s="23" t="s">
        <v>832</v>
      </c>
      <c r="C591" s="22" t="s">
        <v>833</v>
      </c>
      <c r="D591" s="10" t="s">
        <v>16</v>
      </c>
      <c r="E591" s="12">
        <v>0</v>
      </c>
      <c r="F591" s="126">
        <v>818556</v>
      </c>
      <c r="G591" s="126">
        <f t="shared" si="69"/>
        <v>0</v>
      </c>
      <c r="H591" s="8"/>
      <c r="I591" s="9" t="str">
        <f t="array" ref="I591:L591">_xlfn.XLOOKUP(C591,'Neiva 2021 FASE I UNIFICADO'!$C$6:$C$540,'Neiva 2021 FASE I UNIFICADO'!$C$6:$F$540,"NO ESTA")</f>
        <v>SUMINISTRO E INSTALACION ELECTROVALVULAS PROPORCIONALES 2 " - 2 VIAS - 24V</v>
      </c>
      <c r="J591" s="9" t="str">
        <v>UND</v>
      </c>
      <c r="K591" s="9">
        <v>1</v>
      </c>
      <c r="L591" s="9">
        <v>757569</v>
      </c>
      <c r="M591" s="124" t="str">
        <f t="shared" si="73"/>
        <v>FASE II</v>
      </c>
      <c r="N591" s="155">
        <f t="shared" si="70"/>
        <v>1</v>
      </c>
      <c r="O591" s="156">
        <f t="shared" si="71"/>
        <v>818556</v>
      </c>
      <c r="P591" s="156">
        <f t="shared" si="72"/>
        <v>818556</v>
      </c>
    </row>
    <row r="592" spans="2:16" s="9" customFormat="1" ht="35.1" customHeight="1" x14ac:dyDescent="0.25">
      <c r="B592" s="23" t="s">
        <v>834</v>
      </c>
      <c r="C592" s="87" t="s">
        <v>835</v>
      </c>
      <c r="D592" s="10" t="s">
        <v>16</v>
      </c>
      <c r="E592" s="12">
        <v>2</v>
      </c>
      <c r="F592" s="126">
        <v>818556</v>
      </c>
      <c r="G592" s="126">
        <f t="shared" si="69"/>
        <v>1637112</v>
      </c>
      <c r="H592" s="8"/>
      <c r="I592" s="9" t="str">
        <f t="array" ref="I592:L592">_xlfn.XLOOKUP(C592,'Neiva 2021 FASE I UNIFICADO'!$C$6:$C$540,'Neiva 2021 FASE I UNIFICADO'!$C$6:$F$540,"NO ESTA")</f>
        <v>SUMINISTRO E INSTALACION ELECTROVALVULAS PROPORCIONALES  1 1/2 " - 2 VIAS - 24V</v>
      </c>
      <c r="J592" s="9" t="str">
        <v>UND</v>
      </c>
      <c r="K592" s="9">
        <v>1</v>
      </c>
      <c r="L592" s="9">
        <v>757569</v>
      </c>
      <c r="M592" s="124" t="str">
        <f t="shared" si="73"/>
        <v>FASE II</v>
      </c>
      <c r="N592" s="155">
        <f t="shared" si="70"/>
        <v>3</v>
      </c>
      <c r="O592" s="156">
        <f t="shared" si="71"/>
        <v>818556</v>
      </c>
      <c r="P592" s="156">
        <f t="shared" si="72"/>
        <v>2455668</v>
      </c>
    </row>
    <row r="593" spans="2:16" s="9" customFormat="1" ht="35.1" customHeight="1" x14ac:dyDescent="0.25">
      <c r="B593" s="23" t="s">
        <v>836</v>
      </c>
      <c r="C593" s="87" t="s">
        <v>837</v>
      </c>
      <c r="D593" s="10" t="s">
        <v>16</v>
      </c>
      <c r="E593" s="12">
        <v>0</v>
      </c>
      <c r="F593" s="126">
        <v>818556</v>
      </c>
      <c r="G593" s="141">
        <f t="shared" si="69"/>
        <v>0</v>
      </c>
      <c r="H593" s="8"/>
      <c r="I593" s="9" t="str">
        <f t="array" ref="I593:L593">_xlfn.XLOOKUP(C593,'Neiva 2021 FASE I UNIFICADO'!$C$6:$C$540,'Neiva 2021 FASE I UNIFICADO'!$C$6:$F$540,"NO ESTA")</f>
        <v>SUMINISTRO E INSTALACION ELECTROVALVULAS PROPORCIONALES  1 1/2 " - 3 VIAS - 24V</v>
      </c>
      <c r="J593" s="9" t="str">
        <v>UND</v>
      </c>
      <c r="K593" s="9">
        <v>1</v>
      </c>
      <c r="L593" s="9">
        <v>757569</v>
      </c>
      <c r="M593" s="124" t="str">
        <f t="shared" si="73"/>
        <v>FASE II</v>
      </c>
      <c r="N593" s="155">
        <f t="shared" si="70"/>
        <v>1</v>
      </c>
      <c r="O593" s="156">
        <f t="shared" si="71"/>
        <v>818556</v>
      </c>
      <c r="P593" s="156">
        <f t="shared" si="72"/>
        <v>818556</v>
      </c>
    </row>
    <row r="594" spans="2:16" s="9" customFormat="1" ht="35.1" customHeight="1" x14ac:dyDescent="0.25">
      <c r="B594" s="23" t="s">
        <v>838</v>
      </c>
      <c r="C594" s="87" t="s">
        <v>839</v>
      </c>
      <c r="D594" s="10" t="s">
        <v>16</v>
      </c>
      <c r="E594" s="12">
        <v>15</v>
      </c>
      <c r="F594" s="126">
        <v>722203</v>
      </c>
      <c r="G594" s="126">
        <f t="shared" si="69"/>
        <v>10833045</v>
      </c>
      <c r="H594" s="8"/>
      <c r="I594" s="9" t="str">
        <f t="array" ref="I594:L594">_xlfn.XLOOKUP(C594,'Neiva 2021 FASE I UNIFICADO'!$C$6:$C$540,'Neiva 2021 FASE I UNIFICADO'!$C$6:$F$540,"NO ESTA")</f>
        <v>SUMINISTRO E INSTALACION ELECTROVALVULAS PROPORCIONALES 1 1/4 " - 24V</v>
      </c>
      <c r="J594" s="9" t="str">
        <v>UND</v>
      </c>
      <c r="K594" s="9">
        <v>5</v>
      </c>
      <c r="L594" s="9">
        <v>668396</v>
      </c>
      <c r="M594" s="124" t="str">
        <f t="shared" si="73"/>
        <v>FASE II</v>
      </c>
      <c r="N594" s="155">
        <f t="shared" si="70"/>
        <v>20</v>
      </c>
      <c r="O594" s="156">
        <f t="shared" si="71"/>
        <v>722203</v>
      </c>
      <c r="P594" s="156">
        <f t="shared" si="72"/>
        <v>14444060</v>
      </c>
    </row>
    <row r="595" spans="2:16" s="9" customFormat="1" ht="35.1" customHeight="1" x14ac:dyDescent="0.25">
      <c r="B595" s="23" t="s">
        <v>840</v>
      </c>
      <c r="C595" s="22" t="s">
        <v>841</v>
      </c>
      <c r="D595" s="10" t="s">
        <v>16</v>
      </c>
      <c r="E595" s="12">
        <v>0</v>
      </c>
      <c r="F595" s="126">
        <v>582428</v>
      </c>
      <c r="G595" s="141">
        <f t="shared" si="69"/>
        <v>0</v>
      </c>
      <c r="H595" s="8"/>
      <c r="I595" s="9" t="str">
        <f t="array" ref="I595:L595">_xlfn.XLOOKUP(C595,'Neiva 2021 FASE I UNIFICADO'!$C$6:$C$540,'Neiva 2021 FASE I UNIFICADO'!$C$6:$F$540,"NO ESTA")</f>
        <v>SUMINISTRO E INSTALACION ELECTROVALVULAS PROPORCIONALES 1 " - 24V</v>
      </c>
      <c r="J595" s="9" t="str">
        <v>UND</v>
      </c>
      <c r="K595" s="9">
        <v>1</v>
      </c>
      <c r="L595" s="9">
        <v>539034</v>
      </c>
      <c r="M595" s="124" t="str">
        <f t="shared" si="73"/>
        <v>FASE II</v>
      </c>
      <c r="N595" s="155">
        <f t="shared" si="70"/>
        <v>1</v>
      </c>
      <c r="O595" s="156">
        <f t="shared" si="71"/>
        <v>582428</v>
      </c>
      <c r="P595" s="156">
        <f t="shared" si="72"/>
        <v>582428</v>
      </c>
    </row>
    <row r="596" spans="2:16" s="9" customFormat="1" ht="35.1" customHeight="1" x14ac:dyDescent="0.25">
      <c r="B596" s="13" t="s">
        <v>842</v>
      </c>
      <c r="C596" s="24" t="s">
        <v>843</v>
      </c>
      <c r="D596" s="24"/>
      <c r="E596" s="15"/>
      <c r="F596" s="129"/>
      <c r="G596" s="140"/>
      <c r="H596" s="8"/>
      <c r="I596" s="9" t="str">
        <f t="array" ref="I596:L596">_xlfn.XLOOKUP(C596,'Neiva 2021 FASE I UNIFICADO'!$C$6:$C$540,'Neiva 2021 FASE I UNIFICADO'!$C$6:$F$540,"NO ESTA")</f>
        <v>SUMINISTRO, MONTAJE E INSTALACIÓN DE DUCTOS DE AIRE ACONDICIONADO</v>
      </c>
      <c r="J596" s="9">
        <v>0</v>
      </c>
      <c r="K596" s="9">
        <v>0</v>
      </c>
      <c r="L596" s="9">
        <v>0</v>
      </c>
      <c r="M596" s="124">
        <f t="shared" si="73"/>
        <v>0</v>
      </c>
      <c r="N596" s="155">
        <f t="shared" si="70"/>
        <v>0</v>
      </c>
      <c r="O596" s="156">
        <f t="shared" si="71"/>
        <v>0</v>
      </c>
      <c r="P596" s="156">
        <f t="shared" si="72"/>
        <v>0</v>
      </c>
    </row>
    <row r="597" spans="2:16" s="9" customFormat="1" ht="35.1" customHeight="1" x14ac:dyDescent="0.25">
      <c r="B597" s="23" t="s">
        <v>844</v>
      </c>
      <c r="C597" s="22" t="s">
        <v>845</v>
      </c>
      <c r="D597" s="60" t="s">
        <v>13</v>
      </c>
      <c r="E597" s="12">
        <v>77</v>
      </c>
      <c r="F597" s="126">
        <v>63805</v>
      </c>
      <c r="G597" s="126">
        <f t="shared" ref="G597:G602" si="74">ROUND(+F597*E597,2)</f>
        <v>4912985</v>
      </c>
      <c r="H597" s="8"/>
      <c r="I597" s="9" t="str">
        <f t="array" ref="I597:L597">_xlfn.XLOOKUP(C597,'Neiva 2021 FASE I UNIFICADO'!$C$6:$C$540,'Neiva 2021 FASE I UNIFICADO'!$C$6:$F$540,"NO ESTA")</f>
        <v>SUMINISTRO E INSTALACION DUCTOS EN LAMINA GALVANIZADA CAL. 24 Wrap FC</v>
      </c>
      <c r="J597" s="9" t="str">
        <v>M2</v>
      </c>
      <c r="K597" s="9">
        <v>28</v>
      </c>
      <c r="L597" s="9">
        <v>59051</v>
      </c>
      <c r="M597" s="124" t="str">
        <f t="shared" si="73"/>
        <v>FASE II</v>
      </c>
      <c r="N597" s="155">
        <f t="shared" si="70"/>
        <v>105</v>
      </c>
      <c r="O597" s="156">
        <f t="shared" si="71"/>
        <v>63805</v>
      </c>
      <c r="P597" s="156">
        <f t="shared" si="72"/>
        <v>6699525</v>
      </c>
    </row>
    <row r="598" spans="2:16" s="9" customFormat="1" ht="35.1" customHeight="1" x14ac:dyDescent="0.25">
      <c r="B598" s="23" t="s">
        <v>846</v>
      </c>
      <c r="C598" s="22" t="s">
        <v>847</v>
      </c>
      <c r="D598" s="60" t="s">
        <v>13</v>
      </c>
      <c r="E598" s="12">
        <v>540</v>
      </c>
      <c r="F598" s="126">
        <v>70179</v>
      </c>
      <c r="G598" s="126">
        <f t="shared" si="74"/>
        <v>37896660</v>
      </c>
      <c r="H598" s="8"/>
      <c r="I598" s="9" t="str">
        <f t="array" ref="I598:L598">_xlfn.XLOOKUP(C598,'Neiva 2021 FASE I UNIFICADO'!$C$6:$C$540,'Neiva 2021 FASE I UNIFICADO'!$C$6:$F$540,"NO ESTA")</f>
        <v>SUMINISTRO E INSTALACION DUCTOS EN LAMINA GALVANIZADA CAL. 22 Wrap FC</v>
      </c>
      <c r="J598" s="9" t="str">
        <v>M2</v>
      </c>
      <c r="K598" s="9">
        <v>200</v>
      </c>
      <c r="L598" s="9">
        <v>64950</v>
      </c>
      <c r="M598" s="124" t="str">
        <f t="shared" si="73"/>
        <v>FASE II</v>
      </c>
      <c r="N598" s="155">
        <f t="shared" si="70"/>
        <v>740</v>
      </c>
      <c r="O598" s="156">
        <f t="shared" si="71"/>
        <v>70179</v>
      </c>
      <c r="P598" s="156">
        <f t="shared" si="72"/>
        <v>51932460</v>
      </c>
    </row>
    <row r="599" spans="2:16" s="9" customFormat="1" ht="35.1" customHeight="1" x14ac:dyDescent="0.25">
      <c r="B599" s="23" t="s">
        <v>848</v>
      </c>
      <c r="C599" s="22" t="s">
        <v>849</v>
      </c>
      <c r="D599" s="60" t="s">
        <v>13</v>
      </c>
      <c r="E599" s="12">
        <v>617</v>
      </c>
      <c r="F599" s="126">
        <v>19457</v>
      </c>
      <c r="G599" s="126">
        <f t="shared" si="74"/>
        <v>12004969</v>
      </c>
      <c r="H599" s="8"/>
      <c r="I599" s="9" t="str">
        <f t="array" ref="I599:L599">_xlfn.XLOOKUP(C599,'Neiva 2021 FASE I UNIFICADO'!$C$6:$C$540,'Neiva 2021 FASE I UNIFICADO'!$C$6:$F$540,"NO ESTA")</f>
        <v>SUMINISTRO E INSTALACION AISLAMIENTO DUCTOS EN JUMBOLON FC</v>
      </c>
      <c r="J599" s="9" t="str">
        <v>M2</v>
      </c>
      <c r="K599" s="9">
        <v>228</v>
      </c>
      <c r="L599" s="9">
        <v>18007</v>
      </c>
      <c r="M599" s="124" t="str">
        <f t="shared" si="73"/>
        <v>FASE II</v>
      </c>
      <c r="N599" s="155">
        <f t="shared" si="70"/>
        <v>845</v>
      </c>
      <c r="O599" s="156">
        <f t="shared" si="71"/>
        <v>19457</v>
      </c>
      <c r="P599" s="156">
        <f t="shared" si="72"/>
        <v>16441165</v>
      </c>
    </row>
    <row r="600" spans="2:16" s="9" customFormat="1" ht="35.1" customHeight="1" x14ac:dyDescent="0.25">
      <c r="B600" s="23" t="s">
        <v>850</v>
      </c>
      <c r="C600" s="22" t="s">
        <v>851</v>
      </c>
      <c r="D600" s="60" t="s">
        <v>13</v>
      </c>
      <c r="E600" s="12">
        <v>150</v>
      </c>
      <c r="F600" s="126">
        <v>76603</v>
      </c>
      <c r="G600" s="126">
        <f t="shared" si="74"/>
        <v>11490450</v>
      </c>
      <c r="H600" s="8"/>
      <c r="I600" s="9" t="str">
        <f t="array" ref="I600:L600">_xlfn.XLOOKUP(C600,'Neiva 2021 FASE I UNIFICADO'!$C$6:$C$540,'Neiva 2021 FASE I UNIFICADO'!$C$6:$F$540,"NO ESTA")</f>
        <v>SUMINISTRO E INSTALACION DUCTOS EN LAMINA GALVANIZADA CAL. 20 Wrap UMAS</v>
      </c>
      <c r="J600" s="9" t="str">
        <v>M2</v>
      </c>
      <c r="K600" s="9">
        <v>55</v>
      </c>
      <c r="L600" s="9">
        <v>70895</v>
      </c>
      <c r="M600" s="124" t="str">
        <f t="shared" si="73"/>
        <v>FASE II</v>
      </c>
      <c r="N600" s="155">
        <f t="shared" si="70"/>
        <v>205</v>
      </c>
      <c r="O600" s="156">
        <f t="shared" si="71"/>
        <v>76603</v>
      </c>
      <c r="P600" s="156">
        <f t="shared" si="72"/>
        <v>15703615</v>
      </c>
    </row>
    <row r="601" spans="2:16" s="9" customFormat="1" ht="35.1" customHeight="1" x14ac:dyDescent="0.25">
      <c r="B601" s="23" t="s">
        <v>852</v>
      </c>
      <c r="C601" s="22" t="s">
        <v>853</v>
      </c>
      <c r="D601" s="60" t="s">
        <v>13</v>
      </c>
      <c r="E601" s="12">
        <v>150</v>
      </c>
      <c r="F601" s="126">
        <v>19457</v>
      </c>
      <c r="G601" s="126">
        <f t="shared" si="74"/>
        <v>2918550</v>
      </c>
      <c r="H601" s="8"/>
      <c r="I601" s="9" t="str">
        <f t="array" ref="I601:L601">_xlfn.XLOOKUP(C601,'Neiva 2021 FASE I UNIFICADO'!$C$6:$C$540,'Neiva 2021 FASE I UNIFICADO'!$C$6:$F$540,"NO ESTA")</f>
        <v>SUMINISTRO E INSTALACION AISLAMIENTO DUCTOS EN DUCT WRAP UMAS</v>
      </c>
      <c r="J601" s="9" t="str">
        <v>M2</v>
      </c>
      <c r="K601" s="9">
        <v>55</v>
      </c>
      <c r="L601" s="9">
        <v>18007</v>
      </c>
      <c r="M601" s="124" t="str">
        <f t="shared" si="73"/>
        <v>FASE II</v>
      </c>
      <c r="N601" s="155">
        <f t="shared" si="70"/>
        <v>205</v>
      </c>
      <c r="O601" s="156">
        <f t="shared" si="71"/>
        <v>19457</v>
      </c>
      <c r="P601" s="156">
        <f t="shared" si="72"/>
        <v>3988685</v>
      </c>
    </row>
    <row r="602" spans="2:16" s="9" customFormat="1" ht="35.1" customHeight="1" x14ac:dyDescent="0.25">
      <c r="B602" s="23" t="s">
        <v>854</v>
      </c>
      <c r="C602" s="22" t="s">
        <v>855</v>
      </c>
      <c r="D602" s="10" t="s">
        <v>16</v>
      </c>
      <c r="E602" s="12">
        <v>24</v>
      </c>
      <c r="F602" s="126">
        <v>33394</v>
      </c>
      <c r="G602" s="126">
        <f t="shared" si="74"/>
        <v>801456</v>
      </c>
      <c r="H602" s="8"/>
      <c r="I602" s="9" t="str">
        <f t="array" ref="I602:L602">_xlfn.XLOOKUP(C602,'Neiva 2021 FASE I UNIFICADO'!$C$6:$C$540,'Neiva 2021 FASE I UNIFICADO'!$C$6:$F$540,"NO ESTA")</f>
        <v>SUMINISTRO E INSTALACION ACOPLE FLEXIBLE DUCTOS - EQUIPOS</v>
      </c>
      <c r="J602" s="9" t="str">
        <v>UND</v>
      </c>
      <c r="K602" s="9">
        <v>9</v>
      </c>
      <c r="L602" s="9">
        <v>30906</v>
      </c>
      <c r="M602" s="124" t="str">
        <f t="shared" si="73"/>
        <v>FASE II</v>
      </c>
      <c r="N602" s="155">
        <f t="shared" si="70"/>
        <v>33</v>
      </c>
      <c r="O602" s="156">
        <f t="shared" si="71"/>
        <v>33394</v>
      </c>
      <c r="P602" s="156">
        <f t="shared" si="72"/>
        <v>1102002</v>
      </c>
    </row>
    <row r="603" spans="2:16" s="9" customFormat="1" ht="35.1" customHeight="1" x14ac:dyDescent="0.25">
      <c r="B603" s="13" t="s">
        <v>856</v>
      </c>
      <c r="C603" s="14" t="s">
        <v>857</v>
      </c>
      <c r="D603" s="27"/>
      <c r="E603" s="15"/>
      <c r="F603" s="129"/>
      <c r="G603" s="140"/>
      <c r="H603" s="8"/>
      <c r="I603" s="9" t="str">
        <f t="array" ref="I603:L603">_xlfn.XLOOKUP(C603,'Neiva 2021 FASE I UNIFICADO'!$C$6:$C$540,'Neiva 2021 FASE I UNIFICADO'!$C$6:$F$540,"NO ESTA")</f>
        <v>SUMINISTRO E INSTALACIÓN DIFUSORES Y REJILLAS</v>
      </c>
      <c r="J603" s="9">
        <v>0</v>
      </c>
      <c r="K603" s="9">
        <v>0</v>
      </c>
      <c r="L603" s="9">
        <v>0</v>
      </c>
      <c r="M603" s="124">
        <f t="shared" si="73"/>
        <v>0</v>
      </c>
      <c r="N603" s="155">
        <f t="shared" si="70"/>
        <v>0</v>
      </c>
      <c r="O603" s="156">
        <f t="shared" si="71"/>
        <v>0</v>
      </c>
      <c r="P603" s="156">
        <f t="shared" si="72"/>
        <v>0</v>
      </c>
    </row>
    <row r="604" spans="2:16" s="9" customFormat="1" ht="35.1" customHeight="1" x14ac:dyDescent="0.25">
      <c r="B604" s="10" t="s">
        <v>858</v>
      </c>
      <c r="C604" s="22" t="s">
        <v>859</v>
      </c>
      <c r="D604" s="10" t="s">
        <v>16</v>
      </c>
      <c r="E604" s="12">
        <v>82</v>
      </c>
      <c r="F604" s="126">
        <v>157287</v>
      </c>
      <c r="G604" s="126">
        <f t="shared" ref="G604:G617" si="75">ROUND(+F604*E604,2)</f>
        <v>12897534</v>
      </c>
      <c r="H604" s="8"/>
      <c r="I604" s="9" t="str">
        <f t="array" ref="I604:L604">_xlfn.XLOOKUP(C604,'Neiva 2021 FASE I UNIFICADO'!$C$6:$C$540,'Neiva 2021 FASE I UNIFICADO'!$C$6:$F$540,"NO ESTA")</f>
        <v>SUMINISTRO E INSTALACION DIFUSORES SUMINISTRO DE 12" x 12" 4V (Tipo Descolgado) con Damper OB</v>
      </c>
      <c r="J604" s="9" t="str">
        <v>UND</v>
      </c>
      <c r="K604" s="9">
        <v>30</v>
      </c>
      <c r="L604" s="9">
        <v>145568</v>
      </c>
      <c r="M604" s="124" t="str">
        <f t="shared" si="73"/>
        <v>FASE II</v>
      </c>
      <c r="N604" s="155">
        <f t="shared" si="70"/>
        <v>112</v>
      </c>
      <c r="O604" s="156">
        <f t="shared" si="71"/>
        <v>157287</v>
      </c>
      <c r="P604" s="156">
        <f t="shared" si="72"/>
        <v>17616144</v>
      </c>
    </row>
    <row r="605" spans="2:16" s="9" customFormat="1" ht="35.1" customHeight="1" x14ac:dyDescent="0.25">
      <c r="B605" s="10" t="s">
        <v>860</v>
      </c>
      <c r="C605" s="22" t="s">
        <v>861</v>
      </c>
      <c r="D605" s="10" t="s">
        <v>16</v>
      </c>
      <c r="E605" s="12">
        <v>4</v>
      </c>
      <c r="F605" s="126">
        <v>109753</v>
      </c>
      <c r="G605" s="126">
        <f t="shared" si="75"/>
        <v>439012</v>
      </c>
      <c r="H605" s="8"/>
      <c r="I605" s="9" t="str">
        <f t="array" ref="I605:L605">_xlfn.XLOOKUP(C605,'Neiva 2021 FASE I UNIFICADO'!$C$6:$C$540,'Neiva 2021 FASE I UNIFICADO'!$C$6:$F$540,"NO ESTA")</f>
        <v>SUMINISTRO E INSTALACION DIFUSORES SUMINISTRO DE 9" x 9" 4V (Tipo Descolgado) con Damper OB</v>
      </c>
      <c r="J605" s="9" t="str">
        <v>UND</v>
      </c>
      <c r="K605" s="9">
        <v>2</v>
      </c>
      <c r="L605" s="9">
        <v>101576</v>
      </c>
      <c r="M605" s="124" t="str">
        <f t="shared" si="73"/>
        <v>FASE II</v>
      </c>
      <c r="N605" s="155">
        <f t="shared" si="70"/>
        <v>6</v>
      </c>
      <c r="O605" s="156">
        <f t="shared" si="71"/>
        <v>109753</v>
      </c>
      <c r="P605" s="156">
        <f t="shared" si="72"/>
        <v>658518</v>
      </c>
    </row>
    <row r="606" spans="2:16" s="9" customFormat="1" ht="35.1" customHeight="1" x14ac:dyDescent="0.25">
      <c r="B606" s="10" t="s">
        <v>862</v>
      </c>
      <c r="C606" s="22" t="s">
        <v>863</v>
      </c>
      <c r="D606" s="10" t="s">
        <v>16</v>
      </c>
      <c r="E606" s="12">
        <v>4</v>
      </c>
      <c r="F606" s="126">
        <v>231800</v>
      </c>
      <c r="G606" s="126">
        <f t="shared" si="75"/>
        <v>927200</v>
      </c>
      <c r="H606" s="8"/>
      <c r="I606" s="9" t="str">
        <f t="array" ref="I606:L606">_xlfn.XLOOKUP(C606,'Neiva 2021 FASE I UNIFICADO'!$C$6:$C$540,'Neiva 2021 FASE I UNIFICADO'!$C$6:$F$540,"NO ESTA")</f>
        <v>SUMINISTRO E INSTALACION REJILLAS SUMINISTRO DE 48" X 12" (TIPO DOBLE ALETA) con Damper incluye EXTRACTORES DE AIRE</v>
      </c>
      <c r="J606" s="9" t="str">
        <v>UND</v>
      </c>
      <c r="K606" s="9">
        <v>1</v>
      </c>
      <c r="L606" s="9">
        <v>214529</v>
      </c>
      <c r="M606" s="124" t="str">
        <f t="shared" si="73"/>
        <v>FASE II</v>
      </c>
      <c r="N606" s="155">
        <f t="shared" si="70"/>
        <v>5</v>
      </c>
      <c r="O606" s="156">
        <f t="shared" si="71"/>
        <v>231800</v>
      </c>
      <c r="P606" s="156">
        <f t="shared" si="72"/>
        <v>1159000</v>
      </c>
    </row>
    <row r="607" spans="2:16" s="9" customFormat="1" ht="35.1" customHeight="1" x14ac:dyDescent="0.25">
      <c r="B607" s="10" t="s">
        <v>864</v>
      </c>
      <c r="C607" s="87" t="s">
        <v>865</v>
      </c>
      <c r="D607" s="10" t="s">
        <v>16</v>
      </c>
      <c r="E607" s="12">
        <v>2</v>
      </c>
      <c r="F607" s="126">
        <v>58365</v>
      </c>
      <c r="G607" s="126">
        <f t="shared" si="75"/>
        <v>116730</v>
      </c>
      <c r="H607" s="8"/>
      <c r="I607" s="9" t="str">
        <f t="array" ref="I607:L607">_xlfn.XLOOKUP(C607,'Neiva 2021 FASE I UNIFICADO'!$C$6:$C$540,'Neiva 2021 FASE I UNIFICADO'!$C$6:$F$540,"NO ESTA")</f>
        <v>SUMINISTRO E INSTALACION REJILLAS DE ACCESO/ RETORNO A FC DE 18" x 8" 160 CFM</v>
      </c>
      <c r="J607" s="9" t="str">
        <v>UND</v>
      </c>
      <c r="K607" s="9">
        <v>1</v>
      </c>
      <c r="L607" s="9">
        <v>54017</v>
      </c>
      <c r="M607" s="124" t="str">
        <f t="shared" si="73"/>
        <v>FASE II</v>
      </c>
      <c r="N607" s="155">
        <f t="shared" si="70"/>
        <v>3</v>
      </c>
      <c r="O607" s="156">
        <f t="shared" si="71"/>
        <v>58365</v>
      </c>
      <c r="P607" s="156">
        <f t="shared" si="72"/>
        <v>175095</v>
      </c>
    </row>
    <row r="608" spans="2:16" s="9" customFormat="1" ht="35.1" customHeight="1" x14ac:dyDescent="0.25">
      <c r="B608" s="10" t="s">
        <v>866</v>
      </c>
      <c r="C608" s="22" t="s">
        <v>867</v>
      </c>
      <c r="D608" s="10" t="s">
        <v>16</v>
      </c>
      <c r="E608" s="12">
        <v>12</v>
      </c>
      <c r="F608" s="126">
        <v>218953</v>
      </c>
      <c r="G608" s="126">
        <f t="shared" si="75"/>
        <v>2627436</v>
      </c>
      <c r="H608" s="8"/>
      <c r="I608" s="9" t="str">
        <f t="array" ref="I608:L608">_xlfn.XLOOKUP(C608,'Neiva 2021 FASE I UNIFICADO'!$C$6:$C$540,'Neiva 2021 FASE I UNIFICADO'!$C$6:$F$540,"NO ESTA")</f>
        <v>SUMINISTRO E INSTALACION REJILLAS DE ACCESO/ RETORNO A FC DE 40" x 8"   320 CFM</v>
      </c>
      <c r="J608" s="9" t="str">
        <v>UND</v>
      </c>
      <c r="K608" s="9">
        <v>4</v>
      </c>
      <c r="L608" s="9">
        <v>202640</v>
      </c>
      <c r="M608" s="124" t="str">
        <f t="shared" si="73"/>
        <v>FASE II</v>
      </c>
      <c r="N608" s="155">
        <f t="shared" si="70"/>
        <v>16</v>
      </c>
      <c r="O608" s="156">
        <f t="shared" si="71"/>
        <v>218953</v>
      </c>
      <c r="P608" s="156">
        <f t="shared" si="72"/>
        <v>3503248</v>
      </c>
    </row>
    <row r="609" spans="2:16" s="9" customFormat="1" ht="35.1" customHeight="1" x14ac:dyDescent="0.25">
      <c r="B609" s="10" t="s">
        <v>868</v>
      </c>
      <c r="C609" s="22" t="s">
        <v>869</v>
      </c>
      <c r="D609" s="10" t="s">
        <v>16</v>
      </c>
      <c r="E609" s="12">
        <v>8</v>
      </c>
      <c r="F609" s="126">
        <v>231800</v>
      </c>
      <c r="G609" s="126">
        <f t="shared" si="75"/>
        <v>1854400</v>
      </c>
      <c r="H609" s="8"/>
      <c r="I609" s="9" t="str">
        <f t="array" ref="I609:L609">_xlfn.XLOOKUP(C609,'Neiva 2021 FASE I UNIFICADO'!$C$6:$C$540,'Neiva 2021 FASE I UNIFICADO'!$C$6:$F$540,"NO ESTA")</f>
        <v>SUMINISTRO E INSTALACION REJILLAS DE ACCESO/ RETORNO A FC DE 48" x 12" 400 CFM</v>
      </c>
      <c r="J609" s="9" t="str">
        <v>UND</v>
      </c>
      <c r="K609" s="9">
        <v>3</v>
      </c>
      <c r="L609" s="9">
        <v>214529</v>
      </c>
      <c r="M609" s="124" t="str">
        <f t="shared" si="73"/>
        <v>FASE II</v>
      </c>
      <c r="N609" s="155">
        <f t="shared" si="70"/>
        <v>11</v>
      </c>
      <c r="O609" s="156">
        <f t="shared" si="71"/>
        <v>231800</v>
      </c>
      <c r="P609" s="156">
        <f t="shared" si="72"/>
        <v>2549800</v>
      </c>
    </row>
    <row r="610" spans="2:16" s="9" customFormat="1" ht="35.1" customHeight="1" x14ac:dyDescent="0.25">
      <c r="B610" s="10" t="s">
        <v>870</v>
      </c>
      <c r="C610" s="87" t="s">
        <v>871</v>
      </c>
      <c r="D610" s="10" t="s">
        <v>16</v>
      </c>
      <c r="E610" s="12">
        <v>1</v>
      </c>
      <c r="F610" s="126">
        <v>499017</v>
      </c>
      <c r="G610" s="126">
        <f t="shared" si="75"/>
        <v>499017</v>
      </c>
      <c r="H610" s="8"/>
      <c r="I610" s="9" t="str">
        <f t="array" ref="I610:L610">_xlfn.XLOOKUP(C610,'Neiva 2021 FASE I UNIFICADO'!$C$6:$C$540,'Neiva 2021 FASE I UNIFICADO'!$C$6:$F$540,"NO ESTA")</f>
        <v>SUMINISTRO E INSTALACION REJILLAS DE ACCESO/ RETORNO A FC DE 48" x 20" 2400 CFM</v>
      </c>
      <c r="J610" s="9" t="str">
        <v>UND</v>
      </c>
      <c r="K610" s="9">
        <v>1</v>
      </c>
      <c r="L610" s="9">
        <v>461838</v>
      </c>
      <c r="M610" s="124" t="str">
        <f t="shared" si="73"/>
        <v>FASE II</v>
      </c>
      <c r="N610" s="155">
        <f t="shared" si="70"/>
        <v>2</v>
      </c>
      <c r="O610" s="156">
        <f t="shared" si="71"/>
        <v>499017</v>
      </c>
      <c r="P610" s="156">
        <f t="shared" si="72"/>
        <v>998034</v>
      </c>
    </row>
    <row r="611" spans="2:16" s="9" customFormat="1" ht="35.1" customHeight="1" x14ac:dyDescent="0.25">
      <c r="B611" s="10" t="s">
        <v>872</v>
      </c>
      <c r="C611" s="87" t="s">
        <v>873</v>
      </c>
      <c r="D611" s="10" t="s">
        <v>16</v>
      </c>
      <c r="E611" s="12">
        <v>3</v>
      </c>
      <c r="F611" s="126">
        <v>443775</v>
      </c>
      <c r="G611" s="126">
        <f t="shared" si="75"/>
        <v>1331325</v>
      </c>
      <c r="H611" s="8"/>
      <c r="I611" s="9" t="str">
        <f t="array" ref="I611:L611">_xlfn.XLOOKUP(C611,'Neiva 2021 FASE I UNIFICADO'!$C$6:$C$540,'Neiva 2021 FASE I UNIFICADO'!$C$6:$F$540,"NO ESTA")</f>
        <v>SUMINISTRO E INSTALACION REJILLAS DE ACCESO/ RETORNO A FC DE 48" x 24" 3600 CFM</v>
      </c>
      <c r="J611" s="9" t="str">
        <v>UND</v>
      </c>
      <c r="K611" s="9">
        <v>1</v>
      </c>
      <c r="L611" s="9">
        <v>410712</v>
      </c>
      <c r="M611" s="124" t="str">
        <f t="shared" si="73"/>
        <v>FASE II</v>
      </c>
      <c r="N611" s="155">
        <f t="shared" si="70"/>
        <v>4</v>
      </c>
      <c r="O611" s="156">
        <f t="shared" si="71"/>
        <v>443775</v>
      </c>
      <c r="P611" s="156">
        <f t="shared" si="72"/>
        <v>1775100</v>
      </c>
    </row>
    <row r="612" spans="2:16" s="9" customFormat="1" ht="35.1" customHeight="1" x14ac:dyDescent="0.25">
      <c r="B612" s="10" t="s">
        <v>874</v>
      </c>
      <c r="C612" s="22" t="s">
        <v>875</v>
      </c>
      <c r="D612" s="10" t="s">
        <v>16</v>
      </c>
      <c r="E612" s="12">
        <v>0</v>
      </c>
      <c r="F612" s="126">
        <v>23678</v>
      </c>
      <c r="G612" s="126">
        <f t="shared" si="75"/>
        <v>0</v>
      </c>
      <c r="H612" s="8"/>
      <c r="I612" s="9" t="str">
        <f t="array" ref="I612:L612">_xlfn.XLOOKUP(C612,'Neiva 2021 FASE I UNIFICADO'!$C$6:$C$540,'Neiva 2021 FASE I UNIFICADO'!$C$6:$F$540,"NO ESTA")</f>
        <v>SUMINISTRO E INSTALACION REJILLAS DE TOMA AIRE EXTERNO TAE 6" x 6"</v>
      </c>
      <c r="J612" s="9" t="str">
        <v>UND</v>
      </c>
      <c r="K612" s="9">
        <v>1</v>
      </c>
      <c r="L612" s="9">
        <v>21914</v>
      </c>
      <c r="M612" s="124" t="str">
        <f t="shared" si="73"/>
        <v>FASE II</v>
      </c>
      <c r="N612" s="155">
        <f t="shared" si="70"/>
        <v>1</v>
      </c>
      <c r="O612" s="156">
        <f t="shared" si="71"/>
        <v>23678</v>
      </c>
      <c r="P612" s="156">
        <f t="shared" si="72"/>
        <v>23678</v>
      </c>
    </row>
    <row r="613" spans="2:16" s="9" customFormat="1" ht="35.1" customHeight="1" x14ac:dyDescent="0.25">
      <c r="B613" s="10" t="s">
        <v>876</v>
      </c>
      <c r="C613" s="22" t="s">
        <v>877</v>
      </c>
      <c r="D613" s="10" t="s">
        <v>16</v>
      </c>
      <c r="E613" s="12">
        <v>0</v>
      </c>
      <c r="F613" s="126">
        <v>32671</v>
      </c>
      <c r="G613" s="126">
        <f t="shared" si="75"/>
        <v>0</v>
      </c>
      <c r="H613" s="8"/>
      <c r="I613" s="9" t="str">
        <f t="array" ref="I613:L613">_xlfn.XLOOKUP(C613,'Neiva 2021 FASE I UNIFICADO'!$C$6:$C$540,'Neiva 2021 FASE I UNIFICADO'!$C$6:$F$540,"NO ESTA")</f>
        <v>SUMINISTRO E INSTALACION REJILLAS DE TOMA AIRE EXTERNO TAE 10" x 8"</v>
      </c>
      <c r="J613" s="9" t="str">
        <v>UND</v>
      </c>
      <c r="K613" s="9">
        <v>1</v>
      </c>
      <c r="L613" s="9">
        <v>30236</v>
      </c>
      <c r="M613" s="124" t="str">
        <f t="shared" si="73"/>
        <v>FASE II</v>
      </c>
      <c r="N613" s="155">
        <f t="shared" si="70"/>
        <v>1</v>
      </c>
      <c r="O613" s="156">
        <f t="shared" si="71"/>
        <v>32671</v>
      </c>
      <c r="P613" s="156">
        <f t="shared" si="72"/>
        <v>32671</v>
      </c>
    </row>
    <row r="614" spans="2:16" s="9" customFormat="1" ht="35.1" customHeight="1" x14ac:dyDescent="0.25">
      <c r="B614" s="10" t="s">
        <v>878</v>
      </c>
      <c r="C614" s="22" t="s">
        <v>879</v>
      </c>
      <c r="D614" s="10" t="s">
        <v>16</v>
      </c>
      <c r="E614" s="12">
        <v>16</v>
      </c>
      <c r="F614" s="126">
        <v>45518</v>
      </c>
      <c r="G614" s="126">
        <f t="shared" si="75"/>
        <v>728288</v>
      </c>
      <c r="H614" s="8"/>
      <c r="I614" s="9" t="str">
        <f t="array" ref="I614:L614">_xlfn.XLOOKUP(C614,'Neiva 2021 FASE I UNIFICADO'!$C$6:$C$540,'Neiva 2021 FASE I UNIFICADO'!$C$6:$F$540,"NO ESTA")</f>
        <v>SUMINISTRO E INSTALACION REJILLAS DE TOMA AIRE EXTERNO TAE 12" x 8"</v>
      </c>
      <c r="J614" s="9" t="str">
        <v>UND</v>
      </c>
      <c r="K614" s="9">
        <v>6</v>
      </c>
      <c r="L614" s="9">
        <v>42127</v>
      </c>
      <c r="M614" s="124" t="str">
        <f t="shared" si="73"/>
        <v>FASE II</v>
      </c>
      <c r="N614" s="155">
        <f t="shared" si="70"/>
        <v>22</v>
      </c>
      <c r="O614" s="156">
        <f t="shared" si="71"/>
        <v>45518</v>
      </c>
      <c r="P614" s="156">
        <f t="shared" si="72"/>
        <v>1001396</v>
      </c>
    </row>
    <row r="615" spans="2:16" s="9" customFormat="1" ht="35.1" customHeight="1" x14ac:dyDescent="0.25">
      <c r="B615" s="10" t="s">
        <v>880</v>
      </c>
      <c r="C615" s="22" t="s">
        <v>881</v>
      </c>
      <c r="D615" s="10" t="s">
        <v>16</v>
      </c>
      <c r="E615" s="12">
        <v>2</v>
      </c>
      <c r="F615" s="126">
        <v>58365</v>
      </c>
      <c r="G615" s="126">
        <f t="shared" si="75"/>
        <v>116730</v>
      </c>
      <c r="H615" s="8"/>
      <c r="I615" s="9" t="str">
        <f t="array" ref="I615:L615">_xlfn.XLOOKUP(C615,'Neiva 2021 FASE I UNIFICADO'!$C$6:$C$540,'Neiva 2021 FASE I UNIFICADO'!$C$6:$F$540,"NO ESTA")</f>
        <v>SUMINISTRO E INSTALACION REJILLAS DE TOMA AIRE EXTERNO TAE 18" x 8"</v>
      </c>
      <c r="J615" s="9" t="str">
        <v>UND</v>
      </c>
      <c r="K615" s="9">
        <v>1</v>
      </c>
      <c r="L615" s="9">
        <v>54017</v>
      </c>
      <c r="M615" s="124" t="str">
        <f t="shared" si="73"/>
        <v>FASE II</v>
      </c>
      <c r="N615" s="155">
        <f t="shared" si="70"/>
        <v>3</v>
      </c>
      <c r="O615" s="156">
        <f t="shared" si="71"/>
        <v>58365</v>
      </c>
      <c r="P615" s="156">
        <f t="shared" si="72"/>
        <v>175095</v>
      </c>
    </row>
    <row r="616" spans="2:16" s="9" customFormat="1" ht="35.1" customHeight="1" x14ac:dyDescent="0.25">
      <c r="B616" s="10" t="s">
        <v>882</v>
      </c>
      <c r="C616" s="22" t="s">
        <v>1333</v>
      </c>
      <c r="D616" s="10" t="s">
        <v>16</v>
      </c>
      <c r="E616" s="12">
        <v>0</v>
      </c>
      <c r="F616" s="126">
        <v>578669</v>
      </c>
      <c r="G616" s="126">
        <f t="shared" si="75"/>
        <v>0</v>
      </c>
      <c r="H616" s="8"/>
      <c r="I616" s="9" t="str">
        <f t="array" ref="I616">_xlfn.XLOOKUP(C616,'Neiva 2021 FASE I UNIFICADO'!$C$6:$C$540,'Neiva 2021 FASE I UNIFICADO'!$C$6:$F$540,"NO ESTA")</f>
        <v>NO ESTA</v>
      </c>
      <c r="M616" s="124">
        <f t="shared" si="73"/>
        <v>0</v>
      </c>
      <c r="N616" s="155">
        <f t="shared" si="70"/>
        <v>0</v>
      </c>
      <c r="O616" s="156">
        <f t="shared" si="71"/>
        <v>578669</v>
      </c>
      <c r="P616" s="156">
        <f t="shared" si="72"/>
        <v>0</v>
      </c>
    </row>
    <row r="617" spans="2:16" s="9" customFormat="1" ht="35.1" customHeight="1" x14ac:dyDescent="0.25">
      <c r="B617" s="10" t="s">
        <v>884</v>
      </c>
      <c r="C617" s="22" t="s">
        <v>1334</v>
      </c>
      <c r="D617" s="10" t="s">
        <v>16</v>
      </c>
      <c r="E617" s="12">
        <v>0</v>
      </c>
      <c r="F617" s="126">
        <v>668044</v>
      </c>
      <c r="G617" s="126">
        <f t="shared" si="75"/>
        <v>0</v>
      </c>
      <c r="H617" s="8"/>
      <c r="I617" s="9" t="str">
        <f t="array" ref="I617">_xlfn.XLOOKUP(C617,'Neiva 2021 FASE I UNIFICADO'!$C$6:$C$540,'Neiva 2021 FASE I UNIFICADO'!$C$6:$F$540,"NO ESTA")</f>
        <v>NO ESTA</v>
      </c>
      <c r="M617" s="124">
        <f t="shared" si="73"/>
        <v>0</v>
      </c>
      <c r="N617" s="155">
        <f t="shared" si="70"/>
        <v>0</v>
      </c>
      <c r="O617" s="156">
        <f t="shared" si="71"/>
        <v>668044</v>
      </c>
      <c r="P617" s="156">
        <f t="shared" si="72"/>
        <v>0</v>
      </c>
    </row>
    <row r="618" spans="2:16" s="9" customFormat="1" ht="35.1" customHeight="1" x14ac:dyDescent="0.25">
      <c r="B618" s="13" t="s">
        <v>886</v>
      </c>
      <c r="C618" s="24" t="s">
        <v>887</v>
      </c>
      <c r="D618" s="24"/>
      <c r="E618" s="15"/>
      <c r="F618" s="129"/>
      <c r="G618" s="140"/>
      <c r="H618" s="8"/>
      <c r="I618" s="9" t="str">
        <f t="array" ref="I618:L618">_xlfn.XLOOKUP(C618,'Neiva 2021 FASE I UNIFICADO'!$C$6:$C$540,'Neiva 2021 FASE I UNIFICADO'!$C$6:$F$540,"NO ESTA")</f>
        <v>SUMINSITRO, MONTAJE E INSTALACIÓN DE VENTILACIÓN MECANICA</v>
      </c>
      <c r="J618" s="9">
        <v>0</v>
      </c>
      <c r="K618" s="9">
        <v>0</v>
      </c>
      <c r="L618" s="9">
        <v>0</v>
      </c>
      <c r="M618" s="124">
        <f t="shared" si="73"/>
        <v>0</v>
      </c>
      <c r="N618" s="155">
        <f t="shared" si="70"/>
        <v>0</v>
      </c>
      <c r="O618" s="156">
        <f t="shared" si="71"/>
        <v>0</v>
      </c>
      <c r="P618" s="156">
        <f t="shared" si="72"/>
        <v>0</v>
      </c>
    </row>
    <row r="619" spans="2:16" s="9" customFormat="1" ht="35.1" customHeight="1" x14ac:dyDescent="0.25">
      <c r="B619" s="23" t="s">
        <v>1335</v>
      </c>
      <c r="C619" s="22" t="s">
        <v>1336</v>
      </c>
      <c r="D619" s="10" t="s">
        <v>16</v>
      </c>
      <c r="E619" s="12">
        <v>1</v>
      </c>
      <c r="F619" s="126">
        <v>11241761</v>
      </c>
      <c r="G619" s="126">
        <f>ROUND(+F619*E619,2)</f>
        <v>11241761</v>
      </c>
      <c r="H619" s="8"/>
      <c r="I619" s="9" t="str">
        <f t="array" ref="I619">_xlfn.XLOOKUP(C619,'Neiva 2021 FASE I UNIFICADO'!$C$6:$C$540,'Neiva 2021 FASE I UNIFICADO'!$C$6:$F$540,"NO ESTA")</f>
        <v>NO ESTA</v>
      </c>
      <c r="M619" s="124">
        <f t="shared" si="73"/>
        <v>0</v>
      </c>
      <c r="N619" s="155">
        <f t="shared" si="70"/>
        <v>1</v>
      </c>
      <c r="O619" s="156">
        <f t="shared" si="71"/>
        <v>11241761</v>
      </c>
      <c r="P619" s="156">
        <f t="shared" si="72"/>
        <v>11241761</v>
      </c>
    </row>
    <row r="620" spans="2:16" s="9" customFormat="1" ht="35.1" customHeight="1" x14ac:dyDescent="0.25">
      <c r="B620" s="23" t="s">
        <v>1337</v>
      </c>
      <c r="C620" s="22" t="s">
        <v>1338</v>
      </c>
      <c r="D620" s="10" t="s">
        <v>16</v>
      </c>
      <c r="E620" s="12">
        <v>1</v>
      </c>
      <c r="F620" s="126">
        <v>9700121</v>
      </c>
      <c r="G620" s="126">
        <f>ROUND(+F620*E620,2)</f>
        <v>9700121</v>
      </c>
      <c r="H620" s="8"/>
      <c r="I620" s="9" t="str">
        <f t="array" ref="I620">_xlfn.XLOOKUP(C620,'Neiva 2021 FASE I UNIFICADO'!$C$6:$C$540,'Neiva 2021 FASE I UNIFICADO'!$C$6:$F$540,"NO ESTA")</f>
        <v>NO ESTA</v>
      </c>
      <c r="M620" s="124">
        <f t="shared" si="73"/>
        <v>0</v>
      </c>
      <c r="N620" s="155">
        <f t="shared" si="70"/>
        <v>1</v>
      </c>
      <c r="O620" s="156">
        <f t="shared" si="71"/>
        <v>9700121</v>
      </c>
      <c r="P620" s="156">
        <f t="shared" si="72"/>
        <v>9700121</v>
      </c>
    </row>
    <row r="621" spans="2:16" s="9" customFormat="1" ht="35.1" customHeight="1" x14ac:dyDescent="0.25">
      <c r="B621" s="23" t="s">
        <v>888</v>
      </c>
      <c r="C621" s="22" t="s">
        <v>851</v>
      </c>
      <c r="D621" s="60" t="s">
        <v>13</v>
      </c>
      <c r="E621" s="12">
        <v>88</v>
      </c>
      <c r="F621" s="126">
        <v>90015</v>
      </c>
      <c r="G621" s="126">
        <f>ROUND(+F621*E621,2)</f>
        <v>7921320</v>
      </c>
      <c r="H621" s="8"/>
      <c r="I621" s="9" t="str">
        <f t="array" ref="I621:L621">_xlfn.XLOOKUP(C621,'Neiva 2021 FASE I UNIFICADO'!$C$6:$C$540,'Neiva 2021 FASE I UNIFICADO'!$C$6:$F$540,"NO ESTA")</f>
        <v>SUMINISTRO E INSTALACION DUCTOS EN LAMINA GALVANIZADA CAL. 20 Wrap UMAS</v>
      </c>
      <c r="J621" s="9" t="str">
        <v>M2</v>
      </c>
      <c r="K621" s="9">
        <v>55</v>
      </c>
      <c r="L621" s="9">
        <v>70895</v>
      </c>
      <c r="M621" s="124" t="str">
        <f t="shared" si="73"/>
        <v>FASE II</v>
      </c>
      <c r="N621" s="155">
        <f t="shared" si="70"/>
        <v>143</v>
      </c>
      <c r="O621" s="156">
        <f t="shared" si="71"/>
        <v>90015</v>
      </c>
      <c r="P621" s="156">
        <f t="shared" si="72"/>
        <v>12872145</v>
      </c>
    </row>
    <row r="622" spans="2:16" s="9" customFormat="1" ht="35.1" customHeight="1" x14ac:dyDescent="0.25">
      <c r="B622" s="23" t="s">
        <v>889</v>
      </c>
      <c r="C622" s="22" t="s">
        <v>890</v>
      </c>
      <c r="D622" s="60" t="s">
        <v>13</v>
      </c>
      <c r="E622" s="12">
        <v>191</v>
      </c>
      <c r="F622" s="126">
        <v>83592</v>
      </c>
      <c r="G622" s="126">
        <f>ROUND(+F622*E622,2)</f>
        <v>15966072</v>
      </c>
      <c r="H622" s="8"/>
      <c r="I622" s="9" t="str">
        <f t="array" ref="I622:L622">_xlfn.XLOOKUP(C622,'Neiva 2021 FASE I UNIFICADO'!$C$6:$C$540,'Neiva 2021 FASE I UNIFICADO'!$C$6:$F$540,"NO ESTA")</f>
        <v>SUMINISTRO E INSTALACION DUCTOS EN LAMINA GALVANIZADA CAL. 22 Wrap UMAS</v>
      </c>
      <c r="J622" s="9" t="str">
        <v>M2</v>
      </c>
      <c r="K622" s="9">
        <v>71</v>
      </c>
      <c r="L622" s="9">
        <v>77364</v>
      </c>
      <c r="M622" s="124" t="str">
        <f t="shared" si="73"/>
        <v>FASE II</v>
      </c>
      <c r="N622" s="155">
        <f t="shared" si="70"/>
        <v>262</v>
      </c>
      <c r="O622" s="156">
        <f t="shared" si="71"/>
        <v>83592</v>
      </c>
      <c r="P622" s="156">
        <f t="shared" si="72"/>
        <v>21901104</v>
      </c>
    </row>
    <row r="623" spans="2:16" s="9" customFormat="1" ht="35.1" customHeight="1" x14ac:dyDescent="0.25">
      <c r="B623" s="23" t="s">
        <v>891</v>
      </c>
      <c r="C623" s="22" t="s">
        <v>892</v>
      </c>
      <c r="D623" s="10" t="s">
        <v>16</v>
      </c>
      <c r="E623" s="12">
        <v>2</v>
      </c>
      <c r="F623" s="126">
        <v>498443</v>
      </c>
      <c r="G623" s="126">
        <f>ROUND(+F623*E623,2)</f>
        <v>996886</v>
      </c>
      <c r="H623" s="8"/>
      <c r="I623" s="9" t="str">
        <f t="array" ref="I623:L623">_xlfn.XLOOKUP(C623,'Neiva 2021 FASE I UNIFICADO'!$C$6:$C$540,'Neiva 2021 FASE I UNIFICADO'!$C$6:$F$540,"NO ESTA")</f>
        <v>SUMINISTRO E INSTALACION BANCO DE FILTROS</v>
      </c>
      <c r="J623" s="9" t="str">
        <v>UND</v>
      </c>
      <c r="K623" s="9">
        <v>1</v>
      </c>
      <c r="L623" s="9">
        <v>461307</v>
      </c>
      <c r="M623" s="124" t="str">
        <f t="shared" si="73"/>
        <v>FASE II</v>
      </c>
      <c r="N623" s="155">
        <f t="shared" si="70"/>
        <v>3</v>
      </c>
      <c r="O623" s="156">
        <f t="shared" si="71"/>
        <v>498443</v>
      </c>
      <c r="P623" s="156">
        <f t="shared" si="72"/>
        <v>1495329</v>
      </c>
    </row>
    <row r="624" spans="2:16" s="9" customFormat="1" ht="35.1" customHeight="1" x14ac:dyDescent="0.25">
      <c r="B624" s="13" t="s">
        <v>893</v>
      </c>
      <c r="C624" s="24" t="s">
        <v>894</v>
      </c>
      <c r="D624" s="24"/>
      <c r="E624" s="15"/>
      <c r="F624" s="129"/>
      <c r="G624" s="140"/>
      <c r="H624" s="8"/>
      <c r="I624" s="9" t="str">
        <f t="array" ref="I624:L624">_xlfn.XLOOKUP(C624,'Neiva 2021 FASE I UNIFICADO'!$C$6:$C$540,'Neiva 2021 FASE I UNIFICADO'!$C$6:$F$540,"NO ESTA")</f>
        <v>SUMNISTRO, INSTALACION Y MONTAJE CONTROL</v>
      </c>
      <c r="J624" s="9">
        <v>0</v>
      </c>
      <c r="K624" s="9">
        <v>0</v>
      </c>
      <c r="L624" s="9">
        <v>0</v>
      </c>
      <c r="M624" s="124">
        <f t="shared" si="73"/>
        <v>0</v>
      </c>
      <c r="N624" s="155">
        <f t="shared" si="70"/>
        <v>0</v>
      </c>
      <c r="O624" s="156">
        <f t="shared" si="71"/>
        <v>0</v>
      </c>
      <c r="P624" s="156">
        <f t="shared" si="72"/>
        <v>0</v>
      </c>
    </row>
    <row r="625" spans="2:16" s="9" customFormat="1" ht="35.1" customHeight="1" x14ac:dyDescent="0.25">
      <c r="B625" s="10" t="s">
        <v>1339</v>
      </c>
      <c r="C625" s="22" t="s">
        <v>1340</v>
      </c>
      <c r="D625" s="10" t="s">
        <v>16</v>
      </c>
      <c r="E625" s="12">
        <v>2</v>
      </c>
      <c r="F625" s="126">
        <v>11604897</v>
      </c>
      <c r="G625" s="126">
        <f t="shared" ref="G625:G635" si="76">ROUND(+F625*E625,2)</f>
        <v>23209794</v>
      </c>
      <c r="H625" s="8"/>
      <c r="I625" s="9" t="str">
        <f t="array" ref="I625">_xlfn.XLOOKUP(C625,'Neiva 2021 FASE I UNIFICADO'!$C$6:$C$540,'Neiva 2021 FASE I UNIFICADO'!$C$6:$F$540,"NO ESTA")</f>
        <v>NO ESTA</v>
      </c>
      <c r="M625" s="124">
        <f t="shared" si="73"/>
        <v>0</v>
      </c>
      <c r="N625" s="155">
        <f t="shared" si="70"/>
        <v>2</v>
      </c>
      <c r="O625" s="156">
        <f t="shared" si="71"/>
        <v>11604897</v>
      </c>
      <c r="P625" s="156">
        <f t="shared" si="72"/>
        <v>23209794</v>
      </c>
    </row>
    <row r="626" spans="2:16" s="9" customFormat="1" ht="35.1" customHeight="1" x14ac:dyDescent="0.25">
      <c r="B626" s="10" t="s">
        <v>895</v>
      </c>
      <c r="C626" s="22" t="s">
        <v>896</v>
      </c>
      <c r="D626" s="10" t="s">
        <v>16</v>
      </c>
      <c r="E626" s="12">
        <v>1</v>
      </c>
      <c r="F626" s="126">
        <v>1978337</v>
      </c>
      <c r="G626" s="126">
        <f t="shared" si="76"/>
        <v>1978337</v>
      </c>
      <c r="H626" s="8"/>
      <c r="I626" s="9" t="str">
        <f t="array" ref="I626:L626">_xlfn.XLOOKUP(C626,'Neiva 2021 FASE I UNIFICADO'!$C$6:$C$540,'Neiva 2021 FASE I UNIFICADO'!$C$6:$F$540,"NO ESTA")</f>
        <v>SUMINISTRO E INSTALACION VALVULA BYPASS 2"</v>
      </c>
      <c r="J626" s="9" t="str">
        <v>UND</v>
      </c>
      <c r="K626" s="9">
        <v>1</v>
      </c>
      <c r="L626" s="9">
        <v>1830940</v>
      </c>
      <c r="M626" s="124" t="str">
        <f t="shared" si="73"/>
        <v>FASE II</v>
      </c>
      <c r="N626" s="155">
        <f t="shared" si="70"/>
        <v>2</v>
      </c>
      <c r="O626" s="156">
        <f t="shared" si="71"/>
        <v>1978337</v>
      </c>
      <c r="P626" s="156">
        <f t="shared" si="72"/>
        <v>3956674</v>
      </c>
    </row>
    <row r="627" spans="2:16" s="9" customFormat="1" ht="35.1" customHeight="1" x14ac:dyDescent="0.25">
      <c r="B627" s="10" t="s">
        <v>897</v>
      </c>
      <c r="C627" s="22" t="s">
        <v>898</v>
      </c>
      <c r="D627" s="10" t="s">
        <v>16</v>
      </c>
      <c r="E627" s="12">
        <v>2</v>
      </c>
      <c r="F627" s="126">
        <v>1207567</v>
      </c>
      <c r="G627" s="126">
        <f t="shared" si="76"/>
        <v>2415134</v>
      </c>
      <c r="H627" s="8"/>
      <c r="I627" s="9" t="str">
        <f t="array" ref="I627:L627">_xlfn.XLOOKUP(C627,'Neiva 2021 FASE I UNIFICADO'!$C$6:$C$540,'Neiva 2021 FASE I UNIFICADO'!$C$6:$F$540,"NO ESTA")</f>
        <v>SUMINISTRO E INSTALACION SENSOR DIFERENCIAL DE PRESIÓN SISTEMA AGUA FRIA</v>
      </c>
      <c r="J627" s="9" t="str">
        <v>UND</v>
      </c>
      <c r="K627" s="9">
        <v>2</v>
      </c>
      <c r="L627" s="9">
        <v>1117597</v>
      </c>
      <c r="M627" s="124" t="str">
        <f t="shared" si="73"/>
        <v>FASE II</v>
      </c>
      <c r="N627" s="155">
        <f t="shared" si="70"/>
        <v>4</v>
      </c>
      <c r="O627" s="156">
        <f t="shared" si="71"/>
        <v>1207567</v>
      </c>
      <c r="P627" s="156">
        <f t="shared" si="72"/>
        <v>4830268</v>
      </c>
    </row>
    <row r="628" spans="2:16" s="9" customFormat="1" ht="35.1" customHeight="1" x14ac:dyDescent="0.25">
      <c r="B628" s="10" t="s">
        <v>899</v>
      </c>
      <c r="C628" s="22" t="s">
        <v>900</v>
      </c>
      <c r="D628" s="10" t="s">
        <v>16</v>
      </c>
      <c r="E628" s="12">
        <v>1</v>
      </c>
      <c r="F628" s="126">
        <v>867763</v>
      </c>
      <c r="G628" s="126">
        <f t="shared" si="76"/>
        <v>867763</v>
      </c>
      <c r="H628" s="8"/>
      <c r="I628" s="9" t="str">
        <f t="array" ref="I628:L628">_xlfn.XLOOKUP(C628,'Neiva 2021 FASE I UNIFICADO'!$C$6:$C$540,'Neiva 2021 FASE I UNIFICADO'!$C$6:$F$540,"NO ESTA")</f>
        <v>SUMINISTRO E INSTALACION SENSOR DIFERENCIAL DE PRESIÓN SISTEMA AIRE UMAS</v>
      </c>
      <c r="J628" s="9" t="str">
        <v>UND</v>
      </c>
      <c r="K628" s="9">
        <v>1</v>
      </c>
      <c r="L628" s="9">
        <v>803110</v>
      </c>
      <c r="M628" s="124" t="str">
        <f t="shared" si="73"/>
        <v>FASE II</v>
      </c>
      <c r="N628" s="155">
        <f t="shared" si="70"/>
        <v>2</v>
      </c>
      <c r="O628" s="156">
        <f t="shared" si="71"/>
        <v>867763</v>
      </c>
      <c r="P628" s="156">
        <f t="shared" si="72"/>
        <v>1735526</v>
      </c>
    </row>
    <row r="629" spans="2:16" s="9" customFormat="1" ht="35.1" customHeight="1" x14ac:dyDescent="0.25">
      <c r="B629" s="10" t="s">
        <v>901</v>
      </c>
      <c r="C629" s="22" t="s">
        <v>902</v>
      </c>
      <c r="D629" s="10" t="s">
        <v>16</v>
      </c>
      <c r="E629" s="12">
        <v>2</v>
      </c>
      <c r="F629" s="126">
        <v>867763</v>
      </c>
      <c r="G629" s="126">
        <f t="shared" si="76"/>
        <v>1735526</v>
      </c>
      <c r="H629" s="8"/>
      <c r="I629" s="9" t="str">
        <f t="array" ref="I629:L629">_xlfn.XLOOKUP(C629,'Neiva 2021 FASE I UNIFICADO'!$C$6:$C$540,'Neiva 2021 FASE I UNIFICADO'!$C$6:$F$540,"NO ESTA")</f>
        <v>SUMINISTRO E INSTALACION SENSOR DE FLUJO AIRE UMAS</v>
      </c>
      <c r="J629" s="9" t="str">
        <v>UND</v>
      </c>
      <c r="K629" s="9">
        <v>1</v>
      </c>
      <c r="L629" s="9">
        <v>803110</v>
      </c>
      <c r="M629" s="124" t="str">
        <f t="shared" si="73"/>
        <v>FASE II</v>
      </c>
      <c r="N629" s="155">
        <f t="shared" si="70"/>
        <v>3</v>
      </c>
      <c r="O629" s="156">
        <f t="shared" si="71"/>
        <v>867763</v>
      </c>
      <c r="P629" s="156">
        <f t="shared" si="72"/>
        <v>2603289</v>
      </c>
    </row>
    <row r="630" spans="2:16" s="9" customFormat="1" ht="35.1" customHeight="1" x14ac:dyDescent="0.25">
      <c r="B630" s="10" t="s">
        <v>1341</v>
      </c>
      <c r="C630" s="22" t="s">
        <v>1342</v>
      </c>
      <c r="D630" s="10" t="s">
        <v>16</v>
      </c>
      <c r="E630" s="12">
        <v>2</v>
      </c>
      <c r="F630" s="126">
        <v>3301628</v>
      </c>
      <c r="G630" s="126">
        <f t="shared" si="76"/>
        <v>6603256</v>
      </c>
      <c r="H630" s="8"/>
      <c r="I630" s="9" t="str">
        <f t="array" ref="I630">_xlfn.XLOOKUP(C630,'Neiva 2021 FASE I UNIFICADO'!$C$6:$C$540,'Neiva 2021 FASE I UNIFICADO'!$C$6:$F$540,"NO ESTA")</f>
        <v>NO ESTA</v>
      </c>
      <c r="M630" s="124">
        <f t="shared" si="73"/>
        <v>0</v>
      </c>
      <c r="N630" s="155">
        <f t="shared" si="70"/>
        <v>2</v>
      </c>
      <c r="O630" s="156">
        <f t="shared" si="71"/>
        <v>3301628</v>
      </c>
      <c r="P630" s="156">
        <f t="shared" si="72"/>
        <v>6603256</v>
      </c>
    </row>
    <row r="631" spans="2:16" s="9" customFormat="1" ht="35.1" customHeight="1" x14ac:dyDescent="0.25">
      <c r="B631" s="10" t="s">
        <v>1343</v>
      </c>
      <c r="C631" s="22" t="s">
        <v>1344</v>
      </c>
      <c r="D631" s="10" t="s">
        <v>16</v>
      </c>
      <c r="E631" s="12">
        <v>2</v>
      </c>
      <c r="F631" s="126">
        <v>5806708</v>
      </c>
      <c r="G631" s="126">
        <f t="shared" si="76"/>
        <v>11613416</v>
      </c>
      <c r="H631" s="8"/>
      <c r="I631" s="9" t="str">
        <f t="array" ref="I631">_xlfn.XLOOKUP(C631,'Neiva 2021 FASE I UNIFICADO'!$C$6:$C$540,'Neiva 2021 FASE I UNIFICADO'!$C$6:$F$540,"NO ESTA")</f>
        <v>NO ESTA</v>
      </c>
      <c r="M631" s="124">
        <f t="shared" si="73"/>
        <v>0</v>
      </c>
      <c r="N631" s="155">
        <f t="shared" si="70"/>
        <v>2</v>
      </c>
      <c r="O631" s="156">
        <f t="shared" si="71"/>
        <v>5806708</v>
      </c>
      <c r="P631" s="156">
        <f t="shared" si="72"/>
        <v>11613416</v>
      </c>
    </row>
    <row r="632" spans="2:16" s="9" customFormat="1" ht="35.1" customHeight="1" x14ac:dyDescent="0.25">
      <c r="B632" s="10" t="s">
        <v>1345</v>
      </c>
      <c r="C632" s="22" t="s">
        <v>1346</v>
      </c>
      <c r="D632" s="10" t="s">
        <v>16</v>
      </c>
      <c r="E632" s="12">
        <v>2</v>
      </c>
      <c r="F632" s="126">
        <v>1978337</v>
      </c>
      <c r="G632" s="126">
        <f t="shared" si="76"/>
        <v>3956674</v>
      </c>
      <c r="H632" s="8"/>
      <c r="I632" s="9" t="str">
        <f t="array" ref="I632">_xlfn.XLOOKUP(C632,'Neiva 2021 FASE I UNIFICADO'!$C$6:$C$540,'Neiva 2021 FASE I UNIFICADO'!$C$6:$F$540,"NO ESTA")</f>
        <v>NO ESTA</v>
      </c>
      <c r="M632" s="124">
        <f t="shared" si="73"/>
        <v>0</v>
      </c>
      <c r="N632" s="155">
        <f t="shared" si="70"/>
        <v>2</v>
      </c>
      <c r="O632" s="156">
        <f t="shared" si="71"/>
        <v>1978337</v>
      </c>
      <c r="P632" s="156">
        <f t="shared" si="72"/>
        <v>3956674</v>
      </c>
    </row>
    <row r="633" spans="2:16" s="9" customFormat="1" ht="35.1" customHeight="1" x14ac:dyDescent="0.25">
      <c r="B633" s="10" t="s">
        <v>903</v>
      </c>
      <c r="C633" s="22" t="s">
        <v>904</v>
      </c>
      <c r="D633" s="10" t="s">
        <v>16</v>
      </c>
      <c r="E633" s="12">
        <v>3</v>
      </c>
      <c r="F633" s="126">
        <v>1104774</v>
      </c>
      <c r="G633" s="126">
        <f t="shared" si="76"/>
        <v>3314322</v>
      </c>
      <c r="H633" s="8"/>
      <c r="I633" s="9" t="str">
        <f t="array" ref="I633:L633">_xlfn.XLOOKUP(C633,'Neiva 2021 FASE I UNIFICADO'!$C$6:$C$540,'Neiva 2021 FASE I UNIFICADO'!$C$6:$F$540,"NO ESTA")</f>
        <v>SUMINISTRO E INSTALACION SENSOR CO</v>
      </c>
      <c r="J633" s="9" t="str">
        <v>UND</v>
      </c>
      <c r="K633" s="9">
        <v>2</v>
      </c>
      <c r="L633" s="9">
        <v>1022463</v>
      </c>
      <c r="M633" s="124" t="str">
        <f t="shared" si="73"/>
        <v>FASE II</v>
      </c>
      <c r="N633" s="155">
        <f t="shared" si="70"/>
        <v>5</v>
      </c>
      <c r="O633" s="156">
        <f t="shared" si="71"/>
        <v>1104774</v>
      </c>
      <c r="P633" s="156">
        <f t="shared" si="72"/>
        <v>5523870</v>
      </c>
    </row>
    <row r="634" spans="2:16" s="9" customFormat="1" ht="35.1" customHeight="1" x14ac:dyDescent="0.25">
      <c r="B634" s="10" t="s">
        <v>905</v>
      </c>
      <c r="C634" s="22" t="s">
        <v>906</v>
      </c>
      <c r="D634" s="10" t="s">
        <v>16</v>
      </c>
      <c r="E634" s="12">
        <v>2</v>
      </c>
      <c r="F634" s="126">
        <v>331432</v>
      </c>
      <c r="G634" s="126">
        <f t="shared" si="76"/>
        <v>662864</v>
      </c>
      <c r="H634" s="8"/>
      <c r="I634" s="9" t="str">
        <f t="array" ref="I634:L634">_xlfn.XLOOKUP(C634,'Neiva 2021 FASE I UNIFICADO'!$C$6:$C$540,'Neiva 2021 FASE I UNIFICADO'!$C$6:$F$540,"NO ESTA")</f>
        <v>SUMINISTRO E INSTALACION SENSOR CONTROL CO2 UMAS</v>
      </c>
      <c r="J634" s="9" t="str">
        <v>UND</v>
      </c>
      <c r="K634" s="9">
        <v>2</v>
      </c>
      <c r="L634" s="9">
        <v>306739</v>
      </c>
      <c r="M634" s="124" t="str">
        <f t="shared" si="73"/>
        <v>FASE II</v>
      </c>
      <c r="N634" s="155">
        <f t="shared" si="70"/>
        <v>4</v>
      </c>
      <c r="O634" s="156">
        <f t="shared" si="71"/>
        <v>331432</v>
      </c>
      <c r="P634" s="156">
        <f t="shared" si="72"/>
        <v>1325728</v>
      </c>
    </row>
    <row r="635" spans="2:16" s="9" customFormat="1" ht="35.1" customHeight="1" x14ac:dyDescent="0.25">
      <c r="B635" s="10" t="s">
        <v>1347</v>
      </c>
      <c r="C635" s="22" t="s">
        <v>1348</v>
      </c>
      <c r="D635" s="10" t="s">
        <v>16</v>
      </c>
      <c r="E635" s="12">
        <v>2</v>
      </c>
      <c r="F635" s="126">
        <v>1978337</v>
      </c>
      <c r="G635" s="126">
        <f t="shared" si="76"/>
        <v>3956674</v>
      </c>
      <c r="H635" s="8"/>
      <c r="I635" s="9" t="str">
        <f t="array" ref="I635">_xlfn.XLOOKUP(C635,'Neiva 2021 FASE I UNIFICADO'!$C$6:$C$540,'Neiva 2021 FASE I UNIFICADO'!$C$6:$F$540,"NO ESTA")</f>
        <v>NO ESTA</v>
      </c>
      <c r="M635" s="124">
        <f t="shared" si="73"/>
        <v>0</v>
      </c>
      <c r="N635" s="155">
        <f t="shared" si="70"/>
        <v>2</v>
      </c>
      <c r="O635" s="156">
        <f t="shared" si="71"/>
        <v>1978337</v>
      </c>
      <c r="P635" s="156">
        <f t="shared" si="72"/>
        <v>3956674</v>
      </c>
    </row>
    <row r="636" spans="2:16" s="9" customFormat="1" ht="35.1" customHeight="1" x14ac:dyDescent="0.25">
      <c r="B636" s="33">
        <v>18</v>
      </c>
      <c r="C636" s="34" t="s">
        <v>907</v>
      </c>
      <c r="D636" s="34"/>
      <c r="E636" s="35"/>
      <c r="F636" s="132"/>
      <c r="G636" s="142"/>
      <c r="H636" s="8"/>
      <c r="I636" s="9" t="str">
        <f t="array" ref="I636:L636">_xlfn.XLOOKUP(C636,'Neiva 2021 FASE I UNIFICADO'!$C$6:$C$540,'Neiva 2021 FASE I UNIFICADO'!$C$6:$F$540,"NO ESTA")</f>
        <v>RED DE VOZ Y DATOS Cat. 6A BLINDADO LSZH (Low Smoke Zero Halogen)</v>
      </c>
      <c r="J636" s="9">
        <v>0</v>
      </c>
      <c r="K636" s="9">
        <v>0</v>
      </c>
      <c r="L636" s="9">
        <v>0</v>
      </c>
      <c r="M636" s="124">
        <f t="shared" si="73"/>
        <v>0</v>
      </c>
      <c r="N636" s="155">
        <f t="shared" si="70"/>
        <v>0</v>
      </c>
      <c r="O636" s="156">
        <f t="shared" si="71"/>
        <v>0</v>
      </c>
      <c r="P636" s="156">
        <f t="shared" si="72"/>
        <v>0</v>
      </c>
    </row>
    <row r="637" spans="2:16" s="9" customFormat="1" ht="35.1" customHeight="1" x14ac:dyDescent="0.25">
      <c r="B637" s="13" t="s">
        <v>908</v>
      </c>
      <c r="C637" s="24" t="s">
        <v>909</v>
      </c>
      <c r="D637" s="24"/>
      <c r="E637" s="15"/>
      <c r="F637" s="129"/>
      <c r="G637" s="140"/>
      <c r="H637" s="8"/>
      <c r="I637" s="9" t="str">
        <f t="array" ref="I637:L637">_xlfn.XLOOKUP(C637,'Neiva 2021 FASE I UNIFICADO'!$C$6:$C$540,'Neiva 2021 FASE I UNIFICADO'!$C$6:$F$540,"NO ESTA")</f>
        <v>SUMINISTRO E INSTALACION DE TOMAS PUESTOS DE TRABAJO</v>
      </c>
      <c r="J637" s="9">
        <v>0</v>
      </c>
      <c r="K637" s="9">
        <v>0</v>
      </c>
      <c r="L637" s="9">
        <v>0</v>
      </c>
      <c r="M637" s="124">
        <f t="shared" si="73"/>
        <v>0</v>
      </c>
      <c r="N637" s="155">
        <f t="shared" si="70"/>
        <v>0</v>
      </c>
      <c r="O637" s="156">
        <f t="shared" si="71"/>
        <v>0</v>
      </c>
      <c r="P637" s="156">
        <f t="shared" si="72"/>
        <v>0</v>
      </c>
    </row>
    <row r="638" spans="2:16" s="9" customFormat="1" ht="35.1" customHeight="1" x14ac:dyDescent="0.25">
      <c r="B638" s="23" t="s">
        <v>910</v>
      </c>
      <c r="C638" s="48" t="s">
        <v>911</v>
      </c>
      <c r="D638" s="10" t="s">
        <v>16</v>
      </c>
      <c r="E638" s="12">
        <v>172</v>
      </c>
      <c r="F638" s="126">
        <v>37593</v>
      </c>
      <c r="G638" s="126">
        <f>ROUND(+F638*E638,2)</f>
        <v>6465996</v>
      </c>
      <c r="H638" s="8"/>
      <c r="I638" s="9" t="str">
        <f t="array" ref="I638:L638">_xlfn.XLOOKUP(C638,'Neiva 2021 FASE I UNIFICADO'!$C$6:$C$540,'Neiva 2021 FASE I UNIFICADO'!$C$6:$F$540,"NO ESTA")</f>
        <v xml:space="preserve">SUMINISTRO E INSTALACION TOMAS SENCILLA RJ45 Cat. 6A DATOS BLINDADO INCLUYE MARQUILLAS </v>
      </c>
      <c r="J638" s="9" t="str">
        <v>UND</v>
      </c>
      <c r="K638" s="9">
        <v>64</v>
      </c>
      <c r="L638" s="9">
        <v>34792</v>
      </c>
      <c r="M638" s="124" t="str">
        <f t="shared" si="73"/>
        <v>FASE II</v>
      </c>
      <c r="N638" s="155">
        <f t="shared" si="70"/>
        <v>236</v>
      </c>
      <c r="O638" s="156">
        <f t="shared" si="71"/>
        <v>37593</v>
      </c>
      <c r="P638" s="156">
        <f t="shared" si="72"/>
        <v>8871948</v>
      </c>
    </row>
    <row r="639" spans="2:16" s="9" customFormat="1" ht="35.1" customHeight="1" x14ac:dyDescent="0.25">
      <c r="B639" s="23" t="s">
        <v>912</v>
      </c>
      <c r="C639" s="22" t="s">
        <v>913</v>
      </c>
      <c r="D639" s="10" t="s">
        <v>16</v>
      </c>
      <c r="E639" s="12">
        <v>38</v>
      </c>
      <c r="F639" s="126">
        <v>37593</v>
      </c>
      <c r="G639" s="126">
        <f>ROUND(+F639*E639,2)</f>
        <v>1428534</v>
      </c>
      <c r="H639" s="8"/>
      <c r="I639" s="9" t="str">
        <f t="array" ref="I639:L639">_xlfn.XLOOKUP(C639,'Neiva 2021 FASE I UNIFICADO'!$C$6:$C$540,'Neiva 2021 FASE I UNIFICADO'!$C$6:$F$540,"NO ESTA")</f>
        <v>SUMINISTRO E INSTALACION TOMAS SENCILLA RJ45 Cat. 6A VOZ BLINDADO INCLUYE MARQUILLAS</v>
      </c>
      <c r="J639" s="9" t="str">
        <v>UND</v>
      </c>
      <c r="K639" s="9">
        <v>14</v>
      </c>
      <c r="L639" s="9">
        <v>34792</v>
      </c>
      <c r="M639" s="124" t="str">
        <f t="shared" si="73"/>
        <v>FASE II</v>
      </c>
      <c r="N639" s="155">
        <f t="shared" si="70"/>
        <v>52</v>
      </c>
      <c r="O639" s="156">
        <f t="shared" si="71"/>
        <v>37593</v>
      </c>
      <c r="P639" s="156">
        <f t="shared" si="72"/>
        <v>1954836</v>
      </c>
    </row>
    <row r="640" spans="2:16" s="9" customFormat="1" ht="35.1" customHeight="1" x14ac:dyDescent="0.25">
      <c r="B640" s="23" t="s">
        <v>914</v>
      </c>
      <c r="C640" s="22" t="s">
        <v>915</v>
      </c>
      <c r="D640" s="10" t="s">
        <v>16</v>
      </c>
      <c r="E640" s="12">
        <v>172</v>
      </c>
      <c r="F640" s="126">
        <v>9923</v>
      </c>
      <c r="G640" s="126">
        <f>ROUND(+F640*E640,2)</f>
        <v>1706756</v>
      </c>
      <c r="H640" s="8"/>
      <c r="I640" s="9" t="str">
        <f t="array" ref="I640:L640">_xlfn.XLOOKUP(C640,'Neiva 2021 FASE I UNIFICADO'!$C$6:$C$540,'Neiva 2021 FASE I UNIFICADO'!$C$6:$F$540,"NO ESTA")</f>
        <v>SUMINISTRO E INSTALACION FACE PLATE DOBLE PARA TOMA RJ45</v>
      </c>
      <c r="J640" s="9" t="str">
        <v>UND</v>
      </c>
      <c r="K640" s="9">
        <v>64</v>
      </c>
      <c r="L640" s="9">
        <v>9184</v>
      </c>
      <c r="M640" s="124" t="str">
        <f t="shared" si="73"/>
        <v>FASE II</v>
      </c>
      <c r="N640" s="155">
        <f t="shared" si="70"/>
        <v>236</v>
      </c>
      <c r="O640" s="156">
        <f t="shared" si="71"/>
        <v>9923</v>
      </c>
      <c r="P640" s="156">
        <f t="shared" si="72"/>
        <v>2341828</v>
      </c>
    </row>
    <row r="641" spans="2:16" s="9" customFormat="1" ht="35.1" customHeight="1" x14ac:dyDescent="0.25">
      <c r="B641" s="23" t="s">
        <v>916</v>
      </c>
      <c r="C641" s="22" t="s">
        <v>917</v>
      </c>
      <c r="D641" s="10" t="s">
        <v>16</v>
      </c>
      <c r="E641" s="12">
        <v>172</v>
      </c>
      <c r="F641" s="126">
        <v>45221</v>
      </c>
      <c r="G641" s="126">
        <f>ROUND(+F641*E641,2)</f>
        <v>7778012</v>
      </c>
      <c r="H641" s="8"/>
      <c r="I641" s="9" t="str">
        <f t="array" ref="I641:L641">_xlfn.XLOOKUP(C641,'Neiva 2021 FASE I UNIFICADO'!$C$6:$C$540,'Neiva 2021 FASE I UNIFICADO'!$C$6:$F$540,"NO ESTA")</f>
        <v>SUMINISTRO E INSTALACION PATCH CORD. RJ45-RJ45 1,5 m Cat. 6A BLINDADO</v>
      </c>
      <c r="J641" s="9" t="str">
        <v>UND</v>
      </c>
      <c r="K641" s="9">
        <v>64</v>
      </c>
      <c r="L641" s="9">
        <v>41852</v>
      </c>
      <c r="M641" s="124" t="str">
        <f t="shared" si="73"/>
        <v>FASE II</v>
      </c>
      <c r="N641" s="155">
        <f t="shared" si="70"/>
        <v>236</v>
      </c>
      <c r="O641" s="156">
        <f t="shared" si="71"/>
        <v>45221</v>
      </c>
      <c r="P641" s="156">
        <f t="shared" si="72"/>
        <v>10672156</v>
      </c>
    </row>
    <row r="642" spans="2:16" s="9" customFormat="1" ht="35.1" customHeight="1" x14ac:dyDescent="0.25">
      <c r="B642" s="13" t="s">
        <v>918</v>
      </c>
      <c r="C642" s="24" t="s">
        <v>919</v>
      </c>
      <c r="D642" s="24"/>
      <c r="E642" s="15"/>
      <c r="F642" s="129"/>
      <c r="G642" s="140"/>
      <c r="H642" s="8"/>
      <c r="I642" s="9" t="str">
        <f t="array" ref="I642:L642">_xlfn.XLOOKUP(C642,'Neiva 2021 FASE I UNIFICADO'!$C$6:$C$540,'Neiva 2021 FASE I UNIFICADO'!$C$6:$F$540,"NO ESTA")</f>
        <v>SUMINISTRO E INSTALACION DE CABLES</v>
      </c>
      <c r="J642" s="9">
        <v>0</v>
      </c>
      <c r="K642" s="9">
        <v>0</v>
      </c>
      <c r="L642" s="9">
        <v>0</v>
      </c>
      <c r="M642" s="124">
        <f t="shared" si="73"/>
        <v>0</v>
      </c>
      <c r="N642" s="155">
        <f t="shared" si="70"/>
        <v>0</v>
      </c>
      <c r="O642" s="156">
        <f t="shared" si="71"/>
        <v>0</v>
      </c>
      <c r="P642" s="156">
        <f t="shared" si="72"/>
        <v>0</v>
      </c>
    </row>
    <row r="643" spans="2:16" s="9" customFormat="1" ht="35.1" customHeight="1" x14ac:dyDescent="0.25">
      <c r="B643" s="23" t="s">
        <v>920</v>
      </c>
      <c r="C643" s="22" t="s">
        <v>921</v>
      </c>
      <c r="D643" s="10" t="s">
        <v>94</v>
      </c>
      <c r="E643" s="12">
        <v>11247</v>
      </c>
      <c r="F643" s="126">
        <v>4503</v>
      </c>
      <c r="G643" s="126">
        <f>ROUND(+F643*E643,2)</f>
        <v>50645241</v>
      </c>
      <c r="H643" s="8"/>
      <c r="I643" s="9" t="str">
        <f t="array" ref="I643:L643">_xlfn.XLOOKUP(C643,'Neiva 2021 FASE I UNIFICADO'!$C$6:$C$540,'Neiva 2021 FASE I UNIFICADO'!$C$6:$F$540,"NO ESTA")</f>
        <v>SUMINISTRO E INSTALACION CABLE 10 G F/UTP Cat. 6A CON CHAQUETA LSZH (LOW SMOKE ZERO HALOGEN)</v>
      </c>
      <c r="J643" s="9" t="str">
        <v>ML</v>
      </c>
      <c r="K643" s="9">
        <v>1765</v>
      </c>
      <c r="L643" s="9">
        <v>4168</v>
      </c>
      <c r="M643" s="124" t="str">
        <f t="shared" si="73"/>
        <v>FASE II</v>
      </c>
      <c r="N643" s="155">
        <f t="shared" si="70"/>
        <v>13012</v>
      </c>
      <c r="O643" s="156">
        <f t="shared" si="71"/>
        <v>4503</v>
      </c>
      <c r="P643" s="156">
        <f t="shared" si="72"/>
        <v>58593036</v>
      </c>
    </row>
    <row r="644" spans="2:16" s="9" customFormat="1" ht="35.1" customHeight="1" x14ac:dyDescent="0.25">
      <c r="B644" s="13" t="s">
        <v>922</v>
      </c>
      <c r="C644" s="24" t="s">
        <v>923</v>
      </c>
      <c r="D644" s="24"/>
      <c r="E644" s="15"/>
      <c r="F644" s="129"/>
      <c r="G644" s="140"/>
      <c r="H644" s="8"/>
      <c r="I644" s="9" t="str">
        <f t="array" ref="I644:L644">_xlfn.XLOOKUP(C644,'Neiva 2021 FASE I UNIFICADO'!$C$6:$C$540,'Neiva 2021 FASE I UNIFICADO'!$C$6:$F$540,"NO ESTA")</f>
        <v xml:space="preserve">SUMINISTRO E INSTALACION DE ELEMENTOS DE ADMINISTRACIÓN </v>
      </c>
      <c r="J644" s="9">
        <v>0</v>
      </c>
      <c r="K644" s="9">
        <v>0</v>
      </c>
      <c r="L644" s="9">
        <v>0</v>
      </c>
      <c r="M644" s="124">
        <f t="shared" si="73"/>
        <v>0</v>
      </c>
      <c r="N644" s="155">
        <f t="shared" si="70"/>
        <v>0</v>
      </c>
      <c r="O644" s="156">
        <f t="shared" si="71"/>
        <v>0</v>
      </c>
      <c r="P644" s="156">
        <f t="shared" si="72"/>
        <v>0</v>
      </c>
    </row>
    <row r="645" spans="2:16" s="9" customFormat="1" ht="35.1" customHeight="1" x14ac:dyDescent="0.25">
      <c r="B645" s="23" t="s">
        <v>924</v>
      </c>
      <c r="C645" s="22" t="s">
        <v>925</v>
      </c>
      <c r="D645" s="10" t="s">
        <v>16</v>
      </c>
      <c r="E645" s="12">
        <v>9</v>
      </c>
      <c r="F645" s="126">
        <v>268628</v>
      </c>
      <c r="G645" s="126">
        <f t="shared" ref="G645:G650" si="77">ROUND(+F645*E645,2)</f>
        <v>2417652</v>
      </c>
      <c r="H645" s="8"/>
      <c r="I645" s="9" t="str">
        <f t="array" ref="I645:L645">_xlfn.XLOOKUP(C645,'Neiva 2021 FASE I UNIFICADO'!$C$6:$C$540,'Neiva 2021 FASE I UNIFICADO'!$C$6:$F$540,"NO ESTA")</f>
        <v>SUMINISTRO E INSTALACION HERRAJE PATVH PANEL 24 Pts Cat. 6A BLINDADO</v>
      </c>
      <c r="J645" s="9" t="str">
        <v>UND</v>
      </c>
      <c r="K645" s="9">
        <v>4</v>
      </c>
      <c r="L645" s="9">
        <v>248614</v>
      </c>
      <c r="M645" s="124" t="str">
        <f t="shared" si="73"/>
        <v>FASE II</v>
      </c>
      <c r="N645" s="155">
        <f t="shared" si="70"/>
        <v>13</v>
      </c>
      <c r="O645" s="156">
        <f t="shared" si="71"/>
        <v>268628</v>
      </c>
      <c r="P645" s="156">
        <f t="shared" si="72"/>
        <v>3492164</v>
      </c>
    </row>
    <row r="646" spans="2:16" s="9" customFormat="1" ht="35.1" customHeight="1" x14ac:dyDescent="0.25">
      <c r="B646" s="23" t="s">
        <v>926</v>
      </c>
      <c r="C646" s="22" t="s">
        <v>927</v>
      </c>
      <c r="D646" s="10" t="s">
        <v>16</v>
      </c>
      <c r="E646" s="12">
        <v>172</v>
      </c>
      <c r="F646" s="126">
        <v>37595</v>
      </c>
      <c r="G646" s="126">
        <f t="shared" si="77"/>
        <v>6466340</v>
      </c>
      <c r="H646" s="8"/>
      <c r="I646" s="9" t="str">
        <f t="array" ref="I646:L646">_xlfn.XLOOKUP(C646,'Neiva 2021 FASE I UNIFICADO'!$C$6:$C$540,'Neiva 2021 FASE I UNIFICADO'!$C$6:$F$540,"NO ESTA")</f>
        <v>SUMINISTRO E INSTALACION TOMA SENCILLA RJ45 Cat. 6A AZUL DATOS BLINDADO INCLUYE MARQUILLAS</v>
      </c>
      <c r="J646" s="9" t="str">
        <v>UND</v>
      </c>
      <c r="K646" s="9">
        <v>64</v>
      </c>
      <c r="L646" s="9">
        <v>34794</v>
      </c>
      <c r="M646" s="124" t="str">
        <f t="shared" si="73"/>
        <v>FASE II</v>
      </c>
      <c r="N646" s="155">
        <f t="shared" ref="N646:N709" si="78">E646+K646</f>
        <v>236</v>
      </c>
      <c r="O646" s="156">
        <f t="shared" ref="O646:O709" si="79">MAX(L646,F646)</f>
        <v>37595</v>
      </c>
      <c r="P646" s="156">
        <f t="shared" ref="P646:P709" si="80">N646*O646</f>
        <v>8872420</v>
      </c>
    </row>
    <row r="647" spans="2:16" s="9" customFormat="1" ht="35.1" customHeight="1" x14ac:dyDescent="0.25">
      <c r="B647" s="23" t="s">
        <v>928</v>
      </c>
      <c r="C647" s="22" t="s">
        <v>929</v>
      </c>
      <c r="D647" s="10" t="s">
        <v>16</v>
      </c>
      <c r="E647" s="12">
        <v>38</v>
      </c>
      <c r="F647" s="126">
        <v>37595</v>
      </c>
      <c r="G647" s="126">
        <f t="shared" si="77"/>
        <v>1428610</v>
      </c>
      <c r="H647" s="8"/>
      <c r="I647" s="9" t="str">
        <f t="array" ref="I647:L647">_xlfn.XLOOKUP(C647,'Neiva 2021 FASE I UNIFICADO'!$C$6:$C$540,'Neiva 2021 FASE I UNIFICADO'!$C$6:$F$540,"NO ESTA")</f>
        <v>SUMINISTRO E INSTALACION TOMA SENCILLA RJ45 Cat. 6A ROJO VOZ BLINDADO INCLUYE MARQUILLAS</v>
      </c>
      <c r="J647" s="9" t="str">
        <v>UND</v>
      </c>
      <c r="K647" s="9">
        <v>14</v>
      </c>
      <c r="L647" s="9">
        <v>34794</v>
      </c>
      <c r="M647" s="124" t="str">
        <f t="shared" si="73"/>
        <v>FASE II</v>
      </c>
      <c r="N647" s="155">
        <f t="shared" si="78"/>
        <v>52</v>
      </c>
      <c r="O647" s="156">
        <f t="shared" si="79"/>
        <v>37595</v>
      </c>
      <c r="P647" s="156">
        <f t="shared" si="80"/>
        <v>1954940</v>
      </c>
    </row>
    <row r="648" spans="2:16" s="9" customFormat="1" ht="35.1" customHeight="1" x14ac:dyDescent="0.25">
      <c r="B648" s="23" t="s">
        <v>930</v>
      </c>
      <c r="C648" s="22" t="s">
        <v>931</v>
      </c>
      <c r="D648" s="10" t="s">
        <v>16</v>
      </c>
      <c r="E648" s="12">
        <v>172</v>
      </c>
      <c r="F648" s="126">
        <v>48221</v>
      </c>
      <c r="G648" s="126">
        <f t="shared" si="77"/>
        <v>8294012</v>
      </c>
      <c r="H648" s="8"/>
      <c r="I648" s="9" t="str">
        <f t="array" ref="I648:L648">_xlfn.XLOOKUP(C648,'Neiva 2021 FASE I UNIFICADO'!$C$6:$C$540,'Neiva 2021 FASE I UNIFICADO'!$C$6:$F$540,"NO ESTA")</f>
        <v>SUMINISTRO E INSTALACION PATCH CORD. RJ45-RJ45 3 m Cat. 6A DATOS BLINDADO</v>
      </c>
      <c r="J648" s="9" t="str">
        <v>UND</v>
      </c>
      <c r="K648" s="9">
        <v>64</v>
      </c>
      <c r="L648" s="9">
        <v>44628</v>
      </c>
      <c r="M648" s="124" t="str">
        <f t="shared" ref="M648:M711" si="81">IF(L648=0,0,(IF(F648&lt;L648, "FASE I","FASE II")))</f>
        <v>FASE II</v>
      </c>
      <c r="N648" s="155">
        <f t="shared" si="78"/>
        <v>236</v>
      </c>
      <c r="O648" s="156">
        <f t="shared" si="79"/>
        <v>48221</v>
      </c>
      <c r="P648" s="156">
        <f t="shared" si="80"/>
        <v>11380156</v>
      </c>
    </row>
    <row r="649" spans="2:16" s="9" customFormat="1" ht="35.1" customHeight="1" x14ac:dyDescent="0.25">
      <c r="B649" s="23" t="s">
        <v>932</v>
      </c>
      <c r="C649" s="22" t="s">
        <v>933</v>
      </c>
      <c r="D649" s="10" t="s">
        <v>16</v>
      </c>
      <c r="E649" s="12">
        <v>38</v>
      </c>
      <c r="F649" s="126">
        <v>48221</v>
      </c>
      <c r="G649" s="126">
        <f t="shared" si="77"/>
        <v>1832398</v>
      </c>
      <c r="H649" s="8"/>
      <c r="I649" s="9" t="str">
        <f t="array" ref="I649:L649">_xlfn.XLOOKUP(C649,'Neiva 2021 FASE I UNIFICADO'!$C$6:$C$540,'Neiva 2021 FASE I UNIFICADO'!$C$6:$F$540,"NO ESTA")</f>
        <v>SUMINISTRO E INSTALACION PATCH CORD. RJ45-RJ45 3 m Cat. 6A VOZ BLINDADO</v>
      </c>
      <c r="J649" s="9" t="str">
        <v>UND</v>
      </c>
      <c r="K649" s="9">
        <v>14</v>
      </c>
      <c r="L649" s="9">
        <v>44628</v>
      </c>
      <c r="M649" s="124" t="str">
        <f t="shared" si="81"/>
        <v>FASE II</v>
      </c>
      <c r="N649" s="155">
        <f t="shared" si="78"/>
        <v>52</v>
      </c>
      <c r="O649" s="156">
        <f t="shared" si="79"/>
        <v>48221</v>
      </c>
      <c r="P649" s="156">
        <f t="shared" si="80"/>
        <v>2507492</v>
      </c>
    </row>
    <row r="650" spans="2:16" s="9" customFormat="1" ht="35.1" customHeight="1" x14ac:dyDescent="0.25">
      <c r="B650" s="23" t="s">
        <v>934</v>
      </c>
      <c r="C650" s="22" t="s">
        <v>935</v>
      </c>
      <c r="D650" s="10" t="s">
        <v>16</v>
      </c>
      <c r="E650" s="12">
        <v>9</v>
      </c>
      <c r="F650" s="126">
        <v>250719</v>
      </c>
      <c r="G650" s="126">
        <f t="shared" si="77"/>
        <v>2256471</v>
      </c>
      <c r="H650" s="8"/>
      <c r="I650" s="9" t="str">
        <f t="array" ref="I650:L650">_xlfn.XLOOKUP(C650,'Neiva 2021 FASE I UNIFICADO'!$C$6:$C$540,'Neiva 2021 FASE I UNIFICADO'!$C$6:$F$540,"NO ESTA")</f>
        <v>SUMINISTRO E INSTALACION ORGANIZADOR HORIZONTAL 2U</v>
      </c>
      <c r="J650" s="9" t="str">
        <v>UND</v>
      </c>
      <c r="K650" s="9">
        <v>4</v>
      </c>
      <c r="L650" s="9">
        <v>232040</v>
      </c>
      <c r="M650" s="124" t="str">
        <f t="shared" si="81"/>
        <v>FASE II</v>
      </c>
      <c r="N650" s="155">
        <f t="shared" si="78"/>
        <v>13</v>
      </c>
      <c r="O650" s="156">
        <f t="shared" si="79"/>
        <v>250719</v>
      </c>
      <c r="P650" s="156">
        <f t="shared" si="80"/>
        <v>3259347</v>
      </c>
    </row>
    <row r="651" spans="2:16" s="9" customFormat="1" ht="35.1" customHeight="1" x14ac:dyDescent="0.25">
      <c r="B651" s="13" t="s">
        <v>936</v>
      </c>
      <c r="C651" s="14" t="s">
        <v>937</v>
      </c>
      <c r="D651" s="13"/>
      <c r="E651" s="15"/>
      <c r="F651" s="129"/>
      <c r="G651" s="140"/>
      <c r="H651" s="8"/>
      <c r="I651" s="9" t="str">
        <f t="array" ref="I651:L651">_xlfn.XLOOKUP(C651,'Neiva 2021 FASE I UNIFICADO'!$C$6:$C$540,'Neiva 2021 FASE I UNIFICADO'!$C$6:$F$540,"NO ESTA")</f>
        <v>SUMINISTRO E INSTALACIÓN INTEGRACIÓN TELEFÓNICA</v>
      </c>
      <c r="J651" s="9">
        <v>0</v>
      </c>
      <c r="K651" s="9">
        <v>0</v>
      </c>
      <c r="L651" s="9">
        <v>0</v>
      </c>
      <c r="M651" s="124">
        <f t="shared" si="81"/>
        <v>0</v>
      </c>
      <c r="N651" s="155">
        <f t="shared" si="78"/>
        <v>0</v>
      </c>
      <c r="O651" s="156">
        <f t="shared" si="79"/>
        <v>0</v>
      </c>
      <c r="P651" s="156">
        <f t="shared" si="80"/>
        <v>0</v>
      </c>
    </row>
    <row r="652" spans="2:16" s="9" customFormat="1" ht="35.1" customHeight="1" x14ac:dyDescent="0.25">
      <c r="B652" s="23" t="s">
        <v>938</v>
      </c>
      <c r="C652" s="22" t="s">
        <v>939</v>
      </c>
      <c r="D652" s="10" t="s">
        <v>16</v>
      </c>
      <c r="E652" s="12">
        <v>1</v>
      </c>
      <c r="F652" s="126">
        <v>581760</v>
      </c>
      <c r="G652" s="126">
        <f>ROUND(+F652*E652,2)</f>
        <v>581760</v>
      </c>
      <c r="H652" s="8"/>
      <c r="I652" s="9" t="str">
        <f t="array" ref="I652:L652">_xlfn.XLOOKUP(C652,'Neiva 2021 FASE I UNIFICADO'!$C$6:$C$540,'Neiva 2021 FASE I UNIFICADO'!$C$6:$F$540,"NO ESTA")</f>
        <v>SUMINISTRO E INSTALACION PATCH PANEL 24 Pts Cat. 5E BLINDADO PARA INTEGRACIÓN TELEFONICA</v>
      </c>
      <c r="J652" s="9" t="str">
        <v>UND</v>
      </c>
      <c r="K652" s="9">
        <v>1</v>
      </c>
      <c r="L652" s="9">
        <v>538416</v>
      </c>
      <c r="M652" s="124" t="str">
        <f t="shared" si="81"/>
        <v>FASE II</v>
      </c>
      <c r="N652" s="155">
        <f t="shared" si="78"/>
        <v>2</v>
      </c>
      <c r="O652" s="156">
        <f t="shared" si="79"/>
        <v>581760</v>
      </c>
      <c r="P652" s="156">
        <f t="shared" si="80"/>
        <v>1163520</v>
      </c>
    </row>
    <row r="653" spans="2:16" s="9" customFormat="1" ht="35.1" customHeight="1" x14ac:dyDescent="0.25">
      <c r="B653" s="23" t="s">
        <v>940</v>
      </c>
      <c r="C653" s="22" t="s">
        <v>941</v>
      </c>
      <c r="D653" s="10" t="s">
        <v>16</v>
      </c>
      <c r="E653" s="12">
        <v>38</v>
      </c>
      <c r="F653" s="126">
        <v>35336</v>
      </c>
      <c r="G653" s="126">
        <f>ROUND(+F653*E653,2)</f>
        <v>1342768</v>
      </c>
      <c r="H653" s="8"/>
      <c r="I653" s="9" t="str">
        <f t="array" ref="I653:L653">_xlfn.XLOOKUP(C653,'Neiva 2021 FASE I UNIFICADO'!$C$6:$C$540,'Neiva 2021 FASE I UNIFICADO'!$C$6:$F$540,"NO ESTA")</f>
        <v>SUMINISTRO E INSTALACION PATCH CORD RJ45-RJ45 1m Cat 5E INTEGRACIÓN TELEFÓNICA INCLUYE MARQUILLAS</v>
      </c>
      <c r="J653" s="9" t="str">
        <v>UND</v>
      </c>
      <c r="K653" s="9">
        <v>14</v>
      </c>
      <c r="L653" s="9">
        <v>32703</v>
      </c>
      <c r="M653" s="124" t="str">
        <f t="shared" si="81"/>
        <v>FASE II</v>
      </c>
      <c r="N653" s="155">
        <f t="shared" si="78"/>
        <v>52</v>
      </c>
      <c r="O653" s="156">
        <f t="shared" si="79"/>
        <v>35336</v>
      </c>
      <c r="P653" s="156">
        <f t="shared" si="80"/>
        <v>1837472</v>
      </c>
    </row>
    <row r="654" spans="2:16" s="9" customFormat="1" ht="35.1" customHeight="1" x14ac:dyDescent="0.25">
      <c r="B654" s="23" t="s">
        <v>942</v>
      </c>
      <c r="C654" s="22" t="s">
        <v>935</v>
      </c>
      <c r="D654" s="10" t="s">
        <v>16</v>
      </c>
      <c r="E654" s="12">
        <v>1</v>
      </c>
      <c r="F654" s="126">
        <v>250719</v>
      </c>
      <c r="G654" s="126">
        <f>ROUND(+F654*E654,2)</f>
        <v>250719</v>
      </c>
      <c r="H654" s="8"/>
      <c r="I654" s="9" t="str">
        <f t="array" ref="I654:L654">_xlfn.XLOOKUP(C654,'Neiva 2021 FASE I UNIFICADO'!$C$6:$C$540,'Neiva 2021 FASE I UNIFICADO'!$C$6:$F$540,"NO ESTA")</f>
        <v>SUMINISTRO E INSTALACION ORGANIZADOR HORIZONTAL 2U</v>
      </c>
      <c r="J654" s="9" t="str">
        <v>UND</v>
      </c>
      <c r="K654" s="9">
        <v>4</v>
      </c>
      <c r="L654" s="9">
        <v>232040</v>
      </c>
      <c r="M654" s="124" t="str">
        <f t="shared" si="81"/>
        <v>FASE II</v>
      </c>
      <c r="N654" s="155">
        <f t="shared" si="78"/>
        <v>5</v>
      </c>
      <c r="O654" s="156">
        <f t="shared" si="79"/>
        <v>250719</v>
      </c>
      <c r="P654" s="156">
        <f t="shared" si="80"/>
        <v>1253595</v>
      </c>
    </row>
    <row r="655" spans="2:16" s="9" customFormat="1" ht="35.1" customHeight="1" x14ac:dyDescent="0.25">
      <c r="B655" s="13" t="s">
        <v>943</v>
      </c>
      <c r="C655" s="14" t="s">
        <v>944</v>
      </c>
      <c r="D655" s="27"/>
      <c r="E655" s="15"/>
      <c r="F655" s="129"/>
      <c r="G655" s="140"/>
      <c r="H655" s="8"/>
      <c r="I655" s="9" t="str">
        <f t="array" ref="I655:L655">_xlfn.XLOOKUP(C655,'Neiva 2021 FASE I UNIFICADO'!$C$6:$C$540,'Neiva 2021 FASE I UNIFICADO'!$C$6:$F$540,"NO ESTA")</f>
        <v>SUMINISTRO E INSTALACIÓN DE BACKBONE</v>
      </c>
      <c r="J655" s="9">
        <v>0</v>
      </c>
      <c r="K655" s="9">
        <v>0</v>
      </c>
      <c r="L655" s="9">
        <v>0</v>
      </c>
      <c r="M655" s="124">
        <f t="shared" si="81"/>
        <v>0</v>
      </c>
      <c r="N655" s="155">
        <f t="shared" si="78"/>
        <v>0</v>
      </c>
      <c r="O655" s="156">
        <f t="shared" si="79"/>
        <v>0</v>
      </c>
      <c r="P655" s="156">
        <f t="shared" si="80"/>
        <v>0</v>
      </c>
    </row>
    <row r="656" spans="2:16" s="9" customFormat="1" ht="35.1" customHeight="1" x14ac:dyDescent="0.25">
      <c r="B656" s="23" t="s">
        <v>945</v>
      </c>
      <c r="C656" s="22" t="s">
        <v>946</v>
      </c>
      <c r="D656" s="10" t="s">
        <v>94</v>
      </c>
      <c r="E656" s="12">
        <v>32</v>
      </c>
      <c r="F656" s="126">
        <v>19602</v>
      </c>
      <c r="G656" s="126">
        <f>ROUND(+F656*E656,2)</f>
        <v>627264</v>
      </c>
      <c r="H656" s="8"/>
      <c r="I656" s="9" t="str">
        <f t="array" ref="I656:L656">_xlfn.XLOOKUP(C656,'Neiva 2021 FASE I UNIFICADO'!$C$6:$C$540,'Neiva 2021 FASE I UNIFICADO'!$C$6:$F$540,"NO ESTA")</f>
        <v>SUMINISTRO E INSTALACION FIBRA OPTICA 6 HILOS MULTIMODO 50/125 u.</v>
      </c>
      <c r="J656" s="9" t="str">
        <v>ML</v>
      </c>
      <c r="K656" s="9">
        <v>12</v>
      </c>
      <c r="L656" s="9">
        <v>18142</v>
      </c>
      <c r="M656" s="124" t="str">
        <f t="shared" si="81"/>
        <v>FASE II</v>
      </c>
      <c r="N656" s="155">
        <f t="shared" si="78"/>
        <v>44</v>
      </c>
      <c r="O656" s="156">
        <f t="shared" si="79"/>
        <v>19602</v>
      </c>
      <c r="P656" s="156">
        <f t="shared" si="80"/>
        <v>862488</v>
      </c>
    </row>
    <row r="657" spans="2:16" s="9" customFormat="1" ht="35.1" customHeight="1" x14ac:dyDescent="0.25">
      <c r="B657" s="23" t="s">
        <v>947</v>
      </c>
      <c r="C657" s="22" t="s">
        <v>948</v>
      </c>
      <c r="D657" s="10" t="s">
        <v>16</v>
      </c>
      <c r="E657" s="12">
        <v>2</v>
      </c>
      <c r="F657" s="126">
        <v>706677</v>
      </c>
      <c r="G657" s="126">
        <f>ROUND(+F657*E657,2)</f>
        <v>1413354</v>
      </c>
      <c r="H657" s="8"/>
      <c r="I657" s="9" t="str">
        <f t="array" ref="I657:L657">_xlfn.XLOOKUP(C657,'Neiva 2021 FASE I UNIFICADO'!$C$6:$C$540,'Neiva 2021 FASE I UNIFICADO'!$C$6:$F$540,"NO ESTA")</f>
        <v>SUMINISTRO E INSTALACION BANDEJA DE FIBRA OPTICA DE 24 PUERTOS</v>
      </c>
      <c r="J657" s="9" t="str">
        <v>UND</v>
      </c>
      <c r="K657" s="9">
        <v>2</v>
      </c>
      <c r="L657" s="9">
        <v>654027</v>
      </c>
      <c r="M657" s="124" t="str">
        <f t="shared" si="81"/>
        <v>FASE II</v>
      </c>
      <c r="N657" s="155">
        <f t="shared" si="78"/>
        <v>4</v>
      </c>
      <c r="O657" s="156">
        <f t="shared" si="79"/>
        <v>706677</v>
      </c>
      <c r="P657" s="156">
        <f t="shared" si="80"/>
        <v>2826708</v>
      </c>
    </row>
    <row r="658" spans="2:16" s="9" customFormat="1" ht="35.1" customHeight="1" x14ac:dyDescent="0.25">
      <c r="B658" s="23" t="s">
        <v>949</v>
      </c>
      <c r="C658" s="22" t="s">
        <v>950</v>
      </c>
      <c r="D658" s="10" t="s">
        <v>16</v>
      </c>
      <c r="E658" s="12">
        <v>2</v>
      </c>
      <c r="F658" s="126">
        <v>250719</v>
      </c>
      <c r="G658" s="126">
        <f>ROUND(+F658*E658,2)</f>
        <v>501438</v>
      </c>
      <c r="H658" s="8"/>
      <c r="I658" s="9" t="str">
        <f t="array" ref="I658:L658">_xlfn.XLOOKUP(C658,'Neiva 2021 FASE I UNIFICADO'!$C$6:$C$540,'Neiva 2021 FASE I UNIFICADO'!$C$6:$F$540,"NO ESTA")</f>
        <v>SUMINISTRO E INSTALACION ORGANIZADOR HORIZONTAL 1U</v>
      </c>
      <c r="J658" s="9" t="str">
        <v>UND</v>
      </c>
      <c r="K658" s="9">
        <v>2</v>
      </c>
      <c r="L658" s="9">
        <v>232040</v>
      </c>
      <c r="M658" s="124" t="str">
        <f t="shared" si="81"/>
        <v>FASE II</v>
      </c>
      <c r="N658" s="155">
        <f t="shared" si="78"/>
        <v>4</v>
      </c>
      <c r="O658" s="156">
        <f t="shared" si="79"/>
        <v>250719</v>
      </c>
      <c r="P658" s="156">
        <f t="shared" si="80"/>
        <v>1002876</v>
      </c>
    </row>
    <row r="659" spans="2:16" s="9" customFormat="1" ht="35.1" customHeight="1" x14ac:dyDescent="0.25">
      <c r="B659" s="13" t="s">
        <v>951</v>
      </c>
      <c r="C659" s="14" t="s">
        <v>952</v>
      </c>
      <c r="D659" s="27"/>
      <c r="E659" s="15"/>
      <c r="F659" s="129"/>
      <c r="G659" s="140"/>
      <c r="H659" s="8"/>
      <c r="I659" s="9" t="str">
        <f t="array" ref="I659:L659">_xlfn.XLOOKUP(C659,'Neiva 2021 FASE I UNIFICADO'!$C$6:$C$540,'Neiva 2021 FASE I UNIFICADO'!$C$6:$F$540,"NO ESTA")</f>
        <v xml:space="preserve">SUMINISTRO E INSTALACIÓN DE OTROS </v>
      </c>
      <c r="J659" s="9">
        <v>0</v>
      </c>
      <c r="K659" s="9">
        <v>0</v>
      </c>
      <c r="L659" s="9">
        <v>0</v>
      </c>
      <c r="M659" s="124">
        <f t="shared" si="81"/>
        <v>0</v>
      </c>
      <c r="N659" s="155">
        <f t="shared" si="78"/>
        <v>0</v>
      </c>
      <c r="O659" s="156">
        <f t="shared" si="79"/>
        <v>0</v>
      </c>
      <c r="P659" s="156">
        <f t="shared" si="80"/>
        <v>0</v>
      </c>
    </row>
    <row r="660" spans="2:16" s="9" customFormat="1" ht="35.1" customHeight="1" x14ac:dyDescent="0.25">
      <c r="B660" s="23" t="s">
        <v>953</v>
      </c>
      <c r="C660" s="22" t="s">
        <v>954</v>
      </c>
      <c r="D660" s="10" t="s">
        <v>16</v>
      </c>
      <c r="E660" s="12">
        <v>3</v>
      </c>
      <c r="F660" s="126">
        <v>4504726</v>
      </c>
      <c r="G660" s="126">
        <f t="shared" ref="G660:G671" si="82">ROUND(+F660*E660,2)</f>
        <v>13514178</v>
      </c>
      <c r="H660" s="8"/>
      <c r="I660" s="9" t="str">
        <f t="array" ref="I660:L660">_xlfn.XLOOKUP(C660,'Neiva 2021 FASE I UNIFICADO'!$C$6:$C$540,'Neiva 2021 FASE I UNIFICADO'!$C$6:$F$540,"NO ESTA")</f>
        <v>SUMINISTRO E INSTALACION GABINETE 2,10 m ALTO X 0,71 m PROFUNDO Y 0,81 m DE ANCHO</v>
      </c>
      <c r="J660" s="9" t="str">
        <v>UND</v>
      </c>
      <c r="K660" s="9">
        <v>1</v>
      </c>
      <c r="L660" s="9">
        <v>4169101</v>
      </c>
      <c r="M660" s="124" t="str">
        <f t="shared" si="81"/>
        <v>FASE II</v>
      </c>
      <c r="N660" s="155">
        <f t="shared" si="78"/>
        <v>4</v>
      </c>
      <c r="O660" s="156">
        <f t="shared" si="79"/>
        <v>4504726</v>
      </c>
      <c r="P660" s="156">
        <f t="shared" si="80"/>
        <v>18018904</v>
      </c>
    </row>
    <row r="661" spans="2:16" s="9" customFormat="1" ht="35.1" customHeight="1" x14ac:dyDescent="0.25">
      <c r="B661" s="23" t="s">
        <v>955</v>
      </c>
      <c r="C661" s="22" t="s">
        <v>956</v>
      </c>
      <c r="D661" s="10" t="s">
        <v>16</v>
      </c>
      <c r="E661" s="12">
        <v>6</v>
      </c>
      <c r="F661" s="126">
        <v>578906</v>
      </c>
      <c r="G661" s="126">
        <f t="shared" si="82"/>
        <v>3473436</v>
      </c>
      <c r="H661" s="8"/>
      <c r="I661" s="9" t="str">
        <f t="array" ref="I661:L661">_xlfn.XLOOKUP(C661,'Neiva 2021 FASE I UNIFICADO'!$C$6:$C$540,'Neiva 2021 FASE I UNIFICADO'!$C$6:$F$540,"NO ESTA")</f>
        <v>SUMINISTRO E INSTALACION ORGANIZADOR VERTICAL</v>
      </c>
      <c r="J661" s="9" t="str">
        <v>UND</v>
      </c>
      <c r="K661" s="9">
        <v>2</v>
      </c>
      <c r="L661" s="9">
        <v>535775</v>
      </c>
      <c r="M661" s="124" t="str">
        <f t="shared" si="81"/>
        <v>FASE II</v>
      </c>
      <c r="N661" s="155">
        <f t="shared" si="78"/>
        <v>8</v>
      </c>
      <c r="O661" s="156">
        <f t="shared" si="79"/>
        <v>578906</v>
      </c>
      <c r="P661" s="156">
        <f t="shared" si="80"/>
        <v>4631248</v>
      </c>
    </row>
    <row r="662" spans="2:16" s="9" customFormat="1" ht="35.1" customHeight="1" x14ac:dyDescent="0.25">
      <c r="B662" s="23" t="s">
        <v>957</v>
      </c>
      <c r="C662" s="22" t="s">
        <v>958</v>
      </c>
      <c r="D662" s="10" t="s">
        <v>16</v>
      </c>
      <c r="E662" s="12">
        <v>3</v>
      </c>
      <c r="F662" s="126">
        <v>501331</v>
      </c>
      <c r="G662" s="126">
        <f t="shared" si="82"/>
        <v>1503993</v>
      </c>
      <c r="H662" s="8"/>
      <c r="I662" s="9" t="str">
        <f t="array" ref="I662:L662">_xlfn.XLOOKUP(C662,'Neiva 2021 FASE I UNIFICADO'!$C$6:$C$540,'Neiva 2021 FASE I UNIFICADO'!$C$6:$F$540,"NO ESTA")</f>
        <v>SUMINISTRO E INSTALACION MULTITOMA CON 5 SALIDAS ELECTRICAS GRADO HOSPITALARIO</v>
      </c>
      <c r="J662" s="9" t="str">
        <v>UND</v>
      </c>
      <c r="K662" s="9">
        <v>1</v>
      </c>
      <c r="L662" s="9">
        <v>463979</v>
      </c>
      <c r="M662" s="124" t="str">
        <f t="shared" si="81"/>
        <v>FASE II</v>
      </c>
      <c r="N662" s="155">
        <f t="shared" si="78"/>
        <v>4</v>
      </c>
      <c r="O662" s="156">
        <f t="shared" si="79"/>
        <v>501331</v>
      </c>
      <c r="P662" s="156">
        <f t="shared" si="80"/>
        <v>2005324</v>
      </c>
    </row>
    <row r="663" spans="2:16" s="9" customFormat="1" ht="35.1" customHeight="1" x14ac:dyDescent="0.25">
      <c r="B663" s="23" t="s">
        <v>959</v>
      </c>
      <c r="C663" s="22" t="s">
        <v>960</v>
      </c>
      <c r="D663" s="10" t="s">
        <v>94</v>
      </c>
      <c r="E663" s="12">
        <v>29</v>
      </c>
      <c r="F663" s="126">
        <v>4631</v>
      </c>
      <c r="G663" s="126">
        <f t="shared" si="82"/>
        <v>134299</v>
      </c>
      <c r="H663" s="8"/>
      <c r="I663" s="9" t="str">
        <f t="array" ref="I663:L663">_xlfn.XLOOKUP(C663,'Neiva 2021 FASE I UNIFICADO'!$C$6:$C$540,'Neiva 2021 FASE I UNIFICADO'!$C$6:$F$540,"NO ESTA")</f>
        <v>SUMINISTRO E INSTALACION CABLE THHN No. 6 AWG VERDE. PARA ATERRIZAJE DE ELEMENTOS Y GABINATE</v>
      </c>
      <c r="J663" s="9" t="str">
        <v>ML</v>
      </c>
      <c r="K663" s="9">
        <v>11</v>
      </c>
      <c r="L663" s="9">
        <v>4287</v>
      </c>
      <c r="M663" s="124" t="str">
        <f t="shared" si="81"/>
        <v>FASE II</v>
      </c>
      <c r="N663" s="155">
        <f t="shared" si="78"/>
        <v>40</v>
      </c>
      <c r="O663" s="156">
        <f t="shared" si="79"/>
        <v>4631</v>
      </c>
      <c r="P663" s="156">
        <f t="shared" si="80"/>
        <v>185240</v>
      </c>
    </row>
    <row r="664" spans="2:16" s="9" customFormat="1" ht="35.1" customHeight="1" x14ac:dyDescent="0.25">
      <c r="B664" s="23" t="s">
        <v>961</v>
      </c>
      <c r="C664" s="22" t="s">
        <v>962</v>
      </c>
      <c r="D664" s="23" t="s">
        <v>94</v>
      </c>
      <c r="E664" s="12">
        <v>316</v>
      </c>
      <c r="F664" s="126">
        <v>154235</v>
      </c>
      <c r="G664" s="126">
        <f t="shared" si="82"/>
        <v>48738260</v>
      </c>
      <c r="H664" s="8"/>
      <c r="I664" s="9" t="str">
        <f t="array" ref="I664:L664">_xlfn.XLOOKUP(C664,'Neiva 2021 FASE I UNIFICADO'!$C$6:$C$540,'Neiva 2021 FASE I UNIFICADO'!$C$6:$F$540,"NO ESTA")</f>
        <v>SUMINISTRO E INSTALACION BANDEJA TIPO MALLA DE 40 x 8 cm CON ACCESORIOS</v>
      </c>
      <c r="J664" s="9" t="str">
        <v>ML</v>
      </c>
      <c r="K664" s="9">
        <v>230</v>
      </c>
      <c r="L664" s="9">
        <v>142744</v>
      </c>
      <c r="M664" s="124" t="str">
        <f t="shared" si="81"/>
        <v>FASE II</v>
      </c>
      <c r="N664" s="155">
        <f t="shared" si="78"/>
        <v>546</v>
      </c>
      <c r="O664" s="156">
        <f t="shared" si="79"/>
        <v>154235</v>
      </c>
      <c r="P664" s="156">
        <f t="shared" si="80"/>
        <v>84212310</v>
      </c>
    </row>
    <row r="665" spans="2:16" s="9" customFormat="1" ht="35.1" customHeight="1" x14ac:dyDescent="0.25">
      <c r="B665" s="23" t="s">
        <v>963</v>
      </c>
      <c r="C665" s="22" t="s">
        <v>964</v>
      </c>
      <c r="D665" s="10" t="s">
        <v>94</v>
      </c>
      <c r="E665" s="12">
        <v>245</v>
      </c>
      <c r="F665" s="126">
        <v>36543</v>
      </c>
      <c r="G665" s="126">
        <f t="shared" si="82"/>
        <v>8953035</v>
      </c>
      <c r="H665" s="8"/>
      <c r="I665" s="9" t="str">
        <f t="array" ref="I665:L665">_xlfn.XLOOKUP(C665,'Neiva 2021 FASE I UNIFICADO'!$C$6:$C$540,'Neiva 2021 FASE I UNIFICADO'!$C$6:$F$540,"NO ESTA")</f>
        <v>SUMINISTRO E INSTALACION CANALETA METÁLICA DE 12 x 5 cm.</v>
      </c>
      <c r="J665" s="9" t="str">
        <v>ML</v>
      </c>
      <c r="K665" s="9">
        <v>91</v>
      </c>
      <c r="L665" s="9">
        <v>33821</v>
      </c>
      <c r="M665" s="124" t="str">
        <f t="shared" si="81"/>
        <v>FASE II</v>
      </c>
      <c r="N665" s="155">
        <f t="shared" si="78"/>
        <v>336</v>
      </c>
      <c r="O665" s="156">
        <f t="shared" si="79"/>
        <v>36543</v>
      </c>
      <c r="P665" s="156">
        <f t="shared" si="80"/>
        <v>12278448</v>
      </c>
    </row>
    <row r="666" spans="2:16" s="9" customFormat="1" ht="35.1" customHeight="1" x14ac:dyDescent="0.25">
      <c r="B666" s="23" t="s">
        <v>965</v>
      </c>
      <c r="C666" s="22" t="s">
        <v>966</v>
      </c>
      <c r="D666" s="10" t="s">
        <v>94</v>
      </c>
      <c r="E666" s="12">
        <v>64</v>
      </c>
      <c r="F666" s="126">
        <v>20181</v>
      </c>
      <c r="G666" s="126">
        <f t="shared" si="82"/>
        <v>1291584</v>
      </c>
      <c r="H666" s="8"/>
      <c r="I666" s="9" t="str">
        <f t="array" ref="I666:L666">_xlfn.XLOOKUP(C666,'Neiva 2021 FASE I UNIFICADO'!$C$6:$C$540,'Neiva 2021 FASE I UNIFICADO'!$C$6:$F$540,"NO ESTA")</f>
        <v>SUMINISTRO E INSTALACION TUBERÍA EMT DE 1" INCLUYE ACCESORIOS</v>
      </c>
      <c r="J666" s="9" t="str">
        <v>ML</v>
      </c>
      <c r="K666" s="9">
        <v>23</v>
      </c>
      <c r="L666" s="9">
        <v>18678</v>
      </c>
      <c r="M666" s="124" t="str">
        <f t="shared" si="81"/>
        <v>FASE II</v>
      </c>
      <c r="N666" s="155">
        <f t="shared" si="78"/>
        <v>87</v>
      </c>
      <c r="O666" s="156">
        <f t="shared" si="79"/>
        <v>20181</v>
      </c>
      <c r="P666" s="156">
        <f t="shared" si="80"/>
        <v>1755747</v>
      </c>
    </row>
    <row r="667" spans="2:16" s="9" customFormat="1" ht="35.1" customHeight="1" x14ac:dyDescent="0.25">
      <c r="B667" s="23" t="s">
        <v>967</v>
      </c>
      <c r="C667" s="22" t="s">
        <v>968</v>
      </c>
      <c r="D667" s="10" t="s">
        <v>94</v>
      </c>
      <c r="E667" s="12">
        <v>166</v>
      </c>
      <c r="F667" s="126">
        <v>16039</v>
      </c>
      <c r="G667" s="126">
        <f t="shared" si="82"/>
        <v>2662474</v>
      </c>
      <c r="H667" s="8"/>
      <c r="I667" s="9" t="str">
        <f t="array" ref="I667:L667">_xlfn.XLOOKUP(C667,'Neiva 2021 FASE I UNIFICADO'!$C$6:$C$540,'Neiva 2021 FASE I UNIFICADO'!$C$6:$F$540,"NO ESTA")</f>
        <v>SUMINISTRO E INSTALACION TUBERÍA EMT DE 3/4" INCLUYE ACCESORIOS</v>
      </c>
      <c r="J667" s="9" t="str">
        <v>ML</v>
      </c>
      <c r="K667" s="9">
        <v>61</v>
      </c>
      <c r="L667" s="9">
        <v>14844</v>
      </c>
      <c r="M667" s="124" t="str">
        <f t="shared" si="81"/>
        <v>FASE II</v>
      </c>
      <c r="N667" s="155">
        <f t="shared" si="78"/>
        <v>227</v>
      </c>
      <c r="O667" s="156">
        <f t="shared" si="79"/>
        <v>16039</v>
      </c>
      <c r="P667" s="156">
        <f t="shared" si="80"/>
        <v>3640853</v>
      </c>
    </row>
    <row r="668" spans="2:16" s="9" customFormat="1" ht="35.1" customHeight="1" x14ac:dyDescent="0.25">
      <c r="B668" s="23" t="s">
        <v>969</v>
      </c>
      <c r="C668" s="22" t="s">
        <v>970</v>
      </c>
      <c r="D668" s="10" t="s">
        <v>94</v>
      </c>
      <c r="E668" s="12">
        <v>22</v>
      </c>
      <c r="F668" s="126">
        <v>5910</v>
      </c>
      <c r="G668" s="126">
        <f t="shared" si="82"/>
        <v>130020</v>
      </c>
      <c r="H668" s="8"/>
      <c r="I668" s="9" t="str">
        <f t="array" ref="I668:L668">_xlfn.XLOOKUP(C668,'Neiva 2021 FASE I UNIFICADO'!$C$6:$C$540,'Neiva 2021 FASE I UNIFICADO'!$C$6:$F$540,"NO ESTA")</f>
        <v>SUMINISTRO E INSTALACION TUBERÍA PVC DE 1" INCLUYE ACCESORIOS</v>
      </c>
      <c r="J668" s="9" t="str">
        <v>ML</v>
      </c>
      <c r="K668" s="9">
        <v>8</v>
      </c>
      <c r="L668" s="9">
        <v>5469</v>
      </c>
      <c r="M668" s="124" t="str">
        <f t="shared" si="81"/>
        <v>FASE II</v>
      </c>
      <c r="N668" s="155">
        <f t="shared" si="78"/>
        <v>30</v>
      </c>
      <c r="O668" s="156">
        <f t="shared" si="79"/>
        <v>5910</v>
      </c>
      <c r="P668" s="156">
        <f t="shared" si="80"/>
        <v>177300</v>
      </c>
    </row>
    <row r="669" spans="2:16" s="9" customFormat="1" ht="35.1" customHeight="1" x14ac:dyDescent="0.25">
      <c r="B669" s="23" t="s">
        <v>971</v>
      </c>
      <c r="C669" s="22" t="s">
        <v>972</v>
      </c>
      <c r="D669" s="10" t="s">
        <v>94</v>
      </c>
      <c r="E669" s="12">
        <v>84</v>
      </c>
      <c r="F669" s="126">
        <v>4755</v>
      </c>
      <c r="G669" s="126">
        <f t="shared" si="82"/>
        <v>399420</v>
      </c>
      <c r="H669" s="8"/>
      <c r="I669" s="9" t="str">
        <f t="array" ref="I669:L669">_xlfn.XLOOKUP(C669,'Neiva 2021 FASE I UNIFICADO'!$C$6:$C$540,'Neiva 2021 FASE I UNIFICADO'!$C$6:$F$540,"NO ESTA")</f>
        <v>SUMINISTRO E INSTALACION TUBERÍA PVC DE 3/4" INCLUYE ACCESORIOS</v>
      </c>
      <c r="J669" s="9" t="str">
        <v>ML</v>
      </c>
      <c r="K669" s="9">
        <v>31</v>
      </c>
      <c r="L669" s="9">
        <v>4400</v>
      </c>
      <c r="M669" s="124" t="str">
        <f t="shared" si="81"/>
        <v>FASE II</v>
      </c>
      <c r="N669" s="155">
        <f t="shared" si="78"/>
        <v>115</v>
      </c>
      <c r="O669" s="156">
        <f t="shared" si="79"/>
        <v>4755</v>
      </c>
      <c r="P669" s="156">
        <f t="shared" si="80"/>
        <v>546825</v>
      </c>
    </row>
    <row r="670" spans="2:16" s="9" customFormat="1" ht="35.1" customHeight="1" x14ac:dyDescent="0.25">
      <c r="B670" s="23" t="s">
        <v>973</v>
      </c>
      <c r="C670" s="22" t="s">
        <v>974</v>
      </c>
      <c r="D670" s="10" t="s">
        <v>16</v>
      </c>
      <c r="E670" s="12">
        <v>2</v>
      </c>
      <c r="F670" s="126">
        <v>771142</v>
      </c>
      <c r="G670" s="126">
        <f t="shared" si="82"/>
        <v>1542284</v>
      </c>
      <c r="H670" s="8"/>
      <c r="I670" s="9" t="str">
        <f t="array" ref="I670:L670">_xlfn.XLOOKUP(C670,'Neiva 2021 FASE I UNIFICADO'!$C$6:$C$540,'Neiva 2021 FASE I UNIFICADO'!$C$6:$F$540,"NO ESTA")</f>
        <v>SUMINISTRO E INSTALACION PARRILLA ORGANIZADORA DE CABLES DE 1,20 x 0,6 m</v>
      </c>
      <c r="J670" s="9" t="str">
        <v>UND</v>
      </c>
      <c r="K670" s="9">
        <v>4</v>
      </c>
      <c r="L670" s="9">
        <v>713688</v>
      </c>
      <c r="M670" s="124" t="str">
        <f t="shared" si="81"/>
        <v>FASE II</v>
      </c>
      <c r="N670" s="155">
        <f t="shared" si="78"/>
        <v>6</v>
      </c>
      <c r="O670" s="156">
        <f t="shared" si="79"/>
        <v>771142</v>
      </c>
      <c r="P670" s="156">
        <f t="shared" si="80"/>
        <v>4626852</v>
      </c>
    </row>
    <row r="671" spans="2:16" s="9" customFormat="1" ht="35.1" customHeight="1" x14ac:dyDescent="0.25">
      <c r="B671" s="23" t="s">
        <v>975</v>
      </c>
      <c r="C671" s="22" t="s">
        <v>976</v>
      </c>
      <c r="D671" s="10" t="s">
        <v>16</v>
      </c>
      <c r="E671" s="12">
        <v>4</v>
      </c>
      <c r="F671" s="126">
        <v>12928</v>
      </c>
      <c r="G671" s="126">
        <f t="shared" si="82"/>
        <v>51712</v>
      </c>
      <c r="H671" s="8"/>
      <c r="I671" s="9" t="str">
        <f t="array" ref="I671:L671">_xlfn.XLOOKUP(C671,'Neiva 2021 FASE I UNIFICADO'!$C$6:$C$540,'Neiva 2021 FASE I UNIFICADO'!$C$6:$F$540,"NO ESTA")</f>
        <v>SUMINISTRO E INSTALACION CAJA DE PASO 10 x 10 m DOBLE FONDO</v>
      </c>
      <c r="J671" s="9" t="str">
        <v>UND</v>
      </c>
      <c r="K671" s="9">
        <v>4</v>
      </c>
      <c r="L671" s="9">
        <v>11964</v>
      </c>
      <c r="M671" s="124" t="str">
        <f t="shared" si="81"/>
        <v>FASE II</v>
      </c>
      <c r="N671" s="155">
        <f t="shared" si="78"/>
        <v>8</v>
      </c>
      <c r="O671" s="156">
        <f t="shared" si="79"/>
        <v>12928</v>
      </c>
      <c r="P671" s="156">
        <f t="shared" si="80"/>
        <v>103424</v>
      </c>
    </row>
    <row r="672" spans="2:16" s="9" customFormat="1" ht="35.1" customHeight="1" x14ac:dyDescent="0.25">
      <c r="B672" s="13" t="s">
        <v>977</v>
      </c>
      <c r="C672" s="24" t="s">
        <v>978</v>
      </c>
      <c r="D672" s="24"/>
      <c r="E672" s="15"/>
      <c r="F672" s="129"/>
      <c r="G672" s="140"/>
      <c r="H672" s="8"/>
      <c r="I672" s="9" t="str">
        <f t="array" ref="I672:L672">_xlfn.XLOOKUP(C672,'Neiva 2021 FASE I UNIFICADO'!$C$6:$C$540,'Neiva 2021 FASE I UNIFICADO'!$C$6:$F$540,"NO ESTA")</f>
        <v xml:space="preserve">SUMINISTRO E INSTALACIÓN DE REDES ELECTRICAS ESPECIALES </v>
      </c>
      <c r="J672" s="9">
        <v>0</v>
      </c>
      <c r="K672" s="9">
        <v>0</v>
      </c>
      <c r="L672" s="9">
        <v>0</v>
      </c>
      <c r="M672" s="124">
        <f t="shared" si="81"/>
        <v>0</v>
      </c>
      <c r="N672" s="155">
        <f t="shared" si="78"/>
        <v>0</v>
      </c>
      <c r="O672" s="156">
        <f t="shared" si="79"/>
        <v>0</v>
      </c>
      <c r="P672" s="156">
        <f t="shared" si="80"/>
        <v>0</v>
      </c>
    </row>
    <row r="673" spans="2:16" s="9" customFormat="1" ht="35.1" customHeight="1" x14ac:dyDescent="0.25">
      <c r="B673" s="23" t="s">
        <v>979</v>
      </c>
      <c r="C673" s="22" t="s">
        <v>980</v>
      </c>
      <c r="D673" s="10" t="s">
        <v>16</v>
      </c>
      <c r="E673" s="12">
        <v>2</v>
      </c>
      <c r="F673" s="126">
        <v>64235</v>
      </c>
      <c r="G673" s="126">
        <f>ROUND(+F673*E673,2)</f>
        <v>128470</v>
      </c>
      <c r="H673" s="8"/>
      <c r="I673" s="9" t="str">
        <f t="array" ref="I673:L673">_xlfn.XLOOKUP(C673,'Neiva 2021 FASE I UNIFICADO'!$C$6:$C$540,'Neiva 2021 FASE I UNIFICADO'!$C$6:$F$540,"NO ESTA")</f>
        <v>SUMINISTRO E INSTALACION SALIDA TOMA NEMA L5-30 RAWELT</v>
      </c>
      <c r="J673" s="9" t="str">
        <v>UND</v>
      </c>
      <c r="K673" s="9">
        <v>2</v>
      </c>
      <c r="L673" s="9">
        <v>59449</v>
      </c>
      <c r="M673" s="124" t="str">
        <f t="shared" si="81"/>
        <v>FASE II</v>
      </c>
      <c r="N673" s="155">
        <f t="shared" si="78"/>
        <v>4</v>
      </c>
      <c r="O673" s="156">
        <f t="shared" si="79"/>
        <v>64235</v>
      </c>
      <c r="P673" s="156">
        <f t="shared" si="80"/>
        <v>256940</v>
      </c>
    </row>
    <row r="674" spans="2:16" s="9" customFormat="1" ht="35.1" customHeight="1" x14ac:dyDescent="0.25">
      <c r="B674" s="23" t="s">
        <v>981</v>
      </c>
      <c r="C674" s="22" t="s">
        <v>982</v>
      </c>
      <c r="D674" s="10" t="s">
        <v>94</v>
      </c>
      <c r="E674" s="12">
        <v>2</v>
      </c>
      <c r="F674" s="126">
        <v>6470</v>
      </c>
      <c r="G674" s="126">
        <f>ROUND(+F674*E674,2)</f>
        <v>12940</v>
      </c>
      <c r="H674" s="8"/>
      <c r="I674" s="9" t="str">
        <f t="array" ref="I674:L674">_xlfn.XLOOKUP(C674,'Neiva 2021 FASE I UNIFICADO'!$C$6:$C$540,'Neiva 2021 FASE I UNIFICADO'!$C$6:$F$540,"NO ESTA")</f>
        <v>SUMINISTRO E INSTALACION CIRCUITO PREENSAMBLADO AZUL MONOFÁSICO NORMAL PARA RACK</v>
      </c>
      <c r="J674" s="9" t="str">
        <v>ML</v>
      </c>
      <c r="K674" s="9">
        <v>2</v>
      </c>
      <c r="L674" s="9">
        <v>5989</v>
      </c>
      <c r="M674" s="124" t="str">
        <f t="shared" si="81"/>
        <v>FASE II</v>
      </c>
      <c r="N674" s="155">
        <f t="shared" si="78"/>
        <v>4</v>
      </c>
      <c r="O674" s="156">
        <f t="shared" si="79"/>
        <v>6470</v>
      </c>
      <c r="P674" s="156">
        <f t="shared" si="80"/>
        <v>25880</v>
      </c>
    </row>
    <row r="675" spans="2:16" s="9" customFormat="1" ht="35.1" customHeight="1" x14ac:dyDescent="0.25">
      <c r="B675" s="23" t="s">
        <v>983</v>
      </c>
      <c r="C675" s="22" t="s">
        <v>984</v>
      </c>
      <c r="D675" s="10" t="s">
        <v>94</v>
      </c>
      <c r="E675" s="12">
        <v>2</v>
      </c>
      <c r="F675" s="126">
        <v>6470</v>
      </c>
      <c r="G675" s="126">
        <f>ROUND(+F675*E675,2)</f>
        <v>12940</v>
      </c>
      <c r="H675" s="8"/>
      <c r="I675" s="9" t="str">
        <f t="array" ref="I675:L675">_xlfn.XLOOKUP(C675,'Neiva 2021 FASE I UNIFICADO'!$C$6:$C$540,'Neiva 2021 FASE I UNIFICADO'!$C$6:$F$540,"NO ESTA")</f>
        <v>SUMINISTRO E INSTALACION CIRCUITO PREENSAMBLADO ROJO MONOFÁSICO REGULADO PARA RACK</v>
      </c>
      <c r="J675" s="9" t="str">
        <v>ML</v>
      </c>
      <c r="K675" s="9">
        <v>2</v>
      </c>
      <c r="L675" s="9">
        <v>5989</v>
      </c>
      <c r="M675" s="124" t="str">
        <f t="shared" si="81"/>
        <v>FASE II</v>
      </c>
      <c r="N675" s="155">
        <f t="shared" si="78"/>
        <v>4</v>
      </c>
      <c r="O675" s="156">
        <f t="shared" si="79"/>
        <v>6470</v>
      </c>
      <c r="P675" s="156">
        <f t="shared" si="80"/>
        <v>25880</v>
      </c>
    </row>
    <row r="676" spans="2:16" s="9" customFormat="1" ht="35.1" customHeight="1" x14ac:dyDescent="0.25">
      <c r="B676" s="23" t="s">
        <v>985</v>
      </c>
      <c r="C676" s="22" t="s">
        <v>986</v>
      </c>
      <c r="D676" s="10" t="s">
        <v>16</v>
      </c>
      <c r="E676" s="12">
        <v>2</v>
      </c>
      <c r="F676" s="126">
        <v>632913</v>
      </c>
      <c r="G676" s="126">
        <f>ROUND(+F676*E676,2)</f>
        <v>1265826</v>
      </c>
      <c r="H676" s="8"/>
      <c r="I676" s="9" t="str">
        <f t="array" ref="I676:L676">_xlfn.XLOOKUP(C676,'Neiva 2021 FASE I UNIFICADO'!$C$6:$C$540,'Neiva 2021 FASE I UNIFICADO'!$C$6:$F$540,"NO ESTA")</f>
        <v>SUMINISTRO E INSTALACION BARRAJE DE PUESTA A TIERRA PARA RACK TGB</v>
      </c>
      <c r="J676" s="9" t="str">
        <v>UND</v>
      </c>
      <c r="K676" s="9">
        <v>2</v>
      </c>
      <c r="L676" s="9">
        <v>585757</v>
      </c>
      <c r="M676" s="124" t="str">
        <f t="shared" si="81"/>
        <v>FASE II</v>
      </c>
      <c r="N676" s="155">
        <f t="shared" si="78"/>
        <v>4</v>
      </c>
      <c r="O676" s="156">
        <f t="shared" si="79"/>
        <v>632913</v>
      </c>
      <c r="P676" s="156">
        <f t="shared" si="80"/>
        <v>2531652</v>
      </c>
    </row>
    <row r="677" spans="2:16" s="9" customFormat="1" ht="35.1" customHeight="1" x14ac:dyDescent="0.25">
      <c r="B677" s="13" t="s">
        <v>987</v>
      </c>
      <c r="C677" s="24" t="s">
        <v>988</v>
      </c>
      <c r="D677" s="24"/>
      <c r="E677" s="15"/>
      <c r="F677" s="129"/>
      <c r="G677" s="140"/>
      <c r="H677" s="8"/>
      <c r="I677" s="9" t="str">
        <f t="array" ref="I677:L677">_xlfn.XLOOKUP(C677,'Neiva 2021 FASE I UNIFICADO'!$C$6:$C$540,'Neiva 2021 FASE I UNIFICADO'!$C$6:$F$540,"NO ESTA")</f>
        <v>SUMINISTRO E INSTALACION DE EQUIPOS ACTIVOS</v>
      </c>
      <c r="J677" s="9">
        <v>0</v>
      </c>
      <c r="K677" s="9">
        <v>0</v>
      </c>
      <c r="L677" s="9">
        <v>0</v>
      </c>
      <c r="M677" s="124">
        <f t="shared" si="81"/>
        <v>0</v>
      </c>
      <c r="N677" s="155">
        <f t="shared" si="78"/>
        <v>0</v>
      </c>
      <c r="O677" s="156">
        <f t="shared" si="79"/>
        <v>0</v>
      </c>
      <c r="P677" s="156">
        <f t="shared" si="80"/>
        <v>0</v>
      </c>
    </row>
    <row r="678" spans="2:16" s="9" customFormat="1" ht="35.1" customHeight="1" x14ac:dyDescent="0.25">
      <c r="B678" s="10" t="s">
        <v>989</v>
      </c>
      <c r="C678" s="22" t="s">
        <v>990</v>
      </c>
      <c r="D678" s="10" t="s">
        <v>16</v>
      </c>
      <c r="E678" s="12">
        <v>13</v>
      </c>
      <c r="F678" s="126">
        <v>7344406</v>
      </c>
      <c r="G678" s="126">
        <f>ROUND(+F678*E678,2)</f>
        <v>95477278</v>
      </c>
      <c r="H678" s="8"/>
      <c r="I678" s="9" t="str">
        <f t="array" ref="I678:L678">_xlfn.XLOOKUP(C678,'Neiva 2021 FASE I UNIFICADO'!$C$6:$C$540,'Neiva 2021 FASE I UNIFICADO'!$C$6:$F$540,"NO ESTA")</f>
        <v xml:space="preserve">SUMINISTRO E INSTALACION SWITCHE DE BORDE DE 24 PoE PUERTOS GIGABIT ETHERNET 10/100/1000 Gbps CON PUERTO DE ADMINSITRACION POR CONSOLA </v>
      </c>
      <c r="J678" s="9" t="str">
        <v>UND</v>
      </c>
      <c r="K678" s="9">
        <v>1</v>
      </c>
      <c r="L678" s="9">
        <v>6797209.6699999999</v>
      </c>
      <c r="M678" s="124" t="str">
        <f t="shared" si="81"/>
        <v>FASE II</v>
      </c>
      <c r="N678" s="155">
        <f t="shared" si="78"/>
        <v>14</v>
      </c>
      <c r="O678" s="156">
        <f t="shared" si="79"/>
        <v>7344406</v>
      </c>
      <c r="P678" s="156">
        <f t="shared" si="80"/>
        <v>102821684</v>
      </c>
    </row>
    <row r="679" spans="2:16" s="9" customFormat="1" ht="35.1" customHeight="1" x14ac:dyDescent="0.25">
      <c r="B679" s="10" t="s">
        <v>991</v>
      </c>
      <c r="C679" s="22" t="s">
        <v>992</v>
      </c>
      <c r="D679" s="10" t="s">
        <v>16</v>
      </c>
      <c r="E679" s="12">
        <v>0</v>
      </c>
      <c r="F679" s="126">
        <v>841635</v>
      </c>
      <c r="G679" s="126">
        <f>ROUND(+F679*E679,2)</f>
        <v>0</v>
      </c>
      <c r="H679" s="8"/>
      <c r="I679" s="9" t="str">
        <f t="array" ref="I679:L679">_xlfn.XLOOKUP(C679,'Neiva 2021 FASE I UNIFICADO'!$C$6:$C$540,'Neiva 2021 FASE I UNIFICADO'!$C$6:$F$540,"NO ESTA")</f>
        <v>SUMINISTRO E INSTALACION MODULO SFP 10G</v>
      </c>
      <c r="J679" s="9" t="str">
        <v>UND</v>
      </c>
      <c r="K679" s="9">
        <v>1</v>
      </c>
      <c r="L679" s="9">
        <v>778929</v>
      </c>
      <c r="M679" s="124" t="str">
        <f t="shared" si="81"/>
        <v>FASE II</v>
      </c>
      <c r="N679" s="155">
        <f t="shared" si="78"/>
        <v>1</v>
      </c>
      <c r="O679" s="156">
        <f t="shared" si="79"/>
        <v>841635</v>
      </c>
      <c r="P679" s="156">
        <f t="shared" si="80"/>
        <v>841635</v>
      </c>
    </row>
    <row r="680" spans="2:16" s="9" customFormat="1" ht="35.1" customHeight="1" x14ac:dyDescent="0.25">
      <c r="B680" s="33">
        <v>19</v>
      </c>
      <c r="C680" s="34" t="s">
        <v>993</v>
      </c>
      <c r="D680" s="34"/>
      <c r="E680" s="35"/>
      <c r="F680" s="132"/>
      <c r="G680" s="142"/>
      <c r="H680" s="8"/>
      <c r="I680" s="9" t="str">
        <f t="array" ref="I680:L680">_xlfn.XLOOKUP(C680,'Neiva 2021 FASE I UNIFICADO'!$C$6:$C$540,'Neiva 2021 FASE I UNIFICADO'!$C$6:$F$540,"NO ESTA")</f>
        <v>SEGURIDAD ELÉCTRONICA (CCTV, CONTROL ACCESOS, DETECCION INCENDIOS Y SONIDO)</v>
      </c>
      <c r="J680" s="9">
        <v>0</v>
      </c>
      <c r="K680" s="9">
        <v>0</v>
      </c>
      <c r="L680" s="9">
        <v>0</v>
      </c>
      <c r="M680" s="124">
        <f t="shared" si="81"/>
        <v>0</v>
      </c>
      <c r="N680" s="155">
        <f t="shared" si="78"/>
        <v>0</v>
      </c>
      <c r="O680" s="156">
        <f t="shared" si="79"/>
        <v>0</v>
      </c>
      <c r="P680" s="156">
        <f t="shared" si="80"/>
        <v>0</v>
      </c>
    </row>
    <row r="681" spans="2:16" s="9" customFormat="1" ht="35.1" customHeight="1" x14ac:dyDescent="0.25">
      <c r="B681" s="61" t="s">
        <v>1349</v>
      </c>
      <c r="C681" s="62" t="s">
        <v>1350</v>
      </c>
      <c r="D681" s="63"/>
      <c r="E681" s="64"/>
      <c r="F681" s="129"/>
      <c r="G681" s="140"/>
      <c r="H681" s="8"/>
      <c r="I681" s="9" t="str">
        <f t="array" ref="I681">_xlfn.XLOOKUP(C681,'Neiva 2021 FASE I UNIFICADO'!$C$6:$C$540,'Neiva 2021 FASE I UNIFICADO'!$C$6:$F$540,"NO ESTA")</f>
        <v>NO ESTA</v>
      </c>
      <c r="M681" s="124">
        <f t="shared" si="81"/>
        <v>0</v>
      </c>
      <c r="N681" s="155">
        <f t="shared" si="78"/>
        <v>0</v>
      </c>
      <c r="O681" s="156">
        <f t="shared" si="79"/>
        <v>0</v>
      </c>
      <c r="P681" s="156">
        <f t="shared" si="80"/>
        <v>0</v>
      </c>
    </row>
    <row r="682" spans="2:16" s="9" customFormat="1" ht="35.1" customHeight="1" x14ac:dyDescent="0.25">
      <c r="B682" s="23" t="s">
        <v>1351</v>
      </c>
      <c r="C682" s="22" t="s">
        <v>1352</v>
      </c>
      <c r="D682" s="10" t="s">
        <v>16</v>
      </c>
      <c r="E682" s="12">
        <v>10</v>
      </c>
      <c r="F682" s="126">
        <v>1260653</v>
      </c>
      <c r="G682" s="126">
        <f t="shared" ref="G682:G688" si="83">ROUND(+F682*E682,2)</f>
        <v>12606530</v>
      </c>
      <c r="H682" s="8"/>
      <c r="I682" s="9" t="str">
        <f t="array" ref="I682">_xlfn.XLOOKUP(C682,'Neiva 2021 FASE I UNIFICADO'!$C$6:$C$540,'Neiva 2021 FASE I UNIFICADO'!$C$6:$F$540,"NO ESTA")</f>
        <v>NO ESTA</v>
      </c>
      <c r="M682" s="124">
        <f t="shared" si="81"/>
        <v>0</v>
      </c>
      <c r="N682" s="155">
        <f t="shared" si="78"/>
        <v>10</v>
      </c>
      <c r="O682" s="156">
        <f t="shared" si="79"/>
        <v>1260653</v>
      </c>
      <c r="P682" s="156">
        <f t="shared" si="80"/>
        <v>12606530</v>
      </c>
    </row>
    <row r="683" spans="2:16" s="9" customFormat="1" ht="35.1" customHeight="1" x14ac:dyDescent="0.25">
      <c r="B683" s="23" t="s">
        <v>1353</v>
      </c>
      <c r="C683" s="22" t="s">
        <v>1354</v>
      </c>
      <c r="D683" s="10" t="s">
        <v>16</v>
      </c>
      <c r="E683" s="12">
        <v>19</v>
      </c>
      <c r="F683" s="126">
        <v>1710298</v>
      </c>
      <c r="G683" s="126">
        <f t="shared" si="83"/>
        <v>32495662</v>
      </c>
      <c r="H683" s="8"/>
      <c r="I683" s="9" t="str">
        <f t="array" ref="I683">_xlfn.XLOOKUP(C683,'Neiva 2021 FASE I UNIFICADO'!$C$6:$C$540,'Neiva 2021 FASE I UNIFICADO'!$C$6:$F$540,"NO ESTA")</f>
        <v>NO ESTA</v>
      </c>
      <c r="M683" s="124">
        <f t="shared" si="81"/>
        <v>0</v>
      </c>
      <c r="N683" s="155">
        <f t="shared" si="78"/>
        <v>19</v>
      </c>
      <c r="O683" s="156">
        <f t="shared" si="79"/>
        <v>1710298</v>
      </c>
      <c r="P683" s="156">
        <f t="shared" si="80"/>
        <v>32495662</v>
      </c>
    </row>
    <row r="684" spans="2:16" s="9" customFormat="1" ht="35.1" customHeight="1" x14ac:dyDescent="0.25">
      <c r="B684" s="23" t="s">
        <v>1355</v>
      </c>
      <c r="C684" s="22" t="s">
        <v>1356</v>
      </c>
      <c r="D684" s="10" t="s">
        <v>16</v>
      </c>
      <c r="E684" s="12">
        <v>2</v>
      </c>
      <c r="F684" s="126">
        <v>3681238</v>
      </c>
      <c r="G684" s="126">
        <f t="shared" si="83"/>
        <v>7362476</v>
      </c>
      <c r="H684" s="8"/>
      <c r="I684" s="9" t="str">
        <f t="array" ref="I684">_xlfn.XLOOKUP(C684,'Neiva 2021 FASE I UNIFICADO'!$C$6:$C$540,'Neiva 2021 FASE I UNIFICADO'!$C$6:$F$540,"NO ESTA")</f>
        <v>NO ESTA</v>
      </c>
      <c r="M684" s="124">
        <f t="shared" si="81"/>
        <v>0</v>
      </c>
      <c r="N684" s="155">
        <f t="shared" si="78"/>
        <v>2</v>
      </c>
      <c r="O684" s="156">
        <f t="shared" si="79"/>
        <v>3681238</v>
      </c>
      <c r="P684" s="156">
        <f t="shared" si="80"/>
        <v>7362476</v>
      </c>
    </row>
    <row r="685" spans="2:16" s="9" customFormat="1" ht="35.1" customHeight="1" x14ac:dyDescent="0.25">
      <c r="B685" s="23" t="s">
        <v>1357</v>
      </c>
      <c r="C685" s="22" t="s">
        <v>1358</v>
      </c>
      <c r="D685" s="10" t="s">
        <v>16</v>
      </c>
      <c r="E685" s="12">
        <v>29</v>
      </c>
      <c r="F685" s="126">
        <v>360550</v>
      </c>
      <c r="G685" s="126">
        <f t="shared" si="83"/>
        <v>10455950</v>
      </c>
      <c r="H685" s="8"/>
      <c r="I685" s="9" t="str">
        <f t="array" ref="I685">_xlfn.XLOOKUP(C685,'Neiva 2021 FASE I UNIFICADO'!$C$6:$C$540,'Neiva 2021 FASE I UNIFICADO'!$C$6:$F$540,"NO ESTA")</f>
        <v>NO ESTA</v>
      </c>
      <c r="M685" s="124">
        <f t="shared" si="81"/>
        <v>0</v>
      </c>
      <c r="N685" s="155">
        <f t="shared" si="78"/>
        <v>29</v>
      </c>
      <c r="O685" s="156">
        <f t="shared" si="79"/>
        <v>360550</v>
      </c>
      <c r="P685" s="156">
        <f t="shared" si="80"/>
        <v>10455950</v>
      </c>
    </row>
    <row r="686" spans="2:16" s="9" customFormat="1" ht="35.1" customHeight="1" x14ac:dyDescent="0.25">
      <c r="B686" s="23" t="s">
        <v>1359</v>
      </c>
      <c r="C686" s="22" t="s">
        <v>1360</v>
      </c>
      <c r="D686" s="10" t="s">
        <v>16</v>
      </c>
      <c r="E686" s="12">
        <v>2</v>
      </c>
      <c r="F686" s="126">
        <v>8387259</v>
      </c>
      <c r="G686" s="126">
        <f t="shared" si="83"/>
        <v>16774518</v>
      </c>
      <c r="H686" s="8"/>
      <c r="I686" s="9" t="str">
        <f t="array" ref="I686">_xlfn.XLOOKUP(C686,'Neiva 2021 FASE I UNIFICADO'!$C$6:$C$540,'Neiva 2021 FASE I UNIFICADO'!$C$6:$F$540,"NO ESTA")</f>
        <v>NO ESTA</v>
      </c>
      <c r="M686" s="124">
        <f t="shared" si="81"/>
        <v>0</v>
      </c>
      <c r="N686" s="155">
        <f t="shared" si="78"/>
        <v>2</v>
      </c>
      <c r="O686" s="156">
        <f t="shared" si="79"/>
        <v>8387259</v>
      </c>
      <c r="P686" s="156">
        <f t="shared" si="80"/>
        <v>16774518</v>
      </c>
    </row>
    <row r="687" spans="2:16" s="9" customFormat="1" ht="35.1" customHeight="1" x14ac:dyDescent="0.25">
      <c r="B687" s="23" t="s">
        <v>1361</v>
      </c>
      <c r="C687" s="22" t="s">
        <v>1362</v>
      </c>
      <c r="D687" s="10" t="s">
        <v>16</v>
      </c>
      <c r="E687" s="12">
        <v>2</v>
      </c>
      <c r="F687" s="126">
        <v>8922704</v>
      </c>
      <c r="G687" s="126">
        <f t="shared" si="83"/>
        <v>17845408</v>
      </c>
      <c r="H687" s="8"/>
      <c r="I687" s="9" t="str">
        <f t="array" ref="I687">_xlfn.XLOOKUP(C687,'Neiva 2021 FASE I UNIFICADO'!$C$6:$C$540,'Neiva 2021 FASE I UNIFICADO'!$C$6:$F$540,"NO ESTA")</f>
        <v>NO ESTA</v>
      </c>
      <c r="M687" s="124">
        <f t="shared" si="81"/>
        <v>0</v>
      </c>
      <c r="N687" s="155">
        <f t="shared" si="78"/>
        <v>2</v>
      </c>
      <c r="O687" s="156">
        <f t="shared" si="79"/>
        <v>8922704</v>
      </c>
      <c r="P687" s="156">
        <f t="shared" si="80"/>
        <v>17845408</v>
      </c>
    </row>
    <row r="688" spans="2:16" s="9" customFormat="1" ht="35.1" customHeight="1" x14ac:dyDescent="0.25">
      <c r="B688" s="23" t="s">
        <v>1363</v>
      </c>
      <c r="C688" s="22" t="s">
        <v>1364</v>
      </c>
      <c r="D688" s="10" t="s">
        <v>1182</v>
      </c>
      <c r="E688" s="12">
        <v>1</v>
      </c>
      <c r="F688" s="126">
        <v>2856916</v>
      </c>
      <c r="G688" s="126">
        <f t="shared" si="83"/>
        <v>2856916</v>
      </c>
      <c r="H688" s="8"/>
      <c r="I688" s="9" t="str">
        <f t="array" ref="I688">_xlfn.XLOOKUP(C688,'Neiva 2021 FASE I UNIFICADO'!$C$6:$C$540,'Neiva 2021 FASE I UNIFICADO'!$C$6:$F$540,"NO ESTA")</f>
        <v>NO ESTA</v>
      </c>
      <c r="M688" s="124">
        <f t="shared" si="81"/>
        <v>0</v>
      </c>
      <c r="N688" s="155">
        <f t="shared" si="78"/>
        <v>1</v>
      </c>
      <c r="O688" s="156">
        <f t="shared" si="79"/>
        <v>2856916</v>
      </c>
      <c r="P688" s="156">
        <f t="shared" si="80"/>
        <v>2856916</v>
      </c>
    </row>
    <row r="689" spans="2:16" s="9" customFormat="1" ht="35.1" customHeight="1" x14ac:dyDescent="0.25">
      <c r="B689" s="13" t="s">
        <v>1365</v>
      </c>
      <c r="C689" s="14" t="s">
        <v>1366</v>
      </c>
      <c r="D689" s="27"/>
      <c r="E689" s="15"/>
      <c r="F689" s="129"/>
      <c r="G689" s="140"/>
      <c r="H689" s="8"/>
      <c r="I689" s="9" t="str">
        <f t="array" ref="I689">_xlfn.XLOOKUP(C689,'Neiva 2021 FASE I UNIFICADO'!$C$6:$C$540,'Neiva 2021 FASE I UNIFICADO'!$C$6:$F$540,"NO ESTA")</f>
        <v>NO ESTA</v>
      </c>
      <c r="M689" s="124">
        <f t="shared" si="81"/>
        <v>0</v>
      </c>
      <c r="N689" s="155">
        <f t="shared" si="78"/>
        <v>0</v>
      </c>
      <c r="O689" s="156">
        <f t="shared" si="79"/>
        <v>0</v>
      </c>
      <c r="P689" s="156">
        <f t="shared" si="80"/>
        <v>0</v>
      </c>
    </row>
    <row r="690" spans="2:16" s="9" customFormat="1" ht="35.1" customHeight="1" x14ac:dyDescent="0.25">
      <c r="B690" s="23" t="s">
        <v>1367</v>
      </c>
      <c r="C690" s="22" t="s">
        <v>1368</v>
      </c>
      <c r="D690" s="10" t="s">
        <v>16</v>
      </c>
      <c r="E690" s="12">
        <v>19</v>
      </c>
      <c r="F690" s="126">
        <v>231646</v>
      </c>
      <c r="G690" s="126">
        <f t="shared" ref="G690:G699" si="84">ROUND(+F690*E690,2)</f>
        <v>4401274</v>
      </c>
      <c r="H690" s="8"/>
      <c r="I690" s="9" t="str">
        <f t="array" ref="I690">_xlfn.XLOOKUP(C690,'Neiva 2021 FASE I UNIFICADO'!$C$6:$C$540,'Neiva 2021 FASE I UNIFICADO'!$C$6:$F$540,"NO ESTA")</f>
        <v>NO ESTA</v>
      </c>
      <c r="M690" s="124">
        <f t="shared" si="81"/>
        <v>0</v>
      </c>
      <c r="N690" s="155">
        <f t="shared" si="78"/>
        <v>19</v>
      </c>
      <c r="O690" s="156">
        <f t="shared" si="79"/>
        <v>231646</v>
      </c>
      <c r="P690" s="156">
        <f t="shared" si="80"/>
        <v>4401274</v>
      </c>
    </row>
    <row r="691" spans="2:16" s="9" customFormat="1" ht="35.1" customHeight="1" x14ac:dyDescent="0.25">
      <c r="B691" s="23" t="s">
        <v>1369</v>
      </c>
      <c r="C691" s="22" t="s">
        <v>1370</v>
      </c>
      <c r="D691" s="10" t="s">
        <v>16</v>
      </c>
      <c r="E691" s="12">
        <v>16</v>
      </c>
      <c r="F691" s="126">
        <v>1695852</v>
      </c>
      <c r="G691" s="126">
        <f t="shared" si="84"/>
        <v>27133632</v>
      </c>
      <c r="H691" s="8"/>
      <c r="I691" s="9" t="str">
        <f t="array" ref="I691">_xlfn.XLOOKUP(C691,'Neiva 2021 FASE I UNIFICADO'!$C$6:$C$540,'Neiva 2021 FASE I UNIFICADO'!$C$6:$F$540,"NO ESTA")</f>
        <v>NO ESTA</v>
      </c>
      <c r="M691" s="124">
        <f t="shared" si="81"/>
        <v>0</v>
      </c>
      <c r="N691" s="155">
        <f t="shared" si="78"/>
        <v>16</v>
      </c>
      <c r="O691" s="156">
        <f t="shared" si="79"/>
        <v>1695852</v>
      </c>
      <c r="P691" s="156">
        <f t="shared" si="80"/>
        <v>27133632</v>
      </c>
    </row>
    <row r="692" spans="2:16" s="9" customFormat="1" ht="35.1" customHeight="1" x14ac:dyDescent="0.25">
      <c r="B692" s="23" t="s">
        <v>1371</v>
      </c>
      <c r="C692" s="22" t="s">
        <v>1372</v>
      </c>
      <c r="D692" s="10" t="s">
        <v>16</v>
      </c>
      <c r="E692" s="12">
        <v>18</v>
      </c>
      <c r="F692" s="126">
        <v>358570</v>
      </c>
      <c r="G692" s="126">
        <f t="shared" si="84"/>
        <v>6454260</v>
      </c>
      <c r="H692" s="8"/>
      <c r="I692" s="9" t="str">
        <f t="array" ref="I692">_xlfn.XLOOKUP(C692,'Neiva 2021 FASE I UNIFICADO'!$C$6:$C$540,'Neiva 2021 FASE I UNIFICADO'!$C$6:$F$540,"NO ESTA")</f>
        <v>NO ESTA</v>
      </c>
      <c r="M692" s="124">
        <f t="shared" si="81"/>
        <v>0</v>
      </c>
      <c r="N692" s="155">
        <f t="shared" si="78"/>
        <v>18</v>
      </c>
      <c r="O692" s="156">
        <f t="shared" si="79"/>
        <v>358570</v>
      </c>
      <c r="P692" s="156">
        <f t="shared" si="80"/>
        <v>6454260</v>
      </c>
    </row>
    <row r="693" spans="2:16" s="9" customFormat="1" ht="35.1" customHeight="1" x14ac:dyDescent="0.25">
      <c r="B693" s="23" t="s">
        <v>1373</v>
      </c>
      <c r="C693" s="22" t="s">
        <v>1374</v>
      </c>
      <c r="D693" s="10" t="s">
        <v>16</v>
      </c>
      <c r="E693" s="12">
        <v>20</v>
      </c>
      <c r="F693" s="126">
        <v>449218</v>
      </c>
      <c r="G693" s="126">
        <f t="shared" si="84"/>
        <v>8984360</v>
      </c>
      <c r="H693" s="8"/>
      <c r="I693" s="9" t="str">
        <f t="array" ref="I693">_xlfn.XLOOKUP(C693,'Neiva 2021 FASE I UNIFICADO'!$C$6:$C$540,'Neiva 2021 FASE I UNIFICADO'!$C$6:$F$540,"NO ESTA")</f>
        <v>NO ESTA</v>
      </c>
      <c r="M693" s="124">
        <f t="shared" si="81"/>
        <v>0</v>
      </c>
      <c r="N693" s="155">
        <f t="shared" si="78"/>
        <v>20</v>
      </c>
      <c r="O693" s="156">
        <f t="shared" si="79"/>
        <v>449218</v>
      </c>
      <c r="P693" s="156">
        <f t="shared" si="80"/>
        <v>8984360</v>
      </c>
    </row>
    <row r="694" spans="2:16" s="9" customFormat="1" ht="35.1" customHeight="1" x14ac:dyDescent="0.25">
      <c r="B694" s="23" t="s">
        <v>1375</v>
      </c>
      <c r="C694" s="22" t="s">
        <v>1376</v>
      </c>
      <c r="D694" s="10" t="s">
        <v>16</v>
      </c>
      <c r="E694" s="12">
        <v>14</v>
      </c>
      <c r="F694" s="126">
        <v>12246</v>
      </c>
      <c r="G694" s="126">
        <f t="shared" si="84"/>
        <v>171444</v>
      </c>
      <c r="H694" s="8"/>
      <c r="I694" s="9" t="str">
        <f t="array" ref="I694">_xlfn.XLOOKUP(C694,'Neiva 2021 FASE I UNIFICADO'!$C$6:$C$540,'Neiva 2021 FASE I UNIFICADO'!$C$6:$F$540,"NO ESTA")</f>
        <v>NO ESTA</v>
      </c>
      <c r="M694" s="124">
        <f t="shared" si="81"/>
        <v>0</v>
      </c>
      <c r="N694" s="155">
        <f t="shared" si="78"/>
        <v>14</v>
      </c>
      <c r="O694" s="156">
        <f t="shared" si="79"/>
        <v>12246</v>
      </c>
      <c r="P694" s="156">
        <f t="shared" si="80"/>
        <v>171444</v>
      </c>
    </row>
    <row r="695" spans="2:16" s="9" customFormat="1" ht="35.1" customHeight="1" x14ac:dyDescent="0.25">
      <c r="B695" s="23" t="s">
        <v>1377</v>
      </c>
      <c r="C695" s="22" t="s">
        <v>976</v>
      </c>
      <c r="D695" s="10" t="s">
        <v>16</v>
      </c>
      <c r="E695" s="12">
        <v>18</v>
      </c>
      <c r="F695" s="126">
        <v>12928</v>
      </c>
      <c r="G695" s="126">
        <f t="shared" si="84"/>
        <v>232704</v>
      </c>
      <c r="H695" s="8"/>
      <c r="I695" s="9" t="str">
        <f t="array" ref="I695:L695">_xlfn.XLOOKUP(C695,'Neiva 2021 FASE I UNIFICADO'!$C$6:$C$540,'Neiva 2021 FASE I UNIFICADO'!$C$6:$F$540,"NO ESTA")</f>
        <v>SUMINISTRO E INSTALACION CAJA DE PASO 10 x 10 m DOBLE FONDO</v>
      </c>
      <c r="J695" s="9" t="str">
        <v>UND</v>
      </c>
      <c r="K695" s="9">
        <v>4</v>
      </c>
      <c r="L695" s="9">
        <v>11964</v>
      </c>
      <c r="M695" s="124" t="str">
        <f t="shared" si="81"/>
        <v>FASE II</v>
      </c>
      <c r="N695" s="155">
        <f t="shared" si="78"/>
        <v>22</v>
      </c>
      <c r="O695" s="156">
        <f t="shared" si="79"/>
        <v>12928</v>
      </c>
      <c r="P695" s="156">
        <f t="shared" si="80"/>
        <v>284416</v>
      </c>
    </row>
    <row r="696" spans="2:16" s="9" customFormat="1" ht="35.1" customHeight="1" x14ac:dyDescent="0.25">
      <c r="B696" s="23" t="s">
        <v>1378</v>
      </c>
      <c r="C696" s="22" t="s">
        <v>1379</v>
      </c>
      <c r="D696" s="10" t="s">
        <v>16</v>
      </c>
      <c r="E696" s="12">
        <v>2</v>
      </c>
      <c r="F696" s="126">
        <v>5824460</v>
      </c>
      <c r="G696" s="126">
        <f t="shared" si="84"/>
        <v>11648920</v>
      </c>
      <c r="H696" s="8"/>
      <c r="I696" s="9" t="str">
        <f t="array" ref="I696">_xlfn.XLOOKUP(C696,'Neiva 2021 FASE I UNIFICADO'!$C$6:$C$540,'Neiva 2021 FASE I UNIFICADO'!$C$6:$F$540,"NO ESTA")</f>
        <v>NO ESTA</v>
      </c>
      <c r="M696" s="124">
        <f t="shared" si="81"/>
        <v>0</v>
      </c>
      <c r="N696" s="155">
        <f t="shared" si="78"/>
        <v>2</v>
      </c>
      <c r="O696" s="156">
        <f t="shared" si="79"/>
        <v>5824460</v>
      </c>
      <c r="P696" s="156">
        <f t="shared" si="80"/>
        <v>11648920</v>
      </c>
    </row>
    <row r="697" spans="2:16" s="9" customFormat="1" ht="35.1" customHeight="1" x14ac:dyDescent="0.25">
      <c r="B697" s="23" t="s">
        <v>1380</v>
      </c>
      <c r="C697" s="22" t="s">
        <v>1381</v>
      </c>
      <c r="D697" s="10" t="s">
        <v>16</v>
      </c>
      <c r="E697" s="12">
        <v>2</v>
      </c>
      <c r="F697" s="126">
        <v>5564822</v>
      </c>
      <c r="G697" s="126">
        <f t="shared" si="84"/>
        <v>11129644</v>
      </c>
      <c r="H697" s="8"/>
      <c r="I697" s="9" t="str">
        <f t="array" ref="I697">_xlfn.XLOOKUP(C697,'Neiva 2021 FASE I UNIFICADO'!$C$6:$C$540,'Neiva 2021 FASE I UNIFICADO'!$C$6:$F$540,"NO ESTA")</f>
        <v>NO ESTA</v>
      </c>
      <c r="M697" s="124">
        <f t="shared" si="81"/>
        <v>0</v>
      </c>
      <c r="N697" s="155">
        <f t="shared" si="78"/>
        <v>2</v>
      </c>
      <c r="O697" s="156">
        <f t="shared" si="79"/>
        <v>5564822</v>
      </c>
      <c r="P697" s="156">
        <f t="shared" si="80"/>
        <v>11129644</v>
      </c>
    </row>
    <row r="698" spans="2:16" s="9" customFormat="1" ht="35.1" customHeight="1" x14ac:dyDescent="0.25">
      <c r="B698" s="23" t="s">
        <v>1382</v>
      </c>
      <c r="C698" s="22" t="s">
        <v>1383</v>
      </c>
      <c r="D698" s="10" t="s">
        <v>16</v>
      </c>
      <c r="E698" s="12">
        <v>2</v>
      </c>
      <c r="F698" s="126">
        <v>3681238</v>
      </c>
      <c r="G698" s="126">
        <f t="shared" si="84"/>
        <v>7362476</v>
      </c>
      <c r="H698" s="8"/>
      <c r="I698" s="9" t="str">
        <f t="array" ref="I698">_xlfn.XLOOKUP(C698,'Neiva 2021 FASE I UNIFICADO'!$C$6:$C$540,'Neiva 2021 FASE I UNIFICADO'!$C$6:$F$540,"NO ESTA")</f>
        <v>NO ESTA</v>
      </c>
      <c r="M698" s="124">
        <f t="shared" si="81"/>
        <v>0</v>
      </c>
      <c r="N698" s="155">
        <f t="shared" si="78"/>
        <v>2</v>
      </c>
      <c r="O698" s="156">
        <f t="shared" si="79"/>
        <v>3681238</v>
      </c>
      <c r="P698" s="156">
        <f t="shared" si="80"/>
        <v>7362476</v>
      </c>
    </row>
    <row r="699" spans="2:16" s="9" customFormat="1" ht="35.1" customHeight="1" x14ac:dyDescent="0.25">
      <c r="B699" s="23" t="s">
        <v>1384</v>
      </c>
      <c r="C699" s="22" t="s">
        <v>1385</v>
      </c>
      <c r="D699" s="10" t="s">
        <v>1182</v>
      </c>
      <c r="E699" s="12">
        <v>1</v>
      </c>
      <c r="F699" s="126">
        <v>2856916</v>
      </c>
      <c r="G699" s="126">
        <f t="shared" si="84"/>
        <v>2856916</v>
      </c>
      <c r="H699" s="8"/>
      <c r="I699" s="9" t="str">
        <f t="array" ref="I699">_xlfn.XLOOKUP(C699,'Neiva 2021 FASE I UNIFICADO'!$C$6:$C$540,'Neiva 2021 FASE I UNIFICADO'!$C$6:$F$540,"NO ESTA")</f>
        <v>NO ESTA</v>
      </c>
      <c r="M699" s="124">
        <f t="shared" si="81"/>
        <v>0</v>
      </c>
      <c r="N699" s="155">
        <f t="shared" si="78"/>
        <v>1</v>
      </c>
      <c r="O699" s="156">
        <f t="shared" si="79"/>
        <v>2856916</v>
      </c>
      <c r="P699" s="156">
        <f t="shared" si="80"/>
        <v>2856916</v>
      </c>
    </row>
    <row r="700" spans="2:16" s="9" customFormat="1" ht="35.1" customHeight="1" x14ac:dyDescent="0.25">
      <c r="B700" s="13" t="s">
        <v>994</v>
      </c>
      <c r="C700" s="14" t="s">
        <v>995</v>
      </c>
      <c r="D700" s="27"/>
      <c r="E700" s="15"/>
      <c r="F700" s="129"/>
      <c r="G700" s="140"/>
      <c r="H700" s="8"/>
      <c r="I700" s="9" t="str">
        <f t="array" ref="I700:L700">_xlfn.XLOOKUP(C700,'Neiva 2021 FASE I UNIFICADO'!$C$6:$C$540,'Neiva 2021 FASE I UNIFICADO'!$C$6:$F$540,"NO ESTA")</f>
        <v>SUMINISTRO E INSTALACION DE DETECCIÓN DE INDENDIO</v>
      </c>
      <c r="J700" s="9">
        <v>0</v>
      </c>
      <c r="K700" s="9">
        <v>0</v>
      </c>
      <c r="L700" s="9">
        <v>0</v>
      </c>
      <c r="M700" s="124">
        <f t="shared" si="81"/>
        <v>0</v>
      </c>
      <c r="N700" s="155">
        <f t="shared" si="78"/>
        <v>0</v>
      </c>
      <c r="O700" s="156">
        <f t="shared" si="79"/>
        <v>0</v>
      </c>
      <c r="P700" s="156">
        <f t="shared" si="80"/>
        <v>0</v>
      </c>
    </row>
    <row r="701" spans="2:16" s="9" customFormat="1" ht="35.1" customHeight="1" x14ac:dyDescent="0.25">
      <c r="B701" s="23" t="s">
        <v>996</v>
      </c>
      <c r="C701" s="22" t="s">
        <v>997</v>
      </c>
      <c r="D701" s="10" t="s">
        <v>16</v>
      </c>
      <c r="E701" s="12">
        <v>8</v>
      </c>
      <c r="F701" s="126">
        <v>503198</v>
      </c>
      <c r="G701" s="126">
        <f t="shared" ref="G701:G711" si="85">ROUND(+F701*E701,2)</f>
        <v>4025584</v>
      </c>
      <c r="H701" s="8"/>
      <c r="I701" s="9" t="str">
        <f t="array" ref="I701:L701">_xlfn.XLOOKUP(C701,'Neiva 2021 FASE I UNIFICADO'!$C$6:$C$540,'Neiva 2021 FASE I UNIFICADO'!$C$6:$F$540,"NO ESTA")</f>
        <v>SUMINISTRO E INSTALACION ESTACION MANUAL DIRECCIONABLE DE AVISO, CON CUBIERTA ACRILICA</v>
      </c>
      <c r="J701" s="9" t="str">
        <v>UND</v>
      </c>
      <c r="K701" s="9">
        <v>3</v>
      </c>
      <c r="L701" s="9">
        <v>472015</v>
      </c>
      <c r="M701" s="124" t="str">
        <f t="shared" si="81"/>
        <v>FASE II</v>
      </c>
      <c r="N701" s="155">
        <f t="shared" si="78"/>
        <v>11</v>
      </c>
      <c r="O701" s="156">
        <f t="shared" si="79"/>
        <v>503198</v>
      </c>
      <c r="P701" s="156">
        <f t="shared" si="80"/>
        <v>5535178</v>
      </c>
    </row>
    <row r="702" spans="2:16" s="9" customFormat="1" ht="35.1" customHeight="1" x14ac:dyDescent="0.25">
      <c r="B702" s="23" t="s">
        <v>998</v>
      </c>
      <c r="C702" s="87" t="s">
        <v>999</v>
      </c>
      <c r="D702" s="10" t="s">
        <v>16</v>
      </c>
      <c r="E702" s="12">
        <v>8</v>
      </c>
      <c r="F702" s="126">
        <v>360098</v>
      </c>
      <c r="G702" s="126">
        <f t="shared" si="85"/>
        <v>2880784</v>
      </c>
      <c r="H702" s="8"/>
      <c r="I702" s="9" t="str">
        <f t="array" ref="I702:L702">_xlfn.XLOOKUP(C702,'Neiva 2021 FASE I UNIFICADO'!$C$6:$C$540,'Neiva 2021 FASE I UNIFICADO'!$C$6:$F$540,"NO ESTA")</f>
        <v>SUMINISTRO E INSTALACION SIRENA / ESTROBO CON SUS MODULOS DE CONTROL</v>
      </c>
      <c r="J702" s="9" t="str">
        <v>UND</v>
      </c>
      <c r="K702" s="9">
        <v>3</v>
      </c>
      <c r="L702" s="9">
        <v>337783</v>
      </c>
      <c r="M702" s="124" t="str">
        <f t="shared" si="81"/>
        <v>FASE II</v>
      </c>
      <c r="N702" s="155">
        <f t="shared" si="78"/>
        <v>11</v>
      </c>
      <c r="O702" s="156">
        <f t="shared" si="79"/>
        <v>360098</v>
      </c>
      <c r="P702" s="156">
        <f t="shared" si="80"/>
        <v>3961078</v>
      </c>
    </row>
    <row r="703" spans="2:16" s="9" customFormat="1" ht="35.1" customHeight="1" x14ac:dyDescent="0.25">
      <c r="B703" s="23" t="s">
        <v>1000</v>
      </c>
      <c r="C703" s="22" t="s">
        <v>1001</v>
      </c>
      <c r="D703" s="10" t="s">
        <v>16</v>
      </c>
      <c r="E703" s="12">
        <v>96</v>
      </c>
      <c r="F703" s="126">
        <v>405062</v>
      </c>
      <c r="G703" s="126">
        <f t="shared" si="85"/>
        <v>38885952</v>
      </c>
      <c r="H703" s="8"/>
      <c r="I703" s="9" t="str">
        <f t="array" ref="I703:L703">_xlfn.XLOOKUP(C703,'Neiva 2021 FASE I UNIFICADO'!$C$6:$C$540,'Neiva 2021 FASE I UNIFICADO'!$C$6:$F$540,"NO ESTA")</f>
        <v>SUMINISTRO E INSTALACION DETECTOR DE HUMO DIRECCIONABLE CON BASE</v>
      </c>
      <c r="J703" s="9" t="str">
        <v>UND</v>
      </c>
      <c r="K703" s="9">
        <v>46</v>
      </c>
      <c r="L703" s="9">
        <v>379961</v>
      </c>
      <c r="M703" s="124" t="str">
        <f t="shared" si="81"/>
        <v>FASE II</v>
      </c>
      <c r="N703" s="155">
        <f t="shared" si="78"/>
        <v>142</v>
      </c>
      <c r="O703" s="156">
        <f t="shared" si="79"/>
        <v>405062</v>
      </c>
      <c r="P703" s="156">
        <f t="shared" si="80"/>
        <v>57518804</v>
      </c>
    </row>
    <row r="704" spans="2:16" s="9" customFormat="1" ht="35.1" customHeight="1" x14ac:dyDescent="0.25">
      <c r="B704" s="23" t="s">
        <v>1002</v>
      </c>
      <c r="C704" s="87" t="s">
        <v>1003</v>
      </c>
      <c r="D704" s="10" t="s">
        <v>16</v>
      </c>
      <c r="E704" s="12">
        <v>6</v>
      </c>
      <c r="F704" s="126">
        <v>379368</v>
      </c>
      <c r="G704" s="126">
        <f t="shared" si="85"/>
        <v>2276208</v>
      </c>
      <c r="H704" s="8"/>
      <c r="I704" s="9" t="str">
        <f t="array" ref="I704:L704">_xlfn.XLOOKUP(C704,'Neiva 2021 FASE I UNIFICADO'!$C$6:$C$540,'Neiva 2021 FASE I UNIFICADO'!$C$6:$F$540,"NO ESTA")</f>
        <v>SUMINISTRO E INSTALACION DETECTOR DE MONOXIDO DIRECCIONABLE CON BASE</v>
      </c>
      <c r="J704" s="9" t="str">
        <v>UND</v>
      </c>
      <c r="K704" s="9">
        <v>2</v>
      </c>
      <c r="L704" s="9">
        <v>355859</v>
      </c>
      <c r="M704" s="124" t="str">
        <f t="shared" si="81"/>
        <v>FASE II</v>
      </c>
      <c r="N704" s="155">
        <f t="shared" si="78"/>
        <v>8</v>
      </c>
      <c r="O704" s="156">
        <f t="shared" si="79"/>
        <v>379368</v>
      </c>
      <c r="P704" s="156">
        <f t="shared" si="80"/>
        <v>3034944</v>
      </c>
    </row>
    <row r="705" spans="2:16" s="9" customFormat="1" ht="35.1" customHeight="1" x14ac:dyDescent="0.25">
      <c r="B705" s="23" t="s">
        <v>1004</v>
      </c>
      <c r="C705" s="22" t="s">
        <v>1005</v>
      </c>
      <c r="D705" s="10" t="s">
        <v>16</v>
      </c>
      <c r="E705" s="12">
        <v>5</v>
      </c>
      <c r="F705" s="126">
        <v>400477</v>
      </c>
      <c r="G705" s="126">
        <f t="shared" si="85"/>
        <v>2002385</v>
      </c>
      <c r="H705" s="8"/>
      <c r="I705" s="9" t="str">
        <f t="array" ref="I705:L705">_xlfn.XLOOKUP(C705,'Neiva 2021 FASE I UNIFICADO'!$C$6:$C$540,'Neiva 2021 FASE I UNIFICADO'!$C$6:$F$540,"NO ESTA")</f>
        <v>SUMINISTRO E INSTALACION CITOFONO DE EMERGENCIA</v>
      </c>
      <c r="J705" s="9" t="str">
        <v>UND</v>
      </c>
      <c r="K705" s="9">
        <v>2</v>
      </c>
      <c r="L705" s="9">
        <v>375660</v>
      </c>
      <c r="M705" s="124" t="str">
        <f t="shared" si="81"/>
        <v>FASE II</v>
      </c>
      <c r="N705" s="155">
        <f t="shared" si="78"/>
        <v>7</v>
      </c>
      <c r="O705" s="156">
        <f t="shared" si="79"/>
        <v>400477</v>
      </c>
      <c r="P705" s="156">
        <f t="shared" si="80"/>
        <v>2803339</v>
      </c>
    </row>
    <row r="706" spans="2:16" s="9" customFormat="1" ht="35.1" customHeight="1" x14ac:dyDescent="0.25">
      <c r="B706" s="23" t="s">
        <v>1006</v>
      </c>
      <c r="C706" s="22" t="s">
        <v>1007</v>
      </c>
      <c r="D706" s="10" t="s">
        <v>16</v>
      </c>
      <c r="E706" s="12">
        <v>1</v>
      </c>
      <c r="F706" s="126">
        <v>8411205</v>
      </c>
      <c r="G706" s="126">
        <f t="shared" si="85"/>
        <v>8411205</v>
      </c>
      <c r="H706" s="8"/>
      <c r="I706" s="9" t="str">
        <f t="array" ref="I706:L706">_xlfn.XLOOKUP(C706,'Neiva 2021 FASE I UNIFICADO'!$C$6:$C$540,'Neiva 2021 FASE I UNIFICADO'!$C$6:$F$540,"NO ESTA")</f>
        <v xml:space="preserve">SUMINISTRO E INSTALACION CENTRAL DE DETECCION DE INCENDIO E INTRUSIÓN, CONSU GABINETE, FUENTE, CPU, DISPLAY Y TECLEDO, CON UN 30% DE RESERVA PARA AMPLIACIÓN. </v>
      </c>
      <c r="J706" s="9" t="str">
        <v>UND</v>
      </c>
      <c r="K706" s="9">
        <v>1</v>
      </c>
      <c r="L706" s="9">
        <v>7889971</v>
      </c>
      <c r="M706" s="124" t="str">
        <f t="shared" si="81"/>
        <v>FASE II</v>
      </c>
      <c r="N706" s="155">
        <f t="shared" si="78"/>
        <v>2</v>
      </c>
      <c r="O706" s="156">
        <f t="shared" si="79"/>
        <v>8411205</v>
      </c>
      <c r="P706" s="156">
        <f t="shared" si="80"/>
        <v>16822410</v>
      </c>
    </row>
    <row r="707" spans="2:16" s="9" customFormat="1" ht="35.1" customHeight="1" x14ac:dyDescent="0.25">
      <c r="B707" s="23" t="s">
        <v>1008</v>
      </c>
      <c r="C707" s="22" t="s">
        <v>1009</v>
      </c>
      <c r="D707" s="10" t="s">
        <v>94</v>
      </c>
      <c r="E707" s="12">
        <v>1277</v>
      </c>
      <c r="F707" s="126">
        <v>5267</v>
      </c>
      <c r="G707" s="126">
        <f t="shared" si="85"/>
        <v>6725959</v>
      </c>
      <c r="H707" s="8"/>
      <c r="I707" s="9" t="str">
        <f t="array" ref="I707:L707">_xlfn.XLOOKUP(C707,'Neiva 2021 FASE I UNIFICADO'!$C$6:$C$540,'Neiva 2021 FASE I UNIFICADO'!$C$6:$F$540,"NO ESTA")</f>
        <v>SUMINISTRO E INSTALACION CABLE BLINDADO 2 x 16 AWG FPL</v>
      </c>
      <c r="J707" s="9" t="str">
        <v>ML</v>
      </c>
      <c r="K707" s="9">
        <v>496</v>
      </c>
      <c r="L707" s="9">
        <v>4940</v>
      </c>
      <c r="M707" s="124" t="str">
        <f t="shared" si="81"/>
        <v>FASE II</v>
      </c>
      <c r="N707" s="155">
        <f t="shared" si="78"/>
        <v>1773</v>
      </c>
      <c r="O707" s="156">
        <f t="shared" si="79"/>
        <v>5267</v>
      </c>
      <c r="P707" s="156">
        <f t="shared" si="80"/>
        <v>9338391</v>
      </c>
    </row>
    <row r="708" spans="2:16" s="9" customFormat="1" ht="35.1" customHeight="1" x14ac:dyDescent="0.25">
      <c r="B708" s="23" t="s">
        <v>1010</v>
      </c>
      <c r="C708" s="22" t="s">
        <v>968</v>
      </c>
      <c r="D708" s="10" t="s">
        <v>94</v>
      </c>
      <c r="E708" s="12">
        <v>854</v>
      </c>
      <c r="F708" s="126">
        <v>16039</v>
      </c>
      <c r="G708" s="126">
        <f t="shared" si="85"/>
        <v>13697306</v>
      </c>
      <c r="H708" s="8"/>
      <c r="I708" s="9" t="str">
        <f t="array" ref="I708:L708">_xlfn.XLOOKUP(C708,'Neiva 2021 FASE I UNIFICADO'!$C$6:$C$540,'Neiva 2021 FASE I UNIFICADO'!$C$6:$F$540,"NO ESTA")</f>
        <v>SUMINISTRO E INSTALACION TUBERÍA EMT DE 3/4" INCLUYE ACCESORIOS</v>
      </c>
      <c r="J708" s="9" t="str">
        <v>ML</v>
      </c>
      <c r="K708" s="9">
        <v>61</v>
      </c>
      <c r="L708" s="9">
        <v>14844</v>
      </c>
      <c r="M708" s="124" t="str">
        <f t="shared" si="81"/>
        <v>FASE II</v>
      </c>
      <c r="N708" s="155">
        <f t="shared" si="78"/>
        <v>915</v>
      </c>
      <c r="O708" s="156">
        <f t="shared" si="79"/>
        <v>16039</v>
      </c>
      <c r="P708" s="156">
        <f t="shared" si="80"/>
        <v>14675685</v>
      </c>
    </row>
    <row r="709" spans="2:16" s="9" customFormat="1" ht="35.1" customHeight="1" x14ac:dyDescent="0.25">
      <c r="B709" s="23" t="s">
        <v>1011</v>
      </c>
      <c r="C709" s="22" t="s">
        <v>972</v>
      </c>
      <c r="D709" s="10" t="s">
        <v>94</v>
      </c>
      <c r="E709" s="12">
        <v>15</v>
      </c>
      <c r="F709" s="126">
        <v>4755</v>
      </c>
      <c r="G709" s="126">
        <f t="shared" si="85"/>
        <v>71325</v>
      </c>
      <c r="H709" s="8"/>
      <c r="I709" s="9" t="str">
        <f t="array" ref="I709:L709">_xlfn.XLOOKUP(C709,'Neiva 2021 FASE I UNIFICADO'!$C$6:$C$540,'Neiva 2021 FASE I UNIFICADO'!$C$6:$F$540,"NO ESTA")</f>
        <v>SUMINISTRO E INSTALACION TUBERÍA PVC DE 3/4" INCLUYE ACCESORIOS</v>
      </c>
      <c r="J709" s="9" t="str">
        <v>ML</v>
      </c>
      <c r="K709" s="9">
        <v>31</v>
      </c>
      <c r="L709" s="9">
        <v>4400</v>
      </c>
      <c r="M709" s="124" t="str">
        <f t="shared" si="81"/>
        <v>FASE II</v>
      </c>
      <c r="N709" s="155">
        <f t="shared" si="78"/>
        <v>46</v>
      </c>
      <c r="O709" s="156">
        <f t="shared" si="79"/>
        <v>4755</v>
      </c>
      <c r="P709" s="156">
        <f t="shared" si="80"/>
        <v>218730</v>
      </c>
    </row>
    <row r="710" spans="2:16" s="9" customFormat="1" ht="35.1" customHeight="1" x14ac:dyDescent="0.25">
      <c r="B710" s="23" t="s">
        <v>1012</v>
      </c>
      <c r="C710" s="22" t="s">
        <v>976</v>
      </c>
      <c r="D710" s="10" t="s">
        <v>16</v>
      </c>
      <c r="E710" s="12">
        <v>23</v>
      </c>
      <c r="F710" s="126">
        <v>12928</v>
      </c>
      <c r="G710" s="126">
        <f t="shared" si="85"/>
        <v>297344</v>
      </c>
      <c r="H710" s="8"/>
      <c r="I710" s="9" t="str">
        <f t="array" ref="I710:L710">_xlfn.XLOOKUP(C710,'Neiva 2021 FASE I UNIFICADO'!$C$6:$C$540,'Neiva 2021 FASE I UNIFICADO'!$C$6:$F$540,"NO ESTA")</f>
        <v>SUMINISTRO E INSTALACION CAJA DE PASO 10 x 10 m DOBLE FONDO</v>
      </c>
      <c r="J710" s="9" t="str">
        <v>UND</v>
      </c>
      <c r="K710" s="9">
        <v>4</v>
      </c>
      <c r="L710" s="9">
        <v>11964</v>
      </c>
      <c r="M710" s="124" t="str">
        <f t="shared" si="81"/>
        <v>FASE II</v>
      </c>
      <c r="N710" s="155">
        <f t="shared" ref="N710:N720" si="86">E710+K710</f>
        <v>27</v>
      </c>
      <c r="O710" s="156">
        <f t="shared" ref="O710:O720" si="87">MAX(L710,F710)</f>
        <v>12928</v>
      </c>
      <c r="P710" s="156">
        <f t="shared" ref="P710:P720" si="88">N710*O710</f>
        <v>349056</v>
      </c>
    </row>
    <row r="711" spans="2:16" s="9" customFormat="1" ht="35.1" customHeight="1" x14ac:dyDescent="0.25">
      <c r="B711" s="23" t="s">
        <v>1386</v>
      </c>
      <c r="C711" s="22" t="s">
        <v>1385</v>
      </c>
      <c r="D711" s="10" t="s">
        <v>1182</v>
      </c>
      <c r="E711" s="12">
        <v>0</v>
      </c>
      <c r="F711" s="126">
        <v>2856916</v>
      </c>
      <c r="G711" s="126">
        <f t="shared" si="85"/>
        <v>0</v>
      </c>
      <c r="H711" s="8"/>
      <c r="I711" s="9" t="str">
        <f t="array" ref="I711">_xlfn.XLOOKUP(C711,'Neiva 2021 FASE I UNIFICADO'!$C$6:$C$540,'Neiva 2021 FASE I UNIFICADO'!$C$6:$F$540,"NO ESTA")</f>
        <v>NO ESTA</v>
      </c>
      <c r="M711" s="124">
        <f t="shared" si="81"/>
        <v>0</v>
      </c>
      <c r="N711" s="155">
        <f t="shared" si="86"/>
        <v>0</v>
      </c>
      <c r="O711" s="156">
        <f t="shared" si="87"/>
        <v>2856916</v>
      </c>
      <c r="P711" s="156">
        <f t="shared" si="88"/>
        <v>0</v>
      </c>
    </row>
    <row r="712" spans="2:16" s="9" customFormat="1" ht="35.1" customHeight="1" x14ac:dyDescent="0.25">
      <c r="B712" s="13" t="s">
        <v>1387</v>
      </c>
      <c r="C712" s="14" t="s">
        <v>1388</v>
      </c>
      <c r="D712" s="27"/>
      <c r="E712" s="15"/>
      <c r="F712" s="129"/>
      <c r="G712" s="140"/>
      <c r="H712" s="8"/>
      <c r="I712" s="9" t="str">
        <f t="array" ref="I712">_xlfn.XLOOKUP(C712,'Neiva 2021 FASE I UNIFICADO'!$C$6:$C$540,'Neiva 2021 FASE I UNIFICADO'!$C$6:$F$540,"NO ESTA")</f>
        <v>NO ESTA</v>
      </c>
      <c r="M712" s="124">
        <f t="shared" ref="M712:M720" si="89">IF(L712=0,0,(IF(F712&lt;L712, "FASE I","FASE II")))</f>
        <v>0</v>
      </c>
      <c r="N712" s="155">
        <f t="shared" si="86"/>
        <v>0</v>
      </c>
      <c r="O712" s="156">
        <f t="shared" si="87"/>
        <v>0</v>
      </c>
      <c r="P712" s="156">
        <f t="shared" si="88"/>
        <v>0</v>
      </c>
    </row>
    <row r="713" spans="2:16" s="9" customFormat="1" ht="35.1" customHeight="1" x14ac:dyDescent="0.25">
      <c r="B713" s="23" t="s">
        <v>1389</v>
      </c>
      <c r="C713" s="22" t="s">
        <v>1390</v>
      </c>
      <c r="D713" s="10" t="s">
        <v>16</v>
      </c>
      <c r="E713" s="12">
        <v>64</v>
      </c>
      <c r="F713" s="126">
        <v>385558</v>
      </c>
      <c r="G713" s="126">
        <f t="shared" ref="G713:G720" si="90">ROUND(+F713*E713,2)</f>
        <v>24675712</v>
      </c>
      <c r="H713" s="8"/>
      <c r="I713" s="9" t="str">
        <f t="array" ref="I713">_xlfn.XLOOKUP(C713,'Neiva 2021 FASE I UNIFICADO'!$C$6:$C$540,'Neiva 2021 FASE I UNIFICADO'!$C$6:$F$540,"NO ESTA")</f>
        <v>NO ESTA</v>
      </c>
      <c r="M713" s="124">
        <f t="shared" si="89"/>
        <v>0</v>
      </c>
      <c r="N713" s="155">
        <f t="shared" si="86"/>
        <v>64</v>
      </c>
      <c r="O713" s="156">
        <f t="shared" si="87"/>
        <v>385558</v>
      </c>
      <c r="P713" s="156">
        <f t="shared" si="88"/>
        <v>24675712</v>
      </c>
    </row>
    <row r="714" spans="2:16" s="9" customFormat="1" ht="35.1" customHeight="1" x14ac:dyDescent="0.25">
      <c r="B714" s="23" t="s">
        <v>1391</v>
      </c>
      <c r="C714" s="22" t="s">
        <v>1392</v>
      </c>
      <c r="D714" s="10" t="s">
        <v>16</v>
      </c>
      <c r="E714" s="12">
        <v>2</v>
      </c>
      <c r="F714" s="126">
        <v>8931653</v>
      </c>
      <c r="G714" s="126">
        <f t="shared" si="90"/>
        <v>17863306</v>
      </c>
      <c r="H714" s="8"/>
      <c r="I714" s="9" t="str">
        <f t="array" ref="I714">_xlfn.XLOOKUP(C714,'Neiva 2021 FASE I UNIFICADO'!$C$6:$C$540,'Neiva 2021 FASE I UNIFICADO'!$C$6:$F$540,"NO ESTA")</f>
        <v>NO ESTA</v>
      </c>
      <c r="M714" s="124">
        <f t="shared" si="89"/>
        <v>0</v>
      </c>
      <c r="N714" s="155">
        <f t="shared" si="86"/>
        <v>2</v>
      </c>
      <c r="O714" s="156">
        <f t="shared" si="87"/>
        <v>8931653</v>
      </c>
      <c r="P714" s="156">
        <f t="shared" si="88"/>
        <v>17863306</v>
      </c>
    </row>
    <row r="715" spans="2:16" s="9" customFormat="1" ht="35.1" customHeight="1" x14ac:dyDescent="0.25">
      <c r="B715" s="23" t="s">
        <v>1393</v>
      </c>
      <c r="C715" s="22" t="s">
        <v>1394</v>
      </c>
      <c r="D715" s="10" t="s">
        <v>16</v>
      </c>
      <c r="E715" s="12">
        <v>2</v>
      </c>
      <c r="F715" s="126">
        <v>16541720</v>
      </c>
      <c r="G715" s="126">
        <f t="shared" si="90"/>
        <v>33083440</v>
      </c>
      <c r="H715" s="8"/>
      <c r="I715" s="9" t="str">
        <f t="array" ref="I715">_xlfn.XLOOKUP(C715,'Neiva 2021 FASE I UNIFICADO'!$C$6:$C$540,'Neiva 2021 FASE I UNIFICADO'!$C$6:$F$540,"NO ESTA")</f>
        <v>NO ESTA</v>
      </c>
      <c r="M715" s="124">
        <f t="shared" si="89"/>
        <v>0</v>
      </c>
      <c r="N715" s="155">
        <f t="shared" si="86"/>
        <v>2</v>
      </c>
      <c r="O715" s="156">
        <f t="shared" si="87"/>
        <v>16541720</v>
      </c>
      <c r="P715" s="156">
        <f t="shared" si="88"/>
        <v>33083440</v>
      </c>
    </row>
    <row r="716" spans="2:16" s="9" customFormat="1" ht="35.1" customHeight="1" x14ac:dyDescent="0.25">
      <c r="B716" s="23" t="s">
        <v>1395</v>
      </c>
      <c r="C716" s="22" t="s">
        <v>1396</v>
      </c>
      <c r="D716" s="10" t="s">
        <v>16</v>
      </c>
      <c r="E716" s="12">
        <v>2</v>
      </c>
      <c r="F716" s="126">
        <v>1641662</v>
      </c>
      <c r="G716" s="126">
        <f t="shared" si="90"/>
        <v>3283324</v>
      </c>
      <c r="H716" s="8"/>
      <c r="I716" s="9" t="str">
        <f t="array" ref="I716">_xlfn.XLOOKUP(C716,'Neiva 2021 FASE I UNIFICADO'!$C$6:$C$540,'Neiva 2021 FASE I UNIFICADO'!$C$6:$F$540,"NO ESTA")</f>
        <v>NO ESTA</v>
      </c>
      <c r="M716" s="124">
        <f t="shared" si="89"/>
        <v>0</v>
      </c>
      <c r="N716" s="155">
        <f t="shared" si="86"/>
        <v>2</v>
      </c>
      <c r="O716" s="156">
        <f t="shared" si="87"/>
        <v>1641662</v>
      </c>
      <c r="P716" s="156">
        <f t="shared" si="88"/>
        <v>3283324</v>
      </c>
    </row>
    <row r="717" spans="2:16" s="9" customFormat="1" ht="35.1" customHeight="1" x14ac:dyDescent="0.25">
      <c r="B717" s="23" t="s">
        <v>1397</v>
      </c>
      <c r="C717" s="22" t="s">
        <v>968</v>
      </c>
      <c r="D717" s="10" t="s">
        <v>94</v>
      </c>
      <c r="E717" s="12">
        <v>159</v>
      </c>
      <c r="F717" s="126">
        <v>16039</v>
      </c>
      <c r="G717" s="126">
        <f t="shared" si="90"/>
        <v>2550201</v>
      </c>
      <c r="H717" s="8"/>
      <c r="I717" s="9" t="str">
        <f t="array" ref="I717:L717">_xlfn.XLOOKUP(C717,'Neiva 2021 FASE I UNIFICADO'!$C$6:$C$540,'Neiva 2021 FASE I UNIFICADO'!$C$6:$F$540,"NO ESTA")</f>
        <v>SUMINISTRO E INSTALACION TUBERÍA EMT DE 3/4" INCLUYE ACCESORIOS</v>
      </c>
      <c r="J717" s="9" t="str">
        <v>ML</v>
      </c>
      <c r="K717" s="9">
        <v>61</v>
      </c>
      <c r="L717" s="9">
        <v>14844</v>
      </c>
      <c r="M717" s="124" t="str">
        <f t="shared" si="89"/>
        <v>FASE II</v>
      </c>
      <c r="N717" s="155">
        <f t="shared" si="86"/>
        <v>220</v>
      </c>
      <c r="O717" s="156">
        <f t="shared" si="87"/>
        <v>16039</v>
      </c>
      <c r="P717" s="156">
        <f t="shared" si="88"/>
        <v>3528580</v>
      </c>
    </row>
    <row r="718" spans="2:16" s="9" customFormat="1" ht="35.1" customHeight="1" x14ac:dyDescent="0.25">
      <c r="B718" s="23" t="s">
        <v>1398</v>
      </c>
      <c r="C718" s="22" t="s">
        <v>976</v>
      </c>
      <c r="D718" s="10" t="s">
        <v>16</v>
      </c>
      <c r="E718" s="12">
        <v>4</v>
      </c>
      <c r="F718" s="126">
        <v>12928</v>
      </c>
      <c r="G718" s="126">
        <f t="shared" si="90"/>
        <v>51712</v>
      </c>
      <c r="H718" s="8"/>
      <c r="I718" s="9" t="str">
        <f t="array" ref="I718:L718">_xlfn.XLOOKUP(C718,'Neiva 2021 FASE I UNIFICADO'!$C$6:$C$540,'Neiva 2021 FASE I UNIFICADO'!$C$6:$F$540,"NO ESTA")</f>
        <v>SUMINISTRO E INSTALACION CAJA DE PASO 10 x 10 m DOBLE FONDO</v>
      </c>
      <c r="J718" s="9" t="str">
        <v>UND</v>
      </c>
      <c r="K718" s="9">
        <v>4</v>
      </c>
      <c r="L718" s="9">
        <v>11964</v>
      </c>
      <c r="M718" s="124" t="str">
        <f t="shared" si="89"/>
        <v>FASE II</v>
      </c>
      <c r="N718" s="155">
        <f t="shared" si="86"/>
        <v>8</v>
      </c>
      <c r="O718" s="156">
        <f t="shared" si="87"/>
        <v>12928</v>
      </c>
      <c r="P718" s="156">
        <f t="shared" si="88"/>
        <v>103424</v>
      </c>
    </row>
    <row r="719" spans="2:16" s="9" customFormat="1" ht="35.1" customHeight="1" x14ac:dyDescent="0.25">
      <c r="B719" s="23" t="s">
        <v>1399</v>
      </c>
      <c r="C719" s="22" t="s">
        <v>1400</v>
      </c>
      <c r="D719" s="23" t="s">
        <v>94</v>
      </c>
      <c r="E719" s="12">
        <v>2380</v>
      </c>
      <c r="F719" s="126">
        <v>8415</v>
      </c>
      <c r="G719" s="126">
        <f t="shared" si="90"/>
        <v>20027700</v>
      </c>
      <c r="H719" s="8"/>
      <c r="I719" s="9" t="str">
        <f t="array" ref="I719">_xlfn.XLOOKUP(C719,'Neiva 2021 FASE I UNIFICADO'!$C$6:$C$540,'Neiva 2021 FASE I UNIFICADO'!$C$6:$F$540,"NO ESTA")</f>
        <v>NO ESTA</v>
      </c>
      <c r="M719" s="124">
        <f t="shared" si="89"/>
        <v>0</v>
      </c>
      <c r="N719" s="155">
        <f t="shared" si="86"/>
        <v>2380</v>
      </c>
      <c r="O719" s="156">
        <f t="shared" si="87"/>
        <v>8415</v>
      </c>
      <c r="P719" s="156">
        <f t="shared" si="88"/>
        <v>20027700</v>
      </c>
    </row>
    <row r="720" spans="2:16" s="9" customFormat="1" ht="35.1" customHeight="1" x14ac:dyDescent="0.25">
      <c r="B720" s="23" t="s">
        <v>1401</v>
      </c>
      <c r="C720" s="22" t="s">
        <v>1385</v>
      </c>
      <c r="D720" s="10" t="s">
        <v>1182</v>
      </c>
      <c r="E720" s="12">
        <v>1</v>
      </c>
      <c r="F720" s="126">
        <v>2856916</v>
      </c>
      <c r="G720" s="126">
        <f t="shared" si="90"/>
        <v>2856916</v>
      </c>
      <c r="H720" s="8"/>
      <c r="I720" s="9" t="str">
        <f t="array" ref="I720">_xlfn.XLOOKUP(C720,'Neiva 2021 FASE I UNIFICADO'!$C$6:$C$540,'Neiva 2021 FASE I UNIFICADO'!$C$6:$F$540,"NO ESTA")</f>
        <v>NO ESTA</v>
      </c>
      <c r="M720" s="124">
        <f t="shared" si="89"/>
        <v>0</v>
      </c>
      <c r="N720" s="155">
        <f t="shared" si="86"/>
        <v>1</v>
      </c>
      <c r="O720" s="156">
        <f t="shared" si="87"/>
        <v>2856916</v>
      </c>
      <c r="P720" s="156">
        <f t="shared" si="88"/>
        <v>2856916</v>
      </c>
    </row>
    <row r="721" spans="2:17" ht="15" x14ac:dyDescent="0.25">
      <c r="B721" s="428" t="s">
        <v>1032</v>
      </c>
      <c r="C721" s="429"/>
      <c r="D721" s="429"/>
      <c r="E721" s="429"/>
      <c r="F721" s="430"/>
      <c r="G721" s="65">
        <f>SUM(G1:G720)</f>
        <v>6167706772.9299984</v>
      </c>
      <c r="I721" s="65">
        <f>6353512589.28+5886807197</f>
        <v>12240319786.279999</v>
      </c>
      <c r="N721" s="157"/>
      <c r="O721" s="157"/>
      <c r="P721" s="158">
        <f>SUM(P6:P720)</f>
        <v>10107403134.022097</v>
      </c>
      <c r="Q721" s="1">
        <f>+'Neiva 2021 FASE I UNIFICADO'!O541</f>
        <v>2562796680.5200005</v>
      </c>
    </row>
    <row r="722" spans="2:17" x14ac:dyDescent="0.25">
      <c r="B722" s="425" t="s">
        <v>1034</v>
      </c>
      <c r="C722" s="425"/>
      <c r="D722" s="425"/>
      <c r="E722" s="425"/>
      <c r="F722" s="136">
        <v>0.23300000000000001</v>
      </c>
      <c r="G722" s="66">
        <f>F722*G721</f>
        <v>1437075678.0926898</v>
      </c>
      <c r="N722" s="157"/>
      <c r="O722" s="157"/>
      <c r="P722" s="157"/>
    </row>
    <row r="723" spans="2:17" x14ac:dyDescent="0.25">
      <c r="B723" s="425" t="s">
        <v>1035</v>
      </c>
      <c r="C723" s="425"/>
      <c r="D723" s="425"/>
      <c r="E723" s="425"/>
      <c r="F723" s="137">
        <v>0.03</v>
      </c>
      <c r="G723" s="66">
        <f>F723*G721</f>
        <v>185031203.18789995</v>
      </c>
      <c r="N723" s="157"/>
      <c r="O723" s="157"/>
      <c r="P723" s="158">
        <f>P721+Q721</f>
        <v>12670199814.542097</v>
      </c>
    </row>
    <row r="724" spans="2:17" x14ac:dyDescent="0.25">
      <c r="B724" s="425" t="s">
        <v>1036</v>
      </c>
      <c r="C724" s="425"/>
      <c r="D724" s="425"/>
      <c r="E724" s="425"/>
      <c r="F724" s="136">
        <v>0.05</v>
      </c>
      <c r="G724" s="66">
        <f>F724*G721</f>
        <v>308385338.64649993</v>
      </c>
    </row>
    <row r="725" spans="2:17" ht="15" x14ac:dyDescent="0.25">
      <c r="B725" s="431" t="s">
        <v>1033</v>
      </c>
      <c r="C725" s="432"/>
      <c r="D725" s="432"/>
      <c r="E725" s="432"/>
      <c r="F725" s="433"/>
      <c r="G725" s="67">
        <f>G722+G723+G724</f>
        <v>1930492219.9270895</v>
      </c>
    </row>
    <row r="726" spans="2:17" x14ac:dyDescent="0.25">
      <c r="B726" s="425" t="s">
        <v>1038</v>
      </c>
      <c r="C726" s="425"/>
      <c r="D726" s="425"/>
      <c r="E726" s="425"/>
      <c r="F726" s="136">
        <v>0.19</v>
      </c>
      <c r="G726" s="66">
        <f>F726*G724</f>
        <v>58593214.342834987</v>
      </c>
    </row>
    <row r="727" spans="2:17" x14ac:dyDescent="0.25">
      <c r="B727" s="426" t="s">
        <v>1402</v>
      </c>
      <c r="C727" s="426"/>
      <c r="D727" s="426"/>
      <c r="E727" s="426"/>
      <c r="F727" s="138"/>
      <c r="G727" s="65">
        <f>G721+G725+G726</f>
        <v>8156792207.1999235</v>
      </c>
    </row>
    <row r="728" spans="2:17" x14ac:dyDescent="0.3">
      <c r="E728"/>
    </row>
    <row r="729" spans="2:17" x14ac:dyDescent="0.3">
      <c r="E729"/>
      <c r="H729" s="1">
        <f>G721+'Neiva 2021 FASE I UNIFICADO'!G541</f>
        <v>11805277575.089996</v>
      </c>
      <c r="I729" s="146">
        <f>H729-I721</f>
        <v>-435042211.19000244</v>
      </c>
      <c r="K729" s="1">
        <f>+P723-H729</f>
        <v>864922239.45210075</v>
      </c>
      <c r="M729" s="152">
        <f>+P723-I721</f>
        <v>429880028.26209831</v>
      </c>
    </row>
    <row r="730" spans="2:17" x14ac:dyDescent="0.3">
      <c r="E730"/>
    </row>
    <row r="731" spans="2:17" x14ac:dyDescent="0.3">
      <c r="E731"/>
    </row>
    <row r="732" spans="2:17" x14ac:dyDescent="0.3">
      <c r="E732"/>
    </row>
    <row r="733" spans="2:17" x14ac:dyDescent="0.3">
      <c r="E733"/>
    </row>
    <row r="734" spans="2:17" x14ac:dyDescent="0.3">
      <c r="E734"/>
    </row>
    <row r="735" spans="2:17" x14ac:dyDescent="0.3">
      <c r="E735"/>
    </row>
    <row r="736" spans="2:17" x14ac:dyDescent="0.3">
      <c r="E736"/>
    </row>
    <row r="737" spans="5:5" x14ac:dyDescent="0.3">
      <c r="E737"/>
    </row>
    <row r="738" spans="5:5" x14ac:dyDescent="0.3">
      <c r="E738"/>
    </row>
    <row r="739" spans="5:5" x14ac:dyDescent="0.3">
      <c r="E739"/>
    </row>
    <row r="740" spans="5:5" x14ac:dyDescent="0.3">
      <c r="E740"/>
    </row>
    <row r="741" spans="5:5" x14ac:dyDescent="0.3">
      <c r="E741"/>
    </row>
    <row r="742" spans="5:5" x14ac:dyDescent="0.3">
      <c r="E742"/>
    </row>
    <row r="743" spans="5:5" x14ac:dyDescent="0.3">
      <c r="E743"/>
    </row>
    <row r="744" spans="5:5" x14ac:dyDescent="0.3">
      <c r="E744"/>
    </row>
    <row r="745" spans="5:5" x14ac:dyDescent="0.3">
      <c r="E745"/>
    </row>
    <row r="746" spans="5:5" x14ac:dyDescent="0.3">
      <c r="E746"/>
    </row>
    <row r="747" spans="5:5" x14ac:dyDescent="0.3">
      <c r="E747"/>
    </row>
    <row r="748" spans="5:5" x14ac:dyDescent="0.3">
      <c r="E748"/>
    </row>
    <row r="749" spans="5:5" x14ac:dyDescent="0.3">
      <c r="E749"/>
    </row>
    <row r="750" spans="5:5" x14ac:dyDescent="0.3">
      <c r="E750"/>
    </row>
    <row r="751" spans="5:5" x14ac:dyDescent="0.3">
      <c r="E751"/>
    </row>
    <row r="752" spans="5:5" x14ac:dyDescent="0.3">
      <c r="E752"/>
    </row>
    <row r="753" spans="5:5" x14ac:dyDescent="0.3">
      <c r="E753"/>
    </row>
    <row r="754" spans="5:5" x14ac:dyDescent="0.3">
      <c r="E754"/>
    </row>
    <row r="755" spans="5:5" x14ac:dyDescent="0.3">
      <c r="E755"/>
    </row>
    <row r="756" spans="5:5" x14ac:dyDescent="0.3">
      <c r="E756"/>
    </row>
    <row r="757" spans="5:5" x14ac:dyDescent="0.3">
      <c r="E757"/>
    </row>
    <row r="758" spans="5:5" x14ac:dyDescent="0.3">
      <c r="E758"/>
    </row>
    <row r="759" spans="5:5" x14ac:dyDescent="0.3">
      <c r="E759"/>
    </row>
    <row r="760" spans="5:5" x14ac:dyDescent="0.3">
      <c r="E760"/>
    </row>
    <row r="761" spans="5:5" x14ac:dyDescent="0.3">
      <c r="E761"/>
    </row>
    <row r="762" spans="5:5" x14ac:dyDescent="0.3">
      <c r="E762"/>
    </row>
    <row r="763" spans="5:5" x14ac:dyDescent="0.3">
      <c r="E763"/>
    </row>
    <row r="764" spans="5:5" x14ac:dyDescent="0.3">
      <c r="E764"/>
    </row>
    <row r="765" spans="5:5" x14ac:dyDescent="0.3">
      <c r="E765"/>
    </row>
    <row r="766" spans="5:5" x14ac:dyDescent="0.3">
      <c r="E766"/>
    </row>
    <row r="767" spans="5:5" x14ac:dyDescent="0.3">
      <c r="E767"/>
    </row>
    <row r="768" spans="5:5" x14ac:dyDescent="0.3">
      <c r="E768"/>
    </row>
    <row r="769" spans="5:5" x14ac:dyDescent="0.3">
      <c r="E769"/>
    </row>
    <row r="770" spans="5:5" x14ac:dyDescent="0.3">
      <c r="E770"/>
    </row>
    <row r="771" spans="5:5" x14ac:dyDescent="0.3">
      <c r="E771"/>
    </row>
    <row r="772" spans="5:5" x14ac:dyDescent="0.3">
      <c r="E772"/>
    </row>
    <row r="773" spans="5:5" x14ac:dyDescent="0.3">
      <c r="E773"/>
    </row>
    <row r="774" spans="5:5" x14ac:dyDescent="0.3">
      <c r="E774"/>
    </row>
    <row r="775" spans="5:5" x14ac:dyDescent="0.3">
      <c r="E775"/>
    </row>
    <row r="776" spans="5:5" x14ac:dyDescent="0.3">
      <c r="E776"/>
    </row>
    <row r="777" spans="5:5" x14ac:dyDescent="0.3">
      <c r="E777"/>
    </row>
    <row r="778" spans="5:5" x14ac:dyDescent="0.3">
      <c r="E778"/>
    </row>
    <row r="779" spans="5:5" x14ac:dyDescent="0.3">
      <c r="E779"/>
    </row>
    <row r="780" spans="5:5" x14ac:dyDescent="0.3">
      <c r="E780"/>
    </row>
    <row r="781" spans="5:5" x14ac:dyDescent="0.3">
      <c r="E781"/>
    </row>
    <row r="782" spans="5:5" x14ac:dyDescent="0.3">
      <c r="E782"/>
    </row>
    <row r="783" spans="5:5" x14ac:dyDescent="0.3">
      <c r="E783"/>
    </row>
    <row r="784" spans="5:5" x14ac:dyDescent="0.3">
      <c r="E784"/>
    </row>
    <row r="785" spans="5:5" x14ac:dyDescent="0.3">
      <c r="E785"/>
    </row>
    <row r="786" spans="5:5" x14ac:dyDescent="0.3">
      <c r="E786"/>
    </row>
    <row r="787" spans="5:5" x14ac:dyDescent="0.3">
      <c r="E787"/>
    </row>
    <row r="788" spans="5:5" x14ac:dyDescent="0.3">
      <c r="E788"/>
    </row>
    <row r="789" spans="5:5" x14ac:dyDescent="0.3">
      <c r="E789"/>
    </row>
    <row r="790" spans="5:5" x14ac:dyDescent="0.3">
      <c r="E790"/>
    </row>
    <row r="1048564" spans="9:9" x14ac:dyDescent="0.3">
      <c r="I1048564" s="68"/>
    </row>
    <row r="1048576" spans="9:9" ht="15" customHeight="1" x14ac:dyDescent="0.3"/>
  </sheetData>
  <mergeCells count="8">
    <mergeCell ref="B726:E726"/>
    <mergeCell ref="B727:E727"/>
    <mergeCell ref="B2:G3"/>
    <mergeCell ref="B721:F721"/>
    <mergeCell ref="B722:E722"/>
    <mergeCell ref="B723:E723"/>
    <mergeCell ref="B724:E724"/>
    <mergeCell ref="B725:F725"/>
  </mergeCells>
  <conditionalFormatting sqref="G2:G4 G6:G15 G18:G21 G23:G26 G28 G30:G31 G34:G35 G37:G39 G41:G45 G47:G48 G50:G52 G58:G59 G61:G62 G64:G67 G70:G79 G81:G86 G88:G93 G95:G100 G102:G107 G109:G111 G118:G119 G121:G125 G127:G129 G131:G133 G135:G136 G150:G153 G155 G158:G161 G163:G169 G171:G176 G178:G183 G199:G204 G206:G211 G213:G220 G222 G225 G227:G228 G230 G233:G235 G237:G238 G240 G242:G246 G248:G251 G253:G258 G260 G263:G291 G293:G311 G313:G320 G322:G344 G347:G359 G361:G375 G378:G393 G395:G399 G401:G404 G407:G412 G414:G415 G417:G430 G432:G450 G452:G460 G462:G490 G492:G503 G505 G507:G511 G514:G522 G525:G539 G541:G548 G550:G557 G559:G595 G597:G602 G604:G617 G619:G623 G625:G635 G638:G641 G643 G645:G650 G652:G654 G656:G658 G660:G671 G673:G676 G678:G679 G682:G688 G690:G699 G701:G711 G763:G1048576 G726:G727 G713:G724 G54:G56 G113:G116 G138:G148 G185:G197">
    <cfRule type="cellIs" dxfId="57" priority="3" operator="equal">
      <formula>0</formula>
    </cfRule>
  </conditionalFormatting>
  <conditionalFormatting sqref="G725">
    <cfRule type="cellIs" dxfId="56" priority="2" operator="equal">
      <formula>0</formula>
    </cfRule>
  </conditionalFormatting>
  <conditionalFormatting sqref="I721">
    <cfRule type="cellIs" dxfId="55" priority="1" operator="equal">
      <formula>0</formula>
    </cfRule>
  </conditionalFormatting>
  <printOptions horizontalCentered="1"/>
  <pageMargins left="0.70866141732283472" right="0.70866141732283472" top="0.74803149606299213" bottom="0.74803149606299213" header="0.31496062992125984" footer="0.31496062992125984"/>
  <pageSetup scale="5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2:Q1048576"/>
  <sheetViews>
    <sheetView view="pageBreakPreview" zoomScale="60" zoomScaleNormal="91" workbookViewId="0">
      <pane ySplit="5" topLeftCell="A714" activePane="bottomLeft" state="frozen"/>
      <selection activeCell="M553" sqref="M553"/>
      <selection pane="bottomLeft" activeCell="M553" sqref="M553"/>
    </sheetView>
  </sheetViews>
  <sheetFormatPr baseColWidth="10" defaultColWidth="11.42578125" defaultRowHeight="16.5" x14ac:dyDescent="0.3"/>
  <cols>
    <col min="1" max="1" width="4.5703125" customWidth="1"/>
    <col min="2" max="2" width="9" customWidth="1"/>
    <col min="3" max="3" width="62" customWidth="1"/>
    <col min="4" max="4" width="10.28515625" customWidth="1"/>
    <col min="5" max="5" width="15.42578125" style="69" customWidth="1"/>
    <col min="6" max="6" width="18.42578125" style="139" customWidth="1"/>
    <col min="7" max="7" width="17.42578125" style="139" customWidth="1"/>
    <col min="8" max="8" width="20.140625" style="1" hidden="1" customWidth="1"/>
    <col min="9" max="9" width="59.28515625" customWidth="1"/>
    <col min="11" max="11" width="14.85546875" bestFit="1" customWidth="1"/>
    <col min="13" max="13" width="16.28515625" style="118" customWidth="1"/>
    <col min="15" max="15" width="15.140625" customWidth="1"/>
    <col min="16" max="16" width="21.28515625" customWidth="1"/>
    <col min="17" max="17" width="17" customWidth="1"/>
  </cols>
  <sheetData>
    <row r="2" spans="2:16" ht="15" customHeight="1" x14ac:dyDescent="0.25">
      <c r="B2" s="427" t="s">
        <v>1042</v>
      </c>
      <c r="C2" s="427"/>
      <c r="D2" s="427"/>
      <c r="E2" s="427"/>
      <c r="F2" s="427"/>
      <c r="G2" s="427"/>
    </row>
    <row r="3" spans="2:16" ht="23.25" customHeight="1" x14ac:dyDescent="0.25">
      <c r="B3" s="427"/>
      <c r="C3" s="427"/>
      <c r="D3" s="427"/>
      <c r="E3" s="427"/>
      <c r="F3" s="427"/>
      <c r="G3" s="427"/>
      <c r="H3" s="1">
        <v>0.95279999999999998</v>
      </c>
    </row>
    <row r="4" spans="2:16" ht="27" customHeight="1" x14ac:dyDescent="0.25">
      <c r="B4" s="2" t="s">
        <v>1</v>
      </c>
      <c r="C4" s="2" t="s">
        <v>2</v>
      </c>
      <c r="D4" s="2" t="s">
        <v>3</v>
      </c>
      <c r="E4" s="3" t="s">
        <v>4</v>
      </c>
      <c r="F4" s="2" t="s">
        <v>5</v>
      </c>
      <c r="G4" s="2" t="s">
        <v>6</v>
      </c>
      <c r="I4" s="123" t="s">
        <v>1043</v>
      </c>
      <c r="J4" t="s">
        <v>16</v>
      </c>
      <c r="K4" t="s">
        <v>1044</v>
      </c>
      <c r="L4" t="s">
        <v>1045</v>
      </c>
      <c r="M4" s="118" t="s">
        <v>1046</v>
      </c>
    </row>
    <row r="5" spans="2:16" s="9" customFormat="1" ht="35.1" customHeight="1" x14ac:dyDescent="0.25">
      <c r="B5" s="4" t="s">
        <v>9</v>
      </c>
      <c r="C5" s="5" t="s">
        <v>10</v>
      </c>
      <c r="D5" s="6"/>
      <c r="E5" s="7"/>
      <c r="F5" s="125"/>
      <c r="G5" s="7"/>
      <c r="H5" s="8"/>
      <c r="M5" s="124"/>
      <c r="N5" s="153" t="s">
        <v>1047</v>
      </c>
      <c r="O5" s="153" t="s">
        <v>1048</v>
      </c>
      <c r="P5" s="154" t="s">
        <v>1041</v>
      </c>
    </row>
    <row r="6" spans="2:16" s="9" customFormat="1" ht="35.1" customHeight="1" x14ac:dyDescent="0.25">
      <c r="B6" s="10" t="s">
        <v>11</v>
      </c>
      <c r="C6" s="11" t="s">
        <v>12</v>
      </c>
      <c r="D6" s="10" t="s">
        <v>13</v>
      </c>
      <c r="E6" s="12">
        <v>295</v>
      </c>
      <c r="F6" s="126">
        <v>23484</v>
      </c>
      <c r="G6" s="126">
        <f t="shared" ref="G6:G15" si="0">ROUND(+F6*E6,2)</f>
        <v>6927780</v>
      </c>
      <c r="H6" s="8"/>
      <c r="I6" s="9" t="str">
        <f t="array" ref="I6:L6">_xlfn.XLOOKUP(C6,'Neiva 2022 FASE I ACTUAL (4)'!$C$6:$C$540,'Neiva 2022 FASE I ACTUAL (4)'!$C$6:$F$540,"NO ESTA")</f>
        <v>DESCAPOTE A MAQUINA (INCLUYE RETIRO)</v>
      </c>
      <c r="J6" s="9" t="str">
        <v>M2</v>
      </c>
      <c r="K6" s="9">
        <v>250</v>
      </c>
      <c r="L6" s="9">
        <v>27023</v>
      </c>
      <c r="M6" s="124" t="str">
        <f>IF(L6=0,0,(IF(F6&lt;L6, "FASE I","FASE II")))</f>
        <v>FASE I</v>
      </c>
      <c r="N6" s="155">
        <f t="shared" ref="N6:N69" si="1">E6+K6</f>
        <v>545</v>
      </c>
      <c r="O6" s="156">
        <f t="shared" ref="O6:O69" si="2">MAX(L6,F6)</f>
        <v>27023</v>
      </c>
      <c r="P6" s="156">
        <f t="shared" ref="P6:P69" si="3">N6*O6</f>
        <v>14727535</v>
      </c>
    </row>
    <row r="7" spans="2:16" s="9" customFormat="1" ht="35.1" customHeight="1" x14ac:dyDescent="0.25">
      <c r="B7" s="10" t="s">
        <v>1049</v>
      </c>
      <c r="C7" s="11" t="s">
        <v>1050</v>
      </c>
      <c r="D7" s="10" t="s">
        <v>13</v>
      </c>
      <c r="E7" s="12">
        <v>580</v>
      </c>
      <c r="F7" s="126">
        <v>3467</v>
      </c>
      <c r="G7" s="126">
        <f t="shared" si="0"/>
        <v>2010860</v>
      </c>
      <c r="H7" s="8"/>
      <c r="I7" s="9" t="str">
        <f t="array" ref="I7">_xlfn.XLOOKUP(C7,'Neiva 2022 FASE I ACTUAL (4)'!$C$6:$C$540,'Neiva 2022 FASE I ACTUAL (4)'!$C$6:$F$540,"NO ESTA")</f>
        <v>NO ESTA</v>
      </c>
      <c r="M7" s="124">
        <f>IF(L7=0,0,(IF(F7&lt;L7, "FASE I","FASE II")))</f>
        <v>0</v>
      </c>
      <c r="N7" s="155">
        <f t="shared" si="1"/>
        <v>580</v>
      </c>
      <c r="O7" s="156">
        <f t="shared" si="2"/>
        <v>3467</v>
      </c>
      <c r="P7" s="156">
        <f t="shared" si="3"/>
        <v>2010860</v>
      </c>
    </row>
    <row r="8" spans="2:16" s="9" customFormat="1" ht="35.1" customHeight="1" x14ac:dyDescent="0.25">
      <c r="B8" s="10" t="s">
        <v>1051</v>
      </c>
      <c r="C8" s="11" t="s">
        <v>1052</v>
      </c>
      <c r="D8" s="10" t="s">
        <v>94</v>
      </c>
      <c r="E8" s="12">
        <v>40</v>
      </c>
      <c r="F8" s="126">
        <v>33564</v>
      </c>
      <c r="G8" s="126">
        <f t="shared" si="0"/>
        <v>1342560</v>
      </c>
      <c r="H8" s="8"/>
      <c r="I8" s="9" t="str">
        <f t="array" ref="I8">_xlfn.XLOOKUP(C8,'Neiva 2022 FASE I ACTUAL (4)'!$C$6:$C$540,'Neiva 2022 FASE I ACTUAL (4)'!$C$6:$F$540,"NO ESTA")</f>
        <v>NO ESTA</v>
      </c>
      <c r="M8" s="124">
        <f t="shared" ref="M8:M71" si="4">IF(L8=0,0,(IF(F8&lt;L8, "FASE I","FASE II")))</f>
        <v>0</v>
      </c>
      <c r="N8" s="155">
        <f t="shared" si="1"/>
        <v>40</v>
      </c>
      <c r="O8" s="156">
        <f t="shared" si="2"/>
        <v>33564</v>
      </c>
      <c r="P8" s="156">
        <f t="shared" si="3"/>
        <v>1342560</v>
      </c>
    </row>
    <row r="9" spans="2:16" s="9" customFormat="1" ht="35.1" customHeight="1" x14ac:dyDescent="0.25">
      <c r="B9" s="10" t="s">
        <v>14</v>
      </c>
      <c r="C9" s="11" t="s">
        <v>15</v>
      </c>
      <c r="D9" s="10" t="s">
        <v>16</v>
      </c>
      <c r="E9" s="12">
        <v>0</v>
      </c>
      <c r="F9" s="126">
        <v>35057</v>
      </c>
      <c r="G9" s="126">
        <f t="shared" si="0"/>
        <v>0</v>
      </c>
      <c r="H9" s="8"/>
      <c r="I9" s="9" t="str">
        <f t="array" ref="I9:L9">_xlfn.XLOOKUP(C9,'Neiva 2022 FASE I ACTUAL (4)'!$C$6:$C$540,'Neiva 2022 FASE I ACTUAL (4)'!$C$6:$F$540,"NO ESTA")</f>
        <v>BARRERA DE PROTECCIÓN PARA ARBOLES EXISTENTES</v>
      </c>
      <c r="J9" s="9" t="str">
        <v>UND</v>
      </c>
      <c r="K9" s="9">
        <v>8</v>
      </c>
      <c r="L9" s="9">
        <v>34076</v>
      </c>
      <c r="M9" s="124" t="str">
        <f t="shared" si="4"/>
        <v>FASE II</v>
      </c>
      <c r="N9" s="155">
        <f t="shared" si="1"/>
        <v>8</v>
      </c>
      <c r="O9" s="156">
        <f t="shared" si="2"/>
        <v>35057</v>
      </c>
      <c r="P9" s="156">
        <f t="shared" si="3"/>
        <v>280456</v>
      </c>
    </row>
    <row r="10" spans="2:16" s="9" customFormat="1" ht="35.1" customHeight="1" x14ac:dyDescent="0.25">
      <c r="B10" s="13" t="s">
        <v>17</v>
      </c>
      <c r="C10" s="14" t="s">
        <v>18</v>
      </c>
      <c r="D10" s="13"/>
      <c r="E10" s="15"/>
      <c r="F10" s="126">
        <v>0</v>
      </c>
      <c r="G10" s="126">
        <f t="shared" si="0"/>
        <v>0</v>
      </c>
      <c r="H10" s="8"/>
      <c r="I10" s="9" t="str">
        <f t="array" ref="I10:L10">_xlfn.XLOOKUP(C10,'Neiva 2022 FASE I ACTUAL (4)'!$C$6:$C$540,'Neiva 2022 FASE I ACTUAL (4)'!$C$6:$F$540,"NO ESTA")</f>
        <v>INSTALACION SERVICIOS PROVISIONALES</v>
      </c>
      <c r="J10" s="9">
        <v>0</v>
      </c>
      <c r="K10" s="9">
        <v>0</v>
      </c>
      <c r="L10" s="9">
        <v>0</v>
      </c>
      <c r="M10" s="124">
        <f t="shared" si="4"/>
        <v>0</v>
      </c>
      <c r="N10" s="155">
        <f t="shared" si="1"/>
        <v>0</v>
      </c>
      <c r="O10" s="156">
        <f t="shared" si="2"/>
        <v>0</v>
      </c>
      <c r="P10" s="156">
        <f t="shared" si="3"/>
        <v>0</v>
      </c>
    </row>
    <row r="11" spans="2:16" s="9" customFormat="1" ht="35.1" customHeight="1" x14ac:dyDescent="0.25">
      <c r="B11" s="10" t="s">
        <v>1053</v>
      </c>
      <c r="C11" s="11" t="s">
        <v>1054</v>
      </c>
      <c r="D11" s="10" t="s">
        <v>374</v>
      </c>
      <c r="E11" s="12">
        <v>0</v>
      </c>
      <c r="F11" s="126">
        <v>549836</v>
      </c>
      <c r="G11" s="126">
        <f t="shared" si="0"/>
        <v>0</v>
      </c>
      <c r="H11" s="8"/>
      <c r="I11" s="9" t="str">
        <f t="array" ref="I11">_xlfn.XLOOKUP(C11,'Neiva 2022 FASE I ACTUAL (4)'!$C$6:$C$540,'Neiva 2022 FASE I ACTUAL (4)'!$C$6:$F$540,"NO ESTA")</f>
        <v>NO ESTA</v>
      </c>
      <c r="M11" s="124">
        <f t="shared" si="4"/>
        <v>0</v>
      </c>
      <c r="N11" s="155">
        <f t="shared" si="1"/>
        <v>0</v>
      </c>
      <c r="O11" s="156">
        <f t="shared" si="2"/>
        <v>549836</v>
      </c>
      <c r="P11" s="156">
        <f t="shared" si="3"/>
        <v>0</v>
      </c>
    </row>
    <row r="12" spans="2:16" s="9" customFormat="1" ht="35.1" customHeight="1" x14ac:dyDescent="0.25">
      <c r="B12" s="10" t="s">
        <v>1055</v>
      </c>
      <c r="C12" s="11" t="s">
        <v>1056</v>
      </c>
      <c r="D12" s="10" t="s">
        <v>374</v>
      </c>
      <c r="E12" s="12">
        <v>0</v>
      </c>
      <c r="F12" s="126">
        <v>3940517</v>
      </c>
      <c r="G12" s="126">
        <f t="shared" si="0"/>
        <v>0</v>
      </c>
      <c r="H12" s="8"/>
      <c r="I12" s="9" t="str">
        <f t="array" ref="I12">_xlfn.XLOOKUP(C12,'Neiva 2022 FASE I ACTUAL (4)'!$C$6:$C$540,'Neiva 2022 FASE I ACTUAL (4)'!$C$6:$F$540,"NO ESTA")</f>
        <v>NO ESTA</v>
      </c>
      <c r="M12" s="124">
        <f t="shared" si="4"/>
        <v>0</v>
      </c>
      <c r="N12" s="155">
        <f t="shared" si="1"/>
        <v>0</v>
      </c>
      <c r="O12" s="156">
        <f t="shared" si="2"/>
        <v>3940517</v>
      </c>
      <c r="P12" s="156">
        <f t="shared" si="3"/>
        <v>0</v>
      </c>
    </row>
    <row r="13" spans="2:16" s="9" customFormat="1" ht="35.1" customHeight="1" x14ac:dyDescent="0.25">
      <c r="B13" s="13" t="s">
        <v>19</v>
      </c>
      <c r="C13" s="14" t="s">
        <v>20</v>
      </c>
      <c r="D13" s="13"/>
      <c r="E13" s="15"/>
      <c r="F13" s="126">
        <v>0</v>
      </c>
      <c r="G13" s="126">
        <f t="shared" si="0"/>
        <v>0</v>
      </c>
      <c r="H13" s="8"/>
      <c r="I13" s="9" t="str">
        <f t="array" ref="I13:L13">_xlfn.XLOOKUP(C13,'Neiva 2022 FASE I ACTUAL (4)'!$C$6:$C$540,'Neiva 2022 FASE I ACTUAL (4)'!$C$6:$F$540,"NO ESTA")</f>
        <v>DEMOLICIONES</v>
      </c>
      <c r="J13" s="9">
        <v>0</v>
      </c>
      <c r="K13" s="9">
        <v>0</v>
      </c>
      <c r="L13" s="9">
        <v>0</v>
      </c>
      <c r="M13" s="124">
        <f t="shared" si="4"/>
        <v>0</v>
      </c>
      <c r="N13" s="155">
        <f t="shared" si="1"/>
        <v>0</v>
      </c>
      <c r="O13" s="156">
        <f t="shared" si="2"/>
        <v>0</v>
      </c>
      <c r="P13" s="156">
        <f t="shared" si="3"/>
        <v>0</v>
      </c>
    </row>
    <row r="14" spans="2:16" s="9" customFormat="1" ht="35.1" customHeight="1" x14ac:dyDescent="0.25">
      <c r="B14" s="10" t="s">
        <v>21</v>
      </c>
      <c r="C14" s="11" t="s">
        <v>1057</v>
      </c>
      <c r="D14" s="10" t="s">
        <v>13</v>
      </c>
      <c r="E14" s="12">
        <v>0</v>
      </c>
      <c r="F14" s="126">
        <v>16701</v>
      </c>
      <c r="G14" s="126">
        <f t="shared" si="0"/>
        <v>0</v>
      </c>
      <c r="H14" s="8"/>
      <c r="I14" s="9" t="str">
        <f t="array" ref="I14">_xlfn.XLOOKUP(C14,'Neiva 2022 FASE I ACTUAL (4)'!$C$6:$C$540,'Neiva 2022 FASE I ACTUAL (4)'!$C$6:$F$540,"NO ESTA")</f>
        <v>NO ESTA</v>
      </c>
      <c r="M14" s="124">
        <f t="shared" si="4"/>
        <v>0</v>
      </c>
      <c r="N14" s="155">
        <f t="shared" si="1"/>
        <v>0</v>
      </c>
      <c r="O14" s="156">
        <f t="shared" si="2"/>
        <v>16701</v>
      </c>
      <c r="P14" s="156">
        <f t="shared" si="3"/>
        <v>0</v>
      </c>
    </row>
    <row r="15" spans="2:16" s="9" customFormat="1" ht="35.1" customHeight="1" x14ac:dyDescent="0.25">
      <c r="B15" s="10" t="s">
        <v>23</v>
      </c>
      <c r="C15" s="11" t="s">
        <v>1058</v>
      </c>
      <c r="D15" s="10" t="s">
        <v>13</v>
      </c>
      <c r="E15" s="12">
        <v>0</v>
      </c>
      <c r="F15" s="126">
        <v>13104</v>
      </c>
      <c r="G15" s="126">
        <f t="shared" si="0"/>
        <v>0</v>
      </c>
      <c r="H15" s="8"/>
      <c r="I15" s="9" t="str">
        <f t="array" ref="I15">_xlfn.XLOOKUP(C15,'Neiva 2022 FASE I ACTUAL (4)'!$C$6:$C$540,'Neiva 2022 FASE I ACTUAL (4)'!$C$6:$F$540,"NO ESTA")</f>
        <v>NO ESTA</v>
      </c>
      <c r="M15" s="124">
        <f t="shared" si="4"/>
        <v>0</v>
      </c>
      <c r="N15" s="155">
        <f t="shared" si="1"/>
        <v>0</v>
      </c>
      <c r="O15" s="156">
        <f t="shared" si="2"/>
        <v>13104</v>
      </c>
      <c r="P15" s="156">
        <f t="shared" si="3"/>
        <v>0</v>
      </c>
    </row>
    <row r="16" spans="2:16" s="9" customFormat="1" ht="35.1" customHeight="1" x14ac:dyDescent="0.25">
      <c r="B16" s="16">
        <v>2</v>
      </c>
      <c r="C16" s="17" t="s">
        <v>25</v>
      </c>
      <c r="D16" s="17"/>
      <c r="E16" s="18"/>
      <c r="F16" s="127"/>
      <c r="G16" s="17"/>
      <c r="H16" s="8"/>
      <c r="I16" s="9" t="str">
        <f t="array" ref="I16:L16">_xlfn.XLOOKUP(C16,'Neiva 2022 FASE I ACTUAL (4)'!$C$6:$C$540,'Neiva 2022 FASE I ACTUAL (4)'!$C$6:$F$540,"NO ESTA")</f>
        <v>CIMENTACION</v>
      </c>
      <c r="J16" s="9">
        <v>0</v>
      </c>
      <c r="K16" s="9">
        <v>0</v>
      </c>
      <c r="L16" s="9">
        <v>0</v>
      </c>
      <c r="M16" s="124">
        <f t="shared" si="4"/>
        <v>0</v>
      </c>
      <c r="N16" s="155">
        <f t="shared" si="1"/>
        <v>0</v>
      </c>
      <c r="O16" s="156">
        <f t="shared" si="2"/>
        <v>0</v>
      </c>
      <c r="P16" s="156">
        <f t="shared" si="3"/>
        <v>0</v>
      </c>
    </row>
    <row r="17" spans="2:16" s="9" customFormat="1" ht="35.1" customHeight="1" x14ac:dyDescent="0.25">
      <c r="B17" s="13" t="s">
        <v>26</v>
      </c>
      <c r="C17" s="14" t="s">
        <v>27</v>
      </c>
      <c r="D17" s="13"/>
      <c r="E17" s="15"/>
      <c r="F17" s="128"/>
      <c r="G17" s="19"/>
      <c r="H17" s="8"/>
      <c r="I17" s="9" t="str">
        <f t="array" ref="I17:L17">_xlfn.XLOOKUP(C17,'Neiva 2022 FASE I ACTUAL (4)'!$C$6:$C$540,'Neiva 2022 FASE I ACTUAL (4)'!$C$6:$F$540,"NO ESTA")</f>
        <v>EXCAVACIONES, RELLENOS Y OTROS</v>
      </c>
      <c r="J17" s="9">
        <v>0</v>
      </c>
      <c r="K17" s="9">
        <v>0</v>
      </c>
      <c r="L17" s="9">
        <v>0</v>
      </c>
      <c r="M17" s="124">
        <f t="shared" si="4"/>
        <v>0</v>
      </c>
      <c r="N17" s="155">
        <f t="shared" si="1"/>
        <v>0</v>
      </c>
      <c r="O17" s="156">
        <f t="shared" si="2"/>
        <v>0</v>
      </c>
      <c r="P17" s="156">
        <f t="shared" si="3"/>
        <v>0</v>
      </c>
    </row>
    <row r="18" spans="2:16" s="9" customFormat="1" ht="35.1" customHeight="1" x14ac:dyDescent="0.25">
      <c r="B18" s="10" t="s">
        <v>28</v>
      </c>
      <c r="C18" s="11" t="s">
        <v>29</v>
      </c>
      <c r="D18" s="10" t="s">
        <v>30</v>
      </c>
      <c r="E18" s="12">
        <v>400</v>
      </c>
      <c r="F18" s="126">
        <v>31642</v>
      </c>
      <c r="G18" s="126">
        <f>ROUND(+F18*E18,2)</f>
        <v>12656800</v>
      </c>
      <c r="H18" s="8"/>
      <c r="I18" s="9" t="str">
        <f t="array" ref="I18:L18">_xlfn.XLOOKUP(C18,'Neiva 2022 FASE I ACTUAL (4)'!$C$6:$C$540,'Neiva 2022 FASE I ACTUAL (4)'!$C$6:$F$540,"NO ESTA")</f>
        <v>EXCAVACIÓN MECÁNICA EN MATERIAL COMÚN (incluye cargue y retiro)</v>
      </c>
      <c r="J18" s="9" t="str">
        <v>M3</v>
      </c>
      <c r="K18" s="9">
        <v>0</v>
      </c>
      <c r="L18" s="9">
        <v>30758</v>
      </c>
      <c r="M18" s="124" t="str">
        <f t="shared" si="4"/>
        <v>FASE II</v>
      </c>
      <c r="N18" s="155">
        <f t="shared" si="1"/>
        <v>400</v>
      </c>
      <c r="O18" s="156">
        <f t="shared" si="2"/>
        <v>31642</v>
      </c>
      <c r="P18" s="156">
        <f t="shared" si="3"/>
        <v>12656800</v>
      </c>
    </row>
    <row r="19" spans="2:16" s="9" customFormat="1" ht="35.1" customHeight="1" x14ac:dyDescent="0.25">
      <c r="B19" s="10" t="s">
        <v>31</v>
      </c>
      <c r="C19" s="11" t="s">
        <v>32</v>
      </c>
      <c r="D19" s="10" t="s">
        <v>30</v>
      </c>
      <c r="E19" s="12">
        <v>57.945499999999981</v>
      </c>
      <c r="F19" s="126">
        <v>39971</v>
      </c>
      <c r="G19" s="126">
        <f>ROUND(+F19*E19,2)</f>
        <v>2316139.58</v>
      </c>
      <c r="H19" s="8"/>
      <c r="I19" s="9" t="str">
        <f t="array" ref="I19:L19">_xlfn.XLOOKUP(C19,'Neiva 2022 FASE I ACTUAL (4)'!$C$6:$C$540,'Neiva 2022 FASE I ACTUAL (4)'!$C$6:$F$540,"NO ESTA")</f>
        <v>EXCAVACIÓN MANUAL EN MATERIAL COMÚN (incluye cargue y retiro)</v>
      </c>
      <c r="J19" s="9" t="str">
        <v>M3</v>
      </c>
      <c r="K19" s="9">
        <v>299.45</v>
      </c>
      <c r="L19" s="9">
        <v>38854</v>
      </c>
      <c r="M19" s="124" t="str">
        <f t="shared" si="4"/>
        <v>FASE II</v>
      </c>
      <c r="N19" s="155">
        <f t="shared" si="1"/>
        <v>357.39549999999997</v>
      </c>
      <c r="O19" s="156">
        <f t="shared" si="2"/>
        <v>39971</v>
      </c>
      <c r="P19" s="156">
        <f t="shared" si="3"/>
        <v>14285455.530499998</v>
      </c>
    </row>
    <row r="20" spans="2:16" s="9" customFormat="1" ht="35.1" customHeight="1" x14ac:dyDescent="0.25">
      <c r="B20" s="10" t="s">
        <v>33</v>
      </c>
      <c r="C20" s="20" t="s">
        <v>34</v>
      </c>
      <c r="D20" s="10" t="s">
        <v>30</v>
      </c>
      <c r="E20" s="12">
        <v>56.107679999999959</v>
      </c>
      <c r="F20" s="126">
        <v>12500</v>
      </c>
      <c r="G20" s="126">
        <f>ROUND(+F20*E20,2)</f>
        <v>701346</v>
      </c>
      <c r="H20" s="8"/>
      <c r="I20" s="9" t="str">
        <f t="array" ref="I20:L20">_xlfn.XLOOKUP(C20,'Neiva 2022 FASE I ACTUAL (4)'!$C$6:$C$540,'Neiva 2022 FASE I ACTUAL (4)'!$C$6:$F$540,"NO ESTA")</f>
        <v>RELLENOS EN MATERIAL COMÚN, SELECCIONADO DE OBRA (Incluye Compactación)</v>
      </c>
      <c r="J20" s="9" t="str">
        <v>M3</v>
      </c>
      <c r="K20" s="9">
        <v>524.07000000000005</v>
      </c>
      <c r="L20" s="9">
        <v>12151</v>
      </c>
      <c r="M20" s="124" t="str">
        <f t="shared" si="4"/>
        <v>FASE II</v>
      </c>
      <c r="N20" s="155">
        <f t="shared" si="1"/>
        <v>580.17768000000001</v>
      </c>
      <c r="O20" s="156">
        <f t="shared" si="2"/>
        <v>12500</v>
      </c>
      <c r="P20" s="156">
        <f t="shared" si="3"/>
        <v>7252221</v>
      </c>
    </row>
    <row r="21" spans="2:16" s="9" customFormat="1" ht="35.1" customHeight="1" x14ac:dyDescent="0.25">
      <c r="B21" s="10" t="s">
        <v>35</v>
      </c>
      <c r="C21" s="11" t="s">
        <v>36</v>
      </c>
      <c r="D21" s="10" t="s">
        <v>30</v>
      </c>
      <c r="E21" s="12">
        <v>70.485000000000014</v>
      </c>
      <c r="F21" s="126">
        <v>62932</v>
      </c>
      <c r="G21" s="126">
        <f>ROUND(+F21*E21,2)</f>
        <v>4435762.0199999996</v>
      </c>
      <c r="H21" s="8"/>
      <c r="I21" s="9" t="str">
        <f t="array" ref="I21:L21">_xlfn.XLOOKUP(C21,'Neiva 2022 FASE I ACTUAL (4)'!$C$6:$C$540,'Neiva 2022 FASE I ACTUAL (4)'!$C$6:$F$540,"NO ESTA")</f>
        <v>RELLENO EN RECEBO COMÚN (Incluye Compactación)</v>
      </c>
      <c r="J21" s="9" t="str">
        <v>M3</v>
      </c>
      <c r="K21" s="9">
        <v>122.54</v>
      </c>
      <c r="L21" s="9">
        <v>61173</v>
      </c>
      <c r="M21" s="124" t="str">
        <f t="shared" si="4"/>
        <v>FASE II</v>
      </c>
      <c r="N21" s="155">
        <f t="shared" si="1"/>
        <v>193.02500000000003</v>
      </c>
      <c r="O21" s="156">
        <f t="shared" si="2"/>
        <v>62932</v>
      </c>
      <c r="P21" s="156">
        <f t="shared" si="3"/>
        <v>12147449.300000003</v>
      </c>
    </row>
    <row r="22" spans="2:16" s="9" customFormat="1" ht="35.1" customHeight="1" x14ac:dyDescent="0.25">
      <c r="B22" s="13" t="s">
        <v>37</v>
      </c>
      <c r="C22" s="14" t="s">
        <v>38</v>
      </c>
      <c r="D22" s="13"/>
      <c r="E22" s="15"/>
      <c r="F22" s="129"/>
      <c r="G22" s="140"/>
      <c r="H22" s="8"/>
      <c r="I22" s="9" t="str">
        <f t="array" ref="I22:L22">_xlfn.XLOOKUP(C22,'Neiva 2022 FASE I ACTUAL (4)'!$C$6:$C$540,'Neiva 2022 FASE I ACTUAL (4)'!$C$6:$F$540,"NO ESTA")</f>
        <v xml:space="preserve">CONCRETOS DE CIMENTACIÓN </v>
      </c>
      <c r="J22" s="9">
        <v>0</v>
      </c>
      <c r="K22" s="9">
        <v>0</v>
      </c>
      <c r="L22" s="9">
        <v>0</v>
      </c>
      <c r="M22" s="124">
        <f t="shared" si="4"/>
        <v>0</v>
      </c>
      <c r="N22" s="155">
        <f t="shared" si="1"/>
        <v>0</v>
      </c>
      <c r="O22" s="156">
        <f t="shared" si="2"/>
        <v>0</v>
      </c>
      <c r="P22" s="156">
        <f t="shared" si="3"/>
        <v>0</v>
      </c>
    </row>
    <row r="23" spans="2:16" s="9" customFormat="1" ht="35.1" customHeight="1" x14ac:dyDescent="0.25">
      <c r="B23" s="21" t="s">
        <v>39</v>
      </c>
      <c r="C23" s="22" t="s">
        <v>40</v>
      </c>
      <c r="D23" s="23" t="s">
        <v>13</v>
      </c>
      <c r="E23" s="12">
        <v>72.123000000000047</v>
      </c>
      <c r="F23" s="126">
        <v>25442</v>
      </c>
      <c r="G23" s="126">
        <f>ROUND(+F23*E23,2)</f>
        <v>1834953.37</v>
      </c>
      <c r="H23" s="8"/>
      <c r="I23" s="9" t="str">
        <f t="array" ref="I23:L23">_xlfn.XLOOKUP(C23,'Neiva 2022 FASE I ACTUAL (4)'!$C$6:$C$540,'Neiva 2022 FASE I ACTUAL (4)'!$C$6:$F$540,"NO ESTA")</f>
        <v>CONCRETO POBRE DE LIMPIEZA  e=0.05 m</v>
      </c>
      <c r="J23" s="9" t="str">
        <v>M2</v>
      </c>
      <c r="K23" s="9">
        <v>1111.51</v>
      </c>
      <c r="L23" s="9">
        <v>23803</v>
      </c>
      <c r="M23" s="124" t="str">
        <f t="shared" si="4"/>
        <v>FASE II</v>
      </c>
      <c r="N23" s="155">
        <f t="shared" si="1"/>
        <v>1183.633</v>
      </c>
      <c r="O23" s="156">
        <f t="shared" si="2"/>
        <v>25442</v>
      </c>
      <c r="P23" s="156">
        <f t="shared" si="3"/>
        <v>30113990.786000002</v>
      </c>
    </row>
    <row r="24" spans="2:16" s="9" customFormat="1" ht="35.1" customHeight="1" x14ac:dyDescent="0.25">
      <c r="B24" s="21" t="s">
        <v>41</v>
      </c>
      <c r="C24" s="11" t="s">
        <v>42</v>
      </c>
      <c r="D24" s="10" t="s">
        <v>30</v>
      </c>
      <c r="E24" s="12">
        <v>36</v>
      </c>
      <c r="F24" s="126">
        <v>652838</v>
      </c>
      <c r="G24" s="126">
        <f>ROUND(+F24*E24,2)</f>
        <v>23502168</v>
      </c>
      <c r="H24" s="8"/>
      <c r="I24" s="9" t="str">
        <f t="array" ref="I24:L24">_xlfn.XLOOKUP(C24,'Neiva 2022 FASE I ACTUAL (4)'!$C$6:$C$540,'Neiva 2022 FASE I ACTUAL (4)'!$C$6:$F$540,"NO ESTA")</f>
        <v>CONCRETO PARA ZAPATAS DE 4000 psi</v>
      </c>
      <c r="J24" s="9" t="str">
        <v>M3</v>
      </c>
      <c r="K24" s="9">
        <v>46.48</v>
      </c>
      <c r="L24" s="9">
        <v>704020</v>
      </c>
      <c r="M24" s="124" t="str">
        <f t="shared" si="4"/>
        <v>FASE I</v>
      </c>
      <c r="N24" s="155">
        <f t="shared" si="1"/>
        <v>82.47999999999999</v>
      </c>
      <c r="O24" s="156">
        <f t="shared" si="2"/>
        <v>704020</v>
      </c>
      <c r="P24" s="156">
        <f t="shared" si="3"/>
        <v>58067569.599999994</v>
      </c>
    </row>
    <row r="25" spans="2:16" s="9" customFormat="1" ht="35.1" customHeight="1" x14ac:dyDescent="0.25">
      <c r="B25" s="21" t="s">
        <v>43</v>
      </c>
      <c r="C25" s="11" t="s">
        <v>44</v>
      </c>
      <c r="D25" s="10" t="s">
        <v>30</v>
      </c>
      <c r="E25" s="12">
        <v>36.5</v>
      </c>
      <c r="F25" s="126">
        <v>652838</v>
      </c>
      <c r="G25" s="126">
        <f>ROUND(+F25*E25,2)</f>
        <v>23828587</v>
      </c>
      <c r="H25" s="8"/>
      <c r="I25" s="9" t="str">
        <f t="array" ref="I25:L25">_xlfn.XLOOKUP(C25,'Neiva 2022 FASE I ACTUAL (4)'!$C$6:$C$540,'Neiva 2022 FASE I ACTUAL (4)'!$C$6:$F$540,"NO ESTA")</f>
        <v>VIGAS DE CIMENTACIÓN DE 4000 psi</v>
      </c>
      <c r="J25" s="9" t="str">
        <v>M3</v>
      </c>
      <c r="K25" s="9">
        <v>45.04</v>
      </c>
      <c r="L25" s="9">
        <v>704020</v>
      </c>
      <c r="M25" s="124" t="str">
        <f t="shared" si="4"/>
        <v>FASE I</v>
      </c>
      <c r="N25" s="155">
        <f t="shared" si="1"/>
        <v>81.539999999999992</v>
      </c>
      <c r="O25" s="156">
        <f t="shared" si="2"/>
        <v>704020</v>
      </c>
      <c r="P25" s="156">
        <f t="shared" si="3"/>
        <v>57405790.799999997</v>
      </c>
    </row>
    <row r="26" spans="2:16" s="9" customFormat="1" ht="35.1" customHeight="1" x14ac:dyDescent="0.25">
      <c r="B26" s="21" t="s">
        <v>45</v>
      </c>
      <c r="C26" s="11" t="s">
        <v>46</v>
      </c>
      <c r="D26" s="10" t="s">
        <v>30</v>
      </c>
      <c r="E26" s="12">
        <v>13</v>
      </c>
      <c r="F26" s="126">
        <v>795025</v>
      </c>
      <c r="G26" s="126">
        <f>ROUND(+F26*E26,2)</f>
        <v>10335325</v>
      </c>
      <c r="H26" s="8"/>
      <c r="I26" s="9" t="str">
        <f t="array" ref="I26:L26">_xlfn.XLOOKUP(C26,'Neiva 2022 FASE I ACTUAL (4)'!$C$6:$C$540,'Neiva 2022 FASE I ACTUAL (4)'!$C$6:$F$540,"NO ESTA")</f>
        <v>MURO DE CONTENCIÓN SOTANO EN CONCRETO DE 4000 PSI</v>
      </c>
      <c r="J26" s="9" t="str">
        <v>M3</v>
      </c>
      <c r="K26" s="9">
        <v>34.93</v>
      </c>
      <c r="L26" s="9">
        <v>780301</v>
      </c>
      <c r="M26" s="124" t="str">
        <f t="shared" si="4"/>
        <v>FASE II</v>
      </c>
      <c r="N26" s="155">
        <f t="shared" si="1"/>
        <v>47.93</v>
      </c>
      <c r="O26" s="156">
        <f t="shared" si="2"/>
        <v>795025</v>
      </c>
      <c r="P26" s="156">
        <f t="shared" si="3"/>
        <v>38105548.25</v>
      </c>
    </row>
    <row r="27" spans="2:16" s="9" customFormat="1" ht="35.1" customHeight="1" x14ac:dyDescent="0.25">
      <c r="B27" s="13" t="s">
        <v>47</v>
      </c>
      <c r="C27" s="14" t="s">
        <v>1059</v>
      </c>
      <c r="D27" s="13"/>
      <c r="E27" s="15"/>
      <c r="F27" s="129"/>
      <c r="G27" s="140"/>
      <c r="H27" s="8"/>
      <c r="I27" s="9" t="str">
        <f t="array" ref="I27:L27">_xlfn.XLOOKUP(C27,'Neiva 2022 FASE I ACTUAL (4)'!$C$6:$C$540,'Neiva 2022 FASE I ACTUAL (4)'!$C$6:$F$540,"NO ESTA")</f>
        <v xml:space="preserve">CONSTRUCCIÓN VARIOS EN CONCRETO </v>
      </c>
      <c r="J27" s="9">
        <v>0</v>
      </c>
      <c r="K27" s="9">
        <v>0</v>
      </c>
      <c r="L27" s="9">
        <v>0</v>
      </c>
      <c r="M27" s="124">
        <f t="shared" si="4"/>
        <v>0</v>
      </c>
      <c r="N27" s="155">
        <f t="shared" si="1"/>
        <v>0</v>
      </c>
      <c r="O27" s="156">
        <f t="shared" si="2"/>
        <v>0</v>
      </c>
      <c r="P27" s="156">
        <f t="shared" si="3"/>
        <v>0</v>
      </c>
    </row>
    <row r="28" spans="2:16" s="9" customFormat="1" ht="35.1" customHeight="1" x14ac:dyDescent="0.25">
      <c r="B28" s="23" t="s">
        <v>49</v>
      </c>
      <c r="C28" s="11" t="s">
        <v>50</v>
      </c>
      <c r="D28" s="10" t="s">
        <v>30</v>
      </c>
      <c r="E28" s="12">
        <v>13.700000000000003</v>
      </c>
      <c r="F28" s="126">
        <v>821235</v>
      </c>
      <c r="G28" s="126">
        <f>ROUND(+F28*E28,2)</f>
        <v>11250919.5</v>
      </c>
      <c r="H28" s="8"/>
      <c r="I28" s="9" t="str">
        <f t="array" ref="I28:L28">_xlfn.XLOOKUP(C28,'Neiva 2022 FASE I ACTUAL (4)'!$C$6:$C$540,'Neiva 2022 FASE I ACTUAL (4)'!$C$6:$F$540,"NO ESTA")</f>
        <v>TANQUE DE ALMACENAMIENTO Y RESERVA EN CONCRETO DE 4000 PSI</v>
      </c>
      <c r="J28" s="9" t="str">
        <v>M3</v>
      </c>
      <c r="K28" s="9">
        <v>50.62</v>
      </c>
      <c r="L28" s="9">
        <v>780301</v>
      </c>
      <c r="M28" s="124" t="str">
        <f t="shared" si="4"/>
        <v>FASE II</v>
      </c>
      <c r="N28" s="155">
        <f t="shared" si="1"/>
        <v>64.319999999999993</v>
      </c>
      <c r="O28" s="156">
        <f t="shared" si="2"/>
        <v>821235</v>
      </c>
      <c r="P28" s="156">
        <f t="shared" si="3"/>
        <v>52821835.199999996</v>
      </c>
    </row>
    <row r="29" spans="2:16" s="9" customFormat="1" ht="35.1" customHeight="1" x14ac:dyDescent="0.25">
      <c r="B29" s="13" t="s">
        <v>51</v>
      </c>
      <c r="C29" s="24" t="s">
        <v>52</v>
      </c>
      <c r="D29" s="24"/>
      <c r="E29" s="15"/>
      <c r="F29" s="129"/>
      <c r="G29" s="140"/>
      <c r="H29" s="8"/>
      <c r="I29" s="9" t="str">
        <f t="array" ref="I29:L29">_xlfn.XLOOKUP(C29,'Neiva 2022 FASE I ACTUAL (4)'!$C$6:$C$540,'Neiva 2022 FASE I ACTUAL (4)'!$C$6:$F$540,"NO ESTA")</f>
        <v>SUMINISTRO E INSTALACIÓN ACERO DE REFUERZO CIMENTACIÓN</v>
      </c>
      <c r="J29" s="9">
        <v>0</v>
      </c>
      <c r="K29" s="9">
        <v>0</v>
      </c>
      <c r="L29" s="9">
        <v>0</v>
      </c>
      <c r="M29" s="124">
        <f t="shared" si="4"/>
        <v>0</v>
      </c>
      <c r="N29" s="155">
        <f t="shared" si="1"/>
        <v>0</v>
      </c>
      <c r="O29" s="156">
        <f t="shared" si="2"/>
        <v>0</v>
      </c>
      <c r="P29" s="156">
        <f t="shared" si="3"/>
        <v>0</v>
      </c>
    </row>
    <row r="30" spans="2:16" s="9" customFormat="1" ht="35.1" customHeight="1" x14ac:dyDescent="0.25">
      <c r="B30" s="10" t="s">
        <v>53</v>
      </c>
      <c r="C30" s="25" t="s">
        <v>54</v>
      </c>
      <c r="D30" s="10" t="s">
        <v>55</v>
      </c>
      <c r="E30" s="12">
        <v>8230.6999999999971</v>
      </c>
      <c r="F30" s="130">
        <v>5221</v>
      </c>
      <c r="G30" s="126">
        <f>ROUND(+F30*E30,2)</f>
        <v>42972484.700000003</v>
      </c>
      <c r="H30" s="26">
        <v>3687</v>
      </c>
      <c r="I30" s="9" t="str">
        <f t="array" ref="I30:L30">_xlfn.XLOOKUP(C30,'Neiva 2022 FASE I ACTUAL (4)'!$C$6:$C$540,'Neiva 2022 FASE I ACTUAL (4)'!$C$6:$F$540,"NO ESTA")</f>
        <v>ACERO DE REFUERZO 60000 psi Incluye ALAMBRE DE AMARRE</v>
      </c>
      <c r="J30" s="9" t="str">
        <v>KG</v>
      </c>
      <c r="K30" s="9">
        <v>16621.25</v>
      </c>
      <c r="L30" s="9">
        <v>5221</v>
      </c>
      <c r="M30" s="124" t="str">
        <f t="shared" si="4"/>
        <v>FASE II</v>
      </c>
      <c r="N30" s="155">
        <f t="shared" si="1"/>
        <v>24851.949999999997</v>
      </c>
      <c r="O30" s="156">
        <f t="shared" si="2"/>
        <v>5221</v>
      </c>
      <c r="P30" s="156">
        <f t="shared" si="3"/>
        <v>129752030.94999999</v>
      </c>
    </row>
    <row r="31" spans="2:16" s="9" customFormat="1" ht="35.1" customHeight="1" x14ac:dyDescent="0.25">
      <c r="B31" s="21" t="s">
        <v>56</v>
      </c>
      <c r="C31" s="25" t="s">
        <v>57</v>
      </c>
      <c r="D31" s="10" t="s">
        <v>13</v>
      </c>
      <c r="E31" s="12">
        <v>242.5</v>
      </c>
      <c r="F31" s="126">
        <f>+F30*1.5</f>
        <v>7831.5</v>
      </c>
      <c r="G31" s="126">
        <f>ROUND(+F31*E31,2)</f>
        <v>1899138.75</v>
      </c>
      <c r="H31" s="26">
        <v>5139</v>
      </c>
      <c r="I31" s="9" t="str">
        <f t="array" ref="I31:L31">_xlfn.XLOOKUP(C31,'Neiva 2022 FASE I ACTUAL (4)'!$C$6:$C$540,'Neiva 2022 FASE I ACTUAL (4)'!$C$6:$F$540,"NO ESTA")</f>
        <v>MALLA ELECTROSOLDADA PLACA CONTRAPISO Q84 Ø4 mm separación 15x15 cm o similar</v>
      </c>
      <c r="J31" s="9" t="str">
        <v>M2</v>
      </c>
      <c r="K31" s="9">
        <v>1871.1</v>
      </c>
      <c r="L31" s="9">
        <v>7831.5</v>
      </c>
      <c r="M31" s="124" t="str">
        <f t="shared" si="4"/>
        <v>FASE II</v>
      </c>
      <c r="N31" s="155">
        <f t="shared" si="1"/>
        <v>2113.6</v>
      </c>
      <c r="O31" s="156">
        <f t="shared" si="2"/>
        <v>7831.5</v>
      </c>
      <c r="P31" s="156">
        <f t="shared" si="3"/>
        <v>16552658.399999999</v>
      </c>
    </row>
    <row r="32" spans="2:16" s="9" customFormat="1" ht="35.1" customHeight="1" x14ac:dyDescent="0.25">
      <c r="B32" s="16">
        <v>3</v>
      </c>
      <c r="C32" s="17" t="s">
        <v>58</v>
      </c>
      <c r="D32" s="17"/>
      <c r="E32" s="18"/>
      <c r="F32" s="131"/>
      <c r="G32" s="17"/>
      <c r="H32" s="8"/>
      <c r="I32" s="9" t="str">
        <f t="array" ref="I32:L32">_xlfn.XLOOKUP(C32,'Neiva 2022 FASE I ACTUAL (4)'!$C$6:$C$540,'Neiva 2022 FASE I ACTUAL (4)'!$C$6:$F$540,"NO ESTA")</f>
        <v>ESTRUCTURAS EN CONCRETO Y METALICAS</v>
      </c>
      <c r="J32" s="9">
        <v>0</v>
      </c>
      <c r="K32" s="9">
        <v>0</v>
      </c>
      <c r="L32" s="9">
        <v>0</v>
      </c>
      <c r="M32" s="124">
        <f t="shared" si="4"/>
        <v>0</v>
      </c>
      <c r="N32" s="155">
        <f t="shared" si="1"/>
        <v>0</v>
      </c>
      <c r="O32" s="156">
        <f t="shared" si="2"/>
        <v>0</v>
      </c>
      <c r="P32" s="156">
        <f t="shared" si="3"/>
        <v>0</v>
      </c>
    </row>
    <row r="33" spans="2:16" s="9" customFormat="1" ht="35.1" customHeight="1" x14ac:dyDescent="0.25">
      <c r="B33" s="13" t="s">
        <v>59</v>
      </c>
      <c r="C33" s="14" t="s">
        <v>60</v>
      </c>
      <c r="D33" s="13"/>
      <c r="E33" s="15"/>
      <c r="F33" s="129"/>
      <c r="G33" s="140"/>
      <c r="H33" s="8"/>
      <c r="I33" s="9" t="str">
        <f t="array" ref="I33:L33">_xlfn.XLOOKUP(C33,'Neiva 2022 FASE I ACTUAL (4)'!$C$6:$C$540,'Neiva 2022 FASE I ACTUAL (4)'!$C$6:$F$540,"NO ESTA")</f>
        <v>ELEMENTOS ESTRUCTURALES</v>
      </c>
      <c r="J33" s="9">
        <v>0</v>
      </c>
      <c r="K33" s="9">
        <v>0</v>
      </c>
      <c r="L33" s="9">
        <v>0</v>
      </c>
      <c r="M33" s="124">
        <f t="shared" si="4"/>
        <v>0</v>
      </c>
      <c r="N33" s="155">
        <f t="shared" si="1"/>
        <v>0</v>
      </c>
      <c r="O33" s="156">
        <f t="shared" si="2"/>
        <v>0</v>
      </c>
      <c r="P33" s="156">
        <f t="shared" si="3"/>
        <v>0</v>
      </c>
    </row>
    <row r="34" spans="2:16" s="9" customFormat="1" ht="35.1" customHeight="1" x14ac:dyDescent="0.25">
      <c r="B34" s="23" t="s">
        <v>61</v>
      </c>
      <c r="C34" s="11" t="s">
        <v>62</v>
      </c>
      <c r="D34" s="10" t="s">
        <v>30</v>
      </c>
      <c r="E34" s="12">
        <v>24.939999999999998</v>
      </c>
      <c r="F34" s="126">
        <v>789448</v>
      </c>
      <c r="G34" s="126">
        <f>ROUND(+F34*E34,2)</f>
        <v>19688833.120000001</v>
      </c>
      <c r="H34" s="8"/>
      <c r="I34" s="9" t="str">
        <f t="array" ref="I34:L34">_xlfn.XLOOKUP(C34,'Neiva 2022 FASE I ACTUAL (4)'!$C$6:$C$540,'Neiva 2022 FASE I ACTUAL (4)'!$C$6:$F$540,"NO ESTA")</f>
        <v>COLUMNAS EN CONCRETO DE 4000 psi</v>
      </c>
      <c r="J34" s="9" t="str">
        <v>M3</v>
      </c>
      <c r="K34" s="9">
        <v>247.78</v>
      </c>
      <c r="L34" s="9">
        <v>829157</v>
      </c>
      <c r="M34" s="124" t="str">
        <f t="shared" si="4"/>
        <v>FASE I</v>
      </c>
      <c r="N34" s="155">
        <f t="shared" si="1"/>
        <v>272.72000000000003</v>
      </c>
      <c r="O34" s="156">
        <f t="shared" si="2"/>
        <v>829157</v>
      </c>
      <c r="P34" s="156">
        <f t="shared" si="3"/>
        <v>226127697.04000002</v>
      </c>
    </row>
    <row r="35" spans="2:16" s="9" customFormat="1" ht="35.1" customHeight="1" x14ac:dyDescent="0.25">
      <c r="B35" s="23" t="s">
        <v>63</v>
      </c>
      <c r="C35" s="11" t="s">
        <v>64</v>
      </c>
      <c r="D35" s="10" t="s">
        <v>30</v>
      </c>
      <c r="E35" s="12">
        <v>15.569999999999993</v>
      </c>
      <c r="F35" s="126">
        <v>789448</v>
      </c>
      <c r="G35" s="126">
        <f>ROUND(+F35*E35,2)</f>
        <v>12291705.359999999</v>
      </c>
      <c r="H35" s="8"/>
      <c r="I35" s="9" t="str">
        <f t="array" ref="I35:L35">_xlfn.XLOOKUP(C35,'Neiva 2022 FASE I ACTUAL (4)'!$C$6:$C$540,'Neiva 2022 FASE I ACTUAL (4)'!$C$6:$F$540,"NO ESTA")</f>
        <v>PANTALLAS ASCENSORES Y ESCALERA EJES F2 Y K2 EN CONCRETO DE 4000 PSI</v>
      </c>
      <c r="J35" s="9" t="str">
        <v>M3</v>
      </c>
      <c r="K35" s="9">
        <v>152.63999999999999</v>
      </c>
      <c r="L35" s="9">
        <v>829157</v>
      </c>
      <c r="M35" s="124" t="str">
        <f t="shared" si="4"/>
        <v>FASE I</v>
      </c>
      <c r="N35" s="155">
        <f t="shared" si="1"/>
        <v>168.20999999999998</v>
      </c>
      <c r="O35" s="156">
        <f t="shared" si="2"/>
        <v>829157</v>
      </c>
      <c r="P35" s="156">
        <f t="shared" si="3"/>
        <v>139472498.96999997</v>
      </c>
    </row>
    <row r="36" spans="2:16" s="9" customFormat="1" ht="35.1" customHeight="1" x14ac:dyDescent="0.25">
      <c r="B36" s="13" t="s">
        <v>65</v>
      </c>
      <c r="C36" s="14" t="s">
        <v>66</v>
      </c>
      <c r="D36" s="13"/>
      <c r="E36" s="15"/>
      <c r="F36" s="129"/>
      <c r="G36" s="140"/>
      <c r="H36" s="8"/>
      <c r="I36" s="9" t="str">
        <f t="array" ref="I36:L36">_xlfn.XLOOKUP(C36,'Neiva 2022 FASE I ACTUAL (4)'!$C$6:$C$540,'Neiva 2022 FASE I ACTUAL (4)'!$C$6:$F$540,"NO ESTA")</f>
        <v>PLACAS Y LOSAS DE ENTREPISO</v>
      </c>
      <c r="J36" s="9">
        <v>0</v>
      </c>
      <c r="K36" s="9">
        <v>0</v>
      </c>
      <c r="L36" s="9">
        <v>0</v>
      </c>
      <c r="M36" s="124">
        <f t="shared" si="4"/>
        <v>0</v>
      </c>
      <c r="N36" s="155">
        <f t="shared" si="1"/>
        <v>0</v>
      </c>
      <c r="O36" s="156">
        <f t="shared" si="2"/>
        <v>0</v>
      </c>
      <c r="P36" s="156">
        <f t="shared" si="3"/>
        <v>0</v>
      </c>
    </row>
    <row r="37" spans="2:16" s="9" customFormat="1" ht="35.1" customHeight="1" x14ac:dyDescent="0.25">
      <c r="B37" s="21" t="s">
        <v>67</v>
      </c>
      <c r="C37" s="11" t="s">
        <v>1060</v>
      </c>
      <c r="D37" s="23" t="s">
        <v>30</v>
      </c>
      <c r="E37" s="12">
        <v>0</v>
      </c>
      <c r="F37" s="126">
        <v>905780</v>
      </c>
      <c r="G37" s="126">
        <f>ROUND(+F37*E37,2)</f>
        <v>0</v>
      </c>
      <c r="H37" s="8"/>
      <c r="I37" s="9" t="str">
        <f t="array" ref="I37">_xlfn.XLOOKUP(C37,'Neiva 2022 FASE I ACTUAL (4)'!$C$6:$C$540,'Neiva 2022 FASE I ACTUAL (4)'!$C$6:$F$540,"NO ESTA")</f>
        <v>NO ESTA</v>
      </c>
      <c r="M37" s="124">
        <f t="shared" si="4"/>
        <v>0</v>
      </c>
      <c r="N37" s="155">
        <f t="shared" si="1"/>
        <v>0</v>
      </c>
      <c r="O37" s="156">
        <f t="shared" si="2"/>
        <v>905780</v>
      </c>
      <c r="P37" s="156">
        <f t="shared" si="3"/>
        <v>0</v>
      </c>
    </row>
    <row r="38" spans="2:16" s="9" customFormat="1" ht="35.1" customHeight="1" x14ac:dyDescent="0.25">
      <c r="B38" s="21" t="s">
        <v>69</v>
      </c>
      <c r="C38" s="11" t="s">
        <v>70</v>
      </c>
      <c r="D38" s="23" t="s">
        <v>13</v>
      </c>
      <c r="E38" s="12">
        <v>235.59999999999991</v>
      </c>
      <c r="F38" s="126">
        <v>95123</v>
      </c>
      <c r="G38" s="126">
        <f>ROUND(+F38*E38,2)</f>
        <v>22410978.800000001</v>
      </c>
      <c r="H38" s="8"/>
      <c r="I38" s="9" t="str">
        <f t="array" ref="I38:L38">_xlfn.XLOOKUP(C38,'Neiva 2022 FASE I ACTUAL (4)'!$C$6:$C$540,'Neiva 2022 FASE I ACTUAL (4)'!$C$6:$F$540,"NO ESTA")</f>
        <v>PLACA MACIZA CONTRAPISO CIMENTACION E: 15 cms</v>
      </c>
      <c r="J38" s="9" t="str">
        <v>M2</v>
      </c>
      <c r="K38" s="9">
        <v>1581</v>
      </c>
      <c r="L38" s="9">
        <v>100107</v>
      </c>
      <c r="M38" s="124" t="str">
        <f t="shared" si="4"/>
        <v>FASE I</v>
      </c>
      <c r="N38" s="155">
        <f t="shared" si="1"/>
        <v>1816.6</v>
      </c>
      <c r="O38" s="156">
        <f t="shared" si="2"/>
        <v>100107</v>
      </c>
      <c r="P38" s="156">
        <f t="shared" si="3"/>
        <v>181854376.19999999</v>
      </c>
    </row>
    <row r="39" spans="2:16" s="9" customFormat="1" ht="35.1" customHeight="1" x14ac:dyDescent="0.25">
      <c r="B39" s="21" t="s">
        <v>71</v>
      </c>
      <c r="C39" s="11" t="s">
        <v>72</v>
      </c>
      <c r="D39" s="23" t="s">
        <v>30</v>
      </c>
      <c r="E39" s="12">
        <v>0</v>
      </c>
      <c r="F39" s="126">
        <v>789448</v>
      </c>
      <c r="G39" s="126">
        <f>ROUND(+F39*E39,2)</f>
        <v>0</v>
      </c>
      <c r="H39" s="8"/>
      <c r="I39" s="9" t="str">
        <f t="array" ref="I39:L39">_xlfn.XLOOKUP(C39,'Neiva 2022 FASE I ACTUAL (4)'!$C$6:$C$540,'Neiva 2022 FASE I ACTUAL (4)'!$C$6:$F$540,"NO ESTA")</f>
        <v xml:space="preserve">PLACA MACIZA ZONA ASCENSOR 2DA PLANTA </v>
      </c>
      <c r="J39" s="9" t="str">
        <v>M3</v>
      </c>
      <c r="K39" s="9">
        <v>8.9</v>
      </c>
      <c r="L39" s="9">
        <v>741182</v>
      </c>
      <c r="M39" s="124" t="str">
        <f t="shared" si="4"/>
        <v>FASE II</v>
      </c>
      <c r="N39" s="155">
        <f t="shared" si="1"/>
        <v>8.9</v>
      </c>
      <c r="O39" s="156">
        <f t="shared" si="2"/>
        <v>789448</v>
      </c>
      <c r="P39" s="156">
        <f t="shared" si="3"/>
        <v>7026087.2000000002</v>
      </c>
    </row>
    <row r="40" spans="2:16" s="9" customFormat="1" ht="35.1" customHeight="1" x14ac:dyDescent="0.25">
      <c r="B40" s="13" t="s">
        <v>73</v>
      </c>
      <c r="C40" s="14" t="s">
        <v>74</v>
      </c>
      <c r="D40" s="13"/>
      <c r="E40" s="15"/>
      <c r="F40" s="129"/>
      <c r="G40" s="140"/>
      <c r="H40" s="8"/>
      <c r="I40" s="9" t="str">
        <f t="array" ref="I40:L40">_xlfn.XLOOKUP(C40,'Neiva 2022 FASE I ACTUAL (4)'!$C$6:$C$540,'Neiva 2022 FASE I ACTUAL (4)'!$C$6:$F$540,"NO ESTA")</f>
        <v>CONSTRUCCIONES VARIAS EN CONCRETO</v>
      </c>
      <c r="J40" s="9">
        <v>0</v>
      </c>
      <c r="K40" s="9">
        <v>0</v>
      </c>
      <c r="L40" s="9">
        <v>0</v>
      </c>
      <c r="M40" s="124">
        <f t="shared" si="4"/>
        <v>0</v>
      </c>
      <c r="N40" s="155">
        <f t="shared" si="1"/>
        <v>0</v>
      </c>
      <c r="O40" s="156">
        <f t="shared" si="2"/>
        <v>0</v>
      </c>
      <c r="P40" s="156">
        <f t="shared" si="3"/>
        <v>0</v>
      </c>
    </row>
    <row r="41" spans="2:16" s="9" customFormat="1" ht="35.1" customHeight="1" x14ac:dyDescent="0.25">
      <c r="B41" s="21" t="s">
        <v>75</v>
      </c>
      <c r="C41" s="25" t="s">
        <v>76</v>
      </c>
      <c r="D41" s="23" t="s">
        <v>30</v>
      </c>
      <c r="E41" s="12">
        <v>11.299999999999997</v>
      </c>
      <c r="F41" s="126">
        <v>795025</v>
      </c>
      <c r="G41" s="126">
        <f>ROUND(+F41*E41,2)</f>
        <v>8983782.5</v>
      </c>
      <c r="H41" s="8"/>
      <c r="I41" s="9" t="str">
        <f t="array" ref="I41:L41">_xlfn.XLOOKUP(C41,'Neiva 2022 FASE I ACTUAL (4)'!$C$6:$C$540,'Neiva 2022 FASE I ACTUAL (4)'!$C$6:$F$540,"NO ESTA")</f>
        <v>MURO EN CONCRETO DE 4000 PSI DESCOLGADO VIGA 00C 30x120</v>
      </c>
      <c r="J41" s="9" t="str">
        <v>M3</v>
      </c>
      <c r="K41" s="9">
        <v>73</v>
      </c>
      <c r="L41" s="9">
        <v>722262</v>
      </c>
      <c r="M41" s="124" t="str">
        <f t="shared" si="4"/>
        <v>FASE II</v>
      </c>
      <c r="N41" s="155">
        <f t="shared" si="1"/>
        <v>84.3</v>
      </c>
      <c r="O41" s="156">
        <f t="shared" si="2"/>
        <v>795025</v>
      </c>
      <c r="P41" s="156">
        <f t="shared" si="3"/>
        <v>67020607.5</v>
      </c>
    </row>
    <row r="42" spans="2:16" s="9" customFormat="1" ht="35.1" customHeight="1" x14ac:dyDescent="0.25">
      <c r="B42" s="21" t="s">
        <v>77</v>
      </c>
      <c r="C42" s="25" t="s">
        <v>78</v>
      </c>
      <c r="D42" s="23" t="s">
        <v>30</v>
      </c>
      <c r="E42" s="12">
        <v>15.900000000000006</v>
      </c>
      <c r="F42" s="126">
        <v>766762</v>
      </c>
      <c r="G42" s="126">
        <f>ROUND(+F42*E42,2)</f>
        <v>12191515.800000001</v>
      </c>
      <c r="H42" s="8"/>
      <c r="I42" s="9" t="str">
        <f t="array" ref="I42:L42">_xlfn.XLOOKUP(C42,'Neiva 2022 FASE I ACTUAL (4)'!$C$6:$C$540,'Neiva 2022 FASE I ACTUAL (4)'!$C$6:$F$540,"NO ESTA")</f>
        <v>MURO ESTRUCTURAL EN CONCRETO DE 4000 PSI FACHADA EXTERIOR</v>
      </c>
      <c r="J42" s="9" t="str">
        <v>M3</v>
      </c>
      <c r="K42" s="9">
        <v>109</v>
      </c>
      <c r="L42" s="9">
        <v>722262</v>
      </c>
      <c r="M42" s="124" t="str">
        <f t="shared" si="4"/>
        <v>FASE II</v>
      </c>
      <c r="N42" s="155">
        <f t="shared" si="1"/>
        <v>124.9</v>
      </c>
      <c r="O42" s="156">
        <f t="shared" si="2"/>
        <v>766762</v>
      </c>
      <c r="P42" s="156">
        <f t="shared" si="3"/>
        <v>95768573.799999997</v>
      </c>
    </row>
    <row r="43" spans="2:16" s="9" customFormat="1" ht="35.1" customHeight="1" x14ac:dyDescent="0.25">
      <c r="B43" s="21" t="s">
        <v>79</v>
      </c>
      <c r="C43" s="25" t="s">
        <v>80</v>
      </c>
      <c r="D43" s="10" t="s">
        <v>30</v>
      </c>
      <c r="E43" s="12">
        <v>4.7000000000000028</v>
      </c>
      <c r="F43" s="126">
        <v>910627</v>
      </c>
      <c r="G43" s="126">
        <f>ROUND(+F43*E43,2)</f>
        <v>4279946.9000000004</v>
      </c>
      <c r="H43" s="145" t="s">
        <v>1061</v>
      </c>
      <c r="I43" s="9" t="str">
        <f t="array" ref="I43:L43">_xlfn.XLOOKUP(C43,'Neiva 2022 FASE I ACTUAL (4)'!$C$6:$C$540,'Neiva 2022 FASE I ACTUAL (4)'!$C$6:$F$540,"NO ESTA")</f>
        <v>ESCALERAS INTERNAS</v>
      </c>
      <c r="J43" s="9" t="str">
        <v>M3</v>
      </c>
      <c r="K43" s="9">
        <v>30</v>
      </c>
      <c r="L43" s="9">
        <v>741182</v>
      </c>
      <c r="M43" s="124" t="str">
        <f t="shared" si="4"/>
        <v>FASE II</v>
      </c>
      <c r="N43" s="155">
        <f t="shared" si="1"/>
        <v>34.700000000000003</v>
      </c>
      <c r="O43" s="156">
        <f t="shared" si="2"/>
        <v>910627</v>
      </c>
      <c r="P43" s="156">
        <f t="shared" si="3"/>
        <v>31598756.900000002</v>
      </c>
    </row>
    <row r="44" spans="2:16" s="9" customFormat="1" ht="35.1" customHeight="1" x14ac:dyDescent="0.25">
      <c r="B44" s="21" t="s">
        <v>81</v>
      </c>
      <c r="C44" s="25" t="s">
        <v>82</v>
      </c>
      <c r="D44" s="10" t="s">
        <v>30</v>
      </c>
      <c r="E44" s="12">
        <v>2</v>
      </c>
      <c r="F44" s="126">
        <v>910627</v>
      </c>
      <c r="G44" s="126">
        <f>ROUND(+F44*E44,2)</f>
        <v>1821254</v>
      </c>
      <c r="H44" s="8"/>
      <c r="I44" s="9" t="str">
        <f t="array" ref="I44:L44">_xlfn.XLOOKUP(C44,'Neiva 2022 FASE I ACTUAL (4)'!$C$6:$C$540,'Neiva 2022 FASE I ACTUAL (4)'!$C$6:$F$540,"NO ESTA")</f>
        <v>ESCALERA ACCESO SEGUNDO (2DO) Y TERCER (3ER) PISO EJES 1 Y 4'</v>
      </c>
      <c r="J44" s="9" t="str">
        <v>M3</v>
      </c>
      <c r="K44" s="9">
        <v>17</v>
      </c>
      <c r="L44" s="9">
        <v>741182</v>
      </c>
      <c r="M44" s="124" t="str">
        <f t="shared" si="4"/>
        <v>FASE II</v>
      </c>
      <c r="N44" s="155">
        <f t="shared" si="1"/>
        <v>19</v>
      </c>
      <c r="O44" s="156">
        <f t="shared" si="2"/>
        <v>910627</v>
      </c>
      <c r="P44" s="156">
        <f t="shared" si="3"/>
        <v>17301913</v>
      </c>
    </row>
    <row r="45" spans="2:16" s="9" customFormat="1" ht="35.1" customHeight="1" x14ac:dyDescent="0.25">
      <c r="B45" s="21" t="s">
        <v>83</v>
      </c>
      <c r="C45" s="25" t="s">
        <v>84</v>
      </c>
      <c r="D45" s="23" t="s">
        <v>30</v>
      </c>
      <c r="E45" s="12">
        <v>9</v>
      </c>
      <c r="F45" s="126">
        <v>852120</v>
      </c>
      <c r="G45" s="126">
        <f>ROUND(+F45*E45,2)</f>
        <v>7669080</v>
      </c>
      <c r="H45" s="8">
        <f>ROUND(F45+F45*20%*$H$3,0)</f>
        <v>1014500</v>
      </c>
      <c r="I45" s="9" t="str">
        <f t="array" ref="I45:L45">_xlfn.XLOOKUP(C45,'Neiva 2022 FASE I ACTUAL (4)'!$C$6:$C$540,'Neiva 2022 FASE I ACTUAL (4)'!$C$6:$F$540,"NO ESTA")</f>
        <v>RAMPAS DE ACCESO Incluye ACERO DE REFUERZO</v>
      </c>
      <c r="J45" s="9" t="str">
        <v>M3</v>
      </c>
      <c r="K45" s="9">
        <v>63</v>
      </c>
      <c r="L45" s="9">
        <v>759608</v>
      </c>
      <c r="M45" s="124" t="str">
        <f t="shared" si="4"/>
        <v>FASE II</v>
      </c>
      <c r="N45" s="155">
        <f t="shared" si="1"/>
        <v>72</v>
      </c>
      <c r="O45" s="156">
        <f t="shared" si="2"/>
        <v>852120</v>
      </c>
      <c r="P45" s="156">
        <f t="shared" si="3"/>
        <v>61352640</v>
      </c>
    </row>
    <row r="46" spans="2:16" s="9" customFormat="1" ht="35.1" customHeight="1" x14ac:dyDescent="0.25">
      <c r="B46" s="13" t="s">
        <v>85</v>
      </c>
      <c r="C46" s="24" t="s">
        <v>86</v>
      </c>
      <c r="D46" s="24"/>
      <c r="E46" s="15"/>
      <c r="F46" s="129"/>
      <c r="G46" s="140"/>
      <c r="H46" s="8"/>
      <c r="I46" s="9" t="str">
        <f t="array" ref="I46:L46">_xlfn.XLOOKUP(C46,'Neiva 2022 FASE I ACTUAL (4)'!$C$6:$C$540,'Neiva 2022 FASE I ACTUAL (4)'!$C$6:$F$540,"NO ESTA")</f>
        <v>SUMINISTRO E INSTALACIÓN ACERO DE REFUERZO ELEMENTOS ESTRUCTURALES, PLACAS MACIZAS, CONSTRUCCIONES VARIAS EN CONCRETOS</v>
      </c>
      <c r="J46" s="9">
        <v>0</v>
      </c>
      <c r="K46" s="9">
        <v>0</v>
      </c>
      <c r="L46" s="9">
        <v>0</v>
      </c>
      <c r="M46" s="124">
        <f t="shared" si="4"/>
        <v>0</v>
      </c>
      <c r="N46" s="155">
        <f t="shared" si="1"/>
        <v>0</v>
      </c>
      <c r="O46" s="156">
        <f t="shared" si="2"/>
        <v>0</v>
      </c>
      <c r="P46" s="156">
        <f t="shared" si="3"/>
        <v>0</v>
      </c>
    </row>
    <row r="47" spans="2:16" s="9" customFormat="1" ht="35.1" customHeight="1" x14ac:dyDescent="0.25">
      <c r="B47" s="10" t="s">
        <v>87</v>
      </c>
      <c r="C47" s="20" t="s">
        <v>54</v>
      </c>
      <c r="D47" s="10" t="s">
        <v>55</v>
      </c>
      <c r="E47" s="12">
        <v>84343.400000000023</v>
      </c>
      <c r="F47" s="126">
        <v>5221</v>
      </c>
      <c r="G47" s="126">
        <f>ROUND(+F47*E47,2)</f>
        <v>440356891.39999998</v>
      </c>
      <c r="H47" s="8"/>
      <c r="I47" s="9" t="str">
        <f t="array" ref="I47:L47">_xlfn.XLOOKUP(C47,'Neiva 2022 FASE I ACTUAL (4)'!$C$6:$C$540,'Neiva 2022 FASE I ACTUAL (4)'!$C$6:$F$540,"NO ESTA")</f>
        <v>ACERO DE REFUERZO 60000 psi Incluye ALAMBRE DE AMARRE</v>
      </c>
      <c r="J47" s="9" t="str">
        <v>KG</v>
      </c>
      <c r="K47" s="9">
        <v>16621.25</v>
      </c>
      <c r="L47" s="9">
        <v>5221</v>
      </c>
      <c r="M47" s="124" t="str">
        <f t="shared" si="4"/>
        <v>FASE II</v>
      </c>
      <c r="N47" s="155">
        <f t="shared" si="1"/>
        <v>100964.65000000002</v>
      </c>
      <c r="O47" s="156">
        <f t="shared" si="2"/>
        <v>5221</v>
      </c>
      <c r="P47" s="156">
        <f t="shared" si="3"/>
        <v>527136437.6500001</v>
      </c>
    </row>
    <row r="48" spans="2:16" s="9" customFormat="1" ht="35.1" customHeight="1" x14ac:dyDescent="0.25">
      <c r="B48" s="21" t="s">
        <v>88</v>
      </c>
      <c r="C48" s="22" t="s">
        <v>89</v>
      </c>
      <c r="D48" s="10" t="s">
        <v>13</v>
      </c>
      <c r="E48" s="12">
        <v>938.19999999999982</v>
      </c>
      <c r="F48" s="126">
        <f>+F31</f>
        <v>7831.5</v>
      </c>
      <c r="G48" s="126">
        <f>ROUND(+F48*E48,2)</f>
        <v>7347513.2999999998</v>
      </c>
      <c r="H48" s="8"/>
      <c r="I48" s="9" t="str">
        <f t="array" ref="I48:L48">_xlfn.XLOOKUP(C48,'Neiva 2022 FASE I ACTUAL (4)'!$C$6:$C$540,'Neiva 2022 FASE I ACTUAL (4)'!$C$6:$F$540,"NO ESTA")</f>
        <v>MALLA ELECTROSOLDADA PLACA ENTREPISO Q85 Ø4 mm separación 15x15 cm o similar</v>
      </c>
      <c r="J48" s="9" t="str">
        <v>M2</v>
      </c>
      <c r="K48" s="9">
        <v>6220.01</v>
      </c>
      <c r="L48" s="9">
        <v>7831.5</v>
      </c>
      <c r="M48" s="124" t="str">
        <f t="shared" si="4"/>
        <v>FASE II</v>
      </c>
      <c r="N48" s="155">
        <f t="shared" si="1"/>
        <v>7158.21</v>
      </c>
      <c r="O48" s="156">
        <f t="shared" si="2"/>
        <v>7831.5</v>
      </c>
      <c r="P48" s="156">
        <f t="shared" si="3"/>
        <v>56059521.615000002</v>
      </c>
    </row>
    <row r="49" spans="2:16" s="9" customFormat="1" ht="35.1" customHeight="1" x14ac:dyDescent="0.25">
      <c r="B49" s="13" t="s">
        <v>90</v>
      </c>
      <c r="C49" s="24" t="s">
        <v>91</v>
      </c>
      <c r="D49" s="24"/>
      <c r="E49" s="15"/>
      <c r="F49" s="129"/>
      <c r="G49" s="140"/>
      <c r="H49" s="8"/>
      <c r="I49" s="9" t="str">
        <f t="array" ref="I49:L49">_xlfn.XLOOKUP(C49,'Neiva 2022 FASE I ACTUAL (4)'!$C$6:$C$540,'Neiva 2022 FASE I ACTUAL (4)'!$C$6:$F$540,"NO ESTA")</f>
        <v>SUMINISTRO E INSTALACION DE ESTRUCTURA METALICA CUBIERTA</v>
      </c>
      <c r="J49" s="9">
        <v>0</v>
      </c>
      <c r="K49" s="9">
        <v>0</v>
      </c>
      <c r="L49" s="9">
        <v>0</v>
      </c>
      <c r="M49" s="124">
        <f t="shared" si="4"/>
        <v>0</v>
      </c>
      <c r="N49" s="155">
        <f t="shared" si="1"/>
        <v>0</v>
      </c>
      <c r="O49" s="156">
        <f t="shared" si="2"/>
        <v>0</v>
      </c>
      <c r="P49" s="156">
        <f t="shared" si="3"/>
        <v>0</v>
      </c>
    </row>
    <row r="50" spans="2:16" s="9" customFormat="1" ht="35.1" customHeight="1" x14ac:dyDescent="0.25">
      <c r="B50" s="10" t="s">
        <v>92</v>
      </c>
      <c r="C50" s="20" t="s">
        <v>93</v>
      </c>
      <c r="D50" s="10" t="s">
        <v>94</v>
      </c>
      <c r="E50" s="12">
        <v>14.099999999999994</v>
      </c>
      <c r="F50" s="126">
        <v>109392</v>
      </c>
      <c r="G50" s="126">
        <f>ROUND(+F50*E50,2)</f>
        <v>1542427.2</v>
      </c>
      <c r="H50" s="8">
        <f>ROUND(+F50*(1+$H$3),0)</f>
        <v>213621</v>
      </c>
      <c r="I50" s="9" t="str">
        <f t="array" ref="I50:L50">_xlfn.XLOOKUP(C50,'Neiva 2022 FASE I ACTUAL (4)'!$C$6:$C$540,'Neiva 2022 FASE I ACTUAL (4)'!$C$6:$F$540,"NO ESTA")</f>
        <v>CERCHA METALICA CUBIERTA</v>
      </c>
      <c r="J50" s="9" t="str">
        <v>ML</v>
      </c>
      <c r="K50" s="9">
        <v>194</v>
      </c>
      <c r="L50" s="9">
        <v>107357</v>
      </c>
      <c r="M50" s="124" t="str">
        <f t="shared" si="4"/>
        <v>FASE II</v>
      </c>
      <c r="N50" s="155">
        <f t="shared" si="1"/>
        <v>208.1</v>
      </c>
      <c r="O50" s="156">
        <f t="shared" si="2"/>
        <v>109392</v>
      </c>
      <c r="P50" s="156">
        <f t="shared" si="3"/>
        <v>22764475.199999999</v>
      </c>
    </row>
    <row r="51" spans="2:16" s="9" customFormat="1" ht="35.1" customHeight="1" x14ac:dyDescent="0.25">
      <c r="B51" s="10" t="s">
        <v>95</v>
      </c>
      <c r="C51" s="20" t="s">
        <v>96</v>
      </c>
      <c r="D51" s="10" t="s">
        <v>94</v>
      </c>
      <c r="E51" s="12">
        <v>28.599999999999994</v>
      </c>
      <c r="F51" s="126">
        <v>78264</v>
      </c>
      <c r="G51" s="126">
        <f>ROUND(+F51*E51,2)</f>
        <v>2238350.4</v>
      </c>
      <c r="H51" s="8">
        <f>ROUND(+F51*(1+$H$3),0)</f>
        <v>152834</v>
      </c>
      <c r="I51" s="9" t="str">
        <f t="array" ref="I51:L51">_xlfn.XLOOKUP(C51,'Neiva 2022 FASE I ACTUAL (4)'!$C$6:$C$540,'Neiva 2022 FASE I ACTUAL (4)'!$C$6:$F$540,"NO ESTA")</f>
        <v>CORREAS METALICAS CUBIERTA</v>
      </c>
      <c r="J51" s="9" t="str">
        <v>ML</v>
      </c>
      <c r="K51" s="9">
        <v>1240</v>
      </c>
      <c r="L51" s="9">
        <v>76076</v>
      </c>
      <c r="M51" s="124" t="str">
        <f t="shared" si="4"/>
        <v>FASE II</v>
      </c>
      <c r="N51" s="155">
        <f t="shared" si="1"/>
        <v>1268.5999999999999</v>
      </c>
      <c r="O51" s="156">
        <f t="shared" si="2"/>
        <v>78264</v>
      </c>
      <c r="P51" s="156">
        <f t="shared" si="3"/>
        <v>99285710.399999991</v>
      </c>
    </row>
    <row r="52" spans="2:16" s="9" customFormat="1" ht="35.1" customHeight="1" x14ac:dyDescent="0.25">
      <c r="B52" s="10" t="s">
        <v>97</v>
      </c>
      <c r="C52" s="22" t="s">
        <v>98</v>
      </c>
      <c r="D52" s="23" t="s">
        <v>13</v>
      </c>
      <c r="E52" s="12">
        <v>488.5</v>
      </c>
      <c r="F52" s="126">
        <v>103483</v>
      </c>
      <c r="G52" s="126">
        <f>ROUND(+F52*E52,2)</f>
        <v>50551445.5</v>
      </c>
      <c r="H52" s="8"/>
      <c r="I52" s="9" t="str">
        <f t="array" ref="I52:L52">_xlfn.XLOOKUP(C52,'Neiva 2022 FASE I ACTUAL (4)'!$C$6:$C$540,'Neiva 2022 FASE I ACTUAL (4)'!$C$6:$F$540,"NO ESTA")</f>
        <v>CUBIERTA TIPO SANDWICH</v>
      </c>
      <c r="J52" s="9" t="str">
        <v>M2</v>
      </c>
      <c r="K52" s="9">
        <v>508</v>
      </c>
      <c r="L52" s="9">
        <v>100589</v>
      </c>
      <c r="M52" s="124" t="str">
        <f t="shared" si="4"/>
        <v>FASE II</v>
      </c>
      <c r="N52" s="155">
        <f t="shared" si="1"/>
        <v>996.5</v>
      </c>
      <c r="O52" s="156">
        <f t="shared" si="2"/>
        <v>103483</v>
      </c>
      <c r="P52" s="156">
        <f t="shared" si="3"/>
        <v>103120809.5</v>
      </c>
    </row>
    <row r="53" spans="2:16" s="9" customFormat="1" ht="35.1" customHeight="1" x14ac:dyDescent="0.25">
      <c r="B53" s="16">
        <v>4</v>
      </c>
      <c r="C53" s="17" t="s">
        <v>99</v>
      </c>
      <c r="D53" s="17"/>
      <c r="E53" s="18"/>
      <c r="F53" s="127"/>
      <c r="G53" s="17"/>
      <c r="H53" s="8"/>
      <c r="I53" s="9" t="str">
        <f t="array" ref="I53:L53">_xlfn.XLOOKUP(C53,'Neiva 2022 FASE I ACTUAL (4)'!$C$6:$C$540,'Neiva 2022 FASE I ACTUAL (4)'!$C$6:$F$540,"NO ESTA")</f>
        <v>CIELO RASOS</v>
      </c>
      <c r="J53" s="9">
        <v>0</v>
      </c>
      <c r="K53" s="9">
        <v>0</v>
      </c>
      <c r="L53" s="9">
        <v>0</v>
      </c>
      <c r="M53" s="124">
        <f t="shared" si="4"/>
        <v>0</v>
      </c>
      <c r="N53" s="155">
        <f t="shared" si="1"/>
        <v>0</v>
      </c>
      <c r="O53" s="156">
        <f t="shared" si="2"/>
        <v>0</v>
      </c>
      <c r="P53" s="156">
        <f t="shared" si="3"/>
        <v>0</v>
      </c>
    </row>
    <row r="54" spans="2:16" s="9" customFormat="1" ht="35.1" customHeight="1" x14ac:dyDescent="0.25">
      <c r="B54" s="13" t="s">
        <v>100</v>
      </c>
      <c r="C54" s="14" t="s">
        <v>101</v>
      </c>
      <c r="D54" s="27"/>
      <c r="E54" s="15"/>
      <c r="F54" s="126">
        <v>0</v>
      </c>
      <c r="G54" s="126">
        <f>ROUND(+F54*E54,2)</f>
        <v>0</v>
      </c>
      <c r="H54" s="8"/>
      <c r="I54" s="9" t="str">
        <f t="array" ref="I54:L54">_xlfn.XLOOKUP(C54,'Neiva 2022 FASE I ACTUAL (4)'!$C$6:$C$540,'Neiva 2022 FASE I ACTUAL (4)'!$C$6:$F$540,"NO ESTA")</f>
        <v>SUMINISTRO E INSTALACION DE CIELOS RASOS PISO 1</v>
      </c>
      <c r="J54" s="9">
        <v>0</v>
      </c>
      <c r="K54" s="9">
        <v>0</v>
      </c>
      <c r="L54" s="9">
        <v>0</v>
      </c>
      <c r="M54" s="124">
        <f t="shared" si="4"/>
        <v>0</v>
      </c>
      <c r="N54" s="155">
        <f t="shared" si="1"/>
        <v>0</v>
      </c>
      <c r="O54" s="156">
        <f t="shared" si="2"/>
        <v>0</v>
      </c>
      <c r="P54" s="156">
        <f t="shared" si="3"/>
        <v>0</v>
      </c>
    </row>
    <row r="55" spans="2:16" s="9" customFormat="1" ht="35.1" customHeight="1" x14ac:dyDescent="0.25">
      <c r="B55" s="23" t="s">
        <v>102</v>
      </c>
      <c r="C55" s="22" t="s">
        <v>1062</v>
      </c>
      <c r="D55" s="23" t="s">
        <v>13</v>
      </c>
      <c r="E55" s="12">
        <v>0</v>
      </c>
      <c r="F55" s="126">
        <v>52673</v>
      </c>
      <c r="G55" s="126">
        <f>ROUND(+F55*E55,2)</f>
        <v>0</v>
      </c>
      <c r="H55" s="8"/>
      <c r="I55" s="9" t="str">
        <f t="array" ref="I55">_xlfn.XLOOKUP(C55,'Neiva 2022 FASE I ACTUAL (4)'!$C$6:$C$540,'Neiva 2022 FASE I ACTUAL (4)'!$C$6:$F$540,"NO ESTA")</f>
        <v>NO ESTA</v>
      </c>
      <c r="M55" s="124">
        <f t="shared" si="4"/>
        <v>0</v>
      </c>
      <c r="N55" s="155">
        <f t="shared" si="1"/>
        <v>0</v>
      </c>
      <c r="O55" s="156">
        <f t="shared" si="2"/>
        <v>52673</v>
      </c>
      <c r="P55" s="156">
        <f t="shared" si="3"/>
        <v>0</v>
      </c>
    </row>
    <row r="56" spans="2:16" s="9" customFormat="1" ht="35.1" customHeight="1" x14ac:dyDescent="0.25">
      <c r="B56" s="23" t="s">
        <v>104</v>
      </c>
      <c r="C56" s="22" t="s">
        <v>105</v>
      </c>
      <c r="D56" s="23" t="s">
        <v>13</v>
      </c>
      <c r="E56" s="12">
        <v>0</v>
      </c>
      <c r="F56" s="126">
        <v>52673</v>
      </c>
      <c r="G56" s="126">
        <f>ROUND(+F56*E56,2)</f>
        <v>0</v>
      </c>
      <c r="H56" s="8"/>
      <c r="I56" s="9" t="str">
        <f t="array" ref="I56:L56">_xlfn.XLOOKUP(C56,'Neiva 2022 FASE I ACTUAL (4)'!$C$6:$C$540,'Neiva 2022 FASE I ACTUAL (4)'!$C$6:$F$540,"NO ESTA")</f>
        <v>SUMINISTRO E INSTALACION CIELO RASO EN DRYWALL LAMINA BLANCA PINTADO A 3 MANOS PINTURA VINILO TIPO 1  BLANCA Ref. Planos 09511</v>
      </c>
      <c r="J56" s="9" t="str">
        <v>M2</v>
      </c>
      <c r="K56" s="9">
        <v>388.43</v>
      </c>
      <c r="L56" s="9">
        <v>43707</v>
      </c>
      <c r="M56" s="124" t="str">
        <f t="shared" si="4"/>
        <v>FASE II</v>
      </c>
      <c r="N56" s="155">
        <f t="shared" si="1"/>
        <v>388.43</v>
      </c>
      <c r="O56" s="156">
        <f t="shared" si="2"/>
        <v>52673</v>
      </c>
      <c r="P56" s="156">
        <f t="shared" si="3"/>
        <v>20459773.390000001</v>
      </c>
    </row>
    <row r="57" spans="2:16" s="9" customFormat="1" ht="35.1" customHeight="1" x14ac:dyDescent="0.25">
      <c r="B57" s="28" t="s">
        <v>1063</v>
      </c>
      <c r="C57" s="29" t="s">
        <v>1064</v>
      </c>
      <c r="D57" s="30"/>
      <c r="E57" s="31"/>
      <c r="F57" s="129"/>
      <c r="G57" s="140"/>
      <c r="H57" s="8"/>
      <c r="I57" s="9" t="str">
        <f t="array" ref="I57">_xlfn.XLOOKUP(C57,'Neiva 2022 FASE I ACTUAL (4)'!$C$6:$C$540,'Neiva 2022 FASE I ACTUAL (4)'!$C$6:$F$540,"NO ESTA")</f>
        <v>NO ESTA</v>
      </c>
      <c r="M57" s="124">
        <f t="shared" si="4"/>
        <v>0</v>
      </c>
      <c r="N57" s="155">
        <f t="shared" si="1"/>
        <v>0</v>
      </c>
      <c r="O57" s="156">
        <f t="shared" si="2"/>
        <v>0</v>
      </c>
      <c r="P57" s="156">
        <f t="shared" si="3"/>
        <v>0</v>
      </c>
    </row>
    <row r="58" spans="2:16" s="9" customFormat="1" ht="49.15" customHeight="1" x14ac:dyDescent="0.25">
      <c r="B58" s="23" t="s">
        <v>1065</v>
      </c>
      <c r="C58" s="22" t="s">
        <v>103</v>
      </c>
      <c r="D58" s="23" t="s">
        <v>13</v>
      </c>
      <c r="E58" s="12">
        <v>68.989999999999995</v>
      </c>
      <c r="F58" s="126">
        <v>52673</v>
      </c>
      <c r="G58" s="126">
        <f>ROUND(+F58*E58,2)</f>
        <v>3633910.27</v>
      </c>
      <c r="H58" s="8"/>
      <c r="I58" s="9" t="str">
        <f t="array" ref="I58:L58">_xlfn.XLOOKUP(C58,'Neiva 2022 FASE I ACTUAL (4)'!$C$6:$C$540,'Neiva 2022 FASE I ACTUAL (4)'!$C$6:$F$540,"NO ESTA")</f>
        <v>SUMINISTRO E INSTALACION CIELO RASO EN DRYWALL LAMINA VERDE RH  PINTADO A 3 MANOS PINTURA VINILO TIPO 1 o similar  BLANCA Ref. Planos 09512</v>
      </c>
      <c r="J58" s="9" t="str">
        <v>M2</v>
      </c>
      <c r="K58" s="9">
        <v>59.86</v>
      </c>
      <c r="L58" s="9">
        <v>43707</v>
      </c>
      <c r="M58" s="124" t="str">
        <f t="shared" si="4"/>
        <v>FASE II</v>
      </c>
      <c r="N58" s="155">
        <f t="shared" si="1"/>
        <v>128.85</v>
      </c>
      <c r="O58" s="156">
        <f t="shared" si="2"/>
        <v>52673</v>
      </c>
      <c r="P58" s="156">
        <f t="shared" si="3"/>
        <v>6786916.0499999998</v>
      </c>
    </row>
    <row r="59" spans="2:16" s="9" customFormat="1" ht="35.1" customHeight="1" x14ac:dyDescent="0.25">
      <c r="B59" s="23" t="s">
        <v>1066</v>
      </c>
      <c r="C59" s="22" t="s">
        <v>105</v>
      </c>
      <c r="D59" s="23" t="s">
        <v>13</v>
      </c>
      <c r="E59" s="12">
        <v>701.75</v>
      </c>
      <c r="F59" s="126">
        <v>52673</v>
      </c>
      <c r="G59" s="126">
        <f>ROUND(+F59*E59,2)</f>
        <v>36963277.75</v>
      </c>
      <c r="H59" s="8"/>
      <c r="I59" s="9" t="str">
        <f t="array" ref="I59:L59">_xlfn.XLOOKUP(C59,'Neiva 2022 FASE I ACTUAL (4)'!$C$6:$C$540,'Neiva 2022 FASE I ACTUAL (4)'!$C$6:$F$540,"NO ESTA")</f>
        <v>SUMINISTRO E INSTALACION CIELO RASO EN DRYWALL LAMINA BLANCA PINTADO A 3 MANOS PINTURA VINILO TIPO 1  BLANCA Ref. Planos 09511</v>
      </c>
      <c r="J59" s="9" t="str">
        <v>M2</v>
      </c>
      <c r="K59" s="9">
        <v>388.43</v>
      </c>
      <c r="L59" s="9">
        <v>43707</v>
      </c>
      <c r="M59" s="124" t="str">
        <f t="shared" si="4"/>
        <v>FASE II</v>
      </c>
      <c r="N59" s="155">
        <f t="shared" si="1"/>
        <v>1090.18</v>
      </c>
      <c r="O59" s="156">
        <f t="shared" si="2"/>
        <v>52673</v>
      </c>
      <c r="P59" s="156">
        <f t="shared" si="3"/>
        <v>57423051.140000001</v>
      </c>
    </row>
    <row r="60" spans="2:16" s="9" customFormat="1" ht="35.1" customHeight="1" x14ac:dyDescent="0.25">
      <c r="B60" s="13" t="s">
        <v>1067</v>
      </c>
      <c r="C60" s="14" t="s">
        <v>1068</v>
      </c>
      <c r="D60" s="27"/>
      <c r="E60" s="15"/>
      <c r="F60" s="129"/>
      <c r="G60" s="140"/>
      <c r="H60" s="8"/>
      <c r="I60" s="9" t="str">
        <f t="array" ref="I60">_xlfn.XLOOKUP(C60,'Neiva 2022 FASE I ACTUAL (4)'!$C$6:$C$540,'Neiva 2022 FASE I ACTUAL (4)'!$C$6:$F$540,"NO ESTA")</f>
        <v>NO ESTA</v>
      </c>
      <c r="M60" s="124">
        <f t="shared" si="4"/>
        <v>0</v>
      </c>
      <c r="N60" s="155">
        <f t="shared" si="1"/>
        <v>0</v>
      </c>
      <c r="O60" s="156">
        <f t="shared" si="2"/>
        <v>0</v>
      </c>
      <c r="P60" s="156">
        <f t="shared" si="3"/>
        <v>0</v>
      </c>
    </row>
    <row r="61" spans="2:16" s="9" customFormat="1" ht="46.15" customHeight="1" x14ac:dyDescent="0.25">
      <c r="B61" s="23" t="s">
        <v>1069</v>
      </c>
      <c r="C61" s="22" t="s">
        <v>103</v>
      </c>
      <c r="D61" s="23" t="s">
        <v>13</v>
      </c>
      <c r="E61" s="12">
        <v>68.989999999999995</v>
      </c>
      <c r="F61" s="126">
        <v>72889</v>
      </c>
      <c r="G61" s="126">
        <f>ROUND(+F61*E61,2)</f>
        <v>5028612.1100000003</v>
      </c>
      <c r="H61" s="8"/>
      <c r="I61" s="9" t="str">
        <f t="array" ref="I61:L61">_xlfn.XLOOKUP(C61,'Neiva 2022 FASE I ACTUAL (4)'!$C$6:$C$540,'Neiva 2022 FASE I ACTUAL (4)'!$C$6:$F$540,"NO ESTA")</f>
        <v>SUMINISTRO E INSTALACION CIELO RASO EN DRYWALL LAMINA VERDE RH  PINTADO A 3 MANOS PINTURA VINILO TIPO 1 o similar  BLANCA Ref. Planos 09512</v>
      </c>
      <c r="J61" s="9" t="str">
        <v>M2</v>
      </c>
      <c r="K61" s="9">
        <v>59.86</v>
      </c>
      <c r="L61" s="9">
        <v>43707</v>
      </c>
      <c r="M61" s="124" t="str">
        <f t="shared" si="4"/>
        <v>FASE II</v>
      </c>
      <c r="N61" s="155">
        <f t="shared" si="1"/>
        <v>128.85</v>
      </c>
      <c r="O61" s="156">
        <f t="shared" si="2"/>
        <v>72889</v>
      </c>
      <c r="P61" s="156">
        <f t="shared" si="3"/>
        <v>9391747.6500000004</v>
      </c>
    </row>
    <row r="62" spans="2:16" s="9" customFormat="1" ht="35.1" customHeight="1" x14ac:dyDescent="0.25">
      <c r="B62" s="23" t="s">
        <v>1070</v>
      </c>
      <c r="C62" s="22" t="s">
        <v>105</v>
      </c>
      <c r="D62" s="23" t="s">
        <v>13</v>
      </c>
      <c r="E62" s="12">
        <v>565.59</v>
      </c>
      <c r="F62" s="126">
        <v>69024</v>
      </c>
      <c r="G62" s="126">
        <f>ROUND(+F62*E62,2)</f>
        <v>39039284.159999996</v>
      </c>
      <c r="H62" s="8"/>
      <c r="I62" s="9" t="str">
        <f t="array" ref="I62:L62">_xlfn.XLOOKUP(C62,'Neiva 2022 FASE I ACTUAL (4)'!$C$6:$C$540,'Neiva 2022 FASE I ACTUAL (4)'!$C$6:$F$540,"NO ESTA")</f>
        <v>SUMINISTRO E INSTALACION CIELO RASO EN DRYWALL LAMINA BLANCA PINTADO A 3 MANOS PINTURA VINILO TIPO 1  BLANCA Ref. Planos 09511</v>
      </c>
      <c r="J62" s="9" t="str">
        <v>M2</v>
      </c>
      <c r="K62" s="9">
        <v>388.43</v>
      </c>
      <c r="L62" s="9">
        <v>43707</v>
      </c>
      <c r="M62" s="124" t="str">
        <f t="shared" si="4"/>
        <v>FASE II</v>
      </c>
      <c r="N62" s="155">
        <f t="shared" si="1"/>
        <v>954.02</v>
      </c>
      <c r="O62" s="156">
        <f t="shared" si="2"/>
        <v>69024</v>
      </c>
      <c r="P62" s="156">
        <f t="shared" si="3"/>
        <v>65850276.479999997</v>
      </c>
    </row>
    <row r="63" spans="2:16" s="9" customFormat="1" ht="35.1" customHeight="1" x14ac:dyDescent="0.25">
      <c r="B63" s="32" t="s">
        <v>1071</v>
      </c>
      <c r="C63" s="14" t="s">
        <v>1072</v>
      </c>
      <c r="D63" s="27"/>
      <c r="E63" s="15"/>
      <c r="F63" s="129"/>
      <c r="G63" s="140"/>
      <c r="H63" s="8"/>
      <c r="I63" s="9" t="str">
        <f t="array" ref="I63">_xlfn.XLOOKUP(C63,'Neiva 2022 FASE I ACTUAL (4)'!$C$6:$C$540,'Neiva 2022 FASE I ACTUAL (4)'!$C$6:$F$540,"NO ESTA")</f>
        <v>NO ESTA</v>
      </c>
      <c r="M63" s="124">
        <f t="shared" si="4"/>
        <v>0</v>
      </c>
      <c r="N63" s="155">
        <f t="shared" si="1"/>
        <v>0</v>
      </c>
      <c r="O63" s="156">
        <f t="shared" si="2"/>
        <v>0</v>
      </c>
      <c r="P63" s="156">
        <f t="shared" si="3"/>
        <v>0</v>
      </c>
    </row>
    <row r="64" spans="2:16" s="9" customFormat="1" ht="50.45" customHeight="1" x14ac:dyDescent="0.25">
      <c r="B64" s="23" t="s">
        <v>1073</v>
      </c>
      <c r="C64" s="22" t="s">
        <v>103</v>
      </c>
      <c r="D64" s="23" t="s">
        <v>13</v>
      </c>
      <c r="E64" s="12">
        <v>51.89</v>
      </c>
      <c r="F64" s="126">
        <v>72889</v>
      </c>
      <c r="G64" s="126">
        <f>ROUND(+F64*E64,2)</f>
        <v>3782210.21</v>
      </c>
      <c r="H64" s="8"/>
      <c r="I64" s="9" t="str">
        <f t="array" ref="I64:L64">_xlfn.XLOOKUP(C64,'Neiva 2022 FASE I ACTUAL (4)'!$C$6:$C$540,'Neiva 2022 FASE I ACTUAL (4)'!$C$6:$F$540,"NO ESTA")</f>
        <v>SUMINISTRO E INSTALACION CIELO RASO EN DRYWALL LAMINA VERDE RH  PINTADO A 3 MANOS PINTURA VINILO TIPO 1 o similar  BLANCA Ref. Planos 09512</v>
      </c>
      <c r="J64" s="9" t="str">
        <v>M2</v>
      </c>
      <c r="K64" s="9">
        <v>59.86</v>
      </c>
      <c r="L64" s="9">
        <v>43707</v>
      </c>
      <c r="M64" s="124" t="str">
        <f t="shared" si="4"/>
        <v>FASE II</v>
      </c>
      <c r="N64" s="155">
        <f t="shared" si="1"/>
        <v>111.75</v>
      </c>
      <c r="O64" s="156">
        <f t="shared" si="2"/>
        <v>72889</v>
      </c>
      <c r="P64" s="156">
        <f t="shared" si="3"/>
        <v>8145345.75</v>
      </c>
    </row>
    <row r="65" spans="2:16" s="9" customFormat="1" ht="35.1" customHeight="1" x14ac:dyDescent="0.25">
      <c r="B65" s="23" t="s">
        <v>1074</v>
      </c>
      <c r="C65" s="22" t="s">
        <v>105</v>
      </c>
      <c r="D65" s="23" t="s">
        <v>13</v>
      </c>
      <c r="E65" s="12">
        <v>1250.28</v>
      </c>
      <c r="F65" s="126">
        <v>69024</v>
      </c>
      <c r="G65" s="126">
        <f>ROUND(+F65*E65,2)</f>
        <v>86299326.719999999</v>
      </c>
      <c r="H65" s="8"/>
      <c r="I65" s="9" t="str">
        <f t="array" ref="I65:L65">_xlfn.XLOOKUP(C65,'Neiva 2022 FASE I ACTUAL (4)'!$C$6:$C$540,'Neiva 2022 FASE I ACTUAL (4)'!$C$6:$F$540,"NO ESTA")</f>
        <v>SUMINISTRO E INSTALACION CIELO RASO EN DRYWALL LAMINA BLANCA PINTADO A 3 MANOS PINTURA VINILO TIPO 1  BLANCA Ref. Planos 09511</v>
      </c>
      <c r="J65" s="9" t="str">
        <v>M2</v>
      </c>
      <c r="K65" s="9">
        <v>388.43</v>
      </c>
      <c r="L65" s="9">
        <v>43707</v>
      </c>
      <c r="M65" s="124" t="str">
        <f t="shared" si="4"/>
        <v>FASE II</v>
      </c>
      <c r="N65" s="155">
        <f t="shared" si="1"/>
        <v>1638.71</v>
      </c>
      <c r="O65" s="156">
        <f t="shared" si="2"/>
        <v>69024</v>
      </c>
      <c r="P65" s="156">
        <f t="shared" si="3"/>
        <v>113110319.04000001</v>
      </c>
    </row>
    <row r="66" spans="2:16" s="9" customFormat="1" ht="35.1" customHeight="1" x14ac:dyDescent="0.25">
      <c r="B66" s="23" t="s">
        <v>1075</v>
      </c>
      <c r="C66" s="22" t="s">
        <v>1076</v>
      </c>
      <c r="D66" s="23" t="s">
        <v>94</v>
      </c>
      <c r="E66" s="12">
        <v>250.05600000000001</v>
      </c>
      <c r="F66" s="126">
        <v>17522</v>
      </c>
      <c r="G66" s="126">
        <f>ROUND(+F66*E66,2)</f>
        <v>4381481.2300000004</v>
      </c>
      <c r="H66" s="8"/>
      <c r="I66" s="9" t="str">
        <f t="array" ref="I66">_xlfn.XLOOKUP(C66,'Neiva 2022 FASE I ACTUAL (4)'!$C$6:$C$540,'Neiva 2022 FASE I ACTUAL (4)'!$C$6:$F$540,"NO ESTA")</f>
        <v>NO ESTA</v>
      </c>
      <c r="M66" s="124">
        <f t="shared" si="4"/>
        <v>0</v>
      </c>
      <c r="N66" s="155">
        <f t="shared" si="1"/>
        <v>250.05600000000001</v>
      </c>
      <c r="O66" s="156">
        <f t="shared" si="2"/>
        <v>17522</v>
      </c>
      <c r="P66" s="156">
        <f t="shared" si="3"/>
        <v>4381481.2319999998</v>
      </c>
    </row>
    <row r="67" spans="2:16" s="9" customFormat="1" ht="35.1" customHeight="1" x14ac:dyDescent="0.25">
      <c r="B67" s="23" t="s">
        <v>1077</v>
      </c>
      <c r="C67" s="22" t="s">
        <v>1078</v>
      </c>
      <c r="D67" s="23" t="s">
        <v>13</v>
      </c>
      <c r="E67" s="12">
        <v>149.82</v>
      </c>
      <c r="F67" s="126">
        <v>48102</v>
      </c>
      <c r="G67" s="126">
        <f>ROUND(+F67*E67,2)</f>
        <v>7206641.6399999997</v>
      </c>
      <c r="H67" s="8"/>
      <c r="I67" s="9" t="str">
        <f t="array" ref="I67">_xlfn.XLOOKUP(C67,'Neiva 2022 FASE I ACTUAL (4)'!$C$6:$C$540,'Neiva 2022 FASE I ACTUAL (4)'!$C$6:$F$540,"NO ESTA")</f>
        <v>NO ESTA</v>
      </c>
      <c r="M67" s="124">
        <f t="shared" si="4"/>
        <v>0</v>
      </c>
      <c r="N67" s="155">
        <f t="shared" si="1"/>
        <v>149.82</v>
      </c>
      <c r="O67" s="156">
        <f t="shared" si="2"/>
        <v>48102</v>
      </c>
      <c r="P67" s="156">
        <f t="shared" si="3"/>
        <v>7206641.6399999997</v>
      </c>
    </row>
    <row r="68" spans="2:16" s="9" customFormat="1" ht="35.1" customHeight="1" x14ac:dyDescent="0.25">
      <c r="B68" s="16">
        <v>5</v>
      </c>
      <c r="C68" s="17" t="s">
        <v>106</v>
      </c>
      <c r="D68" s="17"/>
      <c r="E68" s="18"/>
      <c r="F68" s="127"/>
      <c r="G68" s="17"/>
      <c r="H68" s="8"/>
      <c r="I68" s="9" t="str">
        <f t="array" ref="I68:L68">_xlfn.XLOOKUP(C68,'Neiva 2022 FASE I ACTUAL (4)'!$C$6:$C$540,'Neiva 2022 FASE I ACTUAL (4)'!$C$6:$F$540,"NO ESTA")</f>
        <v>CONSTRUCCIÓN DE MUROS ARQUITECTONICOS</v>
      </c>
      <c r="J68" s="9">
        <v>0</v>
      </c>
      <c r="K68" s="9">
        <v>0</v>
      </c>
      <c r="L68" s="9">
        <v>0</v>
      </c>
      <c r="M68" s="124">
        <f t="shared" si="4"/>
        <v>0</v>
      </c>
      <c r="N68" s="155">
        <f t="shared" si="1"/>
        <v>0</v>
      </c>
      <c r="O68" s="156">
        <f t="shared" si="2"/>
        <v>0</v>
      </c>
      <c r="P68" s="156">
        <f t="shared" si="3"/>
        <v>0</v>
      </c>
    </row>
    <row r="69" spans="2:16" s="9" customFormat="1" ht="35.1" customHeight="1" x14ac:dyDescent="0.25">
      <c r="B69" s="13" t="s">
        <v>107</v>
      </c>
      <c r="C69" s="24" t="s">
        <v>108</v>
      </c>
      <c r="D69" s="24"/>
      <c r="E69" s="15"/>
      <c r="F69" s="129"/>
      <c r="G69" s="140"/>
      <c r="H69" s="8"/>
      <c r="I69" s="9" t="str">
        <f t="array" ref="I69:L69">_xlfn.XLOOKUP(C69,'Neiva 2022 FASE I ACTUAL (4)'!$C$6:$C$540,'Neiva 2022 FASE I ACTUAL (4)'!$C$6:$F$540,"NO ESTA")</f>
        <v>CONSTRUCCIÓN MUROS ARQUITECTONICOS SEMISOTANO</v>
      </c>
      <c r="J69" s="9">
        <v>0</v>
      </c>
      <c r="K69" s="9">
        <v>0</v>
      </c>
      <c r="L69" s="9">
        <v>0</v>
      </c>
      <c r="M69" s="124">
        <f t="shared" si="4"/>
        <v>0</v>
      </c>
      <c r="N69" s="155">
        <f t="shared" si="1"/>
        <v>0</v>
      </c>
      <c r="O69" s="156">
        <f t="shared" si="2"/>
        <v>0</v>
      </c>
      <c r="P69" s="156">
        <f t="shared" si="3"/>
        <v>0</v>
      </c>
    </row>
    <row r="70" spans="2:16" s="9" customFormat="1" ht="35.1" customHeight="1" x14ac:dyDescent="0.25">
      <c r="B70" s="23" t="s">
        <v>109</v>
      </c>
      <c r="C70" s="11" t="s">
        <v>110</v>
      </c>
      <c r="D70" s="10" t="s">
        <v>30</v>
      </c>
      <c r="E70" s="12">
        <v>0</v>
      </c>
      <c r="F70" s="126">
        <v>821235</v>
      </c>
      <c r="G70" s="141">
        <f t="shared" ref="G70:G79" si="5">ROUND(+F70*E70,2)</f>
        <v>0</v>
      </c>
      <c r="H70" s="8"/>
      <c r="I70" s="9" t="str">
        <f t="array" ref="I70:L70">_xlfn.XLOOKUP(C70,'Neiva 2022 FASE I ACTUAL (4)'!$C$6:$C$540,'Neiva 2022 FASE I ACTUAL (4)'!$C$6:$F$540,"NO ESTA")</f>
        <v>MURO EN CONCRETO DE 4000 PSI e=0.12 m Ver. Planos Tipo Muro M-1</v>
      </c>
      <c r="J70" s="9" t="str">
        <v>M3</v>
      </c>
      <c r="K70" s="9">
        <v>0.73</v>
      </c>
      <c r="L70" s="9">
        <v>722262</v>
      </c>
      <c r="M70" s="124" t="str">
        <f t="shared" si="4"/>
        <v>FASE II</v>
      </c>
      <c r="N70" s="155">
        <f t="shared" ref="N70:N133" si="6">E70+K70</f>
        <v>0.73</v>
      </c>
      <c r="O70" s="156">
        <f t="shared" ref="O70:O133" si="7">MAX(L70,F70)</f>
        <v>821235</v>
      </c>
      <c r="P70" s="156">
        <f t="shared" ref="P70:P133" si="8">N70*O70</f>
        <v>599501.54999999993</v>
      </c>
    </row>
    <row r="71" spans="2:16" s="9" customFormat="1" ht="35.1" customHeight="1" x14ac:dyDescent="0.25">
      <c r="B71" s="23" t="s">
        <v>111</v>
      </c>
      <c r="C71" s="11" t="s">
        <v>112</v>
      </c>
      <c r="D71" s="10" t="s">
        <v>30</v>
      </c>
      <c r="E71" s="12">
        <v>11.33</v>
      </c>
      <c r="F71" s="126">
        <v>821235</v>
      </c>
      <c r="G71" s="126">
        <f t="shared" si="5"/>
        <v>9304592.5500000007</v>
      </c>
      <c r="H71" s="8"/>
      <c r="I71" s="9" t="str">
        <f t="array" ref="I71:L71">_xlfn.XLOOKUP(C71,'Neiva 2022 FASE I ACTUAL (4)'!$C$6:$C$540,'Neiva 2022 FASE I ACTUAL (4)'!$C$6:$F$540,"NO ESTA")</f>
        <v>MURO EN CONCRETO DE 4000 PSI e=0.15 m Ver. Planos Tipo Muro M-2</v>
      </c>
      <c r="J71" s="9" t="str">
        <v>M3</v>
      </c>
      <c r="K71" s="9">
        <v>11.33</v>
      </c>
      <c r="L71" s="9">
        <v>722262</v>
      </c>
      <c r="M71" s="124" t="str">
        <f t="shared" si="4"/>
        <v>FASE II</v>
      </c>
      <c r="N71" s="155">
        <f t="shared" si="6"/>
        <v>22.66</v>
      </c>
      <c r="O71" s="156">
        <f t="shared" si="7"/>
        <v>821235</v>
      </c>
      <c r="P71" s="156">
        <f t="shared" si="8"/>
        <v>18609185.100000001</v>
      </c>
    </row>
    <row r="72" spans="2:16" s="9" customFormat="1" ht="35.1" customHeight="1" x14ac:dyDescent="0.25">
      <c r="B72" s="23" t="s">
        <v>113</v>
      </c>
      <c r="C72" s="11" t="s">
        <v>114</v>
      </c>
      <c r="D72" s="10" t="s">
        <v>30</v>
      </c>
      <c r="E72" s="12">
        <v>95.594999999999999</v>
      </c>
      <c r="F72" s="126">
        <v>821235</v>
      </c>
      <c r="G72" s="126">
        <f t="shared" si="5"/>
        <v>78505959.829999998</v>
      </c>
      <c r="H72" s="8"/>
      <c r="I72" s="9" t="str">
        <f t="array" ref="I72:L72">_xlfn.XLOOKUP(C72,'Neiva 2022 FASE I ACTUAL (4)'!$C$6:$C$540,'Neiva 2022 FASE I ACTUAL (4)'!$C$6:$F$540,"NO ESTA")</f>
        <v>MURO EN CONCRETO DE 4000 PSI e=0.25 m Ver. Planos Tipo Muro M-3</v>
      </c>
      <c r="J72" s="9" t="str">
        <v>M3</v>
      </c>
      <c r="K72" s="9">
        <v>95.6</v>
      </c>
      <c r="L72" s="9">
        <v>722262</v>
      </c>
      <c r="M72" s="124" t="str">
        <f t="shared" ref="M72:M135" si="9">IF(L72=0,0,(IF(F72&lt;L72, "FASE I","FASE II")))</f>
        <v>FASE II</v>
      </c>
      <c r="N72" s="155">
        <f t="shared" si="6"/>
        <v>191.19499999999999</v>
      </c>
      <c r="O72" s="156">
        <f t="shared" si="7"/>
        <v>821235</v>
      </c>
      <c r="P72" s="156">
        <f t="shared" si="8"/>
        <v>157016025.82499999</v>
      </c>
    </row>
    <row r="73" spans="2:16" s="9" customFormat="1" ht="35.1" customHeight="1" x14ac:dyDescent="0.25">
      <c r="B73" s="23" t="s">
        <v>115</v>
      </c>
      <c r="C73" s="11" t="s">
        <v>116</v>
      </c>
      <c r="D73" s="10" t="s">
        <v>30</v>
      </c>
      <c r="E73" s="12">
        <v>20.12</v>
      </c>
      <c r="F73" s="126">
        <v>821235</v>
      </c>
      <c r="G73" s="126">
        <f t="shared" si="5"/>
        <v>16523248.199999999</v>
      </c>
      <c r="H73" s="8"/>
      <c r="I73" s="9" t="str">
        <f t="array" ref="I73:L73">_xlfn.XLOOKUP(C73,'Neiva 2022 FASE I ACTUAL (4)'!$C$6:$C$540,'Neiva 2022 FASE I ACTUAL (4)'!$C$6:$F$540,"NO ESTA")</f>
        <v>MURO EN CONCRETO DE 4000 PSI e=0.30 m Ver. Planos Tipo Muro M-4</v>
      </c>
      <c r="J73" s="9" t="str">
        <v>M3</v>
      </c>
      <c r="K73" s="9">
        <v>20.12</v>
      </c>
      <c r="L73" s="9">
        <v>722262</v>
      </c>
      <c r="M73" s="124" t="str">
        <f t="shared" si="9"/>
        <v>FASE II</v>
      </c>
      <c r="N73" s="155">
        <f t="shared" si="6"/>
        <v>40.24</v>
      </c>
      <c r="O73" s="156">
        <f t="shared" si="7"/>
        <v>821235</v>
      </c>
      <c r="P73" s="156">
        <f t="shared" si="8"/>
        <v>33046496.400000002</v>
      </c>
    </row>
    <row r="74" spans="2:16" s="9" customFormat="1" ht="35.1" customHeight="1" x14ac:dyDescent="0.25">
      <c r="B74" s="23" t="s">
        <v>117</v>
      </c>
      <c r="C74" s="11" t="s">
        <v>118</v>
      </c>
      <c r="D74" s="10" t="s">
        <v>30</v>
      </c>
      <c r="E74" s="12">
        <v>80.484999999999999</v>
      </c>
      <c r="F74" s="126">
        <v>821235</v>
      </c>
      <c r="G74" s="126">
        <f t="shared" si="5"/>
        <v>66097098.979999997</v>
      </c>
      <c r="H74" s="8"/>
      <c r="I74" s="9" t="str">
        <f t="array" ref="I74:L74">_xlfn.XLOOKUP(C74,'Neiva 2022 FASE I ACTUAL (4)'!$C$6:$C$540,'Neiva 2022 FASE I ACTUAL (4)'!$C$6:$F$540,"NO ESTA")</f>
        <v>MURO EN CONCRETO DE 4000 PSI e=0.40 m Ver. Planos Tipo Muro M-5</v>
      </c>
      <c r="J74" s="9" t="str">
        <v>M3</v>
      </c>
      <c r="K74" s="9">
        <v>80.489999999999995</v>
      </c>
      <c r="L74" s="9">
        <v>722262</v>
      </c>
      <c r="M74" s="124" t="str">
        <f t="shared" si="9"/>
        <v>FASE II</v>
      </c>
      <c r="N74" s="155">
        <f t="shared" si="6"/>
        <v>160.97499999999999</v>
      </c>
      <c r="O74" s="156">
        <f t="shared" si="7"/>
        <v>821235</v>
      </c>
      <c r="P74" s="156">
        <f t="shared" si="8"/>
        <v>132198304.125</v>
      </c>
    </row>
    <row r="75" spans="2:16" s="9" customFormat="1" ht="35.1" customHeight="1" x14ac:dyDescent="0.25">
      <c r="B75" s="23" t="s">
        <v>119</v>
      </c>
      <c r="C75" s="11" t="s">
        <v>120</v>
      </c>
      <c r="D75" s="10" t="s">
        <v>13</v>
      </c>
      <c r="E75" s="12">
        <v>79.69</v>
      </c>
      <c r="F75" s="126">
        <v>141317</v>
      </c>
      <c r="G75" s="126">
        <f t="shared" si="5"/>
        <v>11261551.73</v>
      </c>
      <c r="H75" s="8"/>
      <c r="I75" s="9" t="str">
        <f t="array" ref="I75:L75">_xlfn.XLOOKUP(C75,'Neiva 2022 FASE I ACTUAL (4)'!$C$6:$C$540,'Neiva 2022 FASE I ACTUAL (4)'!$C$6:$F$540,"NO ESTA")</f>
        <v>MURO EN LADRILLO GRAN FORMATO e= 0.12 m Ref. Tierra Ver. Planos Tipo Muro M-6</v>
      </c>
      <c r="J75" s="9" t="str">
        <v>M2</v>
      </c>
      <c r="K75" s="9">
        <v>79.69</v>
      </c>
      <c r="L75" s="9">
        <v>153356</v>
      </c>
      <c r="M75" s="124" t="str">
        <f t="shared" si="9"/>
        <v>FASE I</v>
      </c>
      <c r="N75" s="155">
        <f t="shared" si="6"/>
        <v>159.38</v>
      </c>
      <c r="O75" s="156">
        <f t="shared" si="7"/>
        <v>153356</v>
      </c>
      <c r="P75" s="156">
        <f t="shared" si="8"/>
        <v>24441879.279999997</v>
      </c>
    </row>
    <row r="76" spans="2:16" s="9" customFormat="1" ht="35.1" customHeight="1" x14ac:dyDescent="0.25">
      <c r="B76" s="23" t="s">
        <v>121</v>
      </c>
      <c r="C76" s="22" t="s">
        <v>122</v>
      </c>
      <c r="D76" s="23" t="s">
        <v>13</v>
      </c>
      <c r="E76" s="12">
        <v>21.32</v>
      </c>
      <c r="F76" s="126">
        <v>186538</v>
      </c>
      <c r="G76" s="126">
        <f t="shared" si="5"/>
        <v>3976990.16</v>
      </c>
      <c r="H76" s="8"/>
      <c r="I76" s="9" t="str">
        <f t="array" ref="I76:L76">_xlfn.XLOOKUP(C76,'Neiva 2022 FASE I ACTUAL (4)'!$C$6:$C$540,'Neiva 2022 FASE I ACTUAL (4)'!$C$6:$F$540,"NO ESTA")</f>
        <v xml:space="preserve">MURO EN LADRILLO GRAN FORMATO e= 0.25 m Ref. Tierra Ver. Planos Tipo Muro M-7 </v>
      </c>
      <c r="J76" s="9" t="str">
        <v>M2</v>
      </c>
      <c r="K76" s="9">
        <v>21.32</v>
      </c>
      <c r="L76" s="9">
        <v>306715</v>
      </c>
      <c r="M76" s="124" t="str">
        <f t="shared" si="9"/>
        <v>FASE I</v>
      </c>
      <c r="N76" s="155">
        <f t="shared" si="6"/>
        <v>42.64</v>
      </c>
      <c r="O76" s="156">
        <f t="shared" si="7"/>
        <v>306715</v>
      </c>
      <c r="P76" s="156">
        <f t="shared" si="8"/>
        <v>13078327.6</v>
      </c>
    </row>
    <row r="77" spans="2:16" s="9" customFormat="1" ht="35.1" customHeight="1" x14ac:dyDescent="0.25">
      <c r="B77" s="13" t="s">
        <v>123</v>
      </c>
      <c r="C77" s="24" t="s">
        <v>124</v>
      </c>
      <c r="D77" s="24"/>
      <c r="E77" s="15"/>
      <c r="F77" s="126">
        <v>0</v>
      </c>
      <c r="G77" s="126">
        <f t="shared" si="5"/>
        <v>0</v>
      </c>
      <c r="H77" s="8"/>
      <c r="I77" s="9" t="str">
        <f t="array" ref="I77:L77">_xlfn.XLOOKUP(C77,'Neiva 2022 FASE I ACTUAL (4)'!$C$6:$C$540,'Neiva 2022 FASE I ACTUAL (4)'!$C$6:$F$540,"NO ESTA")</f>
        <v>CONSTRUCCIÓN MUROS ARQUITECTONICOS EXTERIORES</v>
      </c>
      <c r="J77" s="9">
        <v>0</v>
      </c>
      <c r="K77" s="9">
        <v>0</v>
      </c>
      <c r="L77" s="9">
        <v>0</v>
      </c>
      <c r="M77" s="124">
        <f t="shared" si="9"/>
        <v>0</v>
      </c>
      <c r="N77" s="155">
        <f t="shared" si="6"/>
        <v>0</v>
      </c>
      <c r="O77" s="156">
        <f t="shared" si="7"/>
        <v>0</v>
      </c>
      <c r="P77" s="156">
        <f t="shared" si="8"/>
        <v>0</v>
      </c>
    </row>
    <row r="78" spans="2:16" s="9" customFormat="1" ht="35.1" customHeight="1" x14ac:dyDescent="0.25">
      <c r="B78" s="23" t="s">
        <v>125</v>
      </c>
      <c r="C78" s="11" t="s">
        <v>1079</v>
      </c>
      <c r="D78" s="10" t="s">
        <v>30</v>
      </c>
      <c r="E78" s="12">
        <v>0</v>
      </c>
      <c r="F78" s="126">
        <v>821235</v>
      </c>
      <c r="G78" s="126">
        <f t="shared" si="5"/>
        <v>0</v>
      </c>
      <c r="H78" s="8"/>
      <c r="I78" s="9" t="str">
        <f t="array" ref="I78">_xlfn.XLOOKUP(C78,'Neiva 2022 FASE I ACTUAL (4)'!$C$6:$C$540,'Neiva 2022 FASE I ACTUAL (4)'!$C$6:$F$540,"NO ESTA")</f>
        <v>NO ESTA</v>
      </c>
      <c r="M78" s="124">
        <f t="shared" si="9"/>
        <v>0</v>
      </c>
      <c r="N78" s="155">
        <f t="shared" si="6"/>
        <v>0</v>
      </c>
      <c r="O78" s="156">
        <f t="shared" si="7"/>
        <v>821235</v>
      </c>
      <c r="P78" s="156">
        <f t="shared" si="8"/>
        <v>0</v>
      </c>
    </row>
    <row r="79" spans="2:16" s="9" customFormat="1" ht="35.1" customHeight="1" x14ac:dyDescent="0.25">
      <c r="B79" s="23" t="s">
        <v>126</v>
      </c>
      <c r="C79" s="11" t="s">
        <v>1080</v>
      </c>
      <c r="D79" s="10" t="s">
        <v>30</v>
      </c>
      <c r="E79" s="12">
        <v>0</v>
      </c>
      <c r="F79" s="126">
        <v>821235</v>
      </c>
      <c r="G79" s="126">
        <f t="shared" si="5"/>
        <v>0</v>
      </c>
      <c r="H79" s="8"/>
      <c r="I79" s="9" t="str">
        <f t="array" ref="I79">_xlfn.XLOOKUP(C79,'Neiva 2022 FASE I ACTUAL (4)'!$C$6:$C$540,'Neiva 2022 FASE I ACTUAL (4)'!$C$6:$F$540,"NO ESTA")</f>
        <v>NO ESTA</v>
      </c>
      <c r="M79" s="124">
        <f t="shared" si="9"/>
        <v>0</v>
      </c>
      <c r="N79" s="155">
        <f t="shared" si="6"/>
        <v>0</v>
      </c>
      <c r="O79" s="156">
        <f t="shared" si="7"/>
        <v>821235</v>
      </c>
      <c r="P79" s="156">
        <f t="shared" si="8"/>
        <v>0</v>
      </c>
    </row>
    <row r="80" spans="2:16" s="9" customFormat="1" ht="35.1" customHeight="1" x14ac:dyDescent="0.25">
      <c r="B80" s="13" t="s">
        <v>127</v>
      </c>
      <c r="C80" s="14" t="s">
        <v>128</v>
      </c>
      <c r="D80" s="13"/>
      <c r="E80" s="15"/>
      <c r="F80" s="129"/>
      <c r="G80" s="140"/>
      <c r="H80" s="8"/>
      <c r="I80" s="9" t="str">
        <f t="array" ref="I80:L80">_xlfn.XLOOKUP(C80,'Neiva 2022 FASE I ACTUAL (4)'!$C$6:$C$540,'Neiva 2022 FASE I ACTUAL (4)'!$C$6:$F$540,"NO ESTA")</f>
        <v>CONSTRUCCIÓN MUROS ARQUITECTONICOS PISO 1</v>
      </c>
      <c r="J80" s="9">
        <v>0</v>
      </c>
      <c r="K80" s="9">
        <v>0</v>
      </c>
      <c r="L80" s="9">
        <v>0</v>
      </c>
      <c r="M80" s="124">
        <f t="shared" si="9"/>
        <v>0</v>
      </c>
      <c r="N80" s="155">
        <f t="shared" si="6"/>
        <v>0</v>
      </c>
      <c r="O80" s="156">
        <f t="shared" si="7"/>
        <v>0</v>
      </c>
      <c r="P80" s="156">
        <f t="shared" si="8"/>
        <v>0</v>
      </c>
    </row>
    <row r="81" spans="2:16" s="9" customFormat="1" ht="35.1" customHeight="1" x14ac:dyDescent="0.25">
      <c r="B81" s="23" t="s">
        <v>129</v>
      </c>
      <c r="C81" s="87" t="s">
        <v>130</v>
      </c>
      <c r="D81" s="10" t="s">
        <v>13</v>
      </c>
      <c r="E81" s="12">
        <v>91.915000000000006</v>
      </c>
      <c r="F81" s="126">
        <v>102358</v>
      </c>
      <c r="G81" s="126">
        <f t="shared" ref="G81:G86" si="10">ROUND(+F81*E81,2)</f>
        <v>9408235.5700000003</v>
      </c>
      <c r="H81" s="8"/>
      <c r="I81" s="9" t="str">
        <f t="array" ref="I81:L81">_xlfn.XLOOKUP(C81,'Neiva 2022 FASE I ACTUAL (4)'!$C$6:$C$540,'Neiva 2022 FASE I ACTUAL (4)'!$C$6:$F$540,"NO ESTA")</f>
        <v>ENCHAPE DE MURO BAÑOS PORCELANATO GRIS 30*40CM</v>
      </c>
      <c r="J81" s="9" t="str">
        <v>M2</v>
      </c>
      <c r="K81" s="9">
        <v>91.92</v>
      </c>
      <c r="L81" s="9">
        <v>110643</v>
      </c>
      <c r="M81" s="124" t="str">
        <f t="shared" si="9"/>
        <v>FASE I</v>
      </c>
      <c r="N81" s="155">
        <f t="shared" si="6"/>
        <v>183.83500000000001</v>
      </c>
      <c r="O81" s="156">
        <f t="shared" si="7"/>
        <v>110643</v>
      </c>
      <c r="P81" s="156">
        <f t="shared" si="8"/>
        <v>20340055.905000001</v>
      </c>
    </row>
    <row r="82" spans="2:16" s="9" customFormat="1" ht="35.1" customHeight="1" x14ac:dyDescent="0.25">
      <c r="B82" s="23" t="s">
        <v>131</v>
      </c>
      <c r="C82" s="87" t="s">
        <v>112</v>
      </c>
      <c r="D82" s="10" t="s">
        <v>30</v>
      </c>
      <c r="E82" s="12">
        <v>29.659999999999997</v>
      </c>
      <c r="F82" s="126">
        <v>821235</v>
      </c>
      <c r="G82" s="126">
        <f t="shared" si="10"/>
        <v>24357830.100000001</v>
      </c>
      <c r="H82" s="8"/>
      <c r="I82" s="9" t="str">
        <f t="array" ref="I82:L82">_xlfn.XLOOKUP(C82,'Neiva 2022 FASE I ACTUAL (4)'!$C$6:$C$540,'Neiva 2022 FASE I ACTUAL (4)'!$C$6:$F$540,"NO ESTA")</f>
        <v>MURO EN CONCRETO DE 4000 PSI e=0.15 m Ver. Planos Tipo Muro M-2</v>
      </c>
      <c r="J82" s="9" t="str">
        <v>M3</v>
      </c>
      <c r="K82" s="9">
        <v>11.33</v>
      </c>
      <c r="L82" s="9">
        <v>722262</v>
      </c>
      <c r="M82" s="124" t="str">
        <f t="shared" si="9"/>
        <v>FASE II</v>
      </c>
      <c r="N82" s="155">
        <f t="shared" si="6"/>
        <v>40.989999999999995</v>
      </c>
      <c r="O82" s="156">
        <f t="shared" si="7"/>
        <v>821235</v>
      </c>
      <c r="P82" s="156">
        <f t="shared" si="8"/>
        <v>33662422.649999999</v>
      </c>
    </row>
    <row r="83" spans="2:16" s="9" customFormat="1" ht="35.1" customHeight="1" x14ac:dyDescent="0.25">
      <c r="B83" s="23" t="s">
        <v>132</v>
      </c>
      <c r="C83" s="87" t="s">
        <v>114</v>
      </c>
      <c r="D83" s="10" t="s">
        <v>30</v>
      </c>
      <c r="E83" s="12">
        <v>8.76</v>
      </c>
      <c r="F83" s="126">
        <v>821235</v>
      </c>
      <c r="G83" s="126">
        <f t="shared" si="10"/>
        <v>7194018.5999999996</v>
      </c>
      <c r="H83" s="8"/>
      <c r="I83" s="9" t="str">
        <f t="array" ref="I83:L83">_xlfn.XLOOKUP(C83,'Neiva 2022 FASE I ACTUAL (4)'!$C$6:$C$540,'Neiva 2022 FASE I ACTUAL (4)'!$C$6:$F$540,"NO ESTA")</f>
        <v>MURO EN CONCRETO DE 4000 PSI e=0.25 m Ver. Planos Tipo Muro M-3</v>
      </c>
      <c r="J83" s="9" t="str">
        <v>M3</v>
      </c>
      <c r="K83" s="9">
        <v>95.6</v>
      </c>
      <c r="L83" s="9">
        <v>722262</v>
      </c>
      <c r="M83" s="124" t="str">
        <f t="shared" si="9"/>
        <v>FASE II</v>
      </c>
      <c r="N83" s="155">
        <f t="shared" si="6"/>
        <v>104.36</v>
      </c>
      <c r="O83" s="156">
        <f t="shared" si="7"/>
        <v>821235</v>
      </c>
      <c r="P83" s="156">
        <f t="shared" si="8"/>
        <v>85704084.599999994</v>
      </c>
    </row>
    <row r="84" spans="2:16" s="9" customFormat="1" ht="35.1" customHeight="1" x14ac:dyDescent="0.25">
      <c r="B84" s="23" t="s">
        <v>133</v>
      </c>
      <c r="C84" s="87" t="s">
        <v>118</v>
      </c>
      <c r="D84" s="10" t="s">
        <v>30</v>
      </c>
      <c r="E84" s="12">
        <v>54.390000000000008</v>
      </c>
      <c r="F84" s="126">
        <v>821235</v>
      </c>
      <c r="G84" s="126">
        <f t="shared" si="10"/>
        <v>44666971.649999999</v>
      </c>
      <c r="H84" s="8"/>
      <c r="I84" s="9" t="str">
        <f t="array" ref="I84:L84">_xlfn.XLOOKUP(C84,'Neiva 2022 FASE I ACTUAL (4)'!$C$6:$C$540,'Neiva 2022 FASE I ACTUAL (4)'!$C$6:$F$540,"NO ESTA")</f>
        <v>MURO EN CONCRETO DE 4000 PSI e=0.40 m Ver. Planos Tipo Muro M-5</v>
      </c>
      <c r="J84" s="9" t="str">
        <v>M3</v>
      </c>
      <c r="K84" s="9">
        <v>80.489999999999995</v>
      </c>
      <c r="L84" s="9">
        <v>722262</v>
      </c>
      <c r="M84" s="124" t="str">
        <f t="shared" si="9"/>
        <v>FASE II</v>
      </c>
      <c r="N84" s="155">
        <f t="shared" si="6"/>
        <v>134.88</v>
      </c>
      <c r="O84" s="156">
        <f t="shared" si="7"/>
        <v>821235</v>
      </c>
      <c r="P84" s="156">
        <f t="shared" si="8"/>
        <v>110768176.8</v>
      </c>
    </row>
    <row r="85" spans="2:16" s="9" customFormat="1" ht="35.1" customHeight="1" x14ac:dyDescent="0.25">
      <c r="B85" s="23" t="s">
        <v>135</v>
      </c>
      <c r="C85" s="87" t="s">
        <v>120</v>
      </c>
      <c r="D85" s="10" t="s">
        <v>13</v>
      </c>
      <c r="E85" s="12">
        <v>204.56</v>
      </c>
      <c r="F85" s="126">
        <v>141317</v>
      </c>
      <c r="G85" s="126">
        <f t="shared" si="10"/>
        <v>28907805.52</v>
      </c>
      <c r="H85" s="8"/>
      <c r="I85" s="9" t="str">
        <f t="array" ref="I85:L85">_xlfn.XLOOKUP(C85,'Neiva 2022 FASE I ACTUAL (4)'!$C$6:$C$540,'Neiva 2022 FASE I ACTUAL (4)'!$C$6:$F$540,"NO ESTA")</f>
        <v>MURO EN LADRILLO GRAN FORMATO e= 0.12 m Ref. Tierra Ver. Planos Tipo Muro M-6</v>
      </c>
      <c r="J85" s="9" t="str">
        <v>M2</v>
      </c>
      <c r="K85" s="9">
        <v>79.69</v>
      </c>
      <c r="L85" s="9">
        <v>153356</v>
      </c>
      <c r="M85" s="124" t="str">
        <f t="shared" si="9"/>
        <v>FASE I</v>
      </c>
      <c r="N85" s="155">
        <f t="shared" si="6"/>
        <v>284.25</v>
      </c>
      <c r="O85" s="156">
        <f t="shared" si="7"/>
        <v>153356</v>
      </c>
      <c r="P85" s="156">
        <f t="shared" si="8"/>
        <v>43591443</v>
      </c>
    </row>
    <row r="86" spans="2:16" s="9" customFormat="1" ht="35.1" customHeight="1" x14ac:dyDescent="0.25">
      <c r="B86" s="23" t="s">
        <v>136</v>
      </c>
      <c r="C86" s="87" t="s">
        <v>122</v>
      </c>
      <c r="D86" s="23" t="s">
        <v>13</v>
      </c>
      <c r="E86" s="12">
        <v>76.37</v>
      </c>
      <c r="F86" s="126">
        <v>186538</v>
      </c>
      <c r="G86" s="126">
        <f t="shared" si="10"/>
        <v>14245907.060000001</v>
      </c>
      <c r="H86" s="8"/>
      <c r="I86" s="9" t="str">
        <f t="array" ref="I86:L86">_xlfn.XLOOKUP(C86,'Neiva 2022 FASE I ACTUAL (4)'!$C$6:$C$540,'Neiva 2022 FASE I ACTUAL (4)'!$C$6:$F$540,"NO ESTA")</f>
        <v xml:space="preserve">MURO EN LADRILLO GRAN FORMATO e= 0.25 m Ref. Tierra Ver. Planos Tipo Muro M-7 </v>
      </c>
      <c r="J86" s="9" t="str">
        <v>M2</v>
      </c>
      <c r="K86" s="9">
        <v>21.32</v>
      </c>
      <c r="L86" s="9">
        <v>306715</v>
      </c>
      <c r="M86" s="124" t="str">
        <f t="shared" si="9"/>
        <v>FASE I</v>
      </c>
      <c r="N86" s="155">
        <f t="shared" si="6"/>
        <v>97.69</v>
      </c>
      <c r="O86" s="156">
        <f t="shared" si="7"/>
        <v>306715</v>
      </c>
      <c r="P86" s="156">
        <f t="shared" si="8"/>
        <v>29962988.349999998</v>
      </c>
    </row>
    <row r="87" spans="2:16" s="9" customFormat="1" ht="35.1" customHeight="1" x14ac:dyDescent="0.25">
      <c r="B87" s="13" t="s">
        <v>137</v>
      </c>
      <c r="C87" s="14" t="s">
        <v>138</v>
      </c>
      <c r="D87" s="13"/>
      <c r="E87" s="15"/>
      <c r="F87" s="129"/>
      <c r="G87" s="140"/>
      <c r="H87" s="8"/>
      <c r="I87" s="9" t="str">
        <f t="array" ref="I87:L87">_xlfn.XLOOKUP(C87,'Neiva 2022 FASE I ACTUAL (4)'!$C$6:$C$540,'Neiva 2022 FASE I ACTUAL (4)'!$C$6:$F$540,"NO ESTA")</f>
        <v>CONSTRUCCIÓN MUROS ARQUITECTONICOS PISO 2</v>
      </c>
      <c r="J87" s="9">
        <v>0</v>
      </c>
      <c r="K87" s="9">
        <v>0</v>
      </c>
      <c r="L87" s="9">
        <v>0</v>
      </c>
      <c r="M87" s="124">
        <f t="shared" si="9"/>
        <v>0</v>
      </c>
      <c r="N87" s="155">
        <f t="shared" si="6"/>
        <v>0</v>
      </c>
      <c r="O87" s="156">
        <f t="shared" si="7"/>
        <v>0</v>
      </c>
      <c r="P87" s="156">
        <f t="shared" si="8"/>
        <v>0</v>
      </c>
    </row>
    <row r="88" spans="2:16" s="9" customFormat="1" ht="35.1" customHeight="1" x14ac:dyDescent="0.25">
      <c r="B88" s="23" t="s">
        <v>139</v>
      </c>
      <c r="C88" s="87" t="s">
        <v>130</v>
      </c>
      <c r="D88" s="10" t="s">
        <v>13</v>
      </c>
      <c r="E88" s="12">
        <v>89.605000000000004</v>
      </c>
      <c r="F88" s="126">
        <v>102358</v>
      </c>
      <c r="G88" s="126">
        <f t="shared" ref="G88:G93" si="11">ROUND(+F88*E88,2)</f>
        <v>9171788.5899999999</v>
      </c>
      <c r="H88" s="8"/>
      <c r="I88" s="9" t="str">
        <f t="array" ref="I88:L88">_xlfn.XLOOKUP(C88,'Neiva 2022 FASE I ACTUAL (4)'!$C$6:$C$540,'Neiva 2022 FASE I ACTUAL (4)'!$C$6:$F$540,"NO ESTA")</f>
        <v>ENCHAPE DE MURO BAÑOS PORCELANATO GRIS 30*40CM</v>
      </c>
      <c r="J88" s="9" t="str">
        <v>M2</v>
      </c>
      <c r="K88" s="9">
        <v>91.92</v>
      </c>
      <c r="L88" s="9">
        <v>110643</v>
      </c>
      <c r="M88" s="124" t="str">
        <f t="shared" si="9"/>
        <v>FASE I</v>
      </c>
      <c r="N88" s="155">
        <f t="shared" si="6"/>
        <v>181.52500000000001</v>
      </c>
      <c r="O88" s="156">
        <f t="shared" si="7"/>
        <v>110643</v>
      </c>
      <c r="P88" s="156">
        <f t="shared" si="8"/>
        <v>20084470.574999999</v>
      </c>
    </row>
    <row r="89" spans="2:16" s="9" customFormat="1" ht="35.1" customHeight="1" x14ac:dyDescent="0.25">
      <c r="B89" s="23" t="s">
        <v>140</v>
      </c>
      <c r="C89" s="87" t="s">
        <v>112</v>
      </c>
      <c r="D89" s="10" t="s">
        <v>30</v>
      </c>
      <c r="E89" s="12">
        <v>1.1200000000000001</v>
      </c>
      <c r="F89" s="126">
        <v>821235</v>
      </c>
      <c r="G89" s="126">
        <f t="shared" si="11"/>
        <v>919783.2</v>
      </c>
      <c r="H89" s="8"/>
      <c r="I89" s="9" t="str">
        <f t="array" ref="I89:L89">_xlfn.XLOOKUP(C89,'Neiva 2022 FASE I ACTUAL (4)'!$C$6:$C$540,'Neiva 2022 FASE I ACTUAL (4)'!$C$6:$F$540,"NO ESTA")</f>
        <v>MURO EN CONCRETO DE 4000 PSI e=0.15 m Ver. Planos Tipo Muro M-2</v>
      </c>
      <c r="J89" s="9" t="str">
        <v>M3</v>
      </c>
      <c r="K89" s="9">
        <v>11.33</v>
      </c>
      <c r="L89" s="9">
        <v>722262</v>
      </c>
      <c r="M89" s="124" t="str">
        <f t="shared" si="9"/>
        <v>FASE II</v>
      </c>
      <c r="N89" s="155">
        <f t="shared" si="6"/>
        <v>12.45</v>
      </c>
      <c r="O89" s="156">
        <f t="shared" si="7"/>
        <v>821235</v>
      </c>
      <c r="P89" s="156">
        <f t="shared" si="8"/>
        <v>10224375.75</v>
      </c>
    </row>
    <row r="90" spans="2:16" s="9" customFormat="1" ht="35.1" customHeight="1" x14ac:dyDescent="0.25">
      <c r="B90" s="23" t="s">
        <v>141</v>
      </c>
      <c r="C90" s="87" t="s">
        <v>114</v>
      </c>
      <c r="D90" s="10" t="s">
        <v>30</v>
      </c>
      <c r="E90" s="12">
        <v>31.71</v>
      </c>
      <c r="F90" s="126">
        <v>821235</v>
      </c>
      <c r="G90" s="126">
        <f t="shared" si="11"/>
        <v>26041361.850000001</v>
      </c>
      <c r="H90" s="8"/>
      <c r="I90" s="9" t="str">
        <f t="array" ref="I90:L90">_xlfn.XLOOKUP(C90,'Neiva 2022 FASE I ACTUAL (4)'!$C$6:$C$540,'Neiva 2022 FASE I ACTUAL (4)'!$C$6:$F$540,"NO ESTA")</f>
        <v>MURO EN CONCRETO DE 4000 PSI e=0.25 m Ver. Planos Tipo Muro M-3</v>
      </c>
      <c r="J90" s="9" t="str">
        <v>M3</v>
      </c>
      <c r="K90" s="9">
        <v>95.6</v>
      </c>
      <c r="L90" s="9">
        <v>722262</v>
      </c>
      <c r="M90" s="124" t="str">
        <f t="shared" si="9"/>
        <v>FASE II</v>
      </c>
      <c r="N90" s="155">
        <f t="shared" si="6"/>
        <v>127.31</v>
      </c>
      <c r="O90" s="156">
        <f t="shared" si="7"/>
        <v>821235</v>
      </c>
      <c r="P90" s="156">
        <f t="shared" si="8"/>
        <v>104551427.85000001</v>
      </c>
    </row>
    <row r="91" spans="2:16" s="9" customFormat="1" ht="35.1" customHeight="1" x14ac:dyDescent="0.25">
      <c r="B91" s="23" t="s">
        <v>142</v>
      </c>
      <c r="C91" s="87" t="s">
        <v>118</v>
      </c>
      <c r="D91" s="10" t="s">
        <v>30</v>
      </c>
      <c r="E91" s="12">
        <v>81.89</v>
      </c>
      <c r="F91" s="126">
        <v>821235</v>
      </c>
      <c r="G91" s="126">
        <f t="shared" si="11"/>
        <v>67250934.150000006</v>
      </c>
      <c r="H91" s="8"/>
      <c r="I91" s="9" t="str">
        <f t="array" ref="I91:L91">_xlfn.XLOOKUP(C91,'Neiva 2022 FASE I ACTUAL (4)'!$C$6:$C$540,'Neiva 2022 FASE I ACTUAL (4)'!$C$6:$F$540,"NO ESTA")</f>
        <v>MURO EN CONCRETO DE 4000 PSI e=0.40 m Ver. Planos Tipo Muro M-5</v>
      </c>
      <c r="J91" s="9" t="str">
        <v>M3</v>
      </c>
      <c r="K91" s="9">
        <v>80.489999999999995</v>
      </c>
      <c r="L91" s="9">
        <v>722262</v>
      </c>
      <c r="M91" s="124" t="str">
        <f t="shared" si="9"/>
        <v>FASE II</v>
      </c>
      <c r="N91" s="155">
        <f t="shared" si="6"/>
        <v>162.38</v>
      </c>
      <c r="O91" s="156">
        <f t="shared" si="7"/>
        <v>821235</v>
      </c>
      <c r="P91" s="156">
        <f t="shared" si="8"/>
        <v>133352139.3</v>
      </c>
    </row>
    <row r="92" spans="2:16" s="9" customFormat="1" ht="35.1" customHeight="1" x14ac:dyDescent="0.25">
      <c r="B92" s="23" t="s">
        <v>143</v>
      </c>
      <c r="C92" s="87" t="s">
        <v>120</v>
      </c>
      <c r="D92" s="10" t="s">
        <v>13</v>
      </c>
      <c r="E92" s="12">
        <v>139.68</v>
      </c>
      <c r="F92" s="126">
        <v>141317</v>
      </c>
      <c r="G92" s="126">
        <f t="shared" si="11"/>
        <v>19739158.559999999</v>
      </c>
      <c r="H92" s="8"/>
      <c r="I92" s="9" t="str">
        <f t="array" ref="I92:L92">_xlfn.XLOOKUP(C92,'Neiva 2022 FASE I ACTUAL (4)'!$C$6:$C$540,'Neiva 2022 FASE I ACTUAL (4)'!$C$6:$F$540,"NO ESTA")</f>
        <v>MURO EN LADRILLO GRAN FORMATO e= 0.12 m Ref. Tierra Ver. Planos Tipo Muro M-6</v>
      </c>
      <c r="J92" s="9" t="str">
        <v>M2</v>
      </c>
      <c r="K92" s="9">
        <v>79.69</v>
      </c>
      <c r="L92" s="9">
        <v>153356</v>
      </c>
      <c r="M92" s="124" t="str">
        <f t="shared" si="9"/>
        <v>FASE I</v>
      </c>
      <c r="N92" s="155">
        <f t="shared" si="6"/>
        <v>219.37</v>
      </c>
      <c r="O92" s="156">
        <f t="shared" si="7"/>
        <v>153356</v>
      </c>
      <c r="P92" s="156">
        <f t="shared" si="8"/>
        <v>33641705.719999999</v>
      </c>
    </row>
    <row r="93" spans="2:16" s="9" customFormat="1" ht="35.1" customHeight="1" x14ac:dyDescent="0.25">
      <c r="B93" s="23" t="s">
        <v>144</v>
      </c>
      <c r="C93" s="87" t="s">
        <v>122</v>
      </c>
      <c r="D93" s="10" t="s">
        <v>13</v>
      </c>
      <c r="E93" s="12">
        <v>124.47</v>
      </c>
      <c r="F93" s="126">
        <v>186538</v>
      </c>
      <c r="G93" s="126">
        <f t="shared" si="11"/>
        <v>23218384.859999999</v>
      </c>
      <c r="H93" s="8"/>
      <c r="I93" s="9" t="str">
        <f t="array" ref="I93:L93">_xlfn.XLOOKUP(C93,'Neiva 2022 FASE I ACTUAL (4)'!$C$6:$C$540,'Neiva 2022 FASE I ACTUAL (4)'!$C$6:$F$540,"NO ESTA")</f>
        <v xml:space="preserve">MURO EN LADRILLO GRAN FORMATO e= 0.25 m Ref. Tierra Ver. Planos Tipo Muro M-7 </v>
      </c>
      <c r="J93" s="9" t="str">
        <v>M2</v>
      </c>
      <c r="K93" s="9">
        <v>21.32</v>
      </c>
      <c r="L93" s="9">
        <v>306715</v>
      </c>
      <c r="M93" s="124" t="str">
        <f t="shared" si="9"/>
        <v>FASE I</v>
      </c>
      <c r="N93" s="155">
        <f t="shared" si="6"/>
        <v>145.79</v>
      </c>
      <c r="O93" s="156">
        <f t="shared" si="7"/>
        <v>306715</v>
      </c>
      <c r="P93" s="156">
        <f t="shared" si="8"/>
        <v>44715979.849999994</v>
      </c>
    </row>
    <row r="94" spans="2:16" s="9" customFormat="1" ht="35.1" customHeight="1" x14ac:dyDescent="0.25">
      <c r="B94" s="13" t="s">
        <v>1081</v>
      </c>
      <c r="C94" s="14" t="s">
        <v>1082</v>
      </c>
      <c r="D94" s="13"/>
      <c r="E94" s="15"/>
      <c r="F94" s="129"/>
      <c r="G94" s="140"/>
      <c r="H94" s="8"/>
      <c r="I94" s="9" t="str">
        <f t="array" ref="I94">_xlfn.XLOOKUP(C94,'Neiva 2022 FASE I ACTUAL (4)'!$C$6:$C$540,'Neiva 2022 FASE I ACTUAL (4)'!$C$6:$F$540,"NO ESTA")</f>
        <v>NO ESTA</v>
      </c>
      <c r="M94" s="124">
        <f t="shared" si="9"/>
        <v>0</v>
      </c>
      <c r="N94" s="155">
        <f t="shared" si="6"/>
        <v>0</v>
      </c>
      <c r="O94" s="156">
        <f t="shared" si="7"/>
        <v>0</v>
      </c>
      <c r="P94" s="156">
        <f t="shared" si="8"/>
        <v>0</v>
      </c>
    </row>
    <row r="95" spans="2:16" s="9" customFormat="1" ht="35.1" customHeight="1" x14ac:dyDescent="0.25">
      <c r="B95" s="23" t="s">
        <v>1083</v>
      </c>
      <c r="C95" s="87" t="s">
        <v>130</v>
      </c>
      <c r="D95" s="23" t="s">
        <v>13</v>
      </c>
      <c r="E95" s="12">
        <v>179.21</v>
      </c>
      <c r="F95" s="126">
        <v>102358</v>
      </c>
      <c r="G95" s="126">
        <f t="shared" ref="G95:G100" si="12">ROUND(+F95*E95,2)</f>
        <v>18343577.18</v>
      </c>
      <c r="H95" s="8"/>
      <c r="I95" s="9" t="str">
        <f t="array" ref="I95:L95">_xlfn.XLOOKUP(C95,'Neiva 2022 FASE I ACTUAL (4)'!$C$6:$C$540,'Neiva 2022 FASE I ACTUAL (4)'!$C$6:$F$540,"NO ESTA")</f>
        <v>ENCHAPE DE MURO BAÑOS PORCELANATO GRIS 30*40CM</v>
      </c>
      <c r="J95" s="9" t="str">
        <v>M2</v>
      </c>
      <c r="K95" s="9">
        <v>91.92</v>
      </c>
      <c r="L95" s="9">
        <v>110643</v>
      </c>
      <c r="M95" s="124" t="str">
        <f t="shared" si="9"/>
        <v>FASE I</v>
      </c>
      <c r="N95" s="155">
        <f t="shared" si="6"/>
        <v>271.13</v>
      </c>
      <c r="O95" s="156">
        <f t="shared" si="7"/>
        <v>110643</v>
      </c>
      <c r="P95" s="156">
        <f t="shared" si="8"/>
        <v>29998636.59</v>
      </c>
    </row>
    <row r="96" spans="2:16" s="9" customFormat="1" ht="35.1" customHeight="1" x14ac:dyDescent="0.25">
      <c r="B96" s="23" t="s">
        <v>1084</v>
      </c>
      <c r="C96" s="87" t="s">
        <v>112</v>
      </c>
      <c r="D96" s="23" t="s">
        <v>30</v>
      </c>
      <c r="E96" s="12">
        <v>1.45</v>
      </c>
      <c r="F96" s="126">
        <v>821235</v>
      </c>
      <c r="G96" s="126">
        <f t="shared" si="12"/>
        <v>1190790.75</v>
      </c>
      <c r="H96" s="8"/>
      <c r="I96" s="9" t="str">
        <f t="array" ref="I96:L96">_xlfn.XLOOKUP(C96,'Neiva 2022 FASE I ACTUAL (4)'!$C$6:$C$540,'Neiva 2022 FASE I ACTUAL (4)'!$C$6:$F$540,"NO ESTA")</f>
        <v>MURO EN CONCRETO DE 4000 PSI e=0.15 m Ver. Planos Tipo Muro M-2</v>
      </c>
      <c r="J96" s="9" t="str">
        <v>M3</v>
      </c>
      <c r="K96" s="9">
        <v>11.33</v>
      </c>
      <c r="L96" s="9">
        <v>722262</v>
      </c>
      <c r="M96" s="124" t="str">
        <f t="shared" si="9"/>
        <v>FASE II</v>
      </c>
      <c r="N96" s="155">
        <f t="shared" si="6"/>
        <v>12.78</v>
      </c>
      <c r="O96" s="156">
        <f t="shared" si="7"/>
        <v>821235</v>
      </c>
      <c r="P96" s="156">
        <f t="shared" si="8"/>
        <v>10495383.299999999</v>
      </c>
    </row>
    <row r="97" spans="2:16" s="9" customFormat="1" ht="35.1" customHeight="1" x14ac:dyDescent="0.25">
      <c r="B97" s="23" t="s">
        <v>1085</v>
      </c>
      <c r="C97" s="87" t="s">
        <v>114</v>
      </c>
      <c r="D97" s="23" t="s">
        <v>30</v>
      </c>
      <c r="E97" s="12">
        <v>31.54</v>
      </c>
      <c r="F97" s="126">
        <v>821235</v>
      </c>
      <c r="G97" s="126">
        <f t="shared" si="12"/>
        <v>25901751.899999999</v>
      </c>
      <c r="H97" s="8"/>
      <c r="I97" s="9" t="str">
        <f t="array" ref="I97:L97">_xlfn.XLOOKUP(C97,'Neiva 2022 FASE I ACTUAL (4)'!$C$6:$C$540,'Neiva 2022 FASE I ACTUAL (4)'!$C$6:$F$540,"NO ESTA")</f>
        <v>MURO EN CONCRETO DE 4000 PSI e=0.25 m Ver. Planos Tipo Muro M-3</v>
      </c>
      <c r="J97" s="9" t="str">
        <v>M3</v>
      </c>
      <c r="K97" s="9">
        <v>95.6</v>
      </c>
      <c r="L97" s="9">
        <v>722262</v>
      </c>
      <c r="M97" s="124" t="str">
        <f t="shared" si="9"/>
        <v>FASE II</v>
      </c>
      <c r="N97" s="155">
        <f t="shared" si="6"/>
        <v>127.13999999999999</v>
      </c>
      <c r="O97" s="156">
        <f t="shared" si="7"/>
        <v>821235</v>
      </c>
      <c r="P97" s="156">
        <f t="shared" si="8"/>
        <v>104411817.89999999</v>
      </c>
    </row>
    <row r="98" spans="2:16" s="9" customFormat="1" ht="35.1" customHeight="1" x14ac:dyDescent="0.25">
      <c r="B98" s="23" t="s">
        <v>1086</v>
      </c>
      <c r="C98" s="87" t="s">
        <v>118</v>
      </c>
      <c r="D98" s="23" t="s">
        <v>30</v>
      </c>
      <c r="E98" s="12">
        <v>69.08</v>
      </c>
      <c r="F98" s="126">
        <v>821235</v>
      </c>
      <c r="G98" s="126">
        <f t="shared" si="12"/>
        <v>56730913.799999997</v>
      </c>
      <c r="H98" s="8"/>
      <c r="I98" s="9" t="str">
        <f t="array" ref="I98:L98">_xlfn.XLOOKUP(C98,'Neiva 2022 FASE I ACTUAL (4)'!$C$6:$C$540,'Neiva 2022 FASE I ACTUAL (4)'!$C$6:$F$540,"NO ESTA")</f>
        <v>MURO EN CONCRETO DE 4000 PSI e=0.40 m Ver. Planos Tipo Muro M-5</v>
      </c>
      <c r="J98" s="9" t="str">
        <v>M3</v>
      </c>
      <c r="K98" s="9">
        <v>80.489999999999995</v>
      </c>
      <c r="L98" s="9">
        <v>722262</v>
      </c>
      <c r="M98" s="124" t="str">
        <f t="shared" si="9"/>
        <v>FASE II</v>
      </c>
      <c r="N98" s="155">
        <f t="shared" si="6"/>
        <v>149.57</v>
      </c>
      <c r="O98" s="156">
        <f t="shared" si="7"/>
        <v>821235</v>
      </c>
      <c r="P98" s="156">
        <f t="shared" si="8"/>
        <v>122832118.94999999</v>
      </c>
    </row>
    <row r="99" spans="2:16" s="9" customFormat="1" ht="35.1" customHeight="1" x14ac:dyDescent="0.25">
      <c r="B99" s="23" t="s">
        <v>1087</v>
      </c>
      <c r="C99" s="87" t="s">
        <v>120</v>
      </c>
      <c r="D99" s="23" t="s">
        <v>13</v>
      </c>
      <c r="E99" s="12">
        <v>276.55</v>
      </c>
      <c r="F99" s="126">
        <v>157768</v>
      </c>
      <c r="G99" s="126">
        <f t="shared" si="12"/>
        <v>43630740.399999999</v>
      </c>
      <c r="H99" s="8"/>
      <c r="I99" s="9" t="str">
        <f t="array" ref="I99:L99">_xlfn.XLOOKUP(C99,'Neiva 2022 FASE I ACTUAL (4)'!$C$6:$C$540,'Neiva 2022 FASE I ACTUAL (4)'!$C$6:$F$540,"NO ESTA")</f>
        <v>MURO EN LADRILLO GRAN FORMATO e= 0.12 m Ref. Tierra Ver. Planos Tipo Muro M-6</v>
      </c>
      <c r="J99" s="9" t="str">
        <v>M2</v>
      </c>
      <c r="K99" s="9">
        <v>79.69</v>
      </c>
      <c r="L99" s="9">
        <v>153356</v>
      </c>
      <c r="M99" s="124" t="str">
        <f t="shared" si="9"/>
        <v>FASE II</v>
      </c>
      <c r="N99" s="155">
        <f t="shared" si="6"/>
        <v>356.24</v>
      </c>
      <c r="O99" s="156">
        <f t="shared" si="7"/>
        <v>157768</v>
      </c>
      <c r="P99" s="156">
        <f t="shared" si="8"/>
        <v>56203272.32</v>
      </c>
    </row>
    <row r="100" spans="2:16" s="9" customFormat="1" ht="35.1" customHeight="1" x14ac:dyDescent="0.25">
      <c r="B100" s="23" t="s">
        <v>1088</v>
      </c>
      <c r="C100" s="87" t="s">
        <v>122</v>
      </c>
      <c r="D100" s="23" t="s">
        <v>13</v>
      </c>
      <c r="E100" s="12">
        <v>132.12</v>
      </c>
      <c r="F100" s="126">
        <v>315534</v>
      </c>
      <c r="G100" s="126">
        <f t="shared" si="12"/>
        <v>41688352.079999998</v>
      </c>
      <c r="H100" s="8"/>
      <c r="I100" s="9" t="str">
        <f t="array" ref="I100:L100">_xlfn.XLOOKUP(C100,'Neiva 2022 FASE I ACTUAL (4)'!$C$6:$C$540,'Neiva 2022 FASE I ACTUAL (4)'!$C$6:$F$540,"NO ESTA")</f>
        <v xml:space="preserve">MURO EN LADRILLO GRAN FORMATO e= 0.25 m Ref. Tierra Ver. Planos Tipo Muro M-7 </v>
      </c>
      <c r="J100" s="9" t="str">
        <v>M2</v>
      </c>
      <c r="K100" s="9">
        <v>21.32</v>
      </c>
      <c r="L100" s="9">
        <v>306715</v>
      </c>
      <c r="M100" s="124" t="str">
        <f t="shared" si="9"/>
        <v>FASE II</v>
      </c>
      <c r="N100" s="155">
        <f t="shared" si="6"/>
        <v>153.44</v>
      </c>
      <c r="O100" s="156">
        <f t="shared" si="7"/>
        <v>315534</v>
      </c>
      <c r="P100" s="156">
        <f t="shared" si="8"/>
        <v>48415536.960000001</v>
      </c>
    </row>
    <row r="101" spans="2:16" s="9" customFormat="1" ht="35.1" customHeight="1" x14ac:dyDescent="0.25">
      <c r="B101" s="13" t="s">
        <v>1089</v>
      </c>
      <c r="C101" s="14" t="s">
        <v>1090</v>
      </c>
      <c r="D101" s="13"/>
      <c r="E101" s="15"/>
      <c r="F101" s="129"/>
      <c r="G101" s="140"/>
      <c r="H101" s="8"/>
      <c r="I101" s="9" t="str">
        <f t="array" ref="I101">_xlfn.XLOOKUP(C101,'Neiva 2022 FASE I ACTUAL (4)'!$C$6:$C$540,'Neiva 2022 FASE I ACTUAL (4)'!$C$6:$F$540,"NO ESTA")</f>
        <v>NO ESTA</v>
      </c>
      <c r="M101" s="124">
        <f t="shared" si="9"/>
        <v>0</v>
      </c>
      <c r="N101" s="155">
        <f t="shared" si="6"/>
        <v>0</v>
      </c>
      <c r="O101" s="156">
        <f t="shared" si="7"/>
        <v>0</v>
      </c>
      <c r="P101" s="156">
        <f t="shared" si="8"/>
        <v>0</v>
      </c>
    </row>
    <row r="102" spans="2:16" s="9" customFormat="1" ht="35.1" customHeight="1" x14ac:dyDescent="0.25">
      <c r="B102" s="10" t="s">
        <v>1091</v>
      </c>
      <c r="C102" s="87" t="s">
        <v>130</v>
      </c>
      <c r="D102" s="10" t="s">
        <v>13</v>
      </c>
      <c r="E102" s="12">
        <v>142.06</v>
      </c>
      <c r="F102" s="126">
        <v>102358</v>
      </c>
      <c r="G102" s="126">
        <f t="shared" ref="G102:G107" si="13">ROUND(+F102*E102,2)</f>
        <v>14540977.48</v>
      </c>
      <c r="H102" s="8"/>
      <c r="I102" s="9" t="str">
        <f t="array" ref="I102:L102">_xlfn.XLOOKUP(C102,'Neiva 2022 FASE I ACTUAL (4)'!$C$6:$C$540,'Neiva 2022 FASE I ACTUAL (4)'!$C$6:$F$540,"NO ESTA")</f>
        <v>ENCHAPE DE MURO BAÑOS PORCELANATO GRIS 30*40CM</v>
      </c>
      <c r="J102" s="9" t="str">
        <v>M2</v>
      </c>
      <c r="K102" s="9">
        <v>91.92</v>
      </c>
      <c r="L102" s="9">
        <v>110643</v>
      </c>
      <c r="M102" s="124" t="str">
        <f t="shared" si="9"/>
        <v>FASE I</v>
      </c>
      <c r="N102" s="155">
        <f t="shared" si="6"/>
        <v>233.98000000000002</v>
      </c>
      <c r="O102" s="156">
        <f t="shared" si="7"/>
        <v>110643</v>
      </c>
      <c r="P102" s="156">
        <f t="shared" si="8"/>
        <v>25888249.140000001</v>
      </c>
    </row>
    <row r="103" spans="2:16" s="9" customFormat="1" ht="35.1" customHeight="1" x14ac:dyDescent="0.25">
      <c r="B103" s="10" t="s">
        <v>1092</v>
      </c>
      <c r="C103" s="87" t="s">
        <v>112</v>
      </c>
      <c r="D103" s="10" t="s">
        <v>30</v>
      </c>
      <c r="E103" s="12">
        <v>1.25</v>
      </c>
      <c r="F103" s="126">
        <v>821235</v>
      </c>
      <c r="G103" s="126">
        <f t="shared" si="13"/>
        <v>1026543.75</v>
      </c>
      <c r="H103" s="8"/>
      <c r="I103" s="9" t="str">
        <f t="array" ref="I103:L103">_xlfn.XLOOKUP(C103,'Neiva 2022 FASE I ACTUAL (4)'!$C$6:$C$540,'Neiva 2022 FASE I ACTUAL (4)'!$C$6:$F$540,"NO ESTA")</f>
        <v>MURO EN CONCRETO DE 4000 PSI e=0.15 m Ver. Planos Tipo Muro M-2</v>
      </c>
      <c r="J103" s="9" t="str">
        <v>M3</v>
      </c>
      <c r="K103" s="9">
        <v>11.33</v>
      </c>
      <c r="L103" s="9">
        <v>722262</v>
      </c>
      <c r="M103" s="124" t="str">
        <f t="shared" si="9"/>
        <v>FASE II</v>
      </c>
      <c r="N103" s="155">
        <f t="shared" si="6"/>
        <v>12.58</v>
      </c>
      <c r="O103" s="156">
        <f t="shared" si="7"/>
        <v>821235</v>
      </c>
      <c r="P103" s="156">
        <f t="shared" si="8"/>
        <v>10331136.300000001</v>
      </c>
    </row>
    <row r="104" spans="2:16" s="9" customFormat="1" ht="35.1" customHeight="1" x14ac:dyDescent="0.25">
      <c r="B104" s="10" t="s">
        <v>1093</v>
      </c>
      <c r="C104" s="87" t="s">
        <v>114</v>
      </c>
      <c r="D104" s="10" t="s">
        <v>30</v>
      </c>
      <c r="E104" s="12">
        <v>27.45</v>
      </c>
      <c r="F104" s="126">
        <v>821235</v>
      </c>
      <c r="G104" s="126">
        <f t="shared" si="13"/>
        <v>22542900.75</v>
      </c>
      <c r="H104" s="8"/>
      <c r="I104" s="9" t="str">
        <f t="array" ref="I104:L104">_xlfn.XLOOKUP(C104,'Neiva 2022 FASE I ACTUAL (4)'!$C$6:$C$540,'Neiva 2022 FASE I ACTUAL (4)'!$C$6:$F$540,"NO ESTA")</f>
        <v>MURO EN CONCRETO DE 4000 PSI e=0.25 m Ver. Planos Tipo Muro M-3</v>
      </c>
      <c r="J104" s="9" t="str">
        <v>M3</v>
      </c>
      <c r="K104" s="9">
        <v>95.6</v>
      </c>
      <c r="L104" s="9">
        <v>722262</v>
      </c>
      <c r="M104" s="124" t="str">
        <f t="shared" si="9"/>
        <v>FASE II</v>
      </c>
      <c r="N104" s="155">
        <f t="shared" si="6"/>
        <v>123.05</v>
      </c>
      <c r="O104" s="156">
        <f t="shared" si="7"/>
        <v>821235</v>
      </c>
      <c r="P104" s="156">
        <f t="shared" si="8"/>
        <v>101052966.75</v>
      </c>
    </row>
    <row r="105" spans="2:16" s="9" customFormat="1" ht="35.1" customHeight="1" x14ac:dyDescent="0.25">
      <c r="B105" s="10" t="s">
        <v>1094</v>
      </c>
      <c r="C105" s="87" t="s">
        <v>118</v>
      </c>
      <c r="D105" s="10" t="s">
        <v>30</v>
      </c>
      <c r="E105" s="12">
        <v>14.01</v>
      </c>
      <c r="F105" s="126">
        <v>821235</v>
      </c>
      <c r="G105" s="126">
        <f t="shared" si="13"/>
        <v>11505502.35</v>
      </c>
      <c r="H105" s="8"/>
      <c r="I105" s="9" t="str">
        <f t="array" ref="I105:L105">_xlfn.XLOOKUP(C105,'Neiva 2022 FASE I ACTUAL (4)'!$C$6:$C$540,'Neiva 2022 FASE I ACTUAL (4)'!$C$6:$F$540,"NO ESTA")</f>
        <v>MURO EN CONCRETO DE 4000 PSI e=0.40 m Ver. Planos Tipo Muro M-5</v>
      </c>
      <c r="J105" s="9" t="str">
        <v>M3</v>
      </c>
      <c r="K105" s="9">
        <v>80.489999999999995</v>
      </c>
      <c r="L105" s="9">
        <v>722262</v>
      </c>
      <c r="M105" s="124" t="str">
        <f t="shared" si="9"/>
        <v>FASE II</v>
      </c>
      <c r="N105" s="155">
        <f t="shared" si="6"/>
        <v>94.5</v>
      </c>
      <c r="O105" s="156">
        <f t="shared" si="7"/>
        <v>821235</v>
      </c>
      <c r="P105" s="156">
        <f t="shared" si="8"/>
        <v>77606707.5</v>
      </c>
    </row>
    <row r="106" spans="2:16" s="9" customFormat="1" ht="35.1" customHeight="1" x14ac:dyDescent="0.25">
      <c r="B106" s="10" t="s">
        <v>1095</v>
      </c>
      <c r="C106" s="87" t="s">
        <v>120</v>
      </c>
      <c r="D106" s="10" t="s">
        <v>13</v>
      </c>
      <c r="E106" s="12">
        <v>316.99</v>
      </c>
      <c r="F106" s="126">
        <v>157768</v>
      </c>
      <c r="G106" s="126">
        <f t="shared" si="13"/>
        <v>50010878.32</v>
      </c>
      <c r="H106" s="8"/>
      <c r="I106" s="9" t="str">
        <f t="array" ref="I106:L106">_xlfn.XLOOKUP(C106,'Neiva 2022 FASE I ACTUAL (4)'!$C$6:$C$540,'Neiva 2022 FASE I ACTUAL (4)'!$C$6:$F$540,"NO ESTA")</f>
        <v>MURO EN LADRILLO GRAN FORMATO e= 0.12 m Ref. Tierra Ver. Planos Tipo Muro M-6</v>
      </c>
      <c r="J106" s="9" t="str">
        <v>M2</v>
      </c>
      <c r="K106" s="9">
        <v>79.69</v>
      </c>
      <c r="L106" s="9">
        <v>153356</v>
      </c>
      <c r="M106" s="124" t="str">
        <f t="shared" si="9"/>
        <v>FASE II</v>
      </c>
      <c r="N106" s="155">
        <f t="shared" si="6"/>
        <v>396.68</v>
      </c>
      <c r="O106" s="156">
        <f t="shared" si="7"/>
        <v>157768</v>
      </c>
      <c r="P106" s="156">
        <f t="shared" si="8"/>
        <v>62583410.240000002</v>
      </c>
    </row>
    <row r="107" spans="2:16" s="9" customFormat="1" ht="35.1" customHeight="1" x14ac:dyDescent="0.25">
      <c r="B107" s="10" t="s">
        <v>1096</v>
      </c>
      <c r="C107" s="87" t="s">
        <v>122</v>
      </c>
      <c r="D107" s="10" t="s">
        <v>13</v>
      </c>
      <c r="E107" s="12">
        <v>112.85</v>
      </c>
      <c r="F107" s="126">
        <v>315534</v>
      </c>
      <c r="G107" s="126">
        <f t="shared" si="13"/>
        <v>35608011.899999999</v>
      </c>
      <c r="H107" s="8"/>
      <c r="I107" s="9" t="str">
        <f t="array" ref="I107:L107">_xlfn.XLOOKUP(C107,'Neiva 2022 FASE I ACTUAL (4)'!$C$6:$C$540,'Neiva 2022 FASE I ACTUAL (4)'!$C$6:$F$540,"NO ESTA")</f>
        <v xml:space="preserve">MURO EN LADRILLO GRAN FORMATO e= 0.25 m Ref. Tierra Ver. Planos Tipo Muro M-7 </v>
      </c>
      <c r="J107" s="9" t="str">
        <v>M2</v>
      </c>
      <c r="K107" s="9">
        <v>21.32</v>
      </c>
      <c r="L107" s="9">
        <v>306715</v>
      </c>
      <c r="M107" s="124" t="str">
        <f t="shared" si="9"/>
        <v>FASE II</v>
      </c>
      <c r="N107" s="155">
        <f t="shared" si="6"/>
        <v>134.16999999999999</v>
      </c>
      <c r="O107" s="156">
        <f t="shared" si="7"/>
        <v>315534</v>
      </c>
      <c r="P107" s="156">
        <f t="shared" si="8"/>
        <v>42335196.779999994</v>
      </c>
    </row>
    <row r="108" spans="2:16" s="9" customFormat="1" ht="35.1" customHeight="1" x14ac:dyDescent="0.25">
      <c r="B108" s="13" t="s">
        <v>1097</v>
      </c>
      <c r="C108" s="14" t="s">
        <v>1098</v>
      </c>
      <c r="D108" s="13"/>
      <c r="E108" s="15"/>
      <c r="F108" s="129"/>
      <c r="G108" s="140"/>
      <c r="H108" s="8"/>
      <c r="I108" s="9" t="str">
        <f t="array" ref="I108">_xlfn.XLOOKUP(C108,'Neiva 2022 FASE I ACTUAL (4)'!$C$6:$C$540,'Neiva 2022 FASE I ACTUAL (4)'!$C$6:$F$540,"NO ESTA")</f>
        <v>NO ESTA</v>
      </c>
      <c r="M108" s="124">
        <f t="shared" si="9"/>
        <v>0</v>
      </c>
      <c r="N108" s="155">
        <f t="shared" si="6"/>
        <v>0</v>
      </c>
      <c r="O108" s="156">
        <f t="shared" si="7"/>
        <v>0</v>
      </c>
      <c r="P108" s="156">
        <f t="shared" si="8"/>
        <v>0</v>
      </c>
    </row>
    <row r="109" spans="2:16" s="9" customFormat="1" ht="35.1" customHeight="1" x14ac:dyDescent="0.25">
      <c r="B109" s="10" t="s">
        <v>1099</v>
      </c>
      <c r="C109" s="11" t="s">
        <v>1100</v>
      </c>
      <c r="D109" s="10" t="s">
        <v>13</v>
      </c>
      <c r="E109" s="12">
        <v>94.59</v>
      </c>
      <c r="F109" s="126">
        <v>54150</v>
      </c>
      <c r="G109" s="126">
        <f>ROUND(+F109*E109,2)</f>
        <v>5122048.5</v>
      </c>
      <c r="H109" s="8"/>
      <c r="I109" s="9" t="str">
        <f t="array" ref="I109">_xlfn.XLOOKUP(C109,'Neiva 2022 FASE I ACTUAL (4)'!$C$6:$C$540,'Neiva 2022 FASE I ACTUAL (4)'!$C$6:$F$540,"NO ESTA")</f>
        <v>NO ESTA</v>
      </c>
      <c r="M109" s="124">
        <f t="shared" si="9"/>
        <v>0</v>
      </c>
      <c r="N109" s="155">
        <f t="shared" si="6"/>
        <v>94.59</v>
      </c>
      <c r="O109" s="156">
        <f t="shared" si="7"/>
        <v>54150</v>
      </c>
      <c r="P109" s="156">
        <f t="shared" si="8"/>
        <v>5122048.5</v>
      </c>
    </row>
    <row r="110" spans="2:16" s="9" customFormat="1" ht="35.1" customHeight="1" x14ac:dyDescent="0.25">
      <c r="B110" s="10" t="s">
        <v>1101</v>
      </c>
      <c r="C110" s="87" t="s">
        <v>112</v>
      </c>
      <c r="D110" s="10" t="s">
        <v>30</v>
      </c>
      <c r="E110" s="12">
        <v>26.75</v>
      </c>
      <c r="F110" s="126">
        <v>821235</v>
      </c>
      <c r="G110" s="126">
        <f>ROUND(+F110*E110,2)</f>
        <v>21968036.25</v>
      </c>
      <c r="H110" s="8"/>
      <c r="I110" s="9" t="str">
        <f t="array" ref="I110:L110">_xlfn.XLOOKUP(C110,'Neiva 2022 FASE I ACTUAL (4)'!$C$6:$C$540,'Neiva 2022 FASE I ACTUAL (4)'!$C$6:$F$540,"NO ESTA")</f>
        <v>MURO EN CONCRETO DE 4000 PSI e=0.15 m Ver. Planos Tipo Muro M-2</v>
      </c>
      <c r="J110" s="9" t="str">
        <v>M3</v>
      </c>
      <c r="K110" s="9">
        <v>11.33</v>
      </c>
      <c r="L110" s="9">
        <v>722262</v>
      </c>
      <c r="M110" s="124" t="str">
        <f t="shared" si="9"/>
        <v>FASE II</v>
      </c>
      <c r="N110" s="155">
        <f t="shared" si="6"/>
        <v>38.08</v>
      </c>
      <c r="O110" s="156">
        <f t="shared" si="7"/>
        <v>821235</v>
      </c>
      <c r="P110" s="156">
        <f t="shared" si="8"/>
        <v>31272628.799999997</v>
      </c>
    </row>
    <row r="111" spans="2:16" s="9" customFormat="1" ht="35.1" customHeight="1" x14ac:dyDescent="0.25">
      <c r="B111" s="10" t="s">
        <v>1102</v>
      </c>
      <c r="C111" s="87" t="s">
        <v>114</v>
      </c>
      <c r="D111" s="10" t="s">
        <v>30</v>
      </c>
      <c r="E111" s="12">
        <v>33.22</v>
      </c>
      <c r="F111" s="126">
        <v>821235</v>
      </c>
      <c r="G111" s="126">
        <f>ROUND(+F111*E111,2)</f>
        <v>27281426.699999999</v>
      </c>
      <c r="H111" s="8"/>
      <c r="I111" s="9" t="str">
        <f t="array" ref="I111:L111">_xlfn.XLOOKUP(C111,'Neiva 2022 FASE I ACTUAL (4)'!$C$6:$C$540,'Neiva 2022 FASE I ACTUAL (4)'!$C$6:$F$540,"NO ESTA")</f>
        <v>MURO EN CONCRETO DE 4000 PSI e=0.25 m Ver. Planos Tipo Muro M-3</v>
      </c>
      <c r="J111" s="9" t="str">
        <v>M3</v>
      </c>
      <c r="K111" s="9">
        <v>95.6</v>
      </c>
      <c r="L111" s="9">
        <v>722262</v>
      </c>
      <c r="M111" s="124" t="str">
        <f t="shared" si="9"/>
        <v>FASE II</v>
      </c>
      <c r="N111" s="155">
        <f t="shared" si="6"/>
        <v>128.82</v>
      </c>
      <c r="O111" s="156">
        <f t="shared" si="7"/>
        <v>821235</v>
      </c>
      <c r="P111" s="156">
        <f t="shared" si="8"/>
        <v>105791492.69999999</v>
      </c>
    </row>
    <row r="112" spans="2:16" s="9" customFormat="1" ht="35.1" customHeight="1" x14ac:dyDescent="0.25">
      <c r="B112" s="33">
        <v>6</v>
      </c>
      <c r="C112" s="34" t="s">
        <v>145</v>
      </c>
      <c r="D112" s="34"/>
      <c r="E112" s="35"/>
      <c r="F112" s="132"/>
      <c r="G112" s="142"/>
      <c r="H112" s="8"/>
      <c r="I112" s="9" t="str">
        <f t="array" ref="I112:L112">_xlfn.XLOOKUP(C112,'Neiva 2022 FASE I ACTUAL (4)'!$C$6:$C$540,'Neiva 2022 FASE I ACTUAL (4)'!$C$6:$F$540,"NO ESTA")</f>
        <v>ACABADOS DE PISOS</v>
      </c>
      <c r="J112" s="9">
        <v>0</v>
      </c>
      <c r="K112" s="9">
        <v>0</v>
      </c>
      <c r="L112" s="9">
        <v>0</v>
      </c>
      <c r="M112" s="124">
        <f t="shared" si="9"/>
        <v>0</v>
      </c>
      <c r="N112" s="155">
        <f t="shared" si="6"/>
        <v>0</v>
      </c>
      <c r="O112" s="156">
        <f t="shared" si="7"/>
        <v>0</v>
      </c>
      <c r="P112" s="156">
        <f t="shared" si="8"/>
        <v>0</v>
      </c>
    </row>
    <row r="113" spans="2:16" s="9" customFormat="1" ht="35.1" customHeight="1" x14ac:dyDescent="0.25">
      <c r="B113" s="13" t="s">
        <v>146</v>
      </c>
      <c r="C113" s="14" t="s">
        <v>147</v>
      </c>
      <c r="D113" s="13"/>
      <c r="E113" s="15"/>
      <c r="F113" s="126">
        <v>0</v>
      </c>
      <c r="G113" s="126">
        <f>ROUND(+F113*E113,2)</f>
        <v>0</v>
      </c>
      <c r="H113" s="8"/>
      <c r="I113" s="9" t="str">
        <f t="array" ref="I113:L113">_xlfn.XLOOKUP(C113,'Neiva 2022 FASE I ACTUAL (4)'!$C$6:$C$540,'Neiva 2022 FASE I ACTUAL (4)'!$C$6:$F$540,"NO ESTA")</f>
        <v>SUMINISTRO E INSTALACIÓN PISOS SEMISOTANO</v>
      </c>
      <c r="J113" s="9">
        <v>0</v>
      </c>
      <c r="K113" s="9">
        <v>0</v>
      </c>
      <c r="L113" s="9">
        <v>0</v>
      </c>
      <c r="M113" s="124">
        <f t="shared" si="9"/>
        <v>0</v>
      </c>
      <c r="N113" s="155">
        <f t="shared" si="6"/>
        <v>0</v>
      </c>
      <c r="O113" s="156">
        <f t="shared" si="7"/>
        <v>0</v>
      </c>
      <c r="P113" s="156">
        <f t="shared" si="8"/>
        <v>0</v>
      </c>
    </row>
    <row r="114" spans="2:16" s="9" customFormat="1" ht="35.1" customHeight="1" x14ac:dyDescent="0.25">
      <c r="B114" s="23" t="s">
        <v>148</v>
      </c>
      <c r="C114" s="22" t="s">
        <v>149</v>
      </c>
      <c r="D114" s="23" t="s">
        <v>13</v>
      </c>
      <c r="E114" s="12">
        <v>0</v>
      </c>
      <c r="F114" s="126">
        <v>89287</v>
      </c>
      <c r="G114" s="126">
        <f>ROUND(+F114*E114,2)</f>
        <v>0</v>
      </c>
      <c r="H114" s="8"/>
      <c r="I114" s="9" t="str">
        <f t="array" ref="I114:L114">_xlfn.XLOOKUP(C114,'Neiva 2022 FASE I ACTUAL (4)'!$C$6:$C$540,'Neiva 2022 FASE I ACTUAL (4)'!$C$6:$F$540,"NO ESTA")</f>
        <v xml:space="preserve">ANDEN INTERNO EN CONCRETO DE 2500 PSI CON ACABADO CEMENTO PULIDO Ref. Planos 03318 </v>
      </c>
      <c r="J114" s="9" t="str">
        <v>M2</v>
      </c>
      <c r="K114" s="9">
        <v>457.19</v>
      </c>
      <c r="L114" s="9">
        <v>94085</v>
      </c>
      <c r="M114" s="124" t="str">
        <f t="shared" si="9"/>
        <v>FASE I</v>
      </c>
      <c r="N114" s="155">
        <f t="shared" si="6"/>
        <v>457.19</v>
      </c>
      <c r="O114" s="156">
        <f t="shared" si="7"/>
        <v>94085</v>
      </c>
      <c r="P114" s="156">
        <f t="shared" si="8"/>
        <v>43014721.149999999</v>
      </c>
    </row>
    <row r="115" spans="2:16" s="9" customFormat="1" ht="35.1" customHeight="1" x14ac:dyDescent="0.25">
      <c r="B115" s="23" t="s">
        <v>150</v>
      </c>
      <c r="C115" s="22" t="s">
        <v>151</v>
      </c>
      <c r="D115" s="23" t="s">
        <v>13</v>
      </c>
      <c r="E115" s="12">
        <v>0</v>
      </c>
      <c r="F115" s="126">
        <v>8211</v>
      </c>
      <c r="G115" s="126">
        <f>ROUND(+F115*E115,2)</f>
        <v>0</v>
      </c>
      <c r="H115" s="8"/>
      <c r="I115" s="9" t="str">
        <f t="array" ref="I115:L115">_xlfn.XLOOKUP(C115,'Neiva 2022 FASE I ACTUAL (4)'!$C$6:$C$540,'Neiva 2022 FASE I ACTUAL (4)'!$C$6:$F$540,"NO ESTA")</f>
        <v>ACABADO DE PISO DE CONCRETO GRIS PULIDO   Ref. Planos 09650-1</v>
      </c>
      <c r="J115" s="9" t="str">
        <v>M2</v>
      </c>
      <c r="K115" s="9">
        <v>1963.08</v>
      </c>
      <c r="L115" s="9">
        <v>7682</v>
      </c>
      <c r="M115" s="124" t="str">
        <f t="shared" si="9"/>
        <v>FASE II</v>
      </c>
      <c r="N115" s="155">
        <f t="shared" si="6"/>
        <v>1963.08</v>
      </c>
      <c r="O115" s="156">
        <f t="shared" si="7"/>
        <v>8211</v>
      </c>
      <c r="P115" s="156">
        <f t="shared" si="8"/>
        <v>16118849.879999999</v>
      </c>
    </row>
    <row r="116" spans="2:16" s="9" customFormat="1" ht="35.1" customHeight="1" x14ac:dyDescent="0.25">
      <c r="B116" s="10" t="s">
        <v>152</v>
      </c>
      <c r="C116" s="11" t="s">
        <v>153</v>
      </c>
      <c r="D116" s="10" t="s">
        <v>13</v>
      </c>
      <c r="E116" s="12">
        <v>0</v>
      </c>
      <c r="F116" s="126">
        <v>108210</v>
      </c>
      <c r="G116" s="126">
        <f>ROUND(+F116*E116,2)</f>
        <v>0</v>
      </c>
      <c r="H116" s="8"/>
      <c r="I116" s="9" t="str">
        <f t="array" ref="I116:L116">_xlfn.XLOOKUP(C116,'Neiva 2022 FASE I ACTUAL (4)'!$C$6:$C$540,'Neiva 2022 FASE I ACTUAL (4)'!$C$6:$F$540,"NO ESTA")</f>
        <v>SUMINISTRO E INSTALACION PISO TABLETA ZONAS COMUNES Incluye ALISTADO Referencia  ALFA 30 X 30 HUILA Ref. Planos 09610.1</v>
      </c>
      <c r="J116" s="9" t="str">
        <v>M2</v>
      </c>
      <c r="K116" s="9">
        <v>1.4</v>
      </c>
      <c r="L116" s="9">
        <v>107643</v>
      </c>
      <c r="M116" s="124" t="str">
        <f t="shared" si="9"/>
        <v>FASE II</v>
      </c>
      <c r="N116" s="155">
        <f t="shared" si="6"/>
        <v>1.4</v>
      </c>
      <c r="O116" s="156">
        <f t="shared" si="7"/>
        <v>108210</v>
      </c>
      <c r="P116" s="156">
        <f t="shared" si="8"/>
        <v>151494</v>
      </c>
    </row>
    <row r="117" spans="2:16" s="9" customFormat="1" ht="35.1" customHeight="1" x14ac:dyDescent="0.25">
      <c r="B117" s="13" t="s">
        <v>154</v>
      </c>
      <c r="C117" s="24" t="s">
        <v>155</v>
      </c>
      <c r="D117" s="24"/>
      <c r="E117" s="15"/>
      <c r="F117" s="129"/>
      <c r="G117" s="140"/>
      <c r="H117" s="8"/>
      <c r="I117" s="9" t="str">
        <f t="array" ref="I117:L117">_xlfn.XLOOKUP(C117,'Neiva 2022 FASE I ACTUAL (4)'!$C$6:$C$540,'Neiva 2022 FASE I ACTUAL (4)'!$C$6:$F$540,"NO ESTA")</f>
        <v>SUMINISTRO E INSTALACIÓN DE PISOS ESPACIO PUBLICO</v>
      </c>
      <c r="J117" s="9">
        <v>0</v>
      </c>
      <c r="K117" s="9">
        <v>0</v>
      </c>
      <c r="L117" s="9">
        <v>0</v>
      </c>
      <c r="M117" s="124">
        <f t="shared" si="9"/>
        <v>0</v>
      </c>
      <c r="N117" s="155">
        <f t="shared" si="6"/>
        <v>0</v>
      </c>
      <c r="O117" s="156">
        <f t="shared" si="7"/>
        <v>0</v>
      </c>
      <c r="P117" s="156">
        <f t="shared" si="8"/>
        <v>0</v>
      </c>
    </row>
    <row r="118" spans="2:16" s="9" customFormat="1" ht="35.1" customHeight="1" x14ac:dyDescent="0.25">
      <c r="B118" s="23" t="s">
        <v>156</v>
      </c>
      <c r="C118" s="22" t="s">
        <v>157</v>
      </c>
      <c r="D118" s="23" t="s">
        <v>13</v>
      </c>
      <c r="E118" s="12">
        <v>1832.0720000000001</v>
      </c>
      <c r="F118" s="126">
        <v>91697</v>
      </c>
      <c r="G118" s="126">
        <f>ROUND(+F118*E118,2)</f>
        <v>167995506.18000001</v>
      </c>
      <c r="H118" s="8"/>
      <c r="I118" s="9" t="str">
        <f t="array" ref="I118:L118">_xlfn.XLOOKUP(C118,'Neiva 2022 FASE I ACTUAL (4)'!$C$6:$C$540,'Neiva 2022 FASE I ACTUAL (4)'!$C$6:$F$540,"NO ESTA")</f>
        <v>SUMINISTRO E INSTALACION ANDEN EN LOSETA PREFABRICADA Referencia A50  GRIS 40 X 40 incluye alistadio - (Especificación Cartilla Andenes IDU-2011)</v>
      </c>
      <c r="J118" s="9" t="str">
        <v>M2</v>
      </c>
      <c r="K118" s="9">
        <v>45.8</v>
      </c>
      <c r="L118" s="9">
        <v>89134</v>
      </c>
      <c r="M118" s="124" t="str">
        <f t="shared" si="9"/>
        <v>FASE II</v>
      </c>
      <c r="N118" s="155">
        <f t="shared" si="6"/>
        <v>1877.8720000000001</v>
      </c>
      <c r="O118" s="156">
        <f t="shared" si="7"/>
        <v>91697</v>
      </c>
      <c r="P118" s="156">
        <f t="shared" si="8"/>
        <v>172195228.78400001</v>
      </c>
    </row>
    <row r="119" spans="2:16" s="9" customFormat="1" ht="35.1" customHeight="1" x14ac:dyDescent="0.25">
      <c r="B119" s="23" t="s">
        <v>158</v>
      </c>
      <c r="C119" s="22" t="s">
        <v>159</v>
      </c>
      <c r="D119" s="23" t="s">
        <v>13</v>
      </c>
      <c r="E119" s="12">
        <v>183.66400000000002</v>
      </c>
      <c r="F119" s="126">
        <v>96306</v>
      </c>
      <c r="G119" s="126">
        <f>ROUND(+F119*E119,2)</f>
        <v>17687945.18</v>
      </c>
      <c r="H119" s="8"/>
      <c r="I119" s="9" t="str">
        <f t="array" ref="I119:L119">_xlfn.XLOOKUP(C119,'Neiva 2022 FASE I ACTUAL (4)'!$C$6:$C$540,'Neiva 2022 FASE I ACTUAL (4)'!$C$6:$F$540,"NO ESTA")</f>
        <v>SUMINISTRO E INSTALACION JARDIN Ref. Planos A2900 (Incluye material aislante, impermeabilizante, tierra, abonos y plantas ornamentales)</v>
      </c>
      <c r="J119" s="9" t="str">
        <v>M2</v>
      </c>
      <c r="K119" s="9">
        <v>4.59</v>
      </c>
      <c r="L119" s="9">
        <v>93613</v>
      </c>
      <c r="M119" s="124" t="str">
        <f t="shared" si="9"/>
        <v>FASE II</v>
      </c>
      <c r="N119" s="155">
        <f t="shared" si="6"/>
        <v>188.25400000000002</v>
      </c>
      <c r="O119" s="156">
        <f t="shared" si="7"/>
        <v>96306</v>
      </c>
      <c r="P119" s="156">
        <f t="shared" si="8"/>
        <v>18129989.724000003</v>
      </c>
    </row>
    <row r="120" spans="2:16" s="9" customFormat="1" ht="35.1" customHeight="1" x14ac:dyDescent="0.25">
      <c r="B120" s="13" t="s">
        <v>160</v>
      </c>
      <c r="C120" s="24" t="s">
        <v>161</v>
      </c>
      <c r="D120" s="24"/>
      <c r="E120" s="15"/>
      <c r="F120" s="129"/>
      <c r="G120" s="140"/>
      <c r="H120" s="8"/>
      <c r="I120" s="9" t="str">
        <f t="array" ref="I120:L120">_xlfn.XLOOKUP(C120,'Neiva 2022 FASE I ACTUAL (4)'!$C$6:$C$540,'Neiva 2022 FASE I ACTUAL (4)'!$C$6:$F$540,"NO ESTA")</f>
        <v>SUMINISTRO E INSTALACIÓN DE PISOS PISO 1</v>
      </c>
      <c r="J120" s="9">
        <v>0</v>
      </c>
      <c r="K120" s="9">
        <v>0</v>
      </c>
      <c r="L120" s="9">
        <v>0</v>
      </c>
      <c r="M120" s="124">
        <f t="shared" si="9"/>
        <v>0</v>
      </c>
      <c r="N120" s="155">
        <f t="shared" si="6"/>
        <v>0</v>
      </c>
      <c r="O120" s="156">
        <f t="shared" si="7"/>
        <v>0</v>
      </c>
      <c r="P120" s="156">
        <f t="shared" si="8"/>
        <v>0</v>
      </c>
    </row>
    <row r="121" spans="2:16" s="9" customFormat="1" ht="35.1" customHeight="1" x14ac:dyDescent="0.25">
      <c r="B121" s="23" t="s">
        <v>162</v>
      </c>
      <c r="C121" s="22" t="s">
        <v>153</v>
      </c>
      <c r="D121" s="23" t="s">
        <v>13</v>
      </c>
      <c r="E121" s="12">
        <v>513.95999999999992</v>
      </c>
      <c r="F121" s="126">
        <v>108210</v>
      </c>
      <c r="G121" s="126">
        <f>ROUND(+F121*E121,2)</f>
        <v>55615611.600000001</v>
      </c>
      <c r="H121" s="8"/>
      <c r="I121" s="9" t="str">
        <f t="array" ref="I121:L121">_xlfn.XLOOKUP(C121,'Neiva 2022 FASE I ACTUAL (4)'!$C$6:$C$540,'Neiva 2022 FASE I ACTUAL (4)'!$C$6:$F$540,"NO ESTA")</f>
        <v>SUMINISTRO E INSTALACION PISO TABLETA ZONAS COMUNES Incluye ALISTADO Referencia  ALFA 30 X 30 HUILA Ref. Planos 09610.1</v>
      </c>
      <c r="J121" s="9" t="str">
        <v>M2</v>
      </c>
      <c r="K121" s="9">
        <v>1.4</v>
      </c>
      <c r="L121" s="9">
        <v>107643</v>
      </c>
      <c r="M121" s="124" t="str">
        <f t="shared" si="9"/>
        <v>FASE II</v>
      </c>
      <c r="N121" s="155">
        <f t="shared" si="6"/>
        <v>515.3599999999999</v>
      </c>
      <c r="O121" s="156">
        <f t="shared" si="7"/>
        <v>108210</v>
      </c>
      <c r="P121" s="156">
        <f t="shared" si="8"/>
        <v>55767105.599999987</v>
      </c>
    </row>
    <row r="122" spans="2:16" s="9" customFormat="1" ht="35.1" customHeight="1" x14ac:dyDescent="0.25">
      <c r="B122" s="23" t="s">
        <v>163</v>
      </c>
      <c r="C122" s="22" t="s">
        <v>164</v>
      </c>
      <c r="D122" s="23" t="s">
        <v>13</v>
      </c>
      <c r="E122" s="12">
        <v>230.83</v>
      </c>
      <c r="F122" s="126">
        <v>70614</v>
      </c>
      <c r="G122" s="126">
        <f>ROUND(+F122*E122,2)</f>
        <v>16299829.619999999</v>
      </c>
      <c r="H122" s="8"/>
      <c r="I122" s="9" t="str">
        <f t="array" ref="I122:L122">_xlfn.XLOOKUP(C122,'Neiva 2022 FASE I ACTUAL (4)'!$C$6:$C$540,'Neiva 2022 FASE I ACTUAL (4)'!$C$6:$F$540,"NO ESTA")</f>
        <v>SUMINISTRO E INSTALACION PISO LOSETA PREFABRICADA GRIS Referencia A30 DE 40X60 - (Especificación Cartilla Andenes IDU-2011)  Ref. Planos 09620.8</v>
      </c>
      <c r="J122" s="9" t="str">
        <v>M2</v>
      </c>
      <c r="K122" s="9">
        <v>576.27</v>
      </c>
      <c r="L122" s="9">
        <v>70606</v>
      </c>
      <c r="M122" s="124" t="str">
        <f t="shared" si="9"/>
        <v>FASE II</v>
      </c>
      <c r="N122" s="155">
        <f t="shared" si="6"/>
        <v>807.1</v>
      </c>
      <c r="O122" s="156">
        <f t="shared" si="7"/>
        <v>70614</v>
      </c>
      <c r="P122" s="156">
        <f t="shared" si="8"/>
        <v>56992559.399999999</v>
      </c>
    </row>
    <row r="123" spans="2:16" s="9" customFormat="1" ht="35.1" customHeight="1" x14ac:dyDescent="0.25">
      <c r="B123" s="23" t="s">
        <v>165</v>
      </c>
      <c r="C123" s="22" t="s">
        <v>166</v>
      </c>
      <c r="D123" s="23" t="s">
        <v>13</v>
      </c>
      <c r="E123" s="12">
        <v>11.069999999999999</v>
      </c>
      <c r="F123" s="126">
        <v>47066</v>
      </c>
      <c r="G123" s="126">
        <f>ROUND(+F123*E123,2)</f>
        <v>521020.62</v>
      </c>
      <c r="H123" s="8"/>
      <c r="I123" s="9" t="str">
        <f t="array" ref="I123:L123">_xlfn.XLOOKUP(C123,'Neiva 2022 FASE I ACTUAL (4)'!$C$6:$C$540,'Neiva 2022 FASE I ACTUAL (4)'!$C$6:$F$540,"NO ESTA")</f>
        <v>SUMINISTRO E INSTALACION PISO EN VINILO GRIS TARIMA Ref. Planos 09650.1</v>
      </c>
      <c r="J123" s="9" t="str">
        <v>M2</v>
      </c>
      <c r="K123" s="9">
        <v>33.11</v>
      </c>
      <c r="L123" s="9">
        <v>47372</v>
      </c>
      <c r="M123" s="124" t="str">
        <f t="shared" si="9"/>
        <v>FASE I</v>
      </c>
      <c r="N123" s="155">
        <f t="shared" si="6"/>
        <v>44.18</v>
      </c>
      <c r="O123" s="156">
        <f t="shared" si="7"/>
        <v>47372</v>
      </c>
      <c r="P123" s="156">
        <f t="shared" si="8"/>
        <v>2092894.96</v>
      </c>
    </row>
    <row r="124" spans="2:16" s="9" customFormat="1" ht="35.1" customHeight="1" x14ac:dyDescent="0.25">
      <c r="B124" s="23" t="s">
        <v>167</v>
      </c>
      <c r="C124" s="22" t="s">
        <v>168</v>
      </c>
      <c r="D124" s="23" t="s">
        <v>13</v>
      </c>
      <c r="E124" s="12">
        <v>12.31</v>
      </c>
      <c r="F124" s="126">
        <v>102069</v>
      </c>
      <c r="G124" s="126">
        <f>ROUND(+F124*E124,2)</f>
        <v>1256469.3899999999</v>
      </c>
      <c r="H124" s="8"/>
      <c r="I124" s="9" t="str">
        <f t="array" ref="I124:L124">_xlfn.XLOOKUP(C124,'Neiva 2022 FASE I ACTUAL (4)'!$C$6:$C$540,'Neiva 2022 FASE I ACTUAL (4)'!$C$6:$F$540,"NO ESTA")</f>
        <v>SUMINISTRO E INSTALACION PISO EN ALFOMBRA Referencia TRAFICO PESADO Ref. Planos 09680.A1</v>
      </c>
      <c r="J124" s="9" t="str">
        <v>M2</v>
      </c>
      <c r="K124" s="9">
        <v>297.04000000000002</v>
      </c>
      <c r="L124" s="9">
        <v>101879</v>
      </c>
      <c r="M124" s="124" t="str">
        <f t="shared" si="9"/>
        <v>FASE II</v>
      </c>
      <c r="N124" s="155">
        <f t="shared" si="6"/>
        <v>309.35000000000002</v>
      </c>
      <c r="O124" s="156">
        <f t="shared" si="7"/>
        <v>102069</v>
      </c>
      <c r="P124" s="156">
        <f t="shared" si="8"/>
        <v>31575045.150000002</v>
      </c>
    </row>
    <row r="125" spans="2:16" s="9" customFormat="1" ht="35.1" customHeight="1" x14ac:dyDescent="0.25">
      <c r="B125" s="23" t="s">
        <v>169</v>
      </c>
      <c r="C125" s="22" t="s">
        <v>159</v>
      </c>
      <c r="D125" s="23" t="s">
        <v>13</v>
      </c>
      <c r="E125" s="12">
        <v>106.58</v>
      </c>
      <c r="F125" s="126">
        <v>92820</v>
      </c>
      <c r="G125" s="126">
        <f>ROUND(+F125*E125,2)</f>
        <v>9892755.5999999996</v>
      </c>
      <c r="H125" s="8"/>
      <c r="I125" s="9" t="str">
        <f t="array" ref="I125:L125">_xlfn.XLOOKUP(C125,'Neiva 2022 FASE I ACTUAL (4)'!$C$6:$C$540,'Neiva 2022 FASE I ACTUAL (4)'!$C$6:$F$540,"NO ESTA")</f>
        <v>SUMINISTRO E INSTALACION JARDIN Ref. Planos A2900 (Incluye material aislante, impermeabilizante, tierra, abonos y plantas ornamentales)</v>
      </c>
      <c r="J125" s="9" t="str">
        <v>M2</v>
      </c>
      <c r="K125" s="9">
        <v>4.59</v>
      </c>
      <c r="L125" s="9">
        <v>93613</v>
      </c>
      <c r="M125" s="124" t="str">
        <f t="shared" si="9"/>
        <v>FASE I</v>
      </c>
      <c r="N125" s="155">
        <f t="shared" si="6"/>
        <v>111.17</v>
      </c>
      <c r="O125" s="156">
        <f t="shared" si="7"/>
        <v>93613</v>
      </c>
      <c r="P125" s="156">
        <f t="shared" si="8"/>
        <v>10406957.210000001</v>
      </c>
    </row>
    <row r="126" spans="2:16" s="9" customFormat="1" ht="35.1" customHeight="1" x14ac:dyDescent="0.25">
      <c r="B126" s="36" t="s">
        <v>170</v>
      </c>
      <c r="C126" s="37" t="s">
        <v>171</v>
      </c>
      <c r="D126" s="38"/>
      <c r="E126" s="39"/>
      <c r="F126" s="129"/>
      <c r="G126" s="140"/>
      <c r="H126" s="8"/>
      <c r="I126" s="9" t="str">
        <f t="array" ref="I126:L126">_xlfn.XLOOKUP(C126,'Neiva 2022 FASE I ACTUAL (4)'!$C$6:$C$540,'Neiva 2022 FASE I ACTUAL (4)'!$C$6:$F$540,"NO ESTA")</f>
        <v>SUMINISTRO E INSTALACIÓN DE PISOS PISO 2</v>
      </c>
      <c r="J126" s="9">
        <v>0</v>
      </c>
      <c r="K126" s="9">
        <v>0</v>
      </c>
      <c r="L126" s="9">
        <v>0</v>
      </c>
      <c r="M126" s="124">
        <f t="shared" si="9"/>
        <v>0</v>
      </c>
      <c r="N126" s="155">
        <f t="shared" si="6"/>
        <v>0</v>
      </c>
      <c r="O126" s="156">
        <f t="shared" si="7"/>
        <v>0</v>
      </c>
      <c r="P126" s="156">
        <f t="shared" si="8"/>
        <v>0</v>
      </c>
    </row>
    <row r="127" spans="2:16" s="9" customFormat="1" ht="35.1" customHeight="1" x14ac:dyDescent="0.25">
      <c r="B127" s="23" t="s">
        <v>172</v>
      </c>
      <c r="C127" s="22" t="s">
        <v>153</v>
      </c>
      <c r="D127" s="23" t="s">
        <v>13</v>
      </c>
      <c r="E127" s="12">
        <v>482.95999999999992</v>
      </c>
      <c r="F127" s="126">
        <v>108210</v>
      </c>
      <c r="G127" s="126">
        <f>ROUND(+F127*E127,2)</f>
        <v>52261101.600000001</v>
      </c>
      <c r="H127" s="8"/>
      <c r="I127" s="9" t="str">
        <f t="array" ref="I127:L127">_xlfn.XLOOKUP(C127,'Neiva 2022 FASE I ACTUAL (4)'!$C$6:$C$540,'Neiva 2022 FASE I ACTUAL (4)'!$C$6:$F$540,"NO ESTA")</f>
        <v>SUMINISTRO E INSTALACION PISO TABLETA ZONAS COMUNES Incluye ALISTADO Referencia  ALFA 30 X 30 HUILA Ref. Planos 09610.1</v>
      </c>
      <c r="J127" s="9" t="str">
        <v>M2</v>
      </c>
      <c r="K127" s="9">
        <v>1.4</v>
      </c>
      <c r="L127" s="9">
        <v>107643</v>
      </c>
      <c r="M127" s="124" t="str">
        <f t="shared" si="9"/>
        <v>FASE II</v>
      </c>
      <c r="N127" s="155">
        <f t="shared" si="6"/>
        <v>484.3599999999999</v>
      </c>
      <c r="O127" s="156">
        <f t="shared" si="7"/>
        <v>108210</v>
      </c>
      <c r="P127" s="156">
        <f t="shared" si="8"/>
        <v>52412595.599999987</v>
      </c>
    </row>
    <row r="128" spans="2:16" s="9" customFormat="1" ht="35.1" customHeight="1" x14ac:dyDescent="0.25">
      <c r="B128" s="23" t="s">
        <v>173</v>
      </c>
      <c r="C128" s="22" t="s">
        <v>164</v>
      </c>
      <c r="D128" s="23" t="s">
        <v>13</v>
      </c>
      <c r="E128" s="12">
        <v>80.070000000000007</v>
      </c>
      <c r="F128" s="126">
        <v>70614</v>
      </c>
      <c r="G128" s="126">
        <f>ROUND(+F128*E128,2)</f>
        <v>5654062.9800000004</v>
      </c>
      <c r="H128" s="8"/>
      <c r="I128" s="9" t="str">
        <f t="array" ref="I128:L128">_xlfn.XLOOKUP(C128,'Neiva 2022 FASE I ACTUAL (4)'!$C$6:$C$540,'Neiva 2022 FASE I ACTUAL (4)'!$C$6:$F$540,"NO ESTA")</f>
        <v>SUMINISTRO E INSTALACION PISO LOSETA PREFABRICADA GRIS Referencia A30 DE 40X60 - (Especificación Cartilla Andenes IDU-2011)  Ref. Planos 09620.8</v>
      </c>
      <c r="J128" s="9" t="str">
        <v>M2</v>
      </c>
      <c r="K128" s="9">
        <v>576.27</v>
      </c>
      <c r="L128" s="9">
        <v>70606</v>
      </c>
      <c r="M128" s="124" t="str">
        <f t="shared" si="9"/>
        <v>FASE II</v>
      </c>
      <c r="N128" s="155">
        <f t="shared" si="6"/>
        <v>656.34</v>
      </c>
      <c r="O128" s="156">
        <f t="shared" si="7"/>
        <v>70614</v>
      </c>
      <c r="P128" s="156">
        <f t="shared" si="8"/>
        <v>46346792.760000005</v>
      </c>
    </row>
    <row r="129" spans="2:16" s="9" customFormat="1" ht="35.1" customHeight="1" x14ac:dyDescent="0.25">
      <c r="B129" s="23" t="s">
        <v>174</v>
      </c>
      <c r="C129" s="22" t="s">
        <v>159</v>
      </c>
      <c r="D129" s="23" t="s">
        <v>13</v>
      </c>
      <c r="E129" s="12">
        <v>52.37</v>
      </c>
      <c r="F129" s="126">
        <v>92820</v>
      </c>
      <c r="G129" s="126">
        <f>ROUND(+F129*E129,2)</f>
        <v>4860983.4000000004</v>
      </c>
      <c r="H129" s="8"/>
      <c r="I129" s="9" t="str">
        <f t="array" ref="I129:L129">_xlfn.XLOOKUP(C129,'Neiva 2022 FASE I ACTUAL (4)'!$C$6:$C$540,'Neiva 2022 FASE I ACTUAL (4)'!$C$6:$F$540,"NO ESTA")</f>
        <v>SUMINISTRO E INSTALACION JARDIN Ref. Planos A2900 (Incluye material aislante, impermeabilizante, tierra, abonos y plantas ornamentales)</v>
      </c>
      <c r="J129" s="9" t="str">
        <v>M2</v>
      </c>
      <c r="K129" s="9">
        <v>4.59</v>
      </c>
      <c r="L129" s="9">
        <v>93613</v>
      </c>
      <c r="M129" s="124" t="str">
        <f t="shared" si="9"/>
        <v>FASE I</v>
      </c>
      <c r="N129" s="155">
        <f t="shared" si="6"/>
        <v>56.959999999999994</v>
      </c>
      <c r="O129" s="156">
        <f t="shared" si="7"/>
        <v>93613</v>
      </c>
      <c r="P129" s="156">
        <f t="shared" si="8"/>
        <v>5332196.4799999995</v>
      </c>
    </row>
    <row r="130" spans="2:16" s="9" customFormat="1" ht="35.1" customHeight="1" x14ac:dyDescent="0.25">
      <c r="B130" s="13" t="s">
        <v>1103</v>
      </c>
      <c r="C130" s="14" t="s">
        <v>1104</v>
      </c>
      <c r="D130" s="27"/>
      <c r="E130" s="15"/>
      <c r="F130" s="129"/>
      <c r="G130" s="140"/>
      <c r="H130" s="8"/>
      <c r="I130" s="9" t="str">
        <f t="array" ref="I130">_xlfn.XLOOKUP(C130,'Neiva 2022 FASE I ACTUAL (4)'!$C$6:$C$540,'Neiva 2022 FASE I ACTUAL (4)'!$C$6:$F$540,"NO ESTA")</f>
        <v>NO ESTA</v>
      </c>
      <c r="M130" s="124">
        <f t="shared" si="9"/>
        <v>0</v>
      </c>
      <c r="N130" s="155">
        <f t="shared" si="6"/>
        <v>0</v>
      </c>
      <c r="O130" s="156">
        <f t="shared" si="7"/>
        <v>0</v>
      </c>
      <c r="P130" s="156">
        <f t="shared" si="8"/>
        <v>0</v>
      </c>
    </row>
    <row r="131" spans="2:16" s="9" customFormat="1" ht="35.1" customHeight="1" x14ac:dyDescent="0.25">
      <c r="B131" s="23" t="s">
        <v>1105</v>
      </c>
      <c r="C131" s="22" t="s">
        <v>153</v>
      </c>
      <c r="D131" s="23" t="s">
        <v>13</v>
      </c>
      <c r="E131" s="12">
        <v>1159.8800000000001</v>
      </c>
      <c r="F131" s="126">
        <v>121544</v>
      </c>
      <c r="G131" s="126">
        <f>ROUND(+F131*E131,2)</f>
        <v>140976454.72</v>
      </c>
      <c r="H131" s="8"/>
      <c r="I131" s="9" t="str">
        <f t="array" ref="I131:L131">_xlfn.XLOOKUP(C131,'Neiva 2022 FASE I ACTUAL (4)'!$C$6:$C$540,'Neiva 2022 FASE I ACTUAL (4)'!$C$6:$F$540,"NO ESTA")</f>
        <v>SUMINISTRO E INSTALACION PISO TABLETA ZONAS COMUNES Incluye ALISTADO Referencia  ALFA 30 X 30 HUILA Ref. Planos 09610.1</v>
      </c>
      <c r="J131" s="9" t="str">
        <v>M2</v>
      </c>
      <c r="K131" s="9">
        <v>1.4</v>
      </c>
      <c r="L131" s="9">
        <v>107643</v>
      </c>
      <c r="M131" s="124" t="str">
        <f t="shared" si="9"/>
        <v>FASE II</v>
      </c>
      <c r="N131" s="155">
        <f t="shared" si="6"/>
        <v>1161.2800000000002</v>
      </c>
      <c r="O131" s="156">
        <f t="shared" si="7"/>
        <v>121544</v>
      </c>
      <c r="P131" s="156">
        <f t="shared" si="8"/>
        <v>141146616.32000002</v>
      </c>
    </row>
    <row r="132" spans="2:16" s="9" customFormat="1" ht="35.1" customHeight="1" x14ac:dyDescent="0.25">
      <c r="B132" s="23" t="s">
        <v>1106</v>
      </c>
      <c r="C132" s="22" t="s">
        <v>164</v>
      </c>
      <c r="D132" s="23" t="s">
        <v>13</v>
      </c>
      <c r="E132" s="12">
        <v>53.48</v>
      </c>
      <c r="F132" s="126">
        <v>70614</v>
      </c>
      <c r="G132" s="126">
        <f>ROUND(+F132*E132,2)</f>
        <v>3776436.72</v>
      </c>
      <c r="H132" s="8"/>
      <c r="I132" s="9" t="str">
        <f t="array" ref="I132:L132">_xlfn.XLOOKUP(C132,'Neiva 2022 FASE I ACTUAL (4)'!$C$6:$C$540,'Neiva 2022 FASE I ACTUAL (4)'!$C$6:$F$540,"NO ESTA")</f>
        <v>SUMINISTRO E INSTALACION PISO LOSETA PREFABRICADA GRIS Referencia A30 DE 40X60 - (Especificación Cartilla Andenes IDU-2011)  Ref. Planos 09620.8</v>
      </c>
      <c r="J132" s="9" t="str">
        <v>M2</v>
      </c>
      <c r="K132" s="9">
        <v>576.27</v>
      </c>
      <c r="L132" s="9">
        <v>70606</v>
      </c>
      <c r="M132" s="124" t="str">
        <f t="shared" si="9"/>
        <v>FASE II</v>
      </c>
      <c r="N132" s="155">
        <f t="shared" si="6"/>
        <v>629.75</v>
      </c>
      <c r="O132" s="156">
        <f t="shared" si="7"/>
        <v>70614</v>
      </c>
      <c r="P132" s="156">
        <f t="shared" si="8"/>
        <v>44469166.5</v>
      </c>
    </row>
    <row r="133" spans="2:16" s="9" customFormat="1" ht="35.1" customHeight="1" x14ac:dyDescent="0.25">
      <c r="B133" s="23" t="s">
        <v>1107</v>
      </c>
      <c r="C133" s="22" t="s">
        <v>159</v>
      </c>
      <c r="D133" s="23" t="s">
        <v>13</v>
      </c>
      <c r="E133" s="12">
        <v>9</v>
      </c>
      <c r="F133" s="126">
        <v>96306</v>
      </c>
      <c r="G133" s="126">
        <f>ROUND(+F133*E133,2)</f>
        <v>866754</v>
      </c>
      <c r="H133" s="8"/>
      <c r="I133" s="9" t="str">
        <f t="array" ref="I133:L133">_xlfn.XLOOKUP(C133,'Neiva 2022 FASE I ACTUAL (4)'!$C$6:$C$540,'Neiva 2022 FASE I ACTUAL (4)'!$C$6:$F$540,"NO ESTA")</f>
        <v>SUMINISTRO E INSTALACION JARDIN Ref. Planos A2900 (Incluye material aislante, impermeabilizante, tierra, abonos y plantas ornamentales)</v>
      </c>
      <c r="J133" s="9" t="str">
        <v>M2</v>
      </c>
      <c r="K133" s="9">
        <v>4.59</v>
      </c>
      <c r="L133" s="9">
        <v>93613</v>
      </c>
      <c r="M133" s="124" t="str">
        <f t="shared" si="9"/>
        <v>FASE II</v>
      </c>
      <c r="N133" s="155">
        <f t="shared" si="6"/>
        <v>13.59</v>
      </c>
      <c r="O133" s="156">
        <f t="shared" si="7"/>
        <v>96306</v>
      </c>
      <c r="P133" s="156">
        <f t="shared" si="8"/>
        <v>1308798.54</v>
      </c>
    </row>
    <row r="134" spans="2:16" s="9" customFormat="1" ht="35.1" customHeight="1" x14ac:dyDescent="0.25">
      <c r="B134" s="13" t="s">
        <v>1108</v>
      </c>
      <c r="C134" s="14" t="s">
        <v>1109</v>
      </c>
      <c r="D134" s="27"/>
      <c r="E134" s="15"/>
      <c r="F134" s="129"/>
      <c r="G134" s="140"/>
      <c r="H134" s="8"/>
      <c r="I134" s="9" t="str">
        <f t="array" ref="I134">_xlfn.XLOOKUP(C134,'Neiva 2022 FASE I ACTUAL (4)'!$C$6:$C$540,'Neiva 2022 FASE I ACTUAL (4)'!$C$6:$F$540,"NO ESTA")</f>
        <v>NO ESTA</v>
      </c>
      <c r="M134" s="124">
        <f t="shared" si="9"/>
        <v>0</v>
      </c>
      <c r="N134" s="155">
        <f t="shared" ref="N134:N197" si="14">E134+K134</f>
        <v>0</v>
      </c>
      <c r="O134" s="156">
        <f t="shared" ref="O134:O197" si="15">MAX(L134,F134)</f>
        <v>0</v>
      </c>
      <c r="P134" s="156">
        <f t="shared" ref="P134:P197" si="16">N134*O134</f>
        <v>0</v>
      </c>
    </row>
    <row r="135" spans="2:16" s="9" customFormat="1" ht="35.1" customHeight="1" x14ac:dyDescent="0.25">
      <c r="B135" s="23" t="s">
        <v>1110</v>
      </c>
      <c r="C135" s="22" t="s">
        <v>153</v>
      </c>
      <c r="D135" s="23" t="s">
        <v>13</v>
      </c>
      <c r="E135" s="12">
        <v>949.13</v>
      </c>
      <c r="F135" s="126">
        <v>121544</v>
      </c>
      <c r="G135" s="126">
        <f>ROUND(+F135*E135,2)</f>
        <v>115361056.72</v>
      </c>
      <c r="H135" s="8"/>
      <c r="I135" s="9" t="str">
        <f t="array" ref="I135:L135">_xlfn.XLOOKUP(C135,'Neiva 2022 FASE I ACTUAL (4)'!$C$6:$C$540,'Neiva 2022 FASE I ACTUAL (4)'!$C$6:$F$540,"NO ESTA")</f>
        <v>SUMINISTRO E INSTALACION PISO TABLETA ZONAS COMUNES Incluye ALISTADO Referencia  ALFA 30 X 30 HUILA Ref. Planos 09610.1</v>
      </c>
      <c r="J135" s="9" t="str">
        <v>M2</v>
      </c>
      <c r="K135" s="9">
        <v>1.4</v>
      </c>
      <c r="L135" s="9">
        <v>107643</v>
      </c>
      <c r="M135" s="124" t="str">
        <f t="shared" si="9"/>
        <v>FASE II</v>
      </c>
      <c r="N135" s="155">
        <f t="shared" si="14"/>
        <v>950.53</v>
      </c>
      <c r="O135" s="156">
        <f t="shared" si="15"/>
        <v>121544</v>
      </c>
      <c r="P135" s="156">
        <f t="shared" si="16"/>
        <v>115531218.31999999</v>
      </c>
    </row>
    <row r="136" spans="2:16" s="9" customFormat="1" ht="35.1" customHeight="1" x14ac:dyDescent="0.25">
      <c r="B136" s="23" t="s">
        <v>1111</v>
      </c>
      <c r="C136" s="22" t="s">
        <v>159</v>
      </c>
      <c r="D136" s="23" t="s">
        <v>13</v>
      </c>
      <c r="E136" s="12">
        <v>56.54</v>
      </c>
      <c r="F136" s="126">
        <v>96306</v>
      </c>
      <c r="G136" s="126">
        <f>ROUND(+F136*E136,2)</f>
        <v>5445141.2400000002</v>
      </c>
      <c r="H136" s="8"/>
      <c r="I136" s="9" t="str">
        <f t="array" ref="I136:L136">_xlfn.XLOOKUP(C136,'Neiva 2022 FASE I ACTUAL (4)'!$C$6:$C$540,'Neiva 2022 FASE I ACTUAL (4)'!$C$6:$F$540,"NO ESTA")</f>
        <v>SUMINISTRO E INSTALACION JARDIN Ref. Planos A2900 (Incluye material aislante, impermeabilizante, tierra, abonos y plantas ornamentales)</v>
      </c>
      <c r="J136" s="9" t="str">
        <v>M2</v>
      </c>
      <c r="K136" s="9">
        <v>4.59</v>
      </c>
      <c r="L136" s="9">
        <v>93613</v>
      </c>
      <c r="M136" s="124" t="str">
        <f t="shared" ref="M136:M199" si="17">IF(L136=0,0,(IF(F136&lt;L136, "FASE I","FASE II")))</f>
        <v>FASE II</v>
      </c>
      <c r="N136" s="155">
        <f t="shared" si="14"/>
        <v>61.129999999999995</v>
      </c>
      <c r="O136" s="156">
        <f t="shared" si="15"/>
        <v>96306</v>
      </c>
      <c r="P136" s="156">
        <f t="shared" si="16"/>
        <v>5887185.7799999993</v>
      </c>
    </row>
    <row r="137" spans="2:16" s="9" customFormat="1" ht="35.1" customHeight="1" x14ac:dyDescent="0.25">
      <c r="B137" s="16">
        <v>7</v>
      </c>
      <c r="C137" s="17" t="s">
        <v>175</v>
      </c>
      <c r="D137" s="17"/>
      <c r="E137" s="18"/>
      <c r="F137" s="133"/>
      <c r="G137" s="143"/>
      <c r="H137" s="8"/>
      <c r="I137" s="9" t="str">
        <f t="array" ref="I137:L137">_xlfn.XLOOKUP(C137,'Neiva 2022 FASE I ACTUAL (4)'!$C$6:$C$540,'Neiva 2022 FASE I ACTUAL (4)'!$C$6:$F$540,"NO ESTA")</f>
        <v>VENTANERIA</v>
      </c>
      <c r="J137" s="9">
        <v>0</v>
      </c>
      <c r="K137" s="9">
        <v>0</v>
      </c>
      <c r="L137" s="9">
        <v>0</v>
      </c>
      <c r="M137" s="124">
        <f t="shared" si="17"/>
        <v>0</v>
      </c>
      <c r="N137" s="155">
        <f t="shared" si="14"/>
        <v>0</v>
      </c>
      <c r="O137" s="156">
        <f t="shared" si="15"/>
        <v>0</v>
      </c>
      <c r="P137" s="156">
        <f t="shared" si="16"/>
        <v>0</v>
      </c>
    </row>
    <row r="138" spans="2:16" s="9" customFormat="1" ht="35.1" customHeight="1" x14ac:dyDescent="0.25">
      <c r="B138" s="13" t="s">
        <v>176</v>
      </c>
      <c r="C138" s="24" t="s">
        <v>177</v>
      </c>
      <c r="D138" s="24"/>
      <c r="E138" s="15"/>
      <c r="F138" s="126">
        <v>0</v>
      </c>
      <c r="G138" s="126">
        <f t="shared" ref="G138:G148" si="18">ROUND(+F138*E138,2)</f>
        <v>0</v>
      </c>
      <c r="H138" s="8"/>
      <c r="I138" s="9" t="str">
        <f t="array" ref="I138:L138">_xlfn.XLOOKUP(C138,'Neiva 2022 FASE I ACTUAL (4)'!$C$6:$C$540,'Neiva 2022 FASE I ACTUAL (4)'!$C$6:$F$540,"NO ESTA")</f>
        <v>SUMINISTRO E INSTALACION VENTANAS ESPACIO PUBLICO</v>
      </c>
      <c r="J138" s="9">
        <v>0</v>
      </c>
      <c r="K138" s="9">
        <v>0</v>
      </c>
      <c r="L138" s="9">
        <v>0</v>
      </c>
      <c r="M138" s="124">
        <f t="shared" si="17"/>
        <v>0</v>
      </c>
      <c r="N138" s="155">
        <f t="shared" si="14"/>
        <v>0</v>
      </c>
      <c r="O138" s="156">
        <f t="shared" si="15"/>
        <v>0</v>
      </c>
      <c r="P138" s="156">
        <f t="shared" si="16"/>
        <v>0</v>
      </c>
    </row>
    <row r="139" spans="2:16" s="9" customFormat="1" ht="35.1" customHeight="1" x14ac:dyDescent="0.25">
      <c r="B139" s="23" t="s">
        <v>178</v>
      </c>
      <c r="C139" s="22" t="s">
        <v>1112</v>
      </c>
      <c r="D139" s="10" t="s">
        <v>13</v>
      </c>
      <c r="E139" s="12">
        <v>0</v>
      </c>
      <c r="F139" s="126">
        <v>267475</v>
      </c>
      <c r="G139" s="126">
        <f t="shared" si="18"/>
        <v>0</v>
      </c>
      <c r="H139" s="8"/>
      <c r="I139" s="9" t="str">
        <f t="array" ref="I139">_xlfn.XLOOKUP(C139,'Neiva 2022 FASE I ACTUAL (4)'!$C$6:$C$540,'Neiva 2022 FASE I ACTUAL (4)'!$C$6:$F$540,"NO ESTA")</f>
        <v>NO ESTA</v>
      </c>
      <c r="M139" s="124">
        <f t="shared" si="17"/>
        <v>0</v>
      </c>
      <c r="N139" s="155">
        <f t="shared" si="14"/>
        <v>0</v>
      </c>
      <c r="O139" s="156">
        <f t="shared" si="15"/>
        <v>267475</v>
      </c>
      <c r="P139" s="156">
        <f t="shared" si="16"/>
        <v>0</v>
      </c>
    </row>
    <row r="140" spans="2:16" s="9" customFormat="1" ht="35.1" customHeight="1" x14ac:dyDescent="0.25">
      <c r="B140" s="13" t="s">
        <v>180</v>
      </c>
      <c r="C140" s="14" t="s">
        <v>181</v>
      </c>
      <c r="D140" s="13"/>
      <c r="E140" s="15"/>
      <c r="F140" s="126">
        <v>0</v>
      </c>
      <c r="G140" s="126">
        <f t="shared" si="18"/>
        <v>0</v>
      </c>
      <c r="H140" s="8"/>
      <c r="I140" s="9" t="str">
        <f t="array" ref="I140:L140">_xlfn.XLOOKUP(C140,'Neiva 2022 FASE I ACTUAL (4)'!$C$6:$C$540,'Neiva 2022 FASE I ACTUAL (4)'!$C$6:$F$540,"NO ESTA")</f>
        <v>SUMINISTRO E INSTALACION VENTANAS PISO 1</v>
      </c>
      <c r="J140" s="9">
        <v>0</v>
      </c>
      <c r="K140" s="9">
        <v>0</v>
      </c>
      <c r="L140" s="9">
        <v>0</v>
      </c>
      <c r="M140" s="124">
        <f t="shared" si="17"/>
        <v>0</v>
      </c>
      <c r="N140" s="155">
        <f t="shared" si="14"/>
        <v>0</v>
      </c>
      <c r="O140" s="156">
        <f t="shared" si="15"/>
        <v>0</v>
      </c>
      <c r="P140" s="156">
        <f t="shared" si="16"/>
        <v>0</v>
      </c>
    </row>
    <row r="141" spans="2:16" s="9" customFormat="1" ht="35.1" customHeight="1" x14ac:dyDescent="0.25">
      <c r="B141" s="23" t="s">
        <v>182</v>
      </c>
      <c r="C141" s="22" t="s">
        <v>183</v>
      </c>
      <c r="D141" s="10" t="s">
        <v>13</v>
      </c>
      <c r="E141" s="12">
        <v>0</v>
      </c>
      <c r="F141" s="126">
        <v>267475</v>
      </c>
      <c r="G141" s="126">
        <f t="shared" si="18"/>
        <v>0</v>
      </c>
      <c r="H141" s="8"/>
      <c r="I141" s="9" t="str">
        <f t="array" ref="I141:L141">_xlfn.XLOOKUP(C141,'Neiva 2022 FASE I ACTUAL (4)'!$C$6:$C$540,'Neiva 2022 FASE I ACTUAL (4)'!$C$6:$F$540,"NO ESTA")</f>
        <v>SUMINISTRO E INSTALACION VENTANA EN ALUMINIO o similar TIPO V3 Incluye VIDRIO Referencia SOLARBAN Ver NOTAS GENERALES DE PLANCHA</v>
      </c>
      <c r="J141" s="9" t="str">
        <v>M2</v>
      </c>
      <c r="K141" s="9">
        <v>0.55000000000000004</v>
      </c>
      <c r="L141" s="9">
        <v>259999</v>
      </c>
      <c r="M141" s="124" t="str">
        <f t="shared" si="17"/>
        <v>FASE II</v>
      </c>
      <c r="N141" s="155">
        <f t="shared" si="14"/>
        <v>0.55000000000000004</v>
      </c>
      <c r="O141" s="156">
        <f t="shared" si="15"/>
        <v>267475</v>
      </c>
      <c r="P141" s="156">
        <f t="shared" si="16"/>
        <v>147111.25</v>
      </c>
    </row>
    <row r="142" spans="2:16" s="9" customFormat="1" ht="35.1" customHeight="1" x14ac:dyDescent="0.25">
      <c r="B142" s="23" t="s">
        <v>184</v>
      </c>
      <c r="C142" s="22" t="s">
        <v>1113</v>
      </c>
      <c r="D142" s="10" t="s">
        <v>13</v>
      </c>
      <c r="E142" s="12">
        <v>0</v>
      </c>
      <c r="F142" s="126">
        <v>267475</v>
      </c>
      <c r="G142" s="126">
        <f t="shared" si="18"/>
        <v>0</v>
      </c>
      <c r="H142" s="8"/>
      <c r="I142" s="9" t="str">
        <f t="array" ref="I142">_xlfn.XLOOKUP(C142,'Neiva 2022 FASE I ACTUAL (4)'!$C$6:$C$540,'Neiva 2022 FASE I ACTUAL (4)'!$C$6:$F$540,"NO ESTA")</f>
        <v>NO ESTA</v>
      </c>
      <c r="M142" s="124">
        <f t="shared" si="17"/>
        <v>0</v>
      </c>
      <c r="N142" s="155">
        <f t="shared" si="14"/>
        <v>0</v>
      </c>
      <c r="O142" s="156">
        <f t="shared" si="15"/>
        <v>267475</v>
      </c>
      <c r="P142" s="156">
        <f t="shared" si="16"/>
        <v>0</v>
      </c>
    </row>
    <row r="143" spans="2:16" s="9" customFormat="1" ht="35.1" customHeight="1" x14ac:dyDescent="0.25">
      <c r="B143" s="13" t="s">
        <v>186</v>
      </c>
      <c r="C143" s="14" t="s">
        <v>187</v>
      </c>
      <c r="D143" s="13"/>
      <c r="E143" s="15"/>
      <c r="F143" s="126">
        <v>0</v>
      </c>
      <c r="G143" s="126">
        <f t="shared" si="18"/>
        <v>0</v>
      </c>
      <c r="H143" s="8"/>
      <c r="I143" s="9" t="str">
        <f t="array" ref="I143:L143">_xlfn.XLOOKUP(C143,'Neiva 2022 FASE I ACTUAL (4)'!$C$6:$C$540,'Neiva 2022 FASE I ACTUAL (4)'!$C$6:$F$540,"NO ESTA")</f>
        <v>SUMINISTRO E INSTALACION VENTANAS PISO 2</v>
      </c>
      <c r="J143" s="9">
        <v>0</v>
      </c>
      <c r="K143" s="9">
        <v>0</v>
      </c>
      <c r="L143" s="9">
        <v>0</v>
      </c>
      <c r="M143" s="124">
        <f t="shared" si="17"/>
        <v>0</v>
      </c>
      <c r="N143" s="155">
        <f t="shared" si="14"/>
        <v>0</v>
      </c>
      <c r="O143" s="156">
        <f t="shared" si="15"/>
        <v>0</v>
      </c>
      <c r="P143" s="156">
        <f t="shared" si="16"/>
        <v>0</v>
      </c>
    </row>
    <row r="144" spans="2:16" s="9" customFormat="1" ht="35.1" customHeight="1" x14ac:dyDescent="0.25">
      <c r="B144" s="23" t="s">
        <v>188</v>
      </c>
      <c r="C144" s="22" t="s">
        <v>189</v>
      </c>
      <c r="D144" s="10" t="s">
        <v>13</v>
      </c>
      <c r="E144" s="12">
        <v>0</v>
      </c>
      <c r="F144" s="126">
        <v>267475</v>
      </c>
      <c r="G144" s="126">
        <f t="shared" si="18"/>
        <v>0</v>
      </c>
      <c r="H144" s="8"/>
      <c r="I144" s="9" t="str">
        <f t="array" ref="I144:L144">_xlfn.XLOOKUP(C144,'Neiva 2022 FASE I ACTUAL (4)'!$C$6:$C$540,'Neiva 2022 FASE I ACTUAL (4)'!$C$6:$F$540,"NO ESTA")</f>
        <v>SUMINISTRO E INSTALACION VENTANA EN ALUMINIO o similar TIPO V1 Incluye VIDRIO Referencia SOLARBAN Ver NOTAS GENERALES DE PLANCHA</v>
      </c>
      <c r="J144" s="9" t="str">
        <v>M2</v>
      </c>
      <c r="K144" s="9">
        <v>0.05</v>
      </c>
      <c r="L144" s="9">
        <v>259999</v>
      </c>
      <c r="M144" s="124" t="str">
        <f t="shared" si="17"/>
        <v>FASE II</v>
      </c>
      <c r="N144" s="155">
        <f t="shared" si="14"/>
        <v>0.05</v>
      </c>
      <c r="O144" s="156">
        <f t="shared" si="15"/>
        <v>267475</v>
      </c>
      <c r="P144" s="156">
        <f t="shared" si="16"/>
        <v>13373.75</v>
      </c>
    </row>
    <row r="145" spans="2:16" s="9" customFormat="1" ht="35.1" customHeight="1" x14ac:dyDescent="0.25">
      <c r="B145" s="23" t="s">
        <v>190</v>
      </c>
      <c r="C145" s="22" t="s">
        <v>191</v>
      </c>
      <c r="D145" s="10" t="s">
        <v>13</v>
      </c>
      <c r="E145" s="12">
        <v>0</v>
      </c>
      <c r="F145" s="126">
        <v>267475</v>
      </c>
      <c r="G145" s="126">
        <f t="shared" si="18"/>
        <v>0</v>
      </c>
      <c r="H145" s="8"/>
      <c r="I145" s="9" t="str">
        <f t="array" ref="I145:L145">_xlfn.XLOOKUP(C145,'Neiva 2022 FASE I ACTUAL (4)'!$C$6:$C$540,'Neiva 2022 FASE I ACTUAL (4)'!$C$6:$F$540,"NO ESTA")</f>
        <v>SUMINISTRO E INSTALACION VENTANA EN ALUMINIO o similar TIPO V2 Incluye VIDRIO Referencia SOLARBAN Ver NOTAS GENERALES DE PLANCHA</v>
      </c>
      <c r="J145" s="9" t="str">
        <v>M2</v>
      </c>
      <c r="K145" s="9">
        <v>0.32</v>
      </c>
      <c r="L145" s="9">
        <v>259999</v>
      </c>
      <c r="M145" s="124" t="str">
        <f t="shared" si="17"/>
        <v>FASE II</v>
      </c>
      <c r="N145" s="155">
        <f t="shared" si="14"/>
        <v>0.32</v>
      </c>
      <c r="O145" s="156">
        <f t="shared" si="15"/>
        <v>267475</v>
      </c>
      <c r="P145" s="156">
        <f t="shared" si="16"/>
        <v>85592</v>
      </c>
    </row>
    <row r="146" spans="2:16" s="9" customFormat="1" ht="35.1" customHeight="1" x14ac:dyDescent="0.25">
      <c r="B146" s="23" t="s">
        <v>192</v>
      </c>
      <c r="C146" s="22" t="s">
        <v>183</v>
      </c>
      <c r="D146" s="10" t="s">
        <v>13</v>
      </c>
      <c r="E146" s="12">
        <v>0</v>
      </c>
      <c r="F146" s="126">
        <v>267475</v>
      </c>
      <c r="G146" s="126">
        <f t="shared" si="18"/>
        <v>0</v>
      </c>
      <c r="H146" s="8"/>
      <c r="I146" s="9" t="str">
        <f t="array" ref="I146:L146">_xlfn.XLOOKUP(C146,'Neiva 2022 FASE I ACTUAL (4)'!$C$6:$C$540,'Neiva 2022 FASE I ACTUAL (4)'!$C$6:$F$540,"NO ESTA")</f>
        <v>SUMINISTRO E INSTALACION VENTANA EN ALUMINIO o similar TIPO V3 Incluye VIDRIO Referencia SOLARBAN Ver NOTAS GENERALES DE PLANCHA</v>
      </c>
      <c r="J146" s="9" t="str">
        <v>M2</v>
      </c>
      <c r="K146" s="9">
        <v>0.55000000000000004</v>
      </c>
      <c r="L146" s="9">
        <v>259999</v>
      </c>
      <c r="M146" s="124" t="str">
        <f t="shared" si="17"/>
        <v>FASE II</v>
      </c>
      <c r="N146" s="155">
        <f t="shared" si="14"/>
        <v>0.55000000000000004</v>
      </c>
      <c r="O146" s="156">
        <f t="shared" si="15"/>
        <v>267475</v>
      </c>
      <c r="P146" s="156">
        <f t="shared" si="16"/>
        <v>147111.25</v>
      </c>
    </row>
    <row r="147" spans="2:16" s="9" customFormat="1" ht="35.1" customHeight="1" x14ac:dyDescent="0.25">
      <c r="B147" s="23" t="s">
        <v>193</v>
      </c>
      <c r="C147" s="22" t="s">
        <v>1114</v>
      </c>
      <c r="D147" s="10" t="s">
        <v>13</v>
      </c>
      <c r="E147" s="12">
        <v>0</v>
      </c>
      <c r="F147" s="126">
        <v>267475</v>
      </c>
      <c r="G147" s="126">
        <f t="shared" si="18"/>
        <v>0</v>
      </c>
      <c r="H147" s="8"/>
      <c r="I147" s="9" t="str">
        <f t="array" ref="I147">_xlfn.XLOOKUP(C147,'Neiva 2022 FASE I ACTUAL (4)'!$C$6:$C$540,'Neiva 2022 FASE I ACTUAL (4)'!$C$6:$F$540,"NO ESTA")</f>
        <v>NO ESTA</v>
      </c>
      <c r="M147" s="124">
        <f t="shared" si="17"/>
        <v>0</v>
      </c>
      <c r="N147" s="155">
        <f t="shared" si="14"/>
        <v>0</v>
      </c>
      <c r="O147" s="156">
        <f t="shared" si="15"/>
        <v>267475</v>
      </c>
      <c r="P147" s="156">
        <f t="shared" si="16"/>
        <v>0</v>
      </c>
    </row>
    <row r="148" spans="2:16" s="9" customFormat="1" ht="35.1" customHeight="1" x14ac:dyDescent="0.25">
      <c r="B148" s="23" t="s">
        <v>194</v>
      </c>
      <c r="C148" s="22" t="s">
        <v>195</v>
      </c>
      <c r="D148" s="10" t="s">
        <v>13</v>
      </c>
      <c r="E148" s="12">
        <v>0</v>
      </c>
      <c r="F148" s="126">
        <v>267475</v>
      </c>
      <c r="G148" s="126">
        <f t="shared" si="18"/>
        <v>0</v>
      </c>
      <c r="H148" s="8"/>
      <c r="I148" s="9" t="str">
        <f t="array" ref="I148:L148">_xlfn.XLOOKUP(C148,'Neiva 2022 FASE I ACTUAL (4)'!$C$6:$C$540,'Neiva 2022 FASE I ACTUAL (4)'!$C$6:$F$540,"NO ESTA")</f>
        <v>SUMINISTRO E INSTALACION VENTANA EN ALUMINIO o similar TIPO V5 Incluye VIDRIO Referencia SOLARBAN Ver NOTAS GENERALES DE PLANCHA</v>
      </c>
      <c r="J148" s="9" t="str">
        <v>M2</v>
      </c>
      <c r="K148" s="9">
        <v>0.36</v>
      </c>
      <c r="L148" s="9">
        <v>259999</v>
      </c>
      <c r="M148" s="124" t="str">
        <f t="shared" si="17"/>
        <v>FASE II</v>
      </c>
      <c r="N148" s="155">
        <f t="shared" si="14"/>
        <v>0.36</v>
      </c>
      <c r="O148" s="156">
        <f t="shared" si="15"/>
        <v>267475</v>
      </c>
      <c r="P148" s="156">
        <f t="shared" si="16"/>
        <v>96291</v>
      </c>
    </row>
    <row r="149" spans="2:16" s="9" customFormat="1" ht="35.1" customHeight="1" x14ac:dyDescent="0.25">
      <c r="B149" s="13" t="s">
        <v>1115</v>
      </c>
      <c r="C149" s="14" t="s">
        <v>1116</v>
      </c>
      <c r="D149" s="13"/>
      <c r="E149" s="15"/>
      <c r="F149" s="129"/>
      <c r="G149" s="140"/>
      <c r="H149" s="8"/>
      <c r="I149" s="9" t="str">
        <f t="array" ref="I149">_xlfn.XLOOKUP(C149,'Neiva 2022 FASE I ACTUAL (4)'!$C$6:$C$540,'Neiva 2022 FASE I ACTUAL (4)'!$C$6:$F$540,"NO ESTA")</f>
        <v>NO ESTA</v>
      </c>
      <c r="M149" s="124">
        <f t="shared" si="17"/>
        <v>0</v>
      </c>
      <c r="N149" s="155">
        <f t="shared" si="14"/>
        <v>0</v>
      </c>
      <c r="O149" s="156">
        <f t="shared" si="15"/>
        <v>0</v>
      </c>
      <c r="P149" s="156">
        <f t="shared" si="16"/>
        <v>0</v>
      </c>
    </row>
    <row r="150" spans="2:16" s="9" customFormat="1" ht="35.1" customHeight="1" x14ac:dyDescent="0.25">
      <c r="B150" s="23" t="s">
        <v>1117</v>
      </c>
      <c r="C150" s="22" t="s">
        <v>189</v>
      </c>
      <c r="D150" s="10" t="s">
        <v>13</v>
      </c>
      <c r="E150" s="12">
        <v>0.54</v>
      </c>
      <c r="F150" s="126">
        <v>268159</v>
      </c>
      <c r="G150" s="126">
        <f>ROUND(+F150*E150,2)</f>
        <v>144805.85999999999</v>
      </c>
      <c r="H150" s="8"/>
      <c r="I150" s="9" t="str">
        <f t="array" ref="I150:L150">_xlfn.XLOOKUP(C150,'Neiva 2022 FASE I ACTUAL (4)'!$C$6:$C$540,'Neiva 2022 FASE I ACTUAL (4)'!$C$6:$F$540,"NO ESTA")</f>
        <v>SUMINISTRO E INSTALACION VENTANA EN ALUMINIO o similar TIPO V1 Incluye VIDRIO Referencia SOLARBAN Ver NOTAS GENERALES DE PLANCHA</v>
      </c>
      <c r="J150" s="9" t="str">
        <v>M2</v>
      </c>
      <c r="K150" s="9">
        <v>0.05</v>
      </c>
      <c r="L150" s="9">
        <v>259999</v>
      </c>
      <c r="M150" s="124" t="str">
        <f t="shared" si="17"/>
        <v>FASE II</v>
      </c>
      <c r="N150" s="155">
        <f t="shared" si="14"/>
        <v>0.59000000000000008</v>
      </c>
      <c r="O150" s="156">
        <f t="shared" si="15"/>
        <v>268159</v>
      </c>
      <c r="P150" s="156">
        <f t="shared" si="16"/>
        <v>158213.81000000003</v>
      </c>
    </row>
    <row r="151" spans="2:16" s="9" customFormat="1" ht="35.1" customHeight="1" x14ac:dyDescent="0.25">
      <c r="B151" s="23" t="s">
        <v>1118</v>
      </c>
      <c r="C151" s="22" t="s">
        <v>191</v>
      </c>
      <c r="D151" s="10" t="s">
        <v>13</v>
      </c>
      <c r="E151" s="12">
        <v>2.38</v>
      </c>
      <c r="F151" s="126">
        <v>268159</v>
      </c>
      <c r="G151" s="126">
        <f>ROUND(+F151*E151,2)</f>
        <v>638218.42000000004</v>
      </c>
      <c r="H151" s="8"/>
      <c r="I151" s="9" t="str">
        <f t="array" ref="I151:L151">_xlfn.XLOOKUP(C151,'Neiva 2022 FASE I ACTUAL (4)'!$C$6:$C$540,'Neiva 2022 FASE I ACTUAL (4)'!$C$6:$F$540,"NO ESTA")</f>
        <v>SUMINISTRO E INSTALACION VENTANA EN ALUMINIO o similar TIPO V2 Incluye VIDRIO Referencia SOLARBAN Ver NOTAS GENERALES DE PLANCHA</v>
      </c>
      <c r="J151" s="9" t="str">
        <v>M2</v>
      </c>
      <c r="K151" s="9">
        <v>0.32</v>
      </c>
      <c r="L151" s="9">
        <v>259999</v>
      </c>
      <c r="M151" s="124" t="str">
        <f t="shared" si="17"/>
        <v>FASE II</v>
      </c>
      <c r="N151" s="155">
        <f t="shared" si="14"/>
        <v>2.6999999999999997</v>
      </c>
      <c r="O151" s="156">
        <f t="shared" si="15"/>
        <v>268159</v>
      </c>
      <c r="P151" s="156">
        <f t="shared" si="16"/>
        <v>724029.29999999993</v>
      </c>
    </row>
    <row r="152" spans="2:16" s="9" customFormat="1" ht="35.1" customHeight="1" x14ac:dyDescent="0.25">
      <c r="B152" s="23" t="s">
        <v>1119</v>
      </c>
      <c r="C152" s="22" t="s">
        <v>183</v>
      </c>
      <c r="D152" s="10" t="s">
        <v>13</v>
      </c>
      <c r="E152" s="12">
        <v>3.45</v>
      </c>
      <c r="F152" s="126">
        <v>268159</v>
      </c>
      <c r="G152" s="126">
        <f>ROUND(+F152*E152,2)</f>
        <v>925148.55</v>
      </c>
      <c r="H152" s="8"/>
      <c r="I152" s="9" t="str">
        <f t="array" ref="I152:L152">_xlfn.XLOOKUP(C152,'Neiva 2022 FASE I ACTUAL (4)'!$C$6:$C$540,'Neiva 2022 FASE I ACTUAL (4)'!$C$6:$F$540,"NO ESTA")</f>
        <v>SUMINISTRO E INSTALACION VENTANA EN ALUMINIO o similar TIPO V3 Incluye VIDRIO Referencia SOLARBAN Ver NOTAS GENERALES DE PLANCHA</v>
      </c>
      <c r="J152" s="9" t="str">
        <v>M2</v>
      </c>
      <c r="K152" s="9">
        <v>0.55000000000000004</v>
      </c>
      <c r="L152" s="9">
        <v>259999</v>
      </c>
      <c r="M152" s="124" t="str">
        <f t="shared" si="17"/>
        <v>FASE II</v>
      </c>
      <c r="N152" s="155">
        <f t="shared" si="14"/>
        <v>4</v>
      </c>
      <c r="O152" s="156">
        <f t="shared" si="15"/>
        <v>268159</v>
      </c>
      <c r="P152" s="156">
        <f t="shared" si="16"/>
        <v>1072636</v>
      </c>
    </row>
    <row r="153" spans="2:16" s="9" customFormat="1" ht="35.1" customHeight="1" x14ac:dyDescent="0.25">
      <c r="B153" s="23" t="s">
        <v>1120</v>
      </c>
      <c r="C153" s="22" t="s">
        <v>195</v>
      </c>
      <c r="D153" s="10" t="s">
        <v>13</v>
      </c>
      <c r="E153" s="12">
        <v>1.8</v>
      </c>
      <c r="F153" s="126">
        <v>268159</v>
      </c>
      <c r="G153" s="126">
        <f>ROUND(+F153*E153,2)</f>
        <v>482686.2</v>
      </c>
      <c r="H153" s="8"/>
      <c r="I153" s="9" t="str">
        <f t="array" ref="I153:L153">_xlfn.XLOOKUP(C153,'Neiva 2022 FASE I ACTUAL (4)'!$C$6:$C$540,'Neiva 2022 FASE I ACTUAL (4)'!$C$6:$F$540,"NO ESTA")</f>
        <v>SUMINISTRO E INSTALACION VENTANA EN ALUMINIO o similar TIPO V5 Incluye VIDRIO Referencia SOLARBAN Ver NOTAS GENERALES DE PLANCHA</v>
      </c>
      <c r="J153" s="9" t="str">
        <v>M2</v>
      </c>
      <c r="K153" s="9">
        <v>0.36</v>
      </c>
      <c r="L153" s="9">
        <v>259999</v>
      </c>
      <c r="M153" s="124" t="str">
        <f t="shared" si="17"/>
        <v>FASE II</v>
      </c>
      <c r="N153" s="155">
        <f t="shared" si="14"/>
        <v>2.16</v>
      </c>
      <c r="O153" s="156">
        <f t="shared" si="15"/>
        <v>268159</v>
      </c>
      <c r="P153" s="156">
        <f t="shared" si="16"/>
        <v>579223.44000000006</v>
      </c>
    </row>
    <row r="154" spans="2:16" s="9" customFormat="1" ht="35.1" customHeight="1" x14ac:dyDescent="0.25">
      <c r="B154" s="13" t="s">
        <v>1121</v>
      </c>
      <c r="C154" s="14" t="s">
        <v>1122</v>
      </c>
      <c r="D154" s="13"/>
      <c r="E154" s="15"/>
      <c r="F154" s="129"/>
      <c r="G154" s="140"/>
      <c r="H154" s="8"/>
      <c r="I154" s="9" t="str">
        <f t="array" ref="I154">_xlfn.XLOOKUP(C154,'Neiva 2022 FASE I ACTUAL (4)'!$C$6:$C$540,'Neiva 2022 FASE I ACTUAL (4)'!$C$6:$F$540,"NO ESTA")</f>
        <v>NO ESTA</v>
      </c>
      <c r="M154" s="124">
        <f t="shared" si="17"/>
        <v>0</v>
      </c>
      <c r="N154" s="155">
        <f t="shared" si="14"/>
        <v>0</v>
      </c>
      <c r="O154" s="156">
        <f t="shared" si="15"/>
        <v>0</v>
      </c>
      <c r="P154" s="156">
        <f t="shared" si="16"/>
        <v>0</v>
      </c>
    </row>
    <row r="155" spans="2:16" s="9" customFormat="1" ht="35.1" customHeight="1" x14ac:dyDescent="0.25">
      <c r="B155" s="23" t="s">
        <v>1123</v>
      </c>
      <c r="C155" s="22" t="s">
        <v>183</v>
      </c>
      <c r="D155" s="10" t="s">
        <v>13</v>
      </c>
      <c r="E155" s="12">
        <v>3.45</v>
      </c>
      <c r="F155" s="126">
        <v>268159</v>
      </c>
      <c r="G155" s="126">
        <f>ROUND(+F155*E155,2)</f>
        <v>925148.55</v>
      </c>
      <c r="H155" s="8"/>
      <c r="I155" s="9" t="str">
        <f t="array" ref="I155:L155">_xlfn.XLOOKUP(C155,'Neiva 2022 FASE I ACTUAL (4)'!$C$6:$C$540,'Neiva 2022 FASE I ACTUAL (4)'!$C$6:$F$540,"NO ESTA")</f>
        <v>SUMINISTRO E INSTALACION VENTANA EN ALUMINIO o similar TIPO V3 Incluye VIDRIO Referencia SOLARBAN Ver NOTAS GENERALES DE PLANCHA</v>
      </c>
      <c r="J155" s="9" t="str">
        <v>M2</v>
      </c>
      <c r="K155" s="9">
        <v>0.55000000000000004</v>
      </c>
      <c r="L155" s="9">
        <v>259999</v>
      </c>
      <c r="M155" s="124" t="str">
        <f t="shared" si="17"/>
        <v>FASE II</v>
      </c>
      <c r="N155" s="155">
        <f t="shared" si="14"/>
        <v>4</v>
      </c>
      <c r="O155" s="156">
        <f t="shared" si="15"/>
        <v>268159</v>
      </c>
      <c r="P155" s="156">
        <f t="shared" si="16"/>
        <v>1072636</v>
      </c>
    </row>
    <row r="156" spans="2:16" s="9" customFormat="1" ht="35.1" customHeight="1" x14ac:dyDescent="0.25">
      <c r="B156" s="16">
        <v>8</v>
      </c>
      <c r="C156" s="17" t="s">
        <v>196</v>
      </c>
      <c r="D156" s="17"/>
      <c r="E156" s="18"/>
      <c r="F156" s="133"/>
      <c r="G156" s="143"/>
      <c r="H156" s="8"/>
      <c r="I156" s="9" t="str">
        <f t="array" ref="I156:L156">_xlfn.XLOOKUP(C156,'Neiva 2022 FASE I ACTUAL (4)'!$C$6:$C$540,'Neiva 2022 FASE I ACTUAL (4)'!$C$6:$F$540,"NO ESTA")</f>
        <v>VENTANALES</v>
      </c>
      <c r="J156" s="9">
        <v>0</v>
      </c>
      <c r="K156" s="9">
        <v>0</v>
      </c>
      <c r="L156" s="9">
        <v>0</v>
      </c>
      <c r="M156" s="124">
        <f t="shared" si="17"/>
        <v>0</v>
      </c>
      <c r="N156" s="155">
        <f t="shared" si="14"/>
        <v>0</v>
      </c>
      <c r="O156" s="156">
        <f t="shared" si="15"/>
        <v>0</v>
      </c>
      <c r="P156" s="156">
        <f t="shared" si="16"/>
        <v>0</v>
      </c>
    </row>
    <row r="157" spans="2:16" s="9" customFormat="1" ht="35.1" customHeight="1" x14ac:dyDescent="0.25">
      <c r="B157" s="13" t="s">
        <v>197</v>
      </c>
      <c r="C157" s="14" t="s">
        <v>198</v>
      </c>
      <c r="D157" s="13"/>
      <c r="E157" s="15"/>
      <c r="F157" s="129"/>
      <c r="G157" s="140"/>
      <c r="H157" s="8"/>
      <c r="I157" s="9" t="str">
        <f t="array" ref="I157:L157">_xlfn.XLOOKUP(C157,'Neiva 2022 FASE I ACTUAL (4)'!$C$6:$C$540,'Neiva 2022 FASE I ACTUAL (4)'!$C$6:$F$540,"NO ESTA")</f>
        <v>SUMINISTRO E INSTALACION VENTANALES PISO 1</v>
      </c>
      <c r="J157" s="9">
        <v>0</v>
      </c>
      <c r="K157" s="9">
        <v>0</v>
      </c>
      <c r="L157" s="9">
        <v>0</v>
      </c>
      <c r="M157" s="124">
        <f t="shared" si="17"/>
        <v>0</v>
      </c>
      <c r="N157" s="155">
        <f t="shared" si="14"/>
        <v>0</v>
      </c>
      <c r="O157" s="156">
        <f t="shared" si="15"/>
        <v>0</v>
      </c>
      <c r="P157" s="156">
        <f t="shared" si="16"/>
        <v>0</v>
      </c>
    </row>
    <row r="158" spans="2:16" s="9" customFormat="1" ht="35.1" customHeight="1" x14ac:dyDescent="0.25">
      <c r="B158" s="23" t="s">
        <v>199</v>
      </c>
      <c r="C158" s="22" t="s">
        <v>200</v>
      </c>
      <c r="D158" s="10" t="s">
        <v>13</v>
      </c>
      <c r="E158" s="12">
        <v>44.879999999999995</v>
      </c>
      <c r="F158" s="126">
        <v>311887</v>
      </c>
      <c r="G158" s="126">
        <f>ROUND(+F158*E158,2)</f>
        <v>13997488.560000001</v>
      </c>
      <c r="H158" s="8"/>
      <c r="I158" s="9" t="str">
        <f t="array" ref="I158:L158">_xlfn.XLOOKUP(C158,'Neiva 2022 FASE I ACTUAL (4)'!$C$6:$C$540,'Neiva 2022 FASE I ACTUAL (4)'!$C$6:$F$540,"NO ESTA")</f>
        <v>SUMINISTRO E INSTALACION VENTANAL INTERIOR EN ALUMINIO o similar TIPO V-0 Incluye VIDRIO Referencia TRASLUCIDO TEMPLADO 10MM Ver NOTAS GENERALES DE PLANCHA</v>
      </c>
      <c r="J158" s="9" t="str">
        <v>M2</v>
      </c>
      <c r="K158" s="9">
        <v>16.32</v>
      </c>
      <c r="L158" s="9">
        <v>303169</v>
      </c>
      <c r="M158" s="124" t="str">
        <f t="shared" si="17"/>
        <v>FASE II</v>
      </c>
      <c r="N158" s="155">
        <f t="shared" si="14"/>
        <v>61.199999999999996</v>
      </c>
      <c r="O158" s="156">
        <f t="shared" si="15"/>
        <v>311887</v>
      </c>
      <c r="P158" s="156">
        <f t="shared" si="16"/>
        <v>19087484.399999999</v>
      </c>
    </row>
    <row r="159" spans="2:16" s="9" customFormat="1" ht="35.1" customHeight="1" x14ac:dyDescent="0.25">
      <c r="B159" s="23" t="s">
        <v>201</v>
      </c>
      <c r="C159" s="22" t="s">
        <v>202</v>
      </c>
      <c r="D159" s="10" t="s">
        <v>13</v>
      </c>
      <c r="E159" s="12">
        <v>111.41999999999999</v>
      </c>
      <c r="F159" s="126">
        <v>353438</v>
      </c>
      <c r="G159" s="126">
        <f>ROUND(+F159*E159,2)</f>
        <v>39380061.960000001</v>
      </c>
      <c r="H159" s="8"/>
      <c r="I159" s="9" t="str">
        <f t="array" ref="I159:L159">_xlfn.XLOOKUP(C159,'Neiva 2022 FASE I ACTUAL (4)'!$C$6:$C$540,'Neiva 2022 FASE I ACTUAL (4)'!$C$6:$F$540,"NO ESTA")</f>
        <v>SUMINISTRO E INSTALACION VENTANAL PERFIL 12cm EN ALUMINIO o similar TIPO V-1 Incluye VIDRIO Referencia SOLARBAN Ver NOTAS GENERALES DE PLANCHA</v>
      </c>
      <c r="J159" s="9" t="str">
        <v>M2</v>
      </c>
      <c r="K159" s="9">
        <v>111.43</v>
      </c>
      <c r="L159" s="9">
        <v>343559</v>
      </c>
      <c r="M159" s="124" t="str">
        <f t="shared" si="17"/>
        <v>FASE II</v>
      </c>
      <c r="N159" s="155">
        <f t="shared" si="14"/>
        <v>222.85</v>
      </c>
      <c r="O159" s="156">
        <f t="shared" si="15"/>
        <v>353438</v>
      </c>
      <c r="P159" s="156">
        <f t="shared" si="16"/>
        <v>78763658.299999997</v>
      </c>
    </row>
    <row r="160" spans="2:16" s="9" customFormat="1" ht="35.1" customHeight="1" x14ac:dyDescent="0.25">
      <c r="B160" s="23" t="s">
        <v>203</v>
      </c>
      <c r="C160" s="22" t="s">
        <v>204</v>
      </c>
      <c r="D160" s="10" t="s">
        <v>13</v>
      </c>
      <c r="E160" s="12">
        <v>17.010000000000002</v>
      </c>
      <c r="F160" s="126">
        <v>369778</v>
      </c>
      <c r="G160" s="126">
        <f>ROUND(+F160*E160,2)</f>
        <v>6289923.7800000003</v>
      </c>
      <c r="H160" s="8"/>
      <c r="I160" s="9" t="str">
        <f t="array" ref="I160:L160">_xlfn.XLOOKUP(C160,'Neiva 2022 FASE I ACTUAL (4)'!$C$6:$C$540,'Neiva 2022 FASE I ACTUAL (4)'!$C$6:$F$540,"NO ESTA")</f>
        <v>SUMINISTRO E INSTALACION VENTANAL DOBLE ALTURA EN ALUMINIO o similar TIPO V-4 Incluye VIDRIO Referencia SOLARBAN Ver NOTAS GENERALES DE PLANCHA</v>
      </c>
      <c r="J160" s="9" t="str">
        <v>M2</v>
      </c>
      <c r="K160" s="9">
        <v>17.010000000000002</v>
      </c>
      <c r="L160" s="9">
        <v>359441</v>
      </c>
      <c r="M160" s="124" t="str">
        <f t="shared" si="17"/>
        <v>FASE II</v>
      </c>
      <c r="N160" s="155">
        <f t="shared" si="14"/>
        <v>34.020000000000003</v>
      </c>
      <c r="O160" s="156">
        <f t="shared" si="15"/>
        <v>369778</v>
      </c>
      <c r="P160" s="156">
        <f t="shared" si="16"/>
        <v>12579847.560000001</v>
      </c>
    </row>
    <row r="161" spans="2:16" s="9" customFormat="1" ht="35.1" customHeight="1" x14ac:dyDescent="0.25">
      <c r="B161" s="23" t="s">
        <v>205</v>
      </c>
      <c r="C161" s="22" t="s">
        <v>206</v>
      </c>
      <c r="D161" s="10" t="s">
        <v>13</v>
      </c>
      <c r="E161" s="12">
        <v>13.059999999999999</v>
      </c>
      <c r="F161" s="126">
        <v>369778</v>
      </c>
      <c r="G161" s="126">
        <f>ROUND(+F161*E161,2)</f>
        <v>4829300.68</v>
      </c>
      <c r="H161" s="8"/>
      <c r="I161" s="9" t="str">
        <f t="array" ref="I161:L161">_xlfn.XLOOKUP(C161,'Neiva 2022 FASE I ACTUAL (4)'!$C$6:$C$540,'Neiva 2022 FASE I ACTUAL (4)'!$C$6:$F$540,"NO ESTA")</f>
        <v>SUMINISTRO E INSTALACIONVENTANAL DOBLE ALTURA LIBRE EN ALUMINIO o similar TIPO V-5 Incluye VIDRIO Referencia SOLARBAN Ver NOTAS GENERALES DE PLANCHA</v>
      </c>
      <c r="J161" s="9" t="str">
        <v>M2</v>
      </c>
      <c r="K161" s="9">
        <v>13.07</v>
      </c>
      <c r="L161" s="9">
        <v>359441</v>
      </c>
      <c r="M161" s="124" t="str">
        <f t="shared" si="17"/>
        <v>FASE II</v>
      </c>
      <c r="N161" s="155">
        <f t="shared" si="14"/>
        <v>26.13</v>
      </c>
      <c r="O161" s="156">
        <f t="shared" si="15"/>
        <v>369778</v>
      </c>
      <c r="P161" s="156">
        <f t="shared" si="16"/>
        <v>9662299.1399999987</v>
      </c>
    </row>
    <row r="162" spans="2:16" s="9" customFormat="1" ht="35.1" customHeight="1" x14ac:dyDescent="0.25">
      <c r="B162" s="13" t="s">
        <v>207</v>
      </c>
      <c r="C162" s="14" t="s">
        <v>208</v>
      </c>
      <c r="D162" s="13"/>
      <c r="E162" s="15"/>
      <c r="F162" s="129"/>
      <c r="G162" s="140"/>
      <c r="H162" s="8"/>
      <c r="I162" s="9" t="str">
        <f t="array" ref="I162:L162">_xlfn.XLOOKUP(C162,'Neiva 2022 FASE I ACTUAL (4)'!$C$6:$C$540,'Neiva 2022 FASE I ACTUAL (4)'!$C$6:$F$540,"NO ESTA")</f>
        <v>SUMINISTRO E INSTALACION VENTANALES PISO 2</v>
      </c>
      <c r="J162" s="9">
        <v>0</v>
      </c>
      <c r="K162" s="9">
        <v>0</v>
      </c>
      <c r="L162" s="9">
        <v>0</v>
      </c>
      <c r="M162" s="124">
        <f t="shared" si="17"/>
        <v>0</v>
      </c>
      <c r="N162" s="155">
        <f t="shared" si="14"/>
        <v>0</v>
      </c>
      <c r="O162" s="156">
        <f t="shared" si="15"/>
        <v>0</v>
      </c>
      <c r="P162" s="156">
        <f t="shared" si="16"/>
        <v>0</v>
      </c>
    </row>
    <row r="163" spans="2:16" s="9" customFormat="1" ht="35.1" customHeight="1" x14ac:dyDescent="0.25">
      <c r="B163" s="23" t="s">
        <v>209</v>
      </c>
      <c r="C163" s="22" t="s">
        <v>210</v>
      </c>
      <c r="D163" s="10" t="s">
        <v>13</v>
      </c>
      <c r="E163" s="12">
        <v>221.89</v>
      </c>
      <c r="F163" s="126">
        <v>247305</v>
      </c>
      <c r="G163" s="126">
        <f t="shared" ref="G163:G169" si="19">ROUND(+F163*E163,2)</f>
        <v>54874506.450000003</v>
      </c>
      <c r="H163" s="8"/>
      <c r="I163" s="9" t="str">
        <f t="array" ref="I163:L163">_xlfn.XLOOKUP(C163,'Neiva 2022 FASE I ACTUAL (4)'!$C$6:$C$540,'Neiva 2022 FASE I ACTUAL (4)'!$C$6:$F$540,"NO ESTA")</f>
        <v>SUMINISTRO E INSTALACION CORTASOL Referencia 84R TIPO CS-1 Ver NOTAS GENERALES DE PLANCHA</v>
      </c>
      <c r="J163" s="9" t="str">
        <v>M2</v>
      </c>
      <c r="K163" s="9">
        <v>21.89</v>
      </c>
      <c r="L163" s="9">
        <v>240392</v>
      </c>
      <c r="M163" s="124" t="str">
        <f t="shared" si="17"/>
        <v>FASE II</v>
      </c>
      <c r="N163" s="155">
        <f t="shared" si="14"/>
        <v>243.77999999999997</v>
      </c>
      <c r="O163" s="156">
        <f t="shared" si="15"/>
        <v>247305</v>
      </c>
      <c r="P163" s="156">
        <f t="shared" si="16"/>
        <v>60288012.899999991</v>
      </c>
    </row>
    <row r="164" spans="2:16" s="9" customFormat="1" ht="35.1" customHeight="1" x14ac:dyDescent="0.25">
      <c r="B164" s="23" t="s">
        <v>211</v>
      </c>
      <c r="C164" s="22" t="s">
        <v>200</v>
      </c>
      <c r="D164" s="10" t="s">
        <v>13</v>
      </c>
      <c r="E164" s="12">
        <v>13.48</v>
      </c>
      <c r="F164" s="126">
        <v>311887</v>
      </c>
      <c r="G164" s="126">
        <f t="shared" si="19"/>
        <v>4204236.76</v>
      </c>
      <c r="H164" s="8"/>
      <c r="I164" s="9" t="str">
        <f t="array" ref="I164:L164">_xlfn.XLOOKUP(C164,'Neiva 2022 FASE I ACTUAL (4)'!$C$6:$C$540,'Neiva 2022 FASE I ACTUAL (4)'!$C$6:$F$540,"NO ESTA")</f>
        <v>SUMINISTRO E INSTALACION VENTANAL INTERIOR EN ALUMINIO o similar TIPO V-0 Incluye VIDRIO Referencia TRASLUCIDO TEMPLADO 10MM Ver NOTAS GENERALES DE PLANCHA</v>
      </c>
      <c r="J164" s="9" t="str">
        <v>M2</v>
      </c>
      <c r="K164" s="9">
        <v>16.32</v>
      </c>
      <c r="L164" s="9">
        <v>303169</v>
      </c>
      <c r="M164" s="124" t="str">
        <f t="shared" si="17"/>
        <v>FASE II</v>
      </c>
      <c r="N164" s="155">
        <f t="shared" si="14"/>
        <v>29.8</v>
      </c>
      <c r="O164" s="156">
        <f t="shared" si="15"/>
        <v>311887</v>
      </c>
      <c r="P164" s="156">
        <f t="shared" si="16"/>
        <v>9294232.5999999996</v>
      </c>
    </row>
    <row r="165" spans="2:16" s="9" customFormat="1" ht="35.1" customHeight="1" x14ac:dyDescent="0.25">
      <c r="B165" s="23" t="s">
        <v>212</v>
      </c>
      <c r="C165" s="22" t="s">
        <v>202</v>
      </c>
      <c r="D165" s="10" t="s">
        <v>13</v>
      </c>
      <c r="E165" s="12">
        <v>29.999999999999996</v>
      </c>
      <c r="F165" s="126">
        <v>353438</v>
      </c>
      <c r="G165" s="126">
        <f t="shared" si="19"/>
        <v>10603140</v>
      </c>
      <c r="H165" s="8"/>
      <c r="I165" s="9" t="str">
        <f t="array" ref="I165:L165">_xlfn.XLOOKUP(C165,'Neiva 2022 FASE I ACTUAL (4)'!$C$6:$C$540,'Neiva 2022 FASE I ACTUAL (4)'!$C$6:$F$540,"NO ESTA")</f>
        <v>SUMINISTRO E INSTALACION VENTANAL PERFIL 12cm EN ALUMINIO o similar TIPO V-1 Incluye VIDRIO Referencia SOLARBAN Ver NOTAS GENERALES DE PLANCHA</v>
      </c>
      <c r="J165" s="9" t="str">
        <v>M2</v>
      </c>
      <c r="K165" s="9">
        <v>111.43</v>
      </c>
      <c r="L165" s="9">
        <v>343559</v>
      </c>
      <c r="M165" s="124" t="str">
        <f t="shared" si="17"/>
        <v>FASE II</v>
      </c>
      <c r="N165" s="155">
        <f t="shared" si="14"/>
        <v>141.43</v>
      </c>
      <c r="O165" s="156">
        <f t="shared" si="15"/>
        <v>353438</v>
      </c>
      <c r="P165" s="156">
        <f t="shared" si="16"/>
        <v>49986736.340000004</v>
      </c>
    </row>
    <row r="166" spans="2:16" s="9" customFormat="1" ht="35.1" customHeight="1" x14ac:dyDescent="0.25">
      <c r="B166" s="23" t="s">
        <v>213</v>
      </c>
      <c r="C166" s="22" t="s">
        <v>214</v>
      </c>
      <c r="D166" s="10" t="s">
        <v>13</v>
      </c>
      <c r="E166" s="12">
        <v>78.760000000000005</v>
      </c>
      <c r="F166" s="126">
        <v>353438</v>
      </c>
      <c r="G166" s="126">
        <f t="shared" si="19"/>
        <v>27836776.879999999</v>
      </c>
      <c r="H166" s="8"/>
      <c r="I166" s="9" t="str">
        <f t="array" ref="I166:L166">_xlfn.XLOOKUP(C166,'Neiva 2022 FASE I ACTUAL (4)'!$C$6:$C$540,'Neiva 2022 FASE I ACTUAL (4)'!$C$6:$F$540,"NO ESTA")</f>
        <v>SUMINISTRO E INSTALACION VENTANAL PERFIL 12cm  AULAS COMPLETO EN ALUMINIO o similar TIPO V-2 Incluye VIDRIO Referencia SOLARBAN Ver NOTAS GENERALES DE PLANCHA</v>
      </c>
      <c r="J166" s="9" t="str">
        <v>M2</v>
      </c>
      <c r="K166" s="9">
        <v>63.83</v>
      </c>
      <c r="L166" s="9">
        <v>343559</v>
      </c>
      <c r="M166" s="124" t="str">
        <f t="shared" si="17"/>
        <v>FASE II</v>
      </c>
      <c r="N166" s="155">
        <f t="shared" si="14"/>
        <v>142.59</v>
      </c>
      <c r="O166" s="156">
        <f t="shared" si="15"/>
        <v>353438</v>
      </c>
      <c r="P166" s="156">
        <f t="shared" si="16"/>
        <v>50396724.420000002</v>
      </c>
    </row>
    <row r="167" spans="2:16" s="9" customFormat="1" ht="35.1" customHeight="1" x14ac:dyDescent="0.25">
      <c r="B167" s="23" t="s">
        <v>215</v>
      </c>
      <c r="C167" s="22" t="s">
        <v>216</v>
      </c>
      <c r="D167" s="10" t="s">
        <v>13</v>
      </c>
      <c r="E167" s="12">
        <v>78.989999999999995</v>
      </c>
      <c r="F167" s="126">
        <v>366927</v>
      </c>
      <c r="G167" s="126">
        <f t="shared" si="19"/>
        <v>28983563.73</v>
      </c>
      <c r="H167" s="8"/>
      <c r="I167" s="9" t="str">
        <f t="array" ref="I167:L167">_xlfn.XLOOKUP(C167,'Neiva 2022 FASE I ACTUAL (4)'!$C$6:$C$540,'Neiva 2022 FASE I ACTUAL (4)'!$C$6:$F$540,"NO ESTA")</f>
        <v>SUMINISTRO E INSTALACION VENTANAL PERFIL 15cm EN ALUMINIO o similar TIPO V-3 Incluye VIDRIO Referencia SOLARBAN Ver NOTAS GENERALES DE PLANCHA</v>
      </c>
      <c r="J167" s="9" t="str">
        <v>M2</v>
      </c>
      <c r="K167" s="9">
        <v>7.99</v>
      </c>
      <c r="L167" s="9">
        <v>356670</v>
      </c>
      <c r="M167" s="124" t="str">
        <f t="shared" si="17"/>
        <v>FASE II</v>
      </c>
      <c r="N167" s="155">
        <f t="shared" si="14"/>
        <v>86.97999999999999</v>
      </c>
      <c r="O167" s="156">
        <f t="shared" si="15"/>
        <v>366927</v>
      </c>
      <c r="P167" s="156">
        <f t="shared" si="16"/>
        <v>31915310.459999997</v>
      </c>
    </row>
    <row r="168" spans="2:16" s="9" customFormat="1" ht="35.1" customHeight="1" x14ac:dyDescent="0.25">
      <c r="B168" s="23" t="s">
        <v>217</v>
      </c>
      <c r="C168" s="22" t="s">
        <v>218</v>
      </c>
      <c r="D168" s="10" t="s">
        <v>13</v>
      </c>
      <c r="E168" s="12">
        <v>11.76</v>
      </c>
      <c r="F168" s="126">
        <v>369778</v>
      </c>
      <c r="G168" s="126">
        <f t="shared" si="19"/>
        <v>4348589.28</v>
      </c>
      <c r="H168" s="8"/>
      <c r="I168" s="9" t="str">
        <f t="array" ref="I168:L168">_xlfn.XLOOKUP(C168,'Neiva 2022 FASE I ACTUAL (4)'!$C$6:$C$540,'Neiva 2022 FASE I ACTUAL (4)'!$C$6:$F$540,"NO ESTA")</f>
        <v>SUMINISTRO E INSTALACION VENTANAL DOBLE ALTURA LIBRE EN ALUMINIO o similar TIPO V-5 Incluye VIDRIO Referencia SOLARBAN Ver NOTAS GENERALES DE PLANCHA</v>
      </c>
      <c r="J168" s="9" t="str">
        <v>M2</v>
      </c>
      <c r="K168" s="9">
        <v>11.76</v>
      </c>
      <c r="L168" s="9">
        <v>359441</v>
      </c>
      <c r="M168" s="124" t="str">
        <f t="shared" si="17"/>
        <v>FASE II</v>
      </c>
      <c r="N168" s="155">
        <f t="shared" si="14"/>
        <v>23.52</v>
      </c>
      <c r="O168" s="156">
        <f t="shared" si="15"/>
        <v>369778</v>
      </c>
      <c r="P168" s="156">
        <f t="shared" si="16"/>
        <v>8697178.5600000005</v>
      </c>
    </row>
    <row r="169" spans="2:16" s="9" customFormat="1" ht="35.1" customHeight="1" x14ac:dyDescent="0.25">
      <c r="B169" s="23" t="s">
        <v>219</v>
      </c>
      <c r="C169" s="11" t="s">
        <v>220</v>
      </c>
      <c r="D169" s="10" t="s">
        <v>13</v>
      </c>
      <c r="E169" s="12">
        <v>15.659999999999998</v>
      </c>
      <c r="F169" s="126">
        <v>411981</v>
      </c>
      <c r="G169" s="126">
        <f t="shared" si="19"/>
        <v>6451622.46</v>
      </c>
      <c r="H169" s="8"/>
      <c r="I169" s="9" t="str">
        <f t="array" ref="I169:L169">_xlfn.XLOOKUP(C169,'Neiva 2022 FASE I ACTUAL (4)'!$C$6:$C$540,'Neiva 2022 FASE I ACTUAL (4)'!$C$6:$F$540,"NO ESTA")</f>
        <v>SUMINISTRO E INSTALACION VENTANAL INTERIOR PERFIL 15cm SALONES EN ALUMINIO o similar TIPO V-6Incluye VIDRIO Referencia TRASLUCIDO TEMPLADO 10MM Ver NOTAS GENERALES DE PLANCHA</v>
      </c>
      <c r="J169" s="9" t="str">
        <v>M2</v>
      </c>
      <c r="K169" s="9">
        <v>10.72</v>
      </c>
      <c r="L169" s="9">
        <v>400466</v>
      </c>
      <c r="M169" s="124" t="str">
        <f t="shared" si="17"/>
        <v>FASE II</v>
      </c>
      <c r="N169" s="155">
        <f t="shared" si="14"/>
        <v>26.38</v>
      </c>
      <c r="O169" s="156">
        <f t="shared" si="15"/>
        <v>411981</v>
      </c>
      <c r="P169" s="156">
        <f t="shared" si="16"/>
        <v>10868058.779999999</v>
      </c>
    </row>
    <row r="170" spans="2:16" s="9" customFormat="1" ht="35.1" customHeight="1" x14ac:dyDescent="0.25">
      <c r="B170" s="13" t="s">
        <v>1124</v>
      </c>
      <c r="C170" s="14" t="s">
        <v>1125</v>
      </c>
      <c r="D170" s="13"/>
      <c r="E170" s="15"/>
      <c r="F170" s="129"/>
      <c r="G170" s="140"/>
      <c r="H170" s="8"/>
      <c r="I170" s="9" t="str">
        <f t="array" ref="I170">_xlfn.XLOOKUP(C170,'Neiva 2022 FASE I ACTUAL (4)'!$C$6:$C$540,'Neiva 2022 FASE I ACTUAL (4)'!$C$6:$F$540,"NO ESTA")</f>
        <v>NO ESTA</v>
      </c>
      <c r="M170" s="124">
        <f t="shared" si="17"/>
        <v>0</v>
      </c>
      <c r="N170" s="155">
        <f t="shared" si="14"/>
        <v>0</v>
      </c>
      <c r="O170" s="156">
        <f t="shared" si="15"/>
        <v>0</v>
      </c>
      <c r="P170" s="156">
        <f t="shared" si="16"/>
        <v>0</v>
      </c>
    </row>
    <row r="171" spans="2:16" s="9" customFormat="1" ht="35.1" customHeight="1" x14ac:dyDescent="0.25">
      <c r="B171" s="23" t="s">
        <v>1126</v>
      </c>
      <c r="C171" s="22" t="s">
        <v>210</v>
      </c>
      <c r="D171" s="10" t="s">
        <v>13</v>
      </c>
      <c r="E171" s="12">
        <v>181.07</v>
      </c>
      <c r="F171" s="126">
        <v>249572</v>
      </c>
      <c r="G171" s="126">
        <f t="shared" ref="G171:G176" si="20">ROUND(+F171*E171,2)</f>
        <v>45190002.039999999</v>
      </c>
      <c r="H171" s="8"/>
      <c r="I171" s="9" t="str">
        <f t="array" ref="I171:L171">_xlfn.XLOOKUP(C171,'Neiva 2022 FASE I ACTUAL (4)'!$C$6:$C$540,'Neiva 2022 FASE I ACTUAL (4)'!$C$6:$F$540,"NO ESTA")</f>
        <v>SUMINISTRO E INSTALACION CORTASOL Referencia 84R TIPO CS-1 Ver NOTAS GENERALES DE PLANCHA</v>
      </c>
      <c r="J171" s="9" t="str">
        <v>M2</v>
      </c>
      <c r="K171" s="9">
        <v>21.89</v>
      </c>
      <c r="L171" s="9">
        <v>240392</v>
      </c>
      <c r="M171" s="124" t="str">
        <f t="shared" si="17"/>
        <v>FASE II</v>
      </c>
      <c r="N171" s="155">
        <f t="shared" si="14"/>
        <v>202.95999999999998</v>
      </c>
      <c r="O171" s="156">
        <f t="shared" si="15"/>
        <v>249572</v>
      </c>
      <c r="P171" s="156">
        <f t="shared" si="16"/>
        <v>50653133.119999997</v>
      </c>
    </row>
    <row r="172" spans="2:16" s="9" customFormat="1" ht="35.1" customHeight="1" x14ac:dyDescent="0.25">
      <c r="B172" s="23" t="s">
        <v>1127</v>
      </c>
      <c r="C172" s="22" t="s">
        <v>1128</v>
      </c>
      <c r="D172" s="10" t="s">
        <v>13</v>
      </c>
      <c r="E172" s="12">
        <v>34.630000000000003</v>
      </c>
      <c r="F172" s="126">
        <v>311887</v>
      </c>
      <c r="G172" s="126">
        <f t="shared" si="20"/>
        <v>10800646.810000001</v>
      </c>
      <c r="H172" s="8"/>
      <c r="I172" s="9" t="str">
        <f t="array" ref="I172">_xlfn.XLOOKUP(C172,'Neiva 2022 FASE I ACTUAL (4)'!$C$6:$C$540,'Neiva 2022 FASE I ACTUAL (4)'!$C$6:$F$540,"NO ESTA")</f>
        <v>NO ESTA</v>
      </c>
      <c r="M172" s="124">
        <f t="shared" si="17"/>
        <v>0</v>
      </c>
      <c r="N172" s="155">
        <f t="shared" si="14"/>
        <v>34.630000000000003</v>
      </c>
      <c r="O172" s="156">
        <f t="shared" si="15"/>
        <v>311887</v>
      </c>
      <c r="P172" s="156">
        <f t="shared" si="16"/>
        <v>10800646.810000001</v>
      </c>
    </row>
    <row r="173" spans="2:16" s="9" customFormat="1" ht="35.1" customHeight="1" x14ac:dyDescent="0.25">
      <c r="B173" s="23" t="s">
        <v>1129</v>
      </c>
      <c r="C173" s="22" t="s">
        <v>202</v>
      </c>
      <c r="D173" s="10" t="s">
        <v>13</v>
      </c>
      <c r="E173" s="12">
        <v>87.57</v>
      </c>
      <c r="F173" s="126">
        <v>353438</v>
      </c>
      <c r="G173" s="126">
        <f t="shared" si="20"/>
        <v>30950565.66</v>
      </c>
      <c r="H173" s="8"/>
      <c r="I173" s="9" t="str">
        <f t="array" ref="I173:L173">_xlfn.XLOOKUP(C173,'Neiva 2022 FASE I ACTUAL (4)'!$C$6:$C$540,'Neiva 2022 FASE I ACTUAL (4)'!$C$6:$F$540,"NO ESTA")</f>
        <v>SUMINISTRO E INSTALACION VENTANAL PERFIL 12cm EN ALUMINIO o similar TIPO V-1 Incluye VIDRIO Referencia SOLARBAN Ver NOTAS GENERALES DE PLANCHA</v>
      </c>
      <c r="J173" s="9" t="str">
        <v>M2</v>
      </c>
      <c r="K173" s="9">
        <v>111.43</v>
      </c>
      <c r="L173" s="9">
        <v>343559</v>
      </c>
      <c r="M173" s="124" t="str">
        <f t="shared" si="17"/>
        <v>FASE II</v>
      </c>
      <c r="N173" s="155">
        <f t="shared" si="14"/>
        <v>199</v>
      </c>
      <c r="O173" s="156">
        <f t="shared" si="15"/>
        <v>353438</v>
      </c>
      <c r="P173" s="156">
        <f t="shared" si="16"/>
        <v>70334162</v>
      </c>
    </row>
    <row r="174" spans="2:16" s="9" customFormat="1" ht="35.1" customHeight="1" x14ac:dyDescent="0.25">
      <c r="B174" s="23" t="s">
        <v>1130</v>
      </c>
      <c r="C174" s="22" t="s">
        <v>214</v>
      </c>
      <c r="D174" s="10" t="s">
        <v>13</v>
      </c>
      <c r="E174" s="12">
        <v>157.53</v>
      </c>
      <c r="F174" s="126">
        <v>353438</v>
      </c>
      <c r="G174" s="126">
        <f t="shared" si="20"/>
        <v>55677088.140000001</v>
      </c>
      <c r="H174" s="8"/>
      <c r="I174" s="9" t="str">
        <f t="array" ref="I174:L174">_xlfn.XLOOKUP(C174,'Neiva 2022 FASE I ACTUAL (4)'!$C$6:$C$540,'Neiva 2022 FASE I ACTUAL (4)'!$C$6:$F$540,"NO ESTA")</f>
        <v>SUMINISTRO E INSTALACION VENTANAL PERFIL 12cm  AULAS COMPLETO EN ALUMINIO o similar TIPO V-2 Incluye VIDRIO Referencia SOLARBAN Ver NOTAS GENERALES DE PLANCHA</v>
      </c>
      <c r="J174" s="9" t="str">
        <v>M2</v>
      </c>
      <c r="K174" s="9">
        <v>63.83</v>
      </c>
      <c r="L174" s="9">
        <v>343559</v>
      </c>
      <c r="M174" s="124" t="str">
        <f t="shared" si="17"/>
        <v>FASE II</v>
      </c>
      <c r="N174" s="155">
        <f t="shared" si="14"/>
        <v>221.36</v>
      </c>
      <c r="O174" s="156">
        <f t="shared" si="15"/>
        <v>353438</v>
      </c>
      <c r="P174" s="156">
        <f t="shared" si="16"/>
        <v>78237035.680000007</v>
      </c>
    </row>
    <row r="175" spans="2:16" s="9" customFormat="1" ht="35.1" customHeight="1" x14ac:dyDescent="0.25">
      <c r="B175" s="23" t="s">
        <v>1131</v>
      </c>
      <c r="C175" s="22" t="s">
        <v>204</v>
      </c>
      <c r="D175" s="10" t="s">
        <v>13</v>
      </c>
      <c r="E175" s="12">
        <v>148.13999999999999</v>
      </c>
      <c r="F175" s="126">
        <v>369778</v>
      </c>
      <c r="G175" s="126">
        <f t="shared" si="20"/>
        <v>54778912.920000002</v>
      </c>
      <c r="H175" s="8"/>
      <c r="I175" s="9" t="str">
        <f t="array" ref="I175:L175">_xlfn.XLOOKUP(C175,'Neiva 2022 FASE I ACTUAL (4)'!$C$6:$C$540,'Neiva 2022 FASE I ACTUAL (4)'!$C$6:$F$540,"NO ESTA")</f>
        <v>SUMINISTRO E INSTALACION VENTANAL DOBLE ALTURA EN ALUMINIO o similar TIPO V-4 Incluye VIDRIO Referencia SOLARBAN Ver NOTAS GENERALES DE PLANCHA</v>
      </c>
      <c r="J175" s="9" t="str">
        <v>M2</v>
      </c>
      <c r="K175" s="9">
        <v>17.010000000000002</v>
      </c>
      <c r="L175" s="9">
        <v>359441</v>
      </c>
      <c r="M175" s="124" t="str">
        <f t="shared" si="17"/>
        <v>FASE II</v>
      </c>
      <c r="N175" s="155">
        <f t="shared" si="14"/>
        <v>165.14999999999998</v>
      </c>
      <c r="O175" s="156">
        <f t="shared" si="15"/>
        <v>369778</v>
      </c>
      <c r="P175" s="156">
        <f t="shared" si="16"/>
        <v>61068836.699999988</v>
      </c>
    </row>
    <row r="176" spans="2:16" s="9" customFormat="1" ht="35.1" customHeight="1" x14ac:dyDescent="0.25">
      <c r="B176" s="23" t="s">
        <v>1132</v>
      </c>
      <c r="C176" s="11" t="s">
        <v>1133</v>
      </c>
      <c r="D176" s="10" t="s">
        <v>13</v>
      </c>
      <c r="E176" s="12">
        <v>31.33</v>
      </c>
      <c r="F176" s="126">
        <v>411981</v>
      </c>
      <c r="G176" s="126">
        <f t="shared" si="20"/>
        <v>12907364.73</v>
      </c>
      <c r="H176" s="8"/>
      <c r="I176" s="9" t="str">
        <f t="array" ref="I176">_xlfn.XLOOKUP(C176,'Neiva 2022 FASE I ACTUAL (4)'!$C$6:$C$540,'Neiva 2022 FASE I ACTUAL (4)'!$C$6:$F$540,"NO ESTA")</f>
        <v>NO ESTA</v>
      </c>
      <c r="M176" s="124">
        <f t="shared" si="17"/>
        <v>0</v>
      </c>
      <c r="N176" s="155">
        <f t="shared" si="14"/>
        <v>31.33</v>
      </c>
      <c r="O176" s="156">
        <f t="shared" si="15"/>
        <v>411981</v>
      </c>
      <c r="P176" s="156">
        <f t="shared" si="16"/>
        <v>12907364.729999999</v>
      </c>
    </row>
    <row r="177" spans="2:16" s="9" customFormat="1" ht="35.1" customHeight="1" x14ac:dyDescent="0.25">
      <c r="B177" s="13" t="s">
        <v>1134</v>
      </c>
      <c r="C177" s="14" t="s">
        <v>1135</v>
      </c>
      <c r="D177" s="13"/>
      <c r="E177" s="15"/>
      <c r="F177" s="129"/>
      <c r="G177" s="140"/>
      <c r="H177" s="8"/>
      <c r="I177" s="9" t="str">
        <f t="array" ref="I177">_xlfn.XLOOKUP(C177,'Neiva 2022 FASE I ACTUAL (4)'!$C$6:$C$540,'Neiva 2022 FASE I ACTUAL (4)'!$C$6:$F$540,"NO ESTA")</f>
        <v>NO ESTA</v>
      </c>
      <c r="M177" s="124">
        <f t="shared" si="17"/>
        <v>0</v>
      </c>
      <c r="N177" s="155">
        <f t="shared" si="14"/>
        <v>0</v>
      </c>
      <c r="O177" s="156">
        <f t="shared" si="15"/>
        <v>0</v>
      </c>
      <c r="P177" s="156">
        <f t="shared" si="16"/>
        <v>0</v>
      </c>
    </row>
    <row r="178" spans="2:16" s="9" customFormat="1" ht="35.1" customHeight="1" x14ac:dyDescent="0.25">
      <c r="B178" s="23" t="s">
        <v>1136</v>
      </c>
      <c r="C178" s="22" t="s">
        <v>210</v>
      </c>
      <c r="D178" s="10" t="s">
        <v>13</v>
      </c>
      <c r="E178" s="12">
        <v>41.36</v>
      </c>
      <c r="F178" s="126">
        <v>249572</v>
      </c>
      <c r="G178" s="126">
        <f t="shared" ref="G178:G183" si="21">ROUND(+F178*E178,2)</f>
        <v>10322297.92</v>
      </c>
      <c r="H178" s="8"/>
      <c r="I178" s="9" t="str">
        <f t="array" ref="I178:L178">_xlfn.XLOOKUP(C178,'Neiva 2022 FASE I ACTUAL (4)'!$C$6:$C$540,'Neiva 2022 FASE I ACTUAL (4)'!$C$6:$F$540,"NO ESTA")</f>
        <v>SUMINISTRO E INSTALACION CORTASOL Referencia 84R TIPO CS-1 Ver NOTAS GENERALES DE PLANCHA</v>
      </c>
      <c r="J178" s="9" t="str">
        <v>M2</v>
      </c>
      <c r="K178" s="9">
        <v>21.89</v>
      </c>
      <c r="L178" s="9">
        <v>240392</v>
      </c>
      <c r="M178" s="124" t="str">
        <f t="shared" si="17"/>
        <v>FASE II</v>
      </c>
      <c r="N178" s="155">
        <f t="shared" si="14"/>
        <v>63.25</v>
      </c>
      <c r="O178" s="156">
        <f t="shared" si="15"/>
        <v>249572</v>
      </c>
      <c r="P178" s="156">
        <f t="shared" si="16"/>
        <v>15785429</v>
      </c>
    </row>
    <row r="179" spans="2:16" s="9" customFormat="1" ht="35.1" customHeight="1" x14ac:dyDescent="0.25">
      <c r="B179" s="23" t="s">
        <v>1137</v>
      </c>
      <c r="C179" s="22" t="s">
        <v>1128</v>
      </c>
      <c r="D179" s="10" t="s">
        <v>13</v>
      </c>
      <c r="E179" s="12">
        <v>124.89</v>
      </c>
      <c r="F179" s="126">
        <v>311887</v>
      </c>
      <c r="G179" s="126">
        <f t="shared" si="21"/>
        <v>38951567.43</v>
      </c>
      <c r="H179" s="8"/>
      <c r="I179" s="9" t="str">
        <f t="array" ref="I179">_xlfn.XLOOKUP(C179,'Neiva 2022 FASE I ACTUAL (4)'!$C$6:$C$540,'Neiva 2022 FASE I ACTUAL (4)'!$C$6:$F$540,"NO ESTA")</f>
        <v>NO ESTA</v>
      </c>
      <c r="M179" s="124">
        <f t="shared" si="17"/>
        <v>0</v>
      </c>
      <c r="N179" s="155">
        <f t="shared" si="14"/>
        <v>124.89</v>
      </c>
      <c r="O179" s="156">
        <f t="shared" si="15"/>
        <v>311887</v>
      </c>
      <c r="P179" s="156">
        <f t="shared" si="16"/>
        <v>38951567.43</v>
      </c>
    </row>
    <row r="180" spans="2:16" s="9" customFormat="1" ht="35.1" customHeight="1" x14ac:dyDescent="0.25">
      <c r="B180" s="23" t="s">
        <v>1138</v>
      </c>
      <c r="C180" s="22" t="s">
        <v>202</v>
      </c>
      <c r="D180" s="10" t="s">
        <v>13</v>
      </c>
      <c r="E180" s="12">
        <v>82.95</v>
      </c>
      <c r="F180" s="126">
        <v>353438</v>
      </c>
      <c r="G180" s="126">
        <f t="shared" si="21"/>
        <v>29317682.100000001</v>
      </c>
      <c r="H180" s="8"/>
      <c r="I180" s="9" t="str">
        <f t="array" ref="I180:L180">_xlfn.XLOOKUP(C180,'Neiva 2022 FASE I ACTUAL (4)'!$C$6:$C$540,'Neiva 2022 FASE I ACTUAL (4)'!$C$6:$F$540,"NO ESTA")</f>
        <v>SUMINISTRO E INSTALACION VENTANAL PERFIL 12cm EN ALUMINIO o similar TIPO V-1 Incluye VIDRIO Referencia SOLARBAN Ver NOTAS GENERALES DE PLANCHA</v>
      </c>
      <c r="J180" s="9" t="str">
        <v>M2</v>
      </c>
      <c r="K180" s="9">
        <v>111.43</v>
      </c>
      <c r="L180" s="9">
        <v>343559</v>
      </c>
      <c r="M180" s="124" t="str">
        <f t="shared" si="17"/>
        <v>FASE II</v>
      </c>
      <c r="N180" s="155">
        <f t="shared" si="14"/>
        <v>194.38</v>
      </c>
      <c r="O180" s="156">
        <f t="shared" si="15"/>
        <v>353438</v>
      </c>
      <c r="P180" s="156">
        <f t="shared" si="16"/>
        <v>68701278.439999998</v>
      </c>
    </row>
    <row r="181" spans="2:16" s="9" customFormat="1" ht="35.1" customHeight="1" x14ac:dyDescent="0.25">
      <c r="B181" s="10" t="s">
        <v>1139</v>
      </c>
      <c r="C181" s="11" t="s">
        <v>214</v>
      </c>
      <c r="D181" s="10" t="s">
        <v>13</v>
      </c>
      <c r="E181" s="12">
        <v>157.53</v>
      </c>
      <c r="F181" s="126">
        <v>353438</v>
      </c>
      <c r="G181" s="126">
        <f t="shared" si="21"/>
        <v>55677088.140000001</v>
      </c>
      <c r="H181" s="8"/>
      <c r="I181" s="9" t="str">
        <f t="array" ref="I181:L181">_xlfn.XLOOKUP(C181,'Neiva 2022 FASE I ACTUAL (4)'!$C$6:$C$540,'Neiva 2022 FASE I ACTUAL (4)'!$C$6:$F$540,"NO ESTA")</f>
        <v>SUMINISTRO E INSTALACION VENTANAL PERFIL 12cm  AULAS COMPLETO EN ALUMINIO o similar TIPO V-2 Incluye VIDRIO Referencia SOLARBAN Ver NOTAS GENERALES DE PLANCHA</v>
      </c>
      <c r="J181" s="9" t="str">
        <v>M2</v>
      </c>
      <c r="K181" s="9">
        <v>63.83</v>
      </c>
      <c r="L181" s="9">
        <v>343559</v>
      </c>
      <c r="M181" s="124" t="str">
        <f t="shared" si="17"/>
        <v>FASE II</v>
      </c>
      <c r="N181" s="155">
        <f t="shared" si="14"/>
        <v>221.36</v>
      </c>
      <c r="O181" s="156">
        <f t="shared" si="15"/>
        <v>353438</v>
      </c>
      <c r="P181" s="156">
        <f t="shared" si="16"/>
        <v>78237035.680000007</v>
      </c>
    </row>
    <row r="182" spans="2:16" s="9" customFormat="1" ht="35.1" customHeight="1" x14ac:dyDescent="0.25">
      <c r="B182" s="10" t="s">
        <v>1140</v>
      </c>
      <c r="C182" s="11" t="s">
        <v>216</v>
      </c>
      <c r="D182" s="10" t="s">
        <v>13</v>
      </c>
      <c r="E182" s="12">
        <v>84.61</v>
      </c>
      <c r="F182" s="126">
        <v>366927</v>
      </c>
      <c r="G182" s="126">
        <f t="shared" si="21"/>
        <v>31045693.469999999</v>
      </c>
      <c r="H182" s="8"/>
      <c r="I182" s="9" t="str">
        <f t="array" ref="I182:L182">_xlfn.XLOOKUP(C182,'Neiva 2022 FASE I ACTUAL (4)'!$C$6:$C$540,'Neiva 2022 FASE I ACTUAL (4)'!$C$6:$F$540,"NO ESTA")</f>
        <v>SUMINISTRO E INSTALACION VENTANAL PERFIL 15cm EN ALUMINIO o similar TIPO V-3 Incluye VIDRIO Referencia SOLARBAN Ver NOTAS GENERALES DE PLANCHA</v>
      </c>
      <c r="J182" s="9" t="str">
        <v>M2</v>
      </c>
      <c r="K182" s="9">
        <v>7.99</v>
      </c>
      <c r="L182" s="9">
        <v>356670</v>
      </c>
      <c r="M182" s="124" t="str">
        <f t="shared" si="17"/>
        <v>FASE II</v>
      </c>
      <c r="N182" s="155">
        <f t="shared" si="14"/>
        <v>92.6</v>
      </c>
      <c r="O182" s="156">
        <f t="shared" si="15"/>
        <v>366927</v>
      </c>
      <c r="P182" s="156">
        <f t="shared" si="16"/>
        <v>33977440.199999996</v>
      </c>
    </row>
    <row r="183" spans="2:16" s="9" customFormat="1" ht="35.1" customHeight="1" x14ac:dyDescent="0.25">
      <c r="B183" s="10" t="s">
        <v>1141</v>
      </c>
      <c r="C183" s="11" t="s">
        <v>220</v>
      </c>
      <c r="D183" s="10" t="s">
        <v>13</v>
      </c>
      <c r="E183" s="12">
        <v>31.96</v>
      </c>
      <c r="F183" s="126">
        <v>411981</v>
      </c>
      <c r="G183" s="126">
        <f t="shared" si="21"/>
        <v>13166912.76</v>
      </c>
      <c r="H183" s="8"/>
      <c r="I183" s="9" t="str">
        <f t="array" ref="I183:L183">_xlfn.XLOOKUP(C183,'Neiva 2022 FASE I ACTUAL (4)'!$C$6:$C$540,'Neiva 2022 FASE I ACTUAL (4)'!$C$6:$F$540,"NO ESTA")</f>
        <v>SUMINISTRO E INSTALACION VENTANAL INTERIOR PERFIL 15cm SALONES EN ALUMINIO o similar TIPO V-6Incluye VIDRIO Referencia TRASLUCIDO TEMPLADO 10MM Ver NOTAS GENERALES DE PLANCHA</v>
      </c>
      <c r="J183" s="9" t="str">
        <v>M2</v>
      </c>
      <c r="K183" s="9">
        <v>10.72</v>
      </c>
      <c r="L183" s="9">
        <v>400466</v>
      </c>
      <c r="M183" s="124" t="str">
        <f t="shared" si="17"/>
        <v>FASE II</v>
      </c>
      <c r="N183" s="155">
        <f t="shared" si="14"/>
        <v>42.68</v>
      </c>
      <c r="O183" s="156">
        <f t="shared" si="15"/>
        <v>411981</v>
      </c>
      <c r="P183" s="156">
        <f t="shared" si="16"/>
        <v>17583349.079999998</v>
      </c>
    </row>
    <row r="184" spans="2:16" s="9" customFormat="1" ht="35.1" customHeight="1" x14ac:dyDescent="0.25">
      <c r="B184" s="16">
        <v>9</v>
      </c>
      <c r="C184" s="17" t="s">
        <v>221</v>
      </c>
      <c r="D184" s="17"/>
      <c r="E184" s="18"/>
      <c r="F184" s="133"/>
      <c r="G184" s="143"/>
      <c r="H184" s="8"/>
      <c r="I184" s="9" t="str">
        <f t="array" ref="I184:L184">_xlfn.XLOOKUP(C184,'Neiva 2022 FASE I ACTUAL (4)'!$C$6:$C$540,'Neiva 2022 FASE I ACTUAL (4)'!$C$6:$F$540,"NO ESTA")</f>
        <v>PUERTAS</v>
      </c>
      <c r="J184" s="9">
        <v>0</v>
      </c>
      <c r="K184" s="9">
        <v>0</v>
      </c>
      <c r="L184" s="9">
        <v>0</v>
      </c>
      <c r="M184" s="124">
        <f t="shared" si="17"/>
        <v>0</v>
      </c>
      <c r="N184" s="155">
        <f t="shared" si="14"/>
        <v>0</v>
      </c>
      <c r="O184" s="156">
        <f t="shared" si="15"/>
        <v>0</v>
      </c>
      <c r="P184" s="156">
        <f t="shared" si="16"/>
        <v>0</v>
      </c>
    </row>
    <row r="185" spans="2:16" s="9" customFormat="1" ht="35.1" customHeight="1" x14ac:dyDescent="0.25">
      <c r="B185" s="13" t="s">
        <v>222</v>
      </c>
      <c r="C185" s="14" t="s">
        <v>223</v>
      </c>
      <c r="D185" s="13"/>
      <c r="E185" s="15"/>
      <c r="F185" s="126">
        <v>0</v>
      </c>
      <c r="G185" s="126">
        <f t="shared" ref="G185:G197" si="22">ROUND(+F185*E185,2)</f>
        <v>0</v>
      </c>
      <c r="H185" s="8"/>
      <c r="I185" s="9" t="str">
        <f t="array" ref="I185:L185">_xlfn.XLOOKUP(C185,'Neiva 2022 FASE I ACTUAL (4)'!$C$6:$C$540,'Neiva 2022 FASE I ACTUAL (4)'!$C$6:$F$540,"NO ESTA")</f>
        <v>SUMINISTRO E INSTALACIÓN PUERTAS SEMISOTANO</v>
      </c>
      <c r="J185" s="9">
        <v>0</v>
      </c>
      <c r="K185" s="9">
        <v>0</v>
      </c>
      <c r="L185" s="9">
        <v>0</v>
      </c>
      <c r="M185" s="124">
        <f t="shared" si="17"/>
        <v>0</v>
      </c>
      <c r="N185" s="155">
        <f t="shared" si="14"/>
        <v>0</v>
      </c>
      <c r="O185" s="156">
        <f t="shared" si="15"/>
        <v>0</v>
      </c>
      <c r="P185" s="156">
        <f t="shared" si="16"/>
        <v>0</v>
      </c>
    </row>
    <row r="186" spans="2:16" s="9" customFormat="1" ht="35.1" customHeight="1" x14ac:dyDescent="0.25">
      <c r="B186" s="23" t="s">
        <v>224</v>
      </c>
      <c r="C186" s="22" t="s">
        <v>225</v>
      </c>
      <c r="D186" s="10" t="s">
        <v>13</v>
      </c>
      <c r="E186" s="12">
        <v>0</v>
      </c>
      <c r="F186" s="126">
        <v>1381990</v>
      </c>
      <c r="G186" s="126">
        <f t="shared" si="22"/>
        <v>0</v>
      </c>
      <c r="H186" s="8"/>
      <c r="I186" s="9" t="str">
        <f t="array" ref="I186:L186">_xlfn.XLOOKUP(C186,'Neiva 2022 FASE I ACTUAL (4)'!$C$6:$C$540,'Neiva 2022 FASE I ACTUAL (4)'!$C$6:$F$540,"NO ESTA")</f>
        <v>SUMINISTRO E INSTALACION PUERTA DE EVACUACIÓN TIPO P-1 Ver NOTAS GENERALES DE PLANCHA</v>
      </c>
      <c r="J186" s="9" t="str">
        <v>M2</v>
      </c>
      <c r="K186" s="9">
        <v>4.4000000000000004</v>
      </c>
      <c r="L186" s="9">
        <v>1343360</v>
      </c>
      <c r="M186" s="124" t="str">
        <f t="shared" si="17"/>
        <v>FASE II</v>
      </c>
      <c r="N186" s="155">
        <f t="shared" si="14"/>
        <v>4.4000000000000004</v>
      </c>
      <c r="O186" s="156">
        <f t="shared" si="15"/>
        <v>1381990</v>
      </c>
      <c r="P186" s="156">
        <f t="shared" si="16"/>
        <v>6080756.0000000009</v>
      </c>
    </row>
    <row r="187" spans="2:16" s="9" customFormat="1" ht="35.1" customHeight="1" x14ac:dyDescent="0.25">
      <c r="B187" s="23" t="s">
        <v>226</v>
      </c>
      <c r="C187" s="22" t="s">
        <v>227</v>
      </c>
      <c r="D187" s="10" t="s">
        <v>13</v>
      </c>
      <c r="E187" s="12">
        <v>0</v>
      </c>
      <c r="F187" s="126">
        <v>131548</v>
      </c>
      <c r="G187" s="126">
        <f t="shared" si="22"/>
        <v>0</v>
      </c>
      <c r="H187" s="8"/>
      <c r="I187" s="9" t="str">
        <f t="array" ref="I187:L187">_xlfn.XLOOKUP(C187,'Neiva 2022 FASE I ACTUAL (4)'!$C$6:$C$540,'Neiva 2022 FASE I ACTUAL (4)'!$C$6:$F$540,"NO ESTA")</f>
        <v>SUMINISTRO E INSTALACION PUERTA METALICA DEPOSITOS TIPO P-2 Ver NOTAS GENERALES DE PLANCHA</v>
      </c>
      <c r="J187" s="9" t="str">
        <v>M2</v>
      </c>
      <c r="K187" s="9">
        <v>15.12</v>
      </c>
      <c r="L187" s="9">
        <v>127871</v>
      </c>
      <c r="M187" s="124" t="str">
        <f t="shared" si="17"/>
        <v>FASE II</v>
      </c>
      <c r="N187" s="155">
        <f t="shared" si="14"/>
        <v>15.12</v>
      </c>
      <c r="O187" s="156">
        <f t="shared" si="15"/>
        <v>131548</v>
      </c>
      <c r="P187" s="156">
        <f t="shared" si="16"/>
        <v>1989005.76</v>
      </c>
    </row>
    <row r="188" spans="2:16" s="9" customFormat="1" ht="35.1" customHeight="1" x14ac:dyDescent="0.25">
      <c r="B188" s="23" t="s">
        <v>228</v>
      </c>
      <c r="C188" s="22" t="s">
        <v>229</v>
      </c>
      <c r="D188" s="10" t="s">
        <v>13</v>
      </c>
      <c r="E188" s="12">
        <v>0</v>
      </c>
      <c r="F188" s="126">
        <v>154697</v>
      </c>
      <c r="G188" s="126">
        <f t="shared" si="22"/>
        <v>0</v>
      </c>
      <c r="H188" s="8"/>
      <c r="I188" s="9" t="str">
        <f t="array" ref="I188:L188">_xlfn.XLOOKUP(C188,'Neiva 2022 FASE I ACTUAL (4)'!$C$6:$C$540,'Neiva 2022 FASE I ACTUAL (4)'!$C$6:$F$540,"NO ESTA")</f>
        <v>SUMINISTRO E INSTALACION PUERTA METALICA DOBLE HOJA TIPO P-7 Ver NOTAS GENERALES DE PLANCHA</v>
      </c>
      <c r="J188" s="9" t="str">
        <v>M2</v>
      </c>
      <c r="K188" s="9">
        <v>33.6</v>
      </c>
      <c r="L188" s="9">
        <v>150373</v>
      </c>
      <c r="M188" s="124" t="str">
        <f t="shared" si="17"/>
        <v>FASE II</v>
      </c>
      <c r="N188" s="155">
        <f t="shared" si="14"/>
        <v>33.6</v>
      </c>
      <c r="O188" s="156">
        <f t="shared" si="15"/>
        <v>154697</v>
      </c>
      <c r="P188" s="156">
        <f t="shared" si="16"/>
        <v>5197819.2</v>
      </c>
    </row>
    <row r="189" spans="2:16" s="9" customFormat="1" ht="35.1" customHeight="1" x14ac:dyDescent="0.25">
      <c r="B189" s="23" t="s">
        <v>230</v>
      </c>
      <c r="C189" s="22" t="s">
        <v>1142</v>
      </c>
      <c r="D189" s="10" t="s">
        <v>13</v>
      </c>
      <c r="E189" s="12">
        <v>0</v>
      </c>
      <c r="F189" s="126">
        <v>252212</v>
      </c>
      <c r="G189" s="126">
        <f t="shared" si="22"/>
        <v>0</v>
      </c>
      <c r="H189" s="8"/>
      <c r="I189" s="9" t="str">
        <f t="array" ref="I189">_xlfn.XLOOKUP(C189,'Neiva 2022 FASE I ACTUAL (4)'!$C$6:$C$540,'Neiva 2022 FASE I ACTUAL (4)'!$C$6:$F$540,"NO ESTA")</f>
        <v>NO ESTA</v>
      </c>
      <c r="M189" s="124">
        <f t="shared" si="17"/>
        <v>0</v>
      </c>
      <c r="N189" s="155">
        <f t="shared" si="14"/>
        <v>0</v>
      </c>
      <c r="O189" s="156">
        <f t="shared" si="15"/>
        <v>252212</v>
      </c>
      <c r="P189" s="156">
        <f t="shared" si="16"/>
        <v>0</v>
      </c>
    </row>
    <row r="190" spans="2:16" s="9" customFormat="1" ht="35.1" customHeight="1" x14ac:dyDescent="0.25">
      <c r="B190" s="13" t="s">
        <v>232</v>
      </c>
      <c r="C190" s="14" t="s">
        <v>233</v>
      </c>
      <c r="D190" s="27"/>
      <c r="E190" s="15"/>
      <c r="F190" s="126">
        <v>0</v>
      </c>
      <c r="G190" s="126">
        <f t="shared" si="22"/>
        <v>0</v>
      </c>
      <c r="H190" s="8"/>
      <c r="I190" s="9" t="str">
        <f t="array" ref="I190:L190">_xlfn.XLOOKUP(C190,'Neiva 2022 FASE I ACTUAL (4)'!$C$6:$C$540,'Neiva 2022 FASE I ACTUAL (4)'!$C$6:$F$540,"NO ESTA")</f>
        <v>SUMINISTRO E INSTALACIÓN PUERTAS PISO 1</v>
      </c>
      <c r="J190" s="9">
        <v>0</v>
      </c>
      <c r="K190" s="9">
        <v>0</v>
      </c>
      <c r="L190" s="9">
        <v>0</v>
      </c>
      <c r="M190" s="124">
        <f t="shared" si="17"/>
        <v>0</v>
      </c>
      <c r="N190" s="155">
        <f t="shared" si="14"/>
        <v>0</v>
      </c>
      <c r="O190" s="156">
        <f t="shared" si="15"/>
        <v>0</v>
      </c>
      <c r="P190" s="156">
        <f t="shared" si="16"/>
        <v>0</v>
      </c>
    </row>
    <row r="191" spans="2:16" s="9" customFormat="1" ht="35.1" customHeight="1" x14ac:dyDescent="0.25">
      <c r="B191" s="23" t="s">
        <v>234</v>
      </c>
      <c r="C191" s="22" t="s">
        <v>225</v>
      </c>
      <c r="D191" s="10" t="s">
        <v>13</v>
      </c>
      <c r="E191" s="12">
        <v>0</v>
      </c>
      <c r="F191" s="126">
        <v>1381990</v>
      </c>
      <c r="G191" s="126">
        <f t="shared" si="22"/>
        <v>0</v>
      </c>
      <c r="H191" s="8"/>
      <c r="I191" s="9" t="str">
        <f t="array" ref="I191:L191">_xlfn.XLOOKUP(C191,'Neiva 2022 FASE I ACTUAL (4)'!$C$6:$C$540,'Neiva 2022 FASE I ACTUAL (4)'!$C$6:$F$540,"NO ESTA")</f>
        <v>SUMINISTRO E INSTALACION PUERTA DE EVACUACIÓN TIPO P-1 Ver NOTAS GENERALES DE PLANCHA</v>
      </c>
      <c r="J191" s="9" t="str">
        <v>M2</v>
      </c>
      <c r="K191" s="9">
        <v>4.4000000000000004</v>
      </c>
      <c r="L191" s="9">
        <v>1343360</v>
      </c>
      <c r="M191" s="124" t="str">
        <f t="shared" si="17"/>
        <v>FASE II</v>
      </c>
      <c r="N191" s="155">
        <f t="shared" si="14"/>
        <v>4.4000000000000004</v>
      </c>
      <c r="O191" s="156">
        <f t="shared" si="15"/>
        <v>1381990</v>
      </c>
      <c r="P191" s="156">
        <f t="shared" si="16"/>
        <v>6080756.0000000009</v>
      </c>
    </row>
    <row r="192" spans="2:16" s="9" customFormat="1" ht="35.1" customHeight="1" x14ac:dyDescent="0.25">
      <c r="B192" s="23" t="s">
        <v>235</v>
      </c>
      <c r="C192" s="22" t="s">
        <v>227</v>
      </c>
      <c r="D192" s="10" t="s">
        <v>13</v>
      </c>
      <c r="E192" s="12">
        <v>0</v>
      </c>
      <c r="F192" s="126">
        <v>131548</v>
      </c>
      <c r="G192" s="126">
        <f t="shared" si="22"/>
        <v>0</v>
      </c>
      <c r="H192" s="8"/>
      <c r="I192" s="9" t="str">
        <f t="array" ref="I192:L192">_xlfn.XLOOKUP(C192,'Neiva 2022 FASE I ACTUAL (4)'!$C$6:$C$540,'Neiva 2022 FASE I ACTUAL (4)'!$C$6:$F$540,"NO ESTA")</f>
        <v>SUMINISTRO E INSTALACION PUERTA METALICA DEPOSITOS TIPO P-2 Ver NOTAS GENERALES DE PLANCHA</v>
      </c>
      <c r="J192" s="9" t="str">
        <v>M2</v>
      </c>
      <c r="K192" s="9">
        <v>15.12</v>
      </c>
      <c r="L192" s="9">
        <v>127871</v>
      </c>
      <c r="M192" s="124" t="str">
        <f t="shared" si="17"/>
        <v>FASE II</v>
      </c>
      <c r="N192" s="155">
        <f t="shared" si="14"/>
        <v>15.12</v>
      </c>
      <c r="O192" s="156">
        <f t="shared" si="15"/>
        <v>131548</v>
      </c>
      <c r="P192" s="156">
        <f t="shared" si="16"/>
        <v>1989005.76</v>
      </c>
    </row>
    <row r="193" spans="2:16" s="9" customFormat="1" ht="35.1" customHeight="1" x14ac:dyDescent="0.25">
      <c r="B193" s="23" t="s">
        <v>236</v>
      </c>
      <c r="C193" s="22" t="s">
        <v>237</v>
      </c>
      <c r="D193" s="10" t="s">
        <v>13</v>
      </c>
      <c r="E193" s="12">
        <v>0</v>
      </c>
      <c r="F193" s="126">
        <v>731553</v>
      </c>
      <c r="G193" s="126">
        <f t="shared" si="22"/>
        <v>0</v>
      </c>
      <c r="H193" s="8"/>
      <c r="I193" s="9" t="str">
        <f t="array" ref="I193:L193">_xlfn.XLOOKUP(C193,'Neiva 2022 FASE I ACTUAL (4)'!$C$6:$C$540,'Neiva 2022 FASE I ACTUAL (4)'!$C$6:$F$540,"NO ESTA")</f>
        <v>SUMINISTRO E INSTALACION PUERTA DIVISORIA DE MADERA TIPO P-3 Ver NOTAS GENERALES DE PLANCHA</v>
      </c>
      <c r="J193" s="9" t="str">
        <v>M2</v>
      </c>
      <c r="K193" s="9">
        <v>2.4</v>
      </c>
      <c r="L193" s="9">
        <v>711104</v>
      </c>
      <c r="M193" s="124" t="str">
        <f t="shared" si="17"/>
        <v>FASE II</v>
      </c>
      <c r="N193" s="155">
        <f t="shared" si="14"/>
        <v>2.4</v>
      </c>
      <c r="O193" s="156">
        <f t="shared" si="15"/>
        <v>731553</v>
      </c>
      <c r="P193" s="156">
        <f t="shared" si="16"/>
        <v>1755727.2</v>
      </c>
    </row>
    <row r="194" spans="2:16" s="9" customFormat="1" ht="35.1" customHeight="1" x14ac:dyDescent="0.25">
      <c r="B194" s="23" t="s">
        <v>238</v>
      </c>
      <c r="C194" s="22" t="s">
        <v>239</v>
      </c>
      <c r="D194" s="10" t="s">
        <v>13</v>
      </c>
      <c r="E194" s="12">
        <v>0</v>
      </c>
      <c r="F194" s="126">
        <v>731553</v>
      </c>
      <c r="G194" s="126">
        <f t="shared" si="22"/>
        <v>0</v>
      </c>
      <c r="H194" s="8"/>
      <c r="I194" s="9" t="str">
        <f t="array" ref="I194:L194">_xlfn.XLOOKUP(C194,'Neiva 2022 FASE I ACTUAL (4)'!$C$6:$C$540,'Neiva 2022 FASE I ACTUAL (4)'!$C$6:$F$540,"NO ESTA")</f>
        <v>SUMINISTRO E INSTALACION PUERTA DIVISORIA DE MADERA TIPO P-4 Ver NOTAS GENERALES DE PLANCHA</v>
      </c>
      <c r="J194" s="9" t="str">
        <v>M2</v>
      </c>
      <c r="K194" s="9">
        <v>12.96</v>
      </c>
      <c r="L194" s="9">
        <v>711104</v>
      </c>
      <c r="M194" s="124" t="str">
        <f t="shared" si="17"/>
        <v>FASE II</v>
      </c>
      <c r="N194" s="155">
        <f t="shared" si="14"/>
        <v>12.96</v>
      </c>
      <c r="O194" s="156">
        <f t="shared" si="15"/>
        <v>731553</v>
      </c>
      <c r="P194" s="156">
        <f t="shared" si="16"/>
        <v>9480926.8800000008</v>
      </c>
    </row>
    <row r="195" spans="2:16" s="9" customFormat="1" ht="35.1" customHeight="1" x14ac:dyDescent="0.25">
      <c r="B195" s="23" t="s">
        <v>240</v>
      </c>
      <c r="C195" s="22" t="s">
        <v>241</v>
      </c>
      <c r="D195" s="10" t="s">
        <v>13</v>
      </c>
      <c r="E195" s="12">
        <v>0</v>
      </c>
      <c r="F195" s="126">
        <v>731553</v>
      </c>
      <c r="G195" s="126">
        <f t="shared" si="22"/>
        <v>0</v>
      </c>
      <c r="H195" s="8"/>
      <c r="I195" s="9" t="str">
        <f t="array" ref="I195:L195">_xlfn.XLOOKUP(C195,'Neiva 2022 FASE I ACTUAL (4)'!$C$6:$C$540,'Neiva 2022 FASE I ACTUAL (4)'!$C$6:$F$540,"NO ESTA")</f>
        <v>SUMINISTRO E INSTALACION PUERTA DIVISORIA DE MADERA TIPO P-5 Ver NOTAS GENERALES DE PLANCHA</v>
      </c>
      <c r="J195" s="9" t="str">
        <v>M2</v>
      </c>
      <c r="K195" s="9">
        <v>5.76</v>
      </c>
      <c r="L195" s="9">
        <v>711104</v>
      </c>
      <c r="M195" s="124" t="str">
        <f t="shared" si="17"/>
        <v>FASE II</v>
      </c>
      <c r="N195" s="155">
        <f t="shared" si="14"/>
        <v>5.76</v>
      </c>
      <c r="O195" s="156">
        <f t="shared" si="15"/>
        <v>731553</v>
      </c>
      <c r="P195" s="156">
        <f t="shared" si="16"/>
        <v>4213745.28</v>
      </c>
    </row>
    <row r="196" spans="2:16" s="9" customFormat="1" ht="35.1" customHeight="1" x14ac:dyDescent="0.25">
      <c r="B196" s="23" t="s">
        <v>242</v>
      </c>
      <c r="C196" s="22" t="s">
        <v>229</v>
      </c>
      <c r="D196" s="10" t="s">
        <v>13</v>
      </c>
      <c r="E196" s="12">
        <v>0</v>
      </c>
      <c r="F196" s="126">
        <v>154697</v>
      </c>
      <c r="G196" s="126">
        <f t="shared" si="22"/>
        <v>0</v>
      </c>
      <c r="H196" s="8"/>
      <c r="I196" s="9" t="str">
        <f t="array" ref="I196:L196">_xlfn.XLOOKUP(C196,'Neiva 2022 FASE I ACTUAL (4)'!$C$6:$C$540,'Neiva 2022 FASE I ACTUAL (4)'!$C$6:$F$540,"NO ESTA")</f>
        <v>SUMINISTRO E INSTALACION PUERTA METALICA DOBLE HOJA TIPO P-7 Ver NOTAS GENERALES DE PLANCHA</v>
      </c>
      <c r="J196" s="9" t="str">
        <v>M2</v>
      </c>
      <c r="K196" s="9">
        <v>33.6</v>
      </c>
      <c r="L196" s="9">
        <v>150373</v>
      </c>
      <c r="M196" s="124" t="str">
        <f t="shared" si="17"/>
        <v>FASE II</v>
      </c>
      <c r="N196" s="155">
        <f t="shared" si="14"/>
        <v>33.6</v>
      </c>
      <c r="O196" s="156">
        <f t="shared" si="15"/>
        <v>154697</v>
      </c>
      <c r="P196" s="156">
        <f t="shared" si="16"/>
        <v>5197819.2</v>
      </c>
    </row>
    <row r="197" spans="2:16" s="9" customFormat="1" ht="35.1" customHeight="1" x14ac:dyDescent="0.25">
      <c r="B197" s="23" t="s">
        <v>243</v>
      </c>
      <c r="C197" s="22" t="s">
        <v>244</v>
      </c>
      <c r="D197" s="10" t="s">
        <v>13</v>
      </c>
      <c r="E197" s="12">
        <v>0</v>
      </c>
      <c r="F197" s="126">
        <v>579822</v>
      </c>
      <c r="G197" s="126">
        <f t="shared" si="22"/>
        <v>0</v>
      </c>
      <c r="H197" s="8"/>
      <c r="I197" s="9" t="str">
        <f t="array" ref="I197:L197">_xlfn.XLOOKUP(C197,'Neiva 2022 FASE I ACTUAL (4)'!$C$6:$C$540,'Neiva 2022 FASE I ACTUAL (4)'!$C$6:$F$540,"NO ESTA")</f>
        <v>SUMINISTRO E INSTALACION PUERTA DIVISORIA EN VIDRIO TIPO PV1 Ver NOTAS GENERALES DE PLANCHA</v>
      </c>
      <c r="J197" s="9" t="str">
        <v>M2</v>
      </c>
      <c r="K197" s="9">
        <v>24.8</v>
      </c>
      <c r="L197" s="9">
        <v>563615</v>
      </c>
      <c r="M197" s="124" t="str">
        <f t="shared" si="17"/>
        <v>FASE II</v>
      </c>
      <c r="N197" s="155">
        <f t="shared" si="14"/>
        <v>24.8</v>
      </c>
      <c r="O197" s="156">
        <f t="shared" si="15"/>
        <v>579822</v>
      </c>
      <c r="P197" s="156">
        <f t="shared" si="16"/>
        <v>14379585.6</v>
      </c>
    </row>
    <row r="198" spans="2:16" s="9" customFormat="1" ht="35.1" customHeight="1" x14ac:dyDescent="0.25">
      <c r="B198" s="13" t="s">
        <v>245</v>
      </c>
      <c r="C198" s="14" t="s">
        <v>246</v>
      </c>
      <c r="D198" s="13"/>
      <c r="E198" s="15"/>
      <c r="F198" s="129"/>
      <c r="G198" s="140"/>
      <c r="H198" s="8"/>
      <c r="I198" s="9" t="str">
        <f t="array" ref="I198:L198">_xlfn.XLOOKUP(C198,'Neiva 2022 FASE I ACTUAL (4)'!$C$6:$C$540,'Neiva 2022 FASE I ACTUAL (4)'!$C$6:$F$540,"NO ESTA")</f>
        <v>SUMINISTRO E INSTALACIÓN PUERTAS PISO 2</v>
      </c>
      <c r="J198" s="9">
        <v>0</v>
      </c>
      <c r="K198" s="9">
        <v>0</v>
      </c>
      <c r="L198" s="9">
        <v>0</v>
      </c>
      <c r="M198" s="124">
        <f t="shared" si="17"/>
        <v>0</v>
      </c>
      <c r="N198" s="155">
        <f t="shared" ref="N198:N261" si="23">E198+K198</f>
        <v>0</v>
      </c>
      <c r="O198" s="156">
        <f t="shared" ref="O198:O261" si="24">MAX(L198,F198)</f>
        <v>0</v>
      </c>
      <c r="P198" s="156">
        <f t="shared" ref="P198:P261" si="25">N198*O198</f>
        <v>0</v>
      </c>
    </row>
    <row r="199" spans="2:16" s="9" customFormat="1" ht="35.1" customHeight="1" x14ac:dyDescent="0.25">
      <c r="B199" s="23" t="s">
        <v>247</v>
      </c>
      <c r="C199" s="22" t="s">
        <v>225</v>
      </c>
      <c r="D199" s="10" t="s">
        <v>13</v>
      </c>
      <c r="E199" s="12">
        <v>2.2000000000000002</v>
      </c>
      <c r="F199" s="126">
        <v>1381990</v>
      </c>
      <c r="G199" s="126">
        <f t="shared" ref="G199:G204" si="26">ROUND(+F199*E199,2)</f>
        <v>3040378</v>
      </c>
      <c r="H199" s="8"/>
      <c r="I199" s="9" t="str">
        <f t="array" ref="I199:L199">_xlfn.XLOOKUP(C199,'Neiva 2022 FASE I ACTUAL (4)'!$C$6:$C$540,'Neiva 2022 FASE I ACTUAL (4)'!$C$6:$F$540,"NO ESTA")</f>
        <v>SUMINISTRO E INSTALACION PUERTA DE EVACUACIÓN TIPO P-1 Ver NOTAS GENERALES DE PLANCHA</v>
      </c>
      <c r="J199" s="9" t="str">
        <v>M2</v>
      </c>
      <c r="K199" s="9">
        <v>4.4000000000000004</v>
      </c>
      <c r="L199" s="9">
        <v>1343360</v>
      </c>
      <c r="M199" s="124" t="str">
        <f t="shared" si="17"/>
        <v>FASE II</v>
      </c>
      <c r="N199" s="155">
        <f t="shared" si="23"/>
        <v>6.6000000000000005</v>
      </c>
      <c r="O199" s="156">
        <f t="shared" si="24"/>
        <v>1381990</v>
      </c>
      <c r="P199" s="156">
        <f t="shared" si="25"/>
        <v>9121134</v>
      </c>
    </row>
    <row r="200" spans="2:16" s="9" customFormat="1" ht="35.1" customHeight="1" x14ac:dyDescent="0.25">
      <c r="B200" s="23" t="s">
        <v>248</v>
      </c>
      <c r="C200" s="22" t="s">
        <v>227</v>
      </c>
      <c r="D200" s="10" t="s">
        <v>13</v>
      </c>
      <c r="E200" s="12">
        <v>2.16</v>
      </c>
      <c r="F200" s="126">
        <v>131548</v>
      </c>
      <c r="G200" s="126">
        <f t="shared" si="26"/>
        <v>284143.68</v>
      </c>
      <c r="H200" s="8">
        <f>ROUND(F200*(1+$H$3),0)</f>
        <v>256887</v>
      </c>
      <c r="I200" s="9" t="str">
        <f t="array" ref="I200:L200">_xlfn.XLOOKUP(C200,'Neiva 2022 FASE I ACTUAL (4)'!$C$6:$C$540,'Neiva 2022 FASE I ACTUAL (4)'!$C$6:$F$540,"NO ESTA")</f>
        <v>SUMINISTRO E INSTALACION PUERTA METALICA DEPOSITOS TIPO P-2 Ver NOTAS GENERALES DE PLANCHA</v>
      </c>
      <c r="J200" s="9" t="str">
        <v>M2</v>
      </c>
      <c r="K200" s="9">
        <v>15.12</v>
      </c>
      <c r="L200" s="9">
        <v>127871</v>
      </c>
      <c r="M200" s="124" t="str">
        <f t="shared" ref="M200:M263" si="27">IF(L200=0,0,(IF(F200&lt;L200, "FASE I","FASE II")))</f>
        <v>FASE II</v>
      </c>
      <c r="N200" s="155">
        <f t="shared" si="23"/>
        <v>17.28</v>
      </c>
      <c r="O200" s="156">
        <f t="shared" si="24"/>
        <v>131548</v>
      </c>
      <c r="P200" s="156">
        <f t="shared" si="25"/>
        <v>2273149.44</v>
      </c>
    </row>
    <row r="201" spans="2:16" s="9" customFormat="1" ht="35.1" customHeight="1" x14ac:dyDescent="0.25">
      <c r="B201" s="23" t="s">
        <v>249</v>
      </c>
      <c r="C201" s="22" t="s">
        <v>237</v>
      </c>
      <c r="D201" s="10" t="s">
        <v>13</v>
      </c>
      <c r="E201" s="12">
        <v>4.8</v>
      </c>
      <c r="F201" s="126">
        <v>731553</v>
      </c>
      <c r="G201" s="126">
        <f t="shared" si="26"/>
        <v>3511454.4</v>
      </c>
      <c r="H201" s="8"/>
      <c r="I201" s="9" t="str">
        <f t="array" ref="I201:L201">_xlfn.XLOOKUP(C201,'Neiva 2022 FASE I ACTUAL (4)'!$C$6:$C$540,'Neiva 2022 FASE I ACTUAL (4)'!$C$6:$F$540,"NO ESTA")</f>
        <v>SUMINISTRO E INSTALACION PUERTA DIVISORIA DE MADERA TIPO P-3 Ver NOTAS GENERALES DE PLANCHA</v>
      </c>
      <c r="J201" s="9" t="str">
        <v>M2</v>
      </c>
      <c r="K201" s="9">
        <v>2.4</v>
      </c>
      <c r="L201" s="9">
        <v>711104</v>
      </c>
      <c r="M201" s="124" t="str">
        <f t="shared" si="27"/>
        <v>FASE II</v>
      </c>
      <c r="N201" s="155">
        <f t="shared" si="23"/>
        <v>7.1999999999999993</v>
      </c>
      <c r="O201" s="156">
        <f t="shared" si="24"/>
        <v>731553</v>
      </c>
      <c r="P201" s="156">
        <f t="shared" si="25"/>
        <v>5267181.5999999996</v>
      </c>
    </row>
    <row r="202" spans="2:16" s="9" customFormat="1" ht="35.1" customHeight="1" x14ac:dyDescent="0.25">
      <c r="B202" s="23" t="s">
        <v>250</v>
      </c>
      <c r="C202" s="22" t="s">
        <v>239</v>
      </c>
      <c r="D202" s="10" t="s">
        <v>13</v>
      </c>
      <c r="E202" s="12">
        <v>2.16</v>
      </c>
      <c r="F202" s="126">
        <v>731553</v>
      </c>
      <c r="G202" s="126">
        <f t="shared" si="26"/>
        <v>1580154.48</v>
      </c>
      <c r="H202" s="8"/>
      <c r="I202" s="9" t="str">
        <f t="array" ref="I202:L202">_xlfn.XLOOKUP(C202,'Neiva 2022 FASE I ACTUAL (4)'!$C$6:$C$540,'Neiva 2022 FASE I ACTUAL (4)'!$C$6:$F$540,"NO ESTA")</f>
        <v>SUMINISTRO E INSTALACION PUERTA DIVISORIA DE MADERA TIPO P-4 Ver NOTAS GENERALES DE PLANCHA</v>
      </c>
      <c r="J202" s="9" t="str">
        <v>M2</v>
      </c>
      <c r="K202" s="9">
        <v>12.96</v>
      </c>
      <c r="L202" s="9">
        <v>711104</v>
      </c>
      <c r="M202" s="124" t="str">
        <f t="shared" si="27"/>
        <v>FASE II</v>
      </c>
      <c r="N202" s="155">
        <f t="shared" si="23"/>
        <v>15.120000000000001</v>
      </c>
      <c r="O202" s="156">
        <f t="shared" si="24"/>
        <v>731553</v>
      </c>
      <c r="P202" s="156">
        <f t="shared" si="25"/>
        <v>11061081.360000001</v>
      </c>
    </row>
    <row r="203" spans="2:16" s="9" customFormat="1" ht="35.1" customHeight="1" x14ac:dyDescent="0.25">
      <c r="B203" s="23" t="s">
        <v>251</v>
      </c>
      <c r="C203" s="22" t="s">
        <v>241</v>
      </c>
      <c r="D203" s="10" t="s">
        <v>13</v>
      </c>
      <c r="E203" s="12">
        <v>2.88</v>
      </c>
      <c r="F203" s="126">
        <v>731553</v>
      </c>
      <c r="G203" s="126">
        <f t="shared" si="26"/>
        <v>2106872.64</v>
      </c>
      <c r="H203" s="8"/>
      <c r="I203" s="9" t="str">
        <f t="array" ref="I203:L203">_xlfn.XLOOKUP(C203,'Neiva 2022 FASE I ACTUAL (4)'!$C$6:$C$540,'Neiva 2022 FASE I ACTUAL (4)'!$C$6:$F$540,"NO ESTA")</f>
        <v>SUMINISTRO E INSTALACION PUERTA DIVISORIA DE MADERA TIPO P-5 Ver NOTAS GENERALES DE PLANCHA</v>
      </c>
      <c r="J203" s="9" t="str">
        <v>M2</v>
      </c>
      <c r="K203" s="9">
        <v>5.76</v>
      </c>
      <c r="L203" s="9">
        <v>711104</v>
      </c>
      <c r="M203" s="124" t="str">
        <f t="shared" si="27"/>
        <v>FASE II</v>
      </c>
      <c r="N203" s="155">
        <f t="shared" si="23"/>
        <v>8.64</v>
      </c>
      <c r="O203" s="156">
        <f t="shared" si="24"/>
        <v>731553</v>
      </c>
      <c r="P203" s="156">
        <f t="shared" si="25"/>
        <v>6320617.9200000009</v>
      </c>
    </row>
    <row r="204" spans="2:16" s="9" customFormat="1" ht="35.1" customHeight="1" x14ac:dyDescent="0.25">
      <c r="B204" s="23" t="s">
        <v>252</v>
      </c>
      <c r="C204" s="22" t="s">
        <v>244</v>
      </c>
      <c r="D204" s="10" t="s">
        <v>13</v>
      </c>
      <c r="E204" s="12">
        <v>14.3</v>
      </c>
      <c r="F204" s="126">
        <v>579822</v>
      </c>
      <c r="G204" s="126">
        <f t="shared" si="26"/>
        <v>8291454.5999999996</v>
      </c>
      <c r="H204" s="8"/>
      <c r="I204" s="9" t="str">
        <f t="array" ref="I204:L204">_xlfn.XLOOKUP(C204,'Neiva 2022 FASE I ACTUAL (4)'!$C$6:$C$540,'Neiva 2022 FASE I ACTUAL (4)'!$C$6:$F$540,"NO ESTA")</f>
        <v>SUMINISTRO E INSTALACION PUERTA DIVISORIA EN VIDRIO TIPO PV1 Ver NOTAS GENERALES DE PLANCHA</v>
      </c>
      <c r="J204" s="9" t="str">
        <v>M2</v>
      </c>
      <c r="K204" s="9">
        <v>24.8</v>
      </c>
      <c r="L204" s="9">
        <v>563615</v>
      </c>
      <c r="M204" s="124" t="str">
        <f t="shared" si="27"/>
        <v>FASE II</v>
      </c>
      <c r="N204" s="155">
        <f t="shared" si="23"/>
        <v>39.1</v>
      </c>
      <c r="O204" s="156">
        <f t="shared" si="24"/>
        <v>579822</v>
      </c>
      <c r="P204" s="156">
        <f t="shared" si="25"/>
        <v>22671040.199999999</v>
      </c>
    </row>
    <row r="205" spans="2:16" s="9" customFormat="1" ht="35.1" customHeight="1" x14ac:dyDescent="0.25">
      <c r="B205" s="13" t="s">
        <v>1143</v>
      </c>
      <c r="C205" s="14" t="s">
        <v>1144</v>
      </c>
      <c r="D205" s="13"/>
      <c r="E205" s="15"/>
      <c r="F205" s="129"/>
      <c r="G205" s="140"/>
      <c r="H205" s="8"/>
      <c r="I205" s="9" t="str">
        <f t="array" ref="I205">_xlfn.XLOOKUP(C205,'Neiva 2022 FASE I ACTUAL (4)'!$C$6:$C$540,'Neiva 2022 FASE I ACTUAL (4)'!$C$6:$F$540,"NO ESTA")</f>
        <v>NO ESTA</v>
      </c>
      <c r="M205" s="124">
        <f t="shared" si="27"/>
        <v>0</v>
      </c>
      <c r="N205" s="155">
        <f t="shared" si="23"/>
        <v>0</v>
      </c>
      <c r="O205" s="156">
        <f t="shared" si="24"/>
        <v>0</v>
      </c>
      <c r="P205" s="156">
        <f t="shared" si="25"/>
        <v>0</v>
      </c>
    </row>
    <row r="206" spans="2:16" s="9" customFormat="1" ht="35.1" customHeight="1" x14ac:dyDescent="0.25">
      <c r="B206" s="23" t="s">
        <v>1145</v>
      </c>
      <c r="C206" s="22" t="s">
        <v>225</v>
      </c>
      <c r="D206" s="10" t="s">
        <v>13</v>
      </c>
      <c r="E206" s="12">
        <v>4.4000000000000004</v>
      </c>
      <c r="F206" s="126">
        <v>1381990</v>
      </c>
      <c r="G206" s="126">
        <f t="shared" ref="G206:G211" si="28">ROUND(+F206*E206,2)</f>
        <v>6080756</v>
      </c>
      <c r="H206" s="8"/>
      <c r="I206" s="9" t="str">
        <f t="array" ref="I206:L206">_xlfn.XLOOKUP(C206,'Neiva 2022 FASE I ACTUAL (4)'!$C$6:$C$540,'Neiva 2022 FASE I ACTUAL (4)'!$C$6:$F$540,"NO ESTA")</f>
        <v>SUMINISTRO E INSTALACION PUERTA DE EVACUACIÓN TIPO P-1 Ver NOTAS GENERALES DE PLANCHA</v>
      </c>
      <c r="J206" s="9" t="str">
        <v>M2</v>
      </c>
      <c r="K206" s="9">
        <v>4.4000000000000004</v>
      </c>
      <c r="L206" s="9">
        <v>1343360</v>
      </c>
      <c r="M206" s="124" t="str">
        <f t="shared" si="27"/>
        <v>FASE II</v>
      </c>
      <c r="N206" s="155">
        <f t="shared" si="23"/>
        <v>8.8000000000000007</v>
      </c>
      <c r="O206" s="156">
        <f t="shared" si="24"/>
        <v>1381990</v>
      </c>
      <c r="P206" s="156">
        <f t="shared" si="25"/>
        <v>12161512.000000002</v>
      </c>
    </row>
    <row r="207" spans="2:16" s="9" customFormat="1" ht="35.1" customHeight="1" x14ac:dyDescent="0.25">
      <c r="B207" s="23" t="s">
        <v>1146</v>
      </c>
      <c r="C207" s="22" t="s">
        <v>227</v>
      </c>
      <c r="D207" s="10" t="s">
        <v>13</v>
      </c>
      <c r="E207" s="12">
        <v>4.32</v>
      </c>
      <c r="F207" s="126">
        <v>131548</v>
      </c>
      <c r="G207" s="126">
        <f t="shared" si="28"/>
        <v>568287.36</v>
      </c>
      <c r="H207" s="8">
        <f>ROUND(F207*(1+$H$3),0)</f>
        <v>256887</v>
      </c>
      <c r="I207" s="9" t="str">
        <f t="array" ref="I207:L207">_xlfn.XLOOKUP(C207,'Neiva 2022 FASE I ACTUAL (4)'!$C$6:$C$540,'Neiva 2022 FASE I ACTUAL (4)'!$C$6:$F$540,"NO ESTA")</f>
        <v>SUMINISTRO E INSTALACION PUERTA METALICA DEPOSITOS TIPO P-2 Ver NOTAS GENERALES DE PLANCHA</v>
      </c>
      <c r="J207" s="9" t="str">
        <v>M2</v>
      </c>
      <c r="K207" s="9">
        <v>15.12</v>
      </c>
      <c r="L207" s="9">
        <v>127871</v>
      </c>
      <c r="M207" s="124" t="str">
        <f t="shared" si="27"/>
        <v>FASE II</v>
      </c>
      <c r="N207" s="155">
        <f t="shared" si="23"/>
        <v>19.439999999999998</v>
      </c>
      <c r="O207" s="156">
        <f t="shared" si="24"/>
        <v>131548</v>
      </c>
      <c r="P207" s="156">
        <f t="shared" si="25"/>
        <v>2557293.1199999996</v>
      </c>
    </row>
    <row r="208" spans="2:16" s="9" customFormat="1" ht="35.1" customHeight="1" x14ac:dyDescent="0.25">
      <c r="B208" s="23" t="s">
        <v>1147</v>
      </c>
      <c r="C208" s="22" t="s">
        <v>237</v>
      </c>
      <c r="D208" s="10" t="s">
        <v>13</v>
      </c>
      <c r="E208" s="12">
        <v>7.2</v>
      </c>
      <c r="F208" s="126">
        <v>731553</v>
      </c>
      <c r="G208" s="126">
        <f t="shared" si="28"/>
        <v>5267181.5999999996</v>
      </c>
      <c r="H208" s="8"/>
      <c r="I208" s="9" t="str">
        <f t="array" ref="I208:L208">_xlfn.XLOOKUP(C208,'Neiva 2022 FASE I ACTUAL (4)'!$C$6:$C$540,'Neiva 2022 FASE I ACTUAL (4)'!$C$6:$F$540,"NO ESTA")</f>
        <v>SUMINISTRO E INSTALACION PUERTA DIVISORIA DE MADERA TIPO P-3 Ver NOTAS GENERALES DE PLANCHA</v>
      </c>
      <c r="J208" s="9" t="str">
        <v>M2</v>
      </c>
      <c r="K208" s="9">
        <v>2.4</v>
      </c>
      <c r="L208" s="9">
        <v>711104</v>
      </c>
      <c r="M208" s="124" t="str">
        <f t="shared" si="27"/>
        <v>FASE II</v>
      </c>
      <c r="N208" s="155">
        <f t="shared" si="23"/>
        <v>9.6</v>
      </c>
      <c r="O208" s="156">
        <f t="shared" si="24"/>
        <v>731553</v>
      </c>
      <c r="P208" s="156">
        <f t="shared" si="25"/>
        <v>7022908.7999999998</v>
      </c>
    </row>
    <row r="209" spans="2:16" s="9" customFormat="1" ht="35.1" customHeight="1" x14ac:dyDescent="0.25">
      <c r="B209" s="23" t="s">
        <v>1148</v>
      </c>
      <c r="C209" s="22" t="s">
        <v>239</v>
      </c>
      <c r="D209" s="10" t="s">
        <v>13</v>
      </c>
      <c r="E209" s="12">
        <v>2.16</v>
      </c>
      <c r="F209" s="126">
        <v>731553</v>
      </c>
      <c r="G209" s="126">
        <f t="shared" si="28"/>
        <v>1580154.48</v>
      </c>
      <c r="H209" s="8"/>
      <c r="I209" s="9" t="str">
        <f t="array" ref="I209:L209">_xlfn.XLOOKUP(C209,'Neiva 2022 FASE I ACTUAL (4)'!$C$6:$C$540,'Neiva 2022 FASE I ACTUAL (4)'!$C$6:$F$540,"NO ESTA")</f>
        <v>SUMINISTRO E INSTALACION PUERTA DIVISORIA DE MADERA TIPO P-4 Ver NOTAS GENERALES DE PLANCHA</v>
      </c>
      <c r="J209" s="9" t="str">
        <v>M2</v>
      </c>
      <c r="K209" s="9">
        <v>12.96</v>
      </c>
      <c r="L209" s="9">
        <v>711104</v>
      </c>
      <c r="M209" s="124" t="str">
        <f t="shared" si="27"/>
        <v>FASE II</v>
      </c>
      <c r="N209" s="155">
        <f t="shared" si="23"/>
        <v>15.120000000000001</v>
      </c>
      <c r="O209" s="156">
        <f t="shared" si="24"/>
        <v>731553</v>
      </c>
      <c r="P209" s="156">
        <f t="shared" si="25"/>
        <v>11061081.360000001</v>
      </c>
    </row>
    <row r="210" spans="2:16" s="9" customFormat="1" ht="35.1" customHeight="1" x14ac:dyDescent="0.25">
      <c r="B210" s="23" t="s">
        <v>1149</v>
      </c>
      <c r="C210" s="22" t="s">
        <v>241</v>
      </c>
      <c r="D210" s="10" t="s">
        <v>13</v>
      </c>
      <c r="E210" s="12">
        <v>5.76</v>
      </c>
      <c r="F210" s="126">
        <v>731553</v>
      </c>
      <c r="G210" s="126">
        <f t="shared" si="28"/>
        <v>4213745.28</v>
      </c>
      <c r="H210" s="8"/>
      <c r="I210" s="9" t="str">
        <f t="array" ref="I210:L210">_xlfn.XLOOKUP(C210,'Neiva 2022 FASE I ACTUAL (4)'!$C$6:$C$540,'Neiva 2022 FASE I ACTUAL (4)'!$C$6:$F$540,"NO ESTA")</f>
        <v>SUMINISTRO E INSTALACION PUERTA DIVISORIA DE MADERA TIPO P-5 Ver NOTAS GENERALES DE PLANCHA</v>
      </c>
      <c r="J210" s="9" t="str">
        <v>M2</v>
      </c>
      <c r="K210" s="9">
        <v>5.76</v>
      </c>
      <c r="L210" s="9">
        <v>711104</v>
      </c>
      <c r="M210" s="124" t="str">
        <f t="shared" si="27"/>
        <v>FASE II</v>
      </c>
      <c r="N210" s="155">
        <f t="shared" si="23"/>
        <v>11.52</v>
      </c>
      <c r="O210" s="156">
        <f t="shared" si="24"/>
        <v>731553</v>
      </c>
      <c r="P210" s="156">
        <f t="shared" si="25"/>
        <v>8427490.5600000005</v>
      </c>
    </row>
    <row r="211" spans="2:16" s="9" customFormat="1" ht="35.1" customHeight="1" x14ac:dyDescent="0.25">
      <c r="B211" s="23" t="s">
        <v>1150</v>
      </c>
      <c r="C211" s="22" t="s">
        <v>244</v>
      </c>
      <c r="D211" s="10" t="s">
        <v>13</v>
      </c>
      <c r="E211" s="12">
        <v>24.12</v>
      </c>
      <c r="F211" s="126">
        <v>579822</v>
      </c>
      <c r="G211" s="126">
        <f t="shared" si="28"/>
        <v>13985306.640000001</v>
      </c>
      <c r="H211" s="8"/>
      <c r="I211" s="9" t="str">
        <f t="array" ref="I211:L211">_xlfn.XLOOKUP(C211,'Neiva 2022 FASE I ACTUAL (4)'!$C$6:$C$540,'Neiva 2022 FASE I ACTUAL (4)'!$C$6:$F$540,"NO ESTA")</f>
        <v>SUMINISTRO E INSTALACION PUERTA DIVISORIA EN VIDRIO TIPO PV1 Ver NOTAS GENERALES DE PLANCHA</v>
      </c>
      <c r="J211" s="9" t="str">
        <v>M2</v>
      </c>
      <c r="K211" s="9">
        <v>24.8</v>
      </c>
      <c r="L211" s="9">
        <v>563615</v>
      </c>
      <c r="M211" s="124" t="str">
        <f t="shared" si="27"/>
        <v>FASE II</v>
      </c>
      <c r="N211" s="155">
        <f t="shared" si="23"/>
        <v>48.92</v>
      </c>
      <c r="O211" s="156">
        <f t="shared" si="24"/>
        <v>579822</v>
      </c>
      <c r="P211" s="156">
        <f t="shared" si="25"/>
        <v>28364892.240000002</v>
      </c>
    </row>
    <row r="212" spans="2:16" s="9" customFormat="1" ht="35.1" customHeight="1" x14ac:dyDescent="0.25">
      <c r="B212" s="13" t="s">
        <v>1151</v>
      </c>
      <c r="C212" s="14" t="s">
        <v>1152</v>
      </c>
      <c r="D212" s="13"/>
      <c r="E212" s="15"/>
      <c r="F212" s="129"/>
      <c r="G212" s="140"/>
      <c r="H212" s="8"/>
      <c r="I212" s="9" t="str">
        <f t="array" ref="I212">_xlfn.XLOOKUP(C212,'Neiva 2022 FASE I ACTUAL (4)'!$C$6:$C$540,'Neiva 2022 FASE I ACTUAL (4)'!$C$6:$F$540,"NO ESTA")</f>
        <v>NO ESTA</v>
      </c>
      <c r="M212" s="124">
        <f t="shared" si="27"/>
        <v>0</v>
      </c>
      <c r="N212" s="155">
        <f t="shared" si="23"/>
        <v>0</v>
      </c>
      <c r="O212" s="156">
        <f t="shared" si="24"/>
        <v>0</v>
      </c>
      <c r="P212" s="156">
        <f t="shared" si="25"/>
        <v>0</v>
      </c>
    </row>
    <row r="213" spans="2:16" s="9" customFormat="1" ht="35.1" customHeight="1" x14ac:dyDescent="0.25">
      <c r="B213" s="23" t="s">
        <v>1153</v>
      </c>
      <c r="C213" s="22" t="s">
        <v>225</v>
      </c>
      <c r="D213" s="10" t="s">
        <v>13</v>
      </c>
      <c r="E213" s="12">
        <v>4.4000000000000004</v>
      </c>
      <c r="F213" s="126">
        <v>1381990</v>
      </c>
      <c r="G213" s="126">
        <f t="shared" ref="G213:G220" si="29">ROUND(+F213*E213,2)</f>
        <v>6080756</v>
      </c>
      <c r="H213" s="8"/>
      <c r="I213" s="9" t="str">
        <f t="array" ref="I213:L213">_xlfn.XLOOKUP(C213,'Neiva 2022 FASE I ACTUAL (4)'!$C$6:$C$540,'Neiva 2022 FASE I ACTUAL (4)'!$C$6:$F$540,"NO ESTA")</f>
        <v>SUMINISTRO E INSTALACION PUERTA DE EVACUACIÓN TIPO P-1 Ver NOTAS GENERALES DE PLANCHA</v>
      </c>
      <c r="J213" s="9" t="str">
        <v>M2</v>
      </c>
      <c r="K213" s="9">
        <v>4.4000000000000004</v>
      </c>
      <c r="L213" s="9">
        <v>1343360</v>
      </c>
      <c r="M213" s="124" t="str">
        <f t="shared" si="27"/>
        <v>FASE II</v>
      </c>
      <c r="N213" s="155">
        <f t="shared" si="23"/>
        <v>8.8000000000000007</v>
      </c>
      <c r="O213" s="156">
        <f t="shared" si="24"/>
        <v>1381990</v>
      </c>
      <c r="P213" s="156">
        <f t="shared" si="25"/>
        <v>12161512.000000002</v>
      </c>
    </row>
    <row r="214" spans="2:16" s="9" customFormat="1" ht="35.1" customHeight="1" x14ac:dyDescent="0.25">
      <c r="B214" s="23" t="s">
        <v>1154</v>
      </c>
      <c r="C214" s="22" t="s">
        <v>227</v>
      </c>
      <c r="D214" s="10" t="s">
        <v>13</v>
      </c>
      <c r="E214" s="12">
        <v>4.32</v>
      </c>
      <c r="F214" s="126">
        <v>131548</v>
      </c>
      <c r="G214" s="126">
        <f t="shared" si="29"/>
        <v>568287.36</v>
      </c>
      <c r="H214" s="8">
        <f>ROUND(F214*(1+$H$3),0)</f>
        <v>256887</v>
      </c>
      <c r="I214" s="9" t="str">
        <f t="array" ref="I214:L214">_xlfn.XLOOKUP(C214,'Neiva 2022 FASE I ACTUAL (4)'!$C$6:$C$540,'Neiva 2022 FASE I ACTUAL (4)'!$C$6:$F$540,"NO ESTA")</f>
        <v>SUMINISTRO E INSTALACION PUERTA METALICA DEPOSITOS TIPO P-2 Ver NOTAS GENERALES DE PLANCHA</v>
      </c>
      <c r="J214" s="9" t="str">
        <v>M2</v>
      </c>
      <c r="K214" s="9">
        <v>15.12</v>
      </c>
      <c r="L214" s="9">
        <v>127871</v>
      </c>
      <c r="M214" s="124" t="str">
        <f t="shared" si="27"/>
        <v>FASE II</v>
      </c>
      <c r="N214" s="155">
        <f t="shared" si="23"/>
        <v>19.439999999999998</v>
      </c>
      <c r="O214" s="156">
        <f t="shared" si="24"/>
        <v>131548</v>
      </c>
      <c r="P214" s="156">
        <f t="shared" si="25"/>
        <v>2557293.1199999996</v>
      </c>
    </row>
    <row r="215" spans="2:16" s="9" customFormat="1" ht="35.1" customHeight="1" x14ac:dyDescent="0.25">
      <c r="B215" s="23" t="s">
        <v>1155</v>
      </c>
      <c r="C215" s="22" t="s">
        <v>237</v>
      </c>
      <c r="D215" s="10" t="s">
        <v>13</v>
      </c>
      <c r="E215" s="12">
        <v>4.8</v>
      </c>
      <c r="F215" s="126">
        <v>731553</v>
      </c>
      <c r="G215" s="126">
        <f t="shared" si="29"/>
        <v>3511454.4</v>
      </c>
      <c r="H215" s="8"/>
      <c r="I215" s="9" t="str">
        <f t="array" ref="I215:L215">_xlfn.XLOOKUP(C215,'Neiva 2022 FASE I ACTUAL (4)'!$C$6:$C$540,'Neiva 2022 FASE I ACTUAL (4)'!$C$6:$F$540,"NO ESTA")</f>
        <v>SUMINISTRO E INSTALACION PUERTA DIVISORIA DE MADERA TIPO P-3 Ver NOTAS GENERALES DE PLANCHA</v>
      </c>
      <c r="J215" s="9" t="str">
        <v>M2</v>
      </c>
      <c r="K215" s="9">
        <v>2.4</v>
      </c>
      <c r="L215" s="9">
        <v>711104</v>
      </c>
      <c r="M215" s="124" t="str">
        <f t="shared" si="27"/>
        <v>FASE II</v>
      </c>
      <c r="N215" s="155">
        <f t="shared" si="23"/>
        <v>7.1999999999999993</v>
      </c>
      <c r="O215" s="156">
        <f t="shared" si="24"/>
        <v>731553</v>
      </c>
      <c r="P215" s="156">
        <f t="shared" si="25"/>
        <v>5267181.5999999996</v>
      </c>
    </row>
    <row r="216" spans="2:16" s="9" customFormat="1" ht="35.1" customHeight="1" x14ac:dyDescent="0.25">
      <c r="B216" s="23" t="s">
        <v>1156</v>
      </c>
      <c r="C216" s="22" t="s">
        <v>239</v>
      </c>
      <c r="D216" s="10" t="s">
        <v>13</v>
      </c>
      <c r="E216" s="12">
        <v>2.16</v>
      </c>
      <c r="F216" s="126">
        <v>731553</v>
      </c>
      <c r="G216" s="126">
        <f t="shared" si="29"/>
        <v>1580154.48</v>
      </c>
      <c r="H216" s="8"/>
      <c r="I216" s="9" t="str">
        <f t="array" ref="I216:L216">_xlfn.XLOOKUP(C216,'Neiva 2022 FASE I ACTUAL (4)'!$C$6:$C$540,'Neiva 2022 FASE I ACTUAL (4)'!$C$6:$F$540,"NO ESTA")</f>
        <v>SUMINISTRO E INSTALACION PUERTA DIVISORIA DE MADERA TIPO P-4 Ver NOTAS GENERALES DE PLANCHA</v>
      </c>
      <c r="J216" s="9" t="str">
        <v>M2</v>
      </c>
      <c r="K216" s="9">
        <v>12.96</v>
      </c>
      <c r="L216" s="9">
        <v>711104</v>
      </c>
      <c r="M216" s="124" t="str">
        <f t="shared" si="27"/>
        <v>FASE II</v>
      </c>
      <c r="N216" s="155">
        <f t="shared" si="23"/>
        <v>15.120000000000001</v>
      </c>
      <c r="O216" s="156">
        <f t="shared" si="24"/>
        <v>731553</v>
      </c>
      <c r="P216" s="156">
        <f t="shared" si="25"/>
        <v>11061081.360000001</v>
      </c>
    </row>
    <row r="217" spans="2:16" s="9" customFormat="1" ht="35.1" customHeight="1" x14ac:dyDescent="0.25">
      <c r="B217" s="23" t="s">
        <v>1157</v>
      </c>
      <c r="C217" s="22" t="s">
        <v>241</v>
      </c>
      <c r="D217" s="10" t="s">
        <v>13</v>
      </c>
      <c r="E217" s="12">
        <v>3.84</v>
      </c>
      <c r="F217" s="126">
        <v>731553</v>
      </c>
      <c r="G217" s="126">
        <f t="shared" si="29"/>
        <v>2809163.52</v>
      </c>
      <c r="H217" s="8"/>
      <c r="I217" s="9" t="str">
        <f t="array" ref="I217:L217">_xlfn.XLOOKUP(C217,'Neiva 2022 FASE I ACTUAL (4)'!$C$6:$C$540,'Neiva 2022 FASE I ACTUAL (4)'!$C$6:$F$540,"NO ESTA")</f>
        <v>SUMINISTRO E INSTALACION PUERTA DIVISORIA DE MADERA TIPO P-5 Ver NOTAS GENERALES DE PLANCHA</v>
      </c>
      <c r="J217" s="9" t="str">
        <v>M2</v>
      </c>
      <c r="K217" s="9">
        <v>5.76</v>
      </c>
      <c r="L217" s="9">
        <v>711104</v>
      </c>
      <c r="M217" s="124" t="str">
        <f t="shared" si="27"/>
        <v>FASE II</v>
      </c>
      <c r="N217" s="155">
        <f t="shared" si="23"/>
        <v>9.6</v>
      </c>
      <c r="O217" s="156">
        <f t="shared" si="24"/>
        <v>731553</v>
      </c>
      <c r="P217" s="156">
        <f t="shared" si="25"/>
        <v>7022908.7999999998</v>
      </c>
    </row>
    <row r="218" spans="2:16" s="9" customFormat="1" ht="35.1" customHeight="1" x14ac:dyDescent="0.25">
      <c r="B218" s="23" t="s">
        <v>1158</v>
      </c>
      <c r="C218" s="22" t="s">
        <v>1159</v>
      </c>
      <c r="D218" s="10" t="s">
        <v>13</v>
      </c>
      <c r="E218" s="12">
        <v>3.36</v>
      </c>
      <c r="F218" s="126">
        <v>731553</v>
      </c>
      <c r="G218" s="126">
        <f t="shared" si="29"/>
        <v>2458018.08</v>
      </c>
      <c r="H218" s="8"/>
      <c r="I218" s="9" t="str">
        <f t="array" ref="I218">_xlfn.XLOOKUP(C218,'Neiva 2022 FASE I ACTUAL (4)'!$C$6:$C$540,'Neiva 2022 FASE I ACTUAL (4)'!$C$6:$F$540,"NO ESTA")</f>
        <v>NO ESTA</v>
      </c>
      <c r="M218" s="124">
        <f t="shared" si="27"/>
        <v>0</v>
      </c>
      <c r="N218" s="155">
        <f t="shared" si="23"/>
        <v>3.36</v>
      </c>
      <c r="O218" s="156">
        <f t="shared" si="24"/>
        <v>731553</v>
      </c>
      <c r="P218" s="156">
        <f t="shared" si="25"/>
        <v>2458018.08</v>
      </c>
    </row>
    <row r="219" spans="2:16" s="9" customFormat="1" ht="35.1" customHeight="1" x14ac:dyDescent="0.25">
      <c r="B219" s="23" t="s">
        <v>1160</v>
      </c>
      <c r="C219" s="22" t="s">
        <v>229</v>
      </c>
      <c r="D219" s="10" t="s">
        <v>13</v>
      </c>
      <c r="E219" s="12">
        <v>4.8</v>
      </c>
      <c r="F219" s="126">
        <v>731553</v>
      </c>
      <c r="G219" s="126">
        <f t="shared" si="29"/>
        <v>3511454.4</v>
      </c>
      <c r="H219" s="8">
        <f>ROUND(F219*(1+$H$3),0)</f>
        <v>1428577</v>
      </c>
      <c r="I219" s="9" t="str">
        <f t="array" ref="I219:L219">_xlfn.XLOOKUP(C219,'Neiva 2022 FASE I ACTUAL (4)'!$C$6:$C$540,'Neiva 2022 FASE I ACTUAL (4)'!$C$6:$F$540,"NO ESTA")</f>
        <v>SUMINISTRO E INSTALACION PUERTA METALICA DOBLE HOJA TIPO P-7 Ver NOTAS GENERALES DE PLANCHA</v>
      </c>
      <c r="J219" s="9" t="str">
        <v>M2</v>
      </c>
      <c r="K219" s="9">
        <v>33.6</v>
      </c>
      <c r="L219" s="9">
        <v>150373</v>
      </c>
      <c r="M219" s="124" t="str">
        <f t="shared" si="27"/>
        <v>FASE II</v>
      </c>
      <c r="N219" s="155">
        <f t="shared" si="23"/>
        <v>38.4</v>
      </c>
      <c r="O219" s="156">
        <f t="shared" si="24"/>
        <v>731553</v>
      </c>
      <c r="P219" s="156">
        <f t="shared" si="25"/>
        <v>28091635.199999999</v>
      </c>
    </row>
    <row r="220" spans="2:16" s="9" customFormat="1" ht="35.1" customHeight="1" x14ac:dyDescent="0.25">
      <c r="B220" s="23" t="s">
        <v>1161</v>
      </c>
      <c r="C220" s="22" t="s">
        <v>244</v>
      </c>
      <c r="D220" s="10" t="s">
        <v>13</v>
      </c>
      <c r="E220" s="12">
        <v>24.89</v>
      </c>
      <c r="F220" s="126">
        <v>579822</v>
      </c>
      <c r="G220" s="126">
        <f t="shared" si="29"/>
        <v>14431769.58</v>
      </c>
      <c r="H220" s="8"/>
      <c r="I220" s="9" t="str">
        <f t="array" ref="I220:L220">_xlfn.XLOOKUP(C220,'Neiva 2022 FASE I ACTUAL (4)'!$C$6:$C$540,'Neiva 2022 FASE I ACTUAL (4)'!$C$6:$F$540,"NO ESTA")</f>
        <v>SUMINISTRO E INSTALACION PUERTA DIVISORIA EN VIDRIO TIPO PV1 Ver NOTAS GENERALES DE PLANCHA</v>
      </c>
      <c r="J220" s="9" t="str">
        <v>M2</v>
      </c>
      <c r="K220" s="9">
        <v>24.8</v>
      </c>
      <c r="L220" s="9">
        <v>563615</v>
      </c>
      <c r="M220" s="124" t="str">
        <f t="shared" si="27"/>
        <v>FASE II</v>
      </c>
      <c r="N220" s="155">
        <f t="shared" si="23"/>
        <v>49.69</v>
      </c>
      <c r="O220" s="156">
        <f t="shared" si="24"/>
        <v>579822</v>
      </c>
      <c r="P220" s="156">
        <f t="shared" si="25"/>
        <v>28811355.18</v>
      </c>
    </row>
    <row r="221" spans="2:16" s="9" customFormat="1" ht="35.1" customHeight="1" x14ac:dyDescent="0.25">
      <c r="B221" s="13" t="s">
        <v>1162</v>
      </c>
      <c r="C221" s="14" t="s">
        <v>1163</v>
      </c>
      <c r="D221" s="13"/>
      <c r="E221" s="15"/>
      <c r="F221" s="129"/>
      <c r="G221" s="140"/>
      <c r="H221" s="8"/>
      <c r="I221" s="9" t="str">
        <f t="array" ref="I221">_xlfn.XLOOKUP(C221,'Neiva 2022 FASE I ACTUAL (4)'!$C$6:$C$540,'Neiva 2022 FASE I ACTUAL (4)'!$C$6:$F$540,"NO ESTA")</f>
        <v>NO ESTA</v>
      </c>
      <c r="M221" s="124">
        <f t="shared" si="27"/>
        <v>0</v>
      </c>
      <c r="N221" s="155">
        <f t="shared" si="23"/>
        <v>0</v>
      </c>
      <c r="O221" s="156">
        <f t="shared" si="24"/>
        <v>0</v>
      </c>
      <c r="P221" s="156">
        <f t="shared" si="25"/>
        <v>0</v>
      </c>
    </row>
    <row r="222" spans="2:16" s="9" customFormat="1" ht="35.1" customHeight="1" x14ac:dyDescent="0.25">
      <c r="B222" s="23" t="s">
        <v>1164</v>
      </c>
      <c r="C222" s="22" t="s">
        <v>225</v>
      </c>
      <c r="D222" s="10" t="s">
        <v>13</v>
      </c>
      <c r="E222" s="12">
        <v>2.2000000000000002</v>
      </c>
      <c r="F222" s="126">
        <v>1381990</v>
      </c>
      <c r="G222" s="126">
        <f>ROUND(+F222*E222,2)</f>
        <v>3040378</v>
      </c>
      <c r="H222" s="8"/>
      <c r="I222" s="9" t="str">
        <f t="array" ref="I222:L222">_xlfn.XLOOKUP(C222,'Neiva 2022 FASE I ACTUAL (4)'!$C$6:$C$540,'Neiva 2022 FASE I ACTUAL (4)'!$C$6:$F$540,"NO ESTA")</f>
        <v>SUMINISTRO E INSTALACION PUERTA DE EVACUACIÓN TIPO P-1 Ver NOTAS GENERALES DE PLANCHA</v>
      </c>
      <c r="J222" s="9" t="str">
        <v>M2</v>
      </c>
      <c r="K222" s="9">
        <v>4.4000000000000004</v>
      </c>
      <c r="L222" s="9">
        <v>1343360</v>
      </c>
      <c r="M222" s="124" t="str">
        <f t="shared" si="27"/>
        <v>FASE II</v>
      </c>
      <c r="N222" s="155">
        <f t="shared" si="23"/>
        <v>6.6000000000000005</v>
      </c>
      <c r="O222" s="156">
        <f t="shared" si="24"/>
        <v>1381990</v>
      </c>
      <c r="P222" s="156">
        <f t="shared" si="25"/>
        <v>9121134</v>
      </c>
    </row>
    <row r="223" spans="2:16" s="9" customFormat="1" ht="35.1" customHeight="1" x14ac:dyDescent="0.25">
      <c r="B223" s="33">
        <v>10</v>
      </c>
      <c r="C223" s="34" t="s">
        <v>253</v>
      </c>
      <c r="D223" s="34"/>
      <c r="E223" s="35"/>
      <c r="F223" s="134"/>
      <c r="G223" s="144"/>
      <c r="H223" s="8"/>
      <c r="I223" s="9" t="str">
        <f t="array" ref="I223:L223">_xlfn.XLOOKUP(C223,'Neiva 2022 FASE I ACTUAL (4)'!$C$6:$C$540,'Neiva 2022 FASE I ACTUAL (4)'!$C$6:$F$540,"NO ESTA")</f>
        <v>OTROS ARQUITECTONICOS</v>
      </c>
      <c r="J223" s="9">
        <v>0</v>
      </c>
      <c r="K223" s="9">
        <v>0</v>
      </c>
      <c r="L223" s="9">
        <v>0</v>
      </c>
      <c r="M223" s="124">
        <f t="shared" si="27"/>
        <v>0</v>
      </c>
      <c r="N223" s="155">
        <f t="shared" si="23"/>
        <v>0</v>
      </c>
      <c r="O223" s="156">
        <f t="shared" si="24"/>
        <v>0</v>
      </c>
      <c r="P223" s="156">
        <f t="shared" si="25"/>
        <v>0</v>
      </c>
    </row>
    <row r="224" spans="2:16" s="9" customFormat="1" ht="35.1" customHeight="1" x14ac:dyDescent="0.25">
      <c r="B224" s="40" t="s">
        <v>1165</v>
      </c>
      <c r="C224" s="14" t="s">
        <v>1166</v>
      </c>
      <c r="D224" s="13"/>
      <c r="E224" s="15"/>
      <c r="F224" s="129"/>
      <c r="G224" s="140"/>
      <c r="H224" s="8"/>
      <c r="I224" s="9" t="str">
        <f t="array" ref="I224">_xlfn.XLOOKUP(C224,'Neiva 2022 FASE I ACTUAL (4)'!$C$6:$C$540,'Neiva 2022 FASE I ACTUAL (4)'!$C$6:$F$540,"NO ESTA")</f>
        <v>NO ESTA</v>
      </c>
      <c r="M224" s="124">
        <f t="shared" si="27"/>
        <v>0</v>
      </c>
      <c r="N224" s="155">
        <f t="shared" si="23"/>
        <v>0</v>
      </c>
      <c r="O224" s="156">
        <f t="shared" si="24"/>
        <v>0</v>
      </c>
      <c r="P224" s="156">
        <f t="shared" si="25"/>
        <v>0</v>
      </c>
    </row>
    <row r="225" spans="2:16" s="9" customFormat="1" ht="35.1" customHeight="1" x14ac:dyDescent="0.25">
      <c r="B225" s="23" t="s">
        <v>1167</v>
      </c>
      <c r="C225" s="22" t="s">
        <v>1168</v>
      </c>
      <c r="D225" s="23" t="s">
        <v>16</v>
      </c>
      <c r="E225" s="12">
        <v>2</v>
      </c>
      <c r="F225" s="126">
        <v>133775855</v>
      </c>
      <c r="G225" s="126">
        <f>ROUND(+F225*E225,2)</f>
        <v>267551710</v>
      </c>
      <c r="H225" s="8"/>
      <c r="I225" s="9" t="str">
        <f t="array" ref="I225">_xlfn.XLOOKUP(C225,'Neiva 2022 FASE I ACTUAL (4)'!$C$6:$C$540,'Neiva 2022 FASE I ACTUAL (4)'!$C$6:$F$540,"NO ESTA")</f>
        <v>NO ESTA</v>
      </c>
      <c r="M225" s="124">
        <f t="shared" si="27"/>
        <v>0</v>
      </c>
      <c r="N225" s="155">
        <f t="shared" si="23"/>
        <v>2</v>
      </c>
      <c r="O225" s="156">
        <f t="shared" si="24"/>
        <v>133775855</v>
      </c>
      <c r="P225" s="156">
        <f t="shared" si="25"/>
        <v>267551710</v>
      </c>
    </row>
    <row r="226" spans="2:16" s="9" customFormat="1" ht="35.1" customHeight="1" x14ac:dyDescent="0.25">
      <c r="B226" s="41" t="s">
        <v>254</v>
      </c>
      <c r="C226" s="14" t="s">
        <v>255</v>
      </c>
      <c r="D226" s="13"/>
      <c r="E226" s="15"/>
      <c r="F226" s="129"/>
      <c r="G226" s="140"/>
      <c r="H226" s="8"/>
      <c r="I226" s="9" t="str">
        <f t="array" ref="I226:L226">_xlfn.XLOOKUP(C226,'Neiva 2022 FASE I ACTUAL (4)'!$C$6:$C$540,'Neiva 2022 FASE I ACTUAL (4)'!$C$6:$F$540,"NO ESTA")</f>
        <v>SUMINISTRO E INSTALACIÓN DE BARANDAS</v>
      </c>
      <c r="J226" s="9">
        <v>0</v>
      </c>
      <c r="K226" s="9">
        <v>0</v>
      </c>
      <c r="L226" s="9">
        <v>0</v>
      </c>
      <c r="M226" s="124">
        <f t="shared" si="27"/>
        <v>0</v>
      </c>
      <c r="N226" s="155">
        <f t="shared" si="23"/>
        <v>0</v>
      </c>
      <c r="O226" s="156">
        <f t="shared" si="24"/>
        <v>0</v>
      </c>
      <c r="P226" s="156">
        <f t="shared" si="25"/>
        <v>0</v>
      </c>
    </row>
    <row r="227" spans="2:16" s="9" customFormat="1" ht="35.1" customHeight="1" x14ac:dyDescent="0.25">
      <c r="B227" s="10" t="s">
        <v>256</v>
      </c>
      <c r="C227" s="22" t="s">
        <v>257</v>
      </c>
      <c r="D227" s="23" t="s">
        <v>94</v>
      </c>
      <c r="E227" s="12">
        <v>288.39999999999998</v>
      </c>
      <c r="F227" s="126">
        <v>592889</v>
      </c>
      <c r="G227" s="126">
        <f>ROUND(+F227*E227,2)</f>
        <v>170989187.59999999</v>
      </c>
      <c r="H227" s="8"/>
      <c r="I227" s="9" t="str">
        <f t="array" ref="I227:L227">_xlfn.XLOOKUP(C227,'Neiva 2022 FASE I ACTUAL (4)'!$C$6:$C$540,'Neiva 2022 FASE I ACTUAL (4)'!$C$6:$F$540,"NO ESTA")</f>
        <v>SUMINISTRO E INSTALACION BARANDA TIPO B1 EN ACERO INOXIDABLE (Incluye todos los accesorios para su instalación)</v>
      </c>
      <c r="J227" s="9" t="str">
        <v>ML</v>
      </c>
      <c r="K227" s="9">
        <v>106</v>
      </c>
      <c r="L227" s="9">
        <v>647200</v>
      </c>
      <c r="M227" s="124" t="str">
        <f t="shared" si="27"/>
        <v>FASE I</v>
      </c>
      <c r="N227" s="155">
        <f t="shared" si="23"/>
        <v>394.4</v>
      </c>
      <c r="O227" s="156">
        <f t="shared" si="24"/>
        <v>647200</v>
      </c>
      <c r="P227" s="156">
        <f t="shared" si="25"/>
        <v>255255680</v>
      </c>
    </row>
    <row r="228" spans="2:16" s="9" customFormat="1" ht="35.1" customHeight="1" x14ac:dyDescent="0.25">
      <c r="B228" s="10" t="s">
        <v>258</v>
      </c>
      <c r="C228" s="22" t="s">
        <v>259</v>
      </c>
      <c r="D228" s="23" t="s">
        <v>94</v>
      </c>
      <c r="E228" s="12">
        <v>44.13</v>
      </c>
      <c r="F228" s="126">
        <v>253859</v>
      </c>
      <c r="G228" s="126">
        <f>ROUND(+F228*E228,2)</f>
        <v>11202797.67</v>
      </c>
      <c r="H228" s="8"/>
      <c r="I228" s="9" t="str">
        <f t="array" ref="I228:L228">_xlfn.XLOOKUP(C228,'Neiva 2022 FASE I ACTUAL (4)'!$C$6:$C$540,'Neiva 2022 FASE I ACTUAL (4)'!$C$6:$F$540,"NO ESTA")</f>
        <v>SUMINISTRO E INSTALACION PASAMANOS PUNTO FIJO No. 1 (Incluye todos los accesorios para su instalación)</v>
      </c>
      <c r="J228" s="9" t="str">
        <v>ML</v>
      </c>
      <c r="K228" s="9">
        <v>16</v>
      </c>
      <c r="L228" s="9">
        <v>246763</v>
      </c>
      <c r="M228" s="124" t="str">
        <f t="shared" si="27"/>
        <v>FASE II</v>
      </c>
      <c r="N228" s="155">
        <f t="shared" si="23"/>
        <v>60.13</v>
      </c>
      <c r="O228" s="156">
        <f t="shared" si="24"/>
        <v>253859</v>
      </c>
      <c r="P228" s="156">
        <f t="shared" si="25"/>
        <v>15264541.67</v>
      </c>
    </row>
    <row r="229" spans="2:16" s="9" customFormat="1" ht="35.1" customHeight="1" x14ac:dyDescent="0.25">
      <c r="B229" s="41" t="s">
        <v>260</v>
      </c>
      <c r="C229" s="24" t="s">
        <v>261</v>
      </c>
      <c r="D229" s="24"/>
      <c r="E229" s="15"/>
      <c r="F229" s="129"/>
      <c r="G229" s="140"/>
      <c r="H229" s="8"/>
      <c r="I229" s="9" t="str">
        <f t="array" ref="I229:L229">_xlfn.XLOOKUP(C229,'Neiva 2022 FASE I ACTUAL (4)'!$C$6:$C$540,'Neiva 2022 FASE I ACTUAL (4)'!$C$6:$F$540,"NO ESTA")</f>
        <v>SUMINISTRO E INSTALACIÓN DE DIVISIONES DE BAÑOS</v>
      </c>
      <c r="J229" s="9">
        <v>0</v>
      </c>
      <c r="K229" s="9">
        <v>0</v>
      </c>
      <c r="L229" s="9">
        <v>0</v>
      </c>
      <c r="M229" s="124">
        <f t="shared" si="27"/>
        <v>0</v>
      </c>
      <c r="N229" s="155">
        <f t="shared" si="23"/>
        <v>0</v>
      </c>
      <c r="O229" s="156">
        <f t="shared" si="24"/>
        <v>0</v>
      </c>
      <c r="P229" s="156">
        <f t="shared" si="25"/>
        <v>0</v>
      </c>
    </row>
    <row r="230" spans="2:16" s="9" customFormat="1" ht="35.1" customHeight="1" x14ac:dyDescent="0.25">
      <c r="B230" s="10" t="s">
        <v>262</v>
      </c>
      <c r="C230" s="22" t="s">
        <v>263</v>
      </c>
      <c r="D230" s="23" t="s">
        <v>13</v>
      </c>
      <c r="E230" s="12">
        <v>83.5</v>
      </c>
      <c r="F230" s="126">
        <v>608913</v>
      </c>
      <c r="G230" s="126">
        <f>ROUND(+F230*E230,2)</f>
        <v>50844235.5</v>
      </c>
      <c r="H230" s="8"/>
      <c r="I230" s="9" t="str">
        <f t="array" ref="I230:L230">_xlfn.XLOOKUP(C230,'Neiva 2022 FASE I ACTUAL (4)'!$C$6:$C$540,'Neiva 2022 FASE I ACTUAL (4)'!$C$6:$F$540,"NO ESTA")</f>
        <v>SUMINISTRO E INSTALACION DIVISION EN ACERO INOXIDABLE BAÑOS (Incluye todos los accesorios para su instalación)</v>
      </c>
      <c r="J230" s="9" t="str">
        <v>M2</v>
      </c>
      <c r="K230" s="9">
        <v>83.5</v>
      </c>
      <c r="L230" s="9">
        <v>591892</v>
      </c>
      <c r="M230" s="124" t="str">
        <f t="shared" si="27"/>
        <v>FASE II</v>
      </c>
      <c r="N230" s="155">
        <f t="shared" si="23"/>
        <v>167</v>
      </c>
      <c r="O230" s="156">
        <f t="shared" si="24"/>
        <v>608913</v>
      </c>
      <c r="P230" s="156">
        <f t="shared" si="25"/>
        <v>101688471</v>
      </c>
    </row>
    <row r="231" spans="2:16" s="9" customFormat="1" ht="35.1" customHeight="1" x14ac:dyDescent="0.25">
      <c r="B231" s="33">
        <v>11</v>
      </c>
      <c r="C231" s="34" t="s">
        <v>1169</v>
      </c>
      <c r="D231" s="34"/>
      <c r="E231" s="35"/>
      <c r="F231" s="132"/>
      <c r="G231" s="144"/>
      <c r="H231" s="8"/>
      <c r="I231" s="9" t="str">
        <f t="array" ref="I231">_xlfn.XLOOKUP(C231,'Neiva 2022 FASE I ACTUAL (4)'!$C$6:$C$540,'Neiva 2022 FASE I ACTUAL (4)'!$C$6:$F$540,"NO ESTA")</f>
        <v>NO ESTA</v>
      </c>
      <c r="M231" s="124">
        <f t="shared" si="27"/>
        <v>0</v>
      </c>
      <c r="N231" s="155">
        <f t="shared" si="23"/>
        <v>0</v>
      </c>
      <c r="O231" s="156">
        <f t="shared" si="24"/>
        <v>0</v>
      </c>
      <c r="P231" s="156">
        <f t="shared" si="25"/>
        <v>0</v>
      </c>
    </row>
    <row r="232" spans="2:16" s="9" customFormat="1" ht="35.1" customHeight="1" x14ac:dyDescent="0.25">
      <c r="B232" s="13" t="s">
        <v>1170</v>
      </c>
      <c r="C232" s="14" t="s">
        <v>10</v>
      </c>
      <c r="D232" s="13"/>
      <c r="E232" s="15"/>
      <c r="F232" s="129"/>
      <c r="G232" s="140"/>
      <c r="H232" s="8"/>
      <c r="I232" s="9" t="str">
        <f t="array" ref="I232">_xlfn.XLOOKUP(C232,'Neiva 2022 FASE I ACTUAL (4)'!$C$6:$C$540,'Neiva 2022 FASE I ACTUAL (4)'!$C$6:$F$540,"NO ESTA")</f>
        <v>NO ESTA</v>
      </c>
      <c r="M232" s="124">
        <f t="shared" si="27"/>
        <v>0</v>
      </c>
      <c r="N232" s="155">
        <f t="shared" si="23"/>
        <v>0</v>
      </c>
      <c r="O232" s="156">
        <f t="shared" si="24"/>
        <v>0</v>
      </c>
      <c r="P232" s="156">
        <f t="shared" si="25"/>
        <v>0</v>
      </c>
    </row>
    <row r="233" spans="2:16" s="9" customFormat="1" ht="35.1" customHeight="1" x14ac:dyDescent="0.25">
      <c r="B233" s="23" t="s">
        <v>1171</v>
      </c>
      <c r="C233" s="22" t="s">
        <v>1050</v>
      </c>
      <c r="D233" s="23" t="s">
        <v>13</v>
      </c>
      <c r="E233" s="12">
        <v>745.71560000000011</v>
      </c>
      <c r="F233" s="126">
        <v>3467</v>
      </c>
      <c r="G233" s="126">
        <f>ROUND(+F233*E233,2)</f>
        <v>2585395.9900000002</v>
      </c>
      <c r="H233" s="8"/>
      <c r="I233" s="9" t="str">
        <f t="array" ref="I233">_xlfn.XLOOKUP(C233,'Neiva 2022 FASE I ACTUAL (4)'!$C$6:$C$540,'Neiva 2022 FASE I ACTUAL (4)'!$C$6:$F$540,"NO ESTA")</f>
        <v>NO ESTA</v>
      </c>
      <c r="M233" s="124">
        <f t="shared" si="27"/>
        <v>0</v>
      </c>
      <c r="N233" s="155">
        <f t="shared" si="23"/>
        <v>745.71560000000011</v>
      </c>
      <c r="O233" s="156">
        <f t="shared" si="24"/>
        <v>3467</v>
      </c>
      <c r="P233" s="156">
        <f t="shared" si="25"/>
        <v>2585395.9852000005</v>
      </c>
    </row>
    <row r="234" spans="2:16" s="9" customFormat="1" ht="35.1" customHeight="1" x14ac:dyDescent="0.25">
      <c r="B234" s="23" t="s">
        <v>1172</v>
      </c>
      <c r="C234" s="22" t="s">
        <v>12</v>
      </c>
      <c r="D234" s="23" t="s">
        <v>13</v>
      </c>
      <c r="E234" s="12">
        <v>745.71560000000011</v>
      </c>
      <c r="F234" s="126">
        <v>23484</v>
      </c>
      <c r="G234" s="126">
        <f>ROUND(+F234*E234,2)</f>
        <v>17512385.149999999</v>
      </c>
      <c r="H234" s="8"/>
      <c r="I234" s="9" t="str">
        <f t="array" ref="I234:L234">_xlfn.XLOOKUP(C234,'Neiva 2022 FASE I ACTUAL (4)'!$C$6:$C$540,'Neiva 2022 FASE I ACTUAL (4)'!$C$6:$F$540,"NO ESTA")</f>
        <v>DESCAPOTE A MAQUINA (INCLUYE RETIRO)</v>
      </c>
      <c r="J234" s="9" t="str">
        <v>M2</v>
      </c>
      <c r="K234" s="9">
        <v>250</v>
      </c>
      <c r="L234" s="9">
        <v>27023</v>
      </c>
      <c r="M234" s="124" t="str">
        <f t="shared" si="27"/>
        <v>FASE I</v>
      </c>
      <c r="N234" s="155">
        <f t="shared" si="23"/>
        <v>995.71560000000011</v>
      </c>
      <c r="O234" s="156">
        <f t="shared" si="24"/>
        <v>27023</v>
      </c>
      <c r="P234" s="156">
        <f t="shared" si="25"/>
        <v>26907222.658800002</v>
      </c>
    </row>
    <row r="235" spans="2:16" s="9" customFormat="1" ht="35.1" customHeight="1" x14ac:dyDescent="0.25">
      <c r="B235" s="23" t="s">
        <v>1173</v>
      </c>
      <c r="C235" s="22" t="s">
        <v>1052</v>
      </c>
      <c r="D235" s="23" t="s">
        <v>94</v>
      </c>
      <c r="E235" s="12">
        <v>110.98</v>
      </c>
      <c r="F235" s="126">
        <v>34489</v>
      </c>
      <c r="G235" s="126">
        <f>ROUND(+F235*E235,2)</f>
        <v>3827589.22</v>
      </c>
      <c r="H235" s="8"/>
      <c r="I235" s="9" t="str">
        <f t="array" ref="I235">_xlfn.XLOOKUP(C235,'Neiva 2022 FASE I ACTUAL (4)'!$C$6:$C$540,'Neiva 2022 FASE I ACTUAL (4)'!$C$6:$F$540,"NO ESTA")</f>
        <v>NO ESTA</v>
      </c>
      <c r="M235" s="124">
        <f t="shared" si="27"/>
        <v>0</v>
      </c>
      <c r="N235" s="155">
        <f t="shared" si="23"/>
        <v>110.98</v>
      </c>
      <c r="O235" s="156">
        <f t="shared" si="24"/>
        <v>34489</v>
      </c>
      <c r="P235" s="156">
        <f t="shared" si="25"/>
        <v>3827589.22</v>
      </c>
    </row>
    <row r="236" spans="2:16" s="9" customFormat="1" ht="35.1" customHeight="1" x14ac:dyDescent="0.25">
      <c r="B236" s="13" t="s">
        <v>1174</v>
      </c>
      <c r="C236" s="14" t="s">
        <v>18</v>
      </c>
      <c r="D236" s="13"/>
      <c r="E236" s="15"/>
      <c r="F236" s="129"/>
      <c r="G236" s="140"/>
      <c r="H236" s="8"/>
      <c r="I236" s="9" t="str">
        <f t="array" ref="I236:L236">_xlfn.XLOOKUP(C236,'Neiva 2022 FASE I ACTUAL (4)'!$C$6:$C$540,'Neiva 2022 FASE I ACTUAL (4)'!$C$6:$F$540,"NO ESTA")</f>
        <v>INSTALACION SERVICIOS PROVISIONALES</v>
      </c>
      <c r="J236" s="9">
        <v>0</v>
      </c>
      <c r="K236" s="9">
        <v>0</v>
      </c>
      <c r="L236" s="9">
        <v>0</v>
      </c>
      <c r="M236" s="124">
        <f t="shared" si="27"/>
        <v>0</v>
      </c>
      <c r="N236" s="155">
        <f t="shared" si="23"/>
        <v>0</v>
      </c>
      <c r="O236" s="156">
        <f t="shared" si="24"/>
        <v>0</v>
      </c>
      <c r="P236" s="156">
        <f t="shared" si="25"/>
        <v>0</v>
      </c>
    </row>
    <row r="237" spans="2:16" s="9" customFormat="1" ht="35.1" customHeight="1" x14ac:dyDescent="0.25">
      <c r="B237" s="23" t="s">
        <v>1175</v>
      </c>
      <c r="C237" s="22" t="s">
        <v>1176</v>
      </c>
      <c r="D237" s="23" t="s">
        <v>374</v>
      </c>
      <c r="E237" s="12">
        <v>1</v>
      </c>
      <c r="F237" s="126">
        <v>549836</v>
      </c>
      <c r="G237" s="126">
        <f>ROUND(+F237*E237,2)</f>
        <v>549836</v>
      </c>
      <c r="H237" s="8"/>
      <c r="I237" s="9" t="str">
        <f t="array" ref="I237">_xlfn.XLOOKUP(C237,'Neiva 2022 FASE I ACTUAL (4)'!$C$6:$C$540,'Neiva 2022 FASE I ACTUAL (4)'!$C$6:$F$540,"NO ESTA")</f>
        <v>NO ESTA</v>
      </c>
      <c r="M237" s="124">
        <f t="shared" si="27"/>
        <v>0</v>
      </c>
      <c r="N237" s="155">
        <f t="shared" si="23"/>
        <v>1</v>
      </c>
      <c r="O237" s="156">
        <f t="shared" si="24"/>
        <v>549836</v>
      </c>
      <c r="P237" s="156">
        <f t="shared" si="25"/>
        <v>549836</v>
      </c>
    </row>
    <row r="238" spans="2:16" s="9" customFormat="1" ht="35.1" customHeight="1" x14ac:dyDescent="0.25">
      <c r="B238" s="23" t="s">
        <v>1177</v>
      </c>
      <c r="C238" s="22" t="s">
        <v>1178</v>
      </c>
      <c r="D238" s="23" t="s">
        <v>374</v>
      </c>
      <c r="E238" s="12">
        <v>1</v>
      </c>
      <c r="F238" s="126">
        <v>3940517</v>
      </c>
      <c r="G238" s="126">
        <f>ROUND(+F238*E238,2)</f>
        <v>3940517</v>
      </c>
      <c r="H238" s="8"/>
      <c r="I238" s="9" t="str">
        <f t="array" ref="I238">_xlfn.XLOOKUP(C238,'Neiva 2022 FASE I ACTUAL (4)'!$C$6:$C$540,'Neiva 2022 FASE I ACTUAL (4)'!$C$6:$F$540,"NO ESTA")</f>
        <v>NO ESTA</v>
      </c>
      <c r="M238" s="124">
        <f t="shared" si="27"/>
        <v>0</v>
      </c>
      <c r="N238" s="155">
        <f t="shared" si="23"/>
        <v>1</v>
      </c>
      <c r="O238" s="156">
        <f t="shared" si="24"/>
        <v>3940517</v>
      </c>
      <c r="P238" s="156">
        <f t="shared" si="25"/>
        <v>3940517</v>
      </c>
    </row>
    <row r="239" spans="2:16" s="9" customFormat="1" ht="35.1" customHeight="1" x14ac:dyDescent="0.25">
      <c r="B239" s="13" t="s">
        <v>1179</v>
      </c>
      <c r="C239" s="14" t="s">
        <v>20</v>
      </c>
      <c r="D239" s="13"/>
      <c r="E239" s="15"/>
      <c r="F239" s="129"/>
      <c r="G239" s="140"/>
      <c r="H239" s="8"/>
      <c r="I239" s="9" t="str">
        <f t="array" ref="I239:L239">_xlfn.XLOOKUP(C239,'Neiva 2022 FASE I ACTUAL (4)'!$C$6:$C$540,'Neiva 2022 FASE I ACTUAL (4)'!$C$6:$F$540,"NO ESTA")</f>
        <v>DEMOLICIONES</v>
      </c>
      <c r="J239" s="9">
        <v>0</v>
      </c>
      <c r="K239" s="9">
        <v>0</v>
      </c>
      <c r="L239" s="9">
        <v>0</v>
      </c>
      <c r="M239" s="124">
        <f t="shared" si="27"/>
        <v>0</v>
      </c>
      <c r="N239" s="155">
        <f t="shared" si="23"/>
        <v>0</v>
      </c>
      <c r="O239" s="156">
        <f t="shared" si="24"/>
        <v>0</v>
      </c>
      <c r="P239" s="156">
        <f t="shared" si="25"/>
        <v>0</v>
      </c>
    </row>
    <row r="240" spans="2:16" s="9" customFormat="1" ht="35.1" customHeight="1" x14ac:dyDescent="0.25">
      <c r="B240" s="23" t="s">
        <v>1180</v>
      </c>
      <c r="C240" s="22" t="s">
        <v>1181</v>
      </c>
      <c r="D240" s="23" t="s">
        <v>1182</v>
      </c>
      <c r="E240" s="12">
        <v>1</v>
      </c>
      <c r="F240" s="126">
        <v>1927050</v>
      </c>
      <c r="G240" s="126">
        <f>ROUND(+F240*E240,2)</f>
        <v>1927050</v>
      </c>
      <c r="H240" s="8"/>
      <c r="I240" s="9" t="str">
        <f t="array" ref="I240">_xlfn.XLOOKUP(C240,'Neiva 2022 FASE I ACTUAL (4)'!$C$6:$C$540,'Neiva 2022 FASE I ACTUAL (4)'!$C$6:$F$540,"NO ESTA")</f>
        <v>NO ESTA</v>
      </c>
      <c r="M240" s="124">
        <f t="shared" si="27"/>
        <v>0</v>
      </c>
      <c r="N240" s="155">
        <f t="shared" si="23"/>
        <v>1</v>
      </c>
      <c r="O240" s="156">
        <f t="shared" si="24"/>
        <v>1927050</v>
      </c>
      <c r="P240" s="156">
        <f t="shared" si="25"/>
        <v>1927050</v>
      </c>
    </row>
    <row r="241" spans="2:16" s="9" customFormat="1" ht="35.1" customHeight="1" x14ac:dyDescent="0.25">
      <c r="B241" s="13" t="s">
        <v>1183</v>
      </c>
      <c r="C241" s="14" t="s">
        <v>1184</v>
      </c>
      <c r="D241" s="13"/>
      <c r="E241" s="15"/>
      <c r="F241" s="129"/>
      <c r="G241" s="140"/>
      <c r="H241" s="8"/>
      <c r="I241" s="9" t="str">
        <f t="array" ref="I241">_xlfn.XLOOKUP(C241,'Neiva 2022 FASE I ACTUAL (4)'!$C$6:$C$540,'Neiva 2022 FASE I ACTUAL (4)'!$C$6:$F$540,"NO ESTA")</f>
        <v>NO ESTA</v>
      </c>
      <c r="M241" s="124">
        <f t="shared" si="27"/>
        <v>0</v>
      </c>
      <c r="N241" s="155">
        <f t="shared" si="23"/>
        <v>0</v>
      </c>
      <c r="O241" s="156">
        <f t="shared" si="24"/>
        <v>0</v>
      </c>
      <c r="P241" s="156">
        <f t="shared" si="25"/>
        <v>0</v>
      </c>
    </row>
    <row r="242" spans="2:16" s="9" customFormat="1" ht="35.1" customHeight="1" x14ac:dyDescent="0.25">
      <c r="B242" s="10" t="s">
        <v>1185</v>
      </c>
      <c r="C242" s="11" t="s">
        <v>1186</v>
      </c>
      <c r="D242" s="10" t="s">
        <v>30</v>
      </c>
      <c r="E242" s="12">
        <v>79.201499999999996</v>
      </c>
      <c r="F242" s="126">
        <v>31642</v>
      </c>
      <c r="G242" s="126">
        <f>ROUND(+F242*E242,2)</f>
        <v>2506093.86</v>
      </c>
      <c r="H242" s="8"/>
      <c r="I242" s="9" t="str">
        <f t="array" ref="I242">_xlfn.XLOOKUP(C242,'Neiva 2022 FASE I ACTUAL (4)'!$C$6:$C$540,'Neiva 2022 FASE I ACTUAL (4)'!$C$6:$F$540,"NO ESTA")</f>
        <v>NO ESTA</v>
      </c>
      <c r="M242" s="124">
        <f t="shared" si="27"/>
        <v>0</v>
      </c>
      <c r="N242" s="155">
        <f t="shared" si="23"/>
        <v>79.201499999999996</v>
      </c>
      <c r="O242" s="156">
        <f t="shared" si="24"/>
        <v>31642</v>
      </c>
      <c r="P242" s="156">
        <f t="shared" si="25"/>
        <v>2506093.8629999999</v>
      </c>
    </row>
    <row r="243" spans="2:16" s="9" customFormat="1" ht="35.1" customHeight="1" x14ac:dyDescent="0.25">
      <c r="B243" s="10" t="s">
        <v>1187</v>
      </c>
      <c r="C243" s="20" t="s">
        <v>1188</v>
      </c>
      <c r="D243" s="10" t="s">
        <v>30</v>
      </c>
      <c r="E243" s="12">
        <v>110</v>
      </c>
      <c r="F243" s="126">
        <v>143745</v>
      </c>
      <c r="G243" s="126">
        <f>ROUND(+F243*E243,2)</f>
        <v>15811950</v>
      </c>
      <c r="H243" s="8"/>
      <c r="I243" s="9" t="str">
        <f t="array" ref="I243">_xlfn.XLOOKUP(C243,'Neiva 2022 FASE I ACTUAL (4)'!$C$6:$C$540,'Neiva 2022 FASE I ACTUAL (4)'!$C$6:$F$540,"NO ESTA")</f>
        <v>NO ESTA</v>
      </c>
      <c r="M243" s="124">
        <f t="shared" si="27"/>
        <v>0</v>
      </c>
      <c r="N243" s="155">
        <f t="shared" si="23"/>
        <v>110</v>
      </c>
      <c r="O243" s="156">
        <f t="shared" si="24"/>
        <v>143745</v>
      </c>
      <c r="P243" s="156">
        <f t="shared" si="25"/>
        <v>15811950</v>
      </c>
    </row>
    <row r="244" spans="2:16" s="9" customFormat="1" ht="35.1" customHeight="1" x14ac:dyDescent="0.25">
      <c r="B244" s="10" t="s">
        <v>1189</v>
      </c>
      <c r="C244" s="22" t="s">
        <v>422</v>
      </c>
      <c r="D244" s="10" t="s">
        <v>30</v>
      </c>
      <c r="E244" s="12">
        <v>64.790000000000006</v>
      </c>
      <c r="F244" s="126">
        <v>75587</v>
      </c>
      <c r="G244" s="126">
        <f>ROUND(+F244*E244,2)</f>
        <v>4897281.7300000004</v>
      </c>
      <c r="H244" s="8"/>
      <c r="I244" s="9" t="str">
        <f t="array" ref="I244:L244">_xlfn.XLOOKUP(C244,'Neiva 2022 FASE I ACTUAL (4)'!$C$6:$C$540,'Neiva 2022 FASE I ACTUAL (4)'!$C$6:$F$540,"NO ESTA")</f>
        <v xml:space="preserve">RELLENO EN ARENA INCLUYE TRANSPORTE Y COLOCACIÓN       </v>
      </c>
      <c r="J244" s="9" t="str">
        <v xml:space="preserve">M3   </v>
      </c>
      <c r="K244" s="9">
        <v>28</v>
      </c>
      <c r="L244" s="9">
        <v>73475</v>
      </c>
      <c r="M244" s="124" t="str">
        <f t="shared" si="27"/>
        <v>FASE II</v>
      </c>
      <c r="N244" s="155">
        <f t="shared" si="23"/>
        <v>92.79</v>
      </c>
      <c r="O244" s="156">
        <f t="shared" si="24"/>
        <v>75587</v>
      </c>
      <c r="P244" s="156">
        <f t="shared" si="25"/>
        <v>7013717.7300000004</v>
      </c>
    </row>
    <row r="245" spans="2:16" s="9" customFormat="1" ht="35.1" customHeight="1" x14ac:dyDescent="0.25">
      <c r="B245" s="10" t="s">
        <v>1190</v>
      </c>
      <c r="C245" s="11" t="s">
        <v>1191</v>
      </c>
      <c r="D245" s="10" t="s">
        <v>30</v>
      </c>
      <c r="E245" s="12">
        <v>2</v>
      </c>
      <c r="F245" s="126">
        <v>518935</v>
      </c>
      <c r="G245" s="126">
        <f>ROUND(+F245*E245,2)</f>
        <v>1037870</v>
      </c>
      <c r="H245" s="8"/>
      <c r="I245" s="9" t="str">
        <f t="array" ref="I245">_xlfn.XLOOKUP(C245,'Neiva 2022 FASE I ACTUAL (4)'!$C$6:$C$540,'Neiva 2022 FASE I ACTUAL (4)'!$C$6:$F$540,"NO ESTA")</f>
        <v>NO ESTA</v>
      </c>
      <c r="M245" s="124">
        <f t="shared" si="27"/>
        <v>0</v>
      </c>
      <c r="N245" s="155">
        <f t="shared" si="23"/>
        <v>2</v>
      </c>
      <c r="O245" s="156">
        <f t="shared" si="24"/>
        <v>518935</v>
      </c>
      <c r="P245" s="156">
        <f t="shared" si="25"/>
        <v>1037870</v>
      </c>
    </row>
    <row r="246" spans="2:16" s="9" customFormat="1" ht="35.1" customHeight="1" x14ac:dyDescent="0.25">
      <c r="B246" s="10" t="s">
        <v>1192</v>
      </c>
      <c r="C246" s="11" t="s">
        <v>1193</v>
      </c>
      <c r="D246" s="10" t="s">
        <v>30</v>
      </c>
      <c r="E246" s="12">
        <v>139.05000000000001</v>
      </c>
      <c r="F246" s="126">
        <v>34334</v>
      </c>
      <c r="G246" s="126">
        <f>ROUND(+F246*E246,2)</f>
        <v>4774142.7</v>
      </c>
      <c r="H246" s="8"/>
      <c r="I246" s="9" t="str">
        <f t="array" ref="I246">_xlfn.XLOOKUP(C246,'Neiva 2022 FASE I ACTUAL (4)'!$C$6:$C$540,'Neiva 2022 FASE I ACTUAL (4)'!$C$6:$F$540,"NO ESTA")</f>
        <v>NO ESTA</v>
      </c>
      <c r="M246" s="124">
        <f t="shared" si="27"/>
        <v>0</v>
      </c>
      <c r="N246" s="155">
        <f t="shared" si="23"/>
        <v>139.05000000000001</v>
      </c>
      <c r="O246" s="156">
        <f t="shared" si="24"/>
        <v>34334</v>
      </c>
      <c r="P246" s="156">
        <f t="shared" si="25"/>
        <v>4774142.7</v>
      </c>
    </row>
    <row r="247" spans="2:16" s="9" customFormat="1" ht="35.1" customHeight="1" x14ac:dyDescent="0.25">
      <c r="B247" s="32" t="s">
        <v>1194</v>
      </c>
      <c r="C247" s="14" t="s">
        <v>1195</v>
      </c>
      <c r="D247" s="24"/>
      <c r="E247" s="15"/>
      <c r="F247" s="129"/>
      <c r="G247" s="140"/>
      <c r="H247" s="8"/>
      <c r="I247" s="9" t="str">
        <f t="array" ref="I247">_xlfn.XLOOKUP(C247,'Neiva 2022 FASE I ACTUAL (4)'!$C$6:$C$540,'Neiva 2022 FASE I ACTUAL (4)'!$C$6:$F$540,"NO ESTA")</f>
        <v>NO ESTA</v>
      </c>
      <c r="M247" s="124">
        <f t="shared" si="27"/>
        <v>0</v>
      </c>
      <c r="N247" s="155">
        <f t="shared" si="23"/>
        <v>0</v>
      </c>
      <c r="O247" s="156">
        <f t="shared" si="24"/>
        <v>0</v>
      </c>
      <c r="P247" s="156">
        <f t="shared" si="25"/>
        <v>0</v>
      </c>
    </row>
    <row r="248" spans="2:16" s="9" customFormat="1" ht="35.1" customHeight="1" x14ac:dyDescent="0.25">
      <c r="B248" s="10" t="s">
        <v>1196</v>
      </c>
      <c r="C248" s="20" t="s">
        <v>1197</v>
      </c>
      <c r="D248" s="10" t="s">
        <v>13</v>
      </c>
      <c r="E248" s="12">
        <v>185.11</v>
      </c>
      <c r="F248" s="126">
        <v>77740</v>
      </c>
      <c r="G248" s="126">
        <f>ROUND(+F248*E248,2)</f>
        <v>14390451.4</v>
      </c>
      <c r="H248" s="8"/>
      <c r="I248" s="9" t="str">
        <f t="array" ref="I248">_xlfn.XLOOKUP(C248,'Neiva 2022 FASE I ACTUAL (4)'!$C$6:$C$540,'Neiva 2022 FASE I ACTUAL (4)'!$C$6:$F$540,"NO ESTA")</f>
        <v>NO ESTA</v>
      </c>
      <c r="M248" s="124">
        <f t="shared" si="27"/>
        <v>0</v>
      </c>
      <c r="N248" s="155">
        <f t="shared" si="23"/>
        <v>185.11</v>
      </c>
      <c r="O248" s="156">
        <f t="shared" si="24"/>
        <v>77740</v>
      </c>
      <c r="P248" s="156">
        <f t="shared" si="25"/>
        <v>14390451.4</v>
      </c>
    </row>
    <row r="249" spans="2:16" s="9" customFormat="1" ht="35.1" customHeight="1" x14ac:dyDescent="0.25">
      <c r="B249" s="10" t="s">
        <v>1198</v>
      </c>
      <c r="C249" s="11" t="s">
        <v>1199</v>
      </c>
      <c r="D249" s="10" t="s">
        <v>94</v>
      </c>
      <c r="E249" s="12">
        <v>72.05</v>
      </c>
      <c r="F249" s="126">
        <v>46234</v>
      </c>
      <c r="G249" s="126">
        <f>ROUND(+F249*E249,2)</f>
        <v>3331159.7</v>
      </c>
      <c r="H249" s="8"/>
      <c r="I249" s="9" t="str">
        <f t="array" ref="I249">_xlfn.XLOOKUP(C249,'Neiva 2022 FASE I ACTUAL (4)'!$C$6:$C$540,'Neiva 2022 FASE I ACTUAL (4)'!$C$6:$F$540,"NO ESTA")</f>
        <v>NO ESTA</v>
      </c>
      <c r="M249" s="124">
        <f t="shared" si="27"/>
        <v>0</v>
      </c>
      <c r="N249" s="155">
        <f t="shared" si="23"/>
        <v>72.05</v>
      </c>
      <c r="O249" s="156">
        <f t="shared" si="24"/>
        <v>46234</v>
      </c>
      <c r="P249" s="156">
        <f t="shared" si="25"/>
        <v>3331159.6999999997</v>
      </c>
    </row>
    <row r="250" spans="2:16" s="9" customFormat="1" ht="35.1" customHeight="1" x14ac:dyDescent="0.25">
      <c r="B250" s="10" t="s">
        <v>1200</v>
      </c>
      <c r="C250" s="11" t="s">
        <v>1201</v>
      </c>
      <c r="D250" s="10" t="s">
        <v>94</v>
      </c>
      <c r="E250" s="12">
        <v>303.41000000000003</v>
      </c>
      <c r="F250" s="126">
        <v>70666</v>
      </c>
      <c r="G250" s="126">
        <f>ROUND(+F250*E250,2)</f>
        <v>21440771.059999999</v>
      </c>
      <c r="H250" s="8"/>
      <c r="I250" s="9" t="str">
        <f t="array" ref="I250">_xlfn.XLOOKUP(C250,'Neiva 2022 FASE I ACTUAL (4)'!$C$6:$C$540,'Neiva 2022 FASE I ACTUAL (4)'!$C$6:$F$540,"NO ESTA")</f>
        <v>NO ESTA</v>
      </c>
      <c r="M250" s="124">
        <f t="shared" si="27"/>
        <v>0</v>
      </c>
      <c r="N250" s="155">
        <f t="shared" si="23"/>
        <v>303.41000000000003</v>
      </c>
      <c r="O250" s="156">
        <f t="shared" si="24"/>
        <v>70666</v>
      </c>
      <c r="P250" s="156">
        <f t="shared" si="25"/>
        <v>21440771.060000002</v>
      </c>
    </row>
    <row r="251" spans="2:16" s="9" customFormat="1" ht="35.1" customHeight="1" x14ac:dyDescent="0.25">
      <c r="B251" s="10" t="s">
        <v>1202</v>
      </c>
      <c r="C251" s="11" t="s">
        <v>1203</v>
      </c>
      <c r="D251" s="10" t="s">
        <v>13</v>
      </c>
      <c r="E251" s="12">
        <v>433</v>
      </c>
      <c r="F251" s="126">
        <v>15630</v>
      </c>
      <c r="G251" s="126">
        <f>ROUND(+F251*E251,2)</f>
        <v>6767790</v>
      </c>
      <c r="H251" s="8"/>
      <c r="I251" s="9" t="str">
        <f t="array" ref="I251">_xlfn.XLOOKUP(C251,'Neiva 2022 FASE I ACTUAL (4)'!$C$6:$C$540,'Neiva 2022 FASE I ACTUAL (4)'!$C$6:$F$540,"NO ESTA")</f>
        <v>NO ESTA</v>
      </c>
      <c r="M251" s="124">
        <f t="shared" si="27"/>
        <v>0</v>
      </c>
      <c r="N251" s="155">
        <f t="shared" si="23"/>
        <v>433</v>
      </c>
      <c r="O251" s="156">
        <f t="shared" si="24"/>
        <v>15630</v>
      </c>
      <c r="P251" s="156">
        <f t="shared" si="25"/>
        <v>6767790</v>
      </c>
    </row>
    <row r="252" spans="2:16" s="9" customFormat="1" ht="35.1" customHeight="1" x14ac:dyDescent="0.25">
      <c r="B252" s="13" t="s">
        <v>1204</v>
      </c>
      <c r="C252" s="14" t="s">
        <v>1205</v>
      </c>
      <c r="D252" s="13"/>
      <c r="E252" s="15"/>
      <c r="F252" s="129"/>
      <c r="G252" s="140"/>
      <c r="H252" s="8"/>
      <c r="I252" s="9" t="str">
        <f t="array" ref="I252">_xlfn.XLOOKUP(C252,'Neiva 2022 FASE I ACTUAL (4)'!$C$6:$C$540,'Neiva 2022 FASE I ACTUAL (4)'!$C$6:$F$540,"NO ESTA")</f>
        <v>NO ESTA</v>
      </c>
      <c r="M252" s="124">
        <f t="shared" si="27"/>
        <v>0</v>
      </c>
      <c r="N252" s="155">
        <f t="shared" si="23"/>
        <v>0</v>
      </c>
      <c r="O252" s="156">
        <f t="shared" si="24"/>
        <v>0</v>
      </c>
      <c r="P252" s="156">
        <f t="shared" si="25"/>
        <v>0</v>
      </c>
    </row>
    <row r="253" spans="2:16" s="9" customFormat="1" ht="35.1" customHeight="1" x14ac:dyDescent="0.25">
      <c r="B253" s="23" t="s">
        <v>1206</v>
      </c>
      <c r="C253" s="11" t="s">
        <v>1207</v>
      </c>
      <c r="D253" s="10" t="s">
        <v>16</v>
      </c>
      <c r="E253" s="12">
        <v>4</v>
      </c>
      <c r="F253" s="126">
        <v>770952</v>
      </c>
      <c r="G253" s="126">
        <f t="shared" ref="G253:G258" si="30">ROUND(+F253*E253,2)</f>
        <v>3083808</v>
      </c>
      <c r="H253" s="8"/>
      <c r="I253" s="9" t="str">
        <f t="array" ref="I253">_xlfn.XLOOKUP(C253,'Neiva 2022 FASE I ACTUAL (4)'!$C$6:$C$540,'Neiva 2022 FASE I ACTUAL (4)'!$C$6:$F$540,"NO ESTA")</f>
        <v>NO ESTA</v>
      </c>
      <c r="M253" s="124">
        <f t="shared" si="27"/>
        <v>0</v>
      </c>
      <c r="N253" s="155">
        <f t="shared" si="23"/>
        <v>4</v>
      </c>
      <c r="O253" s="156">
        <f t="shared" si="24"/>
        <v>770952</v>
      </c>
      <c r="P253" s="156">
        <f t="shared" si="25"/>
        <v>3083808</v>
      </c>
    </row>
    <row r="254" spans="2:16" s="9" customFormat="1" ht="35.1" customHeight="1" x14ac:dyDescent="0.25">
      <c r="B254" s="23" t="s">
        <v>1208</v>
      </c>
      <c r="C254" s="11" t="s">
        <v>1209</v>
      </c>
      <c r="D254" s="10" t="s">
        <v>16</v>
      </c>
      <c r="E254" s="12">
        <v>6</v>
      </c>
      <c r="F254" s="126">
        <v>385502</v>
      </c>
      <c r="G254" s="126">
        <f t="shared" si="30"/>
        <v>2313012</v>
      </c>
      <c r="H254" s="8"/>
      <c r="I254" s="9" t="str">
        <f t="array" ref="I254">_xlfn.XLOOKUP(C254,'Neiva 2022 FASE I ACTUAL (4)'!$C$6:$C$540,'Neiva 2022 FASE I ACTUAL (4)'!$C$6:$F$540,"NO ESTA")</f>
        <v>NO ESTA</v>
      </c>
      <c r="M254" s="124">
        <f t="shared" si="27"/>
        <v>0</v>
      </c>
      <c r="N254" s="155">
        <f t="shared" si="23"/>
        <v>6</v>
      </c>
      <c r="O254" s="156">
        <f t="shared" si="24"/>
        <v>385502</v>
      </c>
      <c r="P254" s="156">
        <f t="shared" si="25"/>
        <v>2313012</v>
      </c>
    </row>
    <row r="255" spans="2:16" s="9" customFormat="1" ht="35.1" customHeight="1" x14ac:dyDescent="0.25">
      <c r="B255" s="23" t="s">
        <v>1210</v>
      </c>
      <c r="C255" s="11" t="s">
        <v>1211</v>
      </c>
      <c r="D255" s="10" t="s">
        <v>16</v>
      </c>
      <c r="E255" s="12">
        <v>1</v>
      </c>
      <c r="F255" s="126">
        <v>9636031</v>
      </c>
      <c r="G255" s="126">
        <f t="shared" si="30"/>
        <v>9636031</v>
      </c>
      <c r="H255" s="8"/>
      <c r="I255" s="9" t="str">
        <f t="array" ref="I255">_xlfn.XLOOKUP(C255,'Neiva 2022 FASE I ACTUAL (4)'!$C$6:$C$540,'Neiva 2022 FASE I ACTUAL (4)'!$C$6:$F$540,"NO ESTA")</f>
        <v>NO ESTA</v>
      </c>
      <c r="M255" s="124">
        <f t="shared" si="27"/>
        <v>0</v>
      </c>
      <c r="N255" s="155">
        <f t="shared" si="23"/>
        <v>1</v>
      </c>
      <c r="O255" s="156">
        <f t="shared" si="24"/>
        <v>9636031</v>
      </c>
      <c r="P255" s="156">
        <f t="shared" si="25"/>
        <v>9636031</v>
      </c>
    </row>
    <row r="256" spans="2:16" s="9" customFormat="1" ht="35.1" customHeight="1" x14ac:dyDescent="0.25">
      <c r="B256" s="23" t="s">
        <v>1212</v>
      </c>
      <c r="C256" s="22" t="s">
        <v>1213</v>
      </c>
      <c r="D256" s="10" t="s">
        <v>16</v>
      </c>
      <c r="E256" s="12">
        <v>3</v>
      </c>
      <c r="F256" s="126">
        <v>231670</v>
      </c>
      <c r="G256" s="126">
        <f t="shared" si="30"/>
        <v>695010</v>
      </c>
      <c r="H256" s="8"/>
      <c r="I256" s="9" t="str">
        <f t="array" ref="I256">_xlfn.XLOOKUP(C256,'Neiva 2022 FASE I ACTUAL (4)'!$C$6:$C$540,'Neiva 2022 FASE I ACTUAL (4)'!$C$6:$F$540,"NO ESTA")</f>
        <v>NO ESTA</v>
      </c>
      <c r="M256" s="124">
        <f t="shared" si="27"/>
        <v>0</v>
      </c>
      <c r="N256" s="155">
        <f t="shared" si="23"/>
        <v>3</v>
      </c>
      <c r="O256" s="156">
        <f t="shared" si="24"/>
        <v>231670</v>
      </c>
      <c r="P256" s="156">
        <f t="shared" si="25"/>
        <v>695010</v>
      </c>
    </row>
    <row r="257" spans="2:16" s="9" customFormat="1" ht="35.1" customHeight="1" x14ac:dyDescent="0.25">
      <c r="B257" s="23" t="s">
        <v>1214</v>
      </c>
      <c r="C257" s="22" t="s">
        <v>1215</v>
      </c>
      <c r="D257" s="10" t="s">
        <v>16</v>
      </c>
      <c r="E257" s="12">
        <v>3</v>
      </c>
      <c r="F257" s="126">
        <v>321336</v>
      </c>
      <c r="G257" s="126">
        <f t="shared" si="30"/>
        <v>964008</v>
      </c>
      <c r="H257" s="8"/>
      <c r="I257" s="9" t="str">
        <f t="array" ref="I257">_xlfn.XLOOKUP(C257,'Neiva 2022 FASE I ACTUAL (4)'!$C$6:$C$540,'Neiva 2022 FASE I ACTUAL (4)'!$C$6:$F$540,"NO ESTA")</f>
        <v>NO ESTA</v>
      </c>
      <c r="M257" s="124">
        <f t="shared" si="27"/>
        <v>0</v>
      </c>
      <c r="N257" s="155">
        <f t="shared" si="23"/>
        <v>3</v>
      </c>
      <c r="O257" s="156">
        <f t="shared" si="24"/>
        <v>321336</v>
      </c>
      <c r="P257" s="156">
        <f t="shared" si="25"/>
        <v>964008</v>
      </c>
    </row>
    <row r="258" spans="2:16" s="9" customFormat="1" ht="35.1" customHeight="1" x14ac:dyDescent="0.25">
      <c r="B258" s="23" t="s">
        <v>1216</v>
      </c>
      <c r="C258" s="22" t="s">
        <v>1217</v>
      </c>
      <c r="D258" s="10" t="s">
        <v>16</v>
      </c>
      <c r="E258" s="12">
        <v>1</v>
      </c>
      <c r="F258" s="126">
        <v>385571</v>
      </c>
      <c r="G258" s="126">
        <f t="shared" si="30"/>
        <v>385571</v>
      </c>
      <c r="H258" s="8"/>
      <c r="I258" s="9" t="str">
        <f t="array" ref="I258">_xlfn.XLOOKUP(C258,'Neiva 2022 FASE I ACTUAL (4)'!$C$6:$C$540,'Neiva 2022 FASE I ACTUAL (4)'!$C$6:$F$540,"NO ESTA")</f>
        <v>NO ESTA</v>
      </c>
      <c r="M258" s="124">
        <f t="shared" si="27"/>
        <v>0</v>
      </c>
      <c r="N258" s="155">
        <f t="shared" si="23"/>
        <v>1</v>
      </c>
      <c r="O258" s="156">
        <f t="shared" si="24"/>
        <v>385571</v>
      </c>
      <c r="P258" s="156">
        <f t="shared" si="25"/>
        <v>385571</v>
      </c>
    </row>
    <row r="259" spans="2:16" s="9" customFormat="1" ht="35.1" customHeight="1" x14ac:dyDescent="0.25">
      <c r="B259" s="13" t="s">
        <v>1218</v>
      </c>
      <c r="C259" s="14" t="s">
        <v>1219</v>
      </c>
      <c r="D259" s="13"/>
      <c r="E259" s="15"/>
      <c r="F259" s="129"/>
      <c r="G259" s="140"/>
      <c r="H259" s="8"/>
      <c r="I259" s="9" t="str">
        <f t="array" ref="I259">_xlfn.XLOOKUP(C259,'Neiva 2022 FASE I ACTUAL (4)'!$C$6:$C$540,'Neiva 2022 FASE I ACTUAL (4)'!$C$6:$F$540,"NO ESTA")</f>
        <v>NO ESTA</v>
      </c>
      <c r="M259" s="124">
        <f t="shared" si="27"/>
        <v>0</v>
      </c>
      <c r="N259" s="155">
        <f t="shared" si="23"/>
        <v>0</v>
      </c>
      <c r="O259" s="156">
        <f t="shared" si="24"/>
        <v>0</v>
      </c>
      <c r="P259" s="156">
        <f t="shared" si="25"/>
        <v>0</v>
      </c>
    </row>
    <row r="260" spans="2:16" s="9" customFormat="1" ht="35.1" customHeight="1" x14ac:dyDescent="0.25">
      <c r="B260" s="10" t="s">
        <v>1220</v>
      </c>
      <c r="C260" s="11" t="s">
        <v>1221</v>
      </c>
      <c r="D260" s="10" t="s">
        <v>16</v>
      </c>
      <c r="E260" s="12">
        <v>8</v>
      </c>
      <c r="F260" s="126">
        <v>3218117</v>
      </c>
      <c r="G260" s="126">
        <f>ROUND(+F260*E260,2)</f>
        <v>25744936</v>
      </c>
      <c r="H260" s="8"/>
      <c r="I260" s="9" t="str">
        <f t="array" ref="I260">_xlfn.XLOOKUP(C260,'Neiva 2022 FASE I ACTUAL (4)'!$C$6:$C$540,'Neiva 2022 FASE I ACTUAL (4)'!$C$6:$F$540,"NO ESTA")</f>
        <v>NO ESTA</v>
      </c>
      <c r="M260" s="124">
        <f t="shared" si="27"/>
        <v>0</v>
      </c>
      <c r="N260" s="155">
        <f t="shared" si="23"/>
        <v>8</v>
      </c>
      <c r="O260" s="156">
        <f t="shared" si="24"/>
        <v>3218117</v>
      </c>
      <c r="P260" s="156">
        <f t="shared" si="25"/>
        <v>25744936</v>
      </c>
    </row>
    <row r="261" spans="2:16" s="9" customFormat="1" ht="35.1" customHeight="1" x14ac:dyDescent="0.25">
      <c r="B261" s="33">
        <v>12</v>
      </c>
      <c r="C261" s="34" t="s">
        <v>264</v>
      </c>
      <c r="D261" s="34"/>
      <c r="E261" s="35"/>
      <c r="F261" s="132"/>
      <c r="G261" s="144"/>
      <c r="H261" s="8"/>
      <c r="I261" s="9" t="str">
        <f t="array" ref="I261:L261">_xlfn.XLOOKUP(C261,'Neiva 2022 FASE I ACTUAL (4)'!$C$6:$C$540,'Neiva 2022 FASE I ACTUAL (4)'!$C$6:$F$540,"NO ESTA")</f>
        <v xml:space="preserve">RED HIDRÁULICO Y SANITARIO </v>
      </c>
      <c r="J261" s="9">
        <v>0</v>
      </c>
      <c r="K261" s="9">
        <v>0</v>
      </c>
      <c r="L261" s="9">
        <v>0</v>
      </c>
      <c r="M261" s="124">
        <f t="shared" si="27"/>
        <v>0</v>
      </c>
      <c r="N261" s="155">
        <f t="shared" si="23"/>
        <v>0</v>
      </c>
      <c r="O261" s="156">
        <f t="shared" si="24"/>
        <v>0</v>
      </c>
      <c r="P261" s="156">
        <f t="shared" si="25"/>
        <v>0</v>
      </c>
    </row>
    <row r="262" spans="2:16" s="9" customFormat="1" ht="35.1" customHeight="1" x14ac:dyDescent="0.25">
      <c r="B262" s="42" t="s">
        <v>265</v>
      </c>
      <c r="C262" s="43" t="s">
        <v>266</v>
      </c>
      <c r="D262" s="24"/>
      <c r="E262" s="15"/>
      <c r="F262" s="129"/>
      <c r="G262" s="140"/>
      <c r="H262" s="8"/>
      <c r="I262" s="9" t="str">
        <f t="array" ref="I262:L262">_xlfn.XLOOKUP(C262,'Neiva 2022 FASE I ACTUAL (4)'!$C$6:$C$540,'Neiva 2022 FASE I ACTUAL (4)'!$C$6:$F$540,"NO ESTA")</f>
        <v>SUMINISTRO E INSTALACIÓN RED AGUA POTABLE</v>
      </c>
      <c r="J262" s="9">
        <v>0</v>
      </c>
      <c r="K262" s="9">
        <v>0</v>
      </c>
      <c r="L262" s="9">
        <v>0</v>
      </c>
      <c r="M262" s="124">
        <f t="shared" si="27"/>
        <v>0</v>
      </c>
      <c r="N262" s="155">
        <f t="shared" ref="N262:N325" si="31">E262+K262</f>
        <v>0</v>
      </c>
      <c r="O262" s="156">
        <f t="shared" ref="O262:O325" si="32">MAX(L262,F262)</f>
        <v>0</v>
      </c>
      <c r="P262" s="156">
        <f t="shared" ref="P262:P325" si="33">N262*O262</f>
        <v>0</v>
      </c>
    </row>
    <row r="263" spans="2:16" s="9" customFormat="1" ht="35.1" customHeight="1" x14ac:dyDescent="0.25">
      <c r="B263" s="44" t="s">
        <v>267</v>
      </c>
      <c r="C263" s="22" t="s">
        <v>268</v>
      </c>
      <c r="D263" s="23" t="s">
        <v>269</v>
      </c>
      <c r="E263" s="12">
        <v>121</v>
      </c>
      <c r="F263" s="126">
        <v>12676</v>
      </c>
      <c r="G263" s="126">
        <f t="shared" ref="G263:G291" si="34">ROUND(+F263*E263,2)</f>
        <v>1533796</v>
      </c>
      <c r="H263" s="8"/>
      <c r="I263" s="9" t="str">
        <f t="array" ref="I263:L263">_xlfn.XLOOKUP(C263,'Neiva 2022 FASE I ACTUAL (4)'!$C$6:$C$540,'Neiva 2022 FASE I ACTUAL (4)'!$C$6:$F$540,"NO ESTA")</f>
        <v>SUMINISTRO E INSTALACIÓN TUBERIA PVC-P DIAMETRO 1/2" RDE 9</v>
      </c>
      <c r="J263" s="9" t="str">
        <v xml:space="preserve">ML   </v>
      </c>
      <c r="K263" s="9">
        <v>45</v>
      </c>
      <c r="L263" s="9">
        <v>12322</v>
      </c>
      <c r="M263" s="124" t="str">
        <f t="shared" si="27"/>
        <v>FASE II</v>
      </c>
      <c r="N263" s="155">
        <f t="shared" si="31"/>
        <v>166</v>
      </c>
      <c r="O263" s="156">
        <f t="shared" si="32"/>
        <v>12676</v>
      </c>
      <c r="P263" s="156">
        <f t="shared" si="33"/>
        <v>2104216</v>
      </c>
    </row>
    <row r="264" spans="2:16" s="9" customFormat="1" ht="35.1" customHeight="1" x14ac:dyDescent="0.25">
      <c r="B264" s="44" t="s">
        <v>270</v>
      </c>
      <c r="C264" s="22" t="s">
        <v>271</v>
      </c>
      <c r="D264" s="23" t="s">
        <v>269</v>
      </c>
      <c r="E264" s="12">
        <v>49</v>
      </c>
      <c r="F264" s="126">
        <v>18861</v>
      </c>
      <c r="G264" s="126">
        <f t="shared" si="34"/>
        <v>924189</v>
      </c>
      <c r="H264" s="8"/>
      <c r="I264" s="9" t="str">
        <f t="array" ref="I264:L264">_xlfn.XLOOKUP(C264,'Neiva 2022 FASE I ACTUAL (4)'!$C$6:$C$540,'Neiva 2022 FASE I ACTUAL (4)'!$C$6:$F$540,"NO ESTA")</f>
        <v>SUMINISTRO E INSTALACIÓN TUBERIA PCV-P DIAMETRO 3/4" RDE 11</v>
      </c>
      <c r="J264" s="9" t="str">
        <v xml:space="preserve">ML   </v>
      </c>
      <c r="K264" s="9">
        <v>18</v>
      </c>
      <c r="L264" s="9">
        <v>18333</v>
      </c>
      <c r="M264" s="124" t="str">
        <f t="shared" ref="M264:M327" si="35">IF(L264=0,0,(IF(F264&lt;L264, "FASE I","FASE II")))</f>
        <v>FASE II</v>
      </c>
      <c r="N264" s="155">
        <f t="shared" si="31"/>
        <v>67</v>
      </c>
      <c r="O264" s="156">
        <f t="shared" si="32"/>
        <v>18861</v>
      </c>
      <c r="P264" s="156">
        <f t="shared" si="33"/>
        <v>1263687</v>
      </c>
    </row>
    <row r="265" spans="2:16" s="9" customFormat="1" ht="35.1" customHeight="1" x14ac:dyDescent="0.25">
      <c r="B265" s="44" t="s">
        <v>272</v>
      </c>
      <c r="C265" s="22" t="s">
        <v>273</v>
      </c>
      <c r="D265" s="23" t="s">
        <v>269</v>
      </c>
      <c r="E265" s="12">
        <v>40</v>
      </c>
      <c r="F265" s="126">
        <v>19999</v>
      </c>
      <c r="G265" s="126">
        <f t="shared" si="34"/>
        <v>799960</v>
      </c>
      <c r="H265" s="8"/>
      <c r="I265" s="9" t="str">
        <f t="array" ref="I265:L265">_xlfn.XLOOKUP(C265,'Neiva 2022 FASE I ACTUAL (4)'!$C$6:$C$540,'Neiva 2022 FASE I ACTUAL (4)'!$C$6:$F$540,"NO ESTA")</f>
        <v>SUMINISTRO E INSTALACIÓN TUBERIA PCV-P DIAMETRO 1" RDE 13,5</v>
      </c>
      <c r="J265" s="9" t="str">
        <v xml:space="preserve">ML   </v>
      </c>
      <c r="K265" s="9">
        <v>15</v>
      </c>
      <c r="L265" s="9">
        <v>19440</v>
      </c>
      <c r="M265" s="124" t="str">
        <f t="shared" si="35"/>
        <v>FASE II</v>
      </c>
      <c r="N265" s="155">
        <f t="shared" si="31"/>
        <v>55</v>
      </c>
      <c r="O265" s="156">
        <f t="shared" si="32"/>
        <v>19999</v>
      </c>
      <c r="P265" s="156">
        <f t="shared" si="33"/>
        <v>1099945</v>
      </c>
    </row>
    <row r="266" spans="2:16" s="9" customFormat="1" ht="35.1" customHeight="1" x14ac:dyDescent="0.25">
      <c r="B266" s="44" t="s">
        <v>274</v>
      </c>
      <c r="C266" s="22" t="s">
        <v>275</v>
      </c>
      <c r="D266" s="23" t="s">
        <v>269</v>
      </c>
      <c r="E266" s="12">
        <v>64</v>
      </c>
      <c r="F266" s="126">
        <v>21245</v>
      </c>
      <c r="G266" s="126">
        <f t="shared" si="34"/>
        <v>1359680</v>
      </c>
      <c r="H266" s="8"/>
      <c r="I266" s="9" t="str">
        <f t="array" ref="I266:L266">_xlfn.XLOOKUP(C266,'Neiva 2022 FASE I ACTUAL (4)'!$C$6:$C$540,'Neiva 2022 FASE I ACTUAL (4)'!$C$6:$F$540,"NO ESTA")</f>
        <v>SUMINISTRO E INSTALACIÓN TUBERIA PCV-P DIAMETRO 1 1/4" RDE 21</v>
      </c>
      <c r="J266" s="9" t="str">
        <v xml:space="preserve">ML   </v>
      </c>
      <c r="K266" s="9">
        <v>23</v>
      </c>
      <c r="L266" s="9">
        <v>20651</v>
      </c>
      <c r="M266" s="124" t="str">
        <f t="shared" si="35"/>
        <v>FASE II</v>
      </c>
      <c r="N266" s="155">
        <f t="shared" si="31"/>
        <v>87</v>
      </c>
      <c r="O266" s="156">
        <f t="shared" si="32"/>
        <v>21245</v>
      </c>
      <c r="P266" s="156">
        <f t="shared" si="33"/>
        <v>1848315</v>
      </c>
    </row>
    <row r="267" spans="2:16" s="9" customFormat="1" ht="35.1" customHeight="1" x14ac:dyDescent="0.25">
      <c r="B267" s="44" t="s">
        <v>276</v>
      </c>
      <c r="C267" s="22" t="s">
        <v>277</v>
      </c>
      <c r="D267" s="23" t="s">
        <v>269</v>
      </c>
      <c r="E267" s="12">
        <v>57</v>
      </c>
      <c r="F267" s="126">
        <v>27309</v>
      </c>
      <c r="G267" s="126">
        <f t="shared" si="34"/>
        <v>1556613</v>
      </c>
      <c r="H267" s="8"/>
      <c r="I267" s="9" t="str">
        <f t="array" ref="I267:L267">_xlfn.XLOOKUP(C267,'Neiva 2022 FASE I ACTUAL (4)'!$C$6:$C$540,'Neiva 2022 FASE I ACTUAL (4)'!$C$6:$F$540,"NO ESTA")</f>
        <v>SUMINISTRO E INSTALACIÓN TUBERIA PCV-P DIAMETRO 1 1/2" RDE 21</v>
      </c>
      <c r="J267" s="9" t="str">
        <v xml:space="preserve">ML   </v>
      </c>
      <c r="K267" s="9">
        <v>21</v>
      </c>
      <c r="L267" s="9">
        <v>26545</v>
      </c>
      <c r="M267" s="124" t="str">
        <f t="shared" si="35"/>
        <v>FASE II</v>
      </c>
      <c r="N267" s="155">
        <f t="shared" si="31"/>
        <v>78</v>
      </c>
      <c r="O267" s="156">
        <f t="shared" si="32"/>
        <v>27309</v>
      </c>
      <c r="P267" s="156">
        <f t="shared" si="33"/>
        <v>2130102</v>
      </c>
    </row>
    <row r="268" spans="2:16" s="9" customFormat="1" ht="35.1" customHeight="1" x14ac:dyDescent="0.25">
      <c r="B268" s="44" t="s">
        <v>278</v>
      </c>
      <c r="C268" s="22" t="s">
        <v>279</v>
      </c>
      <c r="D268" s="23" t="s">
        <v>269</v>
      </c>
      <c r="E268" s="12">
        <v>90</v>
      </c>
      <c r="F268" s="126">
        <v>39097</v>
      </c>
      <c r="G268" s="126">
        <f t="shared" si="34"/>
        <v>3518730</v>
      </c>
      <c r="H268" s="8"/>
      <c r="I268" s="9" t="str">
        <f t="array" ref="I268:L268">_xlfn.XLOOKUP(C268,'Neiva 2022 FASE I ACTUAL (4)'!$C$6:$C$540,'Neiva 2022 FASE I ACTUAL (4)'!$C$6:$F$540,"NO ESTA")</f>
        <v>SUMINISTRO E INSTALACIÓN TUBERIA PCV-P DIAMETRO 2" RDE 21</v>
      </c>
      <c r="J268" s="9" t="str">
        <v xml:space="preserve">ML   </v>
      </c>
      <c r="K268" s="9">
        <v>33</v>
      </c>
      <c r="L268" s="9">
        <v>38005</v>
      </c>
      <c r="M268" s="124" t="str">
        <f t="shared" si="35"/>
        <v>FASE II</v>
      </c>
      <c r="N268" s="155">
        <f t="shared" si="31"/>
        <v>123</v>
      </c>
      <c r="O268" s="156">
        <f t="shared" si="32"/>
        <v>39097</v>
      </c>
      <c r="P268" s="156">
        <f t="shared" si="33"/>
        <v>4808931</v>
      </c>
    </row>
    <row r="269" spans="2:16" s="9" customFormat="1" ht="35.1" customHeight="1" x14ac:dyDescent="0.25">
      <c r="B269" s="44" t="s">
        <v>280</v>
      </c>
      <c r="C269" s="22" t="s">
        <v>281</v>
      </c>
      <c r="D269" s="23" t="s">
        <v>269</v>
      </c>
      <c r="E269" s="12">
        <v>18</v>
      </c>
      <c r="F269" s="126">
        <v>52773</v>
      </c>
      <c r="G269" s="126">
        <f t="shared" si="34"/>
        <v>949914</v>
      </c>
      <c r="H269" s="8"/>
      <c r="I269" s="9" t="str">
        <f t="array" ref="I269:L269">_xlfn.XLOOKUP(C269,'Neiva 2022 FASE I ACTUAL (4)'!$C$6:$C$540,'Neiva 2022 FASE I ACTUAL (4)'!$C$6:$F$540,"NO ESTA")</f>
        <v>SUMINISTRO E INSTALACIÓN TUBERIA PCV-P DIAMETRO 2 1/2" RDE 21</v>
      </c>
      <c r="J269" s="9" t="str">
        <v xml:space="preserve">ML   </v>
      </c>
      <c r="K269" s="9">
        <v>7</v>
      </c>
      <c r="L269" s="9">
        <v>51298</v>
      </c>
      <c r="M269" s="124" t="str">
        <f t="shared" si="35"/>
        <v>FASE II</v>
      </c>
      <c r="N269" s="155">
        <f t="shared" si="31"/>
        <v>25</v>
      </c>
      <c r="O269" s="156">
        <f t="shared" si="32"/>
        <v>52773</v>
      </c>
      <c r="P269" s="156">
        <f t="shared" si="33"/>
        <v>1319325</v>
      </c>
    </row>
    <row r="270" spans="2:16" s="9" customFormat="1" ht="35.1" customHeight="1" x14ac:dyDescent="0.25">
      <c r="B270" s="44" t="s">
        <v>282</v>
      </c>
      <c r="C270" s="22" t="s">
        <v>283</v>
      </c>
      <c r="D270" s="23" t="s">
        <v>284</v>
      </c>
      <c r="E270" s="12">
        <v>105</v>
      </c>
      <c r="F270" s="126">
        <v>3281</v>
      </c>
      <c r="G270" s="126">
        <f t="shared" si="34"/>
        <v>344505</v>
      </c>
      <c r="H270" s="8"/>
      <c r="I270" s="9" t="str">
        <f t="array" ref="I270:L270">_xlfn.XLOOKUP(C270,'Neiva 2022 FASE I ACTUAL (4)'!$C$6:$C$540,'Neiva 2022 FASE I ACTUAL (4)'!$C$6:$F$540,"NO ESTA")</f>
        <v>SUMINISTRO E INSTALACIÓN ACCESORIOS PVC-P 1/2" SCH 40</v>
      </c>
      <c r="J270" s="9" t="str">
        <v xml:space="preserve">UN   </v>
      </c>
      <c r="K270" s="9">
        <v>39</v>
      </c>
      <c r="L270" s="9">
        <v>3190</v>
      </c>
      <c r="M270" s="124" t="str">
        <f t="shared" si="35"/>
        <v>FASE II</v>
      </c>
      <c r="N270" s="155">
        <f t="shared" si="31"/>
        <v>144</v>
      </c>
      <c r="O270" s="156">
        <f t="shared" si="32"/>
        <v>3281</v>
      </c>
      <c r="P270" s="156">
        <f t="shared" si="33"/>
        <v>472464</v>
      </c>
    </row>
    <row r="271" spans="2:16" s="9" customFormat="1" ht="35.1" customHeight="1" x14ac:dyDescent="0.25">
      <c r="B271" s="44" t="s">
        <v>285</v>
      </c>
      <c r="C271" s="22" t="s">
        <v>286</v>
      </c>
      <c r="D271" s="23" t="s">
        <v>284</v>
      </c>
      <c r="E271" s="12">
        <v>38</v>
      </c>
      <c r="F271" s="126">
        <v>3896</v>
      </c>
      <c r="G271" s="126">
        <f t="shared" si="34"/>
        <v>148048</v>
      </c>
      <c r="H271" s="8"/>
      <c r="I271" s="9" t="str">
        <f t="array" ref="I271:L271">_xlfn.XLOOKUP(C271,'Neiva 2022 FASE I ACTUAL (4)'!$C$6:$C$540,'Neiva 2022 FASE I ACTUAL (4)'!$C$6:$F$540,"NO ESTA")</f>
        <v>SUMINISTRO E INSTALACIÓN ACCESORIOS PVC-P 3/4" SCH 40</v>
      </c>
      <c r="J271" s="9" t="str">
        <v xml:space="preserve">UN   </v>
      </c>
      <c r="K271" s="9">
        <v>14</v>
      </c>
      <c r="L271" s="9">
        <v>3787</v>
      </c>
      <c r="M271" s="124" t="str">
        <f t="shared" si="35"/>
        <v>FASE II</v>
      </c>
      <c r="N271" s="155">
        <f t="shared" si="31"/>
        <v>52</v>
      </c>
      <c r="O271" s="156">
        <f t="shared" si="32"/>
        <v>3896</v>
      </c>
      <c r="P271" s="156">
        <f t="shared" si="33"/>
        <v>202592</v>
      </c>
    </row>
    <row r="272" spans="2:16" s="9" customFormat="1" ht="35.1" customHeight="1" x14ac:dyDescent="0.25">
      <c r="B272" s="44" t="s">
        <v>287</v>
      </c>
      <c r="C272" s="22" t="s">
        <v>288</v>
      </c>
      <c r="D272" s="23" t="s">
        <v>284</v>
      </c>
      <c r="E272" s="12">
        <v>30</v>
      </c>
      <c r="F272" s="126">
        <v>4602</v>
      </c>
      <c r="G272" s="126">
        <f t="shared" si="34"/>
        <v>138060</v>
      </c>
      <c r="H272" s="8"/>
      <c r="I272" s="9" t="str">
        <f t="array" ref="I272:L272">_xlfn.XLOOKUP(C272,'Neiva 2022 FASE I ACTUAL (4)'!$C$6:$C$540,'Neiva 2022 FASE I ACTUAL (4)'!$C$6:$F$540,"NO ESTA")</f>
        <v>SUMINISTRO E INSTALACIÓN ACCESORIOS PVC-P 1" SCH 40</v>
      </c>
      <c r="J272" s="9" t="str">
        <v xml:space="preserve">UN   </v>
      </c>
      <c r="K272" s="9">
        <v>11</v>
      </c>
      <c r="L272" s="9">
        <v>4474</v>
      </c>
      <c r="M272" s="124" t="str">
        <f t="shared" si="35"/>
        <v>FASE II</v>
      </c>
      <c r="N272" s="155">
        <f t="shared" si="31"/>
        <v>41</v>
      </c>
      <c r="O272" s="156">
        <f t="shared" si="32"/>
        <v>4602</v>
      </c>
      <c r="P272" s="156">
        <f t="shared" si="33"/>
        <v>188682</v>
      </c>
    </row>
    <row r="273" spans="2:16" s="9" customFormat="1" ht="35.1" customHeight="1" x14ac:dyDescent="0.25">
      <c r="B273" s="44" t="s">
        <v>289</v>
      </c>
      <c r="C273" s="22" t="s">
        <v>290</v>
      </c>
      <c r="D273" s="23" t="s">
        <v>284</v>
      </c>
      <c r="E273" s="12">
        <v>96</v>
      </c>
      <c r="F273" s="126">
        <v>7266</v>
      </c>
      <c r="G273" s="126">
        <f t="shared" si="34"/>
        <v>697536</v>
      </c>
      <c r="H273" s="8"/>
      <c r="I273" s="9" t="str">
        <f t="array" ref="I273:L273">_xlfn.XLOOKUP(C273,'Neiva 2022 FASE I ACTUAL (4)'!$C$6:$C$540,'Neiva 2022 FASE I ACTUAL (4)'!$C$6:$F$540,"NO ESTA")</f>
        <v>SUMINISTRO E INSTALACIÓN ACCESORIOS PVC-P 1 1/4" SCH 40</v>
      </c>
      <c r="J273" s="9" t="str">
        <v xml:space="preserve">UN   </v>
      </c>
      <c r="K273" s="9">
        <v>35</v>
      </c>
      <c r="L273" s="9">
        <v>7062</v>
      </c>
      <c r="M273" s="124" t="str">
        <f t="shared" si="35"/>
        <v>FASE II</v>
      </c>
      <c r="N273" s="155">
        <f t="shared" si="31"/>
        <v>131</v>
      </c>
      <c r="O273" s="156">
        <f t="shared" si="32"/>
        <v>7266</v>
      </c>
      <c r="P273" s="156">
        <f t="shared" si="33"/>
        <v>951846</v>
      </c>
    </row>
    <row r="274" spans="2:16" s="9" customFormat="1" ht="35.1" customHeight="1" x14ac:dyDescent="0.25">
      <c r="B274" s="44" t="s">
        <v>291</v>
      </c>
      <c r="C274" s="22" t="s">
        <v>292</v>
      </c>
      <c r="D274" s="23" t="s">
        <v>284</v>
      </c>
      <c r="E274" s="12">
        <v>82</v>
      </c>
      <c r="F274" s="126">
        <v>8958</v>
      </c>
      <c r="G274" s="126">
        <f t="shared" si="34"/>
        <v>734556</v>
      </c>
      <c r="H274" s="8"/>
      <c r="I274" s="9" t="str">
        <f t="array" ref="I274:L274">_xlfn.XLOOKUP(C274,'Neiva 2022 FASE I ACTUAL (4)'!$C$6:$C$540,'Neiva 2022 FASE I ACTUAL (4)'!$C$6:$F$540,"NO ESTA")</f>
        <v xml:space="preserve">SUMINISTRO E INSTALACIÓN ACCESORIOS PVC-P 1 1/2" SCH 40                                                </v>
      </c>
      <c r="J274" s="9" t="str">
        <v xml:space="preserve">UN   </v>
      </c>
      <c r="K274" s="9">
        <v>30</v>
      </c>
      <c r="L274" s="9">
        <v>8707</v>
      </c>
      <c r="M274" s="124" t="str">
        <f t="shared" si="35"/>
        <v>FASE II</v>
      </c>
      <c r="N274" s="155">
        <f t="shared" si="31"/>
        <v>112</v>
      </c>
      <c r="O274" s="156">
        <f t="shared" si="32"/>
        <v>8958</v>
      </c>
      <c r="P274" s="156">
        <f t="shared" si="33"/>
        <v>1003296</v>
      </c>
    </row>
    <row r="275" spans="2:16" s="9" customFormat="1" ht="35.1" customHeight="1" x14ac:dyDescent="0.25">
      <c r="B275" s="44" t="s">
        <v>293</v>
      </c>
      <c r="C275" s="22" t="s">
        <v>294</v>
      </c>
      <c r="D275" s="23" t="s">
        <v>284</v>
      </c>
      <c r="E275" s="12">
        <v>55</v>
      </c>
      <c r="F275" s="126">
        <v>12209</v>
      </c>
      <c r="G275" s="126">
        <f t="shared" si="34"/>
        <v>671495</v>
      </c>
      <c r="H275" s="8"/>
      <c r="I275" s="9" t="str">
        <f t="array" ref="I275:L275">_xlfn.XLOOKUP(C275,'Neiva 2022 FASE I ACTUAL (4)'!$C$6:$C$540,'Neiva 2022 FASE I ACTUAL (4)'!$C$6:$F$540,"NO ESTA")</f>
        <v>SUMINISTRO E INSTALACIÓN ACCESORIOS PVC-P 2" SCH 40</v>
      </c>
      <c r="J275" s="9" t="str">
        <v xml:space="preserve">UN   </v>
      </c>
      <c r="K275" s="9">
        <v>21</v>
      </c>
      <c r="L275" s="9">
        <v>11867</v>
      </c>
      <c r="M275" s="124" t="str">
        <f t="shared" si="35"/>
        <v>FASE II</v>
      </c>
      <c r="N275" s="155">
        <f t="shared" si="31"/>
        <v>76</v>
      </c>
      <c r="O275" s="156">
        <f t="shared" si="32"/>
        <v>12209</v>
      </c>
      <c r="P275" s="156">
        <f t="shared" si="33"/>
        <v>927884</v>
      </c>
    </row>
    <row r="276" spans="2:16" s="9" customFormat="1" ht="35.1" customHeight="1" x14ac:dyDescent="0.25">
      <c r="B276" s="44" t="s">
        <v>295</v>
      </c>
      <c r="C276" s="22" t="s">
        <v>296</v>
      </c>
      <c r="D276" s="23" t="s">
        <v>284</v>
      </c>
      <c r="E276" s="12">
        <v>12</v>
      </c>
      <c r="F276" s="126">
        <v>29710</v>
      </c>
      <c r="G276" s="126">
        <f t="shared" si="34"/>
        <v>356520</v>
      </c>
      <c r="H276" s="8"/>
      <c r="I276" s="9" t="str">
        <f t="array" ref="I276:L276">_xlfn.XLOOKUP(C276,'Neiva 2022 FASE I ACTUAL (4)'!$C$6:$C$540,'Neiva 2022 FASE I ACTUAL (4)'!$C$6:$F$540,"NO ESTA")</f>
        <v xml:space="preserve">SUMINISTRO E INSTALACIÓN ACCESORIOS PVC-P 2 1/2" SCH 40                                           </v>
      </c>
      <c r="J276" s="9" t="str">
        <v xml:space="preserve">UN   </v>
      </c>
      <c r="K276" s="9">
        <v>4</v>
      </c>
      <c r="L276" s="9">
        <v>28880</v>
      </c>
      <c r="M276" s="124" t="str">
        <f t="shared" si="35"/>
        <v>FASE II</v>
      </c>
      <c r="N276" s="155">
        <f t="shared" si="31"/>
        <v>16</v>
      </c>
      <c r="O276" s="156">
        <f t="shared" si="32"/>
        <v>29710</v>
      </c>
      <c r="P276" s="156">
        <f t="shared" si="33"/>
        <v>475360</v>
      </c>
    </row>
    <row r="277" spans="2:16" s="9" customFormat="1" ht="35.1" customHeight="1" x14ac:dyDescent="0.25">
      <c r="B277" s="44" t="s">
        <v>297</v>
      </c>
      <c r="C277" s="22" t="s">
        <v>298</v>
      </c>
      <c r="D277" s="23" t="s">
        <v>284</v>
      </c>
      <c r="E277" s="12">
        <v>49</v>
      </c>
      <c r="F277" s="126">
        <v>1705</v>
      </c>
      <c r="G277" s="126">
        <f t="shared" si="34"/>
        <v>83545</v>
      </c>
      <c r="H277" s="8"/>
      <c r="I277" s="9" t="str">
        <f t="array" ref="I277:L277">_xlfn.XLOOKUP(C277,'Neiva 2022 FASE I ACTUAL (4)'!$C$6:$C$540,'Neiva 2022 FASE I ACTUAL (4)'!$C$6:$F$540,"NO ESTA")</f>
        <v xml:space="preserve">SUMINISTRO E INSTALACIÓN SOPORTE DE 1/2"                                                                 </v>
      </c>
      <c r="J277" s="9" t="str">
        <v xml:space="preserve">UN   </v>
      </c>
      <c r="K277" s="9">
        <v>18</v>
      </c>
      <c r="L277" s="9">
        <v>1657</v>
      </c>
      <c r="M277" s="124" t="str">
        <f t="shared" si="35"/>
        <v>FASE II</v>
      </c>
      <c r="N277" s="155">
        <f t="shared" si="31"/>
        <v>67</v>
      </c>
      <c r="O277" s="156">
        <f t="shared" si="32"/>
        <v>1705</v>
      </c>
      <c r="P277" s="156">
        <f t="shared" si="33"/>
        <v>114235</v>
      </c>
    </row>
    <row r="278" spans="2:16" s="9" customFormat="1" ht="35.1" customHeight="1" x14ac:dyDescent="0.25">
      <c r="B278" s="44" t="s">
        <v>299</v>
      </c>
      <c r="C278" s="22" t="s">
        <v>300</v>
      </c>
      <c r="D278" s="23" t="s">
        <v>284</v>
      </c>
      <c r="E278" s="12">
        <v>18</v>
      </c>
      <c r="F278" s="126">
        <v>2289</v>
      </c>
      <c r="G278" s="126">
        <f t="shared" si="34"/>
        <v>41202</v>
      </c>
      <c r="H278" s="8"/>
      <c r="I278" s="9" t="str">
        <f t="array" ref="I278:L278">_xlfn.XLOOKUP(C278,'Neiva 2022 FASE I ACTUAL (4)'!$C$6:$C$540,'Neiva 2022 FASE I ACTUAL (4)'!$C$6:$F$540,"NO ESTA")</f>
        <v xml:space="preserve">SUMINISTRO E INSTALACIÓN SOPORTE DE 3/4"                                                                 </v>
      </c>
      <c r="J278" s="9" t="str">
        <v xml:space="preserve">UN   </v>
      </c>
      <c r="K278" s="9">
        <v>6</v>
      </c>
      <c r="L278" s="9">
        <v>2227</v>
      </c>
      <c r="M278" s="124" t="str">
        <f t="shared" si="35"/>
        <v>FASE II</v>
      </c>
      <c r="N278" s="155">
        <f t="shared" si="31"/>
        <v>24</v>
      </c>
      <c r="O278" s="156">
        <f t="shared" si="32"/>
        <v>2289</v>
      </c>
      <c r="P278" s="156">
        <f t="shared" si="33"/>
        <v>54936</v>
      </c>
    </row>
    <row r="279" spans="2:16" s="9" customFormat="1" ht="35.1" customHeight="1" x14ac:dyDescent="0.25">
      <c r="B279" s="44" t="s">
        <v>301</v>
      </c>
      <c r="C279" s="22" t="s">
        <v>302</v>
      </c>
      <c r="D279" s="23" t="s">
        <v>284</v>
      </c>
      <c r="E279" s="12">
        <v>18</v>
      </c>
      <c r="F279" s="126">
        <v>2761</v>
      </c>
      <c r="G279" s="126">
        <f t="shared" si="34"/>
        <v>49698</v>
      </c>
      <c r="H279" s="8"/>
      <c r="I279" s="9" t="str">
        <f t="array" ref="I279:L279">_xlfn.XLOOKUP(C279,'Neiva 2022 FASE I ACTUAL (4)'!$C$6:$C$540,'Neiva 2022 FASE I ACTUAL (4)'!$C$6:$F$540,"NO ESTA")</f>
        <v xml:space="preserve">SUMINISTRO E INSTALACIÓN SOPORTE DE 1"                                                                   </v>
      </c>
      <c r="J279" s="9" t="str">
        <v xml:space="preserve">UN   </v>
      </c>
      <c r="K279" s="9">
        <v>6</v>
      </c>
      <c r="L279" s="9">
        <v>2684</v>
      </c>
      <c r="M279" s="124" t="str">
        <f t="shared" si="35"/>
        <v>FASE II</v>
      </c>
      <c r="N279" s="155">
        <f t="shared" si="31"/>
        <v>24</v>
      </c>
      <c r="O279" s="156">
        <f t="shared" si="32"/>
        <v>2761</v>
      </c>
      <c r="P279" s="156">
        <f t="shared" si="33"/>
        <v>66264</v>
      </c>
    </row>
    <row r="280" spans="2:16" s="9" customFormat="1" ht="35.1" customHeight="1" x14ac:dyDescent="0.25">
      <c r="B280" s="44" t="s">
        <v>303</v>
      </c>
      <c r="C280" s="22" t="s">
        <v>304</v>
      </c>
      <c r="D280" s="23" t="s">
        <v>284</v>
      </c>
      <c r="E280" s="12">
        <v>26</v>
      </c>
      <c r="F280" s="126">
        <v>3131</v>
      </c>
      <c r="G280" s="126">
        <f t="shared" si="34"/>
        <v>81406</v>
      </c>
      <c r="H280" s="8"/>
      <c r="I280" s="9" t="str">
        <f t="array" ref="I280:L280">_xlfn.XLOOKUP(C280,'Neiva 2022 FASE I ACTUAL (4)'!$C$6:$C$540,'Neiva 2022 FASE I ACTUAL (4)'!$C$6:$F$540,"NO ESTA")</f>
        <v xml:space="preserve">SUMINISTRO E INSTALACIÓN SOPORTE DE 1 1/4"                                                               </v>
      </c>
      <c r="J280" s="9" t="str">
        <v xml:space="preserve">UN   </v>
      </c>
      <c r="K280" s="9">
        <v>10</v>
      </c>
      <c r="L280" s="9">
        <v>3044</v>
      </c>
      <c r="M280" s="124" t="str">
        <f t="shared" si="35"/>
        <v>FASE II</v>
      </c>
      <c r="N280" s="155">
        <f t="shared" si="31"/>
        <v>36</v>
      </c>
      <c r="O280" s="156">
        <f t="shared" si="32"/>
        <v>3131</v>
      </c>
      <c r="P280" s="156">
        <f t="shared" si="33"/>
        <v>112716</v>
      </c>
    </row>
    <row r="281" spans="2:16" s="9" customFormat="1" ht="35.1" customHeight="1" x14ac:dyDescent="0.25">
      <c r="B281" s="44" t="s">
        <v>305</v>
      </c>
      <c r="C281" s="45" t="s">
        <v>306</v>
      </c>
      <c r="D281" s="23" t="s">
        <v>284</v>
      </c>
      <c r="E281" s="12">
        <v>24</v>
      </c>
      <c r="F281" s="126">
        <v>3791</v>
      </c>
      <c r="G281" s="126">
        <f t="shared" si="34"/>
        <v>90984</v>
      </c>
      <c r="H281" s="8"/>
      <c r="I281" s="9" t="str">
        <f t="array" ref="I281:L281">_xlfn.XLOOKUP(C281,'Neiva 2022 FASE I ACTUAL (4)'!$C$6:$C$540,'Neiva 2022 FASE I ACTUAL (4)'!$C$6:$F$540,"NO ESTA")</f>
        <v xml:space="preserve">SUMINISTRO E INSTALACIÓN SOPORTE DE 1 1/2"                                                               </v>
      </c>
      <c r="J281" s="9" t="str">
        <v xml:space="preserve">UN   </v>
      </c>
      <c r="K281" s="9">
        <v>9</v>
      </c>
      <c r="L281" s="9">
        <v>3686</v>
      </c>
      <c r="M281" s="124" t="str">
        <f t="shared" si="35"/>
        <v>FASE II</v>
      </c>
      <c r="N281" s="155">
        <f t="shared" si="31"/>
        <v>33</v>
      </c>
      <c r="O281" s="156">
        <f t="shared" si="32"/>
        <v>3791</v>
      </c>
      <c r="P281" s="156">
        <f t="shared" si="33"/>
        <v>125103</v>
      </c>
    </row>
    <row r="282" spans="2:16" s="9" customFormat="1" ht="35.1" customHeight="1" x14ac:dyDescent="0.25">
      <c r="B282" s="44" t="s">
        <v>307</v>
      </c>
      <c r="C282" s="22" t="s">
        <v>308</v>
      </c>
      <c r="D282" s="23" t="s">
        <v>284</v>
      </c>
      <c r="E282" s="12">
        <v>31</v>
      </c>
      <c r="F282" s="126">
        <v>4884</v>
      </c>
      <c r="G282" s="126">
        <f t="shared" si="34"/>
        <v>151404</v>
      </c>
      <c r="H282" s="8"/>
      <c r="I282" s="9" t="str">
        <f t="array" ref="I282:L282">_xlfn.XLOOKUP(C282,'Neiva 2022 FASE I ACTUAL (4)'!$C$6:$C$540,'Neiva 2022 FASE I ACTUAL (4)'!$C$6:$F$540,"NO ESTA")</f>
        <v xml:space="preserve">SUMINISTRO E INSTALACIÓN SOPORTE DE 2"                                                                   </v>
      </c>
      <c r="J282" s="9" t="str">
        <v xml:space="preserve">UN   </v>
      </c>
      <c r="K282" s="9">
        <v>11</v>
      </c>
      <c r="L282" s="9">
        <v>4747</v>
      </c>
      <c r="M282" s="124" t="str">
        <f t="shared" si="35"/>
        <v>FASE II</v>
      </c>
      <c r="N282" s="155">
        <f t="shared" si="31"/>
        <v>42</v>
      </c>
      <c r="O282" s="156">
        <f t="shared" si="32"/>
        <v>4884</v>
      </c>
      <c r="P282" s="156">
        <f t="shared" si="33"/>
        <v>205128</v>
      </c>
    </row>
    <row r="283" spans="2:16" s="9" customFormat="1" ht="35.1" customHeight="1" x14ac:dyDescent="0.25">
      <c r="B283" s="44" t="s">
        <v>309</v>
      </c>
      <c r="C283" s="22" t="s">
        <v>310</v>
      </c>
      <c r="D283" s="23" t="s">
        <v>284</v>
      </c>
      <c r="E283" s="12">
        <v>7</v>
      </c>
      <c r="F283" s="126">
        <v>5644</v>
      </c>
      <c r="G283" s="135">
        <f t="shared" si="34"/>
        <v>39508</v>
      </c>
      <c r="H283" s="8"/>
      <c r="I283" s="9" t="str">
        <f t="array" ref="I283:L283">_xlfn.XLOOKUP(C283,'Neiva 2022 FASE I ACTUAL (4)'!$C$6:$C$540,'Neiva 2022 FASE I ACTUAL (4)'!$C$6:$F$540,"NO ESTA")</f>
        <v xml:space="preserve">SUMINISTRO E INSTALACIÓN SOPORTE DE 2 1/2"                                                               </v>
      </c>
      <c r="J283" s="9" t="str">
        <v xml:space="preserve">UN   </v>
      </c>
      <c r="K283" s="9">
        <v>3</v>
      </c>
      <c r="L283" s="9">
        <v>5486</v>
      </c>
      <c r="M283" s="124" t="str">
        <f t="shared" si="35"/>
        <v>FASE II</v>
      </c>
      <c r="N283" s="155">
        <f t="shared" si="31"/>
        <v>10</v>
      </c>
      <c r="O283" s="156">
        <f t="shared" si="32"/>
        <v>5644</v>
      </c>
      <c r="P283" s="156">
        <f t="shared" si="33"/>
        <v>56440</v>
      </c>
    </row>
    <row r="284" spans="2:16" s="9" customFormat="1" ht="35.1" customHeight="1" x14ac:dyDescent="0.25">
      <c r="B284" s="44" t="s">
        <v>311</v>
      </c>
      <c r="C284" s="22" t="s">
        <v>312</v>
      </c>
      <c r="D284" s="23" t="s">
        <v>284</v>
      </c>
      <c r="E284" s="46">
        <v>41</v>
      </c>
      <c r="F284" s="135">
        <v>64227</v>
      </c>
      <c r="G284" s="126">
        <f t="shared" si="34"/>
        <v>2633307</v>
      </c>
      <c r="H284" s="8"/>
      <c r="I284" s="9" t="str">
        <f t="array" ref="I284:L284">_xlfn.XLOOKUP(C284,'Neiva 2022 FASE I ACTUAL (4)'!$C$6:$C$540,'Neiva 2022 FASE I ACTUAL (4)'!$C$6:$F$540,"NO ESTA")</f>
        <v xml:space="preserve">SUMINISTRO E INSTALACIÓN PUNTO HIDRÁULICO PVC-P 1/2"                                                      </v>
      </c>
      <c r="J284" s="9" t="str">
        <v xml:space="preserve">UN   </v>
      </c>
      <c r="K284" s="9">
        <v>15</v>
      </c>
      <c r="L284" s="9">
        <v>62432</v>
      </c>
      <c r="M284" s="124" t="str">
        <f t="shared" si="35"/>
        <v>FASE II</v>
      </c>
      <c r="N284" s="155">
        <f t="shared" si="31"/>
        <v>56</v>
      </c>
      <c r="O284" s="156">
        <f t="shared" si="32"/>
        <v>64227</v>
      </c>
      <c r="P284" s="156">
        <f t="shared" si="33"/>
        <v>3596712</v>
      </c>
    </row>
    <row r="285" spans="2:16" s="9" customFormat="1" ht="35.1" customHeight="1" x14ac:dyDescent="0.25">
      <c r="B285" s="44" t="s">
        <v>313</v>
      </c>
      <c r="C285" s="22" t="s">
        <v>314</v>
      </c>
      <c r="D285" s="23" t="s">
        <v>284</v>
      </c>
      <c r="E285" s="12">
        <v>14</v>
      </c>
      <c r="F285" s="126">
        <v>68433</v>
      </c>
      <c r="G285" s="126">
        <f t="shared" si="34"/>
        <v>958062</v>
      </c>
      <c r="H285" s="8"/>
      <c r="I285" s="9" t="str">
        <f t="array" ref="I285:L285">_xlfn.XLOOKUP(C285,'Neiva 2022 FASE I ACTUAL (4)'!$C$6:$C$540,'Neiva 2022 FASE I ACTUAL (4)'!$C$6:$F$540,"NO ESTA")</f>
        <v xml:space="preserve">SUMINISTRO E INSTALACIÓN PUNTO HIDRÁULICO PVC-P 3/4"                                                      </v>
      </c>
      <c r="J285" s="9" t="str">
        <v xml:space="preserve">UN   </v>
      </c>
      <c r="K285" s="9">
        <v>5</v>
      </c>
      <c r="L285" s="9">
        <v>66520</v>
      </c>
      <c r="M285" s="124" t="str">
        <f t="shared" si="35"/>
        <v>FASE II</v>
      </c>
      <c r="N285" s="155">
        <f t="shared" si="31"/>
        <v>19</v>
      </c>
      <c r="O285" s="156">
        <f t="shared" si="32"/>
        <v>68433</v>
      </c>
      <c r="P285" s="156">
        <f t="shared" si="33"/>
        <v>1300227</v>
      </c>
    </row>
    <row r="286" spans="2:16" s="9" customFormat="1" ht="35.1" customHeight="1" x14ac:dyDescent="0.25">
      <c r="B286" s="44" t="s">
        <v>315</v>
      </c>
      <c r="C286" s="22" t="s">
        <v>316</v>
      </c>
      <c r="D286" s="23" t="s">
        <v>284</v>
      </c>
      <c r="E286" s="12">
        <v>39</v>
      </c>
      <c r="F286" s="126">
        <v>97439</v>
      </c>
      <c r="G286" s="126">
        <f t="shared" si="34"/>
        <v>3800121</v>
      </c>
      <c r="H286" s="8"/>
      <c r="I286" s="9" t="str">
        <f t="array" ref="I286:L286">_xlfn.XLOOKUP(C286,'Neiva 2022 FASE I ACTUAL (4)'!$C$6:$C$540,'Neiva 2022 FASE I ACTUAL (4)'!$C$6:$F$540,"NO ESTA")</f>
        <v xml:space="preserve">SUMINISTRO E INSTALACIÓN PUNTO HIDRÁULICO PVC-P 1 1/4"                                                    </v>
      </c>
      <c r="J286" s="9" t="str">
        <v xml:space="preserve">UN   </v>
      </c>
      <c r="K286" s="9">
        <v>15</v>
      </c>
      <c r="L286" s="9">
        <v>94716</v>
      </c>
      <c r="M286" s="124" t="str">
        <f t="shared" si="35"/>
        <v>FASE II</v>
      </c>
      <c r="N286" s="155">
        <f t="shared" si="31"/>
        <v>54</v>
      </c>
      <c r="O286" s="156">
        <f t="shared" si="32"/>
        <v>97439</v>
      </c>
      <c r="P286" s="156">
        <f t="shared" si="33"/>
        <v>5261706</v>
      </c>
    </row>
    <row r="287" spans="2:16" s="9" customFormat="1" ht="35.1" customHeight="1" x14ac:dyDescent="0.25">
      <c r="B287" s="44" t="s">
        <v>317</v>
      </c>
      <c r="C287" s="22" t="s">
        <v>318</v>
      </c>
      <c r="D287" s="23" t="s">
        <v>284</v>
      </c>
      <c r="E287" s="12">
        <v>12</v>
      </c>
      <c r="F287" s="126">
        <v>63313</v>
      </c>
      <c r="G287" s="126">
        <f t="shared" si="34"/>
        <v>759756</v>
      </c>
      <c r="H287" s="8"/>
      <c r="I287" s="9" t="str">
        <f t="array" ref="I287:L287">_xlfn.XLOOKUP(C287,'Neiva 2022 FASE I ACTUAL (4)'!$C$6:$C$540,'Neiva 2022 FASE I ACTUAL (4)'!$C$6:$F$540,"NO ESTA")</f>
        <v xml:space="preserve">SUMINISTRO E INSTALACIÓN REGISTRO CORTINA ROSCAR 1/2"                                                   </v>
      </c>
      <c r="J287" s="9" t="str">
        <v xml:space="preserve">UN   </v>
      </c>
      <c r="K287" s="9">
        <v>5</v>
      </c>
      <c r="L287" s="9">
        <v>61542</v>
      </c>
      <c r="M287" s="124" t="str">
        <f t="shared" si="35"/>
        <v>FASE II</v>
      </c>
      <c r="N287" s="155">
        <f t="shared" si="31"/>
        <v>17</v>
      </c>
      <c r="O287" s="156">
        <f t="shared" si="32"/>
        <v>63313</v>
      </c>
      <c r="P287" s="156">
        <f t="shared" si="33"/>
        <v>1076321</v>
      </c>
    </row>
    <row r="288" spans="2:16" s="9" customFormat="1" ht="35.1" customHeight="1" x14ac:dyDescent="0.25">
      <c r="B288" s="44" t="s">
        <v>319</v>
      </c>
      <c r="C288" s="22" t="s">
        <v>320</v>
      </c>
      <c r="D288" s="23" t="s">
        <v>284</v>
      </c>
      <c r="E288" s="12">
        <v>6</v>
      </c>
      <c r="F288" s="126">
        <v>164084</v>
      </c>
      <c r="G288" s="126">
        <f t="shared" si="34"/>
        <v>984504</v>
      </c>
      <c r="H288" s="8"/>
      <c r="I288" s="9" t="str">
        <f t="array" ref="I288:L288">_xlfn.XLOOKUP(C288,'Neiva 2022 FASE I ACTUAL (4)'!$C$6:$C$540,'Neiva 2022 FASE I ACTUAL (4)'!$C$6:$F$540,"NO ESTA")</f>
        <v xml:space="preserve">SUMINISTRO E INSTALACIÓN REGISTRO CORTINA P/D ROSCAR 1 1/4"                                                 </v>
      </c>
      <c r="J288" s="9" t="str">
        <v xml:space="preserve">UN   </v>
      </c>
      <c r="K288" s="9">
        <v>2</v>
      </c>
      <c r="L288" s="9">
        <v>159498</v>
      </c>
      <c r="M288" s="124" t="str">
        <f t="shared" si="35"/>
        <v>FASE II</v>
      </c>
      <c r="N288" s="155">
        <f t="shared" si="31"/>
        <v>8</v>
      </c>
      <c r="O288" s="156">
        <f t="shared" si="32"/>
        <v>164084</v>
      </c>
      <c r="P288" s="156">
        <f t="shared" si="33"/>
        <v>1312672</v>
      </c>
    </row>
    <row r="289" spans="2:16" s="9" customFormat="1" ht="35.1" customHeight="1" x14ac:dyDescent="0.25">
      <c r="B289" s="44" t="s">
        <v>321</v>
      </c>
      <c r="C289" s="22" t="s">
        <v>322</v>
      </c>
      <c r="D289" s="23" t="s">
        <v>284</v>
      </c>
      <c r="E289" s="12">
        <v>6</v>
      </c>
      <c r="F289" s="126">
        <v>222753</v>
      </c>
      <c r="G289" s="126">
        <f t="shared" si="34"/>
        <v>1336518</v>
      </c>
      <c r="H289" s="8"/>
      <c r="I289" s="9" t="str">
        <f t="array" ref="I289:L289">_xlfn.XLOOKUP(C289,'Neiva 2022 FASE I ACTUAL (4)'!$C$6:$C$540,'Neiva 2022 FASE I ACTUAL (4)'!$C$6:$F$540,"NO ESTA")</f>
        <v xml:space="preserve">SUMINISTRO E INSTALACIÓN REGISTRO CORTINA P/D ROSCAR 1 1/2"                                                 </v>
      </c>
      <c r="J289" s="9" t="str">
        <v xml:space="preserve">UN   </v>
      </c>
      <c r="K289" s="9">
        <v>2</v>
      </c>
      <c r="L289" s="9">
        <v>216526</v>
      </c>
      <c r="M289" s="124" t="str">
        <f t="shared" si="35"/>
        <v>FASE II</v>
      </c>
      <c r="N289" s="155">
        <f t="shared" si="31"/>
        <v>8</v>
      </c>
      <c r="O289" s="156">
        <f t="shared" si="32"/>
        <v>222753</v>
      </c>
      <c r="P289" s="156">
        <f t="shared" si="33"/>
        <v>1782024</v>
      </c>
    </row>
    <row r="290" spans="2:16" s="9" customFormat="1" ht="35.1" customHeight="1" x14ac:dyDescent="0.25">
      <c r="B290" s="44" t="s">
        <v>323</v>
      </c>
      <c r="C290" s="22" t="s">
        <v>324</v>
      </c>
      <c r="D290" s="23" t="s">
        <v>284</v>
      </c>
      <c r="E290" s="12">
        <v>0</v>
      </c>
      <c r="F290" s="126">
        <v>108436</v>
      </c>
      <c r="G290" s="141">
        <f t="shared" si="34"/>
        <v>0</v>
      </c>
      <c r="H290" s="8"/>
      <c r="I290" s="9" t="str">
        <f t="array" ref="I290:L290">_xlfn.XLOOKUP(C290,'Neiva 2022 FASE I ACTUAL (4)'!$C$6:$C$540,'Neiva 2022 FASE I ACTUAL (4)'!$C$6:$F$540,"NO ESTA")</f>
        <v xml:space="preserve">SUMINISTRO E INSTALACIÓN VÁLVULA FLOTADOR 1"                                                           </v>
      </c>
      <c r="J290" s="9" t="str">
        <v xml:space="preserve">UN   </v>
      </c>
      <c r="K290" s="9">
        <v>2</v>
      </c>
      <c r="L290" s="9">
        <v>105405</v>
      </c>
      <c r="M290" s="124" t="str">
        <f t="shared" si="35"/>
        <v>FASE II</v>
      </c>
      <c r="N290" s="155">
        <f t="shared" si="31"/>
        <v>2</v>
      </c>
      <c r="O290" s="156">
        <f t="shared" si="32"/>
        <v>108436</v>
      </c>
      <c r="P290" s="156">
        <f t="shared" si="33"/>
        <v>216872</v>
      </c>
    </row>
    <row r="291" spans="2:16" s="9" customFormat="1" ht="35.1" customHeight="1" x14ac:dyDescent="0.25">
      <c r="B291" s="44" t="s">
        <v>325</v>
      </c>
      <c r="C291" s="22" t="s">
        <v>326</v>
      </c>
      <c r="D291" s="23" t="s">
        <v>284</v>
      </c>
      <c r="E291" s="12">
        <v>0</v>
      </c>
      <c r="F291" s="126">
        <v>169565</v>
      </c>
      <c r="G291" s="141">
        <f t="shared" si="34"/>
        <v>0</v>
      </c>
      <c r="H291" s="8"/>
      <c r="I291" s="9" t="str">
        <f t="array" ref="I291:L291">_xlfn.XLOOKUP(C291,'Neiva 2022 FASE I ACTUAL (4)'!$C$6:$C$540,'Neiva 2022 FASE I ACTUAL (4)'!$C$6:$F$540,"NO ESTA")</f>
        <v xml:space="preserve">SUMINISTRO E INSTALACIÓN MEDIDOR VELOCIMETRICO  3/4"                                                   </v>
      </c>
      <c r="J291" s="9" t="str">
        <v xml:space="preserve">UN   </v>
      </c>
      <c r="K291" s="9">
        <v>1</v>
      </c>
      <c r="L291" s="9">
        <v>164826</v>
      </c>
      <c r="M291" s="124" t="str">
        <f t="shared" si="35"/>
        <v>FASE II</v>
      </c>
      <c r="N291" s="155">
        <f t="shared" si="31"/>
        <v>1</v>
      </c>
      <c r="O291" s="156">
        <f t="shared" si="32"/>
        <v>169565</v>
      </c>
      <c r="P291" s="156">
        <f t="shared" si="33"/>
        <v>169565</v>
      </c>
    </row>
    <row r="292" spans="2:16" s="9" customFormat="1" ht="35.1" customHeight="1" x14ac:dyDescent="0.25">
      <c r="B292" s="47" t="s">
        <v>327</v>
      </c>
      <c r="C292" s="24" t="s">
        <v>328</v>
      </c>
      <c r="D292" s="24"/>
      <c r="E292" s="15"/>
      <c r="F292" s="129"/>
      <c r="G292" s="140"/>
      <c r="H292" s="8"/>
      <c r="I292" s="9" t="str">
        <f t="array" ref="I292:L292">_xlfn.XLOOKUP(C292,'Neiva 2022 FASE I ACTUAL (4)'!$C$6:$C$540,'Neiva 2022 FASE I ACTUAL (4)'!$C$6:$F$540,"NO ESTA")</f>
        <v xml:space="preserve">SUMINISTRO E INSTALACION RED DESAGÜES AGUAS RESIDUALES                                                                              </v>
      </c>
      <c r="J292" s="9">
        <v>0</v>
      </c>
      <c r="K292" s="9">
        <v>0</v>
      </c>
      <c r="L292" s="9">
        <v>0</v>
      </c>
      <c r="M292" s="124">
        <f t="shared" si="35"/>
        <v>0</v>
      </c>
      <c r="N292" s="155">
        <f t="shared" si="31"/>
        <v>0</v>
      </c>
      <c r="O292" s="156">
        <f t="shared" si="32"/>
        <v>0</v>
      </c>
      <c r="P292" s="156">
        <f t="shared" si="33"/>
        <v>0</v>
      </c>
    </row>
    <row r="293" spans="2:16" s="9" customFormat="1" ht="35.1" customHeight="1" x14ac:dyDescent="0.25">
      <c r="B293" s="10" t="s">
        <v>329</v>
      </c>
      <c r="C293" s="48" t="s">
        <v>330</v>
      </c>
      <c r="D293" s="23" t="s">
        <v>269</v>
      </c>
      <c r="E293" s="12">
        <v>34</v>
      </c>
      <c r="F293" s="126">
        <v>24554</v>
      </c>
      <c r="G293" s="126">
        <f t="shared" ref="G293:G311" si="36">ROUND(+F293*E293,2)</f>
        <v>834836</v>
      </c>
      <c r="H293" s="8"/>
      <c r="I293" s="9" t="str">
        <f t="array" ref="I293:L293">_xlfn.XLOOKUP(C293,'Neiva 2022 FASE I ACTUAL (4)'!$C$6:$C$540,'Neiva 2022 FASE I ACTUAL (4)'!$C$6:$F$540,"NO ESTA")</f>
        <v xml:space="preserve">SUMINISTRO E INSTALACIÓN TUBERIA PVC-S DIAMETRO 2"                                                                        </v>
      </c>
      <c r="J293" s="9" t="str">
        <v xml:space="preserve">ML   </v>
      </c>
      <c r="K293" s="9">
        <v>12</v>
      </c>
      <c r="L293" s="9">
        <v>23868</v>
      </c>
      <c r="M293" s="124" t="str">
        <f t="shared" si="35"/>
        <v>FASE II</v>
      </c>
      <c r="N293" s="155">
        <f t="shared" si="31"/>
        <v>46</v>
      </c>
      <c r="O293" s="156">
        <f t="shared" si="32"/>
        <v>24554</v>
      </c>
      <c r="P293" s="156">
        <f t="shared" si="33"/>
        <v>1129484</v>
      </c>
    </row>
    <row r="294" spans="2:16" s="9" customFormat="1" ht="35.1" customHeight="1" x14ac:dyDescent="0.25">
      <c r="B294" s="10" t="s">
        <v>331</v>
      </c>
      <c r="C294" s="22" t="s">
        <v>332</v>
      </c>
      <c r="D294" s="23" t="s">
        <v>269</v>
      </c>
      <c r="E294" s="12">
        <v>157</v>
      </c>
      <c r="F294" s="126">
        <v>36135</v>
      </c>
      <c r="G294" s="126">
        <f t="shared" si="36"/>
        <v>5673195</v>
      </c>
      <c r="H294" s="8"/>
      <c r="I294" s="9" t="str">
        <f t="array" ref="I294:L294">_xlfn.XLOOKUP(C294,'Neiva 2022 FASE I ACTUAL (4)'!$C$6:$C$540,'Neiva 2022 FASE I ACTUAL (4)'!$C$6:$F$540,"NO ESTA")</f>
        <v xml:space="preserve">SUMINISTRO E INSTALACIÓN TUBERIA PVC-S DIAMETRO 3"                                                                        </v>
      </c>
      <c r="J294" s="9" t="str">
        <v xml:space="preserve">ML   </v>
      </c>
      <c r="K294" s="9">
        <v>58</v>
      </c>
      <c r="L294" s="9">
        <v>35125</v>
      </c>
      <c r="M294" s="124" t="str">
        <f t="shared" si="35"/>
        <v>FASE II</v>
      </c>
      <c r="N294" s="155">
        <f t="shared" si="31"/>
        <v>215</v>
      </c>
      <c r="O294" s="156">
        <f t="shared" si="32"/>
        <v>36135</v>
      </c>
      <c r="P294" s="156">
        <f t="shared" si="33"/>
        <v>7769025</v>
      </c>
    </row>
    <row r="295" spans="2:16" s="9" customFormat="1" ht="35.1" customHeight="1" x14ac:dyDescent="0.25">
      <c r="B295" s="10" t="s">
        <v>333</v>
      </c>
      <c r="C295" s="22" t="s">
        <v>334</v>
      </c>
      <c r="D295" s="23" t="s">
        <v>269</v>
      </c>
      <c r="E295" s="12">
        <v>272</v>
      </c>
      <c r="F295" s="126">
        <v>51550</v>
      </c>
      <c r="G295" s="126">
        <f t="shared" si="36"/>
        <v>14021600</v>
      </c>
      <c r="H295" s="8"/>
      <c r="I295" s="9" t="str">
        <f t="array" ref="I295:L295">_xlfn.XLOOKUP(C295,'Neiva 2022 FASE I ACTUAL (4)'!$C$6:$C$540,'Neiva 2022 FASE I ACTUAL (4)'!$C$6:$F$540,"NO ESTA")</f>
        <v xml:space="preserve">SUMINISTRO E INSTALACIÓN TUBERÍA PVC-S DIAMETRO 4"                                                                        </v>
      </c>
      <c r="J295" s="9" t="str">
        <v xml:space="preserve">ML   </v>
      </c>
      <c r="K295" s="9">
        <v>101</v>
      </c>
      <c r="L295" s="9">
        <v>50109</v>
      </c>
      <c r="M295" s="124" t="str">
        <f t="shared" si="35"/>
        <v>FASE II</v>
      </c>
      <c r="N295" s="155">
        <f t="shared" si="31"/>
        <v>373</v>
      </c>
      <c r="O295" s="156">
        <f t="shared" si="32"/>
        <v>51550</v>
      </c>
      <c r="P295" s="156">
        <f t="shared" si="33"/>
        <v>19228150</v>
      </c>
    </row>
    <row r="296" spans="2:16" s="9" customFormat="1" ht="35.1" customHeight="1" x14ac:dyDescent="0.25">
      <c r="B296" s="10" t="s">
        <v>335</v>
      </c>
      <c r="C296" s="22" t="s">
        <v>336</v>
      </c>
      <c r="D296" s="23" t="s">
        <v>269</v>
      </c>
      <c r="E296" s="12">
        <v>72</v>
      </c>
      <c r="F296" s="126">
        <v>21367</v>
      </c>
      <c r="G296" s="126">
        <f t="shared" si="36"/>
        <v>1538424</v>
      </c>
      <c r="H296" s="8"/>
      <c r="I296" s="9" t="str">
        <f t="array" ref="I296:L296">_xlfn.XLOOKUP(C296,'Neiva 2022 FASE I ACTUAL (4)'!$C$6:$C$540,'Neiva 2022 FASE I ACTUAL (4)'!$C$6:$F$540,"NO ESTA")</f>
        <v xml:space="preserve">SUMINISTRO E INSTALACIÓN TUBERIA PVC-VENT DIAMETRO 2"                                                                     </v>
      </c>
      <c r="J296" s="9" t="str">
        <v xml:space="preserve">ML   </v>
      </c>
      <c r="K296" s="9">
        <v>26</v>
      </c>
      <c r="L296" s="9">
        <v>20770</v>
      </c>
      <c r="M296" s="124" t="str">
        <f t="shared" si="35"/>
        <v>FASE II</v>
      </c>
      <c r="N296" s="155">
        <f t="shared" si="31"/>
        <v>98</v>
      </c>
      <c r="O296" s="156">
        <f t="shared" si="32"/>
        <v>21367</v>
      </c>
      <c r="P296" s="156">
        <f t="shared" si="33"/>
        <v>2093966</v>
      </c>
    </row>
    <row r="297" spans="2:16" s="9" customFormat="1" ht="35.1" customHeight="1" x14ac:dyDescent="0.25">
      <c r="B297" s="10" t="s">
        <v>337</v>
      </c>
      <c r="C297" s="22" t="s">
        <v>338</v>
      </c>
      <c r="D297" s="23" t="s">
        <v>269</v>
      </c>
      <c r="E297" s="12">
        <v>97</v>
      </c>
      <c r="F297" s="126">
        <v>31767</v>
      </c>
      <c r="G297" s="126">
        <f t="shared" si="36"/>
        <v>3081399</v>
      </c>
      <c r="H297" s="8"/>
      <c r="I297" s="9" t="str">
        <f t="array" ref="I297:L297">_xlfn.XLOOKUP(C297,'Neiva 2022 FASE I ACTUAL (4)'!$C$6:$C$540,'Neiva 2022 FASE I ACTUAL (4)'!$C$6:$F$540,"NO ESTA")</f>
        <v xml:space="preserve">SUMINISTRO E INSTALACIÓN TUBERIA PVC-VENT DIAMETRO 3"                                                                     </v>
      </c>
      <c r="J297" s="9" t="str">
        <v xml:space="preserve">ML   </v>
      </c>
      <c r="K297" s="9">
        <v>36</v>
      </c>
      <c r="L297" s="9">
        <v>30880</v>
      </c>
      <c r="M297" s="124" t="str">
        <f t="shared" si="35"/>
        <v>FASE II</v>
      </c>
      <c r="N297" s="155">
        <f t="shared" si="31"/>
        <v>133</v>
      </c>
      <c r="O297" s="156">
        <f t="shared" si="32"/>
        <v>31767</v>
      </c>
      <c r="P297" s="156">
        <f t="shared" si="33"/>
        <v>4225011</v>
      </c>
    </row>
    <row r="298" spans="2:16" s="9" customFormat="1" ht="35.1" customHeight="1" x14ac:dyDescent="0.25">
      <c r="B298" s="10" t="s">
        <v>339</v>
      </c>
      <c r="C298" s="22" t="s">
        <v>340</v>
      </c>
      <c r="D298" s="23" t="s">
        <v>284</v>
      </c>
      <c r="E298" s="12">
        <v>122</v>
      </c>
      <c r="F298" s="126">
        <v>7512</v>
      </c>
      <c r="G298" s="126">
        <f t="shared" si="36"/>
        <v>916464</v>
      </c>
      <c r="H298" s="8"/>
      <c r="I298" s="9" t="str">
        <f t="array" ref="I298:L298">_xlfn.XLOOKUP(C298,'Neiva 2022 FASE I ACTUAL (4)'!$C$6:$C$540,'Neiva 2022 FASE I ACTUAL (4)'!$C$6:$F$540,"NO ESTA")</f>
        <v xml:space="preserve">SUMINISTRO E INSTALACIÓN ACCESORIOS PVC-S DIAMETRO  2"                                                             </v>
      </c>
      <c r="J298" s="9" t="str">
        <v xml:space="preserve">UN   </v>
      </c>
      <c r="K298" s="9">
        <v>45</v>
      </c>
      <c r="L298" s="9">
        <v>7302</v>
      </c>
      <c r="M298" s="124" t="str">
        <f t="shared" si="35"/>
        <v>FASE II</v>
      </c>
      <c r="N298" s="155">
        <f t="shared" si="31"/>
        <v>167</v>
      </c>
      <c r="O298" s="156">
        <f t="shared" si="32"/>
        <v>7512</v>
      </c>
      <c r="P298" s="156">
        <f t="shared" si="33"/>
        <v>1254504</v>
      </c>
    </row>
    <row r="299" spans="2:16" s="9" customFormat="1" ht="35.1" customHeight="1" x14ac:dyDescent="0.25">
      <c r="B299" s="10" t="s">
        <v>341</v>
      </c>
      <c r="C299" s="22" t="s">
        <v>342</v>
      </c>
      <c r="D299" s="23" t="s">
        <v>284</v>
      </c>
      <c r="E299" s="12">
        <v>161</v>
      </c>
      <c r="F299" s="126">
        <v>10700</v>
      </c>
      <c r="G299" s="126">
        <f t="shared" si="36"/>
        <v>1722700</v>
      </c>
      <c r="H299" s="8"/>
      <c r="I299" s="9" t="str">
        <f t="array" ref="I299:L299">_xlfn.XLOOKUP(C299,'Neiva 2022 FASE I ACTUAL (4)'!$C$6:$C$540,'Neiva 2022 FASE I ACTUAL (4)'!$C$6:$F$540,"NO ESTA")</f>
        <v xml:space="preserve">SUMINISTRO E INSTALACIÓN ACCESORIOS PVC-S DIAMETRO  3"                                                             </v>
      </c>
      <c r="J299" s="9" t="str">
        <v xml:space="preserve">UN   </v>
      </c>
      <c r="K299" s="9">
        <v>60</v>
      </c>
      <c r="L299" s="9">
        <v>10402</v>
      </c>
      <c r="M299" s="124" t="str">
        <f t="shared" si="35"/>
        <v>FASE II</v>
      </c>
      <c r="N299" s="155">
        <f t="shared" si="31"/>
        <v>221</v>
      </c>
      <c r="O299" s="156">
        <f t="shared" si="32"/>
        <v>10700</v>
      </c>
      <c r="P299" s="156">
        <f t="shared" si="33"/>
        <v>2364700</v>
      </c>
    </row>
    <row r="300" spans="2:16" s="9" customFormat="1" ht="35.1" customHeight="1" x14ac:dyDescent="0.25">
      <c r="B300" s="10" t="s">
        <v>343</v>
      </c>
      <c r="C300" s="22" t="s">
        <v>344</v>
      </c>
      <c r="D300" s="23" t="s">
        <v>284</v>
      </c>
      <c r="E300" s="12">
        <v>288</v>
      </c>
      <c r="F300" s="126">
        <v>15725</v>
      </c>
      <c r="G300" s="126">
        <f t="shared" si="36"/>
        <v>4528800</v>
      </c>
      <c r="H300" s="8"/>
      <c r="I300" s="9" t="str">
        <f t="array" ref="I300:L300">_xlfn.XLOOKUP(C300,'Neiva 2022 FASE I ACTUAL (4)'!$C$6:$C$540,'Neiva 2022 FASE I ACTUAL (4)'!$C$6:$F$540,"NO ESTA")</f>
        <v xml:space="preserve">SUMINISTRO E INSTALACIÓN ACCESORIOS PVC-S DIAMETRO  4"                                                             </v>
      </c>
      <c r="J300" s="9" t="str">
        <v xml:space="preserve">UN   </v>
      </c>
      <c r="K300" s="9">
        <v>106</v>
      </c>
      <c r="L300" s="9">
        <v>15285</v>
      </c>
      <c r="M300" s="124" t="str">
        <f t="shared" si="35"/>
        <v>FASE II</v>
      </c>
      <c r="N300" s="155">
        <f t="shared" si="31"/>
        <v>394</v>
      </c>
      <c r="O300" s="156">
        <f t="shared" si="32"/>
        <v>15725</v>
      </c>
      <c r="P300" s="156">
        <f t="shared" si="33"/>
        <v>6195650</v>
      </c>
    </row>
    <row r="301" spans="2:16" s="9" customFormat="1" ht="35.1" customHeight="1" x14ac:dyDescent="0.25">
      <c r="B301" s="10" t="s">
        <v>345</v>
      </c>
      <c r="C301" s="22" t="s">
        <v>346</v>
      </c>
      <c r="D301" s="23" t="s">
        <v>284</v>
      </c>
      <c r="E301" s="12">
        <v>14</v>
      </c>
      <c r="F301" s="126">
        <v>4884</v>
      </c>
      <c r="G301" s="126">
        <f t="shared" si="36"/>
        <v>68376</v>
      </c>
      <c r="H301" s="8"/>
      <c r="I301" s="9" t="str">
        <f t="array" ref="I301:L301">_xlfn.XLOOKUP(C301,'Neiva 2022 FASE I ACTUAL (4)'!$C$6:$C$540,'Neiva 2022 FASE I ACTUAL (4)'!$C$6:$F$540,"NO ESTA")</f>
        <v xml:space="preserve">SUMINISTRO E INSTALACIÓN SOPORTE 2"                                                                   </v>
      </c>
      <c r="J301" s="9" t="str">
        <v xml:space="preserve">UN   </v>
      </c>
      <c r="K301" s="9">
        <v>5</v>
      </c>
      <c r="L301" s="9">
        <v>4747</v>
      </c>
      <c r="M301" s="124" t="str">
        <f t="shared" si="35"/>
        <v>FASE II</v>
      </c>
      <c r="N301" s="155">
        <f t="shared" si="31"/>
        <v>19</v>
      </c>
      <c r="O301" s="156">
        <f t="shared" si="32"/>
        <v>4884</v>
      </c>
      <c r="P301" s="156">
        <f t="shared" si="33"/>
        <v>92796</v>
      </c>
    </row>
    <row r="302" spans="2:16" s="9" customFormat="1" ht="35.1" customHeight="1" x14ac:dyDescent="0.25">
      <c r="B302" s="10" t="s">
        <v>347</v>
      </c>
      <c r="C302" s="22" t="s">
        <v>348</v>
      </c>
      <c r="D302" s="23" t="s">
        <v>284</v>
      </c>
      <c r="E302" s="12">
        <v>64</v>
      </c>
      <c r="F302" s="126">
        <v>6212</v>
      </c>
      <c r="G302" s="126">
        <f t="shared" si="36"/>
        <v>397568</v>
      </c>
      <c r="H302" s="8"/>
      <c r="I302" s="9" t="str">
        <f t="array" ref="I302:L302">_xlfn.XLOOKUP(C302,'Neiva 2022 FASE I ACTUAL (4)'!$C$6:$C$540,'Neiva 2022 FASE I ACTUAL (4)'!$C$6:$F$540,"NO ESTA")</f>
        <v xml:space="preserve">SUMINISTRO E INSTALACIÓN SOPORTE 3"                                                                   </v>
      </c>
      <c r="J302" s="9" t="str">
        <v xml:space="preserve">UN   </v>
      </c>
      <c r="K302" s="9">
        <v>23</v>
      </c>
      <c r="L302" s="9">
        <v>6038</v>
      </c>
      <c r="M302" s="124" t="str">
        <f t="shared" si="35"/>
        <v>FASE II</v>
      </c>
      <c r="N302" s="155">
        <f t="shared" si="31"/>
        <v>87</v>
      </c>
      <c r="O302" s="156">
        <f t="shared" si="32"/>
        <v>6212</v>
      </c>
      <c r="P302" s="156">
        <f t="shared" si="33"/>
        <v>540444</v>
      </c>
    </row>
    <row r="303" spans="2:16" s="9" customFormat="1" ht="35.1" customHeight="1" x14ac:dyDescent="0.25">
      <c r="B303" s="10" t="s">
        <v>349</v>
      </c>
      <c r="C303" s="22" t="s">
        <v>350</v>
      </c>
      <c r="D303" s="23" t="s">
        <v>284</v>
      </c>
      <c r="E303" s="12">
        <v>101</v>
      </c>
      <c r="F303" s="126">
        <v>12329</v>
      </c>
      <c r="G303" s="126">
        <f t="shared" si="36"/>
        <v>1245229</v>
      </c>
      <c r="H303" s="8"/>
      <c r="I303" s="9" t="str">
        <f t="array" ref="I303:L303">_xlfn.XLOOKUP(C303,'Neiva 2022 FASE I ACTUAL (4)'!$C$6:$C$540,'Neiva 2022 FASE I ACTUAL (4)'!$C$6:$F$540,"NO ESTA")</f>
        <v xml:space="preserve">SUMINISTRO E INSTALACIÓN SOPORTE 4"                                                                   </v>
      </c>
      <c r="J303" s="9" t="str">
        <v xml:space="preserve">UN   </v>
      </c>
      <c r="K303" s="9">
        <v>38</v>
      </c>
      <c r="L303" s="9">
        <v>11985</v>
      </c>
      <c r="M303" s="124" t="str">
        <f t="shared" si="35"/>
        <v>FASE II</v>
      </c>
      <c r="N303" s="155">
        <f t="shared" si="31"/>
        <v>139</v>
      </c>
      <c r="O303" s="156">
        <f t="shared" si="32"/>
        <v>12329</v>
      </c>
      <c r="P303" s="156">
        <f t="shared" si="33"/>
        <v>1713731</v>
      </c>
    </row>
    <row r="304" spans="2:16" s="9" customFormat="1" ht="35.1" customHeight="1" x14ac:dyDescent="0.25">
      <c r="B304" s="10" t="s">
        <v>351</v>
      </c>
      <c r="C304" s="22" t="s">
        <v>352</v>
      </c>
      <c r="D304" s="23" t="s">
        <v>284</v>
      </c>
      <c r="E304" s="12">
        <v>36</v>
      </c>
      <c r="F304" s="126">
        <v>41384</v>
      </c>
      <c r="G304" s="126">
        <f t="shared" si="36"/>
        <v>1489824</v>
      </c>
      <c r="H304" s="8"/>
      <c r="I304" s="9" t="str">
        <f t="array" ref="I304:L304">_xlfn.XLOOKUP(C304,'Neiva 2022 FASE I ACTUAL (4)'!$C$6:$C$540,'Neiva 2022 FASE I ACTUAL (4)'!$C$6:$F$540,"NO ESTA")</f>
        <v xml:space="preserve">SUMINISTRO E INSTALACIÓN SALIDA SANITARIA 2"                                    </v>
      </c>
      <c r="J304" s="9" t="str">
        <v xml:space="preserve">UN   </v>
      </c>
      <c r="K304" s="9">
        <v>14</v>
      </c>
      <c r="L304" s="9">
        <v>40228</v>
      </c>
      <c r="M304" s="124" t="str">
        <f t="shared" si="35"/>
        <v>FASE II</v>
      </c>
      <c r="N304" s="155">
        <f t="shared" si="31"/>
        <v>50</v>
      </c>
      <c r="O304" s="156">
        <f t="shared" si="32"/>
        <v>41384</v>
      </c>
      <c r="P304" s="156">
        <f t="shared" si="33"/>
        <v>2069200</v>
      </c>
    </row>
    <row r="305" spans="2:16" s="9" customFormat="1" ht="35.1" customHeight="1" x14ac:dyDescent="0.25">
      <c r="B305" s="10" t="s">
        <v>353</v>
      </c>
      <c r="C305" s="22" t="s">
        <v>354</v>
      </c>
      <c r="D305" s="23" t="s">
        <v>284</v>
      </c>
      <c r="E305" s="12">
        <v>23</v>
      </c>
      <c r="F305" s="126">
        <v>50021</v>
      </c>
      <c r="G305" s="126">
        <f t="shared" si="36"/>
        <v>1150483</v>
      </c>
      <c r="H305" s="8"/>
      <c r="I305" s="9" t="str">
        <f t="array" ref="I305:L305">_xlfn.XLOOKUP(C305,'Neiva 2022 FASE I ACTUAL (4)'!$C$6:$C$540,'Neiva 2022 FASE I ACTUAL (4)'!$C$6:$F$540,"NO ESTA")</f>
        <v xml:space="preserve">SUMINISTRO E INSTALACIÓN SALIDA SANITARIA 3"                                    </v>
      </c>
      <c r="J305" s="9" t="str">
        <v xml:space="preserve">UN   </v>
      </c>
      <c r="K305" s="9">
        <v>9</v>
      </c>
      <c r="L305" s="9">
        <v>48624</v>
      </c>
      <c r="M305" s="124" t="str">
        <f t="shared" si="35"/>
        <v>FASE II</v>
      </c>
      <c r="N305" s="155">
        <f t="shared" si="31"/>
        <v>32</v>
      </c>
      <c r="O305" s="156">
        <f t="shared" si="32"/>
        <v>50021</v>
      </c>
      <c r="P305" s="156">
        <f t="shared" si="33"/>
        <v>1600672</v>
      </c>
    </row>
    <row r="306" spans="2:16" s="9" customFormat="1" ht="35.1" customHeight="1" x14ac:dyDescent="0.25">
      <c r="B306" s="10" t="s">
        <v>355</v>
      </c>
      <c r="C306" s="22" t="s">
        <v>356</v>
      </c>
      <c r="D306" s="23" t="s">
        <v>284</v>
      </c>
      <c r="E306" s="12">
        <v>42</v>
      </c>
      <c r="F306" s="126">
        <v>61472</v>
      </c>
      <c r="G306" s="126">
        <f t="shared" si="36"/>
        <v>2581824</v>
      </c>
      <c r="H306" s="8"/>
      <c r="I306" s="9" t="str">
        <f t="array" ref="I306:L306">_xlfn.XLOOKUP(C306,'Neiva 2022 FASE I ACTUAL (4)'!$C$6:$C$540,'Neiva 2022 FASE I ACTUAL (4)'!$C$6:$F$540,"NO ESTA")</f>
        <v xml:space="preserve">SUMINISTRO E INSTALACIÓN SALIDA SANITARIA 4"                                    </v>
      </c>
      <c r="J306" s="9" t="str">
        <v xml:space="preserve">UN   </v>
      </c>
      <c r="K306" s="9">
        <v>16</v>
      </c>
      <c r="L306" s="9">
        <v>59754</v>
      </c>
      <c r="M306" s="124" t="str">
        <f t="shared" si="35"/>
        <v>FASE II</v>
      </c>
      <c r="N306" s="155">
        <f t="shared" si="31"/>
        <v>58</v>
      </c>
      <c r="O306" s="156">
        <f t="shared" si="32"/>
        <v>61472</v>
      </c>
      <c r="P306" s="156">
        <f t="shared" si="33"/>
        <v>3565376</v>
      </c>
    </row>
    <row r="307" spans="2:16" s="9" customFormat="1" ht="35.1" customHeight="1" x14ac:dyDescent="0.25">
      <c r="B307" s="10" t="s">
        <v>357</v>
      </c>
      <c r="C307" s="22" t="s">
        <v>358</v>
      </c>
      <c r="D307" s="23" t="s">
        <v>284</v>
      </c>
      <c r="E307" s="12">
        <v>1</v>
      </c>
      <c r="F307" s="126">
        <v>542308</v>
      </c>
      <c r="G307" s="126">
        <f t="shared" si="36"/>
        <v>542308</v>
      </c>
      <c r="H307" s="8"/>
      <c r="I307" s="9" t="str">
        <f t="array" ref="I307:L307">_xlfn.XLOOKUP(C307,'Neiva 2022 FASE I ACTUAL (4)'!$C$6:$C$540,'Neiva 2022 FASE I ACTUAL (4)'!$C$6:$F$540,"NO ESTA")</f>
        <v xml:space="preserve">SUMINISTRO Y CONSTRUCCIÓN CAJA DE INSPECCIÓN 0.80mX0.80m H mäx:1.0m                                                                    </v>
      </c>
      <c r="J307" s="9" t="str">
        <v xml:space="preserve">UN   </v>
      </c>
      <c r="K307" s="9">
        <v>1</v>
      </c>
      <c r="L307" s="9">
        <v>527149</v>
      </c>
      <c r="M307" s="124" t="str">
        <f t="shared" si="35"/>
        <v>FASE II</v>
      </c>
      <c r="N307" s="155">
        <f t="shared" si="31"/>
        <v>2</v>
      </c>
      <c r="O307" s="156">
        <f t="shared" si="32"/>
        <v>542308</v>
      </c>
      <c r="P307" s="156">
        <f t="shared" si="33"/>
        <v>1084616</v>
      </c>
    </row>
    <row r="308" spans="2:16" s="9" customFormat="1" ht="35.1" customHeight="1" x14ac:dyDescent="0.25">
      <c r="B308" s="10" t="s">
        <v>359</v>
      </c>
      <c r="C308" s="22" t="s">
        <v>360</v>
      </c>
      <c r="D308" s="23" t="s">
        <v>269</v>
      </c>
      <c r="E308" s="12">
        <v>29</v>
      </c>
      <c r="F308" s="126">
        <v>45798</v>
      </c>
      <c r="G308" s="126">
        <f t="shared" si="36"/>
        <v>1328142</v>
      </c>
      <c r="H308" s="8"/>
      <c r="I308" s="9" t="str">
        <f t="array" ref="I308:L308">_xlfn.XLOOKUP(C308,'Neiva 2022 FASE I ACTUAL (4)'!$C$6:$C$540,'Neiva 2022 FASE I ACTUAL (4)'!$C$6:$F$540,"NO ESTA")</f>
        <v xml:space="preserve">SUMINISTRO E INSTALACIÓN TUBERIA PVC-ALC DIAMETRO 160mm                                                                   </v>
      </c>
      <c r="J308" s="9" t="str">
        <v xml:space="preserve">ML   </v>
      </c>
      <c r="K308" s="9">
        <v>11</v>
      </c>
      <c r="L308" s="9">
        <v>44518</v>
      </c>
      <c r="M308" s="124" t="str">
        <f t="shared" si="35"/>
        <v>FASE II</v>
      </c>
      <c r="N308" s="155">
        <f t="shared" si="31"/>
        <v>40</v>
      </c>
      <c r="O308" s="156">
        <f t="shared" si="32"/>
        <v>45798</v>
      </c>
      <c r="P308" s="156">
        <f t="shared" si="33"/>
        <v>1831920</v>
      </c>
    </row>
    <row r="309" spans="2:16" s="9" customFormat="1" ht="35.1" customHeight="1" x14ac:dyDescent="0.25">
      <c r="B309" s="10" t="s">
        <v>361</v>
      </c>
      <c r="C309" s="22" t="s">
        <v>362</v>
      </c>
      <c r="D309" s="23" t="s">
        <v>269</v>
      </c>
      <c r="E309" s="12">
        <v>7</v>
      </c>
      <c r="F309" s="126">
        <v>63955</v>
      </c>
      <c r="G309" s="126">
        <f t="shared" si="36"/>
        <v>447685</v>
      </c>
      <c r="H309" s="8"/>
      <c r="I309" s="9" t="str">
        <f t="array" ref="I309:L309">_xlfn.XLOOKUP(C309,'Neiva 2022 FASE I ACTUAL (4)'!$C$6:$C$540,'Neiva 2022 FASE I ACTUAL (4)'!$C$6:$F$540,"NO ESTA")</f>
        <v xml:space="preserve">SUMINISTRO E INSTALACIÓN TUBERIA PVC-ALC DIAMETRO 200mm                                                                   </v>
      </c>
      <c r="J309" s="9" t="str">
        <v xml:space="preserve">ML   </v>
      </c>
      <c r="K309" s="9">
        <v>3</v>
      </c>
      <c r="L309" s="9">
        <v>62167</v>
      </c>
      <c r="M309" s="124" t="str">
        <f t="shared" si="35"/>
        <v>FASE II</v>
      </c>
      <c r="N309" s="155">
        <f t="shared" si="31"/>
        <v>10</v>
      </c>
      <c r="O309" s="156">
        <f t="shared" si="32"/>
        <v>63955</v>
      </c>
      <c r="P309" s="156">
        <f t="shared" si="33"/>
        <v>639550</v>
      </c>
    </row>
    <row r="310" spans="2:16" s="9" customFormat="1" ht="35.1" customHeight="1" x14ac:dyDescent="0.25">
      <c r="B310" s="10" t="s">
        <v>363</v>
      </c>
      <c r="C310" s="22" t="s">
        <v>364</v>
      </c>
      <c r="D310" s="23" t="s">
        <v>269</v>
      </c>
      <c r="E310" s="12">
        <v>29</v>
      </c>
      <c r="F310" s="126">
        <v>97168</v>
      </c>
      <c r="G310" s="126">
        <f t="shared" si="36"/>
        <v>2817872</v>
      </c>
      <c r="H310" s="8"/>
      <c r="I310" s="9" t="str">
        <f t="array" ref="I310:L310">_xlfn.XLOOKUP(C310,'Neiva 2022 FASE I ACTUAL (4)'!$C$6:$C$540,'Neiva 2022 FASE I ACTUAL (4)'!$C$6:$F$540,"NO ESTA")</f>
        <v xml:space="preserve">SUMINISTRO E INSTALACIÓN TUBERÍA PVC-P DIAMETRO 4"                                                        </v>
      </c>
      <c r="J310" s="9" t="str">
        <v xml:space="preserve">ML   </v>
      </c>
      <c r="K310" s="9">
        <v>11</v>
      </c>
      <c r="L310" s="9">
        <v>94451</v>
      </c>
      <c r="M310" s="124" t="str">
        <f t="shared" si="35"/>
        <v>FASE II</v>
      </c>
      <c r="N310" s="155">
        <f t="shared" si="31"/>
        <v>40</v>
      </c>
      <c r="O310" s="156">
        <f t="shared" si="32"/>
        <v>97168</v>
      </c>
      <c r="P310" s="156">
        <f t="shared" si="33"/>
        <v>3886720</v>
      </c>
    </row>
    <row r="311" spans="2:16" s="9" customFormat="1" ht="35.1" customHeight="1" x14ac:dyDescent="0.25">
      <c r="B311" s="10" t="s">
        <v>365</v>
      </c>
      <c r="C311" s="22" t="s">
        <v>366</v>
      </c>
      <c r="D311" s="23" t="s">
        <v>284</v>
      </c>
      <c r="E311" s="12">
        <v>15</v>
      </c>
      <c r="F311" s="126">
        <v>78251</v>
      </c>
      <c r="G311" s="126">
        <f t="shared" si="36"/>
        <v>1173765</v>
      </c>
      <c r="H311" s="8"/>
      <c r="I311" s="9" t="str">
        <f t="array" ref="I311:L311">_xlfn.XLOOKUP(C311,'Neiva 2022 FASE I ACTUAL (4)'!$C$6:$C$540,'Neiva 2022 FASE I ACTUAL (4)'!$C$6:$F$540,"NO ESTA")</f>
        <v xml:space="preserve">SUMINISTRO E INSTALACIÓN ACCESORIOS PVC-P DIAMETRO 4"                                                             </v>
      </c>
      <c r="J311" s="9" t="str">
        <v xml:space="preserve">UN   </v>
      </c>
      <c r="K311" s="9">
        <v>5</v>
      </c>
      <c r="L311" s="9">
        <v>76064</v>
      </c>
      <c r="M311" s="124" t="str">
        <f t="shared" si="35"/>
        <v>FASE II</v>
      </c>
      <c r="N311" s="155">
        <f t="shared" si="31"/>
        <v>20</v>
      </c>
      <c r="O311" s="156">
        <f t="shared" si="32"/>
        <v>78251</v>
      </c>
      <c r="P311" s="156">
        <f t="shared" si="33"/>
        <v>1565020</v>
      </c>
    </row>
    <row r="312" spans="2:16" s="9" customFormat="1" ht="35.1" customHeight="1" x14ac:dyDescent="0.25">
      <c r="B312" s="47" t="s">
        <v>367</v>
      </c>
      <c r="C312" s="24" t="s">
        <v>368</v>
      </c>
      <c r="D312" s="24" t="s">
        <v>369</v>
      </c>
      <c r="E312" s="15"/>
      <c r="F312" s="129"/>
      <c r="G312" s="140"/>
      <c r="H312" s="8"/>
      <c r="I312" s="9" t="str">
        <f t="array" ref="I312:L312">_xlfn.XLOOKUP(C312,'Neiva 2022 FASE I ACTUAL (4)'!$C$6:$C$540,'Neiva 2022 FASE I ACTUAL (4)'!$C$6:$F$540,"NO ESTA")</f>
        <v>SUMINISTRO E INSTALACIÓN DE APARATOS SANITARIOS</v>
      </c>
      <c r="J312" s="9" t="str">
        <v xml:space="preserve">     </v>
      </c>
      <c r="K312" s="9">
        <v>0</v>
      </c>
      <c r="L312" s="9">
        <v>0</v>
      </c>
      <c r="M312" s="124">
        <f t="shared" si="35"/>
        <v>0</v>
      </c>
      <c r="N312" s="155">
        <f t="shared" si="31"/>
        <v>0</v>
      </c>
      <c r="O312" s="156">
        <f t="shared" si="32"/>
        <v>0</v>
      </c>
      <c r="P312" s="156">
        <f t="shared" si="33"/>
        <v>0</v>
      </c>
    </row>
    <row r="313" spans="2:16" s="9" customFormat="1" ht="35.1" customHeight="1" x14ac:dyDescent="0.25">
      <c r="B313" s="23" t="s">
        <v>370</v>
      </c>
      <c r="C313" s="87" t="s">
        <v>371</v>
      </c>
      <c r="D313" s="23" t="s">
        <v>284</v>
      </c>
      <c r="E313" s="12">
        <v>24</v>
      </c>
      <c r="F313" s="126">
        <v>1105824</v>
      </c>
      <c r="G313" s="126">
        <f t="shared" ref="G313:G320" si="37">ROUND(+F313*E313,2)</f>
        <v>26539776</v>
      </c>
      <c r="H313" s="8"/>
      <c r="I313" s="9" t="str">
        <f t="array" ref="I313:L313">_xlfn.XLOOKUP(C313,'Neiva 2022 FASE I ACTUAL (4)'!$C$6:$C$540,'Neiva 2022 FASE I ACTUAL (4)'!$C$6:$F$540,"NO ESTA")</f>
        <v>SUMINISTRO E INSTALACIÓN SANITARIO INSTITUCIONAL incluye FLUXOMETRO</v>
      </c>
      <c r="J313" s="9" t="str">
        <v xml:space="preserve">UN   </v>
      </c>
      <c r="K313" s="9">
        <v>28</v>
      </c>
      <c r="L313" s="9">
        <v>1074913</v>
      </c>
      <c r="M313" s="124" t="str">
        <f t="shared" si="35"/>
        <v>FASE II</v>
      </c>
      <c r="N313" s="155">
        <f t="shared" si="31"/>
        <v>52</v>
      </c>
      <c r="O313" s="156">
        <f t="shared" si="32"/>
        <v>1105824</v>
      </c>
      <c r="P313" s="156">
        <f t="shared" si="33"/>
        <v>57502848</v>
      </c>
    </row>
    <row r="314" spans="2:16" s="9" customFormat="1" ht="35.1" customHeight="1" x14ac:dyDescent="0.25">
      <c r="B314" s="23" t="s">
        <v>372</v>
      </c>
      <c r="C314" s="87" t="s">
        <v>373</v>
      </c>
      <c r="D314" s="23" t="s">
        <v>374</v>
      </c>
      <c r="E314" s="12">
        <v>4</v>
      </c>
      <c r="F314" s="126">
        <v>670042</v>
      </c>
      <c r="G314" s="126">
        <f t="shared" si="37"/>
        <v>2680168</v>
      </c>
      <c r="H314" s="8"/>
      <c r="I314" s="9" t="str">
        <f t="array" ref="I314:L314">_xlfn.XLOOKUP(C314,'Neiva 2022 FASE I ACTUAL (4)'!$C$6:$C$540,'Neiva 2022 FASE I ACTUAL (4)'!$C$6:$F$540,"NO ESTA")</f>
        <v xml:space="preserve">SUMINISTRO E INSTALACIÓN SANITARIO DE BAJO CONSUMO </v>
      </c>
      <c r="J314" s="9" t="str">
        <v>UN</v>
      </c>
      <c r="K314" s="9">
        <v>4</v>
      </c>
      <c r="L314" s="9">
        <v>651312</v>
      </c>
      <c r="M314" s="124" t="str">
        <f t="shared" si="35"/>
        <v>FASE II</v>
      </c>
      <c r="N314" s="155">
        <f t="shared" si="31"/>
        <v>8</v>
      </c>
      <c r="O314" s="156">
        <f t="shared" si="32"/>
        <v>670042</v>
      </c>
      <c r="P314" s="156">
        <f t="shared" si="33"/>
        <v>5360336</v>
      </c>
    </row>
    <row r="315" spans="2:16" s="9" customFormat="1" ht="35.1" customHeight="1" x14ac:dyDescent="0.25">
      <c r="B315" s="23" t="s">
        <v>375</v>
      </c>
      <c r="C315" s="87" t="s">
        <v>376</v>
      </c>
      <c r="D315" s="23" t="s">
        <v>284</v>
      </c>
      <c r="E315" s="12">
        <v>9</v>
      </c>
      <c r="F315" s="126">
        <v>757710</v>
      </c>
      <c r="G315" s="126">
        <f t="shared" si="37"/>
        <v>6819390</v>
      </c>
      <c r="H315" s="8"/>
      <c r="I315" s="9" t="str">
        <f t="array" ref="I315:L315">_xlfn.XLOOKUP(C315,'Neiva 2022 FASE I ACTUAL (4)'!$C$6:$C$540,'Neiva 2022 FASE I ACTUAL (4)'!$C$6:$F$540,"NO ESTA")</f>
        <v>SUMINISTRO E INSTALACIÓN ORINAL</v>
      </c>
      <c r="J315" s="9" t="str">
        <v xml:space="preserve">UN   </v>
      </c>
      <c r="K315" s="9">
        <v>12</v>
      </c>
      <c r="L315" s="9">
        <v>736530</v>
      </c>
      <c r="M315" s="124" t="str">
        <f t="shared" si="35"/>
        <v>FASE II</v>
      </c>
      <c r="N315" s="155">
        <f t="shared" si="31"/>
        <v>21</v>
      </c>
      <c r="O315" s="156">
        <f t="shared" si="32"/>
        <v>757710</v>
      </c>
      <c r="P315" s="156">
        <f t="shared" si="33"/>
        <v>15911910</v>
      </c>
    </row>
    <row r="316" spans="2:16" s="9" customFormat="1" ht="35.1" customHeight="1" x14ac:dyDescent="0.25">
      <c r="B316" s="23" t="s">
        <v>377</v>
      </c>
      <c r="C316" s="11" t="s">
        <v>378</v>
      </c>
      <c r="D316" s="23" t="s">
        <v>94</v>
      </c>
      <c r="E316" s="12">
        <v>13</v>
      </c>
      <c r="F316" s="126">
        <v>218116</v>
      </c>
      <c r="G316" s="126">
        <f t="shared" si="37"/>
        <v>2835508</v>
      </c>
      <c r="H316" s="8"/>
      <c r="I316" s="9" t="str">
        <f t="array" ref="I316:L316">_xlfn.XLOOKUP(C316,'Neiva 2022 FASE I ACTUAL (4)'!$C$6:$C$540,'Neiva 2022 FASE I ACTUAL (4)'!$C$6:$F$540,"NO ESTA")</f>
        <v>SUMINISTRO E INSTALACIÓN MESÓN EN GRANITO NEGRO ABSOLUTO o similar, ANCHO 0.60m</v>
      </c>
      <c r="J316" s="9" t="str">
        <v>ML</v>
      </c>
      <c r="K316" s="9">
        <v>14</v>
      </c>
      <c r="L316" s="9">
        <v>212020</v>
      </c>
      <c r="M316" s="124" t="str">
        <f t="shared" si="35"/>
        <v>FASE II</v>
      </c>
      <c r="N316" s="155">
        <f t="shared" si="31"/>
        <v>27</v>
      </c>
      <c r="O316" s="156">
        <f t="shared" si="32"/>
        <v>218116</v>
      </c>
      <c r="P316" s="156">
        <f t="shared" si="33"/>
        <v>5889132</v>
      </c>
    </row>
    <row r="317" spans="2:16" s="9" customFormat="1" ht="35.1" customHeight="1" x14ac:dyDescent="0.25">
      <c r="B317" s="23" t="s">
        <v>379</v>
      </c>
      <c r="C317" s="87" t="s">
        <v>380</v>
      </c>
      <c r="D317" s="23" t="s">
        <v>284</v>
      </c>
      <c r="E317" s="12">
        <v>18</v>
      </c>
      <c r="F317" s="126">
        <v>588854</v>
      </c>
      <c r="G317" s="126">
        <f t="shared" si="37"/>
        <v>10599372</v>
      </c>
      <c r="H317" s="8"/>
      <c r="I317" s="9" t="str">
        <f t="array" ref="I317:L317">_xlfn.XLOOKUP(C317,'Neiva 2022 FASE I ACTUAL (4)'!$C$6:$C$540,'Neiva 2022 FASE I ACTUAL (4)'!$C$6:$F$540,"NO ESTA")</f>
        <v xml:space="preserve">SUMINISTRO E INSTALACIÓN LAVAMANOS SOBREPONER </v>
      </c>
      <c r="J317" s="9" t="str">
        <v xml:space="preserve">UN   </v>
      </c>
      <c r="K317" s="9">
        <v>20</v>
      </c>
      <c r="L317" s="9">
        <v>572394</v>
      </c>
      <c r="M317" s="124" t="str">
        <f t="shared" si="35"/>
        <v>FASE II</v>
      </c>
      <c r="N317" s="155">
        <f t="shared" si="31"/>
        <v>38</v>
      </c>
      <c r="O317" s="156">
        <f t="shared" si="32"/>
        <v>588854</v>
      </c>
      <c r="P317" s="156">
        <f t="shared" si="33"/>
        <v>22376452</v>
      </c>
    </row>
    <row r="318" spans="2:16" s="9" customFormat="1" ht="35.1" customHeight="1" x14ac:dyDescent="0.25">
      <c r="B318" s="23" t="s">
        <v>381</v>
      </c>
      <c r="C318" s="87" t="s">
        <v>382</v>
      </c>
      <c r="D318" s="23" t="s">
        <v>284</v>
      </c>
      <c r="E318" s="12">
        <v>3</v>
      </c>
      <c r="F318" s="126">
        <v>556929</v>
      </c>
      <c r="G318" s="126">
        <f t="shared" si="37"/>
        <v>1670787</v>
      </c>
      <c r="H318" s="8"/>
      <c r="I318" s="9" t="str">
        <f t="array" ref="I318:L318">_xlfn.XLOOKUP(C318,'Neiva 2022 FASE I ACTUAL (4)'!$C$6:$C$540,'Neiva 2022 FASE I ACTUAL (4)'!$C$6:$F$540,"NO ESTA")</f>
        <v>SUMINISTRO E INSTALACIÓN LAVAMANOS PEDESTAL</v>
      </c>
      <c r="J318" s="9" t="str">
        <v xml:space="preserve">UN   </v>
      </c>
      <c r="K318" s="9">
        <v>3</v>
      </c>
      <c r="L318" s="9">
        <v>541361</v>
      </c>
      <c r="M318" s="124" t="str">
        <f t="shared" si="35"/>
        <v>FASE II</v>
      </c>
      <c r="N318" s="155">
        <f t="shared" si="31"/>
        <v>6</v>
      </c>
      <c r="O318" s="156">
        <f t="shared" si="32"/>
        <v>556929</v>
      </c>
      <c r="P318" s="156">
        <f t="shared" si="33"/>
        <v>3341574</v>
      </c>
    </row>
    <row r="319" spans="2:16" s="9" customFormat="1" ht="35.1" customHeight="1" x14ac:dyDescent="0.25">
      <c r="B319" s="23" t="s">
        <v>383</v>
      </c>
      <c r="C319" s="11" t="s">
        <v>384</v>
      </c>
      <c r="D319" s="23" t="s">
        <v>13</v>
      </c>
      <c r="E319" s="12">
        <v>11</v>
      </c>
      <c r="F319" s="126">
        <v>90851</v>
      </c>
      <c r="G319" s="126">
        <f t="shared" si="37"/>
        <v>999361</v>
      </c>
      <c r="H319" s="8"/>
      <c r="I319" s="9" t="str">
        <f t="array" ref="I319:L319">_xlfn.XLOOKUP(C319,'Neiva 2022 FASE I ACTUAL (4)'!$C$6:$C$540,'Neiva 2022 FASE I ACTUAL (4)'!$C$6:$F$540,"NO ESTA")</f>
        <v>SUMINISTRO E INSTALACIÓN ESPEJO e=4MM PEGADO SOBRE BASTIDOR EN ALUMINIO DE 2X1</v>
      </c>
      <c r="J319" s="9" t="str">
        <v>M2</v>
      </c>
      <c r="K319" s="9">
        <v>12</v>
      </c>
      <c r="L319" s="9">
        <v>88311</v>
      </c>
      <c r="M319" s="124" t="str">
        <f t="shared" si="35"/>
        <v>FASE II</v>
      </c>
      <c r="N319" s="155">
        <f t="shared" si="31"/>
        <v>23</v>
      </c>
      <c r="O319" s="156">
        <f t="shared" si="32"/>
        <v>90851</v>
      </c>
      <c r="P319" s="156">
        <f t="shared" si="33"/>
        <v>2089573</v>
      </c>
    </row>
    <row r="320" spans="2:16" s="9" customFormat="1" ht="35.1" customHeight="1" x14ac:dyDescent="0.25">
      <c r="B320" s="23" t="s">
        <v>385</v>
      </c>
      <c r="C320" s="11" t="s">
        <v>386</v>
      </c>
      <c r="D320" s="23" t="s">
        <v>284</v>
      </c>
      <c r="E320" s="12">
        <v>1</v>
      </c>
      <c r="F320" s="126">
        <v>44128</v>
      </c>
      <c r="G320" s="126">
        <f t="shared" si="37"/>
        <v>44128</v>
      </c>
      <c r="H320" s="8"/>
      <c r="I320" s="9" t="str">
        <f t="array" ref="I320:L320">_xlfn.XLOOKUP(C320,'Neiva 2022 FASE I ACTUAL (4)'!$C$6:$C$540,'Neiva 2022 FASE I ACTUAL (4)'!$C$6:$F$540,"NO ESTA")</f>
        <v>SUMINISTRO E INSTALACIÓN LLAVES MANGUERA</v>
      </c>
      <c r="J320" s="9" t="str">
        <v xml:space="preserve">UN   </v>
      </c>
      <c r="K320" s="9">
        <v>2</v>
      </c>
      <c r="L320" s="9">
        <v>42894</v>
      </c>
      <c r="M320" s="124" t="str">
        <f t="shared" si="35"/>
        <v>FASE II</v>
      </c>
      <c r="N320" s="155">
        <f t="shared" si="31"/>
        <v>3</v>
      </c>
      <c r="O320" s="156">
        <f t="shared" si="32"/>
        <v>44128</v>
      </c>
      <c r="P320" s="156">
        <f t="shared" si="33"/>
        <v>132384</v>
      </c>
    </row>
    <row r="321" spans="2:16" s="9" customFormat="1" ht="35.1" customHeight="1" x14ac:dyDescent="0.25">
      <c r="B321" s="47" t="s">
        <v>387</v>
      </c>
      <c r="C321" s="24" t="s">
        <v>388</v>
      </c>
      <c r="D321" s="24"/>
      <c r="E321" s="15"/>
      <c r="F321" s="129"/>
      <c r="G321" s="140"/>
      <c r="H321" s="8"/>
      <c r="I321" s="9" t="str">
        <f t="array" ref="I321:L321">_xlfn.XLOOKUP(C321,'Neiva 2022 FASE I ACTUAL (4)'!$C$6:$C$540,'Neiva 2022 FASE I ACTUAL (4)'!$C$6:$F$540,"NO ESTA")</f>
        <v xml:space="preserve">SUMINISTRO E INSTALACION RED DESAGÜES AGUAS LLUVIAS                                                                                 </v>
      </c>
      <c r="J321" s="9">
        <v>0</v>
      </c>
      <c r="K321" s="9">
        <v>0</v>
      </c>
      <c r="L321" s="9">
        <v>0</v>
      </c>
      <c r="M321" s="124">
        <f t="shared" si="35"/>
        <v>0</v>
      </c>
      <c r="N321" s="155">
        <f t="shared" si="31"/>
        <v>0</v>
      </c>
      <c r="O321" s="156">
        <f t="shared" si="32"/>
        <v>0</v>
      </c>
      <c r="P321" s="156">
        <f t="shared" si="33"/>
        <v>0</v>
      </c>
    </row>
    <row r="322" spans="2:16" s="9" customFormat="1" ht="35.1" customHeight="1" x14ac:dyDescent="0.25">
      <c r="B322" s="23" t="s">
        <v>389</v>
      </c>
      <c r="C322" s="22" t="s">
        <v>390</v>
      </c>
      <c r="D322" s="23" t="s">
        <v>269</v>
      </c>
      <c r="E322" s="12">
        <v>248</v>
      </c>
      <c r="F322" s="126">
        <v>36135</v>
      </c>
      <c r="G322" s="126">
        <f t="shared" ref="G322:G344" si="38">ROUND(+F322*E322,2)</f>
        <v>8961480</v>
      </c>
      <c r="H322" s="8"/>
      <c r="I322" s="9" t="str">
        <f t="array" ref="I322:L322">_xlfn.XLOOKUP(C322,'Neiva 2022 FASE I ACTUAL (4)'!$C$6:$C$540,'Neiva 2022 FASE I ACTUAL (4)'!$C$6:$F$540,"NO ESTA")</f>
        <v xml:space="preserve">SUMINISTRO E INSTALACIÓN TUBERIA PVC-S DIAMETRO  3 PUL                                                                 </v>
      </c>
      <c r="J322" s="9" t="str">
        <v xml:space="preserve">ML   </v>
      </c>
      <c r="K322" s="9">
        <v>92</v>
      </c>
      <c r="L322" s="9">
        <v>35125</v>
      </c>
      <c r="M322" s="124" t="str">
        <f t="shared" si="35"/>
        <v>FASE II</v>
      </c>
      <c r="N322" s="155">
        <f t="shared" si="31"/>
        <v>340</v>
      </c>
      <c r="O322" s="156">
        <f t="shared" si="32"/>
        <v>36135</v>
      </c>
      <c r="P322" s="156">
        <f t="shared" si="33"/>
        <v>12285900</v>
      </c>
    </row>
    <row r="323" spans="2:16" s="9" customFormat="1" ht="35.1" customHeight="1" x14ac:dyDescent="0.25">
      <c r="B323" s="23" t="s">
        <v>391</v>
      </c>
      <c r="C323" s="11" t="s">
        <v>392</v>
      </c>
      <c r="D323" s="10" t="s">
        <v>269</v>
      </c>
      <c r="E323" s="12">
        <v>122</v>
      </c>
      <c r="F323" s="126">
        <v>51550</v>
      </c>
      <c r="G323" s="126">
        <f t="shared" si="38"/>
        <v>6289100</v>
      </c>
      <c r="H323" s="8"/>
      <c r="I323" s="9" t="str">
        <f t="array" ref="I323:L323">_xlfn.XLOOKUP(C323,'Neiva 2022 FASE I ACTUAL (4)'!$C$6:$C$540,'Neiva 2022 FASE I ACTUAL (4)'!$C$6:$F$540,"NO ESTA")</f>
        <v xml:space="preserve">SUMINISTRO E INSTALACIÓN TUBERIA PVC-S DIAMETRO 4 PUL                                                                 </v>
      </c>
      <c r="J323" s="9" t="str">
        <v xml:space="preserve">ML   </v>
      </c>
      <c r="K323" s="9">
        <v>45</v>
      </c>
      <c r="L323" s="9">
        <v>50109</v>
      </c>
      <c r="M323" s="124" t="str">
        <f t="shared" si="35"/>
        <v>FASE II</v>
      </c>
      <c r="N323" s="155">
        <f t="shared" si="31"/>
        <v>167</v>
      </c>
      <c r="O323" s="156">
        <f t="shared" si="32"/>
        <v>51550</v>
      </c>
      <c r="P323" s="156">
        <f t="shared" si="33"/>
        <v>8608850</v>
      </c>
    </row>
    <row r="324" spans="2:16" s="9" customFormat="1" ht="35.1" customHeight="1" x14ac:dyDescent="0.25">
      <c r="B324" s="23" t="s">
        <v>393</v>
      </c>
      <c r="C324" s="11" t="s">
        <v>394</v>
      </c>
      <c r="D324" s="10" t="s">
        <v>269</v>
      </c>
      <c r="E324" s="12">
        <v>161</v>
      </c>
      <c r="F324" s="126">
        <v>93160</v>
      </c>
      <c r="G324" s="126">
        <f t="shared" si="38"/>
        <v>14998760</v>
      </c>
      <c r="H324" s="8"/>
      <c r="I324" s="9" t="str">
        <f t="array" ref="I324:L324">_xlfn.XLOOKUP(C324,'Neiva 2022 FASE I ACTUAL (4)'!$C$6:$C$540,'Neiva 2022 FASE I ACTUAL (4)'!$C$6:$F$540,"NO ESTA")</f>
        <v xml:space="preserve">SUMINISTRO E INSTALACIÓN TUBERIA PVC-S DIAMETRO 6 PUL                                                                 </v>
      </c>
      <c r="J324" s="9" t="str">
        <v xml:space="preserve">ML   </v>
      </c>
      <c r="K324" s="9">
        <v>60</v>
      </c>
      <c r="L324" s="9">
        <v>90557</v>
      </c>
      <c r="M324" s="124" t="str">
        <f t="shared" si="35"/>
        <v>FASE II</v>
      </c>
      <c r="N324" s="155">
        <f t="shared" si="31"/>
        <v>221</v>
      </c>
      <c r="O324" s="156">
        <f t="shared" si="32"/>
        <v>93160</v>
      </c>
      <c r="P324" s="156">
        <f t="shared" si="33"/>
        <v>20588360</v>
      </c>
    </row>
    <row r="325" spans="2:16" s="9" customFormat="1" ht="35.1" customHeight="1" x14ac:dyDescent="0.25">
      <c r="B325" s="23" t="s">
        <v>395</v>
      </c>
      <c r="C325" s="11" t="s">
        <v>396</v>
      </c>
      <c r="D325" s="10" t="s">
        <v>374</v>
      </c>
      <c r="E325" s="12">
        <v>101</v>
      </c>
      <c r="F325" s="126">
        <v>10700</v>
      </c>
      <c r="G325" s="126">
        <f t="shared" si="38"/>
        <v>1080700</v>
      </c>
      <c r="H325" s="8"/>
      <c r="I325" s="9" t="str">
        <f t="array" ref="I325:L325">_xlfn.XLOOKUP(C325,'Neiva 2022 FASE I ACTUAL (4)'!$C$6:$C$540,'Neiva 2022 FASE I ACTUAL (4)'!$C$6:$F$540,"NO ESTA")</f>
        <v xml:space="preserve">SUMINISTRO E INSTALACIÓN ACCESORIOS PVC-S DIAMETRO 3"                                                             </v>
      </c>
      <c r="J325" s="9" t="str">
        <v>UN</v>
      </c>
      <c r="K325" s="9">
        <v>38</v>
      </c>
      <c r="L325" s="9">
        <v>10402</v>
      </c>
      <c r="M325" s="124" t="str">
        <f t="shared" si="35"/>
        <v>FASE II</v>
      </c>
      <c r="N325" s="155">
        <f t="shared" si="31"/>
        <v>139</v>
      </c>
      <c r="O325" s="156">
        <f t="shared" si="32"/>
        <v>10700</v>
      </c>
      <c r="P325" s="156">
        <f t="shared" si="33"/>
        <v>1487300</v>
      </c>
    </row>
    <row r="326" spans="2:16" s="9" customFormat="1" ht="35.1" customHeight="1" x14ac:dyDescent="0.25">
      <c r="B326" s="23" t="s">
        <v>397</v>
      </c>
      <c r="C326" s="49" t="s">
        <v>398</v>
      </c>
      <c r="D326" s="10" t="s">
        <v>374</v>
      </c>
      <c r="E326" s="12">
        <v>58</v>
      </c>
      <c r="F326" s="126">
        <v>15725</v>
      </c>
      <c r="G326" s="126">
        <f t="shared" si="38"/>
        <v>912050</v>
      </c>
      <c r="H326" s="8"/>
      <c r="I326" s="9" t="str">
        <f t="array" ref="I326:L326">_xlfn.XLOOKUP(C326,'Neiva 2022 FASE I ACTUAL (4)'!$C$6:$C$540,'Neiva 2022 FASE I ACTUAL (4)'!$C$6:$F$540,"NO ESTA")</f>
        <v xml:space="preserve">SUMINISTRO E INSTALACIÓN ACCESORIOS PVC-S DIAMETRO 4"                                                             </v>
      </c>
      <c r="J326" s="9" t="str">
        <v>UN</v>
      </c>
      <c r="K326" s="9">
        <v>21</v>
      </c>
      <c r="L326" s="9">
        <v>15285</v>
      </c>
      <c r="M326" s="124" t="str">
        <f t="shared" si="35"/>
        <v>FASE II</v>
      </c>
      <c r="N326" s="155">
        <f t="shared" ref="N326:N389" si="39">E326+K326</f>
        <v>79</v>
      </c>
      <c r="O326" s="156">
        <f t="shared" ref="O326:O389" si="40">MAX(L326,F326)</f>
        <v>15725</v>
      </c>
      <c r="P326" s="156">
        <f t="shared" ref="P326:P389" si="41">N326*O326</f>
        <v>1242275</v>
      </c>
    </row>
    <row r="327" spans="2:16" s="9" customFormat="1" ht="35.1" customHeight="1" x14ac:dyDescent="0.25">
      <c r="B327" s="23" t="s">
        <v>399</v>
      </c>
      <c r="C327" s="11" t="s">
        <v>400</v>
      </c>
      <c r="D327" s="10" t="s">
        <v>374</v>
      </c>
      <c r="E327" s="12">
        <v>68</v>
      </c>
      <c r="F327" s="126">
        <v>74938</v>
      </c>
      <c r="G327" s="126">
        <f t="shared" si="38"/>
        <v>5095784</v>
      </c>
      <c r="H327" s="8"/>
      <c r="I327" s="9" t="str">
        <f t="array" ref="I327:L327">_xlfn.XLOOKUP(C327,'Neiva 2022 FASE I ACTUAL (4)'!$C$6:$C$540,'Neiva 2022 FASE I ACTUAL (4)'!$C$6:$F$540,"NO ESTA")</f>
        <v xml:space="preserve">SUMINISTRO E INSTALACIÓN ACCESORIOS PVC-S DIAMETRO 6"                                                             </v>
      </c>
      <c r="J327" s="9" t="str">
        <v>UN</v>
      </c>
      <c r="K327" s="9">
        <v>25</v>
      </c>
      <c r="L327" s="9">
        <v>72844</v>
      </c>
      <c r="M327" s="124" t="str">
        <f t="shared" si="35"/>
        <v>FASE II</v>
      </c>
      <c r="N327" s="155">
        <f t="shared" si="39"/>
        <v>93</v>
      </c>
      <c r="O327" s="156">
        <f t="shared" si="40"/>
        <v>74938</v>
      </c>
      <c r="P327" s="156">
        <f t="shared" si="41"/>
        <v>6969234</v>
      </c>
    </row>
    <row r="328" spans="2:16" s="9" customFormat="1" ht="35.1" customHeight="1" x14ac:dyDescent="0.25">
      <c r="B328" s="23" t="s">
        <v>401</v>
      </c>
      <c r="C328" s="11" t="s">
        <v>402</v>
      </c>
      <c r="D328" s="10" t="s">
        <v>269</v>
      </c>
      <c r="E328" s="12">
        <v>31</v>
      </c>
      <c r="F328" s="126">
        <v>50021</v>
      </c>
      <c r="G328" s="126">
        <f t="shared" si="38"/>
        <v>1550651</v>
      </c>
      <c r="H328" s="8"/>
      <c r="I328" s="9" t="str">
        <f t="array" ref="I328:L328">_xlfn.XLOOKUP(C328,'Neiva 2022 FASE I ACTUAL (4)'!$C$6:$C$540,'Neiva 2022 FASE I ACTUAL (4)'!$C$6:$F$540,"NO ESTA")</f>
        <v xml:space="preserve">SUMINISTRO E INSTALACIÓN SALIDA SANITARIA DIAMETRO 3 PULG                                                               </v>
      </c>
      <c r="J328" s="9" t="str">
        <v xml:space="preserve">ML   </v>
      </c>
      <c r="K328" s="9">
        <v>12</v>
      </c>
      <c r="L328" s="9">
        <v>48624</v>
      </c>
      <c r="M328" s="124" t="str">
        <f t="shared" ref="M328:M391" si="42">IF(L328=0,0,(IF(F328&lt;L328, "FASE I","FASE II")))</f>
        <v>FASE II</v>
      </c>
      <c r="N328" s="155">
        <f t="shared" si="39"/>
        <v>43</v>
      </c>
      <c r="O328" s="156">
        <f t="shared" si="40"/>
        <v>50021</v>
      </c>
      <c r="P328" s="156">
        <f t="shared" si="41"/>
        <v>2150903</v>
      </c>
    </row>
    <row r="329" spans="2:16" s="9" customFormat="1" ht="35.1" customHeight="1" x14ac:dyDescent="0.25">
      <c r="B329" s="23" t="s">
        <v>403</v>
      </c>
      <c r="C329" s="11" t="s">
        <v>404</v>
      </c>
      <c r="D329" s="10" t="s">
        <v>269</v>
      </c>
      <c r="E329" s="12">
        <v>23</v>
      </c>
      <c r="F329" s="126">
        <v>61472</v>
      </c>
      <c r="G329" s="126">
        <f t="shared" si="38"/>
        <v>1413856</v>
      </c>
      <c r="H329" s="8"/>
      <c r="I329" s="9" t="str">
        <f t="array" ref="I329:L329">_xlfn.XLOOKUP(C329,'Neiva 2022 FASE I ACTUAL (4)'!$C$6:$C$540,'Neiva 2022 FASE I ACTUAL (4)'!$C$6:$F$540,"NO ESTA")</f>
        <v xml:space="preserve">SUMINISTRO E INSTALACIÓN SALIDA SANITARIA DIAMETRO 4 PULG                                                               </v>
      </c>
      <c r="J329" s="9" t="str">
        <v xml:space="preserve">ML   </v>
      </c>
      <c r="K329" s="9">
        <v>8</v>
      </c>
      <c r="L329" s="9">
        <v>59754</v>
      </c>
      <c r="M329" s="124" t="str">
        <f t="shared" si="42"/>
        <v>FASE II</v>
      </c>
      <c r="N329" s="155">
        <f t="shared" si="39"/>
        <v>31</v>
      </c>
      <c r="O329" s="156">
        <f t="shared" si="40"/>
        <v>61472</v>
      </c>
      <c r="P329" s="156">
        <f t="shared" si="41"/>
        <v>1905632</v>
      </c>
    </row>
    <row r="330" spans="2:16" s="9" customFormat="1" ht="35.1" customHeight="1" x14ac:dyDescent="0.25">
      <c r="B330" s="23" t="s">
        <v>405</v>
      </c>
      <c r="C330" s="11" t="s">
        <v>406</v>
      </c>
      <c r="D330" s="10" t="s">
        <v>269</v>
      </c>
      <c r="E330" s="12">
        <v>0</v>
      </c>
      <c r="F330" s="126">
        <v>53541</v>
      </c>
      <c r="G330" s="126">
        <f t="shared" si="38"/>
        <v>0</v>
      </c>
      <c r="H330" s="8"/>
      <c r="I330" s="9" t="str">
        <f t="array" ref="I330:L330">_xlfn.XLOOKUP(C330,'Neiva 2022 FASE I ACTUAL (4)'!$C$6:$C$540,'Neiva 2022 FASE I ACTUAL (4)'!$C$6:$F$540,"NO ESTA")</f>
        <v xml:space="preserve">SUMINISTRO E INSTALACIÓN POLIETILENO PEAD PARA FILTRO 90 mm                                                                  </v>
      </c>
      <c r="J330" s="9" t="str">
        <v xml:space="preserve">ML   </v>
      </c>
      <c r="K330" s="9">
        <v>50</v>
      </c>
      <c r="L330" s="9">
        <v>52044</v>
      </c>
      <c r="M330" s="124" t="str">
        <f t="shared" si="42"/>
        <v>FASE II</v>
      </c>
      <c r="N330" s="155">
        <f t="shared" si="39"/>
        <v>50</v>
      </c>
      <c r="O330" s="156">
        <f t="shared" si="40"/>
        <v>53541</v>
      </c>
      <c r="P330" s="156">
        <f t="shared" si="41"/>
        <v>2677050</v>
      </c>
    </row>
    <row r="331" spans="2:16" s="9" customFormat="1" ht="35.1" customHeight="1" x14ac:dyDescent="0.25">
      <c r="B331" s="23" t="s">
        <v>407</v>
      </c>
      <c r="C331" s="11" t="s">
        <v>408</v>
      </c>
      <c r="D331" s="10" t="s">
        <v>269</v>
      </c>
      <c r="E331" s="12">
        <v>0</v>
      </c>
      <c r="F331" s="126">
        <v>27913</v>
      </c>
      <c r="G331" s="126">
        <f t="shared" si="38"/>
        <v>0</v>
      </c>
      <c r="H331" s="8"/>
      <c r="I331" s="9" t="str">
        <f t="array" ref="I331:L331">_xlfn.XLOOKUP(C331,'Neiva 2022 FASE I ACTUAL (4)'!$C$6:$C$540,'Neiva 2022 FASE I ACTUAL (4)'!$C$6:$F$540,"NO ESTA")</f>
        <v xml:space="preserve">SUMINISTRO E INSTALACIÓN TUBERIA PVC-ALC 90 mm                                                                  </v>
      </c>
      <c r="J331" s="9" t="str">
        <v xml:space="preserve">ML   </v>
      </c>
      <c r="K331" s="9">
        <v>30</v>
      </c>
      <c r="L331" s="9">
        <v>27132</v>
      </c>
      <c r="M331" s="124" t="str">
        <f t="shared" si="42"/>
        <v>FASE II</v>
      </c>
      <c r="N331" s="155">
        <f t="shared" si="39"/>
        <v>30</v>
      </c>
      <c r="O331" s="156">
        <f t="shared" si="40"/>
        <v>27913</v>
      </c>
      <c r="P331" s="156">
        <f t="shared" si="41"/>
        <v>837390</v>
      </c>
    </row>
    <row r="332" spans="2:16" s="9" customFormat="1" ht="35.1" customHeight="1" x14ac:dyDescent="0.25">
      <c r="B332" s="23" t="s">
        <v>409</v>
      </c>
      <c r="C332" s="11" t="s">
        <v>410</v>
      </c>
      <c r="D332" s="10" t="s">
        <v>269</v>
      </c>
      <c r="E332" s="12">
        <v>0</v>
      </c>
      <c r="F332" s="126">
        <v>34303</v>
      </c>
      <c r="G332" s="126">
        <f t="shared" si="38"/>
        <v>0</v>
      </c>
      <c r="H332" s="8"/>
      <c r="I332" s="9" t="str">
        <f t="array" ref="I332:L332">_xlfn.XLOOKUP(C332,'Neiva 2022 FASE I ACTUAL (4)'!$C$6:$C$540,'Neiva 2022 FASE I ACTUAL (4)'!$C$6:$F$540,"NO ESTA")</f>
        <v xml:space="preserve">SUMINISTRO E INSTALACIÓN TUBERIA PVC-ALC 110 mm                                                                 </v>
      </c>
      <c r="J332" s="9" t="str">
        <v xml:space="preserve">ML   </v>
      </c>
      <c r="K332" s="9">
        <v>15</v>
      </c>
      <c r="L332" s="9">
        <v>33344</v>
      </c>
      <c r="M332" s="124" t="str">
        <f t="shared" si="42"/>
        <v>FASE II</v>
      </c>
      <c r="N332" s="155">
        <f t="shared" si="39"/>
        <v>15</v>
      </c>
      <c r="O332" s="156">
        <f t="shared" si="40"/>
        <v>34303</v>
      </c>
      <c r="P332" s="156">
        <f t="shared" si="41"/>
        <v>514545</v>
      </c>
    </row>
    <row r="333" spans="2:16" s="9" customFormat="1" ht="35.1" customHeight="1" x14ac:dyDescent="0.25">
      <c r="B333" s="23" t="s">
        <v>411</v>
      </c>
      <c r="C333" s="11" t="s">
        <v>412</v>
      </c>
      <c r="D333" s="10" t="s">
        <v>269</v>
      </c>
      <c r="E333" s="12">
        <v>0</v>
      </c>
      <c r="F333" s="126">
        <v>45798</v>
      </c>
      <c r="G333" s="126">
        <f t="shared" si="38"/>
        <v>0</v>
      </c>
      <c r="H333" s="8"/>
      <c r="I333" s="9" t="str">
        <f t="array" ref="I333:L333">_xlfn.XLOOKUP(C333,'Neiva 2022 FASE I ACTUAL (4)'!$C$6:$C$540,'Neiva 2022 FASE I ACTUAL (4)'!$C$6:$F$540,"NO ESTA")</f>
        <v xml:space="preserve">SUMINISTRO E INSTALACIÓN TUBERIA PVC-ALC 160 mm                                                                 </v>
      </c>
      <c r="J333" s="9" t="str">
        <v xml:space="preserve">ML   </v>
      </c>
      <c r="K333" s="9">
        <v>70</v>
      </c>
      <c r="L333" s="9">
        <v>44518</v>
      </c>
      <c r="M333" s="124" t="str">
        <f t="shared" si="42"/>
        <v>FASE II</v>
      </c>
      <c r="N333" s="155">
        <f t="shared" si="39"/>
        <v>70</v>
      </c>
      <c r="O333" s="156">
        <f t="shared" si="40"/>
        <v>45798</v>
      </c>
      <c r="P333" s="156">
        <f t="shared" si="41"/>
        <v>3205860</v>
      </c>
    </row>
    <row r="334" spans="2:16" s="9" customFormat="1" ht="35.1" customHeight="1" x14ac:dyDescent="0.25">
      <c r="B334" s="23" t="s">
        <v>413</v>
      </c>
      <c r="C334" s="11" t="s">
        <v>414</v>
      </c>
      <c r="D334" s="10" t="s">
        <v>269</v>
      </c>
      <c r="E334" s="12">
        <v>0</v>
      </c>
      <c r="F334" s="126">
        <v>79901</v>
      </c>
      <c r="G334" s="126">
        <f t="shared" si="38"/>
        <v>0</v>
      </c>
      <c r="H334" s="8"/>
      <c r="I334" s="9" t="str">
        <f t="array" ref="I334:L334">_xlfn.XLOOKUP(C334,'Neiva 2022 FASE I ACTUAL (4)'!$C$6:$C$540,'Neiva 2022 FASE I ACTUAL (4)'!$C$6:$F$540,"NO ESTA")</f>
        <v xml:space="preserve">SUMINISTRO E INSTALACIÓN TUBERIA PVC-ALC 250mm                                                                   </v>
      </c>
      <c r="J334" s="9" t="str">
        <v xml:space="preserve">ML   </v>
      </c>
      <c r="K334" s="9">
        <v>20</v>
      </c>
      <c r="L334" s="9">
        <v>77667</v>
      </c>
      <c r="M334" s="124" t="str">
        <f t="shared" si="42"/>
        <v>FASE II</v>
      </c>
      <c r="N334" s="155">
        <f t="shared" si="39"/>
        <v>20</v>
      </c>
      <c r="O334" s="156">
        <f t="shared" si="40"/>
        <v>79901</v>
      </c>
      <c r="P334" s="156">
        <f t="shared" si="41"/>
        <v>1598020</v>
      </c>
    </row>
    <row r="335" spans="2:16" s="9" customFormat="1" ht="35.1" customHeight="1" x14ac:dyDescent="0.25">
      <c r="B335" s="23" t="s">
        <v>415</v>
      </c>
      <c r="C335" s="11" t="s">
        <v>358</v>
      </c>
      <c r="D335" s="10" t="s">
        <v>284</v>
      </c>
      <c r="E335" s="12">
        <v>0</v>
      </c>
      <c r="F335" s="126">
        <v>542308</v>
      </c>
      <c r="G335" s="126">
        <f t="shared" si="38"/>
        <v>0</v>
      </c>
      <c r="H335" s="8"/>
      <c r="I335" s="9" t="str">
        <f t="array" ref="I335:L335">_xlfn.XLOOKUP(C335,'Neiva 2022 FASE I ACTUAL (4)'!$C$6:$C$540,'Neiva 2022 FASE I ACTUAL (4)'!$C$6:$F$540,"NO ESTA")</f>
        <v xml:space="preserve">SUMINISTRO Y CONSTRUCCIÓN CAJA DE INSPECCIÓN 0.80mX0.80m H mäx:1.0m                                                                    </v>
      </c>
      <c r="J335" s="9" t="str">
        <v xml:space="preserve">UN   </v>
      </c>
      <c r="K335" s="9">
        <v>1</v>
      </c>
      <c r="L335" s="9">
        <v>527149</v>
      </c>
      <c r="M335" s="124" t="str">
        <f t="shared" si="42"/>
        <v>FASE II</v>
      </c>
      <c r="N335" s="155">
        <f t="shared" si="39"/>
        <v>1</v>
      </c>
      <c r="O335" s="156">
        <f t="shared" si="40"/>
        <v>542308</v>
      </c>
      <c r="P335" s="156">
        <f t="shared" si="41"/>
        <v>542308</v>
      </c>
    </row>
    <row r="336" spans="2:16" s="9" customFormat="1" ht="35.1" customHeight="1" x14ac:dyDescent="0.25">
      <c r="B336" s="47" t="s">
        <v>416</v>
      </c>
      <c r="C336" s="24" t="s">
        <v>417</v>
      </c>
      <c r="D336" s="24" t="s">
        <v>369</v>
      </c>
      <c r="E336" s="15"/>
      <c r="F336" s="126">
        <v>0</v>
      </c>
      <c r="G336" s="126">
        <f t="shared" si="38"/>
        <v>0</v>
      </c>
      <c r="H336" s="8"/>
      <c r="I336" s="9" t="str">
        <f t="array" ref="I336:L336">_xlfn.XLOOKUP(C336,'Neiva 2022 FASE I ACTUAL (4)'!$C$6:$C$540,'Neiva 2022 FASE I ACTUAL (4)'!$C$6:$F$540,"NO ESTA")</f>
        <v xml:space="preserve">EXCAVACIONES Y RELLENOS                                                                                       </v>
      </c>
      <c r="J336" s="9">
        <v>0</v>
      </c>
      <c r="K336" s="9">
        <v>0</v>
      </c>
      <c r="L336" s="9">
        <v>0</v>
      </c>
      <c r="M336" s="124">
        <f t="shared" si="42"/>
        <v>0</v>
      </c>
      <c r="N336" s="155">
        <f t="shared" si="39"/>
        <v>0</v>
      </c>
      <c r="O336" s="156">
        <f t="shared" si="40"/>
        <v>0</v>
      </c>
      <c r="P336" s="156">
        <f t="shared" si="41"/>
        <v>0</v>
      </c>
    </row>
    <row r="337" spans="2:16" s="9" customFormat="1" ht="35.1" customHeight="1" x14ac:dyDescent="0.25">
      <c r="B337" s="10" t="s">
        <v>418</v>
      </c>
      <c r="C337" s="11" t="s">
        <v>1222</v>
      </c>
      <c r="D337" s="10" t="s">
        <v>420</v>
      </c>
      <c r="E337" s="12">
        <v>0</v>
      </c>
      <c r="F337" s="126">
        <v>39971</v>
      </c>
      <c r="G337" s="126">
        <f t="shared" si="38"/>
        <v>0</v>
      </c>
      <c r="H337" s="8"/>
      <c r="I337" s="9" t="str">
        <f t="array" ref="I337">_xlfn.XLOOKUP(C337,'Neiva 2022 FASE I ACTUAL (4)'!$C$6:$C$540,'Neiva 2022 FASE I ACTUAL (4)'!$C$6:$F$540,"NO ESTA")</f>
        <v>NO ESTA</v>
      </c>
      <c r="M337" s="124">
        <f t="shared" si="42"/>
        <v>0</v>
      </c>
      <c r="N337" s="155">
        <f t="shared" si="39"/>
        <v>0</v>
      </c>
      <c r="O337" s="156">
        <f t="shared" si="40"/>
        <v>39971</v>
      </c>
      <c r="P337" s="156">
        <f t="shared" si="41"/>
        <v>0</v>
      </c>
    </row>
    <row r="338" spans="2:16" s="9" customFormat="1" ht="35.1" customHeight="1" x14ac:dyDescent="0.25">
      <c r="B338" s="10" t="s">
        <v>421</v>
      </c>
      <c r="C338" s="11" t="s">
        <v>422</v>
      </c>
      <c r="D338" s="10" t="s">
        <v>420</v>
      </c>
      <c r="E338" s="12">
        <v>0</v>
      </c>
      <c r="F338" s="126">
        <v>75587</v>
      </c>
      <c r="G338" s="126">
        <f t="shared" si="38"/>
        <v>0</v>
      </c>
      <c r="H338" s="8"/>
      <c r="I338" s="9" t="str">
        <f t="array" ref="I338:L338">_xlfn.XLOOKUP(C338,'Neiva 2022 FASE I ACTUAL (4)'!$C$6:$C$540,'Neiva 2022 FASE I ACTUAL (4)'!$C$6:$F$540,"NO ESTA")</f>
        <v xml:space="preserve">RELLENO EN ARENA INCLUYE TRANSPORTE Y COLOCACIÓN       </v>
      </c>
      <c r="J338" s="9" t="str">
        <v xml:space="preserve">M3   </v>
      </c>
      <c r="K338" s="9">
        <v>28</v>
      </c>
      <c r="L338" s="9">
        <v>73475</v>
      </c>
      <c r="M338" s="124" t="str">
        <f t="shared" si="42"/>
        <v>FASE II</v>
      </c>
      <c r="N338" s="155">
        <f t="shared" si="39"/>
        <v>28</v>
      </c>
      <c r="O338" s="156">
        <f t="shared" si="40"/>
        <v>75587</v>
      </c>
      <c r="P338" s="156">
        <f t="shared" si="41"/>
        <v>2116436</v>
      </c>
    </row>
    <row r="339" spans="2:16" s="9" customFormat="1" ht="35.1" customHeight="1" x14ac:dyDescent="0.25">
      <c r="B339" s="10" t="s">
        <v>423</v>
      </c>
      <c r="C339" s="11" t="s">
        <v>36</v>
      </c>
      <c r="D339" s="10" t="s">
        <v>420</v>
      </c>
      <c r="E339" s="12">
        <v>0</v>
      </c>
      <c r="F339" s="126">
        <v>62932</v>
      </c>
      <c r="G339" s="126">
        <f t="shared" si="38"/>
        <v>0</v>
      </c>
      <c r="H339" s="8"/>
      <c r="I339" s="9" t="str">
        <f t="array" ref="I339:L339">_xlfn.XLOOKUP(C339,'Neiva 2022 FASE I ACTUAL (4)'!$C$6:$C$540,'Neiva 2022 FASE I ACTUAL (4)'!$C$6:$F$540,"NO ESTA")</f>
        <v>RELLENO EN RECEBO COMÚN (Incluye Compactación)</v>
      </c>
      <c r="J339" s="9" t="str">
        <v>M3</v>
      </c>
      <c r="K339" s="9">
        <v>122.54</v>
      </c>
      <c r="L339" s="9">
        <v>61173</v>
      </c>
      <c r="M339" s="124" t="str">
        <f t="shared" si="42"/>
        <v>FASE II</v>
      </c>
      <c r="N339" s="155">
        <f t="shared" si="39"/>
        <v>122.54</v>
      </c>
      <c r="O339" s="156">
        <f t="shared" si="40"/>
        <v>62932</v>
      </c>
      <c r="P339" s="156">
        <f t="shared" si="41"/>
        <v>7711687.2800000003</v>
      </c>
    </row>
    <row r="340" spans="2:16" s="9" customFormat="1" ht="35.1" customHeight="1" x14ac:dyDescent="0.25">
      <c r="B340" s="10" t="s">
        <v>424</v>
      </c>
      <c r="C340" s="11" t="s">
        <v>425</v>
      </c>
      <c r="D340" s="10" t="s">
        <v>420</v>
      </c>
      <c r="E340" s="12">
        <v>0</v>
      </c>
      <c r="F340" s="126">
        <v>12500</v>
      </c>
      <c r="G340" s="126">
        <f t="shared" si="38"/>
        <v>0</v>
      </c>
      <c r="H340" s="8"/>
      <c r="I340" s="9" t="str">
        <f t="array" ref="I340:L340">_xlfn.XLOOKUP(C340,'Neiva 2022 FASE I ACTUAL (4)'!$C$6:$C$540,'Neiva 2022 FASE I ACTUAL (4)'!$C$6:$F$540,"NO ESTA")</f>
        <v>RELLENO EN MATERIAL COMÚN SELECCIONADO DE OBRA (Incluye Compactación)</v>
      </c>
      <c r="J340" s="9" t="str">
        <v xml:space="preserve">M3   </v>
      </c>
      <c r="K340" s="9">
        <v>37</v>
      </c>
      <c r="L340" s="9">
        <v>12151</v>
      </c>
      <c r="M340" s="124" t="str">
        <f t="shared" si="42"/>
        <v>FASE II</v>
      </c>
      <c r="N340" s="155">
        <f t="shared" si="39"/>
        <v>37</v>
      </c>
      <c r="O340" s="156">
        <f t="shared" si="40"/>
        <v>12500</v>
      </c>
      <c r="P340" s="156">
        <f t="shared" si="41"/>
        <v>462500</v>
      </c>
    </row>
    <row r="341" spans="2:16" s="9" customFormat="1" ht="35.1" customHeight="1" x14ac:dyDescent="0.25">
      <c r="B341" s="47" t="s">
        <v>426</v>
      </c>
      <c r="C341" s="24" t="s">
        <v>427</v>
      </c>
      <c r="D341" s="24" t="s">
        <v>369</v>
      </c>
      <c r="E341" s="15"/>
      <c r="F341" s="126">
        <v>0</v>
      </c>
      <c r="G341" s="126">
        <f t="shared" si="38"/>
        <v>0</v>
      </c>
      <c r="H341" s="8"/>
      <c r="I341" s="9" t="str">
        <f t="array" ref="I341:L341">_xlfn.XLOOKUP(C341,'Neiva 2022 FASE I ACTUAL (4)'!$C$6:$C$540,'Neiva 2022 FASE I ACTUAL (4)'!$C$6:$F$540,"NO ESTA")</f>
        <v xml:space="preserve">SUMINISTRO E INSTALACION DE EQUIPOS DE BOMBEO                                                                                             </v>
      </c>
      <c r="J341" s="9">
        <v>0</v>
      </c>
      <c r="K341" s="9">
        <v>0</v>
      </c>
      <c r="L341" s="9">
        <v>0</v>
      </c>
      <c r="M341" s="124">
        <f t="shared" si="42"/>
        <v>0</v>
      </c>
      <c r="N341" s="155">
        <f t="shared" si="39"/>
        <v>0</v>
      </c>
      <c r="O341" s="156">
        <f t="shared" si="40"/>
        <v>0</v>
      </c>
      <c r="P341" s="156">
        <f t="shared" si="41"/>
        <v>0</v>
      </c>
    </row>
    <row r="342" spans="2:16" s="9" customFormat="1" ht="35.1" customHeight="1" x14ac:dyDescent="0.25">
      <c r="B342" s="10" t="s">
        <v>428</v>
      </c>
      <c r="C342" s="11" t="s">
        <v>1223</v>
      </c>
      <c r="D342" s="10" t="s">
        <v>374</v>
      </c>
      <c r="E342" s="12">
        <v>0</v>
      </c>
      <c r="F342" s="126">
        <v>34968236</v>
      </c>
      <c r="G342" s="126">
        <f t="shared" si="38"/>
        <v>0</v>
      </c>
      <c r="H342" s="8"/>
      <c r="I342" s="9" t="str">
        <f t="array" ref="I342">_xlfn.XLOOKUP(C342,'Neiva 2022 FASE I ACTUAL (4)'!$C$6:$C$540,'Neiva 2022 FASE I ACTUAL (4)'!$C$6:$F$540,"NO ESTA")</f>
        <v>NO ESTA</v>
      </c>
      <c r="M342" s="124">
        <f t="shared" si="42"/>
        <v>0</v>
      </c>
      <c r="N342" s="155">
        <f t="shared" si="39"/>
        <v>0</v>
      </c>
      <c r="O342" s="156">
        <f t="shared" si="40"/>
        <v>34968236</v>
      </c>
      <c r="P342" s="156">
        <f t="shared" si="41"/>
        <v>0</v>
      </c>
    </row>
    <row r="343" spans="2:16" s="9" customFormat="1" ht="35.1" customHeight="1" x14ac:dyDescent="0.25">
      <c r="B343" s="10" t="s">
        <v>430</v>
      </c>
      <c r="C343" s="11" t="s">
        <v>1224</v>
      </c>
      <c r="D343" s="10" t="s">
        <v>374</v>
      </c>
      <c r="E343" s="12">
        <v>0</v>
      </c>
      <c r="F343" s="126">
        <v>95772561</v>
      </c>
      <c r="G343" s="126">
        <f t="shared" si="38"/>
        <v>0</v>
      </c>
      <c r="H343" s="8"/>
      <c r="I343" s="9" t="str">
        <f t="array" ref="I343">_xlfn.XLOOKUP(C343,'Neiva 2022 FASE I ACTUAL (4)'!$C$6:$C$540,'Neiva 2022 FASE I ACTUAL (4)'!$C$6:$F$540,"NO ESTA")</f>
        <v>NO ESTA</v>
      </c>
      <c r="M343" s="124">
        <f t="shared" si="42"/>
        <v>0</v>
      </c>
      <c r="N343" s="155">
        <f t="shared" si="39"/>
        <v>0</v>
      </c>
      <c r="O343" s="156">
        <f t="shared" si="40"/>
        <v>95772561</v>
      </c>
      <c r="P343" s="156">
        <f t="shared" si="41"/>
        <v>0</v>
      </c>
    </row>
    <row r="344" spans="2:16" s="9" customFormat="1" ht="35.1" customHeight="1" x14ac:dyDescent="0.25">
      <c r="B344" s="23" t="s">
        <v>432</v>
      </c>
      <c r="C344" s="11" t="s">
        <v>433</v>
      </c>
      <c r="D344" s="10" t="s">
        <v>374</v>
      </c>
      <c r="E344" s="12">
        <v>0</v>
      </c>
      <c r="F344" s="126">
        <v>14095722</v>
      </c>
      <c r="G344" s="126">
        <f t="shared" si="38"/>
        <v>0</v>
      </c>
      <c r="H344" s="8"/>
      <c r="I344" s="9" t="str">
        <f t="array" ref="I344:L344">_xlfn.XLOOKUP(C344,'Neiva 2022 FASE I ACTUAL (4)'!$C$6:$C$540,'Neiva 2022 FASE I ACTUAL (4)'!$C$6:$F$540,"NO ESTA")</f>
        <v xml:space="preserve">SUMINISTRO E INSTALACIÓN DE EQUIPO EYECTOR 2 BOMBAS 3HP C/U </v>
      </c>
      <c r="J344" s="9" t="str">
        <v>UN</v>
      </c>
      <c r="K344" s="9">
        <v>1</v>
      </c>
      <c r="L344" s="9">
        <v>13701712</v>
      </c>
      <c r="M344" s="124" t="str">
        <f t="shared" si="42"/>
        <v>FASE II</v>
      </c>
      <c r="N344" s="155">
        <f t="shared" si="39"/>
        <v>1</v>
      </c>
      <c r="O344" s="156">
        <f t="shared" si="40"/>
        <v>14095722</v>
      </c>
      <c r="P344" s="156">
        <f t="shared" si="41"/>
        <v>14095722</v>
      </c>
    </row>
    <row r="345" spans="2:16" s="9" customFormat="1" ht="35.1" customHeight="1" x14ac:dyDescent="0.25">
      <c r="B345" s="16">
        <v>13</v>
      </c>
      <c r="C345" s="17" t="s">
        <v>434</v>
      </c>
      <c r="D345" s="17"/>
      <c r="E345" s="18"/>
      <c r="F345" s="133"/>
      <c r="G345" s="143"/>
      <c r="H345" s="8"/>
      <c r="I345" s="9" t="str">
        <f t="array" ref="I345:L345">_xlfn.XLOOKUP(C345,'Neiva 2022 FASE I ACTUAL (4)'!$C$6:$C$540,'Neiva 2022 FASE I ACTUAL (4)'!$C$6:$F$540,"NO ESTA")</f>
        <v xml:space="preserve">RED DE PROTECCION CONTRA INCENDIO </v>
      </c>
      <c r="J345" s="9">
        <v>0</v>
      </c>
      <c r="K345" s="9">
        <v>0</v>
      </c>
      <c r="L345" s="9">
        <v>0</v>
      </c>
      <c r="M345" s="124">
        <f t="shared" si="42"/>
        <v>0</v>
      </c>
      <c r="N345" s="155">
        <f t="shared" si="39"/>
        <v>0</v>
      </c>
      <c r="O345" s="156">
        <f t="shared" si="40"/>
        <v>0</v>
      </c>
      <c r="P345" s="156">
        <f t="shared" si="41"/>
        <v>0</v>
      </c>
    </row>
    <row r="346" spans="2:16" s="9" customFormat="1" ht="35.1" customHeight="1" x14ac:dyDescent="0.25">
      <c r="B346" s="50" t="s">
        <v>435</v>
      </c>
      <c r="C346" s="51" t="s">
        <v>436</v>
      </c>
      <c r="D346" s="51"/>
      <c r="E346" s="52"/>
      <c r="F346" s="129"/>
      <c r="G346" s="140"/>
      <c r="H346" s="8"/>
      <c r="I346" s="9" t="str">
        <f t="array" ref="I346:L346">_xlfn.XLOOKUP(C346,'Neiva 2022 FASE I ACTUAL (4)'!$C$6:$C$540,'Neiva 2022 FASE I ACTUAL (4)'!$C$6:$F$540,"NO ESTA")</f>
        <v>SUMINISTRO E INSTALACIÓN RED DE ACERO NEGRO SCH 40</v>
      </c>
      <c r="J346" s="9">
        <v>0</v>
      </c>
      <c r="K346" s="9">
        <v>0</v>
      </c>
      <c r="L346" s="9">
        <v>0</v>
      </c>
      <c r="M346" s="124">
        <f t="shared" si="42"/>
        <v>0</v>
      </c>
      <c r="N346" s="155">
        <f t="shared" si="39"/>
        <v>0</v>
      </c>
      <c r="O346" s="156">
        <f t="shared" si="40"/>
        <v>0</v>
      </c>
      <c r="P346" s="156">
        <f t="shared" si="41"/>
        <v>0</v>
      </c>
    </row>
    <row r="347" spans="2:16" s="9" customFormat="1" ht="35.1" customHeight="1" x14ac:dyDescent="0.25">
      <c r="B347" s="23" t="s">
        <v>437</v>
      </c>
      <c r="C347" s="22" t="s">
        <v>438</v>
      </c>
      <c r="D347" s="23" t="s">
        <v>269</v>
      </c>
      <c r="E347" s="12">
        <v>694</v>
      </c>
      <c r="F347" s="126">
        <v>24331</v>
      </c>
      <c r="G347" s="126">
        <f t="shared" ref="G347:G359" si="43">ROUND(+F347*E347,2)</f>
        <v>16885714</v>
      </c>
      <c r="H347" s="8">
        <f>ROUND(F347*(1+$H$3),0)</f>
        <v>47514</v>
      </c>
      <c r="I347" s="9" t="str">
        <f t="array" ref="I347:L347">_xlfn.XLOOKUP(C347,'Neiva 2022 FASE I ACTUAL (4)'!$C$6:$C$540,'Neiva 2022 FASE I ACTUAL (4)'!$C$6:$F$540,"NO ESTA")</f>
        <v xml:space="preserve">SUMINISTRO E INSTALACIÓN TUBERIA ACERO 1" SCH 40 INCLUYE. SOPORTES Y ADITAMENTOS                                 </v>
      </c>
      <c r="J347" s="9" t="str">
        <v xml:space="preserve">ML   </v>
      </c>
      <c r="K347" s="9">
        <v>257</v>
      </c>
      <c r="L347" s="9">
        <v>23651</v>
      </c>
      <c r="M347" s="124" t="str">
        <f t="shared" si="42"/>
        <v>FASE II</v>
      </c>
      <c r="N347" s="155">
        <f t="shared" si="39"/>
        <v>951</v>
      </c>
      <c r="O347" s="156">
        <f t="shared" si="40"/>
        <v>24331</v>
      </c>
      <c r="P347" s="156">
        <f t="shared" si="41"/>
        <v>23138781</v>
      </c>
    </row>
    <row r="348" spans="2:16" s="9" customFormat="1" ht="35.1" customHeight="1" x14ac:dyDescent="0.25">
      <c r="B348" s="23" t="s">
        <v>439</v>
      </c>
      <c r="C348" s="22" t="s">
        <v>440</v>
      </c>
      <c r="D348" s="23" t="s">
        <v>269</v>
      </c>
      <c r="E348" s="12">
        <v>350</v>
      </c>
      <c r="F348" s="126">
        <v>52113</v>
      </c>
      <c r="G348" s="126">
        <f t="shared" si="43"/>
        <v>18239550</v>
      </c>
      <c r="H348" s="8">
        <f t="shared" ref="H348:H357" si="44">ROUND(F348*(1+$H$3),0)</f>
        <v>101766</v>
      </c>
      <c r="I348" s="9" t="str">
        <f t="array" ref="I348:L348">_xlfn.XLOOKUP(C348,'Neiva 2022 FASE I ACTUAL (4)'!$C$6:$C$540,'Neiva 2022 FASE I ACTUAL (4)'!$C$6:$F$540,"NO ESTA")</f>
        <v xml:space="preserve">SUMINISTRO E INSTALACIÓN TUBERIA ACERO 2" SCH 40 INCLUYE. SOPORTES Y ADITAMENTOS                                 </v>
      </c>
      <c r="J348" s="9" t="str">
        <v xml:space="preserve">ML   </v>
      </c>
      <c r="K348" s="9">
        <v>129</v>
      </c>
      <c r="L348" s="9">
        <v>50656</v>
      </c>
      <c r="M348" s="124" t="str">
        <f t="shared" si="42"/>
        <v>FASE II</v>
      </c>
      <c r="N348" s="155">
        <f t="shared" si="39"/>
        <v>479</v>
      </c>
      <c r="O348" s="156">
        <f t="shared" si="40"/>
        <v>52113</v>
      </c>
      <c r="P348" s="156">
        <f t="shared" si="41"/>
        <v>24962127</v>
      </c>
    </row>
    <row r="349" spans="2:16" s="9" customFormat="1" ht="35.1" customHeight="1" x14ac:dyDescent="0.25">
      <c r="B349" s="23" t="s">
        <v>441</v>
      </c>
      <c r="C349" s="22" t="s">
        <v>442</v>
      </c>
      <c r="D349" s="23" t="s">
        <v>269</v>
      </c>
      <c r="E349" s="12">
        <v>301</v>
      </c>
      <c r="F349" s="126">
        <v>97096</v>
      </c>
      <c r="G349" s="126">
        <f t="shared" si="43"/>
        <v>29225896</v>
      </c>
      <c r="H349" s="8">
        <f t="shared" si="44"/>
        <v>189609</v>
      </c>
      <c r="I349" s="9" t="str">
        <f t="array" ref="I349:L349">_xlfn.XLOOKUP(C349,'Neiva 2022 FASE I ACTUAL (4)'!$C$6:$C$540,'Neiva 2022 FASE I ACTUAL (4)'!$C$6:$F$540,"NO ESTA")</f>
        <v xml:space="preserve">SUMINISTRO E INSTALACIÓN TUBERIA ACERO 3" SCH 40 INCLUYE. SOPORTES Y ADITAMENTOS                                 </v>
      </c>
      <c r="J349" s="9" t="str">
        <v xml:space="preserve">ML   </v>
      </c>
      <c r="K349" s="9">
        <v>112</v>
      </c>
      <c r="L349" s="9">
        <v>94382</v>
      </c>
      <c r="M349" s="124" t="str">
        <f t="shared" si="42"/>
        <v>FASE II</v>
      </c>
      <c r="N349" s="155">
        <f t="shared" si="39"/>
        <v>413</v>
      </c>
      <c r="O349" s="156">
        <f t="shared" si="40"/>
        <v>97096</v>
      </c>
      <c r="P349" s="156">
        <f t="shared" si="41"/>
        <v>40100648</v>
      </c>
    </row>
    <row r="350" spans="2:16" s="9" customFormat="1" ht="35.1" customHeight="1" x14ac:dyDescent="0.25">
      <c r="B350" s="23" t="s">
        <v>443</v>
      </c>
      <c r="C350" s="22" t="s">
        <v>444</v>
      </c>
      <c r="D350" s="23" t="s">
        <v>269</v>
      </c>
      <c r="E350" s="12">
        <v>44</v>
      </c>
      <c r="F350" s="126">
        <v>137013</v>
      </c>
      <c r="G350" s="126">
        <f t="shared" si="43"/>
        <v>6028572</v>
      </c>
      <c r="H350" s="8">
        <f t="shared" si="44"/>
        <v>267559</v>
      </c>
      <c r="I350" s="9" t="str">
        <f t="array" ref="I350:L350">_xlfn.XLOOKUP(C350,'Neiva 2022 FASE I ACTUAL (4)'!$C$6:$C$540,'Neiva 2022 FASE I ACTUAL (4)'!$C$6:$F$540,"NO ESTA")</f>
        <v xml:space="preserve">SUMINISTRO E INSTALACIÓN TUBERIA ACERO 4" SCH 40 INCLUYE. SOPORTES Y ADITAMENTOS                                 </v>
      </c>
      <c r="J350" s="9" t="str">
        <v xml:space="preserve">ML   </v>
      </c>
      <c r="K350" s="9">
        <v>16</v>
      </c>
      <c r="L350" s="9">
        <v>133184</v>
      </c>
      <c r="M350" s="124" t="str">
        <f t="shared" si="42"/>
        <v>FASE II</v>
      </c>
      <c r="N350" s="155">
        <f t="shared" si="39"/>
        <v>60</v>
      </c>
      <c r="O350" s="156">
        <f t="shared" si="40"/>
        <v>137013</v>
      </c>
      <c r="P350" s="156">
        <f t="shared" si="41"/>
        <v>8220780</v>
      </c>
    </row>
    <row r="351" spans="2:16" s="9" customFormat="1" ht="35.1" customHeight="1" x14ac:dyDescent="0.25">
      <c r="B351" s="23" t="s">
        <v>445</v>
      </c>
      <c r="C351" s="22" t="s">
        <v>446</v>
      </c>
      <c r="D351" s="23" t="s">
        <v>284</v>
      </c>
      <c r="E351" s="12">
        <v>256</v>
      </c>
      <c r="F351" s="126">
        <v>8196</v>
      </c>
      <c r="G351" s="126">
        <f t="shared" si="43"/>
        <v>2098176</v>
      </c>
      <c r="H351" s="8">
        <f t="shared" si="44"/>
        <v>16005</v>
      </c>
      <c r="I351" s="9" t="str">
        <f t="array" ref="I351:L351">_xlfn.XLOOKUP(C351,'Neiva 2022 FASE I ACTUAL (4)'!$C$6:$C$540,'Neiva 2022 FASE I ACTUAL (4)'!$C$6:$F$540,"NO ESTA")</f>
        <v xml:space="preserve">SUMINISTRO E INSTALACIÓN ACCESORIOS ACERO NEGRO 1"                                                       </v>
      </c>
      <c r="J351" s="9" t="str">
        <v xml:space="preserve">UN   </v>
      </c>
      <c r="K351" s="9">
        <v>95</v>
      </c>
      <c r="L351" s="9">
        <v>7968</v>
      </c>
      <c r="M351" s="124" t="str">
        <f t="shared" si="42"/>
        <v>FASE II</v>
      </c>
      <c r="N351" s="155">
        <f t="shared" si="39"/>
        <v>351</v>
      </c>
      <c r="O351" s="156">
        <f t="shared" si="40"/>
        <v>8196</v>
      </c>
      <c r="P351" s="156">
        <f t="shared" si="41"/>
        <v>2876796</v>
      </c>
    </row>
    <row r="352" spans="2:16" s="9" customFormat="1" ht="35.1" customHeight="1" x14ac:dyDescent="0.25">
      <c r="B352" s="23" t="s">
        <v>447</v>
      </c>
      <c r="C352" s="22" t="s">
        <v>448</v>
      </c>
      <c r="D352" s="23" t="s">
        <v>284</v>
      </c>
      <c r="E352" s="12">
        <v>95</v>
      </c>
      <c r="F352" s="126">
        <v>17833</v>
      </c>
      <c r="G352" s="126">
        <f t="shared" si="43"/>
        <v>1694135</v>
      </c>
      <c r="H352" s="8">
        <f t="shared" si="44"/>
        <v>34824</v>
      </c>
      <c r="I352" s="9" t="str">
        <f t="array" ref="I352:L352">_xlfn.XLOOKUP(C352,'Neiva 2022 FASE I ACTUAL (4)'!$C$6:$C$540,'Neiva 2022 FASE I ACTUAL (4)'!$C$6:$F$540,"NO ESTA")</f>
        <v xml:space="preserve">SUMINISTRO E INSTALACIÓN ACCESORIOS ACERO NEGRO 2"                                                       </v>
      </c>
      <c r="J352" s="9" t="str">
        <v xml:space="preserve">UN   </v>
      </c>
      <c r="K352" s="9">
        <v>35</v>
      </c>
      <c r="L352" s="9">
        <v>17334</v>
      </c>
      <c r="M352" s="124" t="str">
        <f t="shared" si="42"/>
        <v>FASE II</v>
      </c>
      <c r="N352" s="155">
        <f t="shared" si="39"/>
        <v>130</v>
      </c>
      <c r="O352" s="156">
        <f t="shared" si="40"/>
        <v>17833</v>
      </c>
      <c r="P352" s="156">
        <f t="shared" si="41"/>
        <v>2318290</v>
      </c>
    </row>
    <row r="353" spans="2:16" s="9" customFormat="1" ht="35.1" customHeight="1" x14ac:dyDescent="0.25">
      <c r="B353" s="23" t="s">
        <v>449</v>
      </c>
      <c r="C353" s="22" t="s">
        <v>450</v>
      </c>
      <c r="D353" s="23" t="s">
        <v>284</v>
      </c>
      <c r="E353" s="12">
        <v>128</v>
      </c>
      <c r="F353" s="126">
        <v>27612</v>
      </c>
      <c r="G353" s="126">
        <f t="shared" si="43"/>
        <v>3534336</v>
      </c>
      <c r="H353" s="8">
        <f t="shared" si="44"/>
        <v>53921</v>
      </c>
      <c r="I353" s="9" t="str">
        <f t="array" ref="I353:L353">_xlfn.XLOOKUP(C353,'Neiva 2022 FASE I ACTUAL (4)'!$C$6:$C$540,'Neiva 2022 FASE I ACTUAL (4)'!$C$6:$F$540,"NO ESTA")</f>
        <v xml:space="preserve">SUMINISTRO E INSTALACIÓN ACCESORIOS ACERO NEGRO 3"                                                       </v>
      </c>
      <c r="J353" s="9" t="str">
        <v xml:space="preserve">UN   </v>
      </c>
      <c r="K353" s="9">
        <v>48</v>
      </c>
      <c r="L353" s="9">
        <v>26840</v>
      </c>
      <c r="M353" s="124" t="str">
        <f t="shared" si="42"/>
        <v>FASE II</v>
      </c>
      <c r="N353" s="155">
        <f t="shared" si="39"/>
        <v>176</v>
      </c>
      <c r="O353" s="156">
        <f t="shared" si="40"/>
        <v>27612</v>
      </c>
      <c r="P353" s="156">
        <f t="shared" si="41"/>
        <v>4859712</v>
      </c>
    </row>
    <row r="354" spans="2:16" s="9" customFormat="1" ht="35.1" customHeight="1" x14ac:dyDescent="0.25">
      <c r="B354" s="23" t="s">
        <v>451</v>
      </c>
      <c r="C354" s="22" t="s">
        <v>452</v>
      </c>
      <c r="D354" s="23" t="s">
        <v>284</v>
      </c>
      <c r="E354" s="12">
        <v>19</v>
      </c>
      <c r="F354" s="126">
        <v>43148</v>
      </c>
      <c r="G354" s="126">
        <f t="shared" si="43"/>
        <v>819812</v>
      </c>
      <c r="H354" s="8">
        <f t="shared" si="44"/>
        <v>84259</v>
      </c>
      <c r="I354" s="9" t="str">
        <f t="array" ref="I354:L354">_xlfn.XLOOKUP(C354,'Neiva 2022 FASE I ACTUAL (4)'!$C$6:$C$540,'Neiva 2022 FASE I ACTUAL (4)'!$C$6:$F$540,"NO ESTA")</f>
        <v xml:space="preserve">SUMINISTRO E INSTALACIÓN ACCESORIOS ACERO NEGRO 4"                                                       </v>
      </c>
      <c r="J354" s="9" t="str">
        <v xml:space="preserve">UN   </v>
      </c>
      <c r="K354" s="9">
        <v>7</v>
      </c>
      <c r="L354" s="9">
        <v>41942</v>
      </c>
      <c r="M354" s="124" t="str">
        <f t="shared" si="42"/>
        <v>FASE II</v>
      </c>
      <c r="N354" s="155">
        <f t="shared" si="39"/>
        <v>26</v>
      </c>
      <c r="O354" s="156">
        <f t="shared" si="40"/>
        <v>43148</v>
      </c>
      <c r="P354" s="156">
        <f t="shared" si="41"/>
        <v>1121848</v>
      </c>
    </row>
    <row r="355" spans="2:16" s="9" customFormat="1" ht="35.1" customHeight="1" x14ac:dyDescent="0.25">
      <c r="B355" s="23" t="s">
        <v>453</v>
      </c>
      <c r="C355" s="22" t="s">
        <v>454</v>
      </c>
      <c r="D355" s="23" t="s">
        <v>284</v>
      </c>
      <c r="E355" s="12">
        <v>55</v>
      </c>
      <c r="F355" s="126">
        <v>8320</v>
      </c>
      <c r="G355" s="126">
        <f t="shared" si="43"/>
        <v>457600</v>
      </c>
      <c r="H355" s="8">
        <f t="shared" si="44"/>
        <v>16247</v>
      </c>
      <c r="I355" s="9" t="str">
        <f t="array" ref="I355:L355">_xlfn.XLOOKUP(C355,'Neiva 2022 FASE I ACTUAL (4)'!$C$6:$C$540,'Neiva 2022 FASE I ACTUAL (4)'!$C$6:$F$540,"NO ESTA")</f>
        <v xml:space="preserve">SUMINISTRO E INSTALACIÓN ACOPLES HIERRO FUNDIDO DIAMETRO 2"                                                      </v>
      </c>
      <c r="J355" s="9" t="str">
        <v xml:space="preserve">UN   </v>
      </c>
      <c r="K355" s="9">
        <v>21</v>
      </c>
      <c r="L355" s="9">
        <v>8087</v>
      </c>
      <c r="M355" s="124" t="str">
        <f t="shared" si="42"/>
        <v>FASE II</v>
      </c>
      <c r="N355" s="155">
        <f t="shared" si="39"/>
        <v>76</v>
      </c>
      <c r="O355" s="156">
        <f t="shared" si="40"/>
        <v>8320</v>
      </c>
      <c r="P355" s="156">
        <f t="shared" si="41"/>
        <v>632320</v>
      </c>
    </row>
    <row r="356" spans="2:16" s="9" customFormat="1" ht="35.1" customHeight="1" x14ac:dyDescent="0.25">
      <c r="B356" s="23" t="s">
        <v>455</v>
      </c>
      <c r="C356" s="22" t="s">
        <v>456</v>
      </c>
      <c r="D356" s="23" t="s">
        <v>284</v>
      </c>
      <c r="E356" s="12">
        <v>58</v>
      </c>
      <c r="F356" s="126">
        <v>11043</v>
      </c>
      <c r="G356" s="126">
        <f t="shared" si="43"/>
        <v>640494</v>
      </c>
      <c r="H356" s="8">
        <f t="shared" si="44"/>
        <v>21565</v>
      </c>
      <c r="I356" s="9" t="str">
        <f t="array" ref="I356:L356">_xlfn.XLOOKUP(C356,'Neiva 2022 FASE I ACTUAL (4)'!$C$6:$C$540,'Neiva 2022 FASE I ACTUAL (4)'!$C$6:$F$540,"NO ESTA")</f>
        <v xml:space="preserve">SUMINISTRO E INSTALACIÓN ACOPLES HIERRO FUNDIDO DIAMETRO 3"                                                       </v>
      </c>
      <c r="J356" s="9" t="str">
        <v xml:space="preserve">UN   </v>
      </c>
      <c r="K356" s="9">
        <v>22</v>
      </c>
      <c r="L356" s="9">
        <v>10734</v>
      </c>
      <c r="M356" s="124" t="str">
        <f t="shared" si="42"/>
        <v>FASE II</v>
      </c>
      <c r="N356" s="155">
        <f t="shared" si="39"/>
        <v>80</v>
      </c>
      <c r="O356" s="156">
        <f t="shared" si="40"/>
        <v>11043</v>
      </c>
      <c r="P356" s="156">
        <f t="shared" si="41"/>
        <v>883440</v>
      </c>
    </row>
    <row r="357" spans="2:16" s="9" customFormat="1" ht="35.1" customHeight="1" x14ac:dyDescent="0.25">
      <c r="B357" s="23" t="s">
        <v>457</v>
      </c>
      <c r="C357" s="22" t="s">
        <v>458</v>
      </c>
      <c r="D357" s="23" t="s">
        <v>284</v>
      </c>
      <c r="E357" s="12">
        <v>9</v>
      </c>
      <c r="F357" s="126">
        <v>13663</v>
      </c>
      <c r="G357" s="126">
        <f t="shared" si="43"/>
        <v>122967</v>
      </c>
      <c r="H357" s="8">
        <f t="shared" si="44"/>
        <v>26681</v>
      </c>
      <c r="I357" s="9" t="str">
        <f t="array" ref="I357:L357">_xlfn.XLOOKUP(C357,'Neiva 2022 FASE I ACTUAL (4)'!$C$6:$C$540,'Neiva 2022 FASE I ACTUAL (4)'!$C$6:$F$540,"NO ESTA")</f>
        <v xml:space="preserve">SUMINISTRO E INSTALACIÓN ACOPLES HIERRO FUNDIDO DIAMETRO 4"                                                       </v>
      </c>
      <c r="J357" s="9" t="str">
        <v xml:space="preserve">UN   </v>
      </c>
      <c r="K357" s="9">
        <v>3</v>
      </c>
      <c r="L357" s="9">
        <v>13280</v>
      </c>
      <c r="M357" s="124" t="str">
        <f t="shared" si="42"/>
        <v>FASE II</v>
      </c>
      <c r="N357" s="155">
        <f t="shared" si="39"/>
        <v>12</v>
      </c>
      <c r="O357" s="156">
        <f t="shared" si="40"/>
        <v>13663</v>
      </c>
      <c r="P357" s="156">
        <f t="shared" si="41"/>
        <v>163956</v>
      </c>
    </row>
    <row r="358" spans="2:16" s="9" customFormat="1" ht="35.1" customHeight="1" x14ac:dyDescent="0.25">
      <c r="B358" s="23" t="s">
        <v>459</v>
      </c>
      <c r="C358" s="22" t="s">
        <v>460</v>
      </c>
      <c r="D358" s="23" t="s">
        <v>269</v>
      </c>
      <c r="E358" s="12">
        <v>602</v>
      </c>
      <c r="F358" s="126">
        <v>5888</v>
      </c>
      <c r="G358" s="126">
        <f t="shared" si="43"/>
        <v>3544576</v>
      </c>
      <c r="H358" s="8"/>
      <c r="I358" s="9" t="str">
        <f t="array" ref="I358:L358">_xlfn.XLOOKUP(C358,'Neiva 2022 FASE I ACTUAL (4)'!$C$6:$C$540,'Neiva 2022 FASE I ACTUAL (4)'!$C$6:$F$540,"NO ESTA")</f>
        <v xml:space="preserve">SUMINISTRO Y APLICACIÓN PINTURA RED DE INCENDIO DIAMETRO DE 1" A 2"                                                              </v>
      </c>
      <c r="J358" s="9" t="str">
        <v xml:space="preserve">ML   </v>
      </c>
      <c r="K358" s="9">
        <v>222</v>
      </c>
      <c r="L358" s="9">
        <v>5722</v>
      </c>
      <c r="M358" s="124" t="str">
        <f t="shared" si="42"/>
        <v>FASE II</v>
      </c>
      <c r="N358" s="155">
        <f t="shared" si="39"/>
        <v>824</v>
      </c>
      <c r="O358" s="156">
        <f t="shared" si="40"/>
        <v>5888</v>
      </c>
      <c r="P358" s="156">
        <f t="shared" si="41"/>
        <v>4851712</v>
      </c>
    </row>
    <row r="359" spans="2:16" s="9" customFormat="1" ht="35.1" customHeight="1" x14ac:dyDescent="0.25">
      <c r="B359" s="23" t="s">
        <v>461</v>
      </c>
      <c r="C359" s="22" t="s">
        <v>462</v>
      </c>
      <c r="D359" s="23" t="s">
        <v>269</v>
      </c>
      <c r="E359" s="12">
        <v>107</v>
      </c>
      <c r="F359" s="126">
        <v>10014</v>
      </c>
      <c r="G359" s="126">
        <f t="shared" si="43"/>
        <v>1071498</v>
      </c>
      <c r="H359" s="8"/>
      <c r="I359" s="9" t="str">
        <f t="array" ref="I359:L359">_xlfn.XLOOKUP(C359,'Neiva 2022 FASE I ACTUAL (4)'!$C$6:$C$540,'Neiva 2022 FASE I ACTUAL (4)'!$C$6:$F$540,"NO ESTA")</f>
        <v xml:space="preserve">SUMINISTRO Y APLICACIÓN PINTURA RED DE INCENDIO DIAMETRO DE  2 1/2" A 4"                                                          </v>
      </c>
      <c r="J359" s="9" t="str">
        <v xml:space="preserve">ML   </v>
      </c>
      <c r="K359" s="9">
        <v>40</v>
      </c>
      <c r="L359" s="9">
        <v>9735</v>
      </c>
      <c r="M359" s="124" t="str">
        <f t="shared" si="42"/>
        <v>FASE II</v>
      </c>
      <c r="N359" s="155">
        <f t="shared" si="39"/>
        <v>147</v>
      </c>
      <c r="O359" s="156">
        <f t="shared" si="40"/>
        <v>10014</v>
      </c>
      <c r="P359" s="156">
        <f t="shared" si="41"/>
        <v>1472058</v>
      </c>
    </row>
    <row r="360" spans="2:16" s="9" customFormat="1" ht="35.1" customHeight="1" x14ac:dyDescent="0.25">
      <c r="B360" s="50" t="s">
        <v>463</v>
      </c>
      <c r="C360" s="51" t="s">
        <v>464</v>
      </c>
      <c r="D360" s="51"/>
      <c r="E360" s="52"/>
      <c r="F360" s="129"/>
      <c r="G360" s="140"/>
      <c r="H360" s="8"/>
      <c r="I360" s="9" t="str">
        <f t="array" ref="I360:L360">_xlfn.XLOOKUP(C360,'Neiva 2022 FASE I ACTUAL (4)'!$C$6:$C$540,'Neiva 2022 FASE I ACTUAL (4)'!$C$6:$F$540,"NO ESTA")</f>
        <v>SUMINISTRO E INSTALACION ELEMENTOS RED CONTRA INCENDIO</v>
      </c>
      <c r="J360" s="9">
        <v>0</v>
      </c>
      <c r="K360" s="9">
        <v>0</v>
      </c>
      <c r="L360" s="9">
        <v>0</v>
      </c>
      <c r="M360" s="124">
        <f t="shared" si="42"/>
        <v>0</v>
      </c>
      <c r="N360" s="155">
        <f t="shared" si="39"/>
        <v>0</v>
      </c>
      <c r="O360" s="156">
        <f t="shared" si="40"/>
        <v>0</v>
      </c>
      <c r="P360" s="156">
        <f t="shared" si="41"/>
        <v>0</v>
      </c>
    </row>
    <row r="361" spans="2:16" s="9" customFormat="1" ht="35.1" customHeight="1" x14ac:dyDescent="0.25">
      <c r="B361" s="23" t="s">
        <v>465</v>
      </c>
      <c r="C361" s="22" t="s">
        <v>466</v>
      </c>
      <c r="D361" s="23" t="s">
        <v>284</v>
      </c>
      <c r="E361" s="12">
        <v>276</v>
      </c>
      <c r="F361" s="126">
        <v>59366</v>
      </c>
      <c r="G361" s="126">
        <f t="shared" ref="G361:G375" si="45">ROUND(+F361*E361,2)</f>
        <v>16385016</v>
      </c>
      <c r="H361" s="8"/>
      <c r="I361" s="9" t="str">
        <f t="array" ref="I361:L361">_xlfn.XLOOKUP(C361,'Neiva 2022 FASE I ACTUAL (4)'!$C$6:$C$540,'Neiva 2022 FASE I ACTUAL (4)'!$C$6:$F$540,"NO ESTA")</f>
        <v xml:space="preserve">SUMINISTRO E INSTALACIÓN ROCIADOR PENDENT K:5.6                                                          </v>
      </c>
      <c r="J361" s="9" t="str">
        <v xml:space="preserve">UN   </v>
      </c>
      <c r="K361" s="9">
        <v>102</v>
      </c>
      <c r="L361" s="9">
        <v>57707</v>
      </c>
      <c r="M361" s="124" t="str">
        <f t="shared" si="42"/>
        <v>FASE II</v>
      </c>
      <c r="N361" s="155">
        <f t="shared" si="39"/>
        <v>378</v>
      </c>
      <c r="O361" s="156">
        <f t="shared" si="40"/>
        <v>59366</v>
      </c>
      <c r="P361" s="156">
        <f t="shared" si="41"/>
        <v>22440348</v>
      </c>
    </row>
    <row r="362" spans="2:16" s="9" customFormat="1" ht="35.1" customHeight="1" x14ac:dyDescent="0.25">
      <c r="B362" s="23" t="s">
        <v>467</v>
      </c>
      <c r="C362" s="22" t="s">
        <v>468</v>
      </c>
      <c r="D362" s="23" t="s">
        <v>284</v>
      </c>
      <c r="E362" s="12">
        <v>38</v>
      </c>
      <c r="F362" s="126">
        <v>38899</v>
      </c>
      <c r="G362" s="126">
        <f t="shared" si="45"/>
        <v>1478162</v>
      </c>
      <c r="H362" s="8"/>
      <c r="I362" s="9" t="str">
        <f t="array" ref="I362:L362">_xlfn.XLOOKUP(C362,'Neiva 2022 FASE I ACTUAL (4)'!$C$6:$C$540,'Neiva 2022 FASE I ACTUAL (4)'!$C$6:$F$540,"NO ESTA")</f>
        <v xml:space="preserve">SUMINISTRO E INSTALACIÓN ROCIADOR MONTANTE K:5.6                                                          </v>
      </c>
      <c r="J362" s="9" t="str">
        <v xml:space="preserve">UN   </v>
      </c>
      <c r="K362" s="9">
        <v>14</v>
      </c>
      <c r="L362" s="9">
        <v>37813</v>
      </c>
      <c r="M362" s="124" t="str">
        <f t="shared" si="42"/>
        <v>FASE II</v>
      </c>
      <c r="N362" s="155">
        <f t="shared" si="39"/>
        <v>52</v>
      </c>
      <c r="O362" s="156">
        <f t="shared" si="40"/>
        <v>38899</v>
      </c>
      <c r="P362" s="156">
        <f t="shared" si="41"/>
        <v>2022748</v>
      </c>
    </row>
    <row r="363" spans="2:16" s="9" customFormat="1" ht="35.1" customHeight="1" x14ac:dyDescent="0.25">
      <c r="B363" s="23" t="s">
        <v>469</v>
      </c>
      <c r="C363" s="22" t="s">
        <v>470</v>
      </c>
      <c r="D363" s="23" t="s">
        <v>284</v>
      </c>
      <c r="E363" s="12">
        <v>27</v>
      </c>
      <c r="F363" s="126">
        <v>128366</v>
      </c>
      <c r="G363" s="126">
        <f t="shared" si="45"/>
        <v>3465882</v>
      </c>
      <c r="H363" s="8"/>
      <c r="I363" s="9" t="str">
        <f t="array" ref="I363:L363">_xlfn.XLOOKUP(C363,'Neiva 2022 FASE I ACTUAL (4)'!$C$6:$C$540,'Neiva 2022 FASE I ACTUAL (4)'!$C$6:$F$540,"NO ESTA")</f>
        <v xml:space="preserve">SUMINISTRO E INSTALACIÓN ROCIADOR PENDENT K:11.2                                                          </v>
      </c>
      <c r="J363" s="9" t="str">
        <v xml:space="preserve">UN   </v>
      </c>
      <c r="K363" s="9">
        <v>10</v>
      </c>
      <c r="L363" s="9">
        <v>124777</v>
      </c>
      <c r="M363" s="124" t="str">
        <f t="shared" si="42"/>
        <v>FASE II</v>
      </c>
      <c r="N363" s="155">
        <f t="shared" si="39"/>
        <v>37</v>
      </c>
      <c r="O363" s="156">
        <f t="shared" si="40"/>
        <v>128366</v>
      </c>
      <c r="P363" s="156">
        <f t="shared" si="41"/>
        <v>4749542</v>
      </c>
    </row>
    <row r="364" spans="2:16" s="9" customFormat="1" ht="35.1" customHeight="1" x14ac:dyDescent="0.25">
      <c r="B364" s="23" t="s">
        <v>471</v>
      </c>
      <c r="C364" s="22" t="s">
        <v>472</v>
      </c>
      <c r="D364" s="23" t="s">
        <v>284</v>
      </c>
      <c r="E364" s="12">
        <v>341</v>
      </c>
      <c r="F364" s="126">
        <v>46856</v>
      </c>
      <c r="G364" s="126">
        <f t="shared" si="45"/>
        <v>15977896</v>
      </c>
      <c r="H364" s="8"/>
      <c r="I364" s="9" t="str">
        <f t="array" ref="I364:L364">_xlfn.XLOOKUP(C364,'Neiva 2022 FASE I ACTUAL (4)'!$C$6:$C$540,'Neiva 2022 FASE I ACTUAL (4)'!$C$6:$F$540,"NO ESTA")</f>
        <v xml:space="preserve">SUMINISTRO E INSTALACIÓN PUNTO HIDRÁULICO PARA ROCIADOR                                                  </v>
      </c>
      <c r="J364" s="9" t="str">
        <v xml:space="preserve">UN   </v>
      </c>
      <c r="K364" s="9">
        <v>126</v>
      </c>
      <c r="L364" s="9">
        <v>45545</v>
      </c>
      <c r="M364" s="124" t="str">
        <f t="shared" si="42"/>
        <v>FASE II</v>
      </c>
      <c r="N364" s="155">
        <f t="shared" si="39"/>
        <v>467</v>
      </c>
      <c r="O364" s="156">
        <f t="shared" si="40"/>
        <v>46856</v>
      </c>
      <c r="P364" s="156">
        <f t="shared" si="41"/>
        <v>21881752</v>
      </c>
    </row>
    <row r="365" spans="2:16" s="9" customFormat="1" ht="35.1" customHeight="1" x14ac:dyDescent="0.25">
      <c r="B365" s="23" t="s">
        <v>473</v>
      </c>
      <c r="C365" s="22" t="s">
        <v>474</v>
      </c>
      <c r="D365" s="23" t="s">
        <v>284</v>
      </c>
      <c r="E365" s="12">
        <v>2</v>
      </c>
      <c r="F365" s="126">
        <v>4184551</v>
      </c>
      <c r="G365" s="126">
        <f t="shared" si="45"/>
        <v>8369102</v>
      </c>
      <c r="H365" s="8"/>
      <c r="I365" s="9" t="str">
        <f t="array" ref="I365:L365">_xlfn.XLOOKUP(C365,'Neiva 2022 FASE I ACTUAL (4)'!$C$6:$C$540,'Neiva 2022 FASE I ACTUAL (4)'!$C$6:$F$540,"NO ESTA")</f>
        <v xml:space="preserve">SUMINISTRO E INSTALACIÓN ESTACIÓN DE CONTROL, PRUEBA Y DRENAJE 3"                                        </v>
      </c>
      <c r="J365" s="9" t="str">
        <v xml:space="preserve">UN   </v>
      </c>
      <c r="K365" s="9">
        <v>3</v>
      </c>
      <c r="L365" s="9">
        <v>4067582</v>
      </c>
      <c r="M365" s="124" t="str">
        <f t="shared" si="42"/>
        <v>FASE II</v>
      </c>
      <c r="N365" s="155">
        <f t="shared" si="39"/>
        <v>5</v>
      </c>
      <c r="O365" s="156">
        <f t="shared" si="40"/>
        <v>4184551</v>
      </c>
      <c r="P365" s="156">
        <f t="shared" si="41"/>
        <v>20922755</v>
      </c>
    </row>
    <row r="366" spans="2:16" s="9" customFormat="1" ht="35.1" customHeight="1" x14ac:dyDescent="0.25">
      <c r="B366" s="23" t="s">
        <v>475</v>
      </c>
      <c r="C366" s="22" t="s">
        <v>476</v>
      </c>
      <c r="D366" s="23" t="s">
        <v>284</v>
      </c>
      <c r="E366" s="12">
        <v>7</v>
      </c>
      <c r="F366" s="126">
        <v>80107</v>
      </c>
      <c r="G366" s="126">
        <f t="shared" si="45"/>
        <v>560749</v>
      </c>
      <c r="H366" s="8"/>
      <c r="I366" s="9" t="str">
        <f t="array" ref="I366:L366">_xlfn.XLOOKUP(C366,'Neiva 2022 FASE I ACTUAL (4)'!$C$6:$C$540,'Neiva 2022 FASE I ACTUAL (4)'!$C$6:$F$540,"NO ESTA")</f>
        <v xml:space="preserve">SUMINISTRO E INSTALACIÓN VÁLVULA TOMA Y DESC. AIRE 1" INCENDIO                                           </v>
      </c>
      <c r="J366" s="9" t="str">
        <v xml:space="preserve">UN   </v>
      </c>
      <c r="K366" s="9">
        <v>3</v>
      </c>
      <c r="L366" s="9">
        <v>77869</v>
      </c>
      <c r="M366" s="124" t="str">
        <f t="shared" si="42"/>
        <v>FASE II</v>
      </c>
      <c r="N366" s="155">
        <f t="shared" si="39"/>
        <v>10</v>
      </c>
      <c r="O366" s="156">
        <f t="shared" si="40"/>
        <v>80107</v>
      </c>
      <c r="P366" s="156">
        <f t="shared" si="41"/>
        <v>801070</v>
      </c>
    </row>
    <row r="367" spans="2:16" s="9" customFormat="1" ht="35.1" customHeight="1" x14ac:dyDescent="0.25">
      <c r="B367" s="23" t="s">
        <v>477</v>
      </c>
      <c r="C367" s="22" t="s">
        <v>478</v>
      </c>
      <c r="D367" s="23" t="s">
        <v>284</v>
      </c>
      <c r="E367" s="12">
        <v>1</v>
      </c>
      <c r="F367" s="126">
        <v>1486386</v>
      </c>
      <c r="G367" s="126">
        <f t="shared" si="45"/>
        <v>1486386</v>
      </c>
      <c r="H367" s="8"/>
      <c r="I367" s="9" t="str">
        <f t="array" ref="I367:L367">_xlfn.XLOOKUP(C367,'Neiva 2022 FASE I ACTUAL (4)'!$C$6:$C$540,'Neiva 2022 FASE I ACTUAL (4)'!$C$6:$F$540,"NO ESTA")</f>
        <v xml:space="preserve">SUMINISTRO E INSTALACIÓN SIAMESA DE INYECCIÓN                                                            </v>
      </c>
      <c r="J367" s="9" t="str">
        <v xml:space="preserve">UN   </v>
      </c>
      <c r="K367" s="9">
        <v>1</v>
      </c>
      <c r="L367" s="9">
        <v>1444838</v>
      </c>
      <c r="M367" s="124" t="str">
        <f t="shared" si="42"/>
        <v>FASE II</v>
      </c>
      <c r="N367" s="155">
        <f t="shared" si="39"/>
        <v>2</v>
      </c>
      <c r="O367" s="156">
        <f t="shared" si="40"/>
        <v>1486386</v>
      </c>
      <c r="P367" s="156">
        <f t="shared" si="41"/>
        <v>2972772</v>
      </c>
    </row>
    <row r="368" spans="2:16" s="9" customFormat="1" ht="35.1" customHeight="1" x14ac:dyDescent="0.25">
      <c r="B368" s="23" t="s">
        <v>479</v>
      </c>
      <c r="C368" s="22" t="s">
        <v>480</v>
      </c>
      <c r="D368" s="23" t="s">
        <v>284</v>
      </c>
      <c r="E368" s="12">
        <v>0</v>
      </c>
      <c r="F368" s="126">
        <v>5375637</v>
      </c>
      <c r="G368" s="126">
        <f t="shared" si="45"/>
        <v>0</v>
      </c>
      <c r="H368" s="8"/>
      <c r="I368" s="9" t="str">
        <f t="array" ref="I368:L368">_xlfn.XLOOKUP(C368,'Neiva 2022 FASE I ACTUAL (4)'!$C$6:$C$540,'Neiva 2022 FASE I ACTUAL (4)'!$C$6:$F$540,"NO ESTA")</f>
        <v xml:space="preserve">SUMINISTRO E INSTALACIÓN CABEZAL DE PRUEBAS                                                         </v>
      </c>
      <c r="J368" s="9" t="str">
        <v xml:space="preserve">UN   </v>
      </c>
      <c r="K368" s="9">
        <v>1</v>
      </c>
      <c r="L368" s="9">
        <v>5225374</v>
      </c>
      <c r="M368" s="124" t="str">
        <f t="shared" si="42"/>
        <v>FASE II</v>
      </c>
      <c r="N368" s="155">
        <f t="shared" si="39"/>
        <v>1</v>
      </c>
      <c r="O368" s="156">
        <f t="shared" si="40"/>
        <v>5375637</v>
      </c>
      <c r="P368" s="156">
        <f t="shared" si="41"/>
        <v>5375637</v>
      </c>
    </row>
    <row r="369" spans="2:16" s="9" customFormat="1" ht="35.1" customHeight="1" x14ac:dyDescent="0.25">
      <c r="B369" s="23" t="s">
        <v>481</v>
      </c>
      <c r="C369" s="22" t="s">
        <v>482</v>
      </c>
      <c r="D369" s="23" t="s">
        <v>284</v>
      </c>
      <c r="E369" s="12">
        <v>0</v>
      </c>
      <c r="F369" s="126">
        <v>429459</v>
      </c>
      <c r="G369" s="126">
        <f t="shared" si="45"/>
        <v>0</v>
      </c>
      <c r="H369" s="8"/>
      <c r="I369" s="9" t="str">
        <f t="array" ref="I369:L369">_xlfn.XLOOKUP(C369,'Neiva 2022 FASE I ACTUAL (4)'!$C$6:$C$540,'Neiva 2022 FASE I ACTUAL (4)'!$C$6:$F$540,"NO ESTA")</f>
        <v xml:space="preserve">SUMINISTRO E INSTALACIÓN CHEQUE RANURADO 4"                                                              </v>
      </c>
      <c r="J369" s="9" t="str">
        <v xml:space="preserve">UN   </v>
      </c>
      <c r="K369" s="9">
        <v>1</v>
      </c>
      <c r="L369" s="9">
        <v>417454</v>
      </c>
      <c r="M369" s="124" t="str">
        <f t="shared" si="42"/>
        <v>FASE II</v>
      </c>
      <c r="N369" s="155">
        <f t="shared" si="39"/>
        <v>1</v>
      </c>
      <c r="O369" s="156">
        <f t="shared" si="40"/>
        <v>429459</v>
      </c>
      <c r="P369" s="156">
        <f t="shared" si="41"/>
        <v>429459</v>
      </c>
    </row>
    <row r="370" spans="2:16" s="9" customFormat="1" ht="35.1" customHeight="1" x14ac:dyDescent="0.25">
      <c r="B370" s="23" t="s">
        <v>483</v>
      </c>
      <c r="C370" s="22" t="s">
        <v>484</v>
      </c>
      <c r="D370" s="23" t="s">
        <v>284</v>
      </c>
      <c r="E370" s="12">
        <v>0</v>
      </c>
      <c r="F370" s="126">
        <v>1544969</v>
      </c>
      <c r="G370" s="126">
        <f t="shared" si="45"/>
        <v>0</v>
      </c>
      <c r="H370" s="8"/>
      <c r="I370" s="9" t="str">
        <f t="array" ref="I370:L370">_xlfn.XLOOKUP(C370,'Neiva 2022 FASE I ACTUAL (4)'!$C$6:$C$540,'Neiva 2022 FASE I ACTUAL (4)'!$C$6:$F$540,"NO ESTA")</f>
        <v xml:space="preserve">SUMINISTRO E INSTALACIÓN VÁLVULA OS&amp;Y 4"                                                                 </v>
      </c>
      <c r="J370" s="9" t="str">
        <v xml:space="preserve">UN   </v>
      </c>
      <c r="K370" s="9">
        <v>1</v>
      </c>
      <c r="L370" s="9">
        <v>1501782</v>
      </c>
      <c r="M370" s="124" t="str">
        <f t="shared" si="42"/>
        <v>FASE II</v>
      </c>
      <c r="N370" s="155">
        <f t="shared" si="39"/>
        <v>1</v>
      </c>
      <c r="O370" s="156">
        <f t="shared" si="40"/>
        <v>1544969</v>
      </c>
      <c r="P370" s="156">
        <f t="shared" si="41"/>
        <v>1544969</v>
      </c>
    </row>
    <row r="371" spans="2:16" s="9" customFormat="1" ht="35.1" customHeight="1" x14ac:dyDescent="0.25">
      <c r="B371" s="23" t="s">
        <v>485</v>
      </c>
      <c r="C371" s="22" t="s">
        <v>486</v>
      </c>
      <c r="D371" s="23" t="s">
        <v>284</v>
      </c>
      <c r="E371" s="12">
        <v>15</v>
      </c>
      <c r="F371" s="126">
        <v>139754</v>
      </c>
      <c r="G371" s="126">
        <f t="shared" si="45"/>
        <v>2096310</v>
      </c>
      <c r="H371" s="8"/>
      <c r="I371" s="9" t="str">
        <f t="array" ref="I371:L371">_xlfn.XLOOKUP(C371,'Neiva 2022 FASE I ACTUAL (4)'!$C$6:$C$540,'Neiva 2022 FASE I ACTUAL (4)'!$C$6:$F$540,"NO ESTA")</f>
        <v xml:space="preserve">SUMINISTRO E INSTALACIÓN SOPORTE LONGITUDINAL 4 VÍAS 3"                                                               </v>
      </c>
      <c r="J371" s="9" t="str">
        <v xml:space="preserve">UN   </v>
      </c>
      <c r="K371" s="9">
        <v>5</v>
      </c>
      <c r="L371" s="9">
        <v>135847</v>
      </c>
      <c r="M371" s="124" t="str">
        <f t="shared" si="42"/>
        <v>FASE II</v>
      </c>
      <c r="N371" s="155">
        <f t="shared" si="39"/>
        <v>20</v>
      </c>
      <c r="O371" s="156">
        <f t="shared" si="40"/>
        <v>139754</v>
      </c>
      <c r="P371" s="156">
        <f t="shared" si="41"/>
        <v>2795080</v>
      </c>
    </row>
    <row r="372" spans="2:16" s="9" customFormat="1" ht="35.1" customHeight="1" x14ac:dyDescent="0.25">
      <c r="B372" s="23" t="s">
        <v>487</v>
      </c>
      <c r="C372" s="22" t="s">
        <v>488</v>
      </c>
      <c r="D372" s="23" t="s">
        <v>284</v>
      </c>
      <c r="E372" s="12">
        <v>2</v>
      </c>
      <c r="F372" s="126">
        <v>281071</v>
      </c>
      <c r="G372" s="126">
        <f t="shared" si="45"/>
        <v>562142</v>
      </c>
      <c r="H372" s="8"/>
      <c r="I372" s="9" t="str">
        <f t="array" ref="I372:L372">_xlfn.XLOOKUP(C372,'Neiva 2022 FASE I ACTUAL (4)'!$C$6:$C$540,'Neiva 2022 FASE I ACTUAL (4)'!$C$6:$F$540,"NO ESTA")</f>
        <v xml:space="preserve">SUMINISTRO E INSTALACIÓN SOPORTE LONGITUDINAL 4 VÍAS 4"                                                               </v>
      </c>
      <c r="J372" s="9" t="str">
        <v xml:space="preserve">UN   </v>
      </c>
      <c r="K372" s="9">
        <v>1</v>
      </c>
      <c r="L372" s="9">
        <v>273215</v>
      </c>
      <c r="M372" s="124" t="str">
        <f t="shared" si="42"/>
        <v>FASE II</v>
      </c>
      <c r="N372" s="155">
        <f t="shared" si="39"/>
        <v>3</v>
      </c>
      <c r="O372" s="156">
        <f t="shared" si="40"/>
        <v>281071</v>
      </c>
      <c r="P372" s="156">
        <f t="shared" si="41"/>
        <v>843213</v>
      </c>
    </row>
    <row r="373" spans="2:16" s="9" customFormat="1" ht="35.1" customHeight="1" x14ac:dyDescent="0.25">
      <c r="B373" s="23" t="s">
        <v>489</v>
      </c>
      <c r="C373" s="22" t="s">
        <v>490</v>
      </c>
      <c r="D373" s="23" t="s">
        <v>284</v>
      </c>
      <c r="E373" s="12">
        <v>32</v>
      </c>
      <c r="F373" s="126">
        <v>120195</v>
      </c>
      <c r="G373" s="126">
        <f t="shared" si="45"/>
        <v>3846240</v>
      </c>
      <c r="H373" s="8"/>
      <c r="I373" s="9" t="str">
        <f t="array" ref="I373:L373">_xlfn.XLOOKUP(C373,'Neiva 2022 FASE I ACTUAL (4)'!$C$6:$C$540,'Neiva 2022 FASE I ACTUAL (4)'!$C$6:$F$540,"NO ESTA")</f>
        <v xml:space="preserve">SUMINISTRO E INSTALACIÓN SOPORTE LATERAL 2 VÍAS 2"                                                       </v>
      </c>
      <c r="J373" s="9" t="str">
        <v xml:space="preserve">UN   </v>
      </c>
      <c r="K373" s="9">
        <v>12</v>
      </c>
      <c r="L373" s="9">
        <v>116835</v>
      </c>
      <c r="M373" s="124" t="str">
        <f t="shared" si="42"/>
        <v>FASE II</v>
      </c>
      <c r="N373" s="155">
        <f t="shared" si="39"/>
        <v>44</v>
      </c>
      <c r="O373" s="156">
        <f t="shared" si="40"/>
        <v>120195</v>
      </c>
      <c r="P373" s="156">
        <f t="shared" si="41"/>
        <v>5288580</v>
      </c>
    </row>
    <row r="374" spans="2:16" s="9" customFormat="1" ht="35.1" customHeight="1" x14ac:dyDescent="0.25">
      <c r="B374" s="23" t="s">
        <v>491</v>
      </c>
      <c r="C374" s="22" t="s">
        <v>492</v>
      </c>
      <c r="D374" s="23" t="s">
        <v>284</v>
      </c>
      <c r="E374" s="12">
        <v>27</v>
      </c>
      <c r="F374" s="126">
        <v>126619</v>
      </c>
      <c r="G374" s="126">
        <f t="shared" si="45"/>
        <v>3418713</v>
      </c>
      <c r="H374" s="8"/>
      <c r="I374" s="9" t="str">
        <f t="array" ref="I374:L374">_xlfn.XLOOKUP(C374,'Neiva 2022 FASE I ACTUAL (4)'!$C$6:$C$540,'Neiva 2022 FASE I ACTUAL (4)'!$C$6:$F$540,"NO ESTA")</f>
        <v xml:space="preserve">SUMINISTRO E INSTALACIÓN SOPORTE LATERAL 2 VÍAS 3"                                                       </v>
      </c>
      <c r="J374" s="9" t="str">
        <v xml:space="preserve">UN   </v>
      </c>
      <c r="K374" s="9">
        <v>10</v>
      </c>
      <c r="L374" s="9">
        <v>123079</v>
      </c>
      <c r="M374" s="124" t="str">
        <f t="shared" si="42"/>
        <v>FASE II</v>
      </c>
      <c r="N374" s="155">
        <f t="shared" si="39"/>
        <v>37</v>
      </c>
      <c r="O374" s="156">
        <f t="shared" si="40"/>
        <v>126619</v>
      </c>
      <c r="P374" s="156">
        <f t="shared" si="41"/>
        <v>4684903</v>
      </c>
    </row>
    <row r="375" spans="2:16" s="9" customFormat="1" ht="35.1" customHeight="1" x14ac:dyDescent="0.25">
      <c r="B375" s="23" t="s">
        <v>493</v>
      </c>
      <c r="C375" s="22" t="s">
        <v>494</v>
      </c>
      <c r="D375" s="23" t="s">
        <v>284</v>
      </c>
      <c r="E375" s="12">
        <v>6</v>
      </c>
      <c r="F375" s="126">
        <v>1605959</v>
      </c>
      <c r="G375" s="126">
        <f t="shared" si="45"/>
        <v>9635754</v>
      </c>
      <c r="H375" s="8"/>
      <c r="I375" s="9" t="str">
        <f t="array" ref="I375:L375">_xlfn.XLOOKUP(C375,'Neiva 2022 FASE I ACTUAL (4)'!$C$6:$C$540,'Neiva 2022 FASE I ACTUAL (4)'!$C$6:$F$540,"NO ESTA")</f>
        <v xml:space="preserve">SUMINISTRO E INSTALACIÓN GABINETE TIPO II </v>
      </c>
      <c r="J375" s="9" t="str">
        <v xml:space="preserve">UN   </v>
      </c>
      <c r="K375" s="9">
        <v>2</v>
      </c>
      <c r="L375" s="9">
        <v>1561068</v>
      </c>
      <c r="M375" s="124" t="str">
        <f t="shared" si="42"/>
        <v>FASE II</v>
      </c>
      <c r="N375" s="155">
        <f t="shared" si="39"/>
        <v>8</v>
      </c>
      <c r="O375" s="156">
        <f t="shared" si="40"/>
        <v>1605959</v>
      </c>
      <c r="P375" s="156">
        <f t="shared" si="41"/>
        <v>12847672</v>
      </c>
    </row>
    <row r="376" spans="2:16" s="9" customFormat="1" ht="35.1" customHeight="1" x14ac:dyDescent="0.25">
      <c r="B376" s="33">
        <v>14</v>
      </c>
      <c r="C376" s="34" t="s">
        <v>495</v>
      </c>
      <c r="D376" s="34"/>
      <c r="E376" s="35"/>
      <c r="F376" s="132"/>
      <c r="G376" s="142"/>
      <c r="H376" s="8"/>
      <c r="I376" s="9" t="str">
        <f t="array" ref="I376:L376">_xlfn.XLOOKUP(C376,'Neiva 2022 FASE I ACTUAL (4)'!$C$6:$C$540,'Neiva 2022 FASE I ACTUAL (4)'!$C$6:$F$540,"NO ESTA")</f>
        <v>SALIDAS DE ALUMBRADO Y TOMACORRIENTES ELÉCTRICOS</v>
      </c>
      <c r="J376" s="9">
        <v>0</v>
      </c>
      <c r="K376" s="9">
        <v>0</v>
      </c>
      <c r="L376" s="9">
        <v>0</v>
      </c>
      <c r="M376" s="124">
        <f t="shared" si="42"/>
        <v>0</v>
      </c>
      <c r="N376" s="155">
        <f t="shared" si="39"/>
        <v>0</v>
      </c>
      <c r="O376" s="156">
        <f t="shared" si="40"/>
        <v>0</v>
      </c>
      <c r="P376" s="156">
        <f t="shared" si="41"/>
        <v>0</v>
      </c>
    </row>
    <row r="377" spans="2:16" s="9" customFormat="1" ht="35.1" customHeight="1" x14ac:dyDescent="0.25">
      <c r="B377" s="47" t="s">
        <v>496</v>
      </c>
      <c r="C377" s="43" t="s">
        <v>497</v>
      </c>
      <c r="D377" s="24"/>
      <c r="E377" s="15"/>
      <c r="F377" s="129"/>
      <c r="G377" s="140"/>
      <c r="H377" s="8"/>
      <c r="I377" s="9" t="str">
        <f t="array" ref="I377:L377">_xlfn.XLOOKUP(C377,'Neiva 2022 FASE I ACTUAL (4)'!$C$6:$C$540,'Neiva 2022 FASE I ACTUAL (4)'!$C$6:$F$540,"NO ESTA")</f>
        <v>SUMINISTRO E INSTALACIÓN SALIDAS DE ALUMBRADO EN TUBERIA PVC INCRUSTRADA (NO SE INCLUYE LAS LUMINARIAS)</v>
      </c>
      <c r="J377" s="9">
        <v>0</v>
      </c>
      <c r="K377" s="9">
        <v>0</v>
      </c>
      <c r="L377" s="9">
        <v>0</v>
      </c>
      <c r="M377" s="124">
        <f t="shared" si="42"/>
        <v>0</v>
      </c>
      <c r="N377" s="155">
        <f t="shared" si="39"/>
        <v>0</v>
      </c>
      <c r="O377" s="156">
        <f t="shared" si="40"/>
        <v>0</v>
      </c>
      <c r="P377" s="156">
        <f t="shared" si="41"/>
        <v>0</v>
      </c>
    </row>
    <row r="378" spans="2:16" s="9" customFormat="1" ht="35.1" customHeight="1" x14ac:dyDescent="0.25">
      <c r="B378" s="23" t="s">
        <v>498</v>
      </c>
      <c r="C378" s="87" t="s">
        <v>499</v>
      </c>
      <c r="D378" s="23" t="s">
        <v>374</v>
      </c>
      <c r="E378" s="12">
        <v>153</v>
      </c>
      <c r="F378" s="126">
        <v>83078</v>
      </c>
      <c r="G378" s="126">
        <f t="shared" ref="G378:G393" si="46">ROUND(+F378*E378,2)</f>
        <v>12710934</v>
      </c>
      <c r="H378" s="8"/>
      <c r="I378" s="9" t="str">
        <f t="array" ref="I378:L378">_xlfn.XLOOKUP(C378,'Neiva 2022 FASE I ACTUAL (4)'!$C$6:$C$540,'Neiva 2022 FASE I ACTUAL (4)'!$C$6:$F$540,"NO ESTA")</f>
        <v>SUMINISTRO E INSTALACIÓN SALIDA PARA LAMPARA LED DE 1x28 W</v>
      </c>
      <c r="J378" s="9" t="str">
        <v>UN</v>
      </c>
      <c r="K378" s="9">
        <v>57</v>
      </c>
      <c r="L378" s="9">
        <v>80757</v>
      </c>
      <c r="M378" s="124" t="str">
        <f t="shared" si="42"/>
        <v>FASE II</v>
      </c>
      <c r="N378" s="155">
        <f t="shared" si="39"/>
        <v>210</v>
      </c>
      <c r="O378" s="156">
        <f t="shared" si="40"/>
        <v>83078</v>
      </c>
      <c r="P378" s="156">
        <f t="shared" si="41"/>
        <v>17446380</v>
      </c>
    </row>
    <row r="379" spans="2:16" s="9" customFormat="1" ht="35.1" customHeight="1" x14ac:dyDescent="0.25">
      <c r="B379" s="23" t="s">
        <v>500</v>
      </c>
      <c r="C379" s="87" t="s">
        <v>501</v>
      </c>
      <c r="D379" s="23" t="s">
        <v>374</v>
      </c>
      <c r="E379" s="12">
        <v>82</v>
      </c>
      <c r="F379" s="126">
        <v>75156</v>
      </c>
      <c r="G379" s="126">
        <f t="shared" si="46"/>
        <v>6162792</v>
      </c>
      <c r="H379" s="8"/>
      <c r="I379" s="9" t="str">
        <f t="array" ref="I379:L379">_xlfn.XLOOKUP(C379,'Neiva 2022 FASE I ACTUAL (4)'!$C$6:$C$540,'Neiva 2022 FASE I ACTUAL (4)'!$C$6:$F$540,"NO ESTA")</f>
        <v>SUMINISTRO E INSTALACIÓN SALIDA PARA LAMPARA LED DE 2x54 W</v>
      </c>
      <c r="J379" s="9" t="str">
        <v>UN</v>
      </c>
      <c r="K379" s="9">
        <v>30</v>
      </c>
      <c r="L379" s="9">
        <v>73056</v>
      </c>
      <c r="M379" s="124" t="str">
        <f t="shared" si="42"/>
        <v>FASE II</v>
      </c>
      <c r="N379" s="155">
        <f t="shared" si="39"/>
        <v>112</v>
      </c>
      <c r="O379" s="156">
        <f t="shared" si="40"/>
        <v>75156</v>
      </c>
      <c r="P379" s="156">
        <f t="shared" si="41"/>
        <v>8417472</v>
      </c>
    </row>
    <row r="380" spans="2:16" s="9" customFormat="1" ht="35.1" customHeight="1" x14ac:dyDescent="0.25">
      <c r="B380" s="23" t="s">
        <v>502</v>
      </c>
      <c r="C380" s="22" t="s">
        <v>503</v>
      </c>
      <c r="D380" s="23" t="s">
        <v>374</v>
      </c>
      <c r="E380" s="12">
        <v>121</v>
      </c>
      <c r="F380" s="126">
        <v>70467</v>
      </c>
      <c r="G380" s="126">
        <f t="shared" si="46"/>
        <v>8526507</v>
      </c>
      <c r="H380" s="8"/>
      <c r="I380" s="9" t="str">
        <f t="array" ref="I380:L380">_xlfn.XLOOKUP(C380,'Neiva 2022 FASE I ACTUAL (4)'!$C$6:$C$540,'Neiva 2022 FASE I ACTUAL (4)'!$C$6:$F$540,"NO ESTA")</f>
        <v>SUMINISTRO E INSTALACIÓN SALIDA PARA BALA DE LED 35W 120V</v>
      </c>
      <c r="J380" s="9" t="str">
        <v>UN</v>
      </c>
      <c r="K380" s="9">
        <v>45</v>
      </c>
      <c r="L380" s="9">
        <v>68497</v>
      </c>
      <c r="M380" s="124" t="str">
        <f t="shared" si="42"/>
        <v>FASE II</v>
      </c>
      <c r="N380" s="155">
        <f t="shared" si="39"/>
        <v>166</v>
      </c>
      <c r="O380" s="156">
        <f t="shared" si="40"/>
        <v>70467</v>
      </c>
      <c r="P380" s="156">
        <f t="shared" si="41"/>
        <v>11697522</v>
      </c>
    </row>
    <row r="381" spans="2:16" s="9" customFormat="1" ht="35.1" customHeight="1" x14ac:dyDescent="0.25">
      <c r="B381" s="23" t="s">
        <v>504</v>
      </c>
      <c r="C381" s="22" t="s">
        <v>505</v>
      </c>
      <c r="D381" s="23" t="s">
        <v>374</v>
      </c>
      <c r="E381" s="12">
        <v>50</v>
      </c>
      <c r="F381" s="126">
        <v>70467</v>
      </c>
      <c r="G381" s="126">
        <f t="shared" si="46"/>
        <v>3523350</v>
      </c>
      <c r="H381" s="8"/>
      <c r="I381" s="9" t="str">
        <f t="array" ref="I381:L381">_xlfn.XLOOKUP(C381,'Neiva 2022 FASE I ACTUAL (4)'!$C$6:$C$540,'Neiva 2022 FASE I ACTUAL (4)'!$C$6:$F$540,"NO ESTA")</f>
        <v>SUMINISTRO E INSTALACIÓN SALIDA PARA BALA RECESADA LED 10W 120V</v>
      </c>
      <c r="J381" s="9" t="str">
        <v>UN</v>
      </c>
      <c r="K381" s="9">
        <v>19</v>
      </c>
      <c r="L381" s="9">
        <v>68497</v>
      </c>
      <c r="M381" s="124" t="str">
        <f t="shared" si="42"/>
        <v>FASE II</v>
      </c>
      <c r="N381" s="155">
        <f t="shared" si="39"/>
        <v>69</v>
      </c>
      <c r="O381" s="156">
        <f t="shared" si="40"/>
        <v>70467</v>
      </c>
      <c r="P381" s="156">
        <f t="shared" si="41"/>
        <v>4862223</v>
      </c>
    </row>
    <row r="382" spans="2:16" s="9" customFormat="1" ht="35.1" customHeight="1" x14ac:dyDescent="0.25">
      <c r="B382" s="23" t="s">
        <v>506</v>
      </c>
      <c r="C382" s="22" t="s">
        <v>507</v>
      </c>
      <c r="D382" s="23" t="s">
        <v>374</v>
      </c>
      <c r="E382" s="12">
        <v>184</v>
      </c>
      <c r="F382" s="126">
        <v>70467</v>
      </c>
      <c r="G382" s="126">
        <f t="shared" si="46"/>
        <v>12965928</v>
      </c>
      <c r="H382" s="8"/>
      <c r="I382" s="9" t="str">
        <f t="array" ref="I382:L382">_xlfn.XLOOKUP(C382,'Neiva 2022 FASE I ACTUAL (4)'!$C$6:$C$540,'Neiva 2022 FASE I ACTUAL (4)'!$C$6:$F$540,"NO ESTA")</f>
        <v>SUMINISTRO E INSTALACIÓN SALIDA PARA LUMINARIA LED 2x26W 120V</v>
      </c>
      <c r="J382" s="9" t="str">
        <v>UN</v>
      </c>
      <c r="K382" s="9">
        <v>68</v>
      </c>
      <c r="L382" s="9">
        <v>68497</v>
      </c>
      <c r="M382" s="124" t="str">
        <f t="shared" si="42"/>
        <v>FASE II</v>
      </c>
      <c r="N382" s="155">
        <f t="shared" si="39"/>
        <v>252</v>
      </c>
      <c r="O382" s="156">
        <f t="shared" si="40"/>
        <v>70467</v>
      </c>
      <c r="P382" s="156">
        <f t="shared" si="41"/>
        <v>17757684</v>
      </c>
    </row>
    <row r="383" spans="2:16" s="9" customFormat="1" ht="35.1" customHeight="1" x14ac:dyDescent="0.25">
      <c r="B383" s="23" t="s">
        <v>508</v>
      </c>
      <c r="C383" s="22" t="s">
        <v>509</v>
      </c>
      <c r="D383" s="23" t="s">
        <v>374</v>
      </c>
      <c r="E383" s="12">
        <v>6</v>
      </c>
      <c r="F383" s="126">
        <v>68243</v>
      </c>
      <c r="G383" s="126">
        <f t="shared" si="46"/>
        <v>409458</v>
      </c>
      <c r="H383" s="8"/>
      <c r="I383" s="9" t="str">
        <f t="array" ref="I383:L383">_xlfn.XLOOKUP(C383,'Neiva 2022 FASE I ACTUAL (4)'!$C$6:$C$540,'Neiva 2022 FASE I ACTUAL (4)'!$C$6:$F$540,"NO ESTA")</f>
        <v>SUMINISTRO E INSTALACIÓN SALIDA PARA REFLECTOR DE LUZ DIRECTA</v>
      </c>
      <c r="J383" s="9" t="str">
        <v>UN</v>
      </c>
      <c r="K383" s="9">
        <v>2</v>
      </c>
      <c r="L383" s="9">
        <v>66337</v>
      </c>
      <c r="M383" s="124" t="str">
        <f t="shared" si="42"/>
        <v>FASE II</v>
      </c>
      <c r="N383" s="155">
        <f t="shared" si="39"/>
        <v>8</v>
      </c>
      <c r="O383" s="156">
        <f t="shared" si="40"/>
        <v>68243</v>
      </c>
      <c r="P383" s="156">
        <f t="shared" si="41"/>
        <v>545944</v>
      </c>
    </row>
    <row r="384" spans="2:16" s="9" customFormat="1" ht="35.1" customHeight="1" x14ac:dyDescent="0.25">
      <c r="B384" s="23" t="s">
        <v>510</v>
      </c>
      <c r="C384" s="22" t="s">
        <v>511</v>
      </c>
      <c r="D384" s="23" t="s">
        <v>374</v>
      </c>
      <c r="E384" s="12">
        <v>6</v>
      </c>
      <c r="F384" s="126">
        <v>74815</v>
      </c>
      <c r="G384" s="126">
        <f t="shared" si="46"/>
        <v>448890</v>
      </c>
      <c r="H384" s="8"/>
      <c r="I384" s="9" t="str">
        <f t="array" ref="I384:L384">_xlfn.XLOOKUP(C384,'Neiva 2022 FASE I ACTUAL (4)'!$C$6:$C$540,'Neiva 2022 FASE I ACTUAL (4)'!$C$6:$F$540,"NO ESTA")</f>
        <v>SUMINISTRO E INSTALACIÓN SALIDA PARA APLIQUE DE ESCALERA 1000W 120V</v>
      </c>
      <c r="J384" s="9" t="str">
        <v>UN</v>
      </c>
      <c r="K384" s="9">
        <v>2</v>
      </c>
      <c r="L384" s="9">
        <v>72723</v>
      </c>
      <c r="M384" s="124" t="str">
        <f t="shared" si="42"/>
        <v>FASE II</v>
      </c>
      <c r="N384" s="155">
        <f t="shared" si="39"/>
        <v>8</v>
      </c>
      <c r="O384" s="156">
        <f t="shared" si="40"/>
        <v>74815</v>
      </c>
      <c r="P384" s="156">
        <f t="shared" si="41"/>
        <v>598520</v>
      </c>
    </row>
    <row r="385" spans="2:16" s="9" customFormat="1" ht="35.1" customHeight="1" x14ac:dyDescent="0.25">
      <c r="B385" s="23" t="s">
        <v>512</v>
      </c>
      <c r="C385" s="22" t="s">
        <v>513</v>
      </c>
      <c r="D385" s="23" t="s">
        <v>374</v>
      </c>
      <c r="E385" s="12">
        <v>67</v>
      </c>
      <c r="F385" s="126">
        <v>74815</v>
      </c>
      <c r="G385" s="126">
        <f t="shared" si="46"/>
        <v>5012605</v>
      </c>
      <c r="H385" s="8"/>
      <c r="I385" s="9" t="str">
        <f t="array" ref="I385:L385">_xlfn.XLOOKUP(C385,'Neiva 2022 FASE I ACTUAL (4)'!$C$6:$C$540,'Neiva 2022 FASE I ACTUAL (4)'!$C$6:$F$540,"NO ESTA")</f>
        <v>SUMINISTRO E INSTALACIÓN SALIDA PARA BALAS LED DE PISO 3W 120V</v>
      </c>
      <c r="J385" s="9" t="str">
        <v>UN</v>
      </c>
      <c r="K385" s="9">
        <v>25</v>
      </c>
      <c r="L385" s="9">
        <v>72723</v>
      </c>
      <c r="M385" s="124" t="str">
        <f t="shared" si="42"/>
        <v>FASE II</v>
      </c>
      <c r="N385" s="155">
        <f t="shared" si="39"/>
        <v>92</v>
      </c>
      <c r="O385" s="156">
        <f t="shared" si="40"/>
        <v>74815</v>
      </c>
      <c r="P385" s="156">
        <f t="shared" si="41"/>
        <v>6882980</v>
      </c>
    </row>
    <row r="386" spans="2:16" s="9" customFormat="1" ht="35.1" customHeight="1" x14ac:dyDescent="0.25">
      <c r="B386" s="23" t="s">
        <v>514</v>
      </c>
      <c r="C386" s="22" t="s">
        <v>515</v>
      </c>
      <c r="D386" s="23" t="s">
        <v>374</v>
      </c>
      <c r="E386" s="12">
        <v>10</v>
      </c>
      <c r="F386" s="126">
        <v>74815</v>
      </c>
      <c r="G386" s="126">
        <f t="shared" si="46"/>
        <v>748150</v>
      </c>
      <c r="H386" s="8"/>
      <c r="I386" s="9" t="str">
        <f t="array" ref="I386:L386">_xlfn.XLOOKUP(C386,'Neiva 2022 FASE I ACTUAL (4)'!$C$6:$C$540,'Neiva 2022 FASE I ACTUAL (4)'!$C$6:$F$540,"NO ESTA")</f>
        <v>SUMINISTRO E INSTALACIÓN SALIDA PARA BALAS DE PISO 50W 120V</v>
      </c>
      <c r="J386" s="9" t="str">
        <v>UN</v>
      </c>
      <c r="K386" s="9">
        <v>4</v>
      </c>
      <c r="L386" s="9">
        <v>72723</v>
      </c>
      <c r="M386" s="124" t="str">
        <f t="shared" si="42"/>
        <v>FASE II</v>
      </c>
      <c r="N386" s="155">
        <f t="shared" si="39"/>
        <v>14</v>
      </c>
      <c r="O386" s="156">
        <f t="shared" si="40"/>
        <v>74815</v>
      </c>
      <c r="P386" s="156">
        <f t="shared" si="41"/>
        <v>1047410</v>
      </c>
    </row>
    <row r="387" spans="2:16" s="9" customFormat="1" ht="35.1" customHeight="1" x14ac:dyDescent="0.25">
      <c r="B387" s="23" t="s">
        <v>516</v>
      </c>
      <c r="C387" s="87" t="s">
        <v>517</v>
      </c>
      <c r="D387" s="23" t="s">
        <v>374</v>
      </c>
      <c r="E387" s="12">
        <v>42</v>
      </c>
      <c r="F387" s="126">
        <v>80011</v>
      </c>
      <c r="G387" s="126">
        <f t="shared" si="46"/>
        <v>3360462</v>
      </c>
      <c r="H387" s="8"/>
      <c r="I387" s="9" t="str">
        <f t="array" ref="I387:L387">_xlfn.XLOOKUP(C387,'Neiva 2022 FASE I ACTUAL (4)'!$C$6:$C$540,'Neiva 2022 FASE I ACTUAL (4)'!$C$6:$F$540,"NO ESTA")</f>
        <v>SUMINISTRO E INSTALACIÓN SALIDA PARA INTERRUPTOR SENCILLO COLOR BLANCO</v>
      </c>
      <c r="J387" s="9" t="str">
        <v>UN</v>
      </c>
      <c r="K387" s="9">
        <v>16</v>
      </c>
      <c r="L387" s="9">
        <v>77775</v>
      </c>
      <c r="M387" s="124" t="str">
        <f t="shared" si="42"/>
        <v>FASE II</v>
      </c>
      <c r="N387" s="155">
        <f t="shared" si="39"/>
        <v>58</v>
      </c>
      <c r="O387" s="156">
        <f t="shared" si="40"/>
        <v>80011</v>
      </c>
      <c r="P387" s="156">
        <f t="shared" si="41"/>
        <v>4640638</v>
      </c>
    </row>
    <row r="388" spans="2:16" s="9" customFormat="1" ht="35.1" customHeight="1" x14ac:dyDescent="0.25">
      <c r="B388" s="23" t="s">
        <v>518</v>
      </c>
      <c r="C388" s="87" t="s">
        <v>519</v>
      </c>
      <c r="D388" s="23" t="s">
        <v>374</v>
      </c>
      <c r="E388" s="12">
        <v>18</v>
      </c>
      <c r="F388" s="126">
        <v>86756</v>
      </c>
      <c r="G388" s="126">
        <f t="shared" si="46"/>
        <v>1561608</v>
      </c>
      <c r="H388" s="8"/>
      <c r="I388" s="9" t="str">
        <f t="array" ref="I388:L388">_xlfn.XLOOKUP(C388,'Neiva 2022 FASE I ACTUAL (4)'!$C$6:$C$540,'Neiva 2022 FASE I ACTUAL (4)'!$C$6:$F$540,"NO ESTA")</f>
        <v>SUMINISTRO E INSTALACIÓN SALIDA PARA INTERRUPTOR DOBLE COLOR BLANCO</v>
      </c>
      <c r="J388" s="9" t="str">
        <v>UN</v>
      </c>
      <c r="K388" s="9">
        <v>6</v>
      </c>
      <c r="L388" s="9">
        <v>84330</v>
      </c>
      <c r="M388" s="124" t="str">
        <f t="shared" si="42"/>
        <v>FASE II</v>
      </c>
      <c r="N388" s="155">
        <f t="shared" si="39"/>
        <v>24</v>
      </c>
      <c r="O388" s="156">
        <f t="shared" si="40"/>
        <v>86756</v>
      </c>
      <c r="P388" s="156">
        <f t="shared" si="41"/>
        <v>2082144</v>
      </c>
    </row>
    <row r="389" spans="2:16" s="9" customFormat="1" ht="35.1" customHeight="1" x14ac:dyDescent="0.25">
      <c r="B389" s="23" t="s">
        <v>520</v>
      </c>
      <c r="C389" s="87" t="s">
        <v>521</v>
      </c>
      <c r="D389" s="23" t="s">
        <v>374</v>
      </c>
      <c r="E389" s="12">
        <v>6</v>
      </c>
      <c r="F389" s="126">
        <v>88571</v>
      </c>
      <c r="G389" s="126">
        <f t="shared" si="46"/>
        <v>531426</v>
      </c>
      <c r="H389" s="8"/>
      <c r="I389" s="9" t="str">
        <f t="array" ref="I389:L389">_xlfn.XLOOKUP(C389,'Neiva 2022 FASE I ACTUAL (4)'!$C$6:$C$540,'Neiva 2022 FASE I ACTUAL (4)'!$C$6:$F$540,"NO ESTA")</f>
        <v>SUMINISTRO E INSTALACIÓN SALIDA PARA INTERRUPTOR SENCILLO CONMUTABLE COLOR BLANCO</v>
      </c>
      <c r="J389" s="9" t="str">
        <v>UN</v>
      </c>
      <c r="K389" s="9">
        <v>2</v>
      </c>
      <c r="L389" s="9">
        <v>86096</v>
      </c>
      <c r="M389" s="124" t="str">
        <f t="shared" si="42"/>
        <v>FASE II</v>
      </c>
      <c r="N389" s="155">
        <f t="shared" si="39"/>
        <v>8</v>
      </c>
      <c r="O389" s="156">
        <f t="shared" si="40"/>
        <v>88571</v>
      </c>
      <c r="P389" s="156">
        <f t="shared" si="41"/>
        <v>708568</v>
      </c>
    </row>
    <row r="390" spans="2:16" s="9" customFormat="1" ht="35.1" customHeight="1" x14ac:dyDescent="0.25">
      <c r="B390" s="23" t="s">
        <v>522</v>
      </c>
      <c r="C390" s="87" t="s">
        <v>523</v>
      </c>
      <c r="D390" s="23" t="s">
        <v>374</v>
      </c>
      <c r="E390" s="12">
        <v>4</v>
      </c>
      <c r="F390" s="126">
        <v>96779</v>
      </c>
      <c r="G390" s="126">
        <f t="shared" si="46"/>
        <v>387116</v>
      </c>
      <c r="H390" s="8"/>
      <c r="I390" s="9" t="str">
        <f t="array" ref="I390:L390">_xlfn.XLOOKUP(C390,'Neiva 2022 FASE I ACTUAL (4)'!$C$6:$C$540,'Neiva 2022 FASE I ACTUAL (4)'!$C$6:$F$540,"NO ESTA")</f>
        <v>SUMINISTRO E INSTALACIÓN SALIDA PARA INTERRUPTOR DOBLE CONMUTABLE COLOR BLANCO</v>
      </c>
      <c r="J390" s="9" t="str">
        <v>UN</v>
      </c>
      <c r="K390" s="9">
        <v>2</v>
      </c>
      <c r="L390" s="9">
        <v>94074</v>
      </c>
      <c r="M390" s="124" t="str">
        <f t="shared" si="42"/>
        <v>FASE II</v>
      </c>
      <c r="N390" s="155">
        <f t="shared" ref="N390:N453" si="47">E390+K390</f>
        <v>6</v>
      </c>
      <c r="O390" s="156">
        <f t="shared" ref="O390:O453" si="48">MAX(L390,F390)</f>
        <v>96779</v>
      </c>
      <c r="P390" s="156">
        <f t="shared" ref="P390:P453" si="49">N390*O390</f>
        <v>580674</v>
      </c>
    </row>
    <row r="391" spans="2:16" s="9" customFormat="1" ht="35.1" customHeight="1" x14ac:dyDescent="0.25">
      <c r="B391" s="23" t="s">
        <v>524</v>
      </c>
      <c r="C391" s="22" t="s">
        <v>525</v>
      </c>
      <c r="D391" s="23" t="s">
        <v>374</v>
      </c>
      <c r="E391" s="12">
        <v>12</v>
      </c>
      <c r="F391" s="126">
        <v>90828</v>
      </c>
      <c r="G391" s="126">
        <f t="shared" si="46"/>
        <v>1089936</v>
      </c>
      <c r="H391" s="8"/>
      <c r="I391" s="9" t="str">
        <f t="array" ref="I391:L391">_xlfn.XLOOKUP(C391,'Neiva 2022 FASE I ACTUAL (4)'!$C$6:$C$540,'Neiva 2022 FASE I ACTUAL (4)'!$C$6:$F$540,"NO ESTA")</f>
        <v>SUMINISTRO E INSTALACIÓN SALIDA PARA INTERRUPTOR DE SENSOR DE PRESENCIA</v>
      </c>
      <c r="J391" s="9" t="str">
        <v>UN</v>
      </c>
      <c r="K391" s="9">
        <v>5</v>
      </c>
      <c r="L391" s="9">
        <v>88289</v>
      </c>
      <c r="M391" s="124" t="str">
        <f t="shared" si="42"/>
        <v>FASE II</v>
      </c>
      <c r="N391" s="155">
        <f t="shared" si="47"/>
        <v>17</v>
      </c>
      <c r="O391" s="156">
        <f t="shared" si="48"/>
        <v>90828</v>
      </c>
      <c r="P391" s="156">
        <f t="shared" si="49"/>
        <v>1544076</v>
      </c>
    </row>
    <row r="392" spans="2:16" s="9" customFormat="1" ht="35.1" customHeight="1" x14ac:dyDescent="0.25">
      <c r="B392" s="23" t="s">
        <v>526</v>
      </c>
      <c r="C392" s="22" t="s">
        <v>527</v>
      </c>
      <c r="D392" s="23" t="s">
        <v>374</v>
      </c>
      <c r="E392" s="12">
        <v>4</v>
      </c>
      <c r="F392" s="126">
        <v>102414</v>
      </c>
      <c r="G392" s="126">
        <f t="shared" si="46"/>
        <v>409656</v>
      </c>
      <c r="H392" s="8"/>
      <c r="I392" s="9" t="str">
        <f t="array" ref="I392:L392">_xlfn.XLOOKUP(C392,'Neiva 2022 FASE I ACTUAL (4)'!$C$6:$C$540,'Neiva 2022 FASE I ACTUAL (4)'!$C$6:$F$540,"NO ESTA")</f>
        <v>SUMINISTRO E INSTALACIÓN SALIDA PARA SENSOR DE MOVIEMIENTO DE TECHO</v>
      </c>
      <c r="J392" s="9" t="str">
        <v>UN</v>
      </c>
      <c r="K392" s="9">
        <v>1</v>
      </c>
      <c r="L392" s="9">
        <v>99551</v>
      </c>
      <c r="M392" s="124" t="str">
        <f t="shared" ref="M392:M455" si="50">IF(L392=0,0,(IF(F392&lt;L392, "FASE I","FASE II")))</f>
        <v>FASE II</v>
      </c>
      <c r="N392" s="155">
        <f t="shared" si="47"/>
        <v>5</v>
      </c>
      <c r="O392" s="156">
        <f t="shared" si="48"/>
        <v>102414</v>
      </c>
      <c r="P392" s="156">
        <f t="shared" si="49"/>
        <v>512070</v>
      </c>
    </row>
    <row r="393" spans="2:16" s="9" customFormat="1" ht="35.1" customHeight="1" x14ac:dyDescent="0.25">
      <c r="B393" s="23" t="s">
        <v>528</v>
      </c>
      <c r="C393" s="22" t="s">
        <v>529</v>
      </c>
      <c r="D393" s="23" t="s">
        <v>269</v>
      </c>
      <c r="E393" s="12">
        <v>474</v>
      </c>
      <c r="F393" s="126">
        <v>1705</v>
      </c>
      <c r="G393" s="126">
        <f t="shared" si="46"/>
        <v>808170</v>
      </c>
      <c r="H393" s="8"/>
      <c r="I393" s="9" t="str">
        <f t="array" ref="I393:L393">_xlfn.XLOOKUP(C393,'Neiva 2022 FASE I ACTUAL (4)'!$C$6:$C$540,'Neiva 2022 FASE I ACTUAL (4)'!$C$6:$F$540,"NO ESTA")</f>
        <v xml:space="preserve">SUMINISTRO E INSTALACIÓN SALIDAS PARCIALES DE CIRCUITO PARA SALIDAS DE ALUMBRADO Y TOMACORIRIENTE DE USO NORMAL EN CABLE #12 AWG THHN/THWN, DESDE EL TABLERO DE AUTOMATICOS POR EL DUCTO PORTACABLES HASTA LOS PRIMEROS PUNTOS DE DERIVACIÓN. </v>
      </c>
      <c r="J393" s="9" t="str">
        <v xml:space="preserve">ML   </v>
      </c>
      <c r="K393" s="9">
        <v>176</v>
      </c>
      <c r="L393" s="9">
        <v>1657</v>
      </c>
      <c r="M393" s="124" t="str">
        <f t="shared" si="50"/>
        <v>FASE II</v>
      </c>
      <c r="N393" s="155">
        <f t="shared" si="47"/>
        <v>650</v>
      </c>
      <c r="O393" s="156">
        <f t="shared" si="48"/>
        <v>1705</v>
      </c>
      <c r="P393" s="156">
        <f t="shared" si="49"/>
        <v>1108250</v>
      </c>
    </row>
    <row r="394" spans="2:16" s="9" customFormat="1" ht="35.1" customHeight="1" x14ac:dyDescent="0.25">
      <c r="B394" s="47" t="s">
        <v>530</v>
      </c>
      <c r="C394" s="24" t="s">
        <v>531</v>
      </c>
      <c r="D394" s="24"/>
      <c r="E394" s="15"/>
      <c r="F394" s="129"/>
      <c r="G394" s="140"/>
      <c r="H394" s="8"/>
      <c r="I394" s="9" t="str">
        <f t="array" ref="I394:L394">_xlfn.XLOOKUP(C394,'Neiva 2022 FASE I ACTUAL (4)'!$C$6:$C$540,'Neiva 2022 FASE I ACTUAL (4)'!$C$6:$F$540,"NO ESTA")</f>
        <v xml:space="preserve">SUMINISTRO E INSTALACIÓN SALIDAS PARA TOMACORRIENTES USO NORMAL EN TUBERIA PVC INCRUSTRADA </v>
      </c>
      <c r="J394" s="9">
        <v>0</v>
      </c>
      <c r="K394" s="9">
        <v>0</v>
      </c>
      <c r="L394" s="9">
        <v>0</v>
      </c>
      <c r="M394" s="124">
        <f t="shared" si="50"/>
        <v>0</v>
      </c>
      <c r="N394" s="155">
        <f t="shared" si="47"/>
        <v>0</v>
      </c>
      <c r="O394" s="156">
        <f t="shared" si="48"/>
        <v>0</v>
      </c>
      <c r="P394" s="156">
        <f t="shared" si="49"/>
        <v>0</v>
      </c>
    </row>
    <row r="395" spans="2:16" s="9" customFormat="1" ht="35.1" customHeight="1" x14ac:dyDescent="0.25">
      <c r="B395" s="23" t="s">
        <v>532</v>
      </c>
      <c r="C395" s="22" t="s">
        <v>533</v>
      </c>
      <c r="D395" s="23" t="s">
        <v>284</v>
      </c>
      <c r="E395" s="12">
        <v>264</v>
      </c>
      <c r="F395" s="126">
        <v>82527</v>
      </c>
      <c r="G395" s="126">
        <f>ROUND(+F395*E395,2)</f>
        <v>21787128</v>
      </c>
      <c r="H395" s="8"/>
      <c r="I395" s="9" t="str">
        <f t="array" ref="I395:L395">_xlfn.XLOOKUP(C395,'Neiva 2022 FASE I ACTUAL (4)'!$C$6:$C$540,'Neiva 2022 FASE I ACTUAL (4)'!$C$6:$F$540,"NO ESTA")</f>
        <v>SUMINISTRO E INSTALACIÓN SALIDA PARA TOMACORRIENTE DOBLE MONOFÁSICO CON POLO A TIERRA</v>
      </c>
      <c r="J395" s="9" t="str">
        <v xml:space="preserve">UN   </v>
      </c>
      <c r="K395" s="9">
        <v>97</v>
      </c>
      <c r="L395" s="9">
        <v>80221</v>
      </c>
      <c r="M395" s="124" t="str">
        <f t="shared" si="50"/>
        <v>FASE II</v>
      </c>
      <c r="N395" s="155">
        <f t="shared" si="47"/>
        <v>361</v>
      </c>
      <c r="O395" s="156">
        <f t="shared" si="48"/>
        <v>82527</v>
      </c>
      <c r="P395" s="156">
        <f t="shared" si="49"/>
        <v>29792247</v>
      </c>
    </row>
    <row r="396" spans="2:16" s="9" customFormat="1" ht="35.1" customHeight="1" x14ac:dyDescent="0.25">
      <c r="B396" s="23" t="s">
        <v>534</v>
      </c>
      <c r="C396" s="22" t="s">
        <v>535</v>
      </c>
      <c r="D396" s="23" t="s">
        <v>284</v>
      </c>
      <c r="E396" s="12">
        <v>5</v>
      </c>
      <c r="F396" s="126">
        <v>111563</v>
      </c>
      <c r="G396" s="126">
        <f>ROUND(+F396*E396,2)</f>
        <v>557815</v>
      </c>
      <c r="H396" s="8"/>
      <c r="I396" s="9" t="str">
        <f t="array" ref="I396:L396">_xlfn.XLOOKUP(C396,'Neiva 2022 FASE I ACTUAL (4)'!$C$6:$C$540,'Neiva 2022 FASE I ACTUAL (4)'!$C$6:$F$540,"NO ESTA")</f>
        <v>SUMINISTRO E INSTALACIÓN SALIDA PARA TOMACORRIENTE DOBLE TIPO GFCI COLOR BLANCO MONOFÁSICODE MURO CON POLO A TIERRA</v>
      </c>
      <c r="J396" s="9" t="str">
        <v xml:space="preserve">UN   </v>
      </c>
      <c r="K396" s="9">
        <v>2</v>
      </c>
      <c r="L396" s="9">
        <v>108445</v>
      </c>
      <c r="M396" s="124" t="str">
        <f t="shared" si="50"/>
        <v>FASE II</v>
      </c>
      <c r="N396" s="155">
        <f t="shared" si="47"/>
        <v>7</v>
      </c>
      <c r="O396" s="156">
        <f t="shared" si="48"/>
        <v>111563</v>
      </c>
      <c r="P396" s="156">
        <f t="shared" si="49"/>
        <v>780941</v>
      </c>
    </row>
    <row r="397" spans="2:16" s="9" customFormat="1" ht="35.1" customHeight="1" x14ac:dyDescent="0.25">
      <c r="B397" s="23" t="s">
        <v>536</v>
      </c>
      <c r="C397" s="22" t="s">
        <v>537</v>
      </c>
      <c r="D397" s="23" t="s">
        <v>284</v>
      </c>
      <c r="E397" s="12">
        <v>18</v>
      </c>
      <c r="F397" s="126">
        <v>83516</v>
      </c>
      <c r="G397" s="126">
        <f>ROUND(+F397*E397,2)</f>
        <v>1503288</v>
      </c>
      <c r="H397" s="8"/>
      <c r="I397" s="9" t="str">
        <f t="array" ref="I397:L397">_xlfn.XLOOKUP(C397,'Neiva 2022 FASE I ACTUAL (4)'!$C$6:$C$540,'Neiva 2022 FASE I ACTUAL (4)'!$C$6:$F$540,"NO ESTA")</f>
        <v>SUMINISTRO E INSTALACIÓN SALIDA PARA SECADOR 20A-120V a 1.2 METROS DE ALTURA</v>
      </c>
      <c r="J397" s="9" t="str">
        <v xml:space="preserve">UN   </v>
      </c>
      <c r="K397" s="9">
        <v>7</v>
      </c>
      <c r="L397" s="9">
        <v>81181</v>
      </c>
      <c r="M397" s="124" t="str">
        <f t="shared" si="50"/>
        <v>FASE II</v>
      </c>
      <c r="N397" s="155">
        <f t="shared" si="47"/>
        <v>25</v>
      </c>
      <c r="O397" s="156">
        <f t="shared" si="48"/>
        <v>83516</v>
      </c>
      <c r="P397" s="156">
        <f t="shared" si="49"/>
        <v>2087900</v>
      </c>
    </row>
    <row r="398" spans="2:16" s="9" customFormat="1" ht="35.1" customHeight="1" x14ac:dyDescent="0.25">
      <c r="B398" s="23" t="s">
        <v>538</v>
      </c>
      <c r="C398" s="87" t="s">
        <v>539</v>
      </c>
      <c r="D398" s="23" t="s">
        <v>284</v>
      </c>
      <c r="E398" s="12">
        <v>3</v>
      </c>
      <c r="F398" s="126">
        <v>101196</v>
      </c>
      <c r="G398" s="126">
        <f>ROUND(+F398*E398,2)</f>
        <v>303588</v>
      </c>
      <c r="H398" s="8"/>
      <c r="I398" s="9" t="str">
        <f t="array" ref="I398:L398">_xlfn.XLOOKUP(C398,'Neiva 2022 FASE I ACTUAL (4)'!$C$6:$C$540,'Neiva 2022 FASE I ACTUAL (4)'!$C$6:$F$540,"NO ESTA")</f>
        <v>SUMINISTRO E INSTALACIÓN SALIDA PARA TOMA TRIFÁSICA 208v 3FASES EN CAFETERIA</v>
      </c>
      <c r="J398" s="9" t="str">
        <v xml:space="preserve">UN   </v>
      </c>
      <c r="K398" s="9">
        <v>1</v>
      </c>
      <c r="L398" s="9">
        <v>98368</v>
      </c>
      <c r="M398" s="124" t="str">
        <f t="shared" si="50"/>
        <v>FASE II</v>
      </c>
      <c r="N398" s="155">
        <f t="shared" si="47"/>
        <v>4</v>
      </c>
      <c r="O398" s="156">
        <f t="shared" si="48"/>
        <v>101196</v>
      </c>
      <c r="P398" s="156">
        <f t="shared" si="49"/>
        <v>404784</v>
      </c>
    </row>
    <row r="399" spans="2:16" s="9" customFormat="1" ht="35.1" customHeight="1" x14ac:dyDescent="0.25">
      <c r="B399" s="23" t="s">
        <v>540</v>
      </c>
      <c r="C399" s="22" t="s">
        <v>541</v>
      </c>
      <c r="D399" s="23" t="s">
        <v>269</v>
      </c>
      <c r="E399" s="12">
        <v>985</v>
      </c>
      <c r="F399" s="126">
        <v>1705</v>
      </c>
      <c r="G399" s="126">
        <f>ROUND(+F399*E399,2)</f>
        <v>1679425</v>
      </c>
      <c r="H399" s="8"/>
      <c r="I399" s="9" t="str">
        <f t="array" ref="I399:L399">_xlfn.XLOOKUP(C399,'Neiva 2022 FASE I ACTUAL (4)'!$C$6:$C$540,'Neiva 2022 FASE I ACTUAL (4)'!$C$6:$F$540,"NO ESTA")</f>
        <v xml:space="preserve">SUMINISTRO E INSTALACIÓN SALIDAS PARCIALES DE CIRCUITO PARA TOMACORIRIENTE DE USO NORMAL EN CABLE #12 AWG THHN/THWN, DESDE EL TABLERO DE AUTOMATICOS POR EL DUCTO PORTACABLES HASTA LOS PRIMEROS PUNTOS DE DERIVACIÓN. </v>
      </c>
      <c r="J399" s="9" t="str">
        <v xml:space="preserve">ML   </v>
      </c>
      <c r="K399" s="9">
        <v>365</v>
      </c>
      <c r="L399" s="9">
        <v>1657</v>
      </c>
      <c r="M399" s="124" t="str">
        <f t="shared" si="50"/>
        <v>FASE II</v>
      </c>
      <c r="N399" s="155">
        <f t="shared" si="47"/>
        <v>1350</v>
      </c>
      <c r="O399" s="156">
        <f t="shared" si="48"/>
        <v>1705</v>
      </c>
      <c r="P399" s="156">
        <f t="shared" si="49"/>
        <v>2301750</v>
      </c>
    </row>
    <row r="400" spans="2:16" s="9" customFormat="1" ht="35.1" customHeight="1" x14ac:dyDescent="0.25">
      <c r="B400" s="47" t="s">
        <v>542</v>
      </c>
      <c r="C400" s="24" t="s">
        <v>543</v>
      </c>
      <c r="D400" s="24"/>
      <c r="E400" s="15"/>
      <c r="F400" s="129"/>
      <c r="G400" s="140"/>
      <c r="H400" s="8"/>
      <c r="I400" s="9" t="str">
        <f t="array" ref="I400:L400">_xlfn.XLOOKUP(C400,'Neiva 2022 FASE I ACTUAL (4)'!$C$6:$C$540,'Neiva 2022 FASE I ACTUAL (4)'!$C$6:$F$540,"NO ESTA")</f>
        <v xml:space="preserve">SUMINISTRO E INSTALACIÓN SALIDAS PARA TOMACORRIENTES USO REGULADO EN TUBERIA PVC INCRUSTRADA </v>
      </c>
      <c r="J400" s="9">
        <v>0</v>
      </c>
      <c r="K400" s="9">
        <v>0</v>
      </c>
      <c r="L400" s="9">
        <v>0</v>
      </c>
      <c r="M400" s="124">
        <f t="shared" si="50"/>
        <v>0</v>
      </c>
      <c r="N400" s="155">
        <f t="shared" si="47"/>
        <v>0</v>
      </c>
      <c r="O400" s="156">
        <f t="shared" si="48"/>
        <v>0</v>
      </c>
      <c r="P400" s="156">
        <f t="shared" si="49"/>
        <v>0</v>
      </c>
    </row>
    <row r="401" spans="2:16" s="9" customFormat="1" ht="35.1" customHeight="1" x14ac:dyDescent="0.25">
      <c r="B401" s="23" t="s">
        <v>544</v>
      </c>
      <c r="C401" s="87" t="s">
        <v>545</v>
      </c>
      <c r="D401" s="23" t="s">
        <v>374</v>
      </c>
      <c r="E401" s="12">
        <v>39</v>
      </c>
      <c r="F401" s="126">
        <v>122076</v>
      </c>
      <c r="G401" s="126">
        <f>ROUND(+F401*E401,2)</f>
        <v>4760964</v>
      </c>
      <c r="H401" s="8"/>
      <c r="I401" s="9" t="str">
        <f t="array" ref="I401:L401">_xlfn.XLOOKUP(C401,'Neiva 2022 FASE I ACTUAL (4)'!$C$6:$C$540,'Neiva 2022 FASE I ACTUAL (4)'!$C$6:$F$540,"NO ESTA")</f>
        <v>SUMINISTRO E INSTALACIÓN SALIDA PARA TOMACORRIENTE DOBLE DE COLOR NARAJA, PARA INSTALAR EN MURO</v>
      </c>
      <c r="J401" s="9" t="str">
        <v>UN</v>
      </c>
      <c r="K401" s="9">
        <v>15</v>
      </c>
      <c r="L401" s="9">
        <v>118664</v>
      </c>
      <c r="M401" s="124" t="str">
        <f t="shared" si="50"/>
        <v>FASE II</v>
      </c>
      <c r="N401" s="155">
        <f t="shared" si="47"/>
        <v>54</v>
      </c>
      <c r="O401" s="156">
        <f t="shared" si="48"/>
        <v>122076</v>
      </c>
      <c r="P401" s="156">
        <f t="shared" si="49"/>
        <v>6592104</v>
      </c>
    </row>
    <row r="402" spans="2:16" s="9" customFormat="1" ht="35.1" customHeight="1" x14ac:dyDescent="0.25">
      <c r="B402" s="23" t="s">
        <v>546</v>
      </c>
      <c r="C402" s="87" t="s">
        <v>547</v>
      </c>
      <c r="D402" s="23" t="s">
        <v>374</v>
      </c>
      <c r="E402" s="12">
        <v>80</v>
      </c>
      <c r="F402" s="126">
        <v>112524</v>
      </c>
      <c r="G402" s="126">
        <f>ROUND(+F402*E402,2)</f>
        <v>9001920</v>
      </c>
      <c r="H402" s="8"/>
      <c r="I402" s="9" t="str">
        <f t="array" ref="I402:L402">_xlfn.XLOOKUP(C402,'Neiva 2022 FASE I ACTUAL (4)'!$C$6:$C$540,'Neiva 2022 FASE I ACTUAL (4)'!$C$6:$F$540,"NO ESTA")</f>
        <v xml:space="preserve">SUMINISTRO E INSTALACIÓN SALIDA PARA TOMACORRIENTE DOBLE DE COLOR NARAJA, PARA INSTALAR EN CANALETA PERIMETRAL </v>
      </c>
      <c r="J402" s="9" t="str">
        <v>UN</v>
      </c>
      <c r="K402" s="9">
        <v>29</v>
      </c>
      <c r="L402" s="9">
        <v>109378</v>
      </c>
      <c r="M402" s="124" t="str">
        <f t="shared" si="50"/>
        <v>FASE II</v>
      </c>
      <c r="N402" s="155">
        <f t="shared" si="47"/>
        <v>109</v>
      </c>
      <c r="O402" s="156">
        <f t="shared" si="48"/>
        <v>112524</v>
      </c>
      <c r="P402" s="156">
        <f t="shared" si="49"/>
        <v>12265116</v>
      </c>
    </row>
    <row r="403" spans="2:16" s="9" customFormat="1" ht="35.1" customHeight="1" x14ac:dyDescent="0.25">
      <c r="B403" s="23" t="s">
        <v>548</v>
      </c>
      <c r="C403" s="87" t="s">
        <v>549</v>
      </c>
      <c r="D403" s="23" t="s">
        <v>269</v>
      </c>
      <c r="E403" s="12">
        <v>36</v>
      </c>
      <c r="F403" s="126">
        <v>11430</v>
      </c>
      <c r="G403" s="126">
        <f>ROUND(+F403*E403,2)</f>
        <v>411480</v>
      </c>
      <c r="H403" s="8"/>
      <c r="I403" s="9" t="str">
        <f t="array" ref="I403:L403">_xlfn.XLOOKUP(C403,'Neiva 2022 FASE I ACTUAL (4)'!$C$6:$C$540,'Neiva 2022 FASE I ACTUAL (4)'!$C$6:$F$540,"NO ESTA")</f>
        <v>SUMINISTRO E INSTALACIÓN INTERCONEXIÓN ENTRE EL DUCTO PORTACABLES Y LA CANALETA PERIMETRAL EN ø 1 1/2" CON 4#12 AWG THHN/THWN</v>
      </c>
      <c r="J403" s="9" t="str">
        <v xml:space="preserve">ML   </v>
      </c>
      <c r="K403" s="9">
        <v>14</v>
      </c>
      <c r="L403" s="9">
        <v>11111</v>
      </c>
      <c r="M403" s="124" t="str">
        <f t="shared" si="50"/>
        <v>FASE II</v>
      </c>
      <c r="N403" s="155">
        <f t="shared" si="47"/>
        <v>50</v>
      </c>
      <c r="O403" s="156">
        <f t="shared" si="48"/>
        <v>11430</v>
      </c>
      <c r="P403" s="156">
        <f t="shared" si="49"/>
        <v>571500</v>
      </c>
    </row>
    <row r="404" spans="2:16" s="9" customFormat="1" ht="35.1" customHeight="1" x14ac:dyDescent="0.25">
      <c r="B404" s="23" t="s">
        <v>550</v>
      </c>
      <c r="C404" s="87" t="s">
        <v>551</v>
      </c>
      <c r="D404" s="23" t="s">
        <v>269</v>
      </c>
      <c r="E404" s="12">
        <v>1496</v>
      </c>
      <c r="F404" s="126">
        <v>1705</v>
      </c>
      <c r="G404" s="126">
        <f>ROUND(+F404*E404,2)</f>
        <v>2550680</v>
      </c>
      <c r="H404" s="8"/>
      <c r="I404" s="9" t="str">
        <f t="array" ref="I404:L404">_xlfn.XLOOKUP(C404,'Neiva 2022 FASE I ACTUAL (4)'!$C$6:$C$540,'Neiva 2022 FASE I ACTUAL (4)'!$C$6:$F$540,"NO ESTA")</f>
        <v xml:space="preserve">SUMINISTRO E INSTALACIÓN SALIDAS PARCIALES DE CIRCUITO PARA TOMACORIRIENTE DE USO REGULADO EN CABLE #12 AWG THHN/THWN, DESDE EL TABLERO DE AUTOMATICOS POR EL DUCTO PORTACABLES HASTA LOS PRIMEROS PUNTOS DE DERIVACIÓN. </v>
      </c>
      <c r="J404" s="9" t="str">
        <v xml:space="preserve">ML   </v>
      </c>
      <c r="K404" s="9">
        <v>554</v>
      </c>
      <c r="L404" s="9">
        <v>1657</v>
      </c>
      <c r="M404" s="124" t="str">
        <f t="shared" si="50"/>
        <v>FASE II</v>
      </c>
      <c r="N404" s="155">
        <f t="shared" si="47"/>
        <v>2050</v>
      </c>
      <c r="O404" s="156">
        <f t="shared" si="48"/>
        <v>1705</v>
      </c>
      <c r="P404" s="156">
        <f t="shared" si="49"/>
        <v>3495250</v>
      </c>
    </row>
    <row r="405" spans="2:16" s="9" customFormat="1" ht="35.1" customHeight="1" x14ac:dyDescent="0.25">
      <c r="B405" s="33">
        <v>15</v>
      </c>
      <c r="C405" s="34" t="s">
        <v>552</v>
      </c>
      <c r="D405" s="34"/>
      <c r="E405" s="35"/>
      <c r="F405" s="132"/>
      <c r="G405" s="142"/>
      <c r="H405" s="8"/>
      <c r="I405" s="9" t="str">
        <f t="array" ref="I405:L405">_xlfn.XLOOKUP(C405,'Neiva 2022 FASE I ACTUAL (4)'!$C$6:$C$540,'Neiva 2022 FASE I ACTUAL (4)'!$C$6:$F$540,"NO ESTA")</f>
        <v>DUCTOS, ACOMETIDAS, TABLEROS, PUESTA A TIERRA, PARARRAYOS Y PLANTA ELÉCTRICA</v>
      </c>
      <c r="J405" s="9">
        <v>0</v>
      </c>
      <c r="K405" s="9">
        <v>0</v>
      </c>
      <c r="L405" s="9">
        <v>0</v>
      </c>
      <c r="M405" s="124">
        <f t="shared" si="50"/>
        <v>0</v>
      </c>
      <c r="N405" s="155">
        <f t="shared" si="47"/>
        <v>0</v>
      </c>
      <c r="O405" s="156">
        <f t="shared" si="48"/>
        <v>0</v>
      </c>
      <c r="P405" s="156">
        <f t="shared" si="49"/>
        <v>0</v>
      </c>
    </row>
    <row r="406" spans="2:16" s="9" customFormat="1" ht="35.1" customHeight="1" x14ac:dyDescent="0.25">
      <c r="B406" s="53" t="s">
        <v>553</v>
      </c>
      <c r="C406" s="24" t="s">
        <v>554</v>
      </c>
      <c r="D406" s="24"/>
      <c r="E406" s="15"/>
      <c r="F406" s="129"/>
      <c r="G406" s="140"/>
      <c r="H406" s="8"/>
      <c r="I406" s="9" t="str">
        <f t="array" ref="I406:L406">_xlfn.XLOOKUP(C406,'Neiva 2022 FASE I ACTUAL (4)'!$C$6:$C$540,'Neiva 2022 FASE I ACTUAL (4)'!$C$6:$F$540,"NO ESTA")</f>
        <v>SUMINISTRO E INSTALACIÓN DE DUCTOS PORTACABLES</v>
      </c>
      <c r="J406" s="9">
        <v>0</v>
      </c>
      <c r="K406" s="9">
        <v>0</v>
      </c>
      <c r="L406" s="9">
        <v>0</v>
      </c>
      <c r="M406" s="124">
        <f t="shared" si="50"/>
        <v>0</v>
      </c>
      <c r="N406" s="155">
        <f t="shared" si="47"/>
        <v>0</v>
      </c>
      <c r="O406" s="156">
        <f t="shared" si="48"/>
        <v>0</v>
      </c>
      <c r="P406" s="156">
        <f t="shared" si="49"/>
        <v>0</v>
      </c>
    </row>
    <row r="407" spans="2:16" s="9" customFormat="1" ht="35.1" customHeight="1" x14ac:dyDescent="0.25">
      <c r="B407" s="23" t="s">
        <v>555</v>
      </c>
      <c r="C407" s="87" t="s">
        <v>556</v>
      </c>
      <c r="D407" s="23" t="s">
        <v>269</v>
      </c>
      <c r="E407" s="12">
        <v>194</v>
      </c>
      <c r="F407" s="126">
        <v>105294</v>
      </c>
      <c r="G407" s="126">
        <f t="shared" ref="G407:G412" si="51">ROUND(+F407*E407,2)</f>
        <v>20427036</v>
      </c>
      <c r="H407" s="8"/>
      <c r="I407" s="9" t="str">
        <f t="array" ref="I407">_xlfn.XLOOKUP(C407,'Neiva 2022 FASE I ACTUAL (4)'!$C$6:$C$540,'Neiva 2022 FASE I ACTUAL (4)'!$C$6:$F$540,"NO ESTA")</f>
        <v>NO ESTA</v>
      </c>
      <c r="M407" s="124">
        <f t="shared" si="50"/>
        <v>0</v>
      </c>
      <c r="N407" s="155">
        <f t="shared" si="47"/>
        <v>194</v>
      </c>
      <c r="O407" s="156">
        <f t="shared" si="48"/>
        <v>105294</v>
      </c>
      <c r="P407" s="156">
        <f t="shared" si="49"/>
        <v>20427036</v>
      </c>
    </row>
    <row r="408" spans="2:16" s="9" customFormat="1" ht="35.1" customHeight="1" x14ac:dyDescent="0.25">
      <c r="B408" s="23" t="s">
        <v>557</v>
      </c>
      <c r="C408" s="22" t="s">
        <v>558</v>
      </c>
      <c r="D408" s="23" t="s">
        <v>284</v>
      </c>
      <c r="E408" s="12">
        <v>8</v>
      </c>
      <c r="F408" s="126">
        <v>135206</v>
      </c>
      <c r="G408" s="126">
        <f t="shared" si="51"/>
        <v>1081648</v>
      </c>
      <c r="H408" s="8"/>
      <c r="I408" s="9" t="str">
        <f t="array" ref="I408:L408">_xlfn.XLOOKUP(C408,'Neiva 2022 FASE I ACTUAL (4)'!$C$6:$C$540,'Neiva 2022 FASE I ACTUAL (4)'!$C$6:$F$540,"NO ESTA")</f>
        <v>SUMINISTRO E INSTALACIÓN TÉE PARA DUCTO PORTACABLES TROQUELADO DE 30x10 cm</v>
      </c>
      <c r="J408" s="9" t="str">
        <v xml:space="preserve">UN   </v>
      </c>
      <c r="K408" s="9">
        <v>3</v>
      </c>
      <c r="L408" s="9">
        <v>131426</v>
      </c>
      <c r="M408" s="124" t="str">
        <f t="shared" si="50"/>
        <v>FASE II</v>
      </c>
      <c r="N408" s="155">
        <f t="shared" si="47"/>
        <v>11</v>
      </c>
      <c r="O408" s="156">
        <f t="shared" si="48"/>
        <v>135206</v>
      </c>
      <c r="P408" s="156">
        <f t="shared" si="49"/>
        <v>1487266</v>
      </c>
    </row>
    <row r="409" spans="2:16" s="9" customFormat="1" ht="35.1" customHeight="1" x14ac:dyDescent="0.25">
      <c r="B409" s="23" t="s">
        <v>559</v>
      </c>
      <c r="C409" s="22" t="s">
        <v>560</v>
      </c>
      <c r="D409" s="23" t="s">
        <v>284</v>
      </c>
      <c r="E409" s="12">
        <v>91</v>
      </c>
      <c r="F409" s="126">
        <v>29987</v>
      </c>
      <c r="G409" s="126">
        <f t="shared" si="51"/>
        <v>2728817</v>
      </c>
      <c r="H409" s="8"/>
      <c r="I409" s="9" t="str">
        <f t="array" ref="I409:L409">_xlfn.XLOOKUP(C409,'Neiva 2022 FASE I ACTUAL (4)'!$C$6:$C$540,'Neiva 2022 FASE I ACTUAL (4)'!$C$6:$F$540,"NO ESTA")</f>
        <v>SUMINISTRO E INSTALACIÓN SOPORTES DE FIJACIÓN TIPO PELDAÑO DESCOLGADO PARA DUCTOS PORTACABLES TROQUELADO</v>
      </c>
      <c r="J409" s="9" t="str">
        <v xml:space="preserve">UN   </v>
      </c>
      <c r="K409" s="9">
        <v>34</v>
      </c>
      <c r="L409" s="9">
        <v>29149</v>
      </c>
      <c r="M409" s="124" t="str">
        <f t="shared" si="50"/>
        <v>FASE II</v>
      </c>
      <c r="N409" s="155">
        <f t="shared" si="47"/>
        <v>125</v>
      </c>
      <c r="O409" s="156">
        <f t="shared" si="48"/>
        <v>29987</v>
      </c>
      <c r="P409" s="156">
        <f t="shared" si="49"/>
        <v>3748375</v>
      </c>
    </row>
    <row r="410" spans="2:16" s="9" customFormat="1" ht="35.1" customHeight="1" x14ac:dyDescent="0.25">
      <c r="B410" s="23" t="s">
        <v>561</v>
      </c>
      <c r="C410" s="87" t="s">
        <v>562</v>
      </c>
      <c r="D410" s="23" t="s">
        <v>269</v>
      </c>
      <c r="E410" s="12">
        <v>67</v>
      </c>
      <c r="F410" s="126">
        <v>196007</v>
      </c>
      <c r="G410" s="126">
        <f t="shared" si="51"/>
        <v>13132469</v>
      </c>
      <c r="H410" s="8"/>
      <c r="I410" s="9" t="str">
        <f t="array" ref="I410:L410">_xlfn.XLOOKUP(C410,'Neiva 2022 FASE I ACTUAL (4)'!$C$6:$C$540,'Neiva 2022 FASE I ACTUAL (4)'!$C$6:$F$540,"NO ESTA")</f>
        <v>NO ESTA</v>
      </c>
      <c r="J410" s="9" t="str">
        <v>NO ESTA</v>
      </c>
      <c r="K410" s="9" t="str">
        <v>NO ESTA</v>
      </c>
      <c r="L410" s="9" t="str">
        <v>NO ESTA</v>
      </c>
      <c r="M410" s="124" t="str">
        <f t="shared" si="50"/>
        <v>FASE I</v>
      </c>
      <c r="N410" s="155" t="e">
        <f t="shared" si="47"/>
        <v>#VALUE!</v>
      </c>
      <c r="O410" s="156">
        <f t="shared" si="48"/>
        <v>196007</v>
      </c>
      <c r="P410" s="156" t="e">
        <f t="shared" si="49"/>
        <v>#VALUE!</v>
      </c>
    </row>
    <row r="411" spans="2:16" s="9" customFormat="1" ht="35.1" customHeight="1" x14ac:dyDescent="0.25">
      <c r="B411" s="23" t="s">
        <v>563</v>
      </c>
      <c r="C411" s="22" t="s">
        <v>564</v>
      </c>
      <c r="D411" s="23" t="s">
        <v>284</v>
      </c>
      <c r="E411" s="12">
        <v>2</v>
      </c>
      <c r="F411" s="126">
        <v>162245</v>
      </c>
      <c r="G411" s="126">
        <f t="shared" si="51"/>
        <v>324490</v>
      </c>
      <c r="H411" s="8"/>
      <c r="I411" s="9" t="str">
        <f t="array" ref="I411:L411">_xlfn.XLOOKUP(C411,'Neiva 2022 FASE I ACTUAL (4)'!$C$6:$C$540,'Neiva 2022 FASE I ACTUAL (4)'!$C$6:$F$540,"NO ESTA")</f>
        <v>SUMINISTRO E INSTALACIÓN TÉE PARA DUCTO PORTACABLES TROQUELADO DE 100x30 cm</v>
      </c>
      <c r="J411" s="9" t="str">
        <v xml:space="preserve">UN   </v>
      </c>
      <c r="K411" s="9">
        <v>1</v>
      </c>
      <c r="L411" s="9">
        <v>157710</v>
      </c>
      <c r="M411" s="124" t="str">
        <f t="shared" si="50"/>
        <v>FASE II</v>
      </c>
      <c r="N411" s="155">
        <f t="shared" si="47"/>
        <v>3</v>
      </c>
      <c r="O411" s="156">
        <f t="shared" si="48"/>
        <v>162245</v>
      </c>
      <c r="P411" s="156">
        <f t="shared" si="49"/>
        <v>486735</v>
      </c>
    </row>
    <row r="412" spans="2:16" s="9" customFormat="1" ht="35.1" customHeight="1" x14ac:dyDescent="0.25">
      <c r="B412" s="23" t="s">
        <v>565</v>
      </c>
      <c r="C412" s="22" t="s">
        <v>566</v>
      </c>
      <c r="D412" s="23" t="s">
        <v>284</v>
      </c>
      <c r="E412" s="12">
        <v>34</v>
      </c>
      <c r="F412" s="126">
        <v>29987</v>
      </c>
      <c r="G412" s="126">
        <f t="shared" si="51"/>
        <v>1019558</v>
      </c>
      <c r="H412" s="8"/>
      <c r="I412" s="9" t="str">
        <f t="array" ref="I412:L412">_xlfn.XLOOKUP(C412,'Neiva 2022 FASE I ACTUAL (4)'!$C$6:$C$540,'Neiva 2022 FASE I ACTUAL (4)'!$C$6:$F$540,"NO ESTA")</f>
        <v>SUMINISTRO E INSTALACIÓN SOPORTES DE FIJACIÓN TIPO PELDAÑO DESCOLGADO PARA DUCTO PORTACABLES TROQUELADO</v>
      </c>
      <c r="J412" s="9" t="str">
        <v xml:space="preserve">UN   </v>
      </c>
      <c r="K412" s="9">
        <v>12</v>
      </c>
      <c r="L412" s="9">
        <v>29149</v>
      </c>
      <c r="M412" s="124" t="str">
        <f t="shared" si="50"/>
        <v>FASE II</v>
      </c>
      <c r="N412" s="155">
        <f t="shared" si="47"/>
        <v>46</v>
      </c>
      <c r="O412" s="156">
        <f t="shared" si="48"/>
        <v>29987</v>
      </c>
      <c r="P412" s="156">
        <f t="shared" si="49"/>
        <v>1379402</v>
      </c>
    </row>
    <row r="413" spans="2:16" s="9" customFormat="1" ht="35.1" customHeight="1" x14ac:dyDescent="0.25">
      <c r="B413" s="53" t="s">
        <v>567</v>
      </c>
      <c r="C413" s="24" t="s">
        <v>568</v>
      </c>
      <c r="D413" s="24"/>
      <c r="E413" s="15"/>
      <c r="F413" s="129"/>
      <c r="G413" s="140"/>
      <c r="H413" s="8"/>
      <c r="I413" s="9" t="str">
        <f t="array" ref="I413:L413">_xlfn.XLOOKUP(C413,'Neiva 2022 FASE I ACTUAL (4)'!$C$6:$C$540,'Neiva 2022 FASE I ACTUAL (4)'!$C$6:$F$540,"NO ESTA")</f>
        <v>CANALETA PERIMETRAL MULTITOMA</v>
      </c>
      <c r="J413" s="9">
        <v>0</v>
      </c>
      <c r="K413" s="9">
        <v>0</v>
      </c>
      <c r="L413" s="9">
        <v>0</v>
      </c>
      <c r="M413" s="124">
        <f t="shared" si="50"/>
        <v>0</v>
      </c>
      <c r="N413" s="155">
        <f t="shared" si="47"/>
        <v>0</v>
      </c>
      <c r="O413" s="156">
        <f t="shared" si="48"/>
        <v>0</v>
      </c>
      <c r="P413" s="156">
        <f t="shared" si="49"/>
        <v>0</v>
      </c>
    </row>
    <row r="414" spans="2:16" s="9" customFormat="1" ht="35.1" customHeight="1" x14ac:dyDescent="0.25">
      <c r="B414" s="23" t="s">
        <v>569</v>
      </c>
      <c r="C414" s="22" t="s">
        <v>570</v>
      </c>
      <c r="D414" s="23" t="s">
        <v>269</v>
      </c>
      <c r="E414" s="12">
        <v>182</v>
      </c>
      <c r="F414" s="126">
        <v>29842</v>
      </c>
      <c r="G414" s="126">
        <f>ROUND(+F414*E414,2)</f>
        <v>5431244</v>
      </c>
      <c r="H414" s="8"/>
      <c r="I414" s="9" t="str">
        <f t="array" ref="I414:L414">_xlfn.XLOOKUP(C414,'Neiva 2022 FASE I ACTUAL (4)'!$C$6:$C$540,'Neiva 2022 FASE I ACTUAL (4)'!$C$6:$F$540,"NO ESTA")</f>
        <v>SUMINISTRO E INSTALACIÓN CANALETA MULTITOMA DE DOS COMPARTIMIENTOS EN LÁMINA COLD ROLLED CAL. 18 DE SECCIÓN 10x4 cm CON TAPA CLIP Y ACABADO ELECTROESTÁTICO GRIS NOPAL TEXTURIZADO</v>
      </c>
      <c r="J414" s="9" t="str">
        <v xml:space="preserve">ML   </v>
      </c>
      <c r="K414" s="9">
        <v>68</v>
      </c>
      <c r="L414" s="9">
        <v>29007</v>
      </c>
      <c r="M414" s="124" t="str">
        <f t="shared" si="50"/>
        <v>FASE II</v>
      </c>
      <c r="N414" s="155">
        <f t="shared" si="47"/>
        <v>250</v>
      </c>
      <c r="O414" s="156">
        <f t="shared" si="48"/>
        <v>29842</v>
      </c>
      <c r="P414" s="156">
        <f t="shared" si="49"/>
        <v>7460500</v>
      </c>
    </row>
    <row r="415" spans="2:16" s="9" customFormat="1" ht="35.1" customHeight="1" x14ac:dyDescent="0.25">
      <c r="B415" s="23" t="s">
        <v>571</v>
      </c>
      <c r="C415" s="22" t="s">
        <v>572</v>
      </c>
      <c r="D415" s="23" t="s">
        <v>374</v>
      </c>
      <c r="E415" s="12">
        <v>80</v>
      </c>
      <c r="F415" s="126">
        <v>23284</v>
      </c>
      <c r="G415" s="126">
        <f>ROUND(+F415*E415,2)</f>
        <v>1862720</v>
      </c>
      <c r="H415" s="8"/>
      <c r="I415" s="9" t="str">
        <f t="array" ref="I415:L415">_xlfn.XLOOKUP(C415,'Neiva 2022 FASE I ACTUAL (4)'!$C$6:$C$540,'Neiva 2022 FASE I ACTUAL (4)'!$C$6:$F$540,"NO ESTA")</f>
        <v>SUMINISTRO E INSTALACIÓN PLACA TOMA TROQUELADA PARA CANALETA 10x4 cm, CON PERFORACIONES PARA UNA (1) TOMA DOBLE COLOR BLANCO, UNA (1) TOMA DOBLE COLOR NARANJA Y UNA (1) TOMA RJ-45</v>
      </c>
      <c r="J415" s="9" t="str">
        <v>UN</v>
      </c>
      <c r="K415" s="9">
        <v>29</v>
      </c>
      <c r="L415" s="9">
        <v>22632</v>
      </c>
      <c r="M415" s="124" t="str">
        <f t="shared" si="50"/>
        <v>FASE II</v>
      </c>
      <c r="N415" s="155">
        <f t="shared" si="47"/>
        <v>109</v>
      </c>
      <c r="O415" s="156">
        <f t="shared" si="48"/>
        <v>23284</v>
      </c>
      <c r="P415" s="156">
        <f t="shared" si="49"/>
        <v>2537956</v>
      </c>
    </row>
    <row r="416" spans="2:16" s="9" customFormat="1" ht="35.1" customHeight="1" x14ac:dyDescent="0.25">
      <c r="B416" s="53" t="s">
        <v>573</v>
      </c>
      <c r="C416" s="24" t="s">
        <v>574</v>
      </c>
      <c r="D416" s="24"/>
      <c r="E416" s="15"/>
      <c r="F416" s="129"/>
      <c r="G416" s="140"/>
      <c r="H416" s="8"/>
      <c r="I416" s="9" t="str">
        <f t="array" ref="I416:L416">_xlfn.XLOOKUP(C416,'Neiva 2022 FASE I ACTUAL (4)'!$C$6:$C$540,'Neiva 2022 FASE I ACTUAL (4)'!$C$6:$F$540,"NO ESTA")</f>
        <v>SUMINISTRO E INSTALACIÓN COMETIDA RED MEDIA TENSIÓN (SEGÚN NORMAS CODENSA SA ESP)</v>
      </c>
      <c r="J416" s="9">
        <v>0</v>
      </c>
      <c r="K416" s="9">
        <v>0</v>
      </c>
      <c r="L416" s="9">
        <v>0</v>
      </c>
      <c r="M416" s="124">
        <f t="shared" si="50"/>
        <v>0</v>
      </c>
      <c r="N416" s="155">
        <f t="shared" si="47"/>
        <v>0</v>
      </c>
      <c r="O416" s="156">
        <f t="shared" si="48"/>
        <v>0</v>
      </c>
      <c r="P416" s="156">
        <f t="shared" si="49"/>
        <v>0</v>
      </c>
    </row>
    <row r="417" spans="2:16" s="9" customFormat="1" ht="35.1" customHeight="1" x14ac:dyDescent="0.25">
      <c r="B417" s="23" t="s">
        <v>575</v>
      </c>
      <c r="C417" s="22" t="s">
        <v>576</v>
      </c>
      <c r="D417" s="23" t="s">
        <v>374</v>
      </c>
      <c r="E417" s="12">
        <v>0</v>
      </c>
      <c r="F417" s="126">
        <v>71697829</v>
      </c>
      <c r="G417" s="126">
        <f t="shared" ref="G417:G430" si="52">ROUND(+F417*E417,2)</f>
        <v>0</v>
      </c>
      <c r="H417" s="8"/>
      <c r="I417" s="9" t="str">
        <f t="array" ref="I417:L417">_xlfn.XLOOKUP(C417,'Neiva 2022 FASE I ACTUAL (4)'!$C$6:$C$540,'Neiva 2022 FASE I ACTUAL (4)'!$C$6:$F$540,"NO ESTA")</f>
        <v>SUMINISTRO E INSTALACIÓN TRANSFORMADOR DE DISTRIBUCIÓN DE 500 Kva, NIVEL DE TENSIÓN PRIMARIO 13.200 VOLTIOS, NIVEL DE TENSIÓN SECUNDARIO 208/120 VOLTIOS. INCLUYE: RIEL DE SOPORTE PARA TRANSFORMADOR (PATIN), RUEDAS PARA RIEL CON FRENO MECANICO</v>
      </c>
      <c r="J417" s="9" t="str">
        <v>UN</v>
      </c>
      <c r="K417" s="9">
        <v>1</v>
      </c>
      <c r="L417" s="9">
        <v>69693692</v>
      </c>
      <c r="M417" s="124" t="str">
        <f t="shared" si="50"/>
        <v>FASE II</v>
      </c>
      <c r="N417" s="155">
        <f t="shared" si="47"/>
        <v>1</v>
      </c>
      <c r="O417" s="156">
        <f t="shared" si="48"/>
        <v>71697829</v>
      </c>
      <c r="P417" s="156">
        <f t="shared" si="49"/>
        <v>71697829</v>
      </c>
    </row>
    <row r="418" spans="2:16" s="9" customFormat="1" ht="35.1" customHeight="1" x14ac:dyDescent="0.25">
      <c r="B418" s="23" t="s">
        <v>577</v>
      </c>
      <c r="C418" s="22" t="s">
        <v>578</v>
      </c>
      <c r="D418" s="23" t="s">
        <v>374</v>
      </c>
      <c r="E418" s="12">
        <v>0</v>
      </c>
      <c r="F418" s="126">
        <v>5308517</v>
      </c>
      <c r="G418" s="126">
        <f t="shared" si="52"/>
        <v>0</v>
      </c>
      <c r="H418" s="8"/>
      <c r="I418" s="9" t="str">
        <f t="array" ref="I418:L418">_xlfn.XLOOKUP(C418,'Neiva 2022 FASE I ACTUAL (4)'!$C$6:$C$540,'Neiva 2022 FASE I ACTUAL (4)'!$C$6:$F$540,"NO ESTA")</f>
        <v>SUMINISTRO E INSTALACIÓN PUERTA CORTAFUEGO PINTURA ELECTROESTÁTICA Y SEÑALES DE RIESGO ELÉCTRICO. INCLUYE ACCESORIOS PARA ENCLAVAMIENTO</v>
      </c>
      <c r="J418" s="9" t="str">
        <v>UN</v>
      </c>
      <c r="K418" s="9">
        <v>1</v>
      </c>
      <c r="L418" s="9">
        <v>5160130</v>
      </c>
      <c r="M418" s="124" t="str">
        <f t="shared" si="50"/>
        <v>FASE II</v>
      </c>
      <c r="N418" s="155">
        <f t="shared" si="47"/>
        <v>1</v>
      </c>
      <c r="O418" s="156">
        <f t="shared" si="48"/>
        <v>5308517</v>
      </c>
      <c r="P418" s="156">
        <f t="shared" si="49"/>
        <v>5308517</v>
      </c>
    </row>
    <row r="419" spans="2:16" s="9" customFormat="1" ht="35.1" customHeight="1" x14ac:dyDescent="0.25">
      <c r="B419" s="23" t="s">
        <v>579</v>
      </c>
      <c r="C419" s="22" t="s">
        <v>580</v>
      </c>
      <c r="D419" s="23" t="s">
        <v>374</v>
      </c>
      <c r="E419" s="12">
        <v>0</v>
      </c>
      <c r="F419" s="126">
        <v>197566</v>
      </c>
      <c r="G419" s="126">
        <f t="shared" si="52"/>
        <v>0</v>
      </c>
      <c r="H419" s="8"/>
      <c r="I419" s="9" t="str">
        <f t="array" ref="I419:L419">_xlfn.XLOOKUP(C419,'Neiva 2022 FASE I ACTUAL (4)'!$C$6:$C$540,'Neiva 2022 FASE I ACTUAL (4)'!$C$6:$F$540,"NO ESTA")</f>
        <v>SUMINISTRO E INSTALACIÓN BARRERA DE PROTECCIÓN PARA EVITAR CONTACTO DIRECTO CON TRANSFORMADOR. INCLUYE INDUMENTARIA PARA ASEGURAR LA BARRERA A LA DISTANCIA ADECUADA DEL TRANSFORMADOR</v>
      </c>
      <c r="J419" s="9" t="str">
        <v>UN</v>
      </c>
      <c r="K419" s="9">
        <v>1</v>
      </c>
      <c r="L419" s="9">
        <v>192043</v>
      </c>
      <c r="M419" s="124" t="str">
        <f t="shared" si="50"/>
        <v>FASE II</v>
      </c>
      <c r="N419" s="155">
        <f t="shared" si="47"/>
        <v>1</v>
      </c>
      <c r="O419" s="156">
        <f t="shared" si="48"/>
        <v>197566</v>
      </c>
      <c r="P419" s="156">
        <f t="shared" si="49"/>
        <v>197566</v>
      </c>
    </row>
    <row r="420" spans="2:16" s="9" customFormat="1" ht="35.1" customHeight="1" x14ac:dyDescent="0.25">
      <c r="B420" s="23" t="s">
        <v>581</v>
      </c>
      <c r="C420" s="22" t="s">
        <v>1225</v>
      </c>
      <c r="D420" s="23" t="s">
        <v>374</v>
      </c>
      <c r="E420" s="12">
        <v>0</v>
      </c>
      <c r="F420" s="126">
        <v>161010</v>
      </c>
      <c r="G420" s="126">
        <f t="shared" si="52"/>
        <v>0</v>
      </c>
      <c r="H420" s="8"/>
      <c r="I420" s="9" t="str">
        <f t="array" ref="I420">_xlfn.XLOOKUP(C420,'Neiva 2022 FASE I ACTUAL (4)'!$C$6:$C$540,'Neiva 2022 FASE I ACTUAL (4)'!$C$6:$F$540,"NO ESTA")</f>
        <v>NO ESTA</v>
      </c>
      <c r="M420" s="124">
        <f t="shared" si="50"/>
        <v>0</v>
      </c>
      <c r="N420" s="155">
        <f t="shared" si="47"/>
        <v>0</v>
      </c>
      <c r="O420" s="156">
        <f t="shared" si="48"/>
        <v>161010</v>
      </c>
      <c r="P420" s="156">
        <f t="shared" si="49"/>
        <v>0</v>
      </c>
    </row>
    <row r="421" spans="2:16" s="9" customFormat="1" ht="35.1" customHeight="1" x14ac:dyDescent="0.25">
      <c r="B421" s="23" t="s">
        <v>583</v>
      </c>
      <c r="C421" s="22" t="s">
        <v>584</v>
      </c>
      <c r="D421" s="23" t="s">
        <v>374</v>
      </c>
      <c r="E421" s="12">
        <v>0</v>
      </c>
      <c r="F421" s="126">
        <v>324542</v>
      </c>
      <c r="G421" s="126">
        <f t="shared" si="52"/>
        <v>0</v>
      </c>
      <c r="H421" s="8"/>
      <c r="I421" s="9" t="str">
        <f t="array" ref="I421:L421">_xlfn.XLOOKUP(C421,'Neiva 2022 FASE I ACTUAL (4)'!$C$6:$C$540,'Neiva 2022 FASE I ACTUAL (4)'!$C$6:$F$540,"NO ESTA")</f>
        <v>SUMINISTRO E INSTALACIÓN PASAMUROS DE MEDIA TENSIÓN, PASA MUROS EN PVC INCLUYE OBRAS NECESARIAS PARA LA INSTALACIÓN DE LAS MISMAS (JUEGO)</v>
      </c>
      <c r="J421" s="9" t="str">
        <v>UN</v>
      </c>
      <c r="K421" s="9">
        <v>1</v>
      </c>
      <c r="L421" s="9">
        <v>315470</v>
      </c>
      <c r="M421" s="124" t="str">
        <f t="shared" si="50"/>
        <v>FASE II</v>
      </c>
      <c r="N421" s="155">
        <f t="shared" si="47"/>
        <v>1</v>
      </c>
      <c r="O421" s="156">
        <f t="shared" si="48"/>
        <v>324542</v>
      </c>
      <c r="P421" s="156">
        <f t="shared" si="49"/>
        <v>324542</v>
      </c>
    </row>
    <row r="422" spans="2:16" s="9" customFormat="1" ht="35.1" customHeight="1" x14ac:dyDescent="0.25">
      <c r="B422" s="23" t="s">
        <v>585</v>
      </c>
      <c r="C422" s="22" t="s">
        <v>586</v>
      </c>
      <c r="D422" s="23" t="s">
        <v>374</v>
      </c>
      <c r="E422" s="12">
        <v>0</v>
      </c>
      <c r="F422" s="126">
        <v>395661</v>
      </c>
      <c r="G422" s="126">
        <f t="shared" si="52"/>
        <v>0</v>
      </c>
      <c r="H422" s="8"/>
      <c r="I422" s="9" t="str">
        <f t="array" ref="I422:L422">_xlfn.XLOOKUP(C422,'Neiva 2022 FASE I ACTUAL (4)'!$C$6:$C$540,'Neiva 2022 FASE I ACTUAL (4)'!$C$6:$F$540,"NO ESTA")</f>
        <v>SUMINISTRO E INSTALACIÓN DUCTO DE VENTILACIÓN CON DÁMPER FIRE, INCLUYE REJILLA DAMPER PARA EMERGENCIA</v>
      </c>
      <c r="J422" s="9" t="str">
        <v>UN</v>
      </c>
      <c r="K422" s="9">
        <v>1</v>
      </c>
      <c r="L422" s="9">
        <v>384601</v>
      </c>
      <c r="M422" s="124" t="str">
        <f t="shared" si="50"/>
        <v>FASE II</v>
      </c>
      <c r="N422" s="155">
        <f t="shared" si="47"/>
        <v>1</v>
      </c>
      <c r="O422" s="156">
        <f t="shared" si="48"/>
        <v>395661</v>
      </c>
      <c r="P422" s="156">
        <f t="shared" si="49"/>
        <v>395661</v>
      </c>
    </row>
    <row r="423" spans="2:16" s="9" customFormat="1" ht="35.1" customHeight="1" x14ac:dyDescent="0.25">
      <c r="B423" s="23" t="s">
        <v>587</v>
      </c>
      <c r="C423" s="22" t="s">
        <v>1226</v>
      </c>
      <c r="D423" s="23" t="s">
        <v>374</v>
      </c>
      <c r="E423" s="12">
        <v>0</v>
      </c>
      <c r="F423" s="126">
        <v>289655</v>
      </c>
      <c r="G423" s="126">
        <f t="shared" si="52"/>
        <v>0</v>
      </c>
      <c r="H423" s="8"/>
      <c r="I423" s="9" t="str">
        <f t="array" ref="I423">_xlfn.XLOOKUP(C423,'Neiva 2022 FASE I ACTUAL (4)'!$C$6:$C$540,'Neiva 2022 FASE I ACTUAL (4)'!$C$6:$F$540,"NO ESTA")</f>
        <v>NO ESTA</v>
      </c>
      <c r="M423" s="124">
        <f t="shared" si="50"/>
        <v>0</v>
      </c>
      <c r="N423" s="155">
        <f t="shared" si="47"/>
        <v>0</v>
      </c>
      <c r="O423" s="156">
        <f t="shared" si="48"/>
        <v>289655</v>
      </c>
      <c r="P423" s="156">
        <f t="shared" si="49"/>
        <v>0</v>
      </c>
    </row>
    <row r="424" spans="2:16" s="9" customFormat="1" ht="35.1" customHeight="1" x14ac:dyDescent="0.25">
      <c r="B424" s="23" t="s">
        <v>589</v>
      </c>
      <c r="C424" s="22" t="s">
        <v>590</v>
      </c>
      <c r="D424" s="23" t="s">
        <v>374</v>
      </c>
      <c r="E424" s="12">
        <v>1</v>
      </c>
      <c r="F424" s="126">
        <v>584126</v>
      </c>
      <c r="G424" s="126">
        <f t="shared" si="52"/>
        <v>584126</v>
      </c>
      <c r="H424" s="8"/>
      <c r="I424" s="9" t="str">
        <f t="array" ref="I424:L424">_xlfn.XLOOKUP(C424,'Neiva 2022 FASE I ACTUAL (4)'!$C$6:$C$540,'Neiva 2022 FASE I ACTUAL (4)'!$C$6:$F$540,"NO ESTA")</f>
        <v>SUMINISTRO E INSTALACIÓN DE DPS (DISPOSITIVO DE PROTECCIÓN CONTRA SOBRETENSIONES)</v>
      </c>
      <c r="J424" s="9" t="str">
        <v>UN</v>
      </c>
      <c r="K424" s="9">
        <v>1</v>
      </c>
      <c r="L424" s="9">
        <v>567798</v>
      </c>
      <c r="M424" s="124" t="str">
        <f t="shared" si="50"/>
        <v>FASE II</v>
      </c>
      <c r="N424" s="155">
        <f t="shared" si="47"/>
        <v>2</v>
      </c>
      <c r="O424" s="156">
        <f t="shared" si="48"/>
        <v>584126</v>
      </c>
      <c r="P424" s="156">
        <f t="shared" si="49"/>
        <v>1168252</v>
      </c>
    </row>
    <row r="425" spans="2:16" s="9" customFormat="1" ht="35.1" customHeight="1" x14ac:dyDescent="0.25">
      <c r="B425" s="23" t="s">
        <v>591</v>
      </c>
      <c r="C425" s="22" t="s">
        <v>1227</v>
      </c>
      <c r="D425" s="23" t="s">
        <v>374</v>
      </c>
      <c r="E425" s="12">
        <v>0</v>
      </c>
      <c r="F425" s="126">
        <v>18747389</v>
      </c>
      <c r="G425" s="126">
        <f t="shared" si="52"/>
        <v>0</v>
      </c>
      <c r="H425" s="8"/>
      <c r="I425" s="9" t="str">
        <f t="array" ref="I425">_xlfn.XLOOKUP(C425,'Neiva 2022 FASE I ACTUAL (4)'!$C$6:$C$540,'Neiva 2022 FASE I ACTUAL (4)'!$C$6:$F$540,"NO ESTA")</f>
        <v>NO ESTA</v>
      </c>
      <c r="M425" s="124">
        <f t="shared" si="50"/>
        <v>0</v>
      </c>
      <c r="N425" s="155">
        <f t="shared" si="47"/>
        <v>0</v>
      </c>
      <c r="O425" s="156">
        <f t="shared" si="48"/>
        <v>18747389</v>
      </c>
      <c r="P425" s="156">
        <f t="shared" si="49"/>
        <v>0</v>
      </c>
    </row>
    <row r="426" spans="2:16" s="9" customFormat="1" ht="35.1" customHeight="1" x14ac:dyDescent="0.25">
      <c r="B426" s="23" t="s">
        <v>593</v>
      </c>
      <c r="C426" s="22" t="s">
        <v>594</v>
      </c>
      <c r="D426" s="23" t="s">
        <v>374</v>
      </c>
      <c r="E426" s="12">
        <v>2</v>
      </c>
      <c r="F426" s="126">
        <v>1490034</v>
      </c>
      <c r="G426" s="126">
        <f t="shared" si="52"/>
        <v>2980068</v>
      </c>
      <c r="H426" s="8"/>
      <c r="I426" s="9" t="str">
        <f t="array" ref="I426:L426">_xlfn.XLOOKUP(C426,'Neiva 2022 FASE I ACTUAL (4)'!$C$6:$C$540,'Neiva 2022 FASE I ACTUAL (4)'!$C$6:$F$540,"NO ESTA")</f>
        <v xml:space="preserve">SUMINISTRO E INSTALACIÓN CAJA DE INSPECCIÓN SENCILLA CON TAPA EN CONCRETO SEGÚN NORMA CS-276 CODENSA S.A. ESP PARA RED DE MEDIA Y BAJA TENSIÓN. </v>
      </c>
      <c r="J426" s="9" t="str">
        <v>UN</v>
      </c>
      <c r="K426" s="9">
        <v>1</v>
      </c>
      <c r="L426" s="9">
        <v>1448384</v>
      </c>
      <c r="M426" s="124" t="str">
        <f t="shared" si="50"/>
        <v>FASE II</v>
      </c>
      <c r="N426" s="155">
        <f t="shared" si="47"/>
        <v>3</v>
      </c>
      <c r="O426" s="156">
        <f t="shared" si="48"/>
        <v>1490034</v>
      </c>
      <c r="P426" s="156">
        <f t="shared" si="49"/>
        <v>4470102</v>
      </c>
    </row>
    <row r="427" spans="2:16" s="9" customFormat="1" ht="35.1" customHeight="1" x14ac:dyDescent="0.25">
      <c r="B427" s="53" t="s">
        <v>595</v>
      </c>
      <c r="C427" s="24" t="s">
        <v>596</v>
      </c>
      <c r="D427" s="24"/>
      <c r="E427" s="15"/>
      <c r="F427" s="126">
        <v>0</v>
      </c>
      <c r="G427" s="126">
        <f t="shared" si="52"/>
        <v>0</v>
      </c>
      <c r="H427" s="8"/>
      <c r="I427" s="9" t="str">
        <f t="array" ref="I427:L427">_xlfn.XLOOKUP(C427,'Neiva 2022 FASE I ACTUAL (4)'!$C$6:$C$540,'Neiva 2022 FASE I ACTUAL (4)'!$C$6:$F$540,"NO ESTA")</f>
        <v>SUMINISTRO E INSTALACIÓN ALIMENTADORES ELÉCTRICOS PRINCIPALES</v>
      </c>
      <c r="J427" s="9">
        <v>0</v>
      </c>
      <c r="K427" s="9">
        <v>0</v>
      </c>
      <c r="L427" s="9">
        <v>0</v>
      </c>
      <c r="M427" s="124">
        <f t="shared" si="50"/>
        <v>0</v>
      </c>
      <c r="N427" s="155">
        <f t="shared" si="47"/>
        <v>0</v>
      </c>
      <c r="O427" s="156">
        <f t="shared" si="48"/>
        <v>0</v>
      </c>
      <c r="P427" s="156">
        <f t="shared" si="49"/>
        <v>0</v>
      </c>
    </row>
    <row r="428" spans="2:16" s="9" customFormat="1" ht="35.1" customHeight="1" x14ac:dyDescent="0.25">
      <c r="B428" s="23" t="s">
        <v>597</v>
      </c>
      <c r="C428" s="22" t="s">
        <v>598</v>
      </c>
      <c r="D428" s="23" t="s">
        <v>269</v>
      </c>
      <c r="E428" s="12">
        <v>0</v>
      </c>
      <c r="F428" s="126">
        <v>314854</v>
      </c>
      <c r="G428" s="126">
        <f t="shared" si="52"/>
        <v>0</v>
      </c>
      <c r="H428" s="8"/>
      <c r="I428" s="9" t="str">
        <f t="array" ref="I428:L428">_xlfn.XLOOKUP(C428,'Neiva 2022 FASE I ACTUAL (4)'!$C$6:$C$540,'Neiva 2022 FASE I ACTUAL (4)'!$C$6:$F$540,"NO ESTA")</f>
        <v>SUMINISTRO E INSTALACIÓN INTERCONEXIÓN ENTRE CAJA CS-276 Y CELDA DE MEDIDA CABLE XLPE 15KV T AWG EN TUBERÍA PVC 6".</v>
      </c>
      <c r="J428" s="9" t="str">
        <v xml:space="preserve">ML   </v>
      </c>
      <c r="K428" s="9">
        <v>20</v>
      </c>
      <c r="L428" s="9">
        <v>306054</v>
      </c>
      <c r="M428" s="124" t="str">
        <f t="shared" si="50"/>
        <v>FASE II</v>
      </c>
      <c r="N428" s="155">
        <f t="shared" si="47"/>
        <v>20</v>
      </c>
      <c r="O428" s="156">
        <f t="shared" si="48"/>
        <v>314854</v>
      </c>
      <c r="P428" s="156">
        <f t="shared" si="49"/>
        <v>6297080</v>
      </c>
    </row>
    <row r="429" spans="2:16" s="9" customFormat="1" ht="35.1" customHeight="1" x14ac:dyDescent="0.25">
      <c r="B429" s="23" t="s">
        <v>599</v>
      </c>
      <c r="C429" s="22" t="s">
        <v>1228</v>
      </c>
      <c r="D429" s="23" t="s">
        <v>269</v>
      </c>
      <c r="E429" s="12">
        <v>0</v>
      </c>
      <c r="F429" s="126">
        <v>1162072</v>
      </c>
      <c r="G429" s="126">
        <f t="shared" si="52"/>
        <v>0</v>
      </c>
      <c r="H429" s="8"/>
      <c r="I429" s="9" t="str">
        <f t="array" ref="I429">_xlfn.XLOOKUP(C429,'Neiva 2022 FASE I ACTUAL (4)'!$C$6:$C$540,'Neiva 2022 FASE I ACTUAL (4)'!$C$6:$F$540,"NO ESTA")</f>
        <v>NO ESTA</v>
      </c>
      <c r="M429" s="124">
        <f t="shared" si="50"/>
        <v>0</v>
      </c>
      <c r="N429" s="155">
        <f t="shared" si="47"/>
        <v>0</v>
      </c>
      <c r="O429" s="156">
        <f t="shared" si="48"/>
        <v>1162072</v>
      </c>
      <c r="P429" s="156">
        <f t="shared" si="49"/>
        <v>0</v>
      </c>
    </row>
    <row r="430" spans="2:16" s="9" customFormat="1" ht="35.1" customHeight="1" x14ac:dyDescent="0.25">
      <c r="B430" s="23" t="s">
        <v>601</v>
      </c>
      <c r="C430" s="22" t="s">
        <v>1229</v>
      </c>
      <c r="D430" s="23" t="s">
        <v>269</v>
      </c>
      <c r="E430" s="12">
        <v>0</v>
      </c>
      <c r="F430" s="126">
        <v>1222558</v>
      </c>
      <c r="G430" s="126">
        <f t="shared" si="52"/>
        <v>0</v>
      </c>
      <c r="H430" s="8"/>
      <c r="I430" s="9" t="str">
        <f t="array" ref="I430">_xlfn.XLOOKUP(C430,'Neiva 2022 FASE I ACTUAL (4)'!$C$6:$C$540,'Neiva 2022 FASE I ACTUAL (4)'!$C$6:$F$540,"NO ESTA")</f>
        <v>NO ESTA</v>
      </c>
      <c r="M430" s="124">
        <f t="shared" si="50"/>
        <v>0</v>
      </c>
      <c r="N430" s="155">
        <f t="shared" si="47"/>
        <v>0</v>
      </c>
      <c r="O430" s="156">
        <f t="shared" si="48"/>
        <v>1222558</v>
      </c>
      <c r="P430" s="156">
        <f t="shared" si="49"/>
        <v>0</v>
      </c>
    </row>
    <row r="431" spans="2:16" s="9" customFormat="1" ht="35.1" customHeight="1" x14ac:dyDescent="0.25">
      <c r="B431" s="53" t="s">
        <v>603</v>
      </c>
      <c r="C431" s="24" t="s">
        <v>596</v>
      </c>
      <c r="D431" s="24"/>
      <c r="E431" s="15"/>
      <c r="F431" s="129"/>
      <c r="G431" s="140"/>
      <c r="H431" s="8"/>
      <c r="I431" s="9" t="str">
        <f t="array" ref="I431:L431">_xlfn.XLOOKUP(C431,'Neiva 2022 FASE I ACTUAL (4)'!$C$6:$C$540,'Neiva 2022 FASE I ACTUAL (4)'!$C$6:$F$540,"NO ESTA")</f>
        <v>SUMINISTRO E INSTALACIÓN ALIMENTADORES ELÉCTRICOS PRINCIPALES</v>
      </c>
      <c r="J431" s="9">
        <v>0</v>
      </c>
      <c r="K431" s="9">
        <v>0</v>
      </c>
      <c r="L431" s="9">
        <v>0</v>
      </c>
      <c r="M431" s="124">
        <f t="shared" si="50"/>
        <v>0</v>
      </c>
      <c r="N431" s="155">
        <f t="shared" si="47"/>
        <v>0</v>
      </c>
      <c r="O431" s="156">
        <f t="shared" si="48"/>
        <v>0</v>
      </c>
      <c r="P431" s="156">
        <f t="shared" si="49"/>
        <v>0</v>
      </c>
    </row>
    <row r="432" spans="2:16" s="9" customFormat="1" ht="35.1" customHeight="1" x14ac:dyDescent="0.25">
      <c r="B432" s="23" t="s">
        <v>604</v>
      </c>
      <c r="C432" s="22" t="s">
        <v>605</v>
      </c>
      <c r="D432" s="23" t="s">
        <v>269</v>
      </c>
      <c r="E432" s="12">
        <v>0</v>
      </c>
      <c r="F432" s="126">
        <v>190892</v>
      </c>
      <c r="G432" s="126">
        <f t="shared" ref="G432:G450" si="53">ROUND(+F432*E432,2)</f>
        <v>0</v>
      </c>
      <c r="H432" s="8"/>
      <c r="I432" s="9" t="str">
        <f t="array" ref="I432:L432">_xlfn.XLOOKUP(C432,'Neiva 2022 FASE I ACTUAL (4)'!$C$6:$C$540,'Neiva 2022 FASE I ACTUAL (4)'!$C$6:$F$540,"NO ESTA")</f>
        <v>SUMINISTRO E INSTALACIÓN ALIMENTADOR DESDE TRANSFERENCIA HASTA TABLERO GENERAL DE MAQUINAS EN 3#4/0+1#4/0N+1#2T AWG EN BANDEJA PORTA CABLES</v>
      </c>
      <c r="J432" s="9" t="str">
        <v xml:space="preserve">ML   </v>
      </c>
      <c r="K432" s="9">
        <v>8</v>
      </c>
      <c r="L432" s="9">
        <v>185558</v>
      </c>
      <c r="M432" s="124" t="str">
        <f t="shared" si="50"/>
        <v>FASE II</v>
      </c>
      <c r="N432" s="155">
        <f t="shared" si="47"/>
        <v>8</v>
      </c>
      <c r="O432" s="156">
        <f t="shared" si="48"/>
        <v>190892</v>
      </c>
      <c r="P432" s="156">
        <f t="shared" si="49"/>
        <v>1527136</v>
      </c>
    </row>
    <row r="433" spans="2:16" s="9" customFormat="1" ht="35.1" customHeight="1" x14ac:dyDescent="0.25">
      <c r="B433" s="23" t="s">
        <v>606</v>
      </c>
      <c r="C433" s="22" t="s">
        <v>607</v>
      </c>
      <c r="D433" s="23" t="s">
        <v>269</v>
      </c>
      <c r="E433" s="12">
        <v>0</v>
      </c>
      <c r="F433" s="126">
        <v>61314</v>
      </c>
      <c r="G433" s="126">
        <f t="shared" si="53"/>
        <v>0</v>
      </c>
      <c r="H433" s="8"/>
      <c r="I433" s="9" t="str">
        <f t="array" ref="I433:L433">_xlfn.XLOOKUP(C433,'Neiva 2022 FASE I ACTUAL (4)'!$C$6:$C$540,'Neiva 2022 FASE I ACTUAL (4)'!$C$6:$F$540,"NO ESTA")</f>
        <v>SUMINISTRO E INSTALACIÓN ALIMENTADOR DESDE EL TABLERO GENERAL MAQUINAS HASTA EL TABLERO DE ASCENSOR EN 3#6+1#6N+1#8T AWG EN TUBERIA PVC ø 1 1/2" INCLUYENDO DE TERMINALES DE CONEXIÓN</v>
      </c>
      <c r="J433" s="9" t="str">
        <v xml:space="preserve">ML   </v>
      </c>
      <c r="K433" s="9">
        <v>52</v>
      </c>
      <c r="L433" s="9">
        <v>59599</v>
      </c>
      <c r="M433" s="124" t="str">
        <f t="shared" si="50"/>
        <v>FASE II</v>
      </c>
      <c r="N433" s="155">
        <f t="shared" si="47"/>
        <v>52</v>
      </c>
      <c r="O433" s="156">
        <f t="shared" si="48"/>
        <v>61314</v>
      </c>
      <c r="P433" s="156">
        <f t="shared" si="49"/>
        <v>3188328</v>
      </c>
    </row>
    <row r="434" spans="2:16" s="9" customFormat="1" ht="35.1" customHeight="1" x14ac:dyDescent="0.25">
      <c r="B434" s="23" t="s">
        <v>608</v>
      </c>
      <c r="C434" s="22" t="s">
        <v>609</v>
      </c>
      <c r="D434" s="23" t="s">
        <v>269</v>
      </c>
      <c r="E434" s="12">
        <v>0</v>
      </c>
      <c r="F434" s="126">
        <v>61314</v>
      </c>
      <c r="G434" s="126">
        <f t="shared" si="53"/>
        <v>0</v>
      </c>
      <c r="H434" s="8"/>
      <c r="I434" s="9" t="str">
        <f t="array" ref="I434:L434">_xlfn.XLOOKUP(C434,'Neiva 2022 FASE I ACTUAL (4)'!$C$6:$C$540,'Neiva 2022 FASE I ACTUAL (4)'!$C$6:$F$540,"NO ESTA")</f>
        <v>SUMINISTRO E INSTALACIÓN ALIMENTADOR DESDE EL TABLERO GENERAL MAQUINAS HASTA EL TABLERO NORMAL BOMBAS EN 3#6+1#6N+1#8T AWG EN TUBERIA PVC 1 ø 1 1/2" INCLUYENDO DE TERMINALES DE CONEXIÓN</v>
      </c>
      <c r="J434" s="9" t="str">
        <v xml:space="preserve">ML   </v>
      </c>
      <c r="K434" s="9">
        <v>106</v>
      </c>
      <c r="L434" s="9">
        <v>59599</v>
      </c>
      <c r="M434" s="124" t="str">
        <f t="shared" si="50"/>
        <v>FASE II</v>
      </c>
      <c r="N434" s="155">
        <f t="shared" si="47"/>
        <v>106</v>
      </c>
      <c r="O434" s="156">
        <f t="shared" si="48"/>
        <v>61314</v>
      </c>
      <c r="P434" s="156">
        <f t="shared" si="49"/>
        <v>6499284</v>
      </c>
    </row>
    <row r="435" spans="2:16" s="9" customFormat="1" ht="35.1" customHeight="1" x14ac:dyDescent="0.25">
      <c r="B435" s="23" t="s">
        <v>610</v>
      </c>
      <c r="C435" s="22" t="s">
        <v>611</v>
      </c>
      <c r="D435" s="23" t="s">
        <v>269</v>
      </c>
      <c r="E435" s="12">
        <v>0</v>
      </c>
      <c r="F435" s="126">
        <v>358460</v>
      </c>
      <c r="G435" s="126">
        <f t="shared" si="53"/>
        <v>0</v>
      </c>
      <c r="H435" s="8"/>
      <c r="I435" s="9" t="str">
        <f t="array" ref="I435:L435">_xlfn.XLOOKUP(C435,'Neiva 2022 FASE I ACTUAL (4)'!$C$6:$C$540,'Neiva 2022 FASE I ACTUAL (4)'!$C$6:$F$540,"NO ESTA")</f>
        <v>SUMINISTRO E INSTALACIÓN ALIMENTADOR DESDE TRANSFERENCIA HASTA EL TABLERO GENERAL DE DISTRIBUCIÓN EN 6#4/0+2#4/0N+1#4T EN BANDEJA PORTACABLES</v>
      </c>
      <c r="J435" s="9" t="str">
        <v xml:space="preserve">ML   </v>
      </c>
      <c r="K435" s="9">
        <v>5</v>
      </c>
      <c r="L435" s="9">
        <v>348439</v>
      </c>
      <c r="M435" s="124" t="str">
        <f t="shared" si="50"/>
        <v>FASE II</v>
      </c>
      <c r="N435" s="155">
        <f t="shared" si="47"/>
        <v>5</v>
      </c>
      <c r="O435" s="156">
        <f t="shared" si="48"/>
        <v>358460</v>
      </c>
      <c r="P435" s="156">
        <f t="shared" si="49"/>
        <v>1792300</v>
      </c>
    </row>
    <row r="436" spans="2:16" s="9" customFormat="1" ht="35.1" customHeight="1" x14ac:dyDescent="0.25">
      <c r="B436" s="23" t="s">
        <v>612</v>
      </c>
      <c r="C436" s="22" t="s">
        <v>613</v>
      </c>
      <c r="D436" s="23" t="s">
        <v>269</v>
      </c>
      <c r="E436" s="12">
        <v>0</v>
      </c>
      <c r="F436" s="126">
        <v>61314</v>
      </c>
      <c r="G436" s="126">
        <f t="shared" si="53"/>
        <v>0</v>
      </c>
      <c r="H436" s="8"/>
      <c r="I436" s="9" t="str">
        <f t="array" ref="I436:L436">_xlfn.XLOOKUP(C436,'Neiva 2022 FASE I ACTUAL (4)'!$C$6:$C$540,'Neiva 2022 FASE I ACTUAL (4)'!$C$6:$F$540,"NO ESTA")</f>
        <v>SUMINISTRO E INSTALACIÓN ALIMENTADOR DESDE EL TABLERO GENERAL DE DISTRIBUCIÓN HASTA EL TNS SOTANO POR CARCAMO CON 3#6+1#6N+1#8T AWG INCLUYE TERMINALES DE CONEXIÓN</v>
      </c>
      <c r="J436" s="9" t="str">
        <v xml:space="preserve">ML   </v>
      </c>
      <c r="K436" s="9">
        <v>6</v>
      </c>
      <c r="L436" s="9">
        <v>59599</v>
      </c>
      <c r="M436" s="124" t="str">
        <f t="shared" si="50"/>
        <v>FASE II</v>
      </c>
      <c r="N436" s="155">
        <f t="shared" si="47"/>
        <v>6</v>
      </c>
      <c r="O436" s="156">
        <f t="shared" si="48"/>
        <v>61314</v>
      </c>
      <c r="P436" s="156">
        <f t="shared" si="49"/>
        <v>367884</v>
      </c>
    </row>
    <row r="437" spans="2:16" s="9" customFormat="1" ht="35.1" customHeight="1" x14ac:dyDescent="0.25">
      <c r="B437" s="23" t="s">
        <v>614</v>
      </c>
      <c r="C437" s="22" t="s">
        <v>615</v>
      </c>
      <c r="D437" s="23" t="s">
        <v>269</v>
      </c>
      <c r="E437" s="12">
        <v>0</v>
      </c>
      <c r="F437" s="126">
        <v>128769</v>
      </c>
      <c r="G437" s="126">
        <f t="shared" si="53"/>
        <v>0</v>
      </c>
      <c r="H437" s="8"/>
      <c r="I437" s="9" t="str">
        <f t="array" ref="I437:L437">_xlfn.XLOOKUP(C437,'Neiva 2022 FASE I ACTUAL (4)'!$C$6:$C$540,'Neiva 2022 FASE I ACTUAL (4)'!$C$6:$F$540,"NO ESTA")</f>
        <v>SUMINISTRO E INSTALACIÓN ALIMENTADOR DESDE EL TABLERO GENERAL DE DISTRIBUCIÓN HASTA EL TNP1 PISO 1 EN 1 ø 2" CON 3#2/0+1#2/0N+1#4T AWG INCLUYE TERMINALES DE CONEXIÓN</v>
      </c>
      <c r="J437" s="9" t="str">
        <v xml:space="preserve">ML   </v>
      </c>
      <c r="K437" s="9">
        <v>60</v>
      </c>
      <c r="L437" s="9">
        <v>125170</v>
      </c>
      <c r="M437" s="124" t="str">
        <f t="shared" si="50"/>
        <v>FASE II</v>
      </c>
      <c r="N437" s="155">
        <f t="shared" si="47"/>
        <v>60</v>
      </c>
      <c r="O437" s="156">
        <f t="shared" si="48"/>
        <v>128769</v>
      </c>
      <c r="P437" s="156">
        <f t="shared" si="49"/>
        <v>7726140</v>
      </c>
    </row>
    <row r="438" spans="2:16" s="9" customFormat="1" ht="35.1" customHeight="1" x14ac:dyDescent="0.25">
      <c r="B438" s="23" t="s">
        <v>616</v>
      </c>
      <c r="C438" s="22" t="s">
        <v>617</v>
      </c>
      <c r="D438" s="23" t="s">
        <v>269</v>
      </c>
      <c r="E438" s="12">
        <v>0</v>
      </c>
      <c r="F438" s="126">
        <v>190576</v>
      </c>
      <c r="G438" s="126">
        <f t="shared" si="53"/>
        <v>0</v>
      </c>
      <c r="H438" s="8"/>
      <c r="I438" s="9" t="str">
        <f t="array" ref="I438:L438">_xlfn.XLOOKUP(C438,'Neiva 2022 FASE I ACTUAL (4)'!$C$6:$C$540,'Neiva 2022 FASE I ACTUAL (4)'!$C$6:$F$540,"NO ESTA")</f>
        <v>SUMINISTRO E INSTALACIÓN ALIMENTADOR DESDE EL TABLERO GENERAL DE DISTRIBUCIÓN HASTA EL TNP2 PISO 2 EN 1 ø 3" CON 3#4/0+1#2/0N+1#4T AWG INCLUYE TERMINALES DE CONEXIÓN</v>
      </c>
      <c r="J438" s="9" t="str">
        <v xml:space="preserve">ML   </v>
      </c>
      <c r="K438" s="9">
        <v>64</v>
      </c>
      <c r="L438" s="9">
        <v>185250</v>
      </c>
      <c r="M438" s="124" t="str">
        <f t="shared" si="50"/>
        <v>FASE II</v>
      </c>
      <c r="N438" s="155">
        <f t="shared" si="47"/>
        <v>64</v>
      </c>
      <c r="O438" s="156">
        <f t="shared" si="48"/>
        <v>190576</v>
      </c>
      <c r="P438" s="156">
        <f t="shared" si="49"/>
        <v>12196864</v>
      </c>
    </row>
    <row r="439" spans="2:16" s="9" customFormat="1" ht="35.1" customHeight="1" x14ac:dyDescent="0.25">
      <c r="B439" s="23" t="s">
        <v>618</v>
      </c>
      <c r="C439" s="22" t="s">
        <v>619</v>
      </c>
      <c r="D439" s="23" t="s">
        <v>269</v>
      </c>
      <c r="E439" s="12">
        <v>0</v>
      </c>
      <c r="F439" s="126">
        <v>190576</v>
      </c>
      <c r="G439" s="126">
        <f t="shared" si="53"/>
        <v>0</v>
      </c>
      <c r="H439" s="8"/>
      <c r="I439" s="9" t="str">
        <f t="array" ref="I439:L439">_xlfn.XLOOKUP(C439,'Neiva 2022 FASE I ACTUAL (4)'!$C$6:$C$540,'Neiva 2022 FASE I ACTUAL (4)'!$C$6:$F$540,"NO ESTA")</f>
        <v>SUMINISTRO E INSTALACIÓN ALIMENTADOR DESDE EL TABLERO GENERAL DE DISTRIBUCIÓN HASTA EL TNP3 PISO 3 EN 1 ø 3" CON 3#4/0+1#2/0N+1#4T AWG INCLUYE TERMINALES DE CONEXIÓN</v>
      </c>
      <c r="J439" s="9" t="str">
        <v xml:space="preserve">ML   </v>
      </c>
      <c r="K439" s="9">
        <v>68</v>
      </c>
      <c r="L439" s="9">
        <v>185250</v>
      </c>
      <c r="M439" s="124" t="str">
        <f t="shared" si="50"/>
        <v>FASE II</v>
      </c>
      <c r="N439" s="155">
        <f t="shared" si="47"/>
        <v>68</v>
      </c>
      <c r="O439" s="156">
        <f t="shared" si="48"/>
        <v>190576</v>
      </c>
      <c r="P439" s="156">
        <f t="shared" si="49"/>
        <v>12959168</v>
      </c>
    </row>
    <row r="440" spans="2:16" s="9" customFormat="1" ht="35.1" customHeight="1" x14ac:dyDescent="0.25">
      <c r="B440" s="23" t="s">
        <v>620</v>
      </c>
      <c r="C440" s="22" t="s">
        <v>621</v>
      </c>
      <c r="D440" s="23" t="s">
        <v>269</v>
      </c>
      <c r="E440" s="12">
        <v>0</v>
      </c>
      <c r="F440" s="126">
        <v>190576</v>
      </c>
      <c r="G440" s="126">
        <f t="shared" si="53"/>
        <v>0</v>
      </c>
      <c r="H440" s="8"/>
      <c r="I440" s="9" t="str">
        <f t="array" ref="I440:L440">_xlfn.XLOOKUP(C440,'Neiva 2022 FASE I ACTUAL (4)'!$C$6:$C$540,'Neiva 2022 FASE I ACTUAL (4)'!$C$6:$F$540,"NO ESTA")</f>
        <v>SUMINISTRO E INSTALACIÓN ALIMENTADOR DESDE EL TABLERO GENERAL DE DISTRIBUCIÓN HASTA EL TNP3 PISO 4 EN 1 Ø 3" CON 3#4/0+1#2/0N+1#4T AWG INCLUYE TERMINALES DE CONEXIÓN</v>
      </c>
      <c r="J440" s="9" t="str">
        <v xml:space="preserve">ML   </v>
      </c>
      <c r="K440" s="9">
        <v>72</v>
      </c>
      <c r="L440" s="9">
        <v>185250</v>
      </c>
      <c r="M440" s="124" t="str">
        <f t="shared" si="50"/>
        <v>FASE II</v>
      </c>
      <c r="N440" s="155">
        <f t="shared" si="47"/>
        <v>72</v>
      </c>
      <c r="O440" s="156">
        <f t="shared" si="48"/>
        <v>190576</v>
      </c>
      <c r="P440" s="156">
        <f t="shared" si="49"/>
        <v>13721472</v>
      </c>
    </row>
    <row r="441" spans="2:16" s="9" customFormat="1" ht="35.1" customHeight="1" x14ac:dyDescent="0.25">
      <c r="B441" s="23" t="s">
        <v>622</v>
      </c>
      <c r="C441" s="22" t="s">
        <v>623</v>
      </c>
      <c r="D441" s="23" t="s">
        <v>269</v>
      </c>
      <c r="E441" s="12">
        <v>0</v>
      </c>
      <c r="F441" s="126">
        <v>170907</v>
      </c>
      <c r="G441" s="126">
        <f t="shared" si="53"/>
        <v>0</v>
      </c>
      <c r="H441" s="8"/>
      <c r="I441" s="9" t="str">
        <f t="array" ref="I441:L441">_xlfn.XLOOKUP(C441,'Neiva 2022 FASE I ACTUAL (4)'!$C$6:$C$540,'Neiva 2022 FASE I ACTUAL (4)'!$C$6:$F$540,"NO ESTA")</f>
        <v xml:space="preserve">SUMINISTRO E INSTALACIÓNALIMENTADOR DESDE EL TABLERO GENERAL DE DISTRIBUCIÓN HASTA LA UPS1 PISO 1 EN 1 Ø 2" con 3#3/0+1#2/0N+1#2/OT AWG INCLUYENDO TERMINALES DE CONEXIÓN </v>
      </c>
      <c r="J441" s="9" t="str">
        <v xml:space="preserve">ML   </v>
      </c>
      <c r="K441" s="9">
        <v>60</v>
      </c>
      <c r="L441" s="9">
        <v>166131</v>
      </c>
      <c r="M441" s="124" t="str">
        <f t="shared" si="50"/>
        <v>FASE II</v>
      </c>
      <c r="N441" s="155">
        <f t="shared" si="47"/>
        <v>60</v>
      </c>
      <c r="O441" s="156">
        <f t="shared" si="48"/>
        <v>170907</v>
      </c>
      <c r="P441" s="156">
        <f t="shared" si="49"/>
        <v>10254420</v>
      </c>
    </row>
    <row r="442" spans="2:16" s="9" customFormat="1" ht="35.1" customHeight="1" x14ac:dyDescent="0.25">
      <c r="B442" s="23" t="s">
        <v>624</v>
      </c>
      <c r="C442" s="22" t="s">
        <v>625</v>
      </c>
      <c r="D442" s="23" t="s">
        <v>269</v>
      </c>
      <c r="E442" s="12">
        <v>0</v>
      </c>
      <c r="F442" s="126">
        <v>99722</v>
      </c>
      <c r="G442" s="126">
        <f t="shared" si="53"/>
        <v>0</v>
      </c>
      <c r="H442" s="8"/>
      <c r="I442" s="9" t="str">
        <f t="array" ref="I442:L442">_xlfn.XLOOKUP(C442,'Neiva 2022 FASE I ACTUAL (4)'!$C$6:$C$540,'Neiva 2022 FASE I ACTUAL (4)'!$C$6:$F$540,"NO ESTA")</f>
        <v xml:space="preserve">SUMINISTRO E INSTALACIÓN ALIMENTADOR DESDE UPS1 HASTA EL TABLERO REGULADO 1 PISO 1 EN 1 Ø 2" con 3#2+1#2N+1#8T AWG INCLUYENDO TERMINALES DE CONEXIÓN </v>
      </c>
      <c r="J442" s="9" t="str">
        <v xml:space="preserve">ML   </v>
      </c>
      <c r="K442" s="9">
        <v>7</v>
      </c>
      <c r="L442" s="9">
        <v>96934</v>
      </c>
      <c r="M442" s="124" t="str">
        <f t="shared" si="50"/>
        <v>FASE II</v>
      </c>
      <c r="N442" s="155">
        <f t="shared" si="47"/>
        <v>7</v>
      </c>
      <c r="O442" s="156">
        <f t="shared" si="48"/>
        <v>99722</v>
      </c>
      <c r="P442" s="156">
        <f t="shared" si="49"/>
        <v>698054</v>
      </c>
    </row>
    <row r="443" spans="2:16" s="9" customFormat="1" ht="35.1" customHeight="1" x14ac:dyDescent="0.25">
      <c r="B443" s="23" t="s">
        <v>1230</v>
      </c>
      <c r="C443" s="22" t="s">
        <v>1231</v>
      </c>
      <c r="D443" s="23" t="s">
        <v>269</v>
      </c>
      <c r="E443" s="12">
        <v>72</v>
      </c>
      <c r="F443" s="126">
        <v>170978</v>
      </c>
      <c r="G443" s="126">
        <f t="shared" si="53"/>
        <v>12310416</v>
      </c>
      <c r="H443" s="8"/>
      <c r="I443" s="9" t="str">
        <f t="array" ref="I443">_xlfn.XLOOKUP(C443,'Neiva 2022 FASE I ACTUAL (4)'!$C$6:$C$540,'Neiva 2022 FASE I ACTUAL (4)'!$C$6:$F$540,"NO ESTA")</f>
        <v>NO ESTA</v>
      </c>
      <c r="M443" s="124">
        <f t="shared" si="50"/>
        <v>0</v>
      </c>
      <c r="N443" s="155">
        <f t="shared" si="47"/>
        <v>72</v>
      </c>
      <c r="O443" s="156">
        <f t="shared" si="48"/>
        <v>170978</v>
      </c>
      <c r="P443" s="156">
        <f t="shared" si="49"/>
        <v>12310416</v>
      </c>
    </row>
    <row r="444" spans="2:16" s="9" customFormat="1" ht="35.1" customHeight="1" x14ac:dyDescent="0.25">
      <c r="B444" s="23" t="s">
        <v>1232</v>
      </c>
      <c r="C444" s="22" t="s">
        <v>1233</v>
      </c>
      <c r="D444" s="23" t="s">
        <v>269</v>
      </c>
      <c r="E444" s="12">
        <v>7</v>
      </c>
      <c r="F444" s="126">
        <v>99722</v>
      </c>
      <c r="G444" s="126">
        <f t="shared" si="53"/>
        <v>698054</v>
      </c>
      <c r="H444" s="8"/>
      <c r="I444" s="9" t="str">
        <f t="array" ref="I444">_xlfn.XLOOKUP(C444,'Neiva 2022 FASE I ACTUAL (4)'!$C$6:$C$540,'Neiva 2022 FASE I ACTUAL (4)'!$C$6:$F$540,"NO ESTA")</f>
        <v>NO ESTA</v>
      </c>
      <c r="M444" s="124">
        <f t="shared" si="50"/>
        <v>0</v>
      </c>
      <c r="N444" s="155">
        <f t="shared" si="47"/>
        <v>7</v>
      </c>
      <c r="O444" s="156">
        <f t="shared" si="48"/>
        <v>99722</v>
      </c>
      <c r="P444" s="156">
        <f t="shared" si="49"/>
        <v>698054</v>
      </c>
    </row>
    <row r="445" spans="2:16" s="9" customFormat="1" ht="35.1" customHeight="1" x14ac:dyDescent="0.25">
      <c r="B445" s="23" t="s">
        <v>1234</v>
      </c>
      <c r="C445" s="22" t="s">
        <v>1235</v>
      </c>
      <c r="D445" s="23" t="s">
        <v>269</v>
      </c>
      <c r="E445" s="12">
        <v>76</v>
      </c>
      <c r="F445" s="126">
        <v>474160</v>
      </c>
      <c r="G445" s="126">
        <f t="shared" si="53"/>
        <v>36036160</v>
      </c>
      <c r="H445" s="8"/>
      <c r="I445" s="9" t="str">
        <f t="array" ref="I445">_xlfn.XLOOKUP(C445,'Neiva 2022 FASE I ACTUAL (4)'!$C$6:$C$540,'Neiva 2022 FASE I ACTUAL (4)'!$C$6:$F$540,"NO ESTA")</f>
        <v>NO ESTA</v>
      </c>
      <c r="M445" s="124">
        <f t="shared" si="50"/>
        <v>0</v>
      </c>
      <c r="N445" s="155">
        <f t="shared" si="47"/>
        <v>76</v>
      </c>
      <c r="O445" s="156">
        <f t="shared" si="48"/>
        <v>474160</v>
      </c>
      <c r="P445" s="156">
        <f t="shared" si="49"/>
        <v>36036160</v>
      </c>
    </row>
    <row r="446" spans="2:16" s="9" customFormat="1" ht="35.1" customHeight="1" x14ac:dyDescent="0.25">
      <c r="B446" s="23" t="s">
        <v>1236</v>
      </c>
      <c r="C446" s="22" t="s">
        <v>1237</v>
      </c>
      <c r="D446" s="23" t="s">
        <v>269</v>
      </c>
      <c r="E446" s="12">
        <v>76</v>
      </c>
      <c r="F446" s="126">
        <v>474160</v>
      </c>
      <c r="G446" s="126">
        <f t="shared" si="53"/>
        <v>36036160</v>
      </c>
      <c r="H446" s="8"/>
      <c r="I446" s="9" t="str">
        <f t="array" ref="I446">_xlfn.XLOOKUP(C446,'Neiva 2022 FASE I ACTUAL (4)'!$C$6:$C$540,'Neiva 2022 FASE I ACTUAL (4)'!$C$6:$F$540,"NO ESTA")</f>
        <v>NO ESTA</v>
      </c>
      <c r="M446" s="124">
        <f t="shared" si="50"/>
        <v>0</v>
      </c>
      <c r="N446" s="155">
        <f t="shared" si="47"/>
        <v>76</v>
      </c>
      <c r="O446" s="156">
        <f t="shared" si="48"/>
        <v>474160</v>
      </c>
      <c r="P446" s="156">
        <f t="shared" si="49"/>
        <v>36036160</v>
      </c>
    </row>
    <row r="447" spans="2:16" s="9" customFormat="1" ht="35.1" customHeight="1" x14ac:dyDescent="0.25">
      <c r="B447" s="23" t="s">
        <v>626</v>
      </c>
      <c r="C447" s="22" t="s">
        <v>1238</v>
      </c>
      <c r="D447" s="23" t="s">
        <v>269</v>
      </c>
      <c r="E447" s="12">
        <v>0</v>
      </c>
      <c r="F447" s="126">
        <v>162435</v>
      </c>
      <c r="G447" s="126">
        <f t="shared" si="53"/>
        <v>0</v>
      </c>
      <c r="H447" s="8"/>
      <c r="I447" s="9" t="str">
        <f t="array" ref="I447">_xlfn.XLOOKUP(C447,'Neiva 2022 FASE I ACTUAL (4)'!$C$6:$C$540,'Neiva 2022 FASE I ACTUAL (4)'!$C$6:$F$540,"NO ESTA")</f>
        <v>NO ESTA</v>
      </c>
      <c r="M447" s="124">
        <f t="shared" si="50"/>
        <v>0</v>
      </c>
      <c r="N447" s="155">
        <f t="shared" si="47"/>
        <v>0</v>
      </c>
      <c r="O447" s="156">
        <f t="shared" si="48"/>
        <v>162435</v>
      </c>
      <c r="P447" s="156">
        <f t="shared" si="49"/>
        <v>0</v>
      </c>
    </row>
    <row r="448" spans="2:16" s="9" customFormat="1" ht="35.1" customHeight="1" x14ac:dyDescent="0.25">
      <c r="B448" s="53" t="s">
        <v>628</v>
      </c>
      <c r="C448" s="24" t="s">
        <v>629</v>
      </c>
      <c r="D448" s="24"/>
      <c r="E448" s="15"/>
      <c r="F448" s="126">
        <v>0</v>
      </c>
      <c r="G448" s="126">
        <f t="shared" si="53"/>
        <v>0</v>
      </c>
      <c r="H448" s="8"/>
      <c r="I448" s="9" t="str">
        <f t="array" ref="I448:L448">_xlfn.XLOOKUP(C448,'Neiva 2022 FASE I ACTUAL (4)'!$C$6:$C$540,'Neiva 2022 FASE I ACTUAL (4)'!$C$6:$F$540,"NO ESTA")</f>
        <v xml:space="preserve">SUMINISTRO E INSTALACIÓN DE CANALIZACIONES </v>
      </c>
      <c r="J448" s="9">
        <v>0</v>
      </c>
      <c r="K448" s="9">
        <v>0</v>
      </c>
      <c r="L448" s="9">
        <v>0</v>
      </c>
      <c r="M448" s="124">
        <f t="shared" si="50"/>
        <v>0</v>
      </c>
      <c r="N448" s="155">
        <f t="shared" si="47"/>
        <v>0</v>
      </c>
      <c r="O448" s="156">
        <f t="shared" si="48"/>
        <v>0</v>
      </c>
      <c r="P448" s="156">
        <f t="shared" si="49"/>
        <v>0</v>
      </c>
    </row>
    <row r="449" spans="2:16" s="9" customFormat="1" ht="35.1" customHeight="1" x14ac:dyDescent="0.25">
      <c r="B449" s="23" t="s">
        <v>630</v>
      </c>
      <c r="C449" s="22" t="s">
        <v>631</v>
      </c>
      <c r="D449" s="23" t="s">
        <v>269</v>
      </c>
      <c r="E449" s="12">
        <v>0</v>
      </c>
      <c r="F449" s="126">
        <v>36352</v>
      </c>
      <c r="G449" s="126">
        <f t="shared" si="53"/>
        <v>0</v>
      </c>
      <c r="H449" s="8"/>
      <c r="I449" s="9" t="str">
        <f t="array" ref="I449:L449">_xlfn.XLOOKUP(C449,'Neiva 2022 FASE I ACTUAL (4)'!$C$6:$C$540,'Neiva 2022 FASE I ACTUAL (4)'!$C$6:$F$540,"NO ESTA")</f>
        <v>SUMINISTRO E INSTALACIÓN TUBERÍA PVC Ø 4" (Incluye todos los materiales para su instalación)</v>
      </c>
      <c r="J449" s="9" t="str">
        <v xml:space="preserve">ML   </v>
      </c>
      <c r="K449" s="9">
        <v>50</v>
      </c>
      <c r="L449" s="9">
        <v>35336</v>
      </c>
      <c r="M449" s="124" t="str">
        <f t="shared" si="50"/>
        <v>FASE II</v>
      </c>
      <c r="N449" s="155">
        <f t="shared" si="47"/>
        <v>50</v>
      </c>
      <c r="O449" s="156">
        <f t="shared" si="48"/>
        <v>36352</v>
      </c>
      <c r="P449" s="156">
        <f t="shared" si="49"/>
        <v>1817600</v>
      </c>
    </row>
    <row r="450" spans="2:16" s="9" customFormat="1" ht="35.1" customHeight="1" x14ac:dyDescent="0.25">
      <c r="B450" s="23" t="s">
        <v>632</v>
      </c>
      <c r="C450" s="22" t="s">
        <v>1239</v>
      </c>
      <c r="D450" s="23" t="s">
        <v>269</v>
      </c>
      <c r="E450" s="12">
        <v>0</v>
      </c>
      <c r="F450" s="126">
        <v>65836</v>
      </c>
      <c r="G450" s="126">
        <f t="shared" si="53"/>
        <v>0</v>
      </c>
      <c r="H450" s="8"/>
      <c r="I450" s="9" t="str">
        <f t="array" ref="I450">_xlfn.XLOOKUP(C450,'Neiva 2022 FASE I ACTUAL (4)'!$C$6:$C$540,'Neiva 2022 FASE I ACTUAL (4)'!$C$6:$F$540,"NO ESTA")</f>
        <v>NO ESTA</v>
      </c>
      <c r="M450" s="124">
        <f t="shared" si="50"/>
        <v>0</v>
      </c>
      <c r="N450" s="155">
        <f t="shared" si="47"/>
        <v>0</v>
      </c>
      <c r="O450" s="156">
        <f t="shared" si="48"/>
        <v>65836</v>
      </c>
      <c r="P450" s="156">
        <f t="shared" si="49"/>
        <v>0</v>
      </c>
    </row>
    <row r="451" spans="2:16" s="9" customFormat="1" ht="39.950000000000003" customHeight="1" x14ac:dyDescent="0.25">
      <c r="B451" s="53" t="s">
        <v>634</v>
      </c>
      <c r="C451" s="24" t="s">
        <v>635</v>
      </c>
      <c r="D451" s="24"/>
      <c r="E451" s="15"/>
      <c r="F451" s="129"/>
      <c r="G451" s="140"/>
      <c r="H451" s="8"/>
      <c r="I451" s="9" t="str">
        <f t="array" ref="I451:L451">_xlfn.XLOOKUP(C451,'Neiva 2022 FASE I ACTUAL (4)'!$C$6:$C$540,'Neiva 2022 FASE I ACTUAL (4)'!$C$6:$F$540,"NO ESTA")</f>
        <v>SUMINISTRO E INSTALACIÓN DE TABLEROS E INTERRUPTORES</v>
      </c>
      <c r="J451" s="9">
        <v>0</v>
      </c>
      <c r="K451" s="9">
        <v>0</v>
      </c>
      <c r="L451" s="9">
        <v>0</v>
      </c>
      <c r="M451" s="124">
        <f t="shared" si="50"/>
        <v>0</v>
      </c>
      <c r="N451" s="155">
        <f t="shared" si="47"/>
        <v>0</v>
      </c>
      <c r="O451" s="156">
        <f t="shared" si="48"/>
        <v>0</v>
      </c>
      <c r="P451" s="156">
        <f t="shared" si="49"/>
        <v>0</v>
      </c>
    </row>
    <row r="452" spans="2:16" s="9" customFormat="1" ht="39.950000000000003" customHeight="1" x14ac:dyDescent="0.25">
      <c r="B452" s="23" t="s">
        <v>636</v>
      </c>
      <c r="C452" s="22" t="s">
        <v>637</v>
      </c>
      <c r="D452" s="23" t="s">
        <v>374</v>
      </c>
      <c r="E452" s="12">
        <v>0</v>
      </c>
      <c r="F452" s="126">
        <v>850198</v>
      </c>
      <c r="G452" s="126">
        <f t="shared" ref="G452:G460" si="54">ROUND(+F452*E452,2)</f>
        <v>0</v>
      </c>
      <c r="H452" s="8"/>
      <c r="I452" s="9" t="str">
        <f t="array" ref="I452:L452">_xlfn.XLOOKUP(C452,'Neiva 2022 FASE I ACTUAL (4)'!$C$6:$C$540,'Neiva 2022 FASE I ACTUAL (4)'!$C$6:$F$540,"NO ESTA")</f>
        <v>SUMINISTRO E INSTALACIÓN TABLERO AUTOMATICO DE 38 CIRCUITOS TIPO PESADO CON PUERTA Y CERRRADURA DE CIERRE, CERRADURA Y ESPACIO TOTALIZADOR INDUSTRIAL (TNP4)</v>
      </c>
      <c r="J452" s="9" t="str">
        <v>UN</v>
      </c>
      <c r="K452" s="9">
        <v>1</v>
      </c>
      <c r="L452" s="9">
        <v>826432</v>
      </c>
      <c r="M452" s="124" t="str">
        <f t="shared" si="50"/>
        <v>FASE II</v>
      </c>
      <c r="N452" s="155">
        <f t="shared" si="47"/>
        <v>1</v>
      </c>
      <c r="O452" s="156">
        <f t="shared" si="48"/>
        <v>850198</v>
      </c>
      <c r="P452" s="156">
        <f t="shared" si="49"/>
        <v>850198</v>
      </c>
    </row>
    <row r="453" spans="2:16" s="9" customFormat="1" ht="39.950000000000003" customHeight="1" x14ac:dyDescent="0.25">
      <c r="B453" s="23" t="s">
        <v>638</v>
      </c>
      <c r="C453" s="22" t="s">
        <v>639</v>
      </c>
      <c r="D453" s="23" t="s">
        <v>374</v>
      </c>
      <c r="E453" s="12">
        <v>0</v>
      </c>
      <c r="F453" s="126">
        <v>682920</v>
      </c>
      <c r="G453" s="126">
        <f t="shared" si="54"/>
        <v>0</v>
      </c>
      <c r="H453" s="8"/>
      <c r="I453" s="9" t="str">
        <f t="array" ref="I453:L453">_xlfn.XLOOKUP(C453,'Neiva 2022 FASE I ACTUAL (4)'!$C$6:$C$540,'Neiva 2022 FASE I ACTUAL (4)'!$C$6:$F$540,"NO ESTA")</f>
        <v xml:space="preserve">SUMINISTRO E INSTALACIÓN TABLERO AUTOMATICO DE 18 CIRCUITOS TIPO PESADO CON PUERTA Y CERRRADURA DE CIERRE, CERRADURA Y ESPACIO TOTALIZADOR INDUSTRIAL CON BARRAJE DE TIERRA AISLADA. </v>
      </c>
      <c r="J453" s="9" t="str">
        <v>UN</v>
      </c>
      <c r="K453" s="9">
        <v>1</v>
      </c>
      <c r="L453" s="9">
        <v>663831</v>
      </c>
      <c r="M453" s="124" t="str">
        <f t="shared" si="50"/>
        <v>FASE II</v>
      </c>
      <c r="N453" s="155">
        <f t="shared" si="47"/>
        <v>1</v>
      </c>
      <c r="O453" s="156">
        <f t="shared" si="48"/>
        <v>682920</v>
      </c>
      <c r="P453" s="156">
        <f t="shared" si="49"/>
        <v>682920</v>
      </c>
    </row>
    <row r="454" spans="2:16" s="9" customFormat="1" ht="39.950000000000003" customHeight="1" x14ac:dyDescent="0.25">
      <c r="B454" s="23" t="s">
        <v>640</v>
      </c>
      <c r="C454" s="22" t="s">
        <v>641</v>
      </c>
      <c r="D454" s="23" t="s">
        <v>374</v>
      </c>
      <c r="E454" s="12">
        <v>0</v>
      </c>
      <c r="F454" s="126">
        <v>686237</v>
      </c>
      <c r="G454" s="126">
        <f t="shared" si="54"/>
        <v>0</v>
      </c>
      <c r="H454" s="8"/>
      <c r="I454" s="9" t="str">
        <f t="array" ref="I454:L454">_xlfn.XLOOKUP(C454,'Neiva 2022 FASE I ACTUAL (4)'!$C$6:$C$540,'Neiva 2022 FASE I ACTUAL (4)'!$C$6:$F$540,"NO ESTA")</f>
        <v>SUMINISTRO E INSTALACIÓN TABLERO AUTOMATICO DE 24 CIRCUITOS TIPO PESADO CON PUERTA Y CERRRADURA DE CIERRE, CERRADURA Y ESPACIO TOTALIZADOR INDUSTRIAL CON BARRAJE DE TIERRA AISLADA (TNS, TR1, TR2)</v>
      </c>
      <c r="J454" s="9" t="str">
        <v>UN</v>
      </c>
      <c r="K454" s="9">
        <v>3</v>
      </c>
      <c r="L454" s="9">
        <v>667055</v>
      </c>
      <c r="M454" s="124" t="str">
        <f t="shared" si="50"/>
        <v>FASE II</v>
      </c>
      <c r="N454" s="155">
        <f t="shared" ref="N454:N517" si="55">E454+K454</f>
        <v>3</v>
      </c>
      <c r="O454" s="156">
        <f t="shared" ref="O454:O517" si="56">MAX(L454,F454)</f>
        <v>686237</v>
      </c>
      <c r="P454" s="156">
        <f t="shared" ref="P454:P517" si="57">N454*O454</f>
        <v>2058711</v>
      </c>
    </row>
    <row r="455" spans="2:16" s="9" customFormat="1" ht="39.950000000000003" customHeight="1" x14ac:dyDescent="0.25">
      <c r="B455" s="23" t="s">
        <v>642</v>
      </c>
      <c r="C455" s="22" t="s">
        <v>643</v>
      </c>
      <c r="D455" s="23" t="s">
        <v>374</v>
      </c>
      <c r="E455" s="12">
        <v>0</v>
      </c>
      <c r="F455" s="126">
        <v>963294</v>
      </c>
      <c r="G455" s="126">
        <f t="shared" si="54"/>
        <v>0</v>
      </c>
      <c r="H455" s="8"/>
      <c r="I455" s="9" t="str">
        <f t="array" ref="I455:L455">_xlfn.XLOOKUP(C455,'Neiva 2022 FASE I ACTUAL (4)'!$C$6:$C$540,'Neiva 2022 FASE I ACTUAL (4)'!$C$6:$F$540,"NO ESTA")</f>
        <v>SUMINISTRO E INSTALACIÓN TABLERO AUTOMATICO DE 42 CIRCUITOS TIPO PESADO CON PUERTA Y CERRRADURA DE CIERRE, CERRADURA Y ESPACIO TOTALIZADOR INDUSTRIAL (TNP1, TNP2, TNP3)</v>
      </c>
      <c r="J455" s="9" t="str">
        <v>UN</v>
      </c>
      <c r="K455" s="9">
        <v>3</v>
      </c>
      <c r="L455" s="9">
        <v>936367</v>
      </c>
      <c r="M455" s="124" t="str">
        <f t="shared" si="50"/>
        <v>FASE II</v>
      </c>
      <c r="N455" s="155">
        <f t="shared" si="55"/>
        <v>3</v>
      </c>
      <c r="O455" s="156">
        <f t="shared" si="56"/>
        <v>963294</v>
      </c>
      <c r="P455" s="156">
        <f t="shared" si="57"/>
        <v>2889882</v>
      </c>
    </row>
    <row r="456" spans="2:16" s="9" customFormat="1" ht="39.950000000000003" customHeight="1" x14ac:dyDescent="0.25">
      <c r="B456" s="23" t="s">
        <v>644</v>
      </c>
      <c r="C456" s="87" t="s">
        <v>645</v>
      </c>
      <c r="D456" s="23" t="s">
        <v>374</v>
      </c>
      <c r="E456" s="12">
        <v>51</v>
      </c>
      <c r="F456" s="126">
        <v>20555</v>
      </c>
      <c r="G456" s="126">
        <f t="shared" si="54"/>
        <v>1048305</v>
      </c>
      <c r="H456" s="8"/>
      <c r="I456" s="9" t="str">
        <f t="array" ref="I456:L456">_xlfn.XLOOKUP(C456,'Neiva 2022 FASE I ACTUAL (4)'!$C$6:$C$540,'Neiva 2022 FASE I ACTUAL (4)'!$C$6:$F$540,"NO ESTA")</f>
        <v>SUMINISTRO E INSTALACIÓN INTERRUPTORES AUTOMÁTICOS ENCHUFABLES 240 V. 10kA 1x20 AMPS. TIPO ENCHUFABLE 10 Ka 240V.</v>
      </c>
      <c r="J456" s="9" t="str">
        <v>UN</v>
      </c>
      <c r="K456" s="9">
        <v>19</v>
      </c>
      <c r="L456" s="9">
        <v>19981</v>
      </c>
      <c r="M456" s="124" t="str">
        <f t="shared" ref="M456:M519" si="58">IF(L456=0,0,(IF(F456&lt;L456, "FASE I","FASE II")))</f>
        <v>FASE II</v>
      </c>
      <c r="N456" s="155">
        <f t="shared" si="55"/>
        <v>70</v>
      </c>
      <c r="O456" s="156">
        <f t="shared" si="56"/>
        <v>20555</v>
      </c>
      <c r="P456" s="156">
        <f t="shared" si="57"/>
        <v>1438850</v>
      </c>
    </row>
    <row r="457" spans="2:16" s="9" customFormat="1" ht="39.950000000000003" customHeight="1" x14ac:dyDescent="0.25">
      <c r="B457" s="23" t="s">
        <v>646</v>
      </c>
      <c r="C457" s="87" t="s">
        <v>647</v>
      </c>
      <c r="D457" s="23" t="s">
        <v>374</v>
      </c>
      <c r="E457" s="12">
        <v>36</v>
      </c>
      <c r="F457" s="126">
        <v>20555</v>
      </c>
      <c r="G457" s="126">
        <f t="shared" si="54"/>
        <v>739980</v>
      </c>
      <c r="H457" s="8"/>
      <c r="I457" s="9" t="str">
        <f t="array" ref="I457:L457">_xlfn.XLOOKUP(C457,'Neiva 2022 FASE I ACTUAL (4)'!$C$6:$C$540,'Neiva 2022 FASE I ACTUAL (4)'!$C$6:$F$540,"NO ESTA")</f>
        <v>SUMINISTRO E INSTALACIÓN INTERRUPTORES AUTOMÁTICOS ENCHUFABLES 240 V. 10kA 1x30 AMPS. TIPO ENCHUFABLE 10 Ka 240V.</v>
      </c>
      <c r="J457" s="9" t="str">
        <v>UN</v>
      </c>
      <c r="K457" s="9">
        <v>14</v>
      </c>
      <c r="L457" s="9">
        <v>19981</v>
      </c>
      <c r="M457" s="124" t="str">
        <f t="shared" si="58"/>
        <v>FASE II</v>
      </c>
      <c r="N457" s="155">
        <f t="shared" si="55"/>
        <v>50</v>
      </c>
      <c r="O457" s="156">
        <f t="shared" si="56"/>
        <v>20555</v>
      </c>
      <c r="P457" s="156">
        <f t="shared" si="57"/>
        <v>1027750</v>
      </c>
    </row>
    <row r="458" spans="2:16" s="9" customFormat="1" ht="39.950000000000003" customHeight="1" x14ac:dyDescent="0.25">
      <c r="B458" s="23" t="s">
        <v>648</v>
      </c>
      <c r="C458" s="87" t="s">
        <v>649</v>
      </c>
      <c r="D458" s="23" t="s">
        <v>374</v>
      </c>
      <c r="E458" s="12">
        <v>4</v>
      </c>
      <c r="F458" s="126">
        <v>58041</v>
      </c>
      <c r="G458" s="126">
        <f t="shared" si="54"/>
        <v>232164</v>
      </c>
      <c r="H458" s="8"/>
      <c r="I458" s="9" t="str">
        <f t="array" ref="I458:L458">_xlfn.XLOOKUP(C458,'Neiva 2022 FASE I ACTUAL (4)'!$C$6:$C$540,'Neiva 2022 FASE I ACTUAL (4)'!$C$6:$F$540,"NO ESTA")</f>
        <v>SUMINISTRO E INSTALACIÓN INTERRUPTORES AUTOMÁTICOS ENCHUFABLES 240 V. 10kA 3x30 AMPS. TIPO ENCHUFABLE 10 Ka 240V.</v>
      </c>
      <c r="J458" s="9" t="str">
        <v>UN</v>
      </c>
      <c r="K458" s="9">
        <v>2</v>
      </c>
      <c r="L458" s="9">
        <v>56418</v>
      </c>
      <c r="M458" s="124" t="str">
        <f t="shared" si="58"/>
        <v>FASE II</v>
      </c>
      <c r="N458" s="155">
        <f t="shared" si="55"/>
        <v>6</v>
      </c>
      <c r="O458" s="156">
        <f t="shared" si="56"/>
        <v>58041</v>
      </c>
      <c r="P458" s="156">
        <f t="shared" si="57"/>
        <v>348246</v>
      </c>
    </row>
    <row r="459" spans="2:16" s="9" customFormat="1" ht="39.950000000000003" customHeight="1" x14ac:dyDescent="0.25">
      <c r="B459" s="53" t="s">
        <v>650</v>
      </c>
      <c r="C459" s="24" t="s">
        <v>1240</v>
      </c>
      <c r="D459" s="24"/>
      <c r="E459" s="15">
        <v>0</v>
      </c>
      <c r="F459" s="126">
        <v>0</v>
      </c>
      <c r="G459" s="126">
        <f t="shared" si="54"/>
        <v>0</v>
      </c>
      <c r="H459" s="8"/>
      <c r="I459" s="9" t="str">
        <f t="array" ref="I459">_xlfn.XLOOKUP(C459,'Neiva 2022 FASE I ACTUAL (4)'!$C$6:$C$540,'Neiva 2022 FASE I ACTUAL (4)'!$C$6:$F$540,"NO ESTA")</f>
        <v>NO ESTA</v>
      </c>
      <c r="M459" s="124">
        <f t="shared" si="58"/>
        <v>0</v>
      </c>
      <c r="N459" s="155">
        <f t="shared" si="55"/>
        <v>0</v>
      </c>
      <c r="O459" s="156">
        <f t="shared" si="56"/>
        <v>0</v>
      </c>
      <c r="P459" s="156">
        <f t="shared" si="57"/>
        <v>0</v>
      </c>
    </row>
    <row r="460" spans="2:16" s="9" customFormat="1" ht="39.950000000000003" customHeight="1" x14ac:dyDescent="0.25">
      <c r="B460" s="23" t="s">
        <v>652</v>
      </c>
      <c r="C460" s="22" t="s">
        <v>1241</v>
      </c>
      <c r="D460" s="23" t="s">
        <v>374</v>
      </c>
      <c r="E460" s="12">
        <v>0</v>
      </c>
      <c r="F460" s="126">
        <v>582207</v>
      </c>
      <c r="G460" s="126">
        <f t="shared" si="54"/>
        <v>0</v>
      </c>
      <c r="H460" s="8"/>
      <c r="I460" s="9" t="str">
        <f t="array" ref="I460">_xlfn.XLOOKUP(C460,'Neiva 2022 FASE I ACTUAL (4)'!$C$6:$C$540,'Neiva 2022 FASE I ACTUAL (4)'!$C$6:$F$540,"NO ESTA")</f>
        <v>NO ESTA</v>
      </c>
      <c r="M460" s="124">
        <f t="shared" si="58"/>
        <v>0</v>
      </c>
      <c r="N460" s="155">
        <f t="shared" si="55"/>
        <v>0</v>
      </c>
      <c r="O460" s="156">
        <f t="shared" si="56"/>
        <v>582207</v>
      </c>
      <c r="P460" s="156">
        <f t="shared" si="57"/>
        <v>0</v>
      </c>
    </row>
    <row r="461" spans="2:16" s="9" customFormat="1" ht="39.950000000000003" customHeight="1" x14ac:dyDescent="0.25">
      <c r="B461" s="53" t="s">
        <v>654</v>
      </c>
      <c r="C461" s="24" t="s">
        <v>655</v>
      </c>
      <c r="D461" s="24"/>
      <c r="E461" s="15"/>
      <c r="F461" s="129"/>
      <c r="G461" s="140"/>
      <c r="H461" s="8"/>
      <c r="I461" s="9" t="str">
        <f t="array" ref="I461:L461">_xlfn.XLOOKUP(C461,'Neiva 2022 FASE I ACTUAL (4)'!$C$6:$C$540,'Neiva 2022 FASE I ACTUAL (4)'!$C$6:$F$540,"NO ESTA")</f>
        <v>SUMINISTRO E INSTALACIÓN TABLEROS DE DISTRIBUCIÓN GENERAL</v>
      </c>
      <c r="J461" s="9">
        <v>0</v>
      </c>
      <c r="K461" s="9">
        <v>0</v>
      </c>
      <c r="L461" s="9">
        <v>0</v>
      </c>
      <c r="M461" s="124">
        <f t="shared" si="58"/>
        <v>0</v>
      </c>
      <c r="N461" s="155">
        <f t="shared" si="55"/>
        <v>0</v>
      </c>
      <c r="O461" s="156">
        <f t="shared" si="56"/>
        <v>0</v>
      </c>
      <c r="P461" s="156">
        <f t="shared" si="57"/>
        <v>0</v>
      </c>
    </row>
    <row r="462" spans="2:16" s="9" customFormat="1" ht="39.950000000000003" customHeight="1" x14ac:dyDescent="0.25">
      <c r="B462" s="23" t="s">
        <v>656</v>
      </c>
      <c r="C462" s="22" t="s">
        <v>1242</v>
      </c>
      <c r="D462" s="23" t="s">
        <v>374</v>
      </c>
      <c r="E462" s="12">
        <v>0</v>
      </c>
      <c r="F462" s="126">
        <v>15777849</v>
      </c>
      <c r="G462" s="126">
        <f t="shared" ref="G462:G490" si="59">ROUND(+F462*E462,2)</f>
        <v>0</v>
      </c>
      <c r="H462" s="8"/>
      <c r="I462" s="9" t="str">
        <f t="array" ref="I462">_xlfn.XLOOKUP(C462,'Neiva 2022 FASE I ACTUAL (4)'!$C$6:$C$540,'Neiva 2022 FASE I ACTUAL (4)'!$C$6:$F$540,"NO ESTA")</f>
        <v>NO ESTA</v>
      </c>
      <c r="M462" s="124">
        <f t="shared" si="58"/>
        <v>0</v>
      </c>
      <c r="N462" s="155">
        <f t="shared" si="55"/>
        <v>0</v>
      </c>
      <c r="O462" s="156">
        <f t="shared" si="56"/>
        <v>15777849</v>
      </c>
      <c r="P462" s="156">
        <f t="shared" si="57"/>
        <v>0</v>
      </c>
    </row>
    <row r="463" spans="2:16" s="9" customFormat="1" ht="39.950000000000003" customHeight="1" x14ac:dyDescent="0.25">
      <c r="B463" s="23" t="s">
        <v>658</v>
      </c>
      <c r="C463" s="87" t="s">
        <v>659</v>
      </c>
      <c r="D463" s="23" t="s">
        <v>374</v>
      </c>
      <c r="E463" s="12">
        <v>1</v>
      </c>
      <c r="F463" s="126">
        <v>11923749</v>
      </c>
      <c r="G463" s="126">
        <f t="shared" si="59"/>
        <v>11923749</v>
      </c>
      <c r="H463" s="8"/>
      <c r="I463" s="9" t="str">
        <f t="array" ref="I463:L463">_xlfn.XLOOKUP(C463,'Neiva 2022 FASE I ACTUAL (4)'!$C$6:$C$540,'Neiva 2022 FASE I ACTUAL (4)'!$C$6:$F$540,"NO ESTA")</f>
        <v>NO ESTA</v>
      </c>
      <c r="J463" s="9" t="str">
        <v>NO ESTA</v>
      </c>
      <c r="K463" s="9" t="str">
        <v>NO ESTA</v>
      </c>
      <c r="L463" s="9" t="str">
        <v>NO ESTA</v>
      </c>
      <c r="M463" s="124" t="str">
        <f t="shared" si="58"/>
        <v>FASE I</v>
      </c>
      <c r="N463" s="155" t="e">
        <f t="shared" si="55"/>
        <v>#VALUE!</v>
      </c>
      <c r="O463" s="156">
        <f t="shared" si="56"/>
        <v>11923749</v>
      </c>
      <c r="P463" s="156" t="e">
        <f t="shared" si="57"/>
        <v>#VALUE!</v>
      </c>
    </row>
    <row r="464" spans="2:16" s="9" customFormat="1" ht="39.950000000000003" customHeight="1" x14ac:dyDescent="0.25">
      <c r="B464" s="23" t="s">
        <v>660</v>
      </c>
      <c r="C464" s="22" t="s">
        <v>1243</v>
      </c>
      <c r="D464" s="23" t="s">
        <v>374</v>
      </c>
      <c r="E464" s="12">
        <v>0</v>
      </c>
      <c r="F464" s="126">
        <v>13850799</v>
      </c>
      <c r="G464" s="126">
        <f t="shared" si="59"/>
        <v>0</v>
      </c>
      <c r="H464" s="8"/>
      <c r="I464" s="9" t="str">
        <f t="array" ref="I464">_xlfn.XLOOKUP(C464,'Neiva 2022 FASE I ACTUAL (4)'!$C$6:$C$540,'Neiva 2022 FASE I ACTUAL (4)'!$C$6:$F$540,"NO ESTA")</f>
        <v>NO ESTA</v>
      </c>
      <c r="M464" s="124">
        <f t="shared" si="58"/>
        <v>0</v>
      </c>
      <c r="N464" s="155">
        <f t="shared" si="55"/>
        <v>0</v>
      </c>
      <c r="O464" s="156">
        <f t="shared" si="56"/>
        <v>13850799</v>
      </c>
      <c r="P464" s="156">
        <f t="shared" si="57"/>
        <v>0</v>
      </c>
    </row>
    <row r="465" spans="2:16" s="9" customFormat="1" ht="39.950000000000003" customHeight="1" x14ac:dyDescent="0.25">
      <c r="B465" s="54" t="s">
        <v>662</v>
      </c>
      <c r="C465" s="24" t="s">
        <v>663</v>
      </c>
      <c r="D465" s="24"/>
      <c r="E465" s="15"/>
      <c r="F465" s="126">
        <v>0</v>
      </c>
      <c r="G465" s="126">
        <f t="shared" si="59"/>
        <v>0</v>
      </c>
      <c r="H465" s="8"/>
      <c r="I465" s="9" t="str">
        <f t="array" ref="I465:L465">_xlfn.XLOOKUP(C465,'Neiva 2022 FASE I ACTUAL (4)'!$C$6:$C$540,'Neiva 2022 FASE I ACTUAL (4)'!$C$6:$F$540,"NO ESTA")</f>
        <v xml:space="preserve">SUMINISTRO E INSTALACIÓN PUESTA A TIERRA TRANSFORMADOR Y SUBESTACIÓN (Incluye preparación de tierra con la solución Sanick Gel para obtener una elevada conductividad eléctrica (ver especificaciones técnicas de diseño anexas) </v>
      </c>
      <c r="J465" s="9">
        <v>0</v>
      </c>
      <c r="K465" s="9">
        <v>0</v>
      </c>
      <c r="L465" s="9">
        <v>0</v>
      </c>
      <c r="M465" s="124">
        <f t="shared" si="58"/>
        <v>0</v>
      </c>
      <c r="N465" s="155">
        <f t="shared" si="55"/>
        <v>0</v>
      </c>
      <c r="O465" s="156">
        <f t="shared" si="56"/>
        <v>0</v>
      </c>
      <c r="P465" s="156">
        <f t="shared" si="57"/>
        <v>0</v>
      </c>
    </row>
    <row r="466" spans="2:16" s="9" customFormat="1" ht="35.1" customHeight="1" x14ac:dyDescent="0.25">
      <c r="B466" s="23" t="s">
        <v>664</v>
      </c>
      <c r="C466" s="22" t="s">
        <v>665</v>
      </c>
      <c r="D466" s="23" t="s">
        <v>269</v>
      </c>
      <c r="E466" s="12">
        <v>0</v>
      </c>
      <c r="F466" s="126">
        <v>24409</v>
      </c>
      <c r="G466" s="126">
        <f t="shared" si="59"/>
        <v>0</v>
      </c>
      <c r="H466" s="8"/>
      <c r="I466" s="9" t="str">
        <f t="array" ref="I466:L466">_xlfn.XLOOKUP(C466,'Neiva 2022 FASE I ACTUAL (4)'!$C$6:$C$540,'Neiva 2022 FASE I ACTUAL (4)'!$C$6:$F$540,"NO ESTA")</f>
        <v>SUMINISTRO E INSTALACIÓN CONDUCTOR 2/0 Cu. TEMPLE DURO</v>
      </c>
      <c r="J466" s="9" t="str">
        <v xml:space="preserve">ML   </v>
      </c>
      <c r="K466" s="9">
        <v>35</v>
      </c>
      <c r="L466" s="9">
        <v>23727</v>
      </c>
      <c r="M466" s="124" t="str">
        <f t="shared" si="58"/>
        <v>FASE II</v>
      </c>
      <c r="N466" s="155">
        <f t="shared" si="55"/>
        <v>35</v>
      </c>
      <c r="O466" s="156">
        <f t="shared" si="56"/>
        <v>24409</v>
      </c>
      <c r="P466" s="156">
        <f t="shared" si="57"/>
        <v>854315</v>
      </c>
    </row>
    <row r="467" spans="2:16" s="9" customFormat="1" ht="35.1" customHeight="1" x14ac:dyDescent="0.25">
      <c r="B467" s="23" t="s">
        <v>666</v>
      </c>
      <c r="C467" s="22" t="s">
        <v>1244</v>
      </c>
      <c r="D467" s="23" t="s">
        <v>374</v>
      </c>
      <c r="E467" s="12">
        <v>0</v>
      </c>
      <c r="F467" s="126">
        <v>127634</v>
      </c>
      <c r="G467" s="126">
        <f t="shared" si="59"/>
        <v>0</v>
      </c>
      <c r="H467" s="8"/>
      <c r="I467" s="9" t="str">
        <f t="array" ref="I467">_xlfn.XLOOKUP(C467,'Neiva 2022 FASE I ACTUAL (4)'!$C$6:$C$540,'Neiva 2022 FASE I ACTUAL (4)'!$C$6:$F$540,"NO ESTA")</f>
        <v>NO ESTA</v>
      </c>
      <c r="M467" s="124">
        <f t="shared" si="58"/>
        <v>0</v>
      </c>
      <c r="N467" s="155">
        <f t="shared" si="55"/>
        <v>0</v>
      </c>
      <c r="O467" s="156">
        <f t="shared" si="56"/>
        <v>127634</v>
      </c>
      <c r="P467" s="156">
        <f t="shared" si="57"/>
        <v>0</v>
      </c>
    </row>
    <row r="468" spans="2:16" s="9" customFormat="1" ht="35.1" customHeight="1" x14ac:dyDescent="0.25">
      <c r="B468" s="23" t="s">
        <v>668</v>
      </c>
      <c r="C468" s="22" t="s">
        <v>1245</v>
      </c>
      <c r="D468" s="23" t="s">
        <v>374</v>
      </c>
      <c r="E468" s="12">
        <v>0</v>
      </c>
      <c r="F468" s="126">
        <v>132126</v>
      </c>
      <c r="G468" s="126">
        <f t="shared" si="59"/>
        <v>0</v>
      </c>
      <c r="H468" s="8"/>
      <c r="I468" s="9" t="str">
        <f t="array" ref="I468">_xlfn.XLOOKUP(C468,'Neiva 2022 FASE I ACTUAL (4)'!$C$6:$C$540,'Neiva 2022 FASE I ACTUAL (4)'!$C$6:$F$540,"NO ESTA")</f>
        <v>NO ESTA</v>
      </c>
      <c r="M468" s="124">
        <f t="shared" si="58"/>
        <v>0</v>
      </c>
      <c r="N468" s="155">
        <f t="shared" si="55"/>
        <v>0</v>
      </c>
      <c r="O468" s="156">
        <f t="shared" si="56"/>
        <v>132126</v>
      </c>
      <c r="P468" s="156">
        <f t="shared" si="57"/>
        <v>0</v>
      </c>
    </row>
    <row r="469" spans="2:16" s="9" customFormat="1" ht="35.1" customHeight="1" x14ac:dyDescent="0.25">
      <c r="B469" s="23" t="s">
        <v>670</v>
      </c>
      <c r="C469" s="22" t="s">
        <v>1246</v>
      </c>
      <c r="D469" s="23" t="s">
        <v>374</v>
      </c>
      <c r="E469" s="12">
        <v>0</v>
      </c>
      <c r="F469" s="126">
        <v>132126</v>
      </c>
      <c r="G469" s="126">
        <f t="shared" si="59"/>
        <v>0</v>
      </c>
      <c r="H469" s="8"/>
      <c r="I469" s="9" t="str">
        <f t="array" ref="I469">_xlfn.XLOOKUP(C469,'Neiva 2022 FASE I ACTUAL (4)'!$C$6:$C$540,'Neiva 2022 FASE I ACTUAL (4)'!$C$6:$F$540,"NO ESTA")</f>
        <v>NO ESTA</v>
      </c>
      <c r="M469" s="124">
        <f t="shared" si="58"/>
        <v>0</v>
      </c>
      <c r="N469" s="155">
        <f t="shared" si="55"/>
        <v>0</v>
      </c>
      <c r="O469" s="156">
        <f t="shared" si="56"/>
        <v>132126</v>
      </c>
      <c r="P469" s="156">
        <f t="shared" si="57"/>
        <v>0</v>
      </c>
    </row>
    <row r="470" spans="2:16" s="9" customFormat="1" ht="35.1" customHeight="1" x14ac:dyDescent="0.25">
      <c r="B470" s="23" t="s">
        <v>672</v>
      </c>
      <c r="C470" s="55" t="s">
        <v>1247</v>
      </c>
      <c r="D470" s="56" t="s">
        <v>16</v>
      </c>
      <c r="E470" s="12">
        <v>0</v>
      </c>
      <c r="F470" s="126">
        <v>166876</v>
      </c>
      <c r="G470" s="126">
        <f t="shared" si="59"/>
        <v>0</v>
      </c>
      <c r="H470" s="8"/>
      <c r="I470" s="9" t="str">
        <f t="array" ref="I470">_xlfn.XLOOKUP(C470,'Neiva 2022 FASE I ACTUAL (4)'!$C$6:$C$540,'Neiva 2022 FASE I ACTUAL (4)'!$C$6:$F$540,"NO ESTA")</f>
        <v>NO ESTA</v>
      </c>
      <c r="M470" s="124">
        <f t="shared" si="58"/>
        <v>0</v>
      </c>
      <c r="N470" s="155">
        <f t="shared" si="55"/>
        <v>0</v>
      </c>
      <c r="O470" s="156">
        <f t="shared" si="56"/>
        <v>166876</v>
      </c>
      <c r="P470" s="156">
        <f t="shared" si="57"/>
        <v>0</v>
      </c>
    </row>
    <row r="471" spans="2:16" s="9" customFormat="1" ht="35.1" customHeight="1" x14ac:dyDescent="0.25">
      <c r="B471" s="54" t="s">
        <v>674</v>
      </c>
      <c r="C471" s="24" t="s">
        <v>675</v>
      </c>
      <c r="D471" s="24"/>
      <c r="E471" s="15"/>
      <c r="F471" s="126">
        <v>0</v>
      </c>
      <c r="G471" s="126">
        <f t="shared" si="59"/>
        <v>0</v>
      </c>
      <c r="H471" s="8"/>
      <c r="I471" s="9" t="str">
        <f t="array" ref="I471:L471">_xlfn.XLOOKUP(C471,'Neiva 2022 FASE I ACTUAL (4)'!$C$6:$C$540,'Neiva 2022 FASE I ACTUAL (4)'!$C$6:$F$540,"NO ESTA")</f>
        <v xml:space="preserve">SUMINISTRO E INSTALACIÓN PUESTA A TIERRA TABLERO DE DISTRIBUCIÓN Y GENERAL (Incluye preparación de tierra con la solución Sanick Gel para obtener una elevada conductividad eléctrica (ver especificaciones técnicas de diseño anexas) </v>
      </c>
      <c r="J471" s="9">
        <v>0</v>
      </c>
      <c r="K471" s="9">
        <v>0</v>
      </c>
      <c r="L471" s="9">
        <v>0</v>
      </c>
      <c r="M471" s="124">
        <f t="shared" si="58"/>
        <v>0</v>
      </c>
      <c r="N471" s="155">
        <f t="shared" si="55"/>
        <v>0</v>
      </c>
      <c r="O471" s="156">
        <f t="shared" si="56"/>
        <v>0</v>
      </c>
      <c r="P471" s="156">
        <f t="shared" si="57"/>
        <v>0</v>
      </c>
    </row>
    <row r="472" spans="2:16" s="9" customFormat="1" ht="35.1" customHeight="1" x14ac:dyDescent="0.25">
      <c r="B472" s="23" t="s">
        <v>676</v>
      </c>
      <c r="C472" s="22" t="s">
        <v>677</v>
      </c>
      <c r="D472" s="23" t="s">
        <v>269</v>
      </c>
      <c r="E472" s="12">
        <v>0</v>
      </c>
      <c r="F472" s="126">
        <v>7194</v>
      </c>
      <c r="G472" s="126">
        <f t="shared" si="59"/>
        <v>0</v>
      </c>
      <c r="H472" s="8"/>
      <c r="I472" s="9" t="str">
        <f t="array" ref="I472:L472">_xlfn.XLOOKUP(C472,'Neiva 2022 FASE I ACTUAL (4)'!$C$6:$C$540,'Neiva 2022 FASE I ACTUAL (4)'!$C$6:$F$540,"NO ESTA")</f>
        <v>SUMINISTRO E INSTALACIÓN CONDUCTOR 6 Cu TEMPLE DURO</v>
      </c>
      <c r="J472" s="9" t="str">
        <v xml:space="preserve">ML   </v>
      </c>
      <c r="K472" s="9">
        <v>10</v>
      </c>
      <c r="L472" s="9">
        <v>6994</v>
      </c>
      <c r="M472" s="124" t="str">
        <f t="shared" si="58"/>
        <v>FASE II</v>
      </c>
      <c r="N472" s="155">
        <f t="shared" si="55"/>
        <v>10</v>
      </c>
      <c r="O472" s="156">
        <f t="shared" si="56"/>
        <v>7194</v>
      </c>
      <c r="P472" s="156">
        <f t="shared" si="57"/>
        <v>71940</v>
      </c>
    </row>
    <row r="473" spans="2:16" s="9" customFormat="1" ht="35.1" customHeight="1" x14ac:dyDescent="0.25">
      <c r="B473" s="23" t="s">
        <v>678</v>
      </c>
      <c r="C473" s="22" t="s">
        <v>679</v>
      </c>
      <c r="D473" s="23" t="s">
        <v>374</v>
      </c>
      <c r="E473" s="12">
        <v>0</v>
      </c>
      <c r="F473" s="126">
        <v>127634</v>
      </c>
      <c r="G473" s="126">
        <f t="shared" si="59"/>
        <v>0</v>
      </c>
      <c r="H473" s="8"/>
      <c r="I473" s="9" t="str">
        <f t="array" ref="I473:L473">_xlfn.XLOOKUP(C473,'Neiva 2022 FASE I ACTUAL (4)'!$C$6:$C$540,'Neiva 2022 FASE I ACTUAL (4)'!$C$6:$F$540,"NO ESTA")</f>
        <v>SUMINISTRO E INSTALACIÓN ELECTRODO DE PUESTA A TIERRA EN VARILLA DE COBRE DE 5/8" X 2.40 M</v>
      </c>
      <c r="J473" s="9" t="str">
        <v>UN</v>
      </c>
      <c r="K473" s="9">
        <v>1</v>
      </c>
      <c r="L473" s="9">
        <v>124067</v>
      </c>
      <c r="M473" s="124" t="str">
        <f t="shared" si="58"/>
        <v>FASE II</v>
      </c>
      <c r="N473" s="155">
        <f t="shared" si="55"/>
        <v>1</v>
      </c>
      <c r="O473" s="156">
        <f t="shared" si="56"/>
        <v>127634</v>
      </c>
      <c r="P473" s="156">
        <f t="shared" si="57"/>
        <v>127634</v>
      </c>
    </row>
    <row r="474" spans="2:16" s="9" customFormat="1" ht="35.1" customHeight="1" x14ac:dyDescent="0.25">
      <c r="B474" s="23" t="s">
        <v>680</v>
      </c>
      <c r="C474" s="22" t="s">
        <v>681</v>
      </c>
      <c r="D474" s="23" t="s">
        <v>374</v>
      </c>
      <c r="E474" s="12">
        <v>0</v>
      </c>
      <c r="F474" s="126">
        <v>132126</v>
      </c>
      <c r="G474" s="126">
        <f t="shared" si="59"/>
        <v>0</v>
      </c>
      <c r="H474" s="8"/>
      <c r="I474" s="9" t="str">
        <f t="array" ref="I474:L474">_xlfn.XLOOKUP(C474,'Neiva 2022 FASE I ACTUAL (4)'!$C$6:$C$540,'Neiva 2022 FASE I ACTUAL (4)'!$C$6:$F$540,"NO ESTA")</f>
        <v>SUMINISTRO E INSTALACIÓN CONEXIÓN TERMOSOLDADA DE VARILLA A CABLE DE COBRE DESNUDO # 6 AWG, INCLUYE SUMINISTRO DE MOLDE, FÚNDENTE Y DEMÁS ACCESORIOS.</v>
      </c>
      <c r="J474" s="9" t="str">
        <v>UN</v>
      </c>
      <c r="K474" s="9">
        <v>1</v>
      </c>
      <c r="L474" s="9">
        <v>128433</v>
      </c>
      <c r="M474" s="124" t="str">
        <f t="shared" si="58"/>
        <v>FASE II</v>
      </c>
      <c r="N474" s="155">
        <f t="shared" si="55"/>
        <v>1</v>
      </c>
      <c r="O474" s="156">
        <f t="shared" si="56"/>
        <v>132126</v>
      </c>
      <c r="P474" s="156">
        <f t="shared" si="57"/>
        <v>132126</v>
      </c>
    </row>
    <row r="475" spans="2:16" s="9" customFormat="1" ht="35.1" customHeight="1" x14ac:dyDescent="0.25">
      <c r="B475" s="23" t="s">
        <v>682</v>
      </c>
      <c r="C475" s="22" t="s">
        <v>1248</v>
      </c>
      <c r="D475" s="23" t="s">
        <v>374</v>
      </c>
      <c r="E475" s="12">
        <v>0</v>
      </c>
      <c r="F475" s="126">
        <v>132126</v>
      </c>
      <c r="G475" s="126">
        <f t="shared" si="59"/>
        <v>0</v>
      </c>
      <c r="H475" s="8"/>
      <c r="I475" s="9" t="str">
        <f t="array" ref="I475">_xlfn.XLOOKUP(C475,'Neiva 2022 FASE I ACTUAL (4)'!$C$6:$C$540,'Neiva 2022 FASE I ACTUAL (4)'!$C$6:$F$540,"NO ESTA")</f>
        <v>NO ESTA</v>
      </c>
      <c r="M475" s="124">
        <f t="shared" si="58"/>
        <v>0</v>
      </c>
      <c r="N475" s="155">
        <f t="shared" si="55"/>
        <v>0</v>
      </c>
      <c r="O475" s="156">
        <f t="shared" si="56"/>
        <v>132126</v>
      </c>
      <c r="P475" s="156">
        <f t="shared" si="57"/>
        <v>0</v>
      </c>
    </row>
    <row r="476" spans="2:16" s="9" customFormat="1" ht="39.950000000000003" customHeight="1" x14ac:dyDescent="0.25">
      <c r="B476" s="23" t="s">
        <v>684</v>
      </c>
      <c r="C476" s="22" t="s">
        <v>1247</v>
      </c>
      <c r="D476" s="23" t="s">
        <v>374</v>
      </c>
      <c r="E476" s="12">
        <v>0</v>
      </c>
      <c r="F476" s="126">
        <v>166876</v>
      </c>
      <c r="G476" s="126">
        <f t="shared" si="59"/>
        <v>0</v>
      </c>
      <c r="H476" s="8"/>
      <c r="I476" s="9" t="str">
        <f t="array" ref="I476">_xlfn.XLOOKUP(C476,'Neiva 2022 FASE I ACTUAL (4)'!$C$6:$C$540,'Neiva 2022 FASE I ACTUAL (4)'!$C$6:$F$540,"NO ESTA")</f>
        <v>NO ESTA</v>
      </c>
      <c r="M476" s="124">
        <f t="shared" si="58"/>
        <v>0</v>
      </c>
      <c r="N476" s="155">
        <f t="shared" si="55"/>
        <v>0</v>
      </c>
      <c r="O476" s="156">
        <f t="shared" si="56"/>
        <v>166876</v>
      </c>
      <c r="P476" s="156">
        <f t="shared" si="57"/>
        <v>0</v>
      </c>
    </row>
    <row r="477" spans="2:16" s="9" customFormat="1" ht="35.1" customHeight="1" x14ac:dyDescent="0.25">
      <c r="B477" s="54" t="s">
        <v>685</v>
      </c>
      <c r="C477" s="24" t="s">
        <v>686</v>
      </c>
      <c r="D477" s="24"/>
      <c r="E477" s="15">
        <v>0</v>
      </c>
      <c r="F477" s="126">
        <v>0</v>
      </c>
      <c r="G477" s="126">
        <f t="shared" si="59"/>
        <v>0</v>
      </c>
      <c r="H477" s="8"/>
      <c r="I477" s="9" t="str">
        <f t="array" ref="I477:L477">_xlfn.XLOOKUP(C477,'Neiva 2022 FASE I ACTUAL (4)'!$C$6:$C$540,'Neiva 2022 FASE I ACTUAL (4)'!$C$6:$F$540,"NO ESTA")</f>
        <v xml:space="preserve">SUMINISTRO E INSTALACIÓN PUESTA A TIERRA PLANTA GENERADORA (Incluye preparación de tierra con la solución Sanick Gel para obtener una elevada conductividad eléctrica (ver especificaciones técnicas de diseño anexas) </v>
      </c>
      <c r="J477" s="9">
        <v>0</v>
      </c>
      <c r="K477" s="9">
        <v>0</v>
      </c>
      <c r="L477" s="9">
        <v>0</v>
      </c>
      <c r="M477" s="124">
        <f t="shared" si="58"/>
        <v>0</v>
      </c>
      <c r="N477" s="155">
        <f t="shared" si="55"/>
        <v>0</v>
      </c>
      <c r="O477" s="156">
        <f t="shared" si="56"/>
        <v>0</v>
      </c>
      <c r="P477" s="156">
        <f t="shared" si="57"/>
        <v>0</v>
      </c>
    </row>
    <row r="478" spans="2:16" s="9" customFormat="1" ht="35.1" customHeight="1" x14ac:dyDescent="0.25">
      <c r="B478" s="23" t="s">
        <v>687</v>
      </c>
      <c r="C478" s="22" t="s">
        <v>665</v>
      </c>
      <c r="D478" s="23" t="s">
        <v>269</v>
      </c>
      <c r="E478" s="12">
        <v>0</v>
      </c>
      <c r="F478" s="126">
        <v>24409</v>
      </c>
      <c r="G478" s="126">
        <f t="shared" si="59"/>
        <v>0</v>
      </c>
      <c r="H478" s="8"/>
      <c r="I478" s="9" t="str">
        <f t="array" ref="I478:L478">_xlfn.XLOOKUP(C478,'Neiva 2022 FASE I ACTUAL (4)'!$C$6:$C$540,'Neiva 2022 FASE I ACTUAL (4)'!$C$6:$F$540,"NO ESTA")</f>
        <v>SUMINISTRO E INSTALACIÓN CONDUCTOR 2/0 Cu. TEMPLE DURO</v>
      </c>
      <c r="J478" s="9" t="str">
        <v xml:space="preserve">ML   </v>
      </c>
      <c r="K478" s="9">
        <v>35</v>
      </c>
      <c r="L478" s="9">
        <v>23727</v>
      </c>
      <c r="M478" s="124" t="str">
        <f t="shared" si="58"/>
        <v>FASE II</v>
      </c>
      <c r="N478" s="155">
        <f t="shared" si="55"/>
        <v>35</v>
      </c>
      <c r="O478" s="156">
        <f t="shared" si="56"/>
        <v>24409</v>
      </c>
      <c r="P478" s="156">
        <f t="shared" si="57"/>
        <v>854315</v>
      </c>
    </row>
    <row r="479" spans="2:16" s="9" customFormat="1" ht="57" customHeight="1" x14ac:dyDescent="0.25">
      <c r="B479" s="23" t="s">
        <v>688</v>
      </c>
      <c r="C479" s="22" t="s">
        <v>1249</v>
      </c>
      <c r="D479" s="23" t="s">
        <v>374</v>
      </c>
      <c r="E479" s="12">
        <v>0</v>
      </c>
      <c r="F479" s="126">
        <v>707808</v>
      </c>
      <c r="G479" s="126">
        <f t="shared" si="59"/>
        <v>0</v>
      </c>
      <c r="H479" s="8"/>
      <c r="I479" s="9" t="str">
        <f t="array" ref="I479">_xlfn.XLOOKUP(C479,'Neiva 2022 FASE I ACTUAL (4)'!$C$6:$C$540,'Neiva 2022 FASE I ACTUAL (4)'!$C$6:$F$540,"NO ESTA")</f>
        <v>NO ESTA</v>
      </c>
      <c r="M479" s="124">
        <f t="shared" si="58"/>
        <v>0</v>
      </c>
      <c r="N479" s="155">
        <f t="shared" si="55"/>
        <v>0</v>
      </c>
      <c r="O479" s="156">
        <f t="shared" si="56"/>
        <v>707808</v>
      </c>
      <c r="P479" s="156">
        <f t="shared" si="57"/>
        <v>0</v>
      </c>
    </row>
    <row r="480" spans="2:16" s="9" customFormat="1" ht="35.1" customHeight="1" x14ac:dyDescent="0.25">
      <c r="B480" s="13" t="s">
        <v>690</v>
      </c>
      <c r="C480" s="24" t="s">
        <v>691</v>
      </c>
      <c r="D480" s="24"/>
      <c r="E480" s="15">
        <v>0</v>
      </c>
      <c r="F480" s="126">
        <v>0</v>
      </c>
      <c r="G480" s="126">
        <f t="shared" si="59"/>
        <v>0</v>
      </c>
      <c r="H480" s="8"/>
      <c r="I480" s="9" t="str">
        <f t="array" ref="I480:L480">_xlfn.XLOOKUP(C480,'Neiva 2022 FASE I ACTUAL (4)'!$C$6:$C$540,'Neiva 2022 FASE I ACTUAL (4)'!$C$6:$F$540,"NO ESTA")</f>
        <v>SISTEMA DE PROTECCIÓN EXTERNA CONTRA DESCARGAS ATMOSFÉRICAS BAJANTES DE PARARRAYOS DESDE CUBIERTA A TERRENO</v>
      </c>
      <c r="J480" s="9">
        <v>0</v>
      </c>
      <c r="K480" s="9">
        <v>0</v>
      </c>
      <c r="L480" s="9">
        <v>0</v>
      </c>
      <c r="M480" s="124">
        <f t="shared" si="58"/>
        <v>0</v>
      </c>
      <c r="N480" s="155">
        <f t="shared" si="55"/>
        <v>0</v>
      </c>
      <c r="O480" s="156">
        <f t="shared" si="56"/>
        <v>0</v>
      </c>
      <c r="P480" s="156">
        <f t="shared" si="57"/>
        <v>0</v>
      </c>
    </row>
    <row r="481" spans="2:16" s="9" customFormat="1" ht="35.1" customHeight="1" x14ac:dyDescent="0.25">
      <c r="B481" s="23" t="s">
        <v>692</v>
      </c>
      <c r="C481" s="22" t="s">
        <v>693</v>
      </c>
      <c r="D481" s="23" t="s">
        <v>269</v>
      </c>
      <c r="E481" s="12">
        <v>0</v>
      </c>
      <c r="F481" s="126">
        <v>4755</v>
      </c>
      <c r="G481" s="126">
        <f t="shared" si="59"/>
        <v>0</v>
      </c>
      <c r="H481" s="8"/>
      <c r="I481" s="9" t="str">
        <f t="array" ref="I481:L481">_xlfn.XLOOKUP(C481,'Neiva 2022 FASE I ACTUAL (4)'!$C$6:$C$540,'Neiva 2022 FASE I ACTUAL (4)'!$C$6:$F$540,"NO ESTA")</f>
        <v>SUMINISTRO E INSTALACIÓN TENDIDO DE TUBERÍA Ø 3/4” PVC EMBEBIDO EN LAS COLUMNAS DE CONCRETO, DESDE LA CUBIERTA HASTA EL TERRENO.</v>
      </c>
      <c r="J481" s="9" t="str">
        <v xml:space="preserve">ML   </v>
      </c>
      <c r="K481" s="9">
        <v>65</v>
      </c>
      <c r="L481" s="9">
        <v>4621</v>
      </c>
      <c r="M481" s="124" t="str">
        <f t="shared" si="58"/>
        <v>FASE II</v>
      </c>
      <c r="N481" s="155">
        <f t="shared" si="55"/>
        <v>65</v>
      </c>
      <c r="O481" s="156">
        <f t="shared" si="56"/>
        <v>4755</v>
      </c>
      <c r="P481" s="156">
        <f t="shared" si="57"/>
        <v>309075</v>
      </c>
    </row>
    <row r="482" spans="2:16" s="9" customFormat="1" ht="35.1" customHeight="1" x14ac:dyDescent="0.25">
      <c r="B482" s="23" t="s">
        <v>694</v>
      </c>
      <c r="C482" s="22" t="s">
        <v>695</v>
      </c>
      <c r="D482" s="23" t="s">
        <v>269</v>
      </c>
      <c r="E482" s="12">
        <v>0</v>
      </c>
      <c r="F482" s="126">
        <v>14774</v>
      </c>
      <c r="G482" s="126">
        <f t="shared" si="59"/>
        <v>0</v>
      </c>
      <c r="H482" s="8"/>
      <c r="I482" s="9" t="str">
        <f t="array" ref="I482:L482">_xlfn.XLOOKUP(C482,'Neiva 2022 FASE I ACTUAL (4)'!$C$6:$C$540,'Neiva 2022 FASE I ACTUAL (4)'!$C$6:$F$540,"NO ESTA")</f>
        <v>SUMINISTRO E INSTALACIÓN TENDIDO DE CONDUCTOR DE COBRE DESNUDO # 2 AWG, DESDE LA CUBIERTA HASTA EL TERRENO POR LAS BAJANTES.</v>
      </c>
      <c r="J482" s="9" t="str">
        <v xml:space="preserve">ML   </v>
      </c>
      <c r="K482" s="9">
        <v>69</v>
      </c>
      <c r="L482" s="9">
        <v>14361</v>
      </c>
      <c r="M482" s="124" t="str">
        <f t="shared" si="58"/>
        <v>FASE II</v>
      </c>
      <c r="N482" s="155">
        <f t="shared" si="55"/>
        <v>69</v>
      </c>
      <c r="O482" s="156">
        <f t="shared" si="56"/>
        <v>14774</v>
      </c>
      <c r="P482" s="156">
        <f t="shared" si="57"/>
        <v>1019406</v>
      </c>
    </row>
    <row r="483" spans="2:16" s="9" customFormat="1" ht="35.1" customHeight="1" x14ac:dyDescent="0.25">
      <c r="B483" s="23" t="s">
        <v>696</v>
      </c>
      <c r="C483" s="22" t="s">
        <v>697</v>
      </c>
      <c r="D483" s="23" t="s">
        <v>269</v>
      </c>
      <c r="E483" s="12">
        <v>0</v>
      </c>
      <c r="F483" s="126">
        <v>5396</v>
      </c>
      <c r="G483" s="126">
        <f t="shared" si="59"/>
        <v>0</v>
      </c>
      <c r="H483" s="8"/>
      <c r="I483" s="9" t="str">
        <f t="array" ref="I483:L483">_xlfn.XLOOKUP(C483,'Neiva 2022 FASE I ACTUAL (4)'!$C$6:$C$540,'Neiva 2022 FASE I ACTUAL (4)'!$C$6:$F$540,"NO ESTA")</f>
        <v>SUMINISTRO E INSTALACIÓN TENDIDO DE ALAMBRON 8MM SOBREPUESTO EN LOS BORDES DE LA CUBIERTA PARA INTERCONEXIÓN DE PUNTAS CAPTADORAS Y BAJANTES A MALLA A TIERRA.</v>
      </c>
      <c r="J483" s="9" t="str">
        <v xml:space="preserve">ML   </v>
      </c>
      <c r="K483" s="9">
        <v>244</v>
      </c>
      <c r="L483" s="9">
        <v>5245</v>
      </c>
      <c r="M483" s="124" t="str">
        <f t="shared" si="58"/>
        <v>FASE II</v>
      </c>
      <c r="N483" s="155">
        <f t="shared" si="55"/>
        <v>244</v>
      </c>
      <c r="O483" s="156">
        <f t="shared" si="56"/>
        <v>5396</v>
      </c>
      <c r="P483" s="156">
        <f t="shared" si="57"/>
        <v>1316624</v>
      </c>
    </row>
    <row r="484" spans="2:16" s="9" customFormat="1" ht="35.1" customHeight="1" x14ac:dyDescent="0.25">
      <c r="B484" s="23" t="s">
        <v>698</v>
      </c>
      <c r="C484" s="22" t="s">
        <v>1250</v>
      </c>
      <c r="D484" s="23" t="s">
        <v>269</v>
      </c>
      <c r="E484" s="12">
        <v>0</v>
      </c>
      <c r="F484" s="126">
        <v>14774</v>
      </c>
      <c r="G484" s="126">
        <f t="shared" si="59"/>
        <v>0</v>
      </c>
      <c r="H484" s="8"/>
      <c r="I484" s="9" t="str">
        <f t="array" ref="I484">_xlfn.XLOOKUP(C484,'Neiva 2022 FASE I ACTUAL (4)'!$C$6:$C$540,'Neiva 2022 FASE I ACTUAL (4)'!$C$6:$F$540,"NO ESTA")</f>
        <v>NO ESTA</v>
      </c>
      <c r="M484" s="124">
        <f t="shared" si="58"/>
        <v>0</v>
      </c>
      <c r="N484" s="155">
        <f t="shared" si="55"/>
        <v>0</v>
      </c>
      <c r="O484" s="156">
        <f t="shared" si="56"/>
        <v>14774</v>
      </c>
      <c r="P484" s="156">
        <f t="shared" si="57"/>
        <v>0</v>
      </c>
    </row>
    <row r="485" spans="2:16" s="9" customFormat="1" ht="54" customHeight="1" x14ac:dyDescent="0.25">
      <c r="B485" s="23" t="s">
        <v>700</v>
      </c>
      <c r="C485" s="22" t="s">
        <v>1251</v>
      </c>
      <c r="D485" s="23" t="s">
        <v>374</v>
      </c>
      <c r="E485" s="12">
        <v>0</v>
      </c>
      <c r="F485" s="126">
        <v>213900</v>
      </c>
      <c r="G485" s="126">
        <f t="shared" si="59"/>
        <v>0</v>
      </c>
      <c r="H485" s="8"/>
      <c r="I485" s="9" t="str">
        <f t="array" ref="I485">_xlfn.XLOOKUP(C485,'Neiva 2022 FASE I ACTUAL (4)'!$C$6:$C$540,'Neiva 2022 FASE I ACTUAL (4)'!$C$6:$F$540,"NO ESTA")</f>
        <v>NO ESTA</v>
      </c>
      <c r="M485" s="124">
        <f t="shared" si="58"/>
        <v>0</v>
      </c>
      <c r="N485" s="155">
        <f t="shared" si="55"/>
        <v>0</v>
      </c>
      <c r="O485" s="156">
        <f t="shared" si="56"/>
        <v>213900</v>
      </c>
      <c r="P485" s="156">
        <f t="shared" si="57"/>
        <v>0</v>
      </c>
    </row>
    <row r="486" spans="2:16" s="9" customFormat="1" ht="35.1" customHeight="1" x14ac:dyDescent="0.25">
      <c r="B486" s="23" t="s">
        <v>702</v>
      </c>
      <c r="C486" s="22" t="s">
        <v>703</v>
      </c>
      <c r="D486" s="23" t="s">
        <v>374</v>
      </c>
      <c r="E486" s="12">
        <v>0</v>
      </c>
      <c r="F486" s="126">
        <v>21111</v>
      </c>
      <c r="G486" s="126">
        <f t="shared" si="59"/>
        <v>0</v>
      </c>
      <c r="H486" s="8"/>
      <c r="I486" s="9" t="str">
        <f t="array" ref="I486:L486">_xlfn.XLOOKUP(C486,'Neiva 2022 FASE I ACTUAL (4)'!$C$6:$C$540,'Neiva 2022 FASE I ACTUAL (4)'!$C$6:$F$540,"NO ESTA")</f>
        <v>SUMINISTRO E INSTALACIÓN ABRAZADERAS DE BRONCE PARA SOPORTAR EL CABLE AL MURO DE CONCRETO APROBADAS PARA INTEMPERIE.</v>
      </c>
      <c r="J486" s="9" t="str">
        <v>UN</v>
      </c>
      <c r="K486" s="9">
        <v>86</v>
      </c>
      <c r="L486" s="9">
        <v>20521</v>
      </c>
      <c r="M486" s="124" t="str">
        <f t="shared" si="58"/>
        <v>FASE II</v>
      </c>
      <c r="N486" s="155">
        <f t="shared" si="55"/>
        <v>86</v>
      </c>
      <c r="O486" s="156">
        <f t="shared" si="56"/>
        <v>21111</v>
      </c>
      <c r="P486" s="156">
        <f t="shared" si="57"/>
        <v>1815546</v>
      </c>
    </row>
    <row r="487" spans="2:16" s="9" customFormat="1" ht="35.1" customHeight="1" x14ac:dyDescent="0.25">
      <c r="B487" s="23" t="s">
        <v>704</v>
      </c>
      <c r="C487" s="22" t="s">
        <v>705</v>
      </c>
      <c r="D487" s="23" t="s">
        <v>374</v>
      </c>
      <c r="E487" s="12">
        <v>0</v>
      </c>
      <c r="F487" s="126">
        <v>26196</v>
      </c>
      <c r="G487" s="126">
        <f t="shared" si="59"/>
        <v>0</v>
      </c>
      <c r="H487" s="8"/>
      <c r="I487" s="9" t="str">
        <f t="array" ref="I487:L487">_xlfn.XLOOKUP(C487,'Neiva 2022 FASE I ACTUAL (4)'!$C$6:$C$540,'Neiva 2022 FASE I ACTUAL (4)'!$C$6:$F$540,"NO ESTA")</f>
        <v>SUMINISTRO E INSTALACIÓN GRAPA DERIVACIÓN EN T DE BRONCE PARA SOPORTAR EL CABLE AL MURO DE CONCRETO APROBADAS PARA INTEMPERIE.</v>
      </c>
      <c r="J487" s="9" t="str">
        <v>UN</v>
      </c>
      <c r="K487" s="9">
        <v>4</v>
      </c>
      <c r="L487" s="9">
        <v>25465</v>
      </c>
      <c r="M487" s="124" t="str">
        <f t="shared" si="58"/>
        <v>FASE II</v>
      </c>
      <c r="N487" s="155">
        <f t="shared" si="55"/>
        <v>4</v>
      </c>
      <c r="O487" s="156">
        <f t="shared" si="56"/>
        <v>26196</v>
      </c>
      <c r="P487" s="156">
        <f t="shared" si="57"/>
        <v>104784</v>
      </c>
    </row>
    <row r="488" spans="2:16" s="9" customFormat="1" ht="35.1" customHeight="1" x14ac:dyDescent="0.25">
      <c r="B488" s="23" t="s">
        <v>706</v>
      </c>
      <c r="C488" s="22" t="s">
        <v>707</v>
      </c>
      <c r="D488" s="23" t="s">
        <v>374</v>
      </c>
      <c r="E488" s="12">
        <v>0</v>
      </c>
      <c r="F488" s="126">
        <v>214977</v>
      </c>
      <c r="G488" s="126">
        <f t="shared" si="59"/>
        <v>0</v>
      </c>
      <c r="H488" s="8"/>
      <c r="I488" s="9" t="str">
        <f t="array" ref="I488:L488">_xlfn.XLOOKUP(C488,'Neiva 2022 FASE I ACTUAL (4)'!$C$6:$C$540,'Neiva 2022 FASE I ACTUAL (4)'!$C$6:$F$540,"NO ESTA")</f>
        <v>SUMINISTRO E INSTALACIÓN ELECTRODO DE PUESTA A TIERRA EN CU DE 5/8"X 8' + CONECTOR</v>
      </c>
      <c r="J488" s="9" t="str">
        <v>UN</v>
      </c>
      <c r="K488" s="9">
        <v>4</v>
      </c>
      <c r="L488" s="9">
        <v>208968</v>
      </c>
      <c r="M488" s="124" t="str">
        <f t="shared" si="58"/>
        <v>FASE II</v>
      </c>
      <c r="N488" s="155">
        <f t="shared" si="55"/>
        <v>4</v>
      </c>
      <c r="O488" s="156">
        <f t="shared" si="56"/>
        <v>214977</v>
      </c>
      <c r="P488" s="156">
        <f t="shared" si="57"/>
        <v>859908</v>
      </c>
    </row>
    <row r="489" spans="2:16" s="9" customFormat="1" ht="35.1" customHeight="1" x14ac:dyDescent="0.25">
      <c r="B489" s="23" t="s">
        <v>708</v>
      </c>
      <c r="C489" s="22" t="s">
        <v>709</v>
      </c>
      <c r="D489" s="23" t="s">
        <v>374</v>
      </c>
      <c r="E489" s="12">
        <v>0</v>
      </c>
      <c r="F489" s="126">
        <v>132126</v>
      </c>
      <c r="G489" s="126">
        <f t="shared" si="59"/>
        <v>0</v>
      </c>
      <c r="H489" s="8"/>
      <c r="I489" s="9" t="str">
        <f t="array" ref="I489:L489">_xlfn.XLOOKUP(C489,'Neiva 2022 FASE I ACTUAL (4)'!$C$6:$C$540,'Neiva 2022 FASE I ACTUAL (4)'!$C$6:$F$540,"NO ESTA")</f>
        <v>SUMINISTRO E INSTALACIÓN CONEXIÓN EXOTÉRMICA VARILLA-CABLE CALIBRE #2 AWG. INCLUYE SUMINISTRO DE MOLDE FÚNDENTE Y DEMÁS ACCESORIOS.</v>
      </c>
      <c r="J489" s="9" t="str">
        <v>UN</v>
      </c>
      <c r="K489" s="9">
        <v>4</v>
      </c>
      <c r="L489" s="9">
        <v>128433</v>
      </c>
      <c r="M489" s="124" t="str">
        <f t="shared" si="58"/>
        <v>FASE II</v>
      </c>
      <c r="N489" s="155">
        <f t="shared" si="55"/>
        <v>4</v>
      </c>
      <c r="O489" s="156">
        <f t="shared" si="56"/>
        <v>132126</v>
      </c>
      <c r="P489" s="156">
        <f t="shared" si="57"/>
        <v>528504</v>
      </c>
    </row>
    <row r="490" spans="2:16" s="9" customFormat="1" ht="35.1" customHeight="1" x14ac:dyDescent="0.25">
      <c r="B490" s="23" t="s">
        <v>710</v>
      </c>
      <c r="C490" s="22" t="s">
        <v>1252</v>
      </c>
      <c r="D490" s="23" t="s">
        <v>374</v>
      </c>
      <c r="E490" s="12">
        <v>0</v>
      </c>
      <c r="F490" s="126">
        <v>262735</v>
      </c>
      <c r="G490" s="126">
        <f t="shared" si="59"/>
        <v>0</v>
      </c>
      <c r="H490" s="8"/>
      <c r="I490" s="9" t="str">
        <f t="array" ref="I490">_xlfn.XLOOKUP(C490,'Neiva 2022 FASE I ACTUAL (4)'!$C$6:$C$540,'Neiva 2022 FASE I ACTUAL (4)'!$C$6:$F$540,"NO ESTA")</f>
        <v>NO ESTA</v>
      </c>
      <c r="M490" s="124">
        <f t="shared" si="58"/>
        <v>0</v>
      </c>
      <c r="N490" s="155">
        <f t="shared" si="55"/>
        <v>0</v>
      </c>
      <c r="O490" s="156">
        <f t="shared" si="56"/>
        <v>262735</v>
      </c>
      <c r="P490" s="156">
        <f t="shared" si="57"/>
        <v>0</v>
      </c>
    </row>
    <row r="491" spans="2:16" s="9" customFormat="1" ht="35.1" customHeight="1" x14ac:dyDescent="0.25">
      <c r="B491" s="13" t="s">
        <v>1253</v>
      </c>
      <c r="C491" s="24" t="s">
        <v>1254</v>
      </c>
      <c r="D491" s="24"/>
      <c r="E491" s="15"/>
      <c r="F491" s="129"/>
      <c r="G491" s="140"/>
      <c r="H491" s="8"/>
      <c r="I491" s="9" t="str">
        <f t="array" ref="I491">_xlfn.XLOOKUP(C491,'Neiva 2022 FASE I ACTUAL (4)'!$C$6:$C$540,'Neiva 2022 FASE I ACTUAL (4)'!$C$6:$F$540,"NO ESTA")</f>
        <v>NO ESTA</v>
      </c>
      <c r="M491" s="124">
        <f t="shared" si="58"/>
        <v>0</v>
      </c>
      <c r="N491" s="155">
        <f t="shared" si="55"/>
        <v>0</v>
      </c>
      <c r="O491" s="156">
        <f t="shared" si="56"/>
        <v>0</v>
      </c>
      <c r="P491" s="156">
        <f t="shared" si="57"/>
        <v>0</v>
      </c>
    </row>
    <row r="492" spans="2:16" s="9" customFormat="1" ht="108.75" customHeight="1" x14ac:dyDescent="0.25">
      <c r="B492" s="23" t="s">
        <v>1255</v>
      </c>
      <c r="C492" s="22" t="s">
        <v>1256</v>
      </c>
      <c r="D492" s="23" t="s">
        <v>374</v>
      </c>
      <c r="E492" s="12">
        <v>1</v>
      </c>
      <c r="F492" s="126">
        <v>206192449</v>
      </c>
      <c r="G492" s="126">
        <f t="shared" ref="G492:G503" si="60">ROUND(+F492*E492,2)</f>
        <v>206192449</v>
      </c>
      <c r="H492" s="8"/>
      <c r="I492" s="9" t="str">
        <f t="array" ref="I492">_xlfn.XLOOKUP(C492,'Neiva 2022 FASE I ACTUAL (4)'!$C$6:$C$540,'Neiva 2022 FASE I ACTUAL (4)'!$C$6:$F$540,"NO ESTA")</f>
        <v>NO ESTA</v>
      </c>
      <c r="M492" s="124">
        <f t="shared" si="58"/>
        <v>0</v>
      </c>
      <c r="N492" s="155">
        <f t="shared" si="55"/>
        <v>1</v>
      </c>
      <c r="O492" s="156">
        <f t="shared" si="56"/>
        <v>206192449</v>
      </c>
      <c r="P492" s="156">
        <f t="shared" si="57"/>
        <v>206192449</v>
      </c>
    </row>
    <row r="493" spans="2:16" s="9" customFormat="1" ht="35.1" customHeight="1" x14ac:dyDescent="0.25">
      <c r="B493" s="23" t="s">
        <v>1257</v>
      </c>
      <c r="C493" s="22" t="s">
        <v>1258</v>
      </c>
      <c r="D493" s="23" t="s">
        <v>374</v>
      </c>
      <c r="E493" s="12">
        <v>1</v>
      </c>
      <c r="F493" s="126">
        <v>1002721</v>
      </c>
      <c r="G493" s="126">
        <f t="shared" si="60"/>
        <v>1002721</v>
      </c>
      <c r="H493" s="8"/>
      <c r="I493" s="9" t="str">
        <f t="array" ref="I493">_xlfn.XLOOKUP(C493,'Neiva 2022 FASE I ACTUAL (4)'!$C$6:$C$540,'Neiva 2022 FASE I ACTUAL (4)'!$C$6:$F$540,"NO ESTA")</f>
        <v>NO ESTA</v>
      </c>
      <c r="M493" s="124">
        <f t="shared" si="58"/>
        <v>0</v>
      </c>
      <c r="N493" s="155">
        <f t="shared" si="55"/>
        <v>1</v>
      </c>
      <c r="O493" s="156">
        <f t="shared" si="56"/>
        <v>1002721</v>
      </c>
      <c r="P493" s="156">
        <f t="shared" si="57"/>
        <v>1002721</v>
      </c>
    </row>
    <row r="494" spans="2:16" s="9" customFormat="1" ht="35.1" customHeight="1" x14ac:dyDescent="0.25">
      <c r="B494" s="23" t="s">
        <v>1259</v>
      </c>
      <c r="C494" s="22" t="s">
        <v>1260</v>
      </c>
      <c r="D494" s="23" t="s">
        <v>374</v>
      </c>
      <c r="E494" s="12">
        <v>4</v>
      </c>
      <c r="F494" s="126">
        <v>187808</v>
      </c>
      <c r="G494" s="126">
        <f t="shared" si="60"/>
        <v>751232</v>
      </c>
      <c r="H494" s="8"/>
      <c r="I494" s="9" t="str">
        <f t="array" ref="I494">_xlfn.XLOOKUP(C494,'Neiva 2022 FASE I ACTUAL (4)'!$C$6:$C$540,'Neiva 2022 FASE I ACTUAL (4)'!$C$6:$F$540,"NO ESTA")</f>
        <v>NO ESTA</v>
      </c>
      <c r="M494" s="124">
        <f t="shared" si="58"/>
        <v>0</v>
      </c>
      <c r="N494" s="155">
        <f t="shared" si="55"/>
        <v>4</v>
      </c>
      <c r="O494" s="156">
        <f t="shared" si="56"/>
        <v>187808</v>
      </c>
      <c r="P494" s="156">
        <f t="shared" si="57"/>
        <v>751232</v>
      </c>
    </row>
    <row r="495" spans="2:16" s="9" customFormat="1" ht="50.25" customHeight="1" x14ac:dyDescent="0.25">
      <c r="B495" s="23" t="s">
        <v>1261</v>
      </c>
      <c r="C495" s="22" t="s">
        <v>1262</v>
      </c>
      <c r="D495" s="23" t="s">
        <v>374</v>
      </c>
      <c r="E495" s="12">
        <v>1</v>
      </c>
      <c r="F495" s="126">
        <v>1546095</v>
      </c>
      <c r="G495" s="126">
        <f t="shared" si="60"/>
        <v>1546095</v>
      </c>
      <c r="H495" s="8"/>
      <c r="I495" s="9" t="str">
        <f t="array" ref="I495">_xlfn.XLOOKUP(C495,'Neiva 2022 FASE I ACTUAL (4)'!$C$6:$C$540,'Neiva 2022 FASE I ACTUAL (4)'!$C$6:$F$540,"NO ESTA")</f>
        <v>NO ESTA</v>
      </c>
      <c r="M495" s="124">
        <f t="shared" si="58"/>
        <v>0</v>
      </c>
      <c r="N495" s="155">
        <f t="shared" si="55"/>
        <v>1</v>
      </c>
      <c r="O495" s="156">
        <f t="shared" si="56"/>
        <v>1546095</v>
      </c>
      <c r="P495" s="156">
        <f t="shared" si="57"/>
        <v>1546095</v>
      </c>
    </row>
    <row r="496" spans="2:16" s="9" customFormat="1" ht="35.1" customHeight="1" x14ac:dyDescent="0.25">
      <c r="B496" s="23" t="s">
        <v>1263</v>
      </c>
      <c r="C496" s="22" t="s">
        <v>1264</v>
      </c>
      <c r="D496" s="23" t="s">
        <v>374</v>
      </c>
      <c r="E496" s="12">
        <v>1</v>
      </c>
      <c r="F496" s="126">
        <v>779111</v>
      </c>
      <c r="G496" s="126">
        <f t="shared" si="60"/>
        <v>779111</v>
      </c>
      <c r="H496" s="8"/>
      <c r="I496" s="9" t="str">
        <f t="array" ref="I496">_xlfn.XLOOKUP(C496,'Neiva 2022 FASE I ACTUAL (4)'!$C$6:$C$540,'Neiva 2022 FASE I ACTUAL (4)'!$C$6:$F$540,"NO ESTA")</f>
        <v>NO ESTA</v>
      </c>
      <c r="M496" s="124">
        <f t="shared" si="58"/>
        <v>0</v>
      </c>
      <c r="N496" s="155">
        <f t="shared" si="55"/>
        <v>1</v>
      </c>
      <c r="O496" s="156">
        <f t="shared" si="56"/>
        <v>779111</v>
      </c>
      <c r="P496" s="156">
        <f t="shared" si="57"/>
        <v>779111</v>
      </c>
    </row>
    <row r="497" spans="2:16" s="9" customFormat="1" ht="35.1" customHeight="1" x14ac:dyDescent="0.25">
      <c r="B497" s="23" t="s">
        <v>1265</v>
      </c>
      <c r="C497" s="22" t="s">
        <v>1266</v>
      </c>
      <c r="D497" s="23" t="s">
        <v>374</v>
      </c>
      <c r="E497" s="12">
        <v>1</v>
      </c>
      <c r="F497" s="126">
        <v>1474412</v>
      </c>
      <c r="G497" s="126">
        <f t="shared" si="60"/>
        <v>1474412</v>
      </c>
      <c r="H497" s="8"/>
      <c r="I497" s="9" t="str">
        <f t="array" ref="I497">_xlfn.XLOOKUP(C497,'Neiva 2022 FASE I ACTUAL (4)'!$C$6:$C$540,'Neiva 2022 FASE I ACTUAL (4)'!$C$6:$F$540,"NO ESTA")</f>
        <v>NO ESTA</v>
      </c>
      <c r="M497" s="124">
        <f t="shared" si="58"/>
        <v>0</v>
      </c>
      <c r="N497" s="155">
        <f t="shared" si="55"/>
        <v>1</v>
      </c>
      <c r="O497" s="156">
        <f t="shared" si="56"/>
        <v>1474412</v>
      </c>
      <c r="P497" s="156">
        <f t="shared" si="57"/>
        <v>1474412</v>
      </c>
    </row>
    <row r="498" spans="2:16" s="9" customFormat="1" ht="42.75" customHeight="1" x14ac:dyDescent="0.25">
      <c r="B498" s="23" t="s">
        <v>1267</v>
      </c>
      <c r="C498" s="22" t="s">
        <v>1268</v>
      </c>
      <c r="D498" s="23" t="s">
        <v>269</v>
      </c>
      <c r="E498" s="12">
        <v>8</v>
      </c>
      <c r="F498" s="126">
        <v>218590</v>
      </c>
      <c r="G498" s="126">
        <f t="shared" si="60"/>
        <v>1748720</v>
      </c>
      <c r="H498" s="8"/>
      <c r="I498" s="9" t="str">
        <f t="array" ref="I498">_xlfn.XLOOKUP(C498,'Neiva 2022 FASE I ACTUAL (4)'!$C$6:$C$540,'Neiva 2022 FASE I ACTUAL (4)'!$C$6:$F$540,"NO ESTA")</f>
        <v>NO ESTA</v>
      </c>
      <c r="M498" s="124">
        <f t="shared" si="58"/>
        <v>0</v>
      </c>
      <c r="N498" s="155">
        <f t="shared" si="55"/>
        <v>8</v>
      </c>
      <c r="O498" s="156">
        <f t="shared" si="56"/>
        <v>218590</v>
      </c>
      <c r="P498" s="156">
        <f t="shared" si="57"/>
        <v>1748720</v>
      </c>
    </row>
    <row r="499" spans="2:16" s="9" customFormat="1" ht="35.1" customHeight="1" x14ac:dyDescent="0.25">
      <c r="B499" s="23" t="s">
        <v>1269</v>
      </c>
      <c r="C499" s="22" t="s">
        <v>1270</v>
      </c>
      <c r="D499" s="23" t="s">
        <v>374</v>
      </c>
      <c r="E499" s="12">
        <v>2</v>
      </c>
      <c r="F499" s="126">
        <v>218590</v>
      </c>
      <c r="G499" s="126">
        <f t="shared" si="60"/>
        <v>437180</v>
      </c>
      <c r="H499" s="8"/>
      <c r="I499" s="9" t="str">
        <f t="array" ref="I499">_xlfn.XLOOKUP(C499,'Neiva 2022 FASE I ACTUAL (4)'!$C$6:$C$540,'Neiva 2022 FASE I ACTUAL (4)'!$C$6:$F$540,"NO ESTA")</f>
        <v>NO ESTA</v>
      </c>
      <c r="M499" s="124">
        <f t="shared" si="58"/>
        <v>0</v>
      </c>
      <c r="N499" s="155">
        <f t="shared" si="55"/>
        <v>2</v>
      </c>
      <c r="O499" s="156">
        <f t="shared" si="56"/>
        <v>218590</v>
      </c>
      <c r="P499" s="156">
        <f t="shared" si="57"/>
        <v>437180</v>
      </c>
    </row>
    <row r="500" spans="2:16" s="9" customFormat="1" ht="35.1" customHeight="1" x14ac:dyDescent="0.25">
      <c r="B500" s="23" t="s">
        <v>1271</v>
      </c>
      <c r="C500" s="22" t="s">
        <v>1272</v>
      </c>
      <c r="D500" s="23" t="s">
        <v>374</v>
      </c>
      <c r="E500" s="12">
        <v>1</v>
      </c>
      <c r="F500" s="126">
        <v>492365</v>
      </c>
      <c r="G500" s="126">
        <f t="shared" si="60"/>
        <v>492365</v>
      </c>
      <c r="H500" s="8"/>
      <c r="I500" s="9" t="str">
        <f t="array" ref="I500">_xlfn.XLOOKUP(C500,'Neiva 2022 FASE I ACTUAL (4)'!$C$6:$C$540,'Neiva 2022 FASE I ACTUAL (4)'!$C$6:$F$540,"NO ESTA")</f>
        <v>NO ESTA</v>
      </c>
      <c r="M500" s="124">
        <f t="shared" si="58"/>
        <v>0</v>
      </c>
      <c r="N500" s="155">
        <f t="shared" si="55"/>
        <v>1</v>
      </c>
      <c r="O500" s="156">
        <f t="shared" si="56"/>
        <v>492365</v>
      </c>
      <c r="P500" s="156">
        <f t="shared" si="57"/>
        <v>492365</v>
      </c>
    </row>
    <row r="501" spans="2:16" s="9" customFormat="1" ht="37.5" customHeight="1" x14ac:dyDescent="0.25">
      <c r="B501" s="23" t="s">
        <v>1273</v>
      </c>
      <c r="C501" s="22" t="s">
        <v>1274</v>
      </c>
      <c r="D501" s="23" t="s">
        <v>374</v>
      </c>
      <c r="E501" s="12">
        <v>1</v>
      </c>
      <c r="F501" s="126">
        <v>448760</v>
      </c>
      <c r="G501" s="126">
        <f t="shared" si="60"/>
        <v>448760</v>
      </c>
      <c r="H501" s="8"/>
      <c r="I501" s="9" t="str">
        <f t="array" ref="I501">_xlfn.XLOOKUP(C501,'Neiva 2022 FASE I ACTUAL (4)'!$C$6:$C$540,'Neiva 2022 FASE I ACTUAL (4)'!$C$6:$F$540,"NO ESTA")</f>
        <v>NO ESTA</v>
      </c>
      <c r="M501" s="124">
        <f t="shared" si="58"/>
        <v>0</v>
      </c>
      <c r="N501" s="155">
        <f t="shared" si="55"/>
        <v>1</v>
      </c>
      <c r="O501" s="156">
        <f t="shared" si="56"/>
        <v>448760</v>
      </c>
      <c r="P501" s="156">
        <f t="shared" si="57"/>
        <v>448760</v>
      </c>
    </row>
    <row r="502" spans="2:16" s="9" customFormat="1" ht="35.1" customHeight="1" x14ac:dyDescent="0.25">
      <c r="B502" s="23" t="s">
        <v>1275</v>
      </c>
      <c r="C502" s="22" t="s">
        <v>1276</v>
      </c>
      <c r="D502" s="23" t="s">
        <v>269</v>
      </c>
      <c r="E502" s="12">
        <v>8</v>
      </c>
      <c r="F502" s="126">
        <v>110064</v>
      </c>
      <c r="G502" s="126">
        <f t="shared" si="60"/>
        <v>880512</v>
      </c>
      <c r="H502" s="8"/>
      <c r="I502" s="9" t="str">
        <f t="array" ref="I502">_xlfn.XLOOKUP(C502,'Neiva 2022 FASE I ACTUAL (4)'!$C$6:$C$540,'Neiva 2022 FASE I ACTUAL (4)'!$C$6:$F$540,"NO ESTA")</f>
        <v>NO ESTA</v>
      </c>
      <c r="M502" s="124">
        <f t="shared" si="58"/>
        <v>0</v>
      </c>
      <c r="N502" s="155">
        <f t="shared" si="55"/>
        <v>8</v>
      </c>
      <c r="O502" s="156">
        <f t="shared" si="56"/>
        <v>110064</v>
      </c>
      <c r="P502" s="156">
        <f t="shared" si="57"/>
        <v>880512</v>
      </c>
    </row>
    <row r="503" spans="2:16" s="9" customFormat="1" ht="35.1" customHeight="1" x14ac:dyDescent="0.25">
      <c r="B503" s="23" t="s">
        <v>1277</v>
      </c>
      <c r="C503" s="22" t="s">
        <v>1278</v>
      </c>
      <c r="D503" s="23" t="s">
        <v>269</v>
      </c>
      <c r="E503" s="12">
        <v>2</v>
      </c>
      <c r="F503" s="126">
        <v>110064</v>
      </c>
      <c r="G503" s="126">
        <f t="shared" si="60"/>
        <v>220128</v>
      </c>
      <c r="H503" s="8"/>
      <c r="I503" s="9" t="str">
        <f t="array" ref="I503">_xlfn.XLOOKUP(C503,'Neiva 2022 FASE I ACTUAL (4)'!$C$6:$C$540,'Neiva 2022 FASE I ACTUAL (4)'!$C$6:$F$540,"NO ESTA")</f>
        <v>NO ESTA</v>
      </c>
      <c r="M503" s="124">
        <f t="shared" si="58"/>
        <v>0</v>
      </c>
      <c r="N503" s="155">
        <f t="shared" si="55"/>
        <v>2</v>
      </c>
      <c r="O503" s="156">
        <f t="shared" si="56"/>
        <v>110064</v>
      </c>
      <c r="P503" s="156">
        <f t="shared" si="57"/>
        <v>220128</v>
      </c>
    </row>
    <row r="504" spans="2:16" s="9" customFormat="1" ht="35.1" customHeight="1" x14ac:dyDescent="0.25">
      <c r="B504" s="13" t="s">
        <v>1279</v>
      </c>
      <c r="C504" s="14" t="s">
        <v>1280</v>
      </c>
      <c r="D504" s="24"/>
      <c r="E504" s="15"/>
      <c r="F504" s="129"/>
      <c r="G504" s="140"/>
      <c r="H504" s="8"/>
      <c r="I504" s="9" t="str">
        <f t="array" ref="I504">_xlfn.XLOOKUP(C504,'Neiva 2022 FASE I ACTUAL (4)'!$C$6:$C$540,'Neiva 2022 FASE I ACTUAL (4)'!$C$6:$F$540,"NO ESTA")</f>
        <v>NO ESTA</v>
      </c>
      <c r="M504" s="124">
        <f t="shared" si="58"/>
        <v>0</v>
      </c>
      <c r="N504" s="155">
        <f t="shared" si="55"/>
        <v>0</v>
      </c>
      <c r="O504" s="156">
        <f t="shared" si="56"/>
        <v>0</v>
      </c>
      <c r="P504" s="156">
        <f t="shared" si="57"/>
        <v>0</v>
      </c>
    </row>
    <row r="505" spans="2:16" s="9" customFormat="1" ht="35.1" customHeight="1" x14ac:dyDescent="0.25">
      <c r="B505" s="23" t="s">
        <v>1281</v>
      </c>
      <c r="C505" s="22" t="s">
        <v>1282</v>
      </c>
      <c r="D505" s="23" t="s">
        <v>374</v>
      </c>
      <c r="E505" s="12">
        <v>1</v>
      </c>
      <c r="F505" s="126">
        <v>23219474</v>
      </c>
      <c r="G505" s="126">
        <f>ROUND(+F505*E505,2)</f>
        <v>23219474</v>
      </c>
      <c r="H505" s="8"/>
      <c r="I505" s="9" t="str">
        <f t="array" ref="I505">_xlfn.XLOOKUP(C505,'Neiva 2022 FASE I ACTUAL (4)'!$C$6:$C$540,'Neiva 2022 FASE I ACTUAL (4)'!$C$6:$F$540,"NO ESTA")</f>
        <v>NO ESTA</v>
      </c>
      <c r="M505" s="124">
        <f t="shared" si="58"/>
        <v>0</v>
      </c>
      <c r="N505" s="155">
        <f t="shared" si="55"/>
        <v>1</v>
      </c>
      <c r="O505" s="156">
        <f t="shared" si="56"/>
        <v>23219474</v>
      </c>
      <c r="P505" s="156">
        <f t="shared" si="57"/>
        <v>23219474</v>
      </c>
    </row>
    <row r="506" spans="2:16" s="9" customFormat="1" ht="39.950000000000003" customHeight="1" x14ac:dyDescent="0.25">
      <c r="B506" s="13" t="s">
        <v>1283</v>
      </c>
      <c r="C506" s="14" t="s">
        <v>1284</v>
      </c>
      <c r="D506" s="24"/>
      <c r="E506" s="15"/>
      <c r="F506" s="129"/>
      <c r="G506" s="140"/>
      <c r="H506" s="8"/>
      <c r="I506" s="9" t="str">
        <f t="array" ref="I506">_xlfn.XLOOKUP(C506,'Neiva 2022 FASE I ACTUAL (4)'!$C$6:$C$540,'Neiva 2022 FASE I ACTUAL (4)'!$C$6:$F$540,"NO ESTA")</f>
        <v>NO ESTA</v>
      </c>
      <c r="M506" s="124">
        <f t="shared" si="58"/>
        <v>0</v>
      </c>
      <c r="N506" s="155">
        <f t="shared" si="55"/>
        <v>0</v>
      </c>
      <c r="O506" s="156">
        <f t="shared" si="56"/>
        <v>0</v>
      </c>
      <c r="P506" s="156">
        <f t="shared" si="57"/>
        <v>0</v>
      </c>
    </row>
    <row r="507" spans="2:16" s="9" customFormat="1" ht="39.950000000000003" customHeight="1" x14ac:dyDescent="0.25">
      <c r="B507" s="23" t="s">
        <v>1285</v>
      </c>
      <c r="C507" s="22" t="s">
        <v>1286</v>
      </c>
      <c r="D507" s="23" t="s">
        <v>374</v>
      </c>
      <c r="E507" s="12">
        <v>1</v>
      </c>
      <c r="F507" s="126">
        <v>2269168</v>
      </c>
      <c r="G507" s="126">
        <f>ROUND(+F507*E507,2)</f>
        <v>2269168</v>
      </c>
      <c r="H507" s="8"/>
      <c r="I507" s="9" t="str">
        <f t="array" ref="I507">_xlfn.XLOOKUP(C507,'Neiva 2022 FASE I ACTUAL (4)'!$C$6:$C$540,'Neiva 2022 FASE I ACTUAL (4)'!$C$6:$F$540,"NO ESTA")</f>
        <v>NO ESTA</v>
      </c>
      <c r="M507" s="124">
        <f t="shared" si="58"/>
        <v>0</v>
      </c>
      <c r="N507" s="155">
        <f t="shared" si="55"/>
        <v>1</v>
      </c>
      <c r="O507" s="156">
        <f t="shared" si="56"/>
        <v>2269168</v>
      </c>
      <c r="P507" s="156">
        <f t="shared" si="57"/>
        <v>2269168</v>
      </c>
    </row>
    <row r="508" spans="2:16" s="9" customFormat="1" ht="39.950000000000003" customHeight="1" x14ac:dyDescent="0.25">
      <c r="B508" s="23" t="s">
        <v>1287</v>
      </c>
      <c r="C508" s="22" t="s">
        <v>1288</v>
      </c>
      <c r="D508" s="23" t="s">
        <v>269</v>
      </c>
      <c r="E508" s="12">
        <v>10</v>
      </c>
      <c r="F508" s="126">
        <v>100733</v>
      </c>
      <c r="G508" s="126">
        <f>ROUND(+F508*E508,2)</f>
        <v>1007330</v>
      </c>
      <c r="H508" s="8">
        <f>ROUND(F508*(1+$H$3),0)</f>
        <v>196711</v>
      </c>
      <c r="I508" s="9" t="str">
        <f t="array" ref="I508">_xlfn.XLOOKUP(C508,'Neiva 2022 FASE I ACTUAL (4)'!$C$6:$C$540,'Neiva 2022 FASE I ACTUAL (4)'!$C$6:$F$540,"NO ESTA")</f>
        <v>NO ESTA</v>
      </c>
      <c r="M508" s="124">
        <f t="shared" si="58"/>
        <v>0</v>
      </c>
      <c r="N508" s="155">
        <f t="shared" si="55"/>
        <v>10</v>
      </c>
      <c r="O508" s="156">
        <f t="shared" si="56"/>
        <v>100733</v>
      </c>
      <c r="P508" s="156">
        <f t="shared" si="57"/>
        <v>1007330</v>
      </c>
    </row>
    <row r="509" spans="2:16" s="9" customFormat="1" ht="39.950000000000003" customHeight="1" x14ac:dyDescent="0.25">
      <c r="B509" s="23" t="s">
        <v>1289</v>
      </c>
      <c r="C509" s="22" t="s">
        <v>1290</v>
      </c>
      <c r="D509" s="23" t="s">
        <v>269</v>
      </c>
      <c r="E509" s="12">
        <v>5</v>
      </c>
      <c r="F509" s="126">
        <v>184288</v>
      </c>
      <c r="G509" s="126">
        <f>ROUND(+F509*E509,2)</f>
        <v>921440</v>
      </c>
      <c r="H509" s="8">
        <f>ROUND(F509*(1+$H$3),0)</f>
        <v>359878</v>
      </c>
      <c r="I509" s="9" t="str">
        <f t="array" ref="I509">_xlfn.XLOOKUP(C509,'Neiva 2022 FASE I ACTUAL (4)'!$C$6:$C$540,'Neiva 2022 FASE I ACTUAL (4)'!$C$6:$F$540,"NO ESTA")</f>
        <v>NO ESTA</v>
      </c>
      <c r="M509" s="124">
        <f t="shared" si="58"/>
        <v>0</v>
      </c>
      <c r="N509" s="155">
        <f t="shared" si="55"/>
        <v>5</v>
      </c>
      <c r="O509" s="156">
        <f t="shared" si="56"/>
        <v>184288</v>
      </c>
      <c r="P509" s="156">
        <f t="shared" si="57"/>
        <v>921440</v>
      </c>
    </row>
    <row r="510" spans="2:16" s="9" customFormat="1" ht="39.950000000000003" customHeight="1" x14ac:dyDescent="0.25">
      <c r="B510" s="23" t="s">
        <v>1291</v>
      </c>
      <c r="C510" s="22" t="s">
        <v>1292</v>
      </c>
      <c r="D510" s="23" t="s">
        <v>269</v>
      </c>
      <c r="E510" s="12">
        <v>5</v>
      </c>
      <c r="F510" s="126">
        <v>184288</v>
      </c>
      <c r="G510" s="126">
        <f>ROUND(+F510*E510,2)</f>
        <v>921440</v>
      </c>
      <c r="H510" s="8">
        <f>ROUND(F510*(1+$H$3),0)</f>
        <v>359878</v>
      </c>
      <c r="I510" s="9" t="str">
        <f t="array" ref="I510">_xlfn.XLOOKUP(C510,'Neiva 2022 FASE I ACTUAL (4)'!$C$6:$C$540,'Neiva 2022 FASE I ACTUAL (4)'!$C$6:$F$540,"NO ESTA")</f>
        <v>NO ESTA</v>
      </c>
      <c r="M510" s="124">
        <f t="shared" si="58"/>
        <v>0</v>
      </c>
      <c r="N510" s="155">
        <f t="shared" si="55"/>
        <v>5</v>
      </c>
      <c r="O510" s="156">
        <f t="shared" si="56"/>
        <v>184288</v>
      </c>
      <c r="P510" s="156">
        <f t="shared" si="57"/>
        <v>921440</v>
      </c>
    </row>
    <row r="511" spans="2:16" s="9" customFormat="1" ht="35.1" customHeight="1" x14ac:dyDescent="0.25">
      <c r="B511" s="23" t="s">
        <v>1293</v>
      </c>
      <c r="C511" s="22" t="s">
        <v>1294</v>
      </c>
      <c r="D511" s="23" t="s">
        <v>1182</v>
      </c>
      <c r="E511" s="12">
        <v>200</v>
      </c>
      <c r="F511" s="126">
        <v>12373</v>
      </c>
      <c r="G511" s="126">
        <f>ROUND(+F511*E511,2)</f>
        <v>2474600</v>
      </c>
      <c r="H511" s="8"/>
      <c r="I511" s="9" t="str">
        <f t="array" ref="I511">_xlfn.XLOOKUP(C511,'Neiva 2022 FASE I ACTUAL (4)'!$C$6:$C$540,'Neiva 2022 FASE I ACTUAL (4)'!$C$6:$F$540,"NO ESTA")</f>
        <v>NO ESTA</v>
      </c>
      <c r="M511" s="124">
        <f t="shared" si="58"/>
        <v>0</v>
      </c>
      <c r="N511" s="155">
        <f t="shared" si="55"/>
        <v>200</v>
      </c>
      <c r="O511" s="156">
        <f t="shared" si="56"/>
        <v>12373</v>
      </c>
      <c r="P511" s="156">
        <f t="shared" si="57"/>
        <v>2474600</v>
      </c>
    </row>
    <row r="512" spans="2:16" s="9" customFormat="1" ht="35.1" customHeight="1" x14ac:dyDescent="0.25">
      <c r="B512" s="57">
        <v>16</v>
      </c>
      <c r="C512" s="58" t="s">
        <v>712</v>
      </c>
      <c r="D512" s="34"/>
      <c r="E512" s="35"/>
      <c r="F512" s="132"/>
      <c r="G512" s="142"/>
      <c r="H512" s="8"/>
      <c r="I512" s="9" t="str">
        <f t="array" ref="I512:L512">_xlfn.XLOOKUP(C512,'Neiva 2022 FASE I ACTUAL (4)'!$C$6:$C$540,'Neiva 2022 FASE I ACTUAL (4)'!$C$6:$F$540,"NO ESTA")</f>
        <v>LUMINARIAS Y LAMPARAS</v>
      </c>
      <c r="J512" s="9">
        <v>0</v>
      </c>
      <c r="K512" s="9">
        <v>0</v>
      </c>
      <c r="L512" s="9">
        <v>0</v>
      </c>
      <c r="M512" s="124">
        <f t="shared" si="58"/>
        <v>0</v>
      </c>
      <c r="N512" s="155">
        <f t="shared" si="55"/>
        <v>0</v>
      </c>
      <c r="O512" s="156">
        <f t="shared" si="56"/>
        <v>0</v>
      </c>
      <c r="P512" s="156">
        <f t="shared" si="57"/>
        <v>0</v>
      </c>
    </row>
    <row r="513" spans="2:16" s="9" customFormat="1" ht="35.1" customHeight="1" x14ac:dyDescent="0.25">
      <c r="B513" s="13" t="s">
        <v>713</v>
      </c>
      <c r="C513" s="24" t="s">
        <v>714</v>
      </c>
      <c r="D513" s="24"/>
      <c r="E513" s="15"/>
      <c r="F513" s="129"/>
      <c r="G513" s="140"/>
      <c r="H513" s="8"/>
      <c r="I513" s="9" t="str">
        <f t="array" ref="I513:L513">_xlfn.XLOOKUP(C513,'Neiva 2022 FASE I ACTUAL (4)'!$C$6:$C$540,'Neiva 2022 FASE I ACTUAL (4)'!$C$6:$F$540,"NO ESTA")</f>
        <v xml:space="preserve">SUMINISTRO E INSTALACIÓN DE LÁMPARAS FLUORESCENTES </v>
      </c>
      <c r="J513" s="9">
        <v>0</v>
      </c>
      <c r="K513" s="9">
        <v>0</v>
      </c>
      <c r="L513" s="9">
        <v>0</v>
      </c>
      <c r="M513" s="124">
        <f t="shared" si="58"/>
        <v>0</v>
      </c>
      <c r="N513" s="155">
        <f t="shared" si="55"/>
        <v>0</v>
      </c>
      <c r="O513" s="156">
        <f t="shared" si="56"/>
        <v>0</v>
      </c>
      <c r="P513" s="156">
        <f t="shared" si="57"/>
        <v>0</v>
      </c>
    </row>
    <row r="514" spans="2:16" s="9" customFormat="1" ht="35.1" customHeight="1" x14ac:dyDescent="0.25">
      <c r="B514" s="23" t="s">
        <v>715</v>
      </c>
      <c r="C514" s="87" t="s">
        <v>716</v>
      </c>
      <c r="D514" s="23" t="s">
        <v>374</v>
      </c>
      <c r="E514" s="12">
        <v>153</v>
      </c>
      <c r="F514" s="126">
        <v>97894</v>
      </c>
      <c r="G514" s="126">
        <f t="shared" ref="G514:G522" si="61">ROUND(+F514*E514,2)</f>
        <v>14977782</v>
      </c>
      <c r="H514" s="8"/>
      <c r="I514" s="9" t="str">
        <f t="array" ref="I514:L514">_xlfn.XLOOKUP(C514,'Neiva 2022 FASE I ACTUAL (4)'!$C$6:$C$540,'Neiva 2022 FASE I ACTUAL (4)'!$C$6:$F$540,"NO ESTA")</f>
        <v>SUMINISTRO E INSTALACIÓN LÁMPARA LED 1x28 W</v>
      </c>
      <c r="J514" s="9" t="str">
        <v>UN</v>
      </c>
      <c r="K514" s="9">
        <v>57</v>
      </c>
      <c r="L514" s="9">
        <v>132079</v>
      </c>
      <c r="M514" s="124" t="str">
        <f t="shared" si="58"/>
        <v>FASE I</v>
      </c>
      <c r="N514" s="155">
        <f t="shared" si="55"/>
        <v>210</v>
      </c>
      <c r="O514" s="156">
        <f t="shared" si="56"/>
        <v>132079</v>
      </c>
      <c r="P514" s="156">
        <f t="shared" si="57"/>
        <v>27736590</v>
      </c>
    </row>
    <row r="515" spans="2:16" s="9" customFormat="1" ht="35.1" customHeight="1" x14ac:dyDescent="0.25">
      <c r="B515" s="23" t="s">
        <v>717</v>
      </c>
      <c r="C515" s="87" t="s">
        <v>718</v>
      </c>
      <c r="D515" s="23" t="s">
        <v>374</v>
      </c>
      <c r="E515" s="12">
        <v>82</v>
      </c>
      <c r="F515" s="126">
        <v>178068</v>
      </c>
      <c r="G515" s="126">
        <f t="shared" si="61"/>
        <v>14601576</v>
      </c>
      <c r="H515" s="8"/>
      <c r="I515" s="9" t="str">
        <f t="array" ref="I515:L515">_xlfn.XLOOKUP(C515,'Neiva 2022 FASE I ACTUAL (4)'!$C$6:$C$540,'Neiva 2022 FASE I ACTUAL (4)'!$C$6:$F$540,"NO ESTA")</f>
        <v>SUMINISTRO E INSTALACIÓN LÁMPARA LED 2x54 W</v>
      </c>
      <c r="J515" s="9" t="str">
        <v>UN</v>
      </c>
      <c r="K515" s="9">
        <v>30</v>
      </c>
      <c r="L515" s="9">
        <v>213588</v>
      </c>
      <c r="M515" s="124" t="str">
        <f t="shared" si="58"/>
        <v>FASE I</v>
      </c>
      <c r="N515" s="155">
        <f t="shared" si="55"/>
        <v>112</v>
      </c>
      <c r="O515" s="156">
        <f t="shared" si="56"/>
        <v>213588</v>
      </c>
      <c r="P515" s="156">
        <f t="shared" si="57"/>
        <v>23921856</v>
      </c>
    </row>
    <row r="516" spans="2:16" s="9" customFormat="1" ht="35.1" customHeight="1" x14ac:dyDescent="0.25">
      <c r="B516" s="23" t="s">
        <v>719</v>
      </c>
      <c r="C516" s="22" t="s">
        <v>720</v>
      </c>
      <c r="D516" s="23" t="s">
        <v>374</v>
      </c>
      <c r="E516" s="12">
        <v>121</v>
      </c>
      <c r="F516" s="126">
        <v>190945</v>
      </c>
      <c r="G516" s="126">
        <f t="shared" si="61"/>
        <v>23104345</v>
      </c>
      <c r="H516" s="8"/>
      <c r="I516" s="9" t="str">
        <f t="array" ref="I516:L516">_xlfn.XLOOKUP(C516,'Neiva 2022 FASE I ACTUAL (4)'!$C$6:$C$540,'Neiva 2022 FASE I ACTUAL (4)'!$C$6:$F$540,"NO ESTA")</f>
        <v>SUMINISTRO E INSTALACIÓN BALA LED 35W 120 V</v>
      </c>
      <c r="J516" s="9" t="str">
        <v>UN</v>
      </c>
      <c r="K516" s="9">
        <v>45</v>
      </c>
      <c r="L516" s="9">
        <v>185607</v>
      </c>
      <c r="M516" s="124" t="str">
        <f t="shared" si="58"/>
        <v>FASE II</v>
      </c>
      <c r="N516" s="155">
        <f t="shared" si="55"/>
        <v>166</v>
      </c>
      <c r="O516" s="156">
        <f t="shared" si="56"/>
        <v>190945</v>
      </c>
      <c r="P516" s="156">
        <f t="shared" si="57"/>
        <v>31696870</v>
      </c>
    </row>
    <row r="517" spans="2:16" s="9" customFormat="1" ht="35.1" customHeight="1" x14ac:dyDescent="0.25">
      <c r="B517" s="23" t="s">
        <v>721</v>
      </c>
      <c r="C517" s="22" t="s">
        <v>722</v>
      </c>
      <c r="D517" s="23" t="s">
        <v>374</v>
      </c>
      <c r="E517" s="12">
        <v>50</v>
      </c>
      <c r="F517" s="126">
        <v>140842</v>
      </c>
      <c r="G517" s="126">
        <f t="shared" si="61"/>
        <v>7042100</v>
      </c>
      <c r="H517" s="8"/>
      <c r="I517" s="9" t="str">
        <f t="array" ref="I517:L517">_xlfn.XLOOKUP(C517,'Neiva 2022 FASE I ACTUAL (4)'!$C$6:$C$540,'Neiva 2022 FASE I ACTUAL (4)'!$C$6:$F$540,"NO ESTA")</f>
        <v>SUMINISTRO E INSTALACIÓN BALA RECESADA LED 10W 120 V</v>
      </c>
      <c r="J517" s="9" t="str">
        <v>UN</v>
      </c>
      <c r="K517" s="9">
        <v>19</v>
      </c>
      <c r="L517" s="9">
        <v>136906</v>
      </c>
      <c r="M517" s="124" t="str">
        <f t="shared" si="58"/>
        <v>FASE II</v>
      </c>
      <c r="N517" s="155">
        <f t="shared" si="55"/>
        <v>69</v>
      </c>
      <c r="O517" s="156">
        <f t="shared" si="56"/>
        <v>140842</v>
      </c>
      <c r="P517" s="156">
        <f t="shared" si="57"/>
        <v>9718098</v>
      </c>
    </row>
    <row r="518" spans="2:16" s="9" customFormat="1" ht="35.1" customHeight="1" x14ac:dyDescent="0.25">
      <c r="B518" s="23" t="s">
        <v>723</v>
      </c>
      <c r="C518" s="22" t="s">
        <v>724</v>
      </c>
      <c r="D518" s="23" t="s">
        <v>374</v>
      </c>
      <c r="E518" s="12">
        <v>184</v>
      </c>
      <c r="F518" s="126">
        <v>226917</v>
      </c>
      <c r="G518" s="126">
        <f t="shared" si="61"/>
        <v>41752728</v>
      </c>
      <c r="H518" s="8"/>
      <c r="I518" s="9" t="str">
        <f t="array" ref="I518:L518">_xlfn.XLOOKUP(C518,'Neiva 2022 FASE I ACTUAL (4)'!$C$6:$C$540,'Neiva 2022 FASE I ACTUAL (4)'!$C$6:$F$540,"NO ESTA")</f>
        <v>SUMINISTRO E INSTALACIÓN LUMINARIA LED 2x26W 120V</v>
      </c>
      <c r="J518" s="9" t="str">
        <v>UN</v>
      </c>
      <c r="K518" s="9">
        <v>68</v>
      </c>
      <c r="L518" s="9">
        <v>220574</v>
      </c>
      <c r="M518" s="124" t="str">
        <f t="shared" si="58"/>
        <v>FASE II</v>
      </c>
      <c r="N518" s="155">
        <f t="shared" ref="N518:N581" si="62">E518+K518</f>
        <v>252</v>
      </c>
      <c r="O518" s="156">
        <f t="shared" ref="O518:O581" si="63">MAX(L518,F518)</f>
        <v>226917</v>
      </c>
      <c r="P518" s="156">
        <f t="shared" ref="P518:P581" si="64">N518*O518</f>
        <v>57183084</v>
      </c>
    </row>
    <row r="519" spans="2:16" s="9" customFormat="1" ht="35.1" customHeight="1" x14ac:dyDescent="0.25">
      <c r="B519" s="23" t="s">
        <v>725</v>
      </c>
      <c r="C519" s="22" t="s">
        <v>726</v>
      </c>
      <c r="D519" s="23" t="s">
        <v>374</v>
      </c>
      <c r="E519" s="12">
        <v>6</v>
      </c>
      <c r="F519" s="126">
        <v>270567</v>
      </c>
      <c r="G519" s="126">
        <f t="shared" si="61"/>
        <v>1623402</v>
      </c>
      <c r="H519" s="8"/>
      <c r="I519" s="9" t="str">
        <f t="array" ref="I519:L519">_xlfn.XLOOKUP(C519,'Neiva 2022 FASE I ACTUAL (4)'!$C$6:$C$540,'Neiva 2022 FASE I ACTUAL (4)'!$C$6:$F$540,"NO ESTA")</f>
        <v>SUMINISTRO E INSTALACIÓN REFLECTOR DE LUZ INDIRECTA</v>
      </c>
      <c r="J519" s="9" t="str">
        <v>UN</v>
      </c>
      <c r="K519" s="9">
        <v>2</v>
      </c>
      <c r="L519" s="9">
        <v>263004</v>
      </c>
      <c r="M519" s="124" t="str">
        <f t="shared" si="58"/>
        <v>FASE II</v>
      </c>
      <c r="N519" s="155">
        <f t="shared" si="62"/>
        <v>8</v>
      </c>
      <c r="O519" s="156">
        <f t="shared" si="63"/>
        <v>270567</v>
      </c>
      <c r="P519" s="156">
        <f t="shared" si="64"/>
        <v>2164536</v>
      </c>
    </row>
    <row r="520" spans="2:16" s="9" customFormat="1" ht="35.1" customHeight="1" x14ac:dyDescent="0.25">
      <c r="B520" s="23" t="s">
        <v>727</v>
      </c>
      <c r="C520" s="22" t="s">
        <v>728</v>
      </c>
      <c r="D520" s="23" t="s">
        <v>374</v>
      </c>
      <c r="E520" s="12">
        <v>6</v>
      </c>
      <c r="F520" s="126">
        <v>199908</v>
      </c>
      <c r="G520" s="126">
        <f t="shared" si="61"/>
        <v>1199448</v>
      </c>
      <c r="H520" s="8"/>
      <c r="I520" s="9" t="str">
        <f t="array" ref="I520:L520">_xlfn.XLOOKUP(C520,'Neiva 2022 FASE I ACTUAL (4)'!$C$6:$C$540,'Neiva 2022 FASE I ACTUAL (4)'!$C$6:$F$540,"NO ESTA")</f>
        <v>SUMINISTRO E INSTALACIÓN APLIQUE DE ESCALERA 1000W 120V</v>
      </c>
      <c r="J520" s="9" t="str">
        <v>UN</v>
      </c>
      <c r="K520" s="9">
        <v>2</v>
      </c>
      <c r="L520" s="9">
        <v>194320</v>
      </c>
      <c r="M520" s="124" t="str">
        <f t="shared" ref="M520:M583" si="65">IF(L520=0,0,(IF(F520&lt;L520, "FASE I","FASE II")))</f>
        <v>FASE II</v>
      </c>
      <c r="N520" s="155">
        <f t="shared" si="62"/>
        <v>8</v>
      </c>
      <c r="O520" s="156">
        <f t="shared" si="63"/>
        <v>199908</v>
      </c>
      <c r="P520" s="156">
        <f t="shared" si="64"/>
        <v>1599264</v>
      </c>
    </row>
    <row r="521" spans="2:16" s="9" customFormat="1" ht="35.1" customHeight="1" x14ac:dyDescent="0.25">
      <c r="B521" s="23" t="s">
        <v>729</v>
      </c>
      <c r="C521" s="55" t="s">
        <v>730</v>
      </c>
      <c r="D521" s="56" t="s">
        <v>374</v>
      </c>
      <c r="E521" s="12">
        <v>67</v>
      </c>
      <c r="F521" s="126">
        <v>97132</v>
      </c>
      <c r="G521" s="126">
        <f t="shared" si="61"/>
        <v>6507844</v>
      </c>
      <c r="H521" s="8"/>
      <c r="I521" s="9" t="str">
        <f t="array" ref="I521:L521">_xlfn.XLOOKUP(C521,'Neiva 2022 FASE I ACTUAL (4)'!$C$6:$C$540,'Neiva 2022 FASE I ACTUAL (4)'!$C$6:$F$540,"NO ESTA")</f>
        <v>SUMINISTRO E INSTALACIÓN BALAS LED DE PISO 3W 120V</v>
      </c>
      <c r="J521" s="9" t="str">
        <v>UN</v>
      </c>
      <c r="K521" s="9">
        <v>25</v>
      </c>
      <c r="L521" s="9">
        <v>94417</v>
      </c>
      <c r="M521" s="124" t="str">
        <f t="shared" si="65"/>
        <v>FASE II</v>
      </c>
      <c r="N521" s="155">
        <f t="shared" si="62"/>
        <v>92</v>
      </c>
      <c r="O521" s="156">
        <f t="shared" si="63"/>
        <v>97132</v>
      </c>
      <c r="P521" s="156">
        <f t="shared" si="64"/>
        <v>8936144</v>
      </c>
    </row>
    <row r="522" spans="2:16" s="9" customFormat="1" ht="35.1" customHeight="1" x14ac:dyDescent="0.25">
      <c r="B522" s="23" t="s">
        <v>731</v>
      </c>
      <c r="C522" s="22" t="s">
        <v>732</v>
      </c>
      <c r="D522" s="23" t="s">
        <v>374</v>
      </c>
      <c r="E522" s="12">
        <v>10</v>
      </c>
      <c r="F522" s="126">
        <v>77862</v>
      </c>
      <c r="G522" s="126">
        <f t="shared" si="61"/>
        <v>778620</v>
      </c>
      <c r="H522" s="8"/>
      <c r="I522" s="9" t="str">
        <f t="array" ref="I522:L522">_xlfn.XLOOKUP(C522,'Neiva 2022 FASE I ACTUAL (4)'!$C$6:$C$540,'Neiva 2022 FASE I ACTUAL (4)'!$C$6:$F$540,"NO ESTA")</f>
        <v>SUMINISTRO E INSTALACIÓN BALAS DE PISO 50W 120 V</v>
      </c>
      <c r="J522" s="9" t="str">
        <v>UN</v>
      </c>
      <c r="K522" s="9">
        <v>4</v>
      </c>
      <c r="L522" s="9">
        <v>75686</v>
      </c>
      <c r="M522" s="124" t="str">
        <f t="shared" si="65"/>
        <v>FASE II</v>
      </c>
      <c r="N522" s="155">
        <f t="shared" si="62"/>
        <v>14</v>
      </c>
      <c r="O522" s="156">
        <f t="shared" si="63"/>
        <v>77862</v>
      </c>
      <c r="P522" s="156">
        <f t="shared" si="64"/>
        <v>1090068</v>
      </c>
    </row>
    <row r="523" spans="2:16" s="9" customFormat="1" ht="35.1" customHeight="1" x14ac:dyDescent="0.25">
      <c r="B523" s="33">
        <v>17</v>
      </c>
      <c r="C523" s="34" t="s">
        <v>733</v>
      </c>
      <c r="D523" s="34"/>
      <c r="E523" s="35"/>
      <c r="F523" s="132"/>
      <c r="G523" s="142"/>
      <c r="H523" s="8"/>
      <c r="I523" s="9" t="str">
        <f t="array" ref="I523:L523">_xlfn.XLOOKUP(C523,'Neiva 2022 FASE I ACTUAL (4)'!$C$6:$C$540,'Neiva 2022 FASE I ACTUAL (4)'!$C$6:$F$540,"NO ESTA")</f>
        <v>AIRE ACONDICIONADO</v>
      </c>
      <c r="J523" s="9">
        <v>0</v>
      </c>
      <c r="K523" s="9">
        <v>0</v>
      </c>
      <c r="L523" s="9">
        <v>0</v>
      </c>
      <c r="M523" s="124">
        <f t="shared" si="65"/>
        <v>0</v>
      </c>
      <c r="N523" s="155">
        <f t="shared" si="62"/>
        <v>0</v>
      </c>
      <c r="O523" s="156">
        <f t="shared" si="63"/>
        <v>0</v>
      </c>
      <c r="P523" s="156">
        <f t="shared" si="64"/>
        <v>0</v>
      </c>
    </row>
    <row r="524" spans="2:16" s="9" customFormat="1" ht="35.1" customHeight="1" x14ac:dyDescent="0.25">
      <c r="B524" s="13" t="s">
        <v>1295</v>
      </c>
      <c r="C524" s="24" t="s">
        <v>1296</v>
      </c>
      <c r="D524" s="24"/>
      <c r="E524" s="15"/>
      <c r="F524" s="129"/>
      <c r="G524" s="140"/>
      <c r="H524" s="8"/>
      <c r="I524" s="9" t="str">
        <f t="array" ref="I524">_xlfn.XLOOKUP(C524,'Neiva 2022 FASE I ACTUAL (4)'!$C$6:$C$540,'Neiva 2022 FASE I ACTUAL (4)'!$C$6:$F$540,"NO ESTA")</f>
        <v>NO ESTA</v>
      </c>
      <c r="M524" s="124">
        <f t="shared" si="65"/>
        <v>0</v>
      </c>
      <c r="N524" s="155">
        <f t="shared" si="62"/>
        <v>0</v>
      </c>
      <c r="O524" s="156">
        <f t="shared" si="63"/>
        <v>0</v>
      </c>
      <c r="P524" s="156">
        <f t="shared" si="64"/>
        <v>0</v>
      </c>
    </row>
    <row r="525" spans="2:16" s="9" customFormat="1" ht="35.1" customHeight="1" x14ac:dyDescent="0.25">
      <c r="B525" s="23" t="s">
        <v>1297</v>
      </c>
      <c r="C525" s="22" t="s">
        <v>1298</v>
      </c>
      <c r="D525" s="10" t="s">
        <v>16</v>
      </c>
      <c r="E525" s="12">
        <v>1</v>
      </c>
      <c r="F525" s="126">
        <v>240166908</v>
      </c>
      <c r="G525" s="126">
        <f t="shared" ref="G525:G539" si="66">ROUND(+F525*E525,2)</f>
        <v>240166908</v>
      </c>
      <c r="H525" s="8"/>
      <c r="I525" s="9" t="str">
        <f t="array" ref="I525">_xlfn.XLOOKUP(C525,'Neiva 2022 FASE I ACTUAL (4)'!$C$6:$C$540,'Neiva 2022 FASE I ACTUAL (4)'!$C$6:$F$540,"NO ESTA")</f>
        <v>NO ESTA</v>
      </c>
      <c r="M525" s="124">
        <f t="shared" si="65"/>
        <v>0</v>
      </c>
      <c r="N525" s="155">
        <f t="shared" si="62"/>
        <v>1</v>
      </c>
      <c r="O525" s="156">
        <f t="shared" si="63"/>
        <v>240166908</v>
      </c>
      <c r="P525" s="156">
        <f t="shared" si="64"/>
        <v>240166908</v>
      </c>
    </row>
    <row r="526" spans="2:16" s="9" customFormat="1" ht="35.1" customHeight="1" x14ac:dyDescent="0.25">
      <c r="B526" s="23" t="s">
        <v>1299</v>
      </c>
      <c r="C526" s="22" t="s">
        <v>1300</v>
      </c>
      <c r="D526" s="10" t="s">
        <v>16</v>
      </c>
      <c r="E526" s="12">
        <v>1</v>
      </c>
      <c r="F526" s="126">
        <v>192633008</v>
      </c>
      <c r="G526" s="126">
        <f t="shared" si="66"/>
        <v>192633008</v>
      </c>
      <c r="H526" s="8"/>
      <c r="I526" s="9" t="str">
        <f t="array" ref="I526">_xlfn.XLOOKUP(C526,'Neiva 2022 FASE I ACTUAL (4)'!$C$6:$C$540,'Neiva 2022 FASE I ACTUAL (4)'!$C$6:$F$540,"NO ESTA")</f>
        <v>NO ESTA</v>
      </c>
      <c r="M526" s="124">
        <f t="shared" si="65"/>
        <v>0</v>
      </c>
      <c r="N526" s="155">
        <f t="shared" si="62"/>
        <v>1</v>
      </c>
      <c r="O526" s="156">
        <f t="shared" si="63"/>
        <v>192633008</v>
      </c>
      <c r="P526" s="156">
        <f t="shared" si="64"/>
        <v>192633008</v>
      </c>
    </row>
    <row r="527" spans="2:16" s="9" customFormat="1" ht="35.1" customHeight="1" x14ac:dyDescent="0.25">
      <c r="B527" s="23" t="s">
        <v>1301</v>
      </c>
      <c r="C527" s="22" t="s">
        <v>1302</v>
      </c>
      <c r="D527" s="10" t="s">
        <v>16</v>
      </c>
      <c r="E527" s="12">
        <v>2</v>
      </c>
      <c r="F527" s="126">
        <v>835146</v>
      </c>
      <c r="G527" s="126">
        <f t="shared" si="66"/>
        <v>1670292</v>
      </c>
      <c r="H527" s="8"/>
      <c r="I527" s="9" t="str">
        <f t="array" ref="I527">_xlfn.XLOOKUP(C527,'Neiva 2022 FASE I ACTUAL (4)'!$C$6:$C$540,'Neiva 2022 FASE I ACTUAL (4)'!$C$6:$F$540,"NO ESTA")</f>
        <v>NO ESTA</v>
      </c>
      <c r="M527" s="124">
        <f t="shared" si="65"/>
        <v>0</v>
      </c>
      <c r="N527" s="155">
        <f t="shared" si="62"/>
        <v>2</v>
      </c>
      <c r="O527" s="156">
        <f t="shared" si="63"/>
        <v>835146</v>
      </c>
      <c r="P527" s="156">
        <f t="shared" si="64"/>
        <v>1670292</v>
      </c>
    </row>
    <row r="528" spans="2:16" s="9" customFormat="1" ht="35.1" customHeight="1" x14ac:dyDescent="0.25">
      <c r="B528" s="23" t="s">
        <v>1303</v>
      </c>
      <c r="C528" s="22" t="s">
        <v>1304</v>
      </c>
      <c r="D528" s="10" t="s">
        <v>16</v>
      </c>
      <c r="E528" s="12">
        <v>9</v>
      </c>
      <c r="F528" s="126">
        <v>3210413</v>
      </c>
      <c r="G528" s="126">
        <f t="shared" si="66"/>
        <v>28893717</v>
      </c>
      <c r="H528" s="8"/>
      <c r="I528" s="9" t="str">
        <f t="array" ref="I528">_xlfn.XLOOKUP(C528,'Neiva 2022 FASE I ACTUAL (4)'!$C$6:$C$540,'Neiva 2022 FASE I ACTUAL (4)'!$C$6:$F$540,"NO ESTA")</f>
        <v>NO ESTA</v>
      </c>
      <c r="M528" s="124">
        <f t="shared" si="65"/>
        <v>0</v>
      </c>
      <c r="N528" s="155">
        <f t="shared" si="62"/>
        <v>9</v>
      </c>
      <c r="O528" s="156">
        <f t="shared" si="63"/>
        <v>3210413</v>
      </c>
      <c r="P528" s="156">
        <f t="shared" si="64"/>
        <v>28893717</v>
      </c>
    </row>
    <row r="529" spans="2:16" s="9" customFormat="1" ht="35.1" customHeight="1" x14ac:dyDescent="0.25">
      <c r="B529" s="23" t="s">
        <v>1305</v>
      </c>
      <c r="C529" s="22" t="s">
        <v>1306</v>
      </c>
      <c r="D529" s="10" t="s">
        <v>16</v>
      </c>
      <c r="E529" s="12">
        <v>16</v>
      </c>
      <c r="F529" s="126">
        <v>2182653</v>
      </c>
      <c r="G529" s="126">
        <f t="shared" si="66"/>
        <v>34922448</v>
      </c>
      <c r="H529" s="8"/>
      <c r="I529" s="9" t="str">
        <f t="array" ref="I529">_xlfn.XLOOKUP(C529,'Neiva 2022 FASE I ACTUAL (4)'!$C$6:$C$540,'Neiva 2022 FASE I ACTUAL (4)'!$C$6:$F$540,"NO ESTA")</f>
        <v>NO ESTA</v>
      </c>
      <c r="M529" s="124">
        <f t="shared" si="65"/>
        <v>0</v>
      </c>
      <c r="N529" s="155">
        <f t="shared" si="62"/>
        <v>16</v>
      </c>
      <c r="O529" s="156">
        <f t="shared" si="63"/>
        <v>2182653</v>
      </c>
      <c r="P529" s="156">
        <f t="shared" si="64"/>
        <v>34922448</v>
      </c>
    </row>
    <row r="530" spans="2:16" s="9" customFormat="1" ht="35.1" customHeight="1" x14ac:dyDescent="0.25">
      <c r="B530" s="23" t="s">
        <v>1307</v>
      </c>
      <c r="C530" s="22" t="s">
        <v>1308</v>
      </c>
      <c r="D530" s="10" t="s">
        <v>16</v>
      </c>
      <c r="E530" s="12">
        <v>1</v>
      </c>
      <c r="F530" s="126">
        <v>2054183</v>
      </c>
      <c r="G530" s="126">
        <f t="shared" si="66"/>
        <v>2054183</v>
      </c>
      <c r="H530" s="8"/>
      <c r="I530" s="9" t="str">
        <f t="array" ref="I530">_xlfn.XLOOKUP(C530,'Neiva 2022 FASE I ACTUAL (4)'!$C$6:$C$540,'Neiva 2022 FASE I ACTUAL (4)'!$C$6:$F$540,"NO ESTA")</f>
        <v>NO ESTA</v>
      </c>
      <c r="M530" s="124">
        <f t="shared" si="65"/>
        <v>0</v>
      </c>
      <c r="N530" s="155">
        <f t="shared" si="62"/>
        <v>1</v>
      </c>
      <c r="O530" s="156">
        <f t="shared" si="63"/>
        <v>2054183</v>
      </c>
      <c r="P530" s="156">
        <f t="shared" si="64"/>
        <v>2054183</v>
      </c>
    </row>
    <row r="531" spans="2:16" s="9" customFormat="1" ht="35.1" customHeight="1" x14ac:dyDescent="0.25">
      <c r="B531" s="23" t="s">
        <v>1309</v>
      </c>
      <c r="C531" s="22" t="s">
        <v>1310</v>
      </c>
      <c r="D531" s="10" t="s">
        <v>16</v>
      </c>
      <c r="E531" s="12">
        <v>1</v>
      </c>
      <c r="F531" s="126">
        <v>1925713</v>
      </c>
      <c r="G531" s="126">
        <f t="shared" si="66"/>
        <v>1925713</v>
      </c>
      <c r="H531" s="8"/>
      <c r="I531" s="9" t="str">
        <f t="array" ref="I531">_xlfn.XLOOKUP(C531,'Neiva 2022 FASE I ACTUAL (4)'!$C$6:$C$540,'Neiva 2022 FASE I ACTUAL (4)'!$C$6:$F$540,"NO ESTA")</f>
        <v>NO ESTA</v>
      </c>
      <c r="M531" s="124">
        <f t="shared" si="65"/>
        <v>0</v>
      </c>
      <c r="N531" s="155">
        <f t="shared" si="62"/>
        <v>1</v>
      </c>
      <c r="O531" s="156">
        <f t="shared" si="63"/>
        <v>1925713</v>
      </c>
      <c r="P531" s="156">
        <f t="shared" si="64"/>
        <v>1925713</v>
      </c>
    </row>
    <row r="532" spans="2:16" s="9" customFormat="1" ht="35.1" customHeight="1" x14ac:dyDescent="0.25">
      <c r="B532" s="23" t="s">
        <v>1311</v>
      </c>
      <c r="C532" s="22" t="s">
        <v>1312</v>
      </c>
      <c r="D532" s="10" t="s">
        <v>16</v>
      </c>
      <c r="E532" s="12">
        <v>3</v>
      </c>
      <c r="F532" s="126">
        <v>1154893</v>
      </c>
      <c r="G532" s="126">
        <f t="shared" si="66"/>
        <v>3464679</v>
      </c>
      <c r="H532" s="8"/>
      <c r="I532" s="9" t="str">
        <f t="array" ref="I532">_xlfn.XLOOKUP(C532,'Neiva 2022 FASE I ACTUAL (4)'!$C$6:$C$540,'Neiva 2022 FASE I ACTUAL (4)'!$C$6:$F$540,"NO ESTA")</f>
        <v>NO ESTA</v>
      </c>
      <c r="M532" s="124">
        <f t="shared" si="65"/>
        <v>0</v>
      </c>
      <c r="N532" s="155">
        <f t="shared" si="62"/>
        <v>3</v>
      </c>
      <c r="O532" s="156">
        <f t="shared" si="63"/>
        <v>1154893</v>
      </c>
      <c r="P532" s="156">
        <f t="shared" si="64"/>
        <v>3464679</v>
      </c>
    </row>
    <row r="533" spans="2:16" s="9" customFormat="1" ht="35.1" customHeight="1" x14ac:dyDescent="0.25">
      <c r="B533" s="23" t="s">
        <v>1313</v>
      </c>
      <c r="C533" s="22" t="s">
        <v>1314</v>
      </c>
      <c r="D533" s="10" t="s">
        <v>16</v>
      </c>
      <c r="E533" s="12">
        <v>3</v>
      </c>
      <c r="F533" s="126">
        <v>1527456</v>
      </c>
      <c r="G533" s="126">
        <f t="shared" si="66"/>
        <v>4582368</v>
      </c>
      <c r="H533" s="8"/>
      <c r="I533" s="9" t="str">
        <f t="array" ref="I533">_xlfn.XLOOKUP(C533,'Neiva 2022 FASE I ACTUAL (4)'!$C$6:$C$540,'Neiva 2022 FASE I ACTUAL (4)'!$C$6:$F$540,"NO ESTA")</f>
        <v>NO ESTA</v>
      </c>
      <c r="M533" s="124">
        <f t="shared" si="65"/>
        <v>0</v>
      </c>
      <c r="N533" s="155">
        <f t="shared" si="62"/>
        <v>3</v>
      </c>
      <c r="O533" s="156">
        <f t="shared" si="63"/>
        <v>1527456</v>
      </c>
      <c r="P533" s="156">
        <f t="shared" si="64"/>
        <v>4582368</v>
      </c>
    </row>
    <row r="534" spans="2:16" s="9" customFormat="1" ht="35.1" customHeight="1" x14ac:dyDescent="0.25">
      <c r="B534" s="23" t="s">
        <v>1315</v>
      </c>
      <c r="C534" s="22" t="s">
        <v>1316</v>
      </c>
      <c r="D534" s="10" t="s">
        <v>16</v>
      </c>
      <c r="E534" s="12">
        <v>1</v>
      </c>
      <c r="F534" s="126">
        <v>1649502</v>
      </c>
      <c r="G534" s="126">
        <f t="shared" si="66"/>
        <v>1649502</v>
      </c>
      <c r="H534" s="8"/>
      <c r="I534" s="9" t="str">
        <f t="array" ref="I534">_xlfn.XLOOKUP(C534,'Neiva 2022 FASE I ACTUAL (4)'!$C$6:$C$540,'Neiva 2022 FASE I ACTUAL (4)'!$C$6:$F$540,"NO ESTA")</f>
        <v>NO ESTA</v>
      </c>
      <c r="M534" s="124">
        <f t="shared" si="65"/>
        <v>0</v>
      </c>
      <c r="N534" s="155">
        <f t="shared" si="62"/>
        <v>1</v>
      </c>
      <c r="O534" s="156">
        <f t="shared" si="63"/>
        <v>1649502</v>
      </c>
      <c r="P534" s="156">
        <f t="shared" si="64"/>
        <v>1649502</v>
      </c>
    </row>
    <row r="535" spans="2:16" s="9" customFormat="1" ht="35.1" customHeight="1" x14ac:dyDescent="0.25">
      <c r="B535" s="23" t="s">
        <v>1317</v>
      </c>
      <c r="C535" s="22" t="s">
        <v>1318</v>
      </c>
      <c r="D535" s="10" t="s">
        <v>16</v>
      </c>
      <c r="E535" s="12">
        <v>1</v>
      </c>
      <c r="F535" s="126">
        <v>1797243</v>
      </c>
      <c r="G535" s="126">
        <f t="shared" si="66"/>
        <v>1797243</v>
      </c>
      <c r="H535" s="8"/>
      <c r="I535" s="9" t="str">
        <f t="array" ref="I535">_xlfn.XLOOKUP(C535,'Neiva 2022 FASE I ACTUAL (4)'!$C$6:$C$540,'Neiva 2022 FASE I ACTUAL (4)'!$C$6:$F$540,"NO ESTA")</f>
        <v>NO ESTA</v>
      </c>
      <c r="M535" s="124">
        <f t="shared" si="65"/>
        <v>0</v>
      </c>
      <c r="N535" s="155">
        <f t="shared" si="62"/>
        <v>1</v>
      </c>
      <c r="O535" s="156">
        <f t="shared" si="63"/>
        <v>1797243</v>
      </c>
      <c r="P535" s="156">
        <f t="shared" si="64"/>
        <v>1797243</v>
      </c>
    </row>
    <row r="536" spans="2:16" s="9" customFormat="1" ht="35.1" customHeight="1" x14ac:dyDescent="0.25">
      <c r="B536" s="23" t="s">
        <v>1319</v>
      </c>
      <c r="C536" s="22" t="s">
        <v>1320</v>
      </c>
      <c r="D536" s="10" t="s">
        <v>16</v>
      </c>
      <c r="E536" s="12">
        <v>2</v>
      </c>
      <c r="F536" s="126">
        <v>9892555</v>
      </c>
      <c r="G536" s="126">
        <f t="shared" si="66"/>
        <v>19785110</v>
      </c>
      <c r="H536" s="8"/>
      <c r="I536" s="9" t="str">
        <f t="array" ref="I536">_xlfn.XLOOKUP(C536,'Neiva 2022 FASE I ACTUAL (4)'!$C$6:$C$540,'Neiva 2022 FASE I ACTUAL (4)'!$C$6:$F$540,"NO ESTA")</f>
        <v>NO ESTA</v>
      </c>
      <c r="M536" s="124">
        <f t="shared" si="65"/>
        <v>0</v>
      </c>
      <c r="N536" s="155">
        <f t="shared" si="62"/>
        <v>2</v>
      </c>
      <c r="O536" s="156">
        <f t="shared" si="63"/>
        <v>9892555</v>
      </c>
      <c r="P536" s="156">
        <f t="shared" si="64"/>
        <v>19785110</v>
      </c>
    </row>
    <row r="537" spans="2:16" s="9" customFormat="1" ht="35.1" customHeight="1" x14ac:dyDescent="0.25">
      <c r="B537" s="23" t="s">
        <v>1321</v>
      </c>
      <c r="C537" s="22" t="s">
        <v>1322</v>
      </c>
      <c r="D537" s="10" t="s">
        <v>16</v>
      </c>
      <c r="E537" s="12">
        <v>1</v>
      </c>
      <c r="F537" s="126">
        <v>15930736</v>
      </c>
      <c r="G537" s="126">
        <f t="shared" si="66"/>
        <v>15930736</v>
      </c>
      <c r="H537" s="8"/>
      <c r="I537" s="9" t="str">
        <f t="array" ref="I537">_xlfn.XLOOKUP(C537,'Neiva 2022 FASE I ACTUAL (4)'!$C$6:$C$540,'Neiva 2022 FASE I ACTUAL (4)'!$C$6:$F$540,"NO ESTA")</f>
        <v>NO ESTA</v>
      </c>
      <c r="M537" s="124">
        <f t="shared" si="65"/>
        <v>0</v>
      </c>
      <c r="N537" s="155">
        <f t="shared" si="62"/>
        <v>1</v>
      </c>
      <c r="O537" s="156">
        <f t="shared" si="63"/>
        <v>15930736</v>
      </c>
      <c r="P537" s="156">
        <f t="shared" si="64"/>
        <v>15930736</v>
      </c>
    </row>
    <row r="538" spans="2:16" s="9" customFormat="1" ht="35.1" customHeight="1" x14ac:dyDescent="0.25">
      <c r="B538" s="23" t="s">
        <v>1323</v>
      </c>
      <c r="C538" s="22" t="s">
        <v>1324</v>
      </c>
      <c r="D538" s="10" t="s">
        <v>16</v>
      </c>
      <c r="E538" s="12">
        <v>4</v>
      </c>
      <c r="F538" s="126">
        <v>6637724</v>
      </c>
      <c r="G538" s="126">
        <f t="shared" si="66"/>
        <v>26550896</v>
      </c>
      <c r="H538" s="8"/>
      <c r="I538" s="9" t="str">
        <f t="array" ref="I538">_xlfn.XLOOKUP(C538,'Neiva 2022 FASE I ACTUAL (4)'!$C$6:$C$540,'Neiva 2022 FASE I ACTUAL (4)'!$C$6:$F$540,"NO ESTA")</f>
        <v>NO ESTA</v>
      </c>
      <c r="M538" s="124">
        <f t="shared" si="65"/>
        <v>0</v>
      </c>
      <c r="N538" s="155">
        <f t="shared" si="62"/>
        <v>4</v>
      </c>
      <c r="O538" s="156">
        <f t="shared" si="63"/>
        <v>6637724</v>
      </c>
      <c r="P538" s="156">
        <f t="shared" si="64"/>
        <v>26550896</v>
      </c>
    </row>
    <row r="539" spans="2:16" s="9" customFormat="1" ht="35.1" customHeight="1" x14ac:dyDescent="0.25">
      <c r="B539" s="23" t="s">
        <v>1325</v>
      </c>
      <c r="C539" s="22" t="s">
        <v>1326</v>
      </c>
      <c r="D539" s="10" t="s">
        <v>16</v>
      </c>
      <c r="E539" s="12">
        <v>2</v>
      </c>
      <c r="F539" s="126">
        <v>23228066</v>
      </c>
      <c r="G539" s="126">
        <f t="shared" si="66"/>
        <v>46456132</v>
      </c>
      <c r="H539" s="8"/>
      <c r="I539" s="9" t="str">
        <f t="array" ref="I539">_xlfn.XLOOKUP(C539,'Neiva 2022 FASE I ACTUAL (4)'!$C$6:$C$540,'Neiva 2022 FASE I ACTUAL (4)'!$C$6:$F$540,"NO ESTA")</f>
        <v>NO ESTA</v>
      </c>
      <c r="M539" s="124">
        <f t="shared" si="65"/>
        <v>0</v>
      </c>
      <c r="N539" s="155">
        <f t="shared" si="62"/>
        <v>2</v>
      </c>
      <c r="O539" s="156">
        <f t="shared" si="63"/>
        <v>23228066</v>
      </c>
      <c r="P539" s="156">
        <f t="shared" si="64"/>
        <v>46456132</v>
      </c>
    </row>
    <row r="540" spans="2:16" s="9" customFormat="1" ht="35.1" customHeight="1" x14ac:dyDescent="0.25">
      <c r="B540" s="13" t="s">
        <v>734</v>
      </c>
      <c r="C540" s="24" t="s">
        <v>735</v>
      </c>
      <c r="D540" s="24"/>
      <c r="E540" s="15"/>
      <c r="F540" s="129"/>
      <c r="G540" s="140"/>
      <c r="H540" s="8"/>
      <c r="I540" s="9" t="str">
        <f t="array" ref="I540:L540">_xlfn.XLOOKUP(C540,'Neiva 2022 FASE I ACTUAL (4)'!$C$6:$C$540,'Neiva 2022 FASE I ACTUAL (4)'!$C$6:$F$540,"NO ESTA")</f>
        <v>SUMINISTRO E INSTALACION DE TUBERIA AGUA FRIA PVC</v>
      </c>
      <c r="J540" s="9">
        <v>0</v>
      </c>
      <c r="K540" s="9">
        <v>0</v>
      </c>
      <c r="L540" s="9">
        <v>0</v>
      </c>
      <c r="M540" s="124">
        <f t="shared" si="65"/>
        <v>0</v>
      </c>
      <c r="N540" s="155">
        <f t="shared" si="62"/>
        <v>0</v>
      </c>
      <c r="O540" s="156">
        <f t="shared" si="63"/>
        <v>0</v>
      </c>
      <c r="P540" s="156">
        <f t="shared" si="64"/>
        <v>0</v>
      </c>
    </row>
    <row r="541" spans="2:16" s="9" customFormat="1" ht="35.1" customHeight="1" x14ac:dyDescent="0.25">
      <c r="B541" s="23" t="s">
        <v>736</v>
      </c>
      <c r="C541" s="22" t="s">
        <v>737</v>
      </c>
      <c r="D541" s="10" t="s">
        <v>94</v>
      </c>
      <c r="E541" s="12">
        <v>45</v>
      </c>
      <c r="F541" s="126">
        <v>71680</v>
      </c>
      <c r="G541" s="126">
        <f t="shared" ref="G541:G548" si="67">ROUND(+F541*E541,2)</f>
        <v>3225600</v>
      </c>
      <c r="H541" s="8"/>
      <c r="I541" s="9" t="str">
        <f t="array" ref="I541:L541">_xlfn.XLOOKUP(C541,'Neiva 2022 FASE I ACTUAL (4)'!$C$6:$C$540,'Neiva 2022 FASE I ACTUAL (4)'!$C$6:$F$540,"NO ESTA")</f>
        <v>SUMINISTRO E INSTALACION TUBERIA Y ACCESORIOS RDE 21 Ø DIAMETRO  4"</v>
      </c>
      <c r="J541" s="9" t="str">
        <v>ML</v>
      </c>
      <c r="K541" s="9">
        <v>17</v>
      </c>
      <c r="L541" s="9">
        <v>69676</v>
      </c>
      <c r="M541" s="124" t="str">
        <f t="shared" si="65"/>
        <v>FASE II</v>
      </c>
      <c r="N541" s="155">
        <f t="shared" si="62"/>
        <v>62</v>
      </c>
      <c r="O541" s="156">
        <f t="shared" si="63"/>
        <v>71680</v>
      </c>
      <c r="P541" s="156">
        <f t="shared" si="64"/>
        <v>4444160</v>
      </c>
    </row>
    <row r="542" spans="2:16" s="9" customFormat="1" ht="35.1" customHeight="1" x14ac:dyDescent="0.25">
      <c r="B542" s="23" t="s">
        <v>738</v>
      </c>
      <c r="C542" s="22" t="s">
        <v>739</v>
      </c>
      <c r="D542" s="10" t="s">
        <v>94</v>
      </c>
      <c r="E542" s="12">
        <v>24</v>
      </c>
      <c r="F542" s="126">
        <v>46609</v>
      </c>
      <c r="G542" s="126">
        <f t="shared" si="67"/>
        <v>1118616</v>
      </c>
      <c r="H542" s="8"/>
      <c r="I542" s="9" t="str">
        <f t="array" ref="I542:L542">_xlfn.XLOOKUP(C542,'Neiva 2022 FASE I ACTUAL (4)'!$C$6:$C$540,'Neiva 2022 FASE I ACTUAL (4)'!$C$6:$F$540,"NO ESTA")</f>
        <v>SUMINISTRO E INSTALACION TUBERIA Y ACCESORIOS RDE 21 Ø DIAMETRO  3"</v>
      </c>
      <c r="J542" s="9" t="str">
        <v>ML</v>
      </c>
      <c r="K542" s="9">
        <v>9</v>
      </c>
      <c r="L542" s="9">
        <v>45305</v>
      </c>
      <c r="M542" s="124" t="str">
        <f t="shared" si="65"/>
        <v>FASE II</v>
      </c>
      <c r="N542" s="155">
        <f t="shared" si="62"/>
        <v>33</v>
      </c>
      <c r="O542" s="156">
        <f t="shared" si="63"/>
        <v>46609</v>
      </c>
      <c r="P542" s="156">
        <f t="shared" si="64"/>
        <v>1538097</v>
      </c>
    </row>
    <row r="543" spans="2:16" s="9" customFormat="1" ht="35.1" customHeight="1" x14ac:dyDescent="0.25">
      <c r="B543" s="23" t="s">
        <v>740</v>
      </c>
      <c r="C543" s="22" t="s">
        <v>741</v>
      </c>
      <c r="D543" s="10" t="s">
        <v>94</v>
      </c>
      <c r="E543" s="12">
        <v>64</v>
      </c>
      <c r="F543" s="126">
        <v>34736</v>
      </c>
      <c r="G543" s="126">
        <f t="shared" si="67"/>
        <v>2223104</v>
      </c>
      <c r="H543" s="8"/>
      <c r="I543" s="9" t="str">
        <f t="array" ref="I543:L543">_xlfn.XLOOKUP(C543,'Neiva 2022 FASE I ACTUAL (4)'!$C$6:$C$540,'Neiva 2022 FASE I ACTUAL (4)'!$C$6:$F$540,"NO ESTA")</f>
        <v>SUMINISTRO E INSTALACION TUBERIA Y ACCESORIOS RDE 21 Ø DIAMETRO  2 1/2"</v>
      </c>
      <c r="J543" s="9" t="str">
        <v>ML</v>
      </c>
      <c r="K543" s="9">
        <v>24</v>
      </c>
      <c r="L543" s="9">
        <v>33764</v>
      </c>
      <c r="M543" s="124" t="str">
        <f t="shared" si="65"/>
        <v>FASE II</v>
      </c>
      <c r="N543" s="155">
        <f t="shared" si="62"/>
        <v>88</v>
      </c>
      <c r="O543" s="156">
        <f t="shared" si="63"/>
        <v>34736</v>
      </c>
      <c r="P543" s="156">
        <f t="shared" si="64"/>
        <v>3056768</v>
      </c>
    </row>
    <row r="544" spans="2:16" s="9" customFormat="1" ht="35.1" customHeight="1" x14ac:dyDescent="0.25">
      <c r="B544" s="23" t="s">
        <v>742</v>
      </c>
      <c r="C544" s="22" t="s">
        <v>743</v>
      </c>
      <c r="D544" s="10" t="s">
        <v>94</v>
      </c>
      <c r="E544" s="12">
        <v>185.4</v>
      </c>
      <c r="F544" s="126">
        <v>23647</v>
      </c>
      <c r="G544" s="126">
        <f t="shared" si="67"/>
        <v>4384153.8</v>
      </c>
      <c r="H544" s="8"/>
      <c r="I544" s="9" t="str">
        <f t="array" ref="I544:L544">_xlfn.XLOOKUP(C544,'Neiva 2022 FASE I ACTUAL (4)'!$C$6:$C$540,'Neiva 2022 FASE I ACTUAL (4)'!$C$6:$F$540,"NO ESTA")</f>
        <v>SUMINISTRO E INSTALACION TUBERIA Y ACCESORIOS RDE 21 Ø DIAMETRO  2"</v>
      </c>
      <c r="J544" s="9" t="str">
        <v>ML</v>
      </c>
      <c r="K544" s="9">
        <v>68</v>
      </c>
      <c r="L544" s="9">
        <v>22987</v>
      </c>
      <c r="M544" s="124" t="str">
        <f t="shared" si="65"/>
        <v>FASE II</v>
      </c>
      <c r="N544" s="155">
        <f t="shared" si="62"/>
        <v>253.4</v>
      </c>
      <c r="O544" s="156">
        <f t="shared" si="63"/>
        <v>23647</v>
      </c>
      <c r="P544" s="156">
        <f t="shared" si="64"/>
        <v>5992149.7999999998</v>
      </c>
    </row>
    <row r="545" spans="2:16" s="9" customFormat="1" ht="35.1" customHeight="1" x14ac:dyDescent="0.25">
      <c r="B545" s="23" t="s">
        <v>744</v>
      </c>
      <c r="C545" s="22" t="s">
        <v>745</v>
      </c>
      <c r="D545" s="10" t="s">
        <v>94</v>
      </c>
      <c r="E545" s="12">
        <v>106.80000000000001</v>
      </c>
      <c r="F545" s="126">
        <v>17230</v>
      </c>
      <c r="G545" s="126">
        <f t="shared" si="67"/>
        <v>1840164</v>
      </c>
      <c r="H545" s="8"/>
      <c r="I545" s="9" t="str">
        <f t="array" ref="I545:L545">_xlfn.XLOOKUP(C545,'Neiva 2022 FASE I ACTUAL (4)'!$C$6:$C$540,'Neiva 2022 FASE I ACTUAL (4)'!$C$6:$F$540,"NO ESTA")</f>
        <v>SUMINISTRO E INSTALACION TUBERIA Y ACCESORIOS RDE 21 Ø DIAMETRO  1 1/2"</v>
      </c>
      <c r="J545" s="9" t="str">
        <v>ML</v>
      </c>
      <c r="K545" s="9">
        <v>40</v>
      </c>
      <c r="L545" s="9">
        <v>16749</v>
      </c>
      <c r="M545" s="124" t="str">
        <f t="shared" si="65"/>
        <v>FASE II</v>
      </c>
      <c r="N545" s="155">
        <f t="shared" si="62"/>
        <v>146.80000000000001</v>
      </c>
      <c r="O545" s="156">
        <f t="shared" si="63"/>
        <v>17230</v>
      </c>
      <c r="P545" s="156">
        <f t="shared" si="64"/>
        <v>2529364</v>
      </c>
    </row>
    <row r="546" spans="2:16" s="9" customFormat="1" ht="35.1" customHeight="1" x14ac:dyDescent="0.25">
      <c r="B546" s="23" t="s">
        <v>746</v>
      </c>
      <c r="C546" s="22" t="s">
        <v>747</v>
      </c>
      <c r="D546" s="10" t="s">
        <v>94</v>
      </c>
      <c r="E546" s="12">
        <v>165.6</v>
      </c>
      <c r="F546" s="126">
        <v>14658</v>
      </c>
      <c r="G546" s="126">
        <f t="shared" si="67"/>
        <v>2427364.7999999998</v>
      </c>
      <c r="H546" s="8"/>
      <c r="I546" s="9" t="str">
        <f t="array" ref="I546:L546">_xlfn.XLOOKUP(C546,'Neiva 2022 FASE I ACTUAL (4)'!$C$6:$C$540,'Neiva 2022 FASE I ACTUAL (4)'!$C$6:$F$540,"NO ESTA")</f>
        <v>SUMINISTRO E INSTALACION TUBERIA Y ACCESORIOS RDE 21 Ø DIAMETRO  1 1/4"</v>
      </c>
      <c r="J546" s="9" t="str">
        <v>ML</v>
      </c>
      <c r="K546" s="9">
        <v>61</v>
      </c>
      <c r="L546" s="9">
        <v>14248</v>
      </c>
      <c r="M546" s="124" t="str">
        <f t="shared" si="65"/>
        <v>FASE II</v>
      </c>
      <c r="N546" s="155">
        <f t="shared" si="62"/>
        <v>226.6</v>
      </c>
      <c r="O546" s="156">
        <f t="shared" si="63"/>
        <v>14658</v>
      </c>
      <c r="P546" s="156">
        <f t="shared" si="64"/>
        <v>3321502.8</v>
      </c>
    </row>
    <row r="547" spans="2:16" s="9" customFormat="1" ht="35.1" customHeight="1" x14ac:dyDescent="0.25">
      <c r="B547" s="23" t="s">
        <v>748</v>
      </c>
      <c r="C547" s="22" t="s">
        <v>749</v>
      </c>
      <c r="D547" s="10" t="s">
        <v>94</v>
      </c>
      <c r="E547" s="12">
        <v>28.799999999999997</v>
      </c>
      <c r="F547" s="126">
        <v>10725</v>
      </c>
      <c r="G547" s="126">
        <f t="shared" si="67"/>
        <v>308880</v>
      </c>
      <c r="H547" s="8"/>
      <c r="I547" s="9" t="str">
        <f t="array" ref="I547:L547">_xlfn.XLOOKUP(C547,'Neiva 2022 FASE I ACTUAL (4)'!$C$6:$C$540,'Neiva 2022 FASE I ACTUAL (4)'!$C$6:$F$540,"NO ESTA")</f>
        <v>SUMINISTRO E INSTALACION TUBERIA Y ACCESORIOS RDE 21 Ø DIAMETRO  1"</v>
      </c>
      <c r="J547" s="9" t="str">
        <v>ML</v>
      </c>
      <c r="K547" s="9">
        <v>10</v>
      </c>
      <c r="L547" s="9">
        <v>10424</v>
      </c>
      <c r="M547" s="124" t="str">
        <f t="shared" si="65"/>
        <v>FASE II</v>
      </c>
      <c r="N547" s="155">
        <f t="shared" si="62"/>
        <v>38.799999999999997</v>
      </c>
      <c r="O547" s="156">
        <f t="shared" si="63"/>
        <v>10725</v>
      </c>
      <c r="P547" s="156">
        <f t="shared" si="64"/>
        <v>416129.99999999994</v>
      </c>
    </row>
    <row r="548" spans="2:16" s="9" customFormat="1" ht="35.1" customHeight="1" x14ac:dyDescent="0.25">
      <c r="B548" s="23" t="s">
        <v>750</v>
      </c>
      <c r="C548" s="22" t="s">
        <v>751</v>
      </c>
      <c r="D548" s="10" t="s">
        <v>94</v>
      </c>
      <c r="E548" s="12">
        <v>32</v>
      </c>
      <c r="F548" s="126">
        <v>9421</v>
      </c>
      <c r="G548" s="126">
        <f t="shared" si="67"/>
        <v>301472</v>
      </c>
      <c r="H548" s="8"/>
      <c r="I548" s="9" t="str">
        <f t="array" ref="I548:L548">_xlfn.XLOOKUP(C548,'Neiva 2022 FASE I ACTUAL (4)'!$C$6:$C$540,'Neiva 2022 FASE I ACTUAL (4)'!$C$6:$F$540,"NO ESTA")</f>
        <v>SUMINISTRO E INSTALACION TUBERIA Y ACCESORIOS RDE 21 Ø DIAMETRO  3/4"</v>
      </c>
      <c r="J548" s="9" t="str">
        <v>ML</v>
      </c>
      <c r="K548" s="9">
        <v>12</v>
      </c>
      <c r="L548" s="9">
        <v>9158</v>
      </c>
      <c r="M548" s="124" t="str">
        <f t="shared" si="65"/>
        <v>FASE II</v>
      </c>
      <c r="N548" s="155">
        <f t="shared" si="62"/>
        <v>44</v>
      </c>
      <c r="O548" s="156">
        <f t="shared" si="63"/>
        <v>9421</v>
      </c>
      <c r="P548" s="156">
        <f t="shared" si="64"/>
        <v>414524</v>
      </c>
    </row>
    <row r="549" spans="2:16" s="9" customFormat="1" ht="35.1" customHeight="1" x14ac:dyDescent="0.25">
      <c r="B549" s="13" t="s">
        <v>752</v>
      </c>
      <c r="C549" s="24" t="s">
        <v>1327</v>
      </c>
      <c r="D549" s="24"/>
      <c r="E549" s="15"/>
      <c r="F549" s="129"/>
      <c r="G549" s="140"/>
      <c r="H549" s="8"/>
      <c r="I549" s="9" t="str">
        <f t="array" ref="I549">_xlfn.XLOOKUP(C549,'Neiva 2022 FASE I ACTUAL (4)'!$C$6:$C$540,'Neiva 2022 FASE I ACTUAL (4)'!$C$6:$F$540,"NO ESTA")</f>
        <v>NO ESTA</v>
      </c>
      <c r="M549" s="124">
        <f t="shared" si="65"/>
        <v>0</v>
      </c>
      <c r="N549" s="155">
        <f t="shared" si="62"/>
        <v>0</v>
      </c>
      <c r="O549" s="156">
        <f t="shared" si="63"/>
        <v>0</v>
      </c>
      <c r="P549" s="156">
        <f t="shared" si="64"/>
        <v>0</v>
      </c>
    </row>
    <row r="550" spans="2:16" s="9" customFormat="1" ht="35.1" customHeight="1" x14ac:dyDescent="0.25">
      <c r="B550" s="10" t="s">
        <v>754</v>
      </c>
      <c r="C550" s="22" t="s">
        <v>755</v>
      </c>
      <c r="D550" s="10" t="s">
        <v>94</v>
      </c>
      <c r="E550" s="12">
        <v>45</v>
      </c>
      <c r="F550" s="126">
        <v>41384</v>
      </c>
      <c r="G550" s="126">
        <f t="shared" ref="G550:G557" si="68">ROUND(+F550*E550,2)</f>
        <v>1862280</v>
      </c>
      <c r="H550" s="8"/>
      <c r="I550" s="9" t="str">
        <f t="array" ref="I550:L550">_xlfn.XLOOKUP(C550,'Neiva 2022 FASE I ACTUAL (4)'!$C$6:$C$540,'Neiva 2022 FASE I ACTUAL (4)'!$C$6:$F$540,"NO ESTA")</f>
        <v>SUMINISTRO E INSTALACION DE AISLAMIENTO TERMICO TUBERIA Y ACCESORIOS RDE 21 Ø DIAMETRO  4"</v>
      </c>
      <c r="J550" s="9" t="str">
        <v>ML</v>
      </c>
      <c r="K550" s="9">
        <v>17</v>
      </c>
      <c r="L550" s="9">
        <v>40228</v>
      </c>
      <c r="M550" s="124" t="str">
        <f t="shared" si="65"/>
        <v>FASE II</v>
      </c>
      <c r="N550" s="155">
        <f t="shared" si="62"/>
        <v>62</v>
      </c>
      <c r="O550" s="156">
        <f t="shared" si="63"/>
        <v>41384</v>
      </c>
      <c r="P550" s="156">
        <f t="shared" si="64"/>
        <v>2565808</v>
      </c>
    </row>
    <row r="551" spans="2:16" s="9" customFormat="1" ht="35.1" customHeight="1" x14ac:dyDescent="0.25">
      <c r="B551" s="10" t="s">
        <v>756</v>
      </c>
      <c r="C551" s="87" t="s">
        <v>757</v>
      </c>
      <c r="D551" s="10" t="s">
        <v>94</v>
      </c>
      <c r="E551" s="12">
        <v>24</v>
      </c>
      <c r="F551" s="126">
        <v>37175</v>
      </c>
      <c r="G551" s="126">
        <f t="shared" si="68"/>
        <v>892200</v>
      </c>
      <c r="H551" s="8"/>
      <c r="I551" s="9" t="str">
        <f t="array" ref="I551:L551">_xlfn.XLOOKUP(C551,'Neiva 2022 FASE I ACTUAL (4)'!$C$6:$C$540,'Neiva 2022 FASE I ACTUAL (4)'!$C$6:$F$540,"NO ESTA")</f>
        <v>SUMINISTRO E INSTALACION DE AISLAMIENTO TERMICO TUBERIA Y ACCESORIOS RDE 21 Ø DIAMETRO  3"</v>
      </c>
      <c r="J551" s="9" t="str">
        <v>ML</v>
      </c>
      <c r="K551" s="9">
        <v>9</v>
      </c>
      <c r="L551" s="9">
        <v>36137</v>
      </c>
      <c r="M551" s="124" t="str">
        <f t="shared" si="65"/>
        <v>FASE II</v>
      </c>
      <c r="N551" s="155">
        <f t="shared" si="62"/>
        <v>33</v>
      </c>
      <c r="O551" s="156">
        <f t="shared" si="63"/>
        <v>37175</v>
      </c>
      <c r="P551" s="156">
        <f t="shared" si="64"/>
        <v>1226775</v>
      </c>
    </row>
    <row r="552" spans="2:16" s="9" customFormat="1" ht="35.1" customHeight="1" x14ac:dyDescent="0.25">
      <c r="B552" s="23" t="s">
        <v>758</v>
      </c>
      <c r="C552" s="22" t="s">
        <v>759</v>
      </c>
      <c r="D552" s="10" t="s">
        <v>94</v>
      </c>
      <c r="E552" s="12">
        <v>64</v>
      </c>
      <c r="F552" s="126">
        <v>28505</v>
      </c>
      <c r="G552" s="126">
        <f t="shared" si="68"/>
        <v>1824320</v>
      </c>
      <c r="H552" s="8"/>
      <c r="I552" s="9" t="str">
        <f t="array" ref="I552:L552">_xlfn.XLOOKUP(C552,'Neiva 2022 FASE I ACTUAL (4)'!$C$6:$C$540,'Neiva 2022 FASE I ACTUAL (4)'!$C$6:$F$540,"NO ESTA")</f>
        <v>SUMINISTRO E INSTALACION DE AISLAMIENTO TERMICO TUBERIA Y ACCESORIOS RDE 21 Ø DIAMETRO  2 1/2"</v>
      </c>
      <c r="J552" s="9" t="str">
        <v>ML</v>
      </c>
      <c r="K552" s="9">
        <v>24</v>
      </c>
      <c r="L552" s="9">
        <v>27708</v>
      </c>
      <c r="M552" s="124" t="str">
        <f t="shared" si="65"/>
        <v>FASE II</v>
      </c>
      <c r="N552" s="155">
        <f t="shared" si="62"/>
        <v>88</v>
      </c>
      <c r="O552" s="156">
        <f t="shared" si="63"/>
        <v>28505</v>
      </c>
      <c r="P552" s="156">
        <f t="shared" si="64"/>
        <v>2508440</v>
      </c>
    </row>
    <row r="553" spans="2:16" s="9" customFormat="1" ht="35.1" customHeight="1" x14ac:dyDescent="0.25">
      <c r="B553" s="23" t="s">
        <v>760</v>
      </c>
      <c r="C553" s="22" t="s">
        <v>761</v>
      </c>
      <c r="D553" s="10" t="s">
        <v>94</v>
      </c>
      <c r="E553" s="12">
        <v>185.4</v>
      </c>
      <c r="F553" s="126">
        <v>22485</v>
      </c>
      <c r="G553" s="126">
        <f t="shared" si="68"/>
        <v>4168719</v>
      </c>
      <c r="H553" s="8"/>
      <c r="I553" s="9" t="str">
        <f t="array" ref="I553:L553">_xlfn.XLOOKUP(C553,'Neiva 2022 FASE I ACTUAL (4)'!$C$6:$C$540,'Neiva 2022 FASE I ACTUAL (4)'!$C$6:$F$540,"NO ESTA")</f>
        <v>SUMINISTRO E INSTALACION DE AISLAMIENTO TERMICO TUBERIA Y ACCESORIOS RDE 21 Ø DIAMETRO  2"</v>
      </c>
      <c r="J553" s="9" t="str">
        <v>ML</v>
      </c>
      <c r="K553" s="9">
        <v>68</v>
      </c>
      <c r="L553" s="9">
        <v>21856</v>
      </c>
      <c r="M553" s="124" t="str">
        <f t="shared" si="65"/>
        <v>FASE II</v>
      </c>
      <c r="N553" s="155">
        <f t="shared" si="62"/>
        <v>253.4</v>
      </c>
      <c r="O553" s="156">
        <f t="shared" si="63"/>
        <v>22485</v>
      </c>
      <c r="P553" s="156">
        <f t="shared" si="64"/>
        <v>5697699</v>
      </c>
    </row>
    <row r="554" spans="2:16" s="9" customFormat="1" ht="35.1" customHeight="1" x14ac:dyDescent="0.25">
      <c r="B554" s="23" t="s">
        <v>762</v>
      </c>
      <c r="C554" s="87" t="s">
        <v>763</v>
      </c>
      <c r="D554" s="10" t="s">
        <v>94</v>
      </c>
      <c r="E554" s="12">
        <v>106.80000000000001</v>
      </c>
      <c r="F554" s="126">
        <v>16958</v>
      </c>
      <c r="G554" s="126">
        <f t="shared" si="68"/>
        <v>1811114.4</v>
      </c>
      <c r="H554" s="8"/>
      <c r="I554" s="9" t="str">
        <f t="array" ref="I554:L554">_xlfn.XLOOKUP(C554,'Neiva 2022 FASE I ACTUAL (4)'!$C$6:$C$540,'Neiva 2022 FASE I ACTUAL (4)'!$C$6:$F$540,"NO ESTA")</f>
        <v>SUMINISTRO E INSTALACION DE AISLAMIENTO TERMICO TUBERIA Y ACCESORIOS RDE 21 Ø DIAMETRO  1 1/2"</v>
      </c>
      <c r="J554" s="9" t="str">
        <v>ML</v>
      </c>
      <c r="K554" s="9">
        <v>40</v>
      </c>
      <c r="L554" s="9">
        <v>16484</v>
      </c>
      <c r="M554" s="124" t="str">
        <f t="shared" si="65"/>
        <v>FASE II</v>
      </c>
      <c r="N554" s="155">
        <f t="shared" si="62"/>
        <v>146.80000000000001</v>
      </c>
      <c r="O554" s="156">
        <f t="shared" si="63"/>
        <v>16958</v>
      </c>
      <c r="P554" s="156">
        <f t="shared" si="64"/>
        <v>2489434.4000000004</v>
      </c>
    </row>
    <row r="555" spans="2:16" s="9" customFormat="1" ht="35.1" customHeight="1" x14ac:dyDescent="0.25">
      <c r="B555" s="23" t="s">
        <v>764</v>
      </c>
      <c r="C555" s="87" t="s">
        <v>765</v>
      </c>
      <c r="D555" s="10" t="s">
        <v>94</v>
      </c>
      <c r="E555" s="12">
        <v>165.6</v>
      </c>
      <c r="F555" s="126">
        <v>14543</v>
      </c>
      <c r="G555" s="126">
        <f t="shared" si="68"/>
        <v>2408320.7999999998</v>
      </c>
      <c r="H555" s="8"/>
      <c r="I555" s="9" t="str">
        <f t="array" ref="I555:L555">_xlfn.XLOOKUP(C555,'Neiva 2022 FASE I ACTUAL (4)'!$C$6:$C$540,'Neiva 2022 FASE I ACTUAL (4)'!$C$6:$F$540,"NO ESTA")</f>
        <v>SUMINISTRO E INSTALACION DE AISLAMIENTO TERMICO TUBERIA Y ACCESORIOS RDE 21 Ø DIAMETRO  1 1/4"</v>
      </c>
      <c r="J555" s="9" t="str">
        <v>ML</v>
      </c>
      <c r="K555" s="9">
        <v>61</v>
      </c>
      <c r="L555" s="9">
        <v>14137</v>
      </c>
      <c r="M555" s="124" t="str">
        <f t="shared" si="65"/>
        <v>FASE II</v>
      </c>
      <c r="N555" s="155">
        <f t="shared" si="62"/>
        <v>226.6</v>
      </c>
      <c r="O555" s="156">
        <f t="shared" si="63"/>
        <v>14543</v>
      </c>
      <c r="P555" s="156">
        <f t="shared" si="64"/>
        <v>3295443.8</v>
      </c>
    </row>
    <row r="556" spans="2:16" s="9" customFormat="1" ht="35.1" customHeight="1" x14ac:dyDescent="0.25">
      <c r="B556" s="23" t="s">
        <v>766</v>
      </c>
      <c r="C556" s="22" t="s">
        <v>767</v>
      </c>
      <c r="D556" s="10" t="s">
        <v>94</v>
      </c>
      <c r="E556" s="12">
        <v>28.799999999999997</v>
      </c>
      <c r="F556" s="126">
        <v>10599</v>
      </c>
      <c r="G556" s="126">
        <f t="shared" si="68"/>
        <v>305251.20000000001</v>
      </c>
      <c r="H556" s="8"/>
      <c r="I556" s="9" t="str">
        <f t="array" ref="I556:L556">_xlfn.XLOOKUP(C556,'Neiva 2022 FASE I ACTUAL (4)'!$C$6:$C$540,'Neiva 2022 FASE I ACTUAL (4)'!$C$6:$F$540,"NO ESTA")</f>
        <v>SUMINISTRO E INSTALACION DE AISLAMIENTO TERMICO TUBERIA Y ACCESORIOS RDE 21 Ø DIAMETRO  1"</v>
      </c>
      <c r="J556" s="9" t="str">
        <v>ML</v>
      </c>
      <c r="K556" s="9">
        <v>10</v>
      </c>
      <c r="L556" s="9">
        <v>10302</v>
      </c>
      <c r="M556" s="124" t="str">
        <f t="shared" si="65"/>
        <v>FASE II</v>
      </c>
      <c r="N556" s="155">
        <f t="shared" si="62"/>
        <v>38.799999999999997</v>
      </c>
      <c r="O556" s="156">
        <f t="shared" si="63"/>
        <v>10599</v>
      </c>
      <c r="P556" s="156">
        <f t="shared" si="64"/>
        <v>411241.19999999995</v>
      </c>
    </row>
    <row r="557" spans="2:16" s="9" customFormat="1" ht="35.1" customHeight="1" x14ac:dyDescent="0.25">
      <c r="B557" s="23" t="s">
        <v>768</v>
      </c>
      <c r="C557" s="22" t="s">
        <v>769</v>
      </c>
      <c r="D557" s="10" t="s">
        <v>94</v>
      </c>
      <c r="E557" s="12">
        <v>32</v>
      </c>
      <c r="F557" s="126">
        <v>9250</v>
      </c>
      <c r="G557" s="126">
        <f t="shared" si="68"/>
        <v>296000</v>
      </c>
      <c r="H557" s="8"/>
      <c r="I557" s="9" t="str">
        <f t="array" ref="I557:L557">_xlfn.XLOOKUP(C557,'Neiva 2022 FASE I ACTUAL (4)'!$C$6:$C$540,'Neiva 2022 FASE I ACTUAL (4)'!$C$6:$F$540,"NO ESTA")</f>
        <v>SUMINISTRO E INSTALACION DE AISLAMIENTO TERMICO TUBERIA Y ACCESORIOS RDE 21 Ø DIAMETRO  3/4"</v>
      </c>
      <c r="J557" s="9" t="str">
        <v>ML</v>
      </c>
      <c r="K557" s="9">
        <v>12</v>
      </c>
      <c r="L557" s="9">
        <v>8992</v>
      </c>
      <c r="M557" s="124" t="str">
        <f t="shared" si="65"/>
        <v>FASE II</v>
      </c>
      <c r="N557" s="155">
        <f t="shared" si="62"/>
        <v>44</v>
      </c>
      <c r="O557" s="156">
        <f t="shared" si="63"/>
        <v>9250</v>
      </c>
      <c r="P557" s="156">
        <f t="shared" si="64"/>
        <v>407000</v>
      </c>
    </row>
    <row r="558" spans="2:16" s="9" customFormat="1" ht="35.1" customHeight="1" x14ac:dyDescent="0.25">
      <c r="B558" s="13" t="s">
        <v>770</v>
      </c>
      <c r="C558" s="24" t="s">
        <v>1328</v>
      </c>
      <c r="D558" s="24"/>
      <c r="E558" s="15"/>
      <c r="F558" s="129"/>
      <c r="G558" s="140"/>
      <c r="H558" s="8"/>
      <c r="I558" s="9" t="str">
        <f t="array" ref="I558">_xlfn.XLOOKUP(C558,'Neiva 2022 FASE I ACTUAL (4)'!$C$6:$C$540,'Neiva 2022 FASE I ACTUAL (4)'!$C$6:$F$540,"NO ESTA")</f>
        <v>NO ESTA</v>
      </c>
      <c r="M558" s="124">
        <f t="shared" si="65"/>
        <v>0</v>
      </c>
      <c r="N558" s="155">
        <f t="shared" si="62"/>
        <v>0</v>
      </c>
      <c r="O558" s="156">
        <f t="shared" si="63"/>
        <v>0</v>
      </c>
      <c r="P558" s="156">
        <f t="shared" si="64"/>
        <v>0</v>
      </c>
    </row>
    <row r="559" spans="2:16" s="9" customFormat="1" ht="35.1" customHeight="1" x14ac:dyDescent="0.25">
      <c r="B559" s="23" t="s">
        <v>772</v>
      </c>
      <c r="C559" s="22" t="s">
        <v>773</v>
      </c>
      <c r="D559" s="10" t="s">
        <v>16</v>
      </c>
      <c r="E559" s="12">
        <v>3</v>
      </c>
      <c r="F559" s="126">
        <v>288532</v>
      </c>
      <c r="G559" s="126">
        <f t="shared" ref="G559:G595" si="69">ROUND(+F559*E559,2)</f>
        <v>865596</v>
      </c>
      <c r="H559" s="8"/>
      <c r="I559" s="9" t="str">
        <f t="array" ref="I559:L559">_xlfn.XLOOKUP(C559,'Neiva 2022 FASE I ACTUAL (4)'!$C$6:$C$540,'Neiva 2022 FASE I ACTUAL (4)'!$C$6:$F$540,"NO ESTA")</f>
        <v>SUMINISTRO E INSTALACION MANOMETROS 4", INCLUYE GRIFOS DE PRUEBA Y ACCESORIOS</v>
      </c>
      <c r="J559" s="9" t="str">
        <v>UND</v>
      </c>
      <c r="K559" s="9">
        <v>1</v>
      </c>
      <c r="L559" s="9">
        <v>280467</v>
      </c>
      <c r="M559" s="124" t="str">
        <f t="shared" si="65"/>
        <v>FASE II</v>
      </c>
      <c r="N559" s="155">
        <f t="shared" si="62"/>
        <v>4</v>
      </c>
      <c r="O559" s="156">
        <f t="shared" si="63"/>
        <v>288532</v>
      </c>
      <c r="P559" s="156">
        <f t="shared" si="64"/>
        <v>1154128</v>
      </c>
    </row>
    <row r="560" spans="2:16" s="9" customFormat="1" ht="35.1" customHeight="1" x14ac:dyDescent="0.25">
      <c r="B560" s="23" t="s">
        <v>774</v>
      </c>
      <c r="C560" s="22" t="s">
        <v>775</v>
      </c>
      <c r="D560" s="10" t="s">
        <v>16</v>
      </c>
      <c r="E560" s="12">
        <v>3</v>
      </c>
      <c r="F560" s="126">
        <v>555192</v>
      </c>
      <c r="G560" s="126">
        <f t="shared" si="69"/>
        <v>1665576</v>
      </c>
      <c r="H560" s="8"/>
      <c r="I560" s="9" t="str">
        <f t="array" ref="I560:L560">_xlfn.XLOOKUP(C560,'Neiva 2022 FASE I ACTUAL (4)'!$C$6:$C$540,'Neiva 2022 FASE I ACTUAL (4)'!$C$6:$F$540,"NO ESTA")</f>
        <v>SUMINISTRO E INSTALACION TERMOMETROS 0-100F DE COLUMNA 7"</v>
      </c>
      <c r="J560" s="9" t="str">
        <v>UND</v>
      </c>
      <c r="K560" s="9">
        <v>1</v>
      </c>
      <c r="L560" s="9">
        <v>539674</v>
      </c>
      <c r="M560" s="124" t="str">
        <f t="shared" si="65"/>
        <v>FASE II</v>
      </c>
      <c r="N560" s="155">
        <f t="shared" si="62"/>
        <v>4</v>
      </c>
      <c r="O560" s="156">
        <f t="shared" si="63"/>
        <v>555192</v>
      </c>
      <c r="P560" s="156">
        <f t="shared" si="64"/>
        <v>2220768</v>
      </c>
    </row>
    <row r="561" spans="2:16" s="9" customFormat="1" ht="35.1" customHeight="1" x14ac:dyDescent="0.25">
      <c r="B561" s="23" t="s">
        <v>776</v>
      </c>
      <c r="C561" s="22" t="s">
        <v>777</v>
      </c>
      <c r="D561" s="10" t="s">
        <v>16</v>
      </c>
      <c r="E561" s="12">
        <v>3</v>
      </c>
      <c r="F561" s="126">
        <v>195476</v>
      </c>
      <c r="G561" s="126">
        <f t="shared" si="69"/>
        <v>586428</v>
      </c>
      <c r="H561" s="8"/>
      <c r="I561" s="9" t="str">
        <f t="array" ref="I561:L561">_xlfn.XLOOKUP(C561,'Neiva 2022 FASE I ACTUAL (4)'!$C$6:$C$540,'Neiva 2022 FASE I ACTUAL (4)'!$C$6:$F$540,"NO ESTA")</f>
        <v>SUMINISTRO E INSTALACION ELIMINADORES DE AIRE</v>
      </c>
      <c r="J561" s="9" t="str">
        <v>UND</v>
      </c>
      <c r="K561" s="9">
        <v>1</v>
      </c>
      <c r="L561" s="9">
        <v>190013</v>
      </c>
      <c r="M561" s="124" t="str">
        <f t="shared" si="65"/>
        <v>FASE II</v>
      </c>
      <c r="N561" s="155">
        <f t="shared" si="62"/>
        <v>4</v>
      </c>
      <c r="O561" s="156">
        <f t="shared" si="63"/>
        <v>195476</v>
      </c>
      <c r="P561" s="156">
        <f t="shared" si="64"/>
        <v>781904</v>
      </c>
    </row>
    <row r="562" spans="2:16" s="9" customFormat="1" ht="35.1" customHeight="1" x14ac:dyDescent="0.25">
      <c r="B562" s="23" t="s">
        <v>778</v>
      </c>
      <c r="C562" s="22" t="s">
        <v>779</v>
      </c>
      <c r="D562" s="10" t="s">
        <v>16</v>
      </c>
      <c r="E562" s="12">
        <v>1</v>
      </c>
      <c r="F562" s="126">
        <v>452416</v>
      </c>
      <c r="G562" s="126">
        <f t="shared" si="69"/>
        <v>452416</v>
      </c>
      <c r="H562" s="8"/>
      <c r="I562" s="9" t="str">
        <f t="array" ref="I562:L562">_xlfn.XLOOKUP(C562,'Neiva 2022 FASE I ACTUAL (4)'!$C$6:$C$540,'Neiva 2022 FASE I ACTUAL (4)'!$C$6:$F$540,"NO ESTA")</f>
        <v xml:space="preserve">SUMINISTRO E INSTALACION TANQUE DE EXPANSIÓN PVC CON VALVULA DE NIVEL </v>
      </c>
      <c r="J562" s="9" t="str">
        <v>UND</v>
      </c>
      <c r="K562" s="9">
        <v>1</v>
      </c>
      <c r="L562" s="9">
        <v>439771</v>
      </c>
      <c r="M562" s="124" t="str">
        <f t="shared" si="65"/>
        <v>FASE II</v>
      </c>
      <c r="N562" s="155">
        <f t="shared" si="62"/>
        <v>2</v>
      </c>
      <c r="O562" s="156">
        <f t="shared" si="63"/>
        <v>452416</v>
      </c>
      <c r="P562" s="156">
        <f t="shared" si="64"/>
        <v>904832</v>
      </c>
    </row>
    <row r="563" spans="2:16" s="9" customFormat="1" ht="35.1" customHeight="1" x14ac:dyDescent="0.25">
      <c r="B563" s="23" t="s">
        <v>780</v>
      </c>
      <c r="C563" s="22" t="s">
        <v>781</v>
      </c>
      <c r="D563" s="10" t="s">
        <v>16</v>
      </c>
      <c r="E563" s="12">
        <v>3</v>
      </c>
      <c r="F563" s="126">
        <v>2334368</v>
      </c>
      <c r="G563" s="126">
        <f t="shared" si="69"/>
        <v>7003104</v>
      </c>
      <c r="H563" s="8"/>
      <c r="I563" s="9" t="str">
        <f t="array" ref="I563:L563">_xlfn.XLOOKUP(C563,'Neiva 2022 FASE I ACTUAL (4)'!$C$6:$C$540,'Neiva 2022 FASE I ACTUAL (4)'!$C$6:$F$540,"NO ESTA")</f>
        <v>SUMINISTRO E INSTALACION VALVULAS MARIPOSA DE 4" SUCCIÓN DE BOMBA</v>
      </c>
      <c r="J563" s="9" t="str">
        <v>UND</v>
      </c>
      <c r="K563" s="9">
        <v>1</v>
      </c>
      <c r="L563" s="9">
        <v>2269116</v>
      </c>
      <c r="M563" s="124" t="str">
        <f t="shared" si="65"/>
        <v>FASE II</v>
      </c>
      <c r="N563" s="155">
        <f t="shared" si="62"/>
        <v>4</v>
      </c>
      <c r="O563" s="156">
        <f t="shared" si="63"/>
        <v>2334368</v>
      </c>
      <c r="P563" s="156">
        <f t="shared" si="64"/>
        <v>9337472</v>
      </c>
    </row>
    <row r="564" spans="2:16" s="9" customFormat="1" ht="35.1" customHeight="1" x14ac:dyDescent="0.25">
      <c r="B564" s="23" t="s">
        <v>782</v>
      </c>
      <c r="C564" s="22" t="s">
        <v>783</v>
      </c>
      <c r="D564" s="10" t="s">
        <v>16</v>
      </c>
      <c r="E564" s="12">
        <v>3</v>
      </c>
      <c r="F564" s="126">
        <v>2334368</v>
      </c>
      <c r="G564" s="126">
        <f t="shared" si="69"/>
        <v>7003104</v>
      </c>
      <c r="H564" s="8"/>
      <c r="I564" s="9" t="str">
        <f t="array" ref="I564:L564">_xlfn.XLOOKUP(C564,'Neiva 2022 FASE I ACTUAL (4)'!$C$6:$C$540,'Neiva 2022 FASE I ACTUAL (4)'!$C$6:$F$540,"NO ESTA")</f>
        <v>SUMINISTRO E INSTALACION VALVULAS MARIPOSA DE 4" DESCARGA DE BOMBA</v>
      </c>
      <c r="J564" s="9" t="str">
        <v>UND</v>
      </c>
      <c r="K564" s="9">
        <v>1</v>
      </c>
      <c r="L564" s="9">
        <v>2269116</v>
      </c>
      <c r="M564" s="124" t="str">
        <f t="shared" si="65"/>
        <v>FASE II</v>
      </c>
      <c r="N564" s="155">
        <f t="shared" si="62"/>
        <v>4</v>
      </c>
      <c r="O564" s="156">
        <f t="shared" si="63"/>
        <v>2334368</v>
      </c>
      <c r="P564" s="156">
        <f t="shared" si="64"/>
        <v>9337472</v>
      </c>
    </row>
    <row r="565" spans="2:16" s="9" customFormat="1" ht="35.1" customHeight="1" x14ac:dyDescent="0.25">
      <c r="B565" s="23" t="s">
        <v>784</v>
      </c>
      <c r="C565" s="22" t="s">
        <v>785</v>
      </c>
      <c r="D565" s="10" t="s">
        <v>16</v>
      </c>
      <c r="E565" s="12">
        <v>1</v>
      </c>
      <c r="F565" s="126">
        <v>1233385</v>
      </c>
      <c r="G565" s="126">
        <f t="shared" si="69"/>
        <v>1233385</v>
      </c>
      <c r="H565" s="8"/>
      <c r="I565" s="9" t="str">
        <f t="array" ref="I565:L565">_xlfn.XLOOKUP(C565,'Neiva 2022 FASE I ACTUAL (4)'!$C$6:$C$540,'Neiva 2022 FASE I ACTUAL (4)'!$C$6:$F$540,"NO ESTA")</f>
        <v>SUMINISTRO E INSTALACION VALVULA TRIPLE - FLOTREX</v>
      </c>
      <c r="J565" s="9" t="str">
        <v>UND</v>
      </c>
      <c r="K565" s="9">
        <v>1</v>
      </c>
      <c r="L565" s="9">
        <v>1198909</v>
      </c>
      <c r="M565" s="124" t="str">
        <f t="shared" si="65"/>
        <v>FASE II</v>
      </c>
      <c r="N565" s="155">
        <f t="shared" si="62"/>
        <v>2</v>
      </c>
      <c r="O565" s="156">
        <f t="shared" si="63"/>
        <v>1233385</v>
      </c>
      <c r="P565" s="156">
        <f t="shared" si="64"/>
        <v>2466770</v>
      </c>
    </row>
    <row r="566" spans="2:16" s="9" customFormat="1" ht="35.1" customHeight="1" x14ac:dyDescent="0.25">
      <c r="B566" s="23" t="s">
        <v>786</v>
      </c>
      <c r="C566" s="22" t="s">
        <v>787</v>
      </c>
      <c r="D566" s="10" t="s">
        <v>16</v>
      </c>
      <c r="E566" s="12">
        <v>0</v>
      </c>
      <c r="F566" s="126">
        <v>363171</v>
      </c>
      <c r="G566" s="141">
        <f t="shared" si="69"/>
        <v>0</v>
      </c>
      <c r="H566" s="8"/>
      <c r="I566" s="9" t="str">
        <f t="array" ref="I566:L566">_xlfn.XLOOKUP(C566,'Neiva 2022 FASE I ACTUAL (4)'!$C$6:$C$540,'Neiva 2022 FASE I ACTUAL (4)'!$C$6:$F$540,"NO ESTA")</f>
        <v>SUMINISTRO E INSTALACION VALVULA CORTINA 3" 125PSI - PISO 3</v>
      </c>
      <c r="J566" s="9" t="str">
        <v>UND</v>
      </c>
      <c r="K566" s="9">
        <v>1</v>
      </c>
      <c r="L566" s="9">
        <v>353019</v>
      </c>
      <c r="M566" s="124" t="str">
        <f t="shared" si="65"/>
        <v>FASE II</v>
      </c>
      <c r="N566" s="155">
        <f t="shared" si="62"/>
        <v>1</v>
      </c>
      <c r="O566" s="156">
        <f t="shared" si="63"/>
        <v>363171</v>
      </c>
      <c r="P566" s="156">
        <f t="shared" si="64"/>
        <v>363171</v>
      </c>
    </row>
    <row r="567" spans="2:16" s="9" customFormat="1" ht="35.1" customHeight="1" x14ac:dyDescent="0.25">
      <c r="B567" s="23" t="s">
        <v>788</v>
      </c>
      <c r="C567" s="22" t="s">
        <v>789</v>
      </c>
      <c r="D567" s="10" t="s">
        <v>16</v>
      </c>
      <c r="E567" s="12">
        <v>0</v>
      </c>
      <c r="F567" s="126">
        <v>507699</v>
      </c>
      <c r="G567" s="141">
        <f t="shared" si="69"/>
        <v>0</v>
      </c>
      <c r="H567" s="8"/>
      <c r="I567" s="9" t="str">
        <f t="array" ref="I567:L567">_xlfn.XLOOKUP(C567,'Neiva 2022 FASE I ACTUAL (4)'!$C$6:$C$540,'Neiva 2022 FASE I ACTUAL (4)'!$C$6:$F$540,"NO ESTA")</f>
        <v>SUMINISTRO E INSTALACION VALVULA GLOBO 3" 125PSI - PISO 3</v>
      </c>
      <c r="J567" s="9" t="str">
        <v>UND</v>
      </c>
      <c r="K567" s="9">
        <v>1</v>
      </c>
      <c r="L567" s="9">
        <v>493508</v>
      </c>
      <c r="M567" s="124" t="str">
        <f t="shared" si="65"/>
        <v>FASE II</v>
      </c>
      <c r="N567" s="155">
        <f t="shared" si="62"/>
        <v>1</v>
      </c>
      <c r="O567" s="156">
        <f t="shared" si="63"/>
        <v>507699</v>
      </c>
      <c r="P567" s="156">
        <f t="shared" si="64"/>
        <v>507699</v>
      </c>
    </row>
    <row r="568" spans="2:16" s="9" customFormat="1" ht="35.1" customHeight="1" x14ac:dyDescent="0.25">
      <c r="B568" s="23" t="s">
        <v>790</v>
      </c>
      <c r="C568" s="22" t="s">
        <v>791</v>
      </c>
      <c r="D568" s="10" t="s">
        <v>16</v>
      </c>
      <c r="E568" s="12">
        <v>5</v>
      </c>
      <c r="F568" s="126">
        <v>322703</v>
      </c>
      <c r="G568" s="126">
        <f t="shared" si="69"/>
        <v>1613515</v>
      </c>
      <c r="H568" s="8"/>
      <c r="I568" s="9" t="str">
        <f t="array" ref="I568:L568">_xlfn.XLOOKUP(C568,'Neiva 2022 FASE I ACTUAL (4)'!$C$6:$C$540,'Neiva 2022 FASE I ACTUAL (4)'!$C$6:$F$540,"NO ESTA")</f>
        <v>SUMINISTRO E INSTALACION VALVULAS CORTINA 2 1/2" 125PSI - PISOS 2,3,4</v>
      </c>
      <c r="J568" s="9" t="str">
        <v>UND</v>
      </c>
      <c r="K568" s="9">
        <v>2</v>
      </c>
      <c r="L568" s="9">
        <v>313682</v>
      </c>
      <c r="M568" s="124" t="str">
        <f t="shared" si="65"/>
        <v>FASE II</v>
      </c>
      <c r="N568" s="155">
        <f t="shared" si="62"/>
        <v>7</v>
      </c>
      <c r="O568" s="156">
        <f t="shared" si="63"/>
        <v>322703</v>
      </c>
      <c r="P568" s="156">
        <f t="shared" si="64"/>
        <v>2258921</v>
      </c>
    </row>
    <row r="569" spans="2:16" s="9" customFormat="1" ht="35.1" customHeight="1" x14ac:dyDescent="0.25">
      <c r="B569" s="23" t="s">
        <v>792</v>
      </c>
      <c r="C569" s="22" t="s">
        <v>793</v>
      </c>
      <c r="D569" s="10" t="s">
        <v>16</v>
      </c>
      <c r="E569" s="12">
        <v>5</v>
      </c>
      <c r="F569" s="126">
        <v>455284</v>
      </c>
      <c r="G569" s="126">
        <f t="shared" si="69"/>
        <v>2276420</v>
      </c>
      <c r="H569" s="8"/>
      <c r="I569" s="9" t="str">
        <f t="array" ref="I569:L569">_xlfn.XLOOKUP(C569,'Neiva 2022 FASE I ACTUAL (4)'!$C$6:$C$540,'Neiva 2022 FASE I ACTUAL (4)'!$C$6:$F$540,"NO ESTA")</f>
        <v>SUMINISTRO E INSTALACION VALVULAS GLOBO 2 1/2" 125PSI - PISOS 2,3,4</v>
      </c>
      <c r="J569" s="9" t="str">
        <v>UND</v>
      </c>
      <c r="K569" s="9">
        <v>2</v>
      </c>
      <c r="L569" s="9">
        <v>442558</v>
      </c>
      <c r="M569" s="124" t="str">
        <f t="shared" si="65"/>
        <v>FASE II</v>
      </c>
      <c r="N569" s="155">
        <f t="shared" si="62"/>
        <v>7</v>
      </c>
      <c r="O569" s="156">
        <f t="shared" si="63"/>
        <v>455284</v>
      </c>
      <c r="P569" s="156">
        <f t="shared" si="64"/>
        <v>3186988</v>
      </c>
    </row>
    <row r="570" spans="2:16" s="9" customFormat="1" ht="35.1" customHeight="1" x14ac:dyDescent="0.25">
      <c r="B570" s="23" t="s">
        <v>794</v>
      </c>
      <c r="C570" s="22" t="s">
        <v>795</v>
      </c>
      <c r="D570" s="10" t="s">
        <v>16</v>
      </c>
      <c r="E570" s="12">
        <v>1</v>
      </c>
      <c r="F570" s="126">
        <v>238683</v>
      </c>
      <c r="G570" s="126">
        <f t="shared" si="69"/>
        <v>238683</v>
      </c>
      <c r="H570" s="8"/>
      <c r="I570" s="9" t="str">
        <f t="array" ref="I570:L570">_xlfn.XLOOKUP(C570,'Neiva 2022 FASE I ACTUAL (4)'!$C$6:$C$540,'Neiva 2022 FASE I ACTUAL (4)'!$C$6:$F$540,"NO ESTA")</f>
        <v>SUMINISTRO E INSTALACION VALVULAS CORTINA 2" 125PSI - PISO 1,4</v>
      </c>
      <c r="J570" s="9" t="str">
        <v>UND</v>
      </c>
      <c r="K570" s="9">
        <v>1</v>
      </c>
      <c r="L570" s="9">
        <v>232011</v>
      </c>
      <c r="M570" s="124" t="str">
        <f t="shared" si="65"/>
        <v>FASE II</v>
      </c>
      <c r="N570" s="155">
        <f t="shared" si="62"/>
        <v>2</v>
      </c>
      <c r="O570" s="156">
        <f t="shared" si="63"/>
        <v>238683</v>
      </c>
      <c r="P570" s="156">
        <f t="shared" si="64"/>
        <v>477366</v>
      </c>
    </row>
    <row r="571" spans="2:16" s="9" customFormat="1" ht="35.1" customHeight="1" x14ac:dyDescent="0.25">
      <c r="B571" s="23" t="s">
        <v>796</v>
      </c>
      <c r="C571" s="22" t="s">
        <v>797</v>
      </c>
      <c r="D571" s="10" t="s">
        <v>16</v>
      </c>
      <c r="E571" s="12">
        <v>1</v>
      </c>
      <c r="F571" s="126">
        <v>260152</v>
      </c>
      <c r="G571" s="126">
        <f t="shared" si="69"/>
        <v>260152</v>
      </c>
      <c r="H571" s="8"/>
      <c r="I571" s="9" t="str">
        <f t="array" ref="I571:L571">_xlfn.XLOOKUP(C571,'Neiva 2022 FASE I ACTUAL (4)'!$C$6:$C$540,'Neiva 2022 FASE I ACTUAL (4)'!$C$6:$F$540,"NO ESTA")</f>
        <v>SUMINISTRO E INSTALACION VALVULAS GLOBO 2" 125PSI - PISO 1,4</v>
      </c>
      <c r="J571" s="9" t="str">
        <v>UND</v>
      </c>
      <c r="K571" s="9">
        <v>1</v>
      </c>
      <c r="L571" s="9">
        <v>252880</v>
      </c>
      <c r="M571" s="124" t="str">
        <f t="shared" si="65"/>
        <v>FASE II</v>
      </c>
      <c r="N571" s="155">
        <f t="shared" si="62"/>
        <v>2</v>
      </c>
      <c r="O571" s="156">
        <f t="shared" si="63"/>
        <v>260152</v>
      </c>
      <c r="P571" s="156">
        <f t="shared" si="64"/>
        <v>520304</v>
      </c>
    </row>
    <row r="572" spans="2:16" s="9" customFormat="1" ht="35.1" customHeight="1" x14ac:dyDescent="0.25">
      <c r="B572" s="23" t="s">
        <v>1329</v>
      </c>
      <c r="C572" s="22" t="s">
        <v>1330</v>
      </c>
      <c r="D572" s="10" t="s">
        <v>16</v>
      </c>
      <c r="E572" s="12">
        <v>2</v>
      </c>
      <c r="F572" s="126">
        <v>125501</v>
      </c>
      <c r="G572" s="126">
        <f t="shared" si="69"/>
        <v>251002</v>
      </c>
      <c r="H572" s="8"/>
      <c r="I572" s="9" t="str">
        <f t="array" ref="I572">_xlfn.XLOOKUP(C572,'Neiva 2022 FASE I ACTUAL (4)'!$C$6:$C$540,'Neiva 2022 FASE I ACTUAL (4)'!$C$6:$F$540,"NO ESTA")</f>
        <v>NO ESTA</v>
      </c>
      <c r="M572" s="124">
        <f t="shared" si="65"/>
        <v>0</v>
      </c>
      <c r="N572" s="155">
        <f t="shared" si="62"/>
        <v>2</v>
      </c>
      <c r="O572" s="156">
        <f t="shared" si="63"/>
        <v>125501</v>
      </c>
      <c r="P572" s="156">
        <f t="shared" si="64"/>
        <v>251002</v>
      </c>
    </row>
    <row r="573" spans="2:16" s="9" customFormat="1" ht="35.1" customHeight="1" x14ac:dyDescent="0.25">
      <c r="B573" s="23" t="s">
        <v>1331</v>
      </c>
      <c r="C573" s="22" t="s">
        <v>1332</v>
      </c>
      <c r="D573" s="10" t="s">
        <v>16</v>
      </c>
      <c r="E573" s="12">
        <v>2</v>
      </c>
      <c r="F573" s="126">
        <v>160830</v>
      </c>
      <c r="G573" s="126">
        <f t="shared" si="69"/>
        <v>321660</v>
      </c>
      <c r="H573" s="8"/>
      <c r="I573" s="9" t="str">
        <f t="array" ref="I573">_xlfn.XLOOKUP(C573,'Neiva 2022 FASE I ACTUAL (4)'!$C$6:$C$540,'Neiva 2022 FASE I ACTUAL (4)'!$C$6:$F$540,"NO ESTA")</f>
        <v>NO ESTA</v>
      </c>
      <c r="M573" s="124">
        <f t="shared" si="65"/>
        <v>0</v>
      </c>
      <c r="N573" s="155">
        <f t="shared" si="62"/>
        <v>2</v>
      </c>
      <c r="O573" s="156">
        <f t="shared" si="63"/>
        <v>160830</v>
      </c>
      <c r="P573" s="156">
        <f t="shared" si="64"/>
        <v>321660</v>
      </c>
    </row>
    <row r="574" spans="2:16" s="9" customFormat="1" ht="35.1" customHeight="1" x14ac:dyDescent="0.25">
      <c r="B574" s="23" t="s">
        <v>798</v>
      </c>
      <c r="C574" s="22" t="s">
        <v>799</v>
      </c>
      <c r="D574" s="10" t="s">
        <v>16</v>
      </c>
      <c r="E574" s="12">
        <v>1</v>
      </c>
      <c r="F574" s="126">
        <v>584781</v>
      </c>
      <c r="G574" s="126">
        <f t="shared" si="69"/>
        <v>584781</v>
      </c>
      <c r="H574" s="8"/>
      <c r="I574" s="9" t="str">
        <f t="array" ref="I574:L574">_xlfn.XLOOKUP(C574,'Neiva 2022 FASE I ACTUAL (4)'!$C$6:$C$540,'Neiva 2022 FASE I ACTUAL (4)'!$C$6:$F$540,"NO ESTA")</f>
        <v>SUMINISTRO E INSTALACION FILTRO / STRAINER incluye SOPORTERIA</v>
      </c>
      <c r="J574" s="9" t="str">
        <v>UND</v>
      </c>
      <c r="K574" s="9">
        <v>1</v>
      </c>
      <c r="L574" s="9">
        <v>568435</v>
      </c>
      <c r="M574" s="124" t="str">
        <f t="shared" si="65"/>
        <v>FASE II</v>
      </c>
      <c r="N574" s="155">
        <f t="shared" si="62"/>
        <v>2</v>
      </c>
      <c r="O574" s="156">
        <f t="shared" si="63"/>
        <v>584781</v>
      </c>
      <c r="P574" s="156">
        <f t="shared" si="64"/>
        <v>1169562</v>
      </c>
    </row>
    <row r="575" spans="2:16" s="9" customFormat="1" ht="35.1" customHeight="1" x14ac:dyDescent="0.25">
      <c r="B575" s="23" t="s">
        <v>800</v>
      </c>
      <c r="C575" s="22" t="s">
        <v>801</v>
      </c>
      <c r="D575" s="10" t="s">
        <v>16</v>
      </c>
      <c r="E575" s="12">
        <v>1</v>
      </c>
      <c r="F575" s="126">
        <v>3213217</v>
      </c>
      <c r="G575" s="126">
        <f t="shared" si="69"/>
        <v>3213217</v>
      </c>
      <c r="H575" s="8"/>
      <c r="I575" s="9" t="str">
        <f t="array" ref="I575:L575">_xlfn.XLOOKUP(C575,'Neiva 2022 FASE I ACTUAL (4)'!$C$6:$C$540,'Neiva 2022 FASE I ACTUAL (4)'!$C$6:$F$540,"NO ESTA")</f>
        <v>SUMINISTRO E INSTALACION FLANCHES, CABEZALES Y ACCESORIOS VARIOS ASOCIADOS</v>
      </c>
      <c r="J575" s="9" t="str">
        <v>UND</v>
      </c>
      <c r="K575" s="9">
        <v>1</v>
      </c>
      <c r="L575" s="9">
        <v>3123399</v>
      </c>
      <c r="M575" s="124" t="str">
        <f t="shared" si="65"/>
        <v>FASE II</v>
      </c>
      <c r="N575" s="155">
        <f t="shared" si="62"/>
        <v>2</v>
      </c>
      <c r="O575" s="156">
        <f t="shared" si="63"/>
        <v>3213217</v>
      </c>
      <c r="P575" s="156">
        <f t="shared" si="64"/>
        <v>6426434</v>
      </c>
    </row>
    <row r="576" spans="2:16" s="9" customFormat="1" ht="35.1" customHeight="1" x14ac:dyDescent="0.25">
      <c r="B576" s="23" t="s">
        <v>802</v>
      </c>
      <c r="C576" s="22" t="s">
        <v>803</v>
      </c>
      <c r="D576" s="10" t="s">
        <v>16</v>
      </c>
      <c r="E576" s="12">
        <v>2</v>
      </c>
      <c r="F576" s="126">
        <v>1006067</v>
      </c>
      <c r="G576" s="126">
        <f t="shared" si="69"/>
        <v>2012134</v>
      </c>
      <c r="H576" s="8"/>
      <c r="I576" s="9" t="str">
        <f t="array" ref="I576:L576">_xlfn.XLOOKUP(C576,'Neiva 2022 FASE I ACTUAL (4)'!$C$6:$C$540,'Neiva 2022 FASE I ACTUAL (4)'!$C$6:$F$540,"NO ESTA")</f>
        <v>SUMINISTRO E INSTALACION JUNTAS FLEXIBLES CHILLER 4"</v>
      </c>
      <c r="J576" s="9" t="str">
        <v>UND</v>
      </c>
      <c r="K576" s="9">
        <v>2</v>
      </c>
      <c r="L576" s="9">
        <v>977944</v>
      </c>
      <c r="M576" s="124" t="str">
        <f t="shared" si="65"/>
        <v>FASE II</v>
      </c>
      <c r="N576" s="155">
        <f t="shared" si="62"/>
        <v>4</v>
      </c>
      <c r="O576" s="156">
        <f t="shared" si="63"/>
        <v>1006067</v>
      </c>
      <c r="P576" s="156">
        <f t="shared" si="64"/>
        <v>4024268</v>
      </c>
    </row>
    <row r="577" spans="2:16" s="9" customFormat="1" ht="35.1" customHeight="1" x14ac:dyDescent="0.25">
      <c r="B577" s="23" t="s">
        <v>804</v>
      </c>
      <c r="C577" s="22" t="s">
        <v>805</v>
      </c>
      <c r="D577" s="10" t="s">
        <v>16</v>
      </c>
      <c r="E577" s="12">
        <v>2</v>
      </c>
      <c r="F577" s="126">
        <v>960934</v>
      </c>
      <c r="G577" s="126">
        <f t="shared" si="69"/>
        <v>1921868</v>
      </c>
      <c r="H577" s="8"/>
      <c r="I577" s="9" t="str">
        <f t="array" ref="I577:L577">_xlfn.XLOOKUP(C577,'Neiva 2022 FASE I ACTUAL (4)'!$C$6:$C$540,'Neiva 2022 FASE I ACTUAL (4)'!$C$6:$F$540,"NO ESTA")</f>
        <v>SUMINISTRO E INSTALACION JUNTAS FLEXIBLES BOMBA VERTICAL 3"</v>
      </c>
      <c r="J577" s="9" t="str">
        <v>UND</v>
      </c>
      <c r="K577" s="9">
        <v>2</v>
      </c>
      <c r="L577" s="9">
        <v>934074</v>
      </c>
      <c r="M577" s="124" t="str">
        <f t="shared" si="65"/>
        <v>FASE II</v>
      </c>
      <c r="N577" s="155">
        <f t="shared" si="62"/>
        <v>4</v>
      </c>
      <c r="O577" s="156">
        <f t="shared" si="63"/>
        <v>960934</v>
      </c>
      <c r="P577" s="156">
        <f t="shared" si="64"/>
        <v>3843736</v>
      </c>
    </row>
    <row r="578" spans="2:16" s="9" customFormat="1" ht="35.1" customHeight="1" x14ac:dyDescent="0.25">
      <c r="B578" s="23" t="s">
        <v>806</v>
      </c>
      <c r="C578" s="22" t="s">
        <v>807</v>
      </c>
      <c r="D578" s="10" t="s">
        <v>16</v>
      </c>
      <c r="E578" s="12">
        <v>0</v>
      </c>
      <c r="F578" s="126">
        <v>254114</v>
      </c>
      <c r="G578" s="126">
        <f t="shared" si="69"/>
        <v>0</v>
      </c>
      <c r="H578" s="8"/>
      <c r="I578" s="9" t="str">
        <f t="array" ref="I578:L578">_xlfn.XLOOKUP(C578,'Neiva 2022 FASE I ACTUAL (4)'!$C$6:$C$540,'Neiva 2022 FASE I ACTUAL (4)'!$C$6:$F$540,"NO ESTA")</f>
        <v>SUMINISTRO E INSTALACION VALVULA DE CORTINA 2" FC 150 PSI</v>
      </c>
      <c r="J578" s="9" t="str">
        <v>UND</v>
      </c>
      <c r="K578" s="9">
        <v>1</v>
      </c>
      <c r="L578" s="9">
        <v>247012</v>
      </c>
      <c r="M578" s="124" t="str">
        <f t="shared" si="65"/>
        <v>FASE II</v>
      </c>
      <c r="N578" s="155">
        <f t="shared" si="62"/>
        <v>1</v>
      </c>
      <c r="O578" s="156">
        <f t="shared" si="63"/>
        <v>254114</v>
      </c>
      <c r="P578" s="156">
        <f t="shared" si="64"/>
        <v>254114</v>
      </c>
    </row>
    <row r="579" spans="2:16" s="9" customFormat="1" ht="35.1" customHeight="1" x14ac:dyDescent="0.25">
      <c r="B579" s="23" t="s">
        <v>808</v>
      </c>
      <c r="C579" s="22" t="s">
        <v>809</v>
      </c>
      <c r="D579" s="10" t="s">
        <v>16</v>
      </c>
      <c r="E579" s="12">
        <v>0</v>
      </c>
      <c r="F579" s="126">
        <v>282827</v>
      </c>
      <c r="G579" s="126">
        <f t="shared" si="69"/>
        <v>0</v>
      </c>
      <c r="H579" s="8"/>
      <c r="I579" s="9" t="str">
        <f t="array" ref="I579:L579">_xlfn.XLOOKUP(C579,'Neiva 2022 FASE I ACTUAL (4)'!$C$6:$C$540,'Neiva 2022 FASE I ACTUAL (4)'!$C$6:$F$540,"NO ESTA")</f>
        <v>SUMINISTRO E INSTALACION VALVULA DE GLOBO 2" FC 150 PSI</v>
      </c>
      <c r="J579" s="9" t="str">
        <v>UND</v>
      </c>
      <c r="K579" s="9">
        <v>1</v>
      </c>
      <c r="L579" s="9">
        <v>274921</v>
      </c>
      <c r="M579" s="124" t="str">
        <f t="shared" si="65"/>
        <v>FASE II</v>
      </c>
      <c r="N579" s="155">
        <f t="shared" si="62"/>
        <v>1</v>
      </c>
      <c r="O579" s="156">
        <f t="shared" si="63"/>
        <v>282827</v>
      </c>
      <c r="P579" s="156">
        <f t="shared" si="64"/>
        <v>282827</v>
      </c>
    </row>
    <row r="580" spans="2:16" s="9" customFormat="1" ht="35.1" customHeight="1" x14ac:dyDescent="0.25">
      <c r="B580" s="23" t="s">
        <v>810</v>
      </c>
      <c r="C580" s="87" t="s">
        <v>811</v>
      </c>
      <c r="D580" s="10" t="s">
        <v>16</v>
      </c>
      <c r="E580" s="12">
        <v>17</v>
      </c>
      <c r="F580" s="126">
        <v>214747</v>
      </c>
      <c r="G580" s="126">
        <f t="shared" si="69"/>
        <v>3650699</v>
      </c>
      <c r="H580" s="8"/>
      <c r="I580" s="9" t="str">
        <f t="array" ref="I580:L580">_xlfn.XLOOKUP(C580,'Neiva 2022 FASE I ACTUAL (4)'!$C$6:$C$540,'Neiva 2022 FASE I ACTUAL (4)'!$C$6:$F$540,"NO ESTA")</f>
        <v>SUMINISTRO E INSTALACION VALVULAS DE CORTINA 1 1/4" FC 125 PSI</v>
      </c>
      <c r="J580" s="9" t="str">
        <v>UND</v>
      </c>
      <c r="K580" s="9">
        <v>6</v>
      </c>
      <c r="L580" s="9">
        <v>208744</v>
      </c>
      <c r="M580" s="124" t="str">
        <f t="shared" si="65"/>
        <v>FASE II</v>
      </c>
      <c r="N580" s="155">
        <f t="shared" si="62"/>
        <v>23</v>
      </c>
      <c r="O580" s="156">
        <f t="shared" si="63"/>
        <v>214747</v>
      </c>
      <c r="P580" s="156">
        <f t="shared" si="64"/>
        <v>4939181</v>
      </c>
    </row>
    <row r="581" spans="2:16" s="9" customFormat="1" ht="35.1" customHeight="1" x14ac:dyDescent="0.25">
      <c r="B581" s="23" t="s">
        <v>812</v>
      </c>
      <c r="C581" s="87" t="s">
        <v>813</v>
      </c>
      <c r="D581" s="10" t="s">
        <v>16</v>
      </c>
      <c r="E581" s="12">
        <v>17</v>
      </c>
      <c r="F581" s="126">
        <v>324203</v>
      </c>
      <c r="G581" s="126">
        <f t="shared" si="69"/>
        <v>5511451</v>
      </c>
      <c r="H581" s="8"/>
      <c r="I581" s="9" t="str">
        <f t="array" ref="I581:L581">_xlfn.XLOOKUP(C581,'Neiva 2022 FASE I ACTUAL (4)'!$C$6:$C$540,'Neiva 2022 FASE I ACTUAL (4)'!$C$6:$F$540,"NO ESTA")</f>
        <v>SUMINISTRO E INSTALACION VALVULAS DE GLOBO 1 1/4" FC 125 PSI</v>
      </c>
      <c r="J581" s="9" t="str">
        <v>UND</v>
      </c>
      <c r="K581" s="9">
        <v>6</v>
      </c>
      <c r="L581" s="9">
        <v>315141</v>
      </c>
      <c r="M581" s="124" t="str">
        <f t="shared" si="65"/>
        <v>FASE II</v>
      </c>
      <c r="N581" s="155">
        <f t="shared" si="62"/>
        <v>23</v>
      </c>
      <c r="O581" s="156">
        <f t="shared" si="63"/>
        <v>324203</v>
      </c>
      <c r="P581" s="156">
        <f t="shared" si="64"/>
        <v>7456669</v>
      </c>
    </row>
    <row r="582" spans="2:16" s="9" customFormat="1" ht="35.1" customHeight="1" x14ac:dyDescent="0.25">
      <c r="B582" s="23" t="s">
        <v>814</v>
      </c>
      <c r="C582" s="87" t="s">
        <v>815</v>
      </c>
      <c r="D582" s="10" t="s">
        <v>16</v>
      </c>
      <c r="E582" s="12">
        <v>1</v>
      </c>
      <c r="F582" s="126">
        <v>234017</v>
      </c>
      <c r="G582" s="126">
        <f t="shared" si="69"/>
        <v>234017</v>
      </c>
      <c r="H582" s="59"/>
      <c r="I582" s="9" t="str">
        <f t="array" ref="I582:L582">_xlfn.XLOOKUP(C582,'Neiva 2022 FASE I ACTUAL (4)'!$C$6:$C$540,'Neiva 2022 FASE I ACTUAL (4)'!$C$6:$F$540,"NO ESTA")</f>
        <v>SUMINISTRO E INSTALACION VALVULAS DE CORTINA 1 1/2" FC 125-150 PSI</v>
      </c>
      <c r="J582" s="9" t="str">
        <v>UND</v>
      </c>
      <c r="K582" s="9">
        <v>1</v>
      </c>
      <c r="L582" s="9">
        <v>227476</v>
      </c>
      <c r="M582" s="124" t="str">
        <f t="shared" si="65"/>
        <v>FASE II</v>
      </c>
      <c r="N582" s="155">
        <f t="shared" ref="N582:N645" si="70">E582+K582</f>
        <v>2</v>
      </c>
      <c r="O582" s="156">
        <f t="shared" ref="O582:O645" si="71">MAX(L582,F582)</f>
        <v>234017</v>
      </c>
      <c r="P582" s="156">
        <f t="shared" ref="P582:P645" si="72">N582*O582</f>
        <v>468034</v>
      </c>
    </row>
    <row r="583" spans="2:16" s="9" customFormat="1" ht="35.1" customHeight="1" x14ac:dyDescent="0.25">
      <c r="B583" s="23" t="s">
        <v>816</v>
      </c>
      <c r="C583" s="87" t="s">
        <v>817</v>
      </c>
      <c r="D583" s="10" t="s">
        <v>16</v>
      </c>
      <c r="E583" s="12">
        <v>1</v>
      </c>
      <c r="F583" s="126">
        <v>336793</v>
      </c>
      <c r="G583" s="126">
        <f t="shared" si="69"/>
        <v>336793</v>
      </c>
      <c r="H583" s="8"/>
      <c r="I583" s="9" t="str">
        <f t="array" ref="I583:L583">_xlfn.XLOOKUP(C583,'Neiva 2022 FASE I ACTUAL (4)'!$C$6:$C$540,'Neiva 2022 FASE I ACTUAL (4)'!$C$6:$F$540,"NO ESTA")</f>
        <v>SUMINISTRO E INSTALACIONVALVULAS DE GLOBO 1   1/2" FC 125-150 PSI</v>
      </c>
      <c r="J583" s="9" t="str">
        <v>UND</v>
      </c>
      <c r="K583" s="9">
        <v>1</v>
      </c>
      <c r="L583" s="9">
        <v>327380</v>
      </c>
      <c r="M583" s="124" t="str">
        <f t="shared" si="65"/>
        <v>FASE II</v>
      </c>
      <c r="N583" s="155">
        <f t="shared" si="70"/>
        <v>2</v>
      </c>
      <c r="O583" s="156">
        <f t="shared" si="71"/>
        <v>336793</v>
      </c>
      <c r="P583" s="156">
        <f t="shared" si="72"/>
        <v>673586</v>
      </c>
    </row>
    <row r="584" spans="2:16" s="9" customFormat="1" ht="35.1" customHeight="1" x14ac:dyDescent="0.25">
      <c r="B584" s="23" t="s">
        <v>818</v>
      </c>
      <c r="C584" s="87" t="s">
        <v>819</v>
      </c>
      <c r="D584" s="10" t="s">
        <v>16</v>
      </c>
      <c r="E584" s="12">
        <v>2</v>
      </c>
      <c r="F584" s="126">
        <v>156935</v>
      </c>
      <c r="G584" s="126">
        <f t="shared" si="69"/>
        <v>313870</v>
      </c>
      <c r="H584" s="8"/>
      <c r="I584" s="9" t="str">
        <f t="array" ref="I584:L584">_xlfn.XLOOKUP(C584,'Neiva 2022 FASE I ACTUAL (4)'!$C$6:$C$540,'Neiva 2022 FASE I ACTUAL (4)'!$C$6:$F$540,"NO ESTA")</f>
        <v>SUMINISTRO E INSTALACION VALVULAS DE CORTINA 1" FC 125 PSI</v>
      </c>
      <c r="J584" s="9" t="str">
        <v>UND</v>
      </c>
      <c r="K584" s="9">
        <v>2</v>
      </c>
      <c r="L584" s="9">
        <v>152549</v>
      </c>
      <c r="M584" s="124" t="str">
        <f t="shared" ref="M584:M647" si="73">IF(L584=0,0,(IF(F584&lt;L584, "FASE I","FASE II")))</f>
        <v>FASE II</v>
      </c>
      <c r="N584" s="155">
        <f t="shared" si="70"/>
        <v>4</v>
      </c>
      <c r="O584" s="156">
        <f t="shared" si="71"/>
        <v>156935</v>
      </c>
      <c r="P584" s="156">
        <f t="shared" si="72"/>
        <v>627740</v>
      </c>
    </row>
    <row r="585" spans="2:16" s="9" customFormat="1" ht="35.1" customHeight="1" x14ac:dyDescent="0.25">
      <c r="B585" s="23" t="s">
        <v>820</v>
      </c>
      <c r="C585" s="22" t="s">
        <v>821</v>
      </c>
      <c r="D585" s="10" t="s">
        <v>16</v>
      </c>
      <c r="E585" s="12">
        <v>2</v>
      </c>
      <c r="F585" s="126">
        <v>195476</v>
      </c>
      <c r="G585" s="126">
        <f t="shared" si="69"/>
        <v>390952</v>
      </c>
      <c r="H585" s="8"/>
      <c r="I585" s="9" t="str">
        <f t="array" ref="I585:L585">_xlfn.XLOOKUP(C585,'Neiva 2022 FASE I ACTUAL (4)'!$C$6:$C$540,'Neiva 2022 FASE I ACTUAL (4)'!$C$6:$F$540,"NO ESTA")</f>
        <v>SUMINISTRO E INSTALACION VALVULAS DE GLOBO 1" FC 125 PSI</v>
      </c>
      <c r="J585" s="9" t="str">
        <v>UND</v>
      </c>
      <c r="K585" s="9">
        <v>2</v>
      </c>
      <c r="L585" s="9">
        <v>190013</v>
      </c>
      <c r="M585" s="124" t="str">
        <f t="shared" si="73"/>
        <v>FASE II</v>
      </c>
      <c r="N585" s="155">
        <f t="shared" si="70"/>
        <v>4</v>
      </c>
      <c r="O585" s="156">
        <f t="shared" si="71"/>
        <v>195476</v>
      </c>
      <c r="P585" s="156">
        <f t="shared" si="72"/>
        <v>781904</v>
      </c>
    </row>
    <row r="586" spans="2:16" s="9" customFormat="1" ht="35.1" customHeight="1" x14ac:dyDescent="0.25">
      <c r="B586" s="23" t="s">
        <v>822</v>
      </c>
      <c r="C586" s="87" t="s">
        <v>823</v>
      </c>
      <c r="D586" s="10" t="s">
        <v>16</v>
      </c>
      <c r="E586" s="12">
        <v>4</v>
      </c>
      <c r="F586" s="126">
        <v>125501</v>
      </c>
      <c r="G586" s="126">
        <f t="shared" si="69"/>
        <v>502004</v>
      </c>
      <c r="H586" s="8"/>
      <c r="I586" s="9" t="str">
        <f t="array" ref="I586:L586">_xlfn.XLOOKUP(C586,'Neiva 2022 FASE I ACTUAL (4)'!$C$6:$C$540,'Neiva 2022 FASE I ACTUAL (4)'!$C$6:$F$540,"NO ESTA")</f>
        <v>SUMINISTRO E INSTALACION VALVULAS DE CORTINA 3/4" FC 125 PSI</v>
      </c>
      <c r="J586" s="9" t="str">
        <v>UND</v>
      </c>
      <c r="K586" s="9">
        <v>4</v>
      </c>
      <c r="L586" s="9">
        <v>121992</v>
      </c>
      <c r="M586" s="124" t="str">
        <f t="shared" si="73"/>
        <v>FASE II</v>
      </c>
      <c r="N586" s="155">
        <f t="shared" si="70"/>
        <v>8</v>
      </c>
      <c r="O586" s="156">
        <f t="shared" si="71"/>
        <v>125501</v>
      </c>
      <c r="P586" s="156">
        <f t="shared" si="72"/>
        <v>1004008</v>
      </c>
    </row>
    <row r="587" spans="2:16" s="9" customFormat="1" ht="35.1" customHeight="1" x14ac:dyDescent="0.25">
      <c r="B587" s="23" t="s">
        <v>824</v>
      </c>
      <c r="C587" s="22" t="s">
        <v>825</v>
      </c>
      <c r="D587" s="10" t="s">
        <v>16</v>
      </c>
      <c r="E587" s="12">
        <v>4</v>
      </c>
      <c r="F587" s="126">
        <v>160830</v>
      </c>
      <c r="G587" s="126">
        <f t="shared" si="69"/>
        <v>643320</v>
      </c>
      <c r="H587" s="8"/>
      <c r="I587" s="9" t="str">
        <f t="array" ref="I587:L587">_xlfn.XLOOKUP(C587,'Neiva 2022 FASE I ACTUAL (4)'!$C$6:$C$540,'Neiva 2022 FASE I ACTUAL (4)'!$C$6:$F$540,"NO ESTA")</f>
        <v>SUMINISTRO E INSTALACION VALVULAS DE GLOBO 3/4" FC 125 PSI</v>
      </c>
      <c r="J587" s="9" t="str">
        <v>UND</v>
      </c>
      <c r="K587" s="9">
        <v>4</v>
      </c>
      <c r="L587" s="9">
        <v>156335</v>
      </c>
      <c r="M587" s="124" t="str">
        <f t="shared" si="73"/>
        <v>FASE II</v>
      </c>
      <c r="N587" s="155">
        <f t="shared" si="70"/>
        <v>8</v>
      </c>
      <c r="O587" s="156">
        <f t="shared" si="71"/>
        <v>160830</v>
      </c>
      <c r="P587" s="156">
        <f t="shared" si="72"/>
        <v>1286640</v>
      </c>
    </row>
    <row r="588" spans="2:16" s="9" customFormat="1" ht="35.1" customHeight="1" x14ac:dyDescent="0.25">
      <c r="B588" s="23" t="s">
        <v>826</v>
      </c>
      <c r="C588" s="22" t="s">
        <v>827</v>
      </c>
      <c r="D588" s="10" t="s">
        <v>16</v>
      </c>
      <c r="E588" s="12">
        <v>6</v>
      </c>
      <c r="F588" s="126">
        <v>195476</v>
      </c>
      <c r="G588" s="126">
        <f t="shared" si="69"/>
        <v>1172856</v>
      </c>
      <c r="H588" s="8"/>
      <c r="I588" s="9" t="str">
        <f t="array" ref="I588:L588">_xlfn.XLOOKUP(C588,'Neiva 2022 FASE I ACTUAL (4)'!$C$6:$C$540,'Neiva 2022 FASE I ACTUAL (4)'!$C$6:$F$540,"NO ESTA")</f>
        <v>SUMINISTRO E INSTALACION TERMOTATOS DIGITALES NO PROGRAMABLES FC</v>
      </c>
      <c r="J588" s="9" t="str">
        <v>UND</v>
      </c>
      <c r="K588" s="9">
        <v>2</v>
      </c>
      <c r="L588" s="9">
        <v>190013</v>
      </c>
      <c r="M588" s="124" t="str">
        <f t="shared" si="73"/>
        <v>FASE II</v>
      </c>
      <c r="N588" s="155">
        <f t="shared" si="70"/>
        <v>8</v>
      </c>
      <c r="O588" s="156">
        <f t="shared" si="71"/>
        <v>195476</v>
      </c>
      <c r="P588" s="156">
        <f t="shared" si="72"/>
        <v>1563808</v>
      </c>
    </row>
    <row r="589" spans="2:16" s="9" customFormat="1" ht="35.1" customHeight="1" x14ac:dyDescent="0.25">
      <c r="B589" s="23" t="s">
        <v>828</v>
      </c>
      <c r="C589" s="22" t="s">
        <v>829</v>
      </c>
      <c r="D589" s="10" t="s">
        <v>16</v>
      </c>
      <c r="E589" s="12">
        <v>22</v>
      </c>
      <c r="F589" s="126">
        <v>323946</v>
      </c>
      <c r="G589" s="126">
        <f t="shared" si="69"/>
        <v>7126812</v>
      </c>
      <c r="H589" s="8"/>
      <c r="I589" s="9" t="str">
        <f t="array" ref="I589:L589">_xlfn.XLOOKUP(C589,'Neiva 2022 FASE I ACTUAL (4)'!$C$6:$C$540,'Neiva 2022 FASE I ACTUAL (4)'!$C$6:$F$540,"NO ESTA")</f>
        <v xml:space="preserve">SUMINISTRO E INSTALACION TERMOSTATOS PROPORCIONALES DIGITALES </v>
      </c>
      <c r="J589" s="9" t="str">
        <v>UND</v>
      </c>
      <c r="K589" s="9">
        <v>8</v>
      </c>
      <c r="L589" s="9">
        <v>314891</v>
      </c>
      <c r="M589" s="124" t="str">
        <f t="shared" si="73"/>
        <v>FASE II</v>
      </c>
      <c r="N589" s="155">
        <f t="shared" si="70"/>
        <v>30</v>
      </c>
      <c r="O589" s="156">
        <f t="shared" si="71"/>
        <v>323946</v>
      </c>
      <c r="P589" s="156">
        <f t="shared" si="72"/>
        <v>9718380</v>
      </c>
    </row>
    <row r="590" spans="2:16" s="9" customFormat="1" ht="35.1" customHeight="1" x14ac:dyDescent="0.25">
      <c r="B590" s="23" t="s">
        <v>830</v>
      </c>
      <c r="C590" s="22" t="s">
        <v>831</v>
      </c>
      <c r="D590" s="10" t="s">
        <v>16</v>
      </c>
      <c r="E590" s="12">
        <v>6</v>
      </c>
      <c r="F590" s="126">
        <v>246864</v>
      </c>
      <c r="G590" s="126">
        <f t="shared" si="69"/>
        <v>1481184</v>
      </c>
      <c r="H590" s="8"/>
      <c r="I590" s="9" t="str">
        <f t="array" ref="I590:L590">_xlfn.XLOOKUP(C590,'Neiva 2022 FASE I ACTUAL (4)'!$C$6:$C$540,'Neiva 2022 FASE I ACTUAL (4)'!$C$6:$F$540,"NO ESTA")</f>
        <v>SUMINISTRO E INSTALACION ELECTROVALVULAS ON-OFF  110V</v>
      </c>
      <c r="J590" s="9" t="str">
        <v>UND</v>
      </c>
      <c r="K590" s="9">
        <v>2</v>
      </c>
      <c r="L590" s="9">
        <v>239964</v>
      </c>
      <c r="M590" s="124" t="str">
        <f t="shared" si="73"/>
        <v>FASE II</v>
      </c>
      <c r="N590" s="155">
        <f t="shared" si="70"/>
        <v>8</v>
      </c>
      <c r="O590" s="156">
        <f t="shared" si="71"/>
        <v>246864</v>
      </c>
      <c r="P590" s="156">
        <f t="shared" si="72"/>
        <v>1974912</v>
      </c>
    </row>
    <row r="591" spans="2:16" s="9" customFormat="1" ht="35.1" customHeight="1" x14ac:dyDescent="0.25">
      <c r="B591" s="23" t="s">
        <v>832</v>
      </c>
      <c r="C591" s="22" t="s">
        <v>833</v>
      </c>
      <c r="D591" s="10" t="s">
        <v>16</v>
      </c>
      <c r="E591" s="12">
        <v>0</v>
      </c>
      <c r="F591" s="126">
        <v>818556</v>
      </c>
      <c r="G591" s="126">
        <f t="shared" si="69"/>
        <v>0</v>
      </c>
      <c r="H591" s="8"/>
      <c r="I591" s="9" t="str">
        <f t="array" ref="I591:L591">_xlfn.XLOOKUP(C591,'Neiva 2022 FASE I ACTUAL (4)'!$C$6:$C$540,'Neiva 2022 FASE I ACTUAL (4)'!$C$6:$F$540,"NO ESTA")</f>
        <v>SUMINISTRO E INSTALACION ELECTROVALVULAS PROPORCIONALES 2 " - 2 VIAS - 24V</v>
      </c>
      <c r="J591" s="9" t="str">
        <v>UND</v>
      </c>
      <c r="K591" s="9">
        <v>1</v>
      </c>
      <c r="L591" s="9">
        <v>795675</v>
      </c>
      <c r="M591" s="124" t="str">
        <f t="shared" si="73"/>
        <v>FASE II</v>
      </c>
      <c r="N591" s="155">
        <f t="shared" si="70"/>
        <v>1</v>
      </c>
      <c r="O591" s="156">
        <f t="shared" si="71"/>
        <v>818556</v>
      </c>
      <c r="P591" s="156">
        <f t="shared" si="72"/>
        <v>818556</v>
      </c>
    </row>
    <row r="592" spans="2:16" s="9" customFormat="1" ht="35.1" customHeight="1" x14ac:dyDescent="0.25">
      <c r="B592" s="23" t="s">
        <v>834</v>
      </c>
      <c r="C592" s="87" t="s">
        <v>835</v>
      </c>
      <c r="D592" s="10" t="s">
        <v>16</v>
      </c>
      <c r="E592" s="12">
        <v>2</v>
      </c>
      <c r="F592" s="126">
        <v>818556</v>
      </c>
      <c r="G592" s="126">
        <f t="shared" si="69"/>
        <v>1637112</v>
      </c>
      <c r="H592" s="8"/>
      <c r="I592" s="9" t="str">
        <f t="array" ref="I592:L592">_xlfn.XLOOKUP(C592,'Neiva 2022 FASE I ACTUAL (4)'!$C$6:$C$540,'Neiva 2022 FASE I ACTUAL (4)'!$C$6:$F$540,"NO ESTA")</f>
        <v>SUMINISTRO E INSTALACION ELECTROVALVULAS PROPORCIONALES  1 1/2 " - 2 VIAS - 24V</v>
      </c>
      <c r="J592" s="9" t="str">
        <v>UND</v>
      </c>
      <c r="K592" s="9">
        <v>1</v>
      </c>
      <c r="L592" s="9">
        <v>795675</v>
      </c>
      <c r="M592" s="124" t="str">
        <f t="shared" si="73"/>
        <v>FASE II</v>
      </c>
      <c r="N592" s="155">
        <f t="shared" si="70"/>
        <v>3</v>
      </c>
      <c r="O592" s="156">
        <f t="shared" si="71"/>
        <v>818556</v>
      </c>
      <c r="P592" s="156">
        <f t="shared" si="72"/>
        <v>2455668</v>
      </c>
    </row>
    <row r="593" spans="2:16" s="9" customFormat="1" ht="35.1" customHeight="1" x14ac:dyDescent="0.25">
      <c r="B593" s="23" t="s">
        <v>836</v>
      </c>
      <c r="C593" s="87" t="s">
        <v>837</v>
      </c>
      <c r="D593" s="10" t="s">
        <v>16</v>
      </c>
      <c r="E593" s="12">
        <v>0</v>
      </c>
      <c r="F593" s="126">
        <v>818556</v>
      </c>
      <c r="G593" s="141">
        <f t="shared" si="69"/>
        <v>0</v>
      </c>
      <c r="H593" s="8"/>
      <c r="I593" s="9" t="str">
        <f t="array" ref="I593:L593">_xlfn.XLOOKUP(C593,'Neiva 2022 FASE I ACTUAL (4)'!$C$6:$C$540,'Neiva 2022 FASE I ACTUAL (4)'!$C$6:$F$540,"NO ESTA")</f>
        <v>SUMINISTRO E INSTALACION ELECTROVALVULAS PROPORCIONALES  1 1/2 " - 3 VIAS - 24V</v>
      </c>
      <c r="J593" s="9" t="str">
        <v>UND</v>
      </c>
      <c r="K593" s="9">
        <v>1</v>
      </c>
      <c r="L593" s="9">
        <v>795675</v>
      </c>
      <c r="M593" s="124" t="str">
        <f t="shared" si="73"/>
        <v>FASE II</v>
      </c>
      <c r="N593" s="155">
        <f t="shared" si="70"/>
        <v>1</v>
      </c>
      <c r="O593" s="156">
        <f t="shared" si="71"/>
        <v>818556</v>
      </c>
      <c r="P593" s="156">
        <f t="shared" si="72"/>
        <v>818556</v>
      </c>
    </row>
    <row r="594" spans="2:16" s="9" customFormat="1" ht="35.1" customHeight="1" x14ac:dyDescent="0.25">
      <c r="B594" s="23" t="s">
        <v>838</v>
      </c>
      <c r="C594" s="87" t="s">
        <v>839</v>
      </c>
      <c r="D594" s="10" t="s">
        <v>16</v>
      </c>
      <c r="E594" s="12">
        <v>15</v>
      </c>
      <c r="F594" s="126">
        <v>722203</v>
      </c>
      <c r="G594" s="126">
        <f t="shared" si="69"/>
        <v>10833045</v>
      </c>
      <c r="H594" s="8"/>
      <c r="I594" s="9" t="str">
        <f t="array" ref="I594:L594">_xlfn.XLOOKUP(C594,'Neiva 2022 FASE I ACTUAL (4)'!$C$6:$C$540,'Neiva 2022 FASE I ACTUAL (4)'!$C$6:$F$540,"NO ESTA")</f>
        <v>SUMINISTRO E INSTALACION ELECTROVALVULAS PROPORCIONALES 1 1/4 " - 24V</v>
      </c>
      <c r="J594" s="9" t="str">
        <v>UND</v>
      </c>
      <c r="K594" s="9">
        <v>5</v>
      </c>
      <c r="L594" s="9">
        <v>702016</v>
      </c>
      <c r="M594" s="124" t="str">
        <f t="shared" si="73"/>
        <v>FASE II</v>
      </c>
      <c r="N594" s="155">
        <f t="shared" si="70"/>
        <v>20</v>
      </c>
      <c r="O594" s="156">
        <f t="shared" si="71"/>
        <v>722203</v>
      </c>
      <c r="P594" s="156">
        <f t="shared" si="72"/>
        <v>14444060</v>
      </c>
    </row>
    <row r="595" spans="2:16" s="9" customFormat="1" ht="35.1" customHeight="1" x14ac:dyDescent="0.25">
      <c r="B595" s="23" t="s">
        <v>840</v>
      </c>
      <c r="C595" s="22" t="s">
        <v>841</v>
      </c>
      <c r="D595" s="10" t="s">
        <v>16</v>
      </c>
      <c r="E595" s="12">
        <v>0</v>
      </c>
      <c r="F595" s="126">
        <v>582428</v>
      </c>
      <c r="G595" s="141">
        <f t="shared" si="69"/>
        <v>0</v>
      </c>
      <c r="H595" s="8"/>
      <c r="I595" s="9" t="str">
        <f t="array" ref="I595:L595">_xlfn.XLOOKUP(C595,'Neiva 2022 FASE I ACTUAL (4)'!$C$6:$C$540,'Neiva 2022 FASE I ACTUAL (4)'!$C$6:$F$540,"NO ESTA")</f>
        <v>SUMINISTRO E INSTALACION ELECTROVALVULAS PROPORCIONALES 1 " - 24V</v>
      </c>
      <c r="J595" s="9" t="str">
        <v>UND</v>
      </c>
      <c r="K595" s="9">
        <v>1</v>
      </c>
      <c r="L595" s="9">
        <v>566147</v>
      </c>
      <c r="M595" s="124" t="str">
        <f t="shared" si="73"/>
        <v>FASE II</v>
      </c>
      <c r="N595" s="155">
        <f t="shared" si="70"/>
        <v>1</v>
      </c>
      <c r="O595" s="156">
        <f t="shared" si="71"/>
        <v>582428</v>
      </c>
      <c r="P595" s="156">
        <f t="shared" si="72"/>
        <v>582428</v>
      </c>
    </row>
    <row r="596" spans="2:16" s="9" customFormat="1" ht="35.1" customHeight="1" x14ac:dyDescent="0.25">
      <c r="B596" s="13" t="s">
        <v>842</v>
      </c>
      <c r="C596" s="24" t="s">
        <v>843</v>
      </c>
      <c r="D596" s="24"/>
      <c r="E596" s="15"/>
      <c r="F596" s="129"/>
      <c r="G596" s="140"/>
      <c r="H596" s="8"/>
      <c r="I596" s="9" t="str">
        <f t="array" ref="I596:L596">_xlfn.XLOOKUP(C596,'Neiva 2022 FASE I ACTUAL (4)'!$C$6:$C$540,'Neiva 2022 FASE I ACTUAL (4)'!$C$6:$F$540,"NO ESTA")</f>
        <v>SUMINISTRO, MONTAJE E INSTALACIÓN DE DUCTOS DE AIRE ACONDICIONADO</v>
      </c>
      <c r="J596" s="9">
        <v>0</v>
      </c>
      <c r="K596" s="9">
        <v>0</v>
      </c>
      <c r="L596" s="9">
        <v>0</v>
      </c>
      <c r="M596" s="124">
        <f t="shared" si="73"/>
        <v>0</v>
      </c>
      <c r="N596" s="155">
        <f t="shared" si="70"/>
        <v>0</v>
      </c>
      <c r="O596" s="156">
        <f t="shared" si="71"/>
        <v>0</v>
      </c>
      <c r="P596" s="156">
        <f t="shared" si="72"/>
        <v>0</v>
      </c>
    </row>
    <row r="597" spans="2:16" s="9" customFormat="1" ht="35.1" customHeight="1" x14ac:dyDescent="0.25">
      <c r="B597" s="23" t="s">
        <v>844</v>
      </c>
      <c r="C597" s="22" t="s">
        <v>845</v>
      </c>
      <c r="D597" s="60" t="s">
        <v>13</v>
      </c>
      <c r="E597" s="12">
        <v>77</v>
      </c>
      <c r="F597" s="126">
        <v>63805</v>
      </c>
      <c r="G597" s="126">
        <f t="shared" ref="G597:G602" si="74">ROUND(+F597*E597,2)</f>
        <v>4912985</v>
      </c>
      <c r="H597" s="8"/>
      <c r="I597" s="9" t="str">
        <f t="array" ref="I597:L597">_xlfn.XLOOKUP(C597,'Neiva 2022 FASE I ACTUAL (4)'!$C$6:$C$540,'Neiva 2022 FASE I ACTUAL (4)'!$C$6:$F$540,"NO ESTA")</f>
        <v>SUMINISTRO E INSTALACION DUCTOS EN LAMINA GALVANIZADA CAL. 24 Wrap FC</v>
      </c>
      <c r="J597" s="9" t="str">
        <v>M2</v>
      </c>
      <c r="K597" s="9">
        <v>28</v>
      </c>
      <c r="L597" s="9">
        <v>62021</v>
      </c>
      <c r="M597" s="124" t="str">
        <f t="shared" si="73"/>
        <v>FASE II</v>
      </c>
      <c r="N597" s="155">
        <f t="shared" si="70"/>
        <v>105</v>
      </c>
      <c r="O597" s="156">
        <f t="shared" si="71"/>
        <v>63805</v>
      </c>
      <c r="P597" s="156">
        <f t="shared" si="72"/>
        <v>6699525</v>
      </c>
    </row>
    <row r="598" spans="2:16" s="9" customFormat="1" ht="35.1" customHeight="1" x14ac:dyDescent="0.25">
      <c r="B598" s="23" t="s">
        <v>846</v>
      </c>
      <c r="C598" s="22" t="s">
        <v>847</v>
      </c>
      <c r="D598" s="60" t="s">
        <v>13</v>
      </c>
      <c r="E598" s="12">
        <v>540</v>
      </c>
      <c r="F598" s="126">
        <v>70179</v>
      </c>
      <c r="G598" s="126">
        <f t="shared" si="74"/>
        <v>37896660</v>
      </c>
      <c r="H598" s="8"/>
      <c r="I598" s="9" t="str">
        <f t="array" ref="I598:L598">_xlfn.XLOOKUP(C598,'Neiva 2022 FASE I ACTUAL (4)'!$C$6:$C$540,'Neiva 2022 FASE I ACTUAL (4)'!$C$6:$F$540,"NO ESTA")</f>
        <v>SUMINISTRO E INSTALACION DUCTOS EN LAMINA GALVANIZADA CAL. 22 Wrap FC</v>
      </c>
      <c r="J598" s="9" t="str">
        <v>M2</v>
      </c>
      <c r="K598" s="9">
        <v>200</v>
      </c>
      <c r="L598" s="9">
        <v>68217</v>
      </c>
      <c r="M598" s="124" t="str">
        <f t="shared" si="73"/>
        <v>FASE II</v>
      </c>
      <c r="N598" s="155">
        <f t="shared" si="70"/>
        <v>740</v>
      </c>
      <c r="O598" s="156">
        <f t="shared" si="71"/>
        <v>70179</v>
      </c>
      <c r="P598" s="156">
        <f t="shared" si="72"/>
        <v>51932460</v>
      </c>
    </row>
    <row r="599" spans="2:16" s="9" customFormat="1" ht="35.1" customHeight="1" x14ac:dyDescent="0.25">
      <c r="B599" s="23" t="s">
        <v>848</v>
      </c>
      <c r="C599" s="22" t="s">
        <v>849</v>
      </c>
      <c r="D599" s="60" t="s">
        <v>13</v>
      </c>
      <c r="E599" s="12">
        <v>617</v>
      </c>
      <c r="F599" s="126">
        <v>19457</v>
      </c>
      <c r="G599" s="126">
        <f t="shared" si="74"/>
        <v>12004969</v>
      </c>
      <c r="H599" s="8"/>
      <c r="I599" s="9" t="str">
        <f t="array" ref="I599:L599">_xlfn.XLOOKUP(C599,'Neiva 2022 FASE I ACTUAL (4)'!$C$6:$C$540,'Neiva 2022 FASE I ACTUAL (4)'!$C$6:$F$540,"NO ESTA")</f>
        <v>SUMINISTRO E INSTALACION AISLAMIENTO DUCTOS EN JUMBOLON FC</v>
      </c>
      <c r="J599" s="9" t="str">
        <v>M2</v>
      </c>
      <c r="K599" s="9">
        <v>228</v>
      </c>
      <c r="L599" s="9">
        <v>18913</v>
      </c>
      <c r="M599" s="124" t="str">
        <f t="shared" si="73"/>
        <v>FASE II</v>
      </c>
      <c r="N599" s="155">
        <f t="shared" si="70"/>
        <v>845</v>
      </c>
      <c r="O599" s="156">
        <f t="shared" si="71"/>
        <v>19457</v>
      </c>
      <c r="P599" s="156">
        <f t="shared" si="72"/>
        <v>16441165</v>
      </c>
    </row>
    <row r="600" spans="2:16" s="9" customFormat="1" ht="35.1" customHeight="1" x14ac:dyDescent="0.25">
      <c r="B600" s="23" t="s">
        <v>850</v>
      </c>
      <c r="C600" s="22" t="s">
        <v>851</v>
      </c>
      <c r="D600" s="60" t="s">
        <v>13</v>
      </c>
      <c r="E600" s="12">
        <v>150</v>
      </c>
      <c r="F600" s="126">
        <v>76603</v>
      </c>
      <c r="G600" s="126">
        <f t="shared" si="74"/>
        <v>11490450</v>
      </c>
      <c r="H600" s="8"/>
      <c r="I600" s="9" t="str">
        <f t="array" ref="I600:L600">_xlfn.XLOOKUP(C600,'Neiva 2022 FASE I ACTUAL (4)'!$C$6:$C$540,'Neiva 2022 FASE I ACTUAL (4)'!$C$6:$F$540,"NO ESTA")</f>
        <v>SUMINISTRO E INSTALACION DUCTOS EN LAMINA GALVANIZADA CAL. 20 Wrap UMAS</v>
      </c>
      <c r="J600" s="9" t="str">
        <v>M2</v>
      </c>
      <c r="K600" s="9">
        <v>55</v>
      </c>
      <c r="L600" s="9">
        <v>74461</v>
      </c>
      <c r="M600" s="124" t="str">
        <f t="shared" si="73"/>
        <v>FASE II</v>
      </c>
      <c r="N600" s="155">
        <f t="shared" si="70"/>
        <v>205</v>
      </c>
      <c r="O600" s="156">
        <f t="shared" si="71"/>
        <v>76603</v>
      </c>
      <c r="P600" s="156">
        <f t="shared" si="72"/>
        <v>15703615</v>
      </c>
    </row>
    <row r="601" spans="2:16" s="9" customFormat="1" ht="35.1" customHeight="1" x14ac:dyDescent="0.25">
      <c r="B601" s="23" t="s">
        <v>852</v>
      </c>
      <c r="C601" s="22" t="s">
        <v>853</v>
      </c>
      <c r="D601" s="60" t="s">
        <v>13</v>
      </c>
      <c r="E601" s="12">
        <v>150</v>
      </c>
      <c r="F601" s="126">
        <v>19457</v>
      </c>
      <c r="G601" s="126">
        <f t="shared" si="74"/>
        <v>2918550</v>
      </c>
      <c r="H601" s="8"/>
      <c r="I601" s="9" t="str">
        <f t="array" ref="I601:L601">_xlfn.XLOOKUP(C601,'Neiva 2022 FASE I ACTUAL (4)'!$C$6:$C$540,'Neiva 2022 FASE I ACTUAL (4)'!$C$6:$F$540,"NO ESTA")</f>
        <v>SUMINISTRO E INSTALACION AISLAMIENTO DUCTOS EN DUCT WRAP UMAS</v>
      </c>
      <c r="J601" s="9" t="str">
        <v>M2</v>
      </c>
      <c r="K601" s="9">
        <v>55</v>
      </c>
      <c r="L601" s="9">
        <v>18913</v>
      </c>
      <c r="M601" s="124" t="str">
        <f t="shared" si="73"/>
        <v>FASE II</v>
      </c>
      <c r="N601" s="155">
        <f t="shared" si="70"/>
        <v>205</v>
      </c>
      <c r="O601" s="156">
        <f t="shared" si="71"/>
        <v>19457</v>
      </c>
      <c r="P601" s="156">
        <f t="shared" si="72"/>
        <v>3988685</v>
      </c>
    </row>
    <row r="602" spans="2:16" s="9" customFormat="1" ht="35.1" customHeight="1" x14ac:dyDescent="0.25">
      <c r="B602" s="23" t="s">
        <v>854</v>
      </c>
      <c r="C602" s="22" t="s">
        <v>855</v>
      </c>
      <c r="D602" s="10" t="s">
        <v>16</v>
      </c>
      <c r="E602" s="12">
        <v>24</v>
      </c>
      <c r="F602" s="126">
        <v>33394</v>
      </c>
      <c r="G602" s="126">
        <f t="shared" si="74"/>
        <v>801456</v>
      </c>
      <c r="H602" s="8"/>
      <c r="I602" s="9" t="str">
        <f t="array" ref="I602:L602">_xlfn.XLOOKUP(C602,'Neiva 2022 FASE I ACTUAL (4)'!$C$6:$C$540,'Neiva 2022 FASE I ACTUAL (4)'!$C$6:$F$540,"NO ESTA")</f>
        <v>SUMINISTRO E INSTALACION ACOPLE FLEXIBLE DUCTOS - EQUIPOS</v>
      </c>
      <c r="J602" s="9" t="str">
        <v>UND</v>
      </c>
      <c r="K602" s="9">
        <v>9</v>
      </c>
      <c r="L602" s="9">
        <v>32461</v>
      </c>
      <c r="M602" s="124" t="str">
        <f t="shared" si="73"/>
        <v>FASE II</v>
      </c>
      <c r="N602" s="155">
        <f t="shared" si="70"/>
        <v>33</v>
      </c>
      <c r="O602" s="156">
        <f t="shared" si="71"/>
        <v>33394</v>
      </c>
      <c r="P602" s="156">
        <f t="shared" si="72"/>
        <v>1102002</v>
      </c>
    </row>
    <row r="603" spans="2:16" s="9" customFormat="1" ht="35.1" customHeight="1" x14ac:dyDescent="0.25">
      <c r="B603" s="13" t="s">
        <v>856</v>
      </c>
      <c r="C603" s="14" t="s">
        <v>857</v>
      </c>
      <c r="D603" s="27"/>
      <c r="E603" s="15"/>
      <c r="F603" s="129"/>
      <c r="G603" s="140"/>
      <c r="H603" s="8"/>
      <c r="I603" s="9" t="str">
        <f t="array" ref="I603:L603">_xlfn.XLOOKUP(C603,'Neiva 2022 FASE I ACTUAL (4)'!$C$6:$C$540,'Neiva 2022 FASE I ACTUAL (4)'!$C$6:$F$540,"NO ESTA")</f>
        <v>SUMINISTRO E INSTALACIÓN DIFUSORES Y REJILLAS</v>
      </c>
      <c r="J603" s="9">
        <v>0</v>
      </c>
      <c r="K603" s="9">
        <v>0</v>
      </c>
      <c r="L603" s="9">
        <v>0</v>
      </c>
      <c r="M603" s="124">
        <f t="shared" si="73"/>
        <v>0</v>
      </c>
      <c r="N603" s="155">
        <f t="shared" si="70"/>
        <v>0</v>
      </c>
      <c r="O603" s="156">
        <f t="shared" si="71"/>
        <v>0</v>
      </c>
      <c r="P603" s="156">
        <f t="shared" si="72"/>
        <v>0</v>
      </c>
    </row>
    <row r="604" spans="2:16" s="9" customFormat="1" ht="35.1" customHeight="1" x14ac:dyDescent="0.25">
      <c r="B604" s="10" t="s">
        <v>858</v>
      </c>
      <c r="C604" s="22" t="s">
        <v>859</v>
      </c>
      <c r="D604" s="10" t="s">
        <v>16</v>
      </c>
      <c r="E604" s="12">
        <v>82</v>
      </c>
      <c r="F604" s="126">
        <v>157287</v>
      </c>
      <c r="G604" s="126">
        <f t="shared" ref="G604:G617" si="75">ROUND(+F604*E604,2)</f>
        <v>12897534</v>
      </c>
      <c r="H604" s="8"/>
      <c r="I604" s="9" t="str">
        <f t="array" ref="I604:L604">_xlfn.XLOOKUP(C604,'Neiva 2022 FASE I ACTUAL (4)'!$C$6:$C$540,'Neiva 2022 FASE I ACTUAL (4)'!$C$6:$F$540,"NO ESTA")</f>
        <v>SUMINISTRO E INSTALACION DIFUSORES SUMINISTRO DE 12" x 12" 4V (Tipo Descolgado) con Damper OB</v>
      </c>
      <c r="J604" s="9" t="str">
        <v>UND</v>
      </c>
      <c r="K604" s="9">
        <v>30</v>
      </c>
      <c r="L604" s="9">
        <v>152890</v>
      </c>
      <c r="M604" s="124" t="str">
        <f t="shared" si="73"/>
        <v>FASE II</v>
      </c>
      <c r="N604" s="155">
        <f t="shared" si="70"/>
        <v>112</v>
      </c>
      <c r="O604" s="156">
        <f t="shared" si="71"/>
        <v>157287</v>
      </c>
      <c r="P604" s="156">
        <f t="shared" si="72"/>
        <v>17616144</v>
      </c>
    </row>
    <row r="605" spans="2:16" s="9" customFormat="1" ht="35.1" customHeight="1" x14ac:dyDescent="0.25">
      <c r="B605" s="10" t="s">
        <v>860</v>
      </c>
      <c r="C605" s="22" t="s">
        <v>861</v>
      </c>
      <c r="D605" s="10" t="s">
        <v>16</v>
      </c>
      <c r="E605" s="12">
        <v>4</v>
      </c>
      <c r="F605" s="126">
        <v>109753</v>
      </c>
      <c r="G605" s="126">
        <f t="shared" si="75"/>
        <v>439012</v>
      </c>
      <c r="H605" s="8"/>
      <c r="I605" s="9" t="str">
        <f t="array" ref="I605:L605">_xlfn.XLOOKUP(C605,'Neiva 2022 FASE I ACTUAL (4)'!$C$6:$C$540,'Neiva 2022 FASE I ACTUAL (4)'!$C$6:$F$540,"NO ESTA")</f>
        <v>SUMINISTRO E INSTALACION DIFUSORES SUMINISTRO DE 9" x 9" 4V (Tipo Descolgado) con Damper OB</v>
      </c>
      <c r="J605" s="9" t="str">
        <v>UND</v>
      </c>
      <c r="K605" s="9">
        <v>2</v>
      </c>
      <c r="L605" s="9">
        <v>106685</v>
      </c>
      <c r="M605" s="124" t="str">
        <f t="shared" si="73"/>
        <v>FASE II</v>
      </c>
      <c r="N605" s="155">
        <f t="shared" si="70"/>
        <v>6</v>
      </c>
      <c r="O605" s="156">
        <f t="shared" si="71"/>
        <v>109753</v>
      </c>
      <c r="P605" s="156">
        <f t="shared" si="72"/>
        <v>658518</v>
      </c>
    </row>
    <row r="606" spans="2:16" s="9" customFormat="1" ht="35.1" customHeight="1" x14ac:dyDescent="0.25">
      <c r="B606" s="10" t="s">
        <v>862</v>
      </c>
      <c r="C606" s="22" t="s">
        <v>863</v>
      </c>
      <c r="D606" s="10" t="s">
        <v>16</v>
      </c>
      <c r="E606" s="12">
        <v>4</v>
      </c>
      <c r="F606" s="126">
        <v>231800</v>
      </c>
      <c r="G606" s="126">
        <f t="shared" si="75"/>
        <v>927200</v>
      </c>
      <c r="H606" s="8"/>
      <c r="I606" s="9" t="str">
        <f t="array" ref="I606:L606">_xlfn.XLOOKUP(C606,'Neiva 2022 FASE I ACTUAL (4)'!$C$6:$C$540,'Neiva 2022 FASE I ACTUAL (4)'!$C$6:$F$540,"NO ESTA")</f>
        <v>SUMINISTRO E INSTALACION REJILLAS SUMINISTRO DE 48" X 12" (TIPO DOBLE ALETA) con Damper incluye EXTRACTORES DE AIRE</v>
      </c>
      <c r="J606" s="9" t="str">
        <v>UND</v>
      </c>
      <c r="K606" s="9">
        <v>1</v>
      </c>
      <c r="L606" s="9">
        <v>225320</v>
      </c>
      <c r="M606" s="124" t="str">
        <f t="shared" si="73"/>
        <v>FASE II</v>
      </c>
      <c r="N606" s="155">
        <f t="shared" si="70"/>
        <v>5</v>
      </c>
      <c r="O606" s="156">
        <f t="shared" si="71"/>
        <v>231800</v>
      </c>
      <c r="P606" s="156">
        <f t="shared" si="72"/>
        <v>1159000</v>
      </c>
    </row>
    <row r="607" spans="2:16" s="9" customFormat="1" ht="35.1" customHeight="1" x14ac:dyDescent="0.25">
      <c r="B607" s="10" t="s">
        <v>864</v>
      </c>
      <c r="C607" s="87" t="s">
        <v>865</v>
      </c>
      <c r="D607" s="10" t="s">
        <v>16</v>
      </c>
      <c r="E607" s="12">
        <v>2</v>
      </c>
      <c r="F607" s="126">
        <v>58365</v>
      </c>
      <c r="G607" s="126">
        <f t="shared" si="75"/>
        <v>116730</v>
      </c>
      <c r="H607" s="8"/>
      <c r="I607" s="9" t="str">
        <f t="array" ref="I607:L607">_xlfn.XLOOKUP(C607,'Neiva 2022 FASE I ACTUAL (4)'!$C$6:$C$540,'Neiva 2022 FASE I ACTUAL (4)'!$C$6:$F$540,"NO ESTA")</f>
        <v>SUMINISTRO E INSTALACION REJILLAS DE ACCESO/ RETORNO A FC DE 18" x 8" 160 CFM</v>
      </c>
      <c r="J607" s="9" t="str">
        <v>UND</v>
      </c>
      <c r="K607" s="9">
        <v>1</v>
      </c>
      <c r="L607" s="9">
        <v>56734</v>
      </c>
      <c r="M607" s="124" t="str">
        <f t="shared" si="73"/>
        <v>FASE II</v>
      </c>
      <c r="N607" s="155">
        <f t="shared" si="70"/>
        <v>3</v>
      </c>
      <c r="O607" s="156">
        <f t="shared" si="71"/>
        <v>58365</v>
      </c>
      <c r="P607" s="156">
        <f t="shared" si="72"/>
        <v>175095</v>
      </c>
    </row>
    <row r="608" spans="2:16" s="9" customFormat="1" ht="35.1" customHeight="1" x14ac:dyDescent="0.25">
      <c r="B608" s="10" t="s">
        <v>866</v>
      </c>
      <c r="C608" s="22" t="s">
        <v>867</v>
      </c>
      <c r="D608" s="10" t="s">
        <v>16</v>
      </c>
      <c r="E608" s="12">
        <v>12</v>
      </c>
      <c r="F608" s="126">
        <v>218953</v>
      </c>
      <c r="G608" s="126">
        <f t="shared" si="75"/>
        <v>2627436</v>
      </c>
      <c r="H608" s="8"/>
      <c r="I608" s="9" t="str">
        <f t="array" ref="I608:L608">_xlfn.XLOOKUP(C608,'Neiva 2022 FASE I ACTUAL (4)'!$C$6:$C$540,'Neiva 2022 FASE I ACTUAL (4)'!$C$6:$F$540,"NO ESTA")</f>
        <v>SUMINISTRO E INSTALACION REJILLAS DE ACCESO/ RETORNO A FC DE 40" x 8"   320 CFM</v>
      </c>
      <c r="J608" s="9" t="str">
        <v>UND</v>
      </c>
      <c r="K608" s="9">
        <v>4</v>
      </c>
      <c r="L608" s="9">
        <v>212833</v>
      </c>
      <c r="M608" s="124" t="str">
        <f t="shared" si="73"/>
        <v>FASE II</v>
      </c>
      <c r="N608" s="155">
        <f t="shared" si="70"/>
        <v>16</v>
      </c>
      <c r="O608" s="156">
        <f t="shared" si="71"/>
        <v>218953</v>
      </c>
      <c r="P608" s="156">
        <f t="shared" si="72"/>
        <v>3503248</v>
      </c>
    </row>
    <row r="609" spans="2:16" s="9" customFormat="1" ht="35.1" customHeight="1" x14ac:dyDescent="0.25">
      <c r="B609" s="10" t="s">
        <v>868</v>
      </c>
      <c r="C609" s="22" t="s">
        <v>869</v>
      </c>
      <c r="D609" s="10" t="s">
        <v>16</v>
      </c>
      <c r="E609" s="12">
        <v>8</v>
      </c>
      <c r="F609" s="126">
        <v>231800</v>
      </c>
      <c r="G609" s="126">
        <f t="shared" si="75"/>
        <v>1854400</v>
      </c>
      <c r="H609" s="8"/>
      <c r="I609" s="9" t="str">
        <f t="array" ref="I609:L609">_xlfn.XLOOKUP(C609,'Neiva 2022 FASE I ACTUAL (4)'!$C$6:$C$540,'Neiva 2022 FASE I ACTUAL (4)'!$C$6:$F$540,"NO ESTA")</f>
        <v>SUMINISTRO E INSTALACION REJILLAS DE ACCESO/ RETORNO A FC DE 48" x 12" 400 CFM</v>
      </c>
      <c r="J609" s="9" t="str">
        <v>UND</v>
      </c>
      <c r="K609" s="9">
        <v>3</v>
      </c>
      <c r="L609" s="9">
        <v>225320</v>
      </c>
      <c r="M609" s="124" t="str">
        <f t="shared" si="73"/>
        <v>FASE II</v>
      </c>
      <c r="N609" s="155">
        <f t="shared" si="70"/>
        <v>11</v>
      </c>
      <c r="O609" s="156">
        <f t="shared" si="71"/>
        <v>231800</v>
      </c>
      <c r="P609" s="156">
        <f t="shared" si="72"/>
        <v>2549800</v>
      </c>
    </row>
    <row r="610" spans="2:16" s="9" customFormat="1" ht="35.1" customHeight="1" x14ac:dyDescent="0.25">
      <c r="B610" s="10" t="s">
        <v>870</v>
      </c>
      <c r="C610" s="87" t="s">
        <v>871</v>
      </c>
      <c r="D610" s="10" t="s">
        <v>16</v>
      </c>
      <c r="E610" s="12">
        <v>1</v>
      </c>
      <c r="F610" s="126">
        <v>499017</v>
      </c>
      <c r="G610" s="126">
        <f t="shared" si="75"/>
        <v>499017</v>
      </c>
      <c r="H610" s="8"/>
      <c r="I610" s="9" t="str">
        <f t="array" ref="I610:L610">_xlfn.XLOOKUP(C610,'Neiva 2022 FASE I ACTUAL (4)'!$C$6:$C$540,'Neiva 2022 FASE I ACTUAL (4)'!$C$6:$F$540,"NO ESTA")</f>
        <v>SUMINISTRO E INSTALACION REJILLAS DE ACCESO/ RETORNO A FC DE 48" x 20" 2400 CFM</v>
      </c>
      <c r="J610" s="9" t="str">
        <v>UND</v>
      </c>
      <c r="K610" s="9">
        <v>1</v>
      </c>
      <c r="L610" s="9">
        <v>485068</v>
      </c>
      <c r="M610" s="124" t="str">
        <f t="shared" si="73"/>
        <v>FASE II</v>
      </c>
      <c r="N610" s="155">
        <f t="shared" si="70"/>
        <v>2</v>
      </c>
      <c r="O610" s="156">
        <f t="shared" si="71"/>
        <v>499017</v>
      </c>
      <c r="P610" s="156">
        <f t="shared" si="72"/>
        <v>998034</v>
      </c>
    </row>
    <row r="611" spans="2:16" s="9" customFormat="1" ht="35.1" customHeight="1" x14ac:dyDescent="0.25">
      <c r="B611" s="10" t="s">
        <v>872</v>
      </c>
      <c r="C611" s="87" t="s">
        <v>873</v>
      </c>
      <c r="D611" s="10" t="s">
        <v>16</v>
      </c>
      <c r="E611" s="12">
        <v>3</v>
      </c>
      <c r="F611" s="126">
        <v>443775</v>
      </c>
      <c r="G611" s="126">
        <f t="shared" si="75"/>
        <v>1331325</v>
      </c>
      <c r="H611" s="8"/>
      <c r="I611" s="9" t="str">
        <f t="array" ref="I611:L611">_xlfn.XLOOKUP(C611,'Neiva 2022 FASE I ACTUAL (4)'!$C$6:$C$540,'Neiva 2022 FASE I ACTUAL (4)'!$C$6:$F$540,"NO ESTA")</f>
        <v>SUMINISTRO E INSTALACION REJILLAS DE ACCESO/ RETORNO A FC DE 48" x 24" 3600 CFM</v>
      </c>
      <c r="J611" s="9" t="str">
        <v>UND</v>
      </c>
      <c r="K611" s="9">
        <v>1</v>
      </c>
      <c r="L611" s="9">
        <v>431371</v>
      </c>
      <c r="M611" s="124" t="str">
        <f t="shared" si="73"/>
        <v>FASE II</v>
      </c>
      <c r="N611" s="155">
        <f t="shared" si="70"/>
        <v>4</v>
      </c>
      <c r="O611" s="156">
        <f t="shared" si="71"/>
        <v>443775</v>
      </c>
      <c r="P611" s="156">
        <f t="shared" si="72"/>
        <v>1775100</v>
      </c>
    </row>
    <row r="612" spans="2:16" s="9" customFormat="1" ht="35.1" customHeight="1" x14ac:dyDescent="0.25">
      <c r="B612" s="10" t="s">
        <v>874</v>
      </c>
      <c r="C612" s="22" t="s">
        <v>875</v>
      </c>
      <c r="D612" s="10" t="s">
        <v>16</v>
      </c>
      <c r="E612" s="12">
        <v>0</v>
      </c>
      <c r="F612" s="126">
        <v>23678</v>
      </c>
      <c r="G612" s="126">
        <f t="shared" si="75"/>
        <v>0</v>
      </c>
      <c r="H612" s="8"/>
      <c r="I612" s="9" t="str">
        <f t="array" ref="I612:L612">_xlfn.XLOOKUP(C612,'Neiva 2022 FASE I ACTUAL (4)'!$C$6:$C$540,'Neiva 2022 FASE I ACTUAL (4)'!$C$6:$F$540,"NO ESTA")</f>
        <v>SUMINISTRO E INSTALACION REJILLAS DE TOMA AIRE EXTERNO TAE 6" x 6"</v>
      </c>
      <c r="J612" s="9" t="str">
        <v>UND</v>
      </c>
      <c r="K612" s="9">
        <v>1</v>
      </c>
      <c r="L612" s="9">
        <v>23016</v>
      </c>
      <c r="M612" s="124" t="str">
        <f t="shared" si="73"/>
        <v>FASE II</v>
      </c>
      <c r="N612" s="155">
        <f t="shared" si="70"/>
        <v>1</v>
      </c>
      <c r="O612" s="156">
        <f t="shared" si="71"/>
        <v>23678</v>
      </c>
      <c r="P612" s="156">
        <f t="shared" si="72"/>
        <v>23678</v>
      </c>
    </row>
    <row r="613" spans="2:16" s="9" customFormat="1" ht="35.1" customHeight="1" x14ac:dyDescent="0.25">
      <c r="B613" s="10" t="s">
        <v>876</v>
      </c>
      <c r="C613" s="22" t="s">
        <v>877</v>
      </c>
      <c r="D613" s="10" t="s">
        <v>16</v>
      </c>
      <c r="E613" s="12">
        <v>0</v>
      </c>
      <c r="F613" s="126">
        <v>32671</v>
      </c>
      <c r="G613" s="126">
        <f t="shared" si="75"/>
        <v>0</v>
      </c>
      <c r="H613" s="8"/>
      <c r="I613" s="9" t="str">
        <f t="array" ref="I613:L613">_xlfn.XLOOKUP(C613,'Neiva 2022 FASE I ACTUAL (4)'!$C$6:$C$540,'Neiva 2022 FASE I ACTUAL (4)'!$C$6:$F$540,"NO ESTA")</f>
        <v>SUMINISTRO E INSTALACION REJILLAS DE TOMA AIRE EXTERNO TAE 10" x 8"</v>
      </c>
      <c r="J613" s="9" t="str">
        <v>UND</v>
      </c>
      <c r="K613" s="9">
        <v>1</v>
      </c>
      <c r="L613" s="9">
        <v>31757</v>
      </c>
      <c r="M613" s="124" t="str">
        <f t="shared" si="73"/>
        <v>FASE II</v>
      </c>
      <c r="N613" s="155">
        <f t="shared" si="70"/>
        <v>1</v>
      </c>
      <c r="O613" s="156">
        <f t="shared" si="71"/>
        <v>32671</v>
      </c>
      <c r="P613" s="156">
        <f t="shared" si="72"/>
        <v>32671</v>
      </c>
    </row>
    <row r="614" spans="2:16" s="9" customFormat="1" ht="35.1" customHeight="1" x14ac:dyDescent="0.25">
      <c r="B614" s="10" t="s">
        <v>878</v>
      </c>
      <c r="C614" s="22" t="s">
        <v>879</v>
      </c>
      <c r="D614" s="10" t="s">
        <v>16</v>
      </c>
      <c r="E614" s="12">
        <v>16</v>
      </c>
      <c r="F614" s="126">
        <v>45518</v>
      </c>
      <c r="G614" s="126">
        <f t="shared" si="75"/>
        <v>728288</v>
      </c>
      <c r="H614" s="8"/>
      <c r="I614" s="9" t="str">
        <f t="array" ref="I614:L614">_xlfn.XLOOKUP(C614,'Neiva 2022 FASE I ACTUAL (4)'!$C$6:$C$540,'Neiva 2022 FASE I ACTUAL (4)'!$C$6:$F$540,"NO ESTA")</f>
        <v>SUMINISTRO E INSTALACION REJILLAS DE TOMA AIRE EXTERNO TAE 12" x 8"</v>
      </c>
      <c r="J614" s="9" t="str">
        <v>UND</v>
      </c>
      <c r="K614" s="9">
        <v>6</v>
      </c>
      <c r="L614" s="9">
        <v>44246</v>
      </c>
      <c r="M614" s="124" t="str">
        <f t="shared" si="73"/>
        <v>FASE II</v>
      </c>
      <c r="N614" s="155">
        <f t="shared" si="70"/>
        <v>22</v>
      </c>
      <c r="O614" s="156">
        <f t="shared" si="71"/>
        <v>45518</v>
      </c>
      <c r="P614" s="156">
        <f t="shared" si="72"/>
        <v>1001396</v>
      </c>
    </row>
    <row r="615" spans="2:16" s="9" customFormat="1" ht="35.1" customHeight="1" x14ac:dyDescent="0.25">
      <c r="B615" s="10" t="s">
        <v>880</v>
      </c>
      <c r="C615" s="22" t="s">
        <v>881</v>
      </c>
      <c r="D615" s="10" t="s">
        <v>16</v>
      </c>
      <c r="E615" s="12">
        <v>2</v>
      </c>
      <c r="F615" s="126">
        <v>58365</v>
      </c>
      <c r="G615" s="126">
        <f t="shared" si="75"/>
        <v>116730</v>
      </c>
      <c r="H615" s="8"/>
      <c r="I615" s="9" t="str">
        <f t="array" ref="I615:L615">_xlfn.XLOOKUP(C615,'Neiva 2022 FASE I ACTUAL (4)'!$C$6:$C$540,'Neiva 2022 FASE I ACTUAL (4)'!$C$6:$F$540,"NO ESTA")</f>
        <v>SUMINISTRO E INSTALACION REJILLAS DE TOMA AIRE EXTERNO TAE 18" x 8"</v>
      </c>
      <c r="J615" s="9" t="str">
        <v>UND</v>
      </c>
      <c r="K615" s="9">
        <v>1</v>
      </c>
      <c r="L615" s="9">
        <v>56734</v>
      </c>
      <c r="M615" s="124" t="str">
        <f t="shared" si="73"/>
        <v>FASE II</v>
      </c>
      <c r="N615" s="155">
        <f t="shared" si="70"/>
        <v>3</v>
      </c>
      <c r="O615" s="156">
        <f t="shared" si="71"/>
        <v>58365</v>
      </c>
      <c r="P615" s="156">
        <f t="shared" si="72"/>
        <v>175095</v>
      </c>
    </row>
    <row r="616" spans="2:16" s="9" customFormat="1" ht="35.1" customHeight="1" x14ac:dyDescent="0.25">
      <c r="B616" s="10" t="s">
        <v>882</v>
      </c>
      <c r="C616" s="22" t="s">
        <v>1333</v>
      </c>
      <c r="D616" s="10" t="s">
        <v>16</v>
      </c>
      <c r="E616" s="12">
        <v>0</v>
      </c>
      <c r="F616" s="126">
        <v>578669</v>
      </c>
      <c r="G616" s="126">
        <f t="shared" si="75"/>
        <v>0</v>
      </c>
      <c r="H616" s="8"/>
      <c r="I616" s="9" t="str">
        <f t="array" ref="I616">_xlfn.XLOOKUP(C616,'Neiva 2022 FASE I ACTUAL (4)'!$C$6:$C$540,'Neiva 2022 FASE I ACTUAL (4)'!$C$6:$F$540,"NO ESTA")</f>
        <v>NO ESTA</v>
      </c>
      <c r="M616" s="124">
        <f t="shared" si="73"/>
        <v>0</v>
      </c>
      <c r="N616" s="155">
        <f t="shared" si="70"/>
        <v>0</v>
      </c>
      <c r="O616" s="156">
        <f t="shared" si="71"/>
        <v>578669</v>
      </c>
      <c r="P616" s="156">
        <f t="shared" si="72"/>
        <v>0</v>
      </c>
    </row>
    <row r="617" spans="2:16" s="9" customFormat="1" ht="35.1" customHeight="1" x14ac:dyDescent="0.25">
      <c r="B617" s="10" t="s">
        <v>884</v>
      </c>
      <c r="C617" s="22" t="s">
        <v>1334</v>
      </c>
      <c r="D617" s="10" t="s">
        <v>16</v>
      </c>
      <c r="E617" s="12">
        <v>0</v>
      </c>
      <c r="F617" s="126">
        <v>668044</v>
      </c>
      <c r="G617" s="126">
        <f t="shared" si="75"/>
        <v>0</v>
      </c>
      <c r="H617" s="8"/>
      <c r="I617" s="9" t="str">
        <f t="array" ref="I617">_xlfn.XLOOKUP(C617,'Neiva 2022 FASE I ACTUAL (4)'!$C$6:$C$540,'Neiva 2022 FASE I ACTUAL (4)'!$C$6:$F$540,"NO ESTA")</f>
        <v>NO ESTA</v>
      </c>
      <c r="M617" s="124">
        <f t="shared" si="73"/>
        <v>0</v>
      </c>
      <c r="N617" s="155">
        <f t="shared" si="70"/>
        <v>0</v>
      </c>
      <c r="O617" s="156">
        <f t="shared" si="71"/>
        <v>668044</v>
      </c>
      <c r="P617" s="156">
        <f t="shared" si="72"/>
        <v>0</v>
      </c>
    </row>
    <row r="618" spans="2:16" s="9" customFormat="1" ht="35.1" customHeight="1" x14ac:dyDescent="0.25">
      <c r="B618" s="13" t="s">
        <v>886</v>
      </c>
      <c r="C618" s="24" t="s">
        <v>887</v>
      </c>
      <c r="D618" s="24"/>
      <c r="E618" s="15"/>
      <c r="F618" s="129"/>
      <c r="G618" s="140"/>
      <c r="H618" s="8"/>
      <c r="I618" s="9" t="str">
        <f t="array" ref="I618:L618">_xlfn.XLOOKUP(C618,'Neiva 2022 FASE I ACTUAL (4)'!$C$6:$C$540,'Neiva 2022 FASE I ACTUAL (4)'!$C$6:$F$540,"NO ESTA")</f>
        <v>SUMINSITRO, MONTAJE E INSTALACIÓN DE VENTILACIÓN MECANICA</v>
      </c>
      <c r="J618" s="9">
        <v>0</v>
      </c>
      <c r="K618" s="9">
        <v>0</v>
      </c>
      <c r="L618" s="9">
        <v>0</v>
      </c>
      <c r="M618" s="124">
        <f t="shared" si="73"/>
        <v>0</v>
      </c>
      <c r="N618" s="155">
        <f t="shared" si="70"/>
        <v>0</v>
      </c>
      <c r="O618" s="156">
        <f t="shared" si="71"/>
        <v>0</v>
      </c>
      <c r="P618" s="156">
        <f t="shared" si="72"/>
        <v>0</v>
      </c>
    </row>
    <row r="619" spans="2:16" s="9" customFormat="1" ht="35.1" customHeight="1" x14ac:dyDescent="0.25">
      <c r="B619" s="23" t="s">
        <v>1335</v>
      </c>
      <c r="C619" s="22" t="s">
        <v>1336</v>
      </c>
      <c r="D619" s="10" t="s">
        <v>16</v>
      </c>
      <c r="E619" s="12">
        <v>1</v>
      </c>
      <c r="F619" s="126">
        <v>11241761</v>
      </c>
      <c r="G619" s="126">
        <f>ROUND(+F619*E619,2)</f>
        <v>11241761</v>
      </c>
      <c r="H619" s="8"/>
      <c r="I619" s="9" t="str">
        <f t="array" ref="I619">_xlfn.XLOOKUP(C619,'Neiva 2022 FASE I ACTUAL (4)'!$C$6:$C$540,'Neiva 2022 FASE I ACTUAL (4)'!$C$6:$F$540,"NO ESTA")</f>
        <v>NO ESTA</v>
      </c>
      <c r="M619" s="124">
        <f t="shared" si="73"/>
        <v>0</v>
      </c>
      <c r="N619" s="155">
        <f t="shared" si="70"/>
        <v>1</v>
      </c>
      <c r="O619" s="156">
        <f t="shared" si="71"/>
        <v>11241761</v>
      </c>
      <c r="P619" s="156">
        <f t="shared" si="72"/>
        <v>11241761</v>
      </c>
    </row>
    <row r="620" spans="2:16" s="9" customFormat="1" ht="35.1" customHeight="1" x14ac:dyDescent="0.25">
      <c r="B620" s="23" t="s">
        <v>1337</v>
      </c>
      <c r="C620" s="22" t="s">
        <v>1338</v>
      </c>
      <c r="D620" s="10" t="s">
        <v>16</v>
      </c>
      <c r="E620" s="12">
        <v>1</v>
      </c>
      <c r="F620" s="126">
        <v>9700121</v>
      </c>
      <c r="G620" s="126">
        <f>ROUND(+F620*E620,2)</f>
        <v>9700121</v>
      </c>
      <c r="H620" s="8"/>
      <c r="I620" s="9" t="str">
        <f t="array" ref="I620">_xlfn.XLOOKUP(C620,'Neiva 2022 FASE I ACTUAL (4)'!$C$6:$C$540,'Neiva 2022 FASE I ACTUAL (4)'!$C$6:$F$540,"NO ESTA")</f>
        <v>NO ESTA</v>
      </c>
      <c r="M620" s="124">
        <f t="shared" si="73"/>
        <v>0</v>
      </c>
      <c r="N620" s="155">
        <f t="shared" si="70"/>
        <v>1</v>
      </c>
      <c r="O620" s="156">
        <f t="shared" si="71"/>
        <v>9700121</v>
      </c>
      <c r="P620" s="156">
        <f t="shared" si="72"/>
        <v>9700121</v>
      </c>
    </row>
    <row r="621" spans="2:16" s="9" customFormat="1" ht="35.1" customHeight="1" x14ac:dyDescent="0.25">
      <c r="B621" s="23" t="s">
        <v>888</v>
      </c>
      <c r="C621" s="22" t="s">
        <v>851</v>
      </c>
      <c r="D621" s="60" t="s">
        <v>13</v>
      </c>
      <c r="E621" s="12">
        <v>88</v>
      </c>
      <c r="F621" s="126">
        <v>90015</v>
      </c>
      <c r="G621" s="126">
        <f>ROUND(+F621*E621,2)</f>
        <v>7921320</v>
      </c>
      <c r="H621" s="8"/>
      <c r="I621" s="9" t="str">
        <f t="array" ref="I621:L621">_xlfn.XLOOKUP(C621,'Neiva 2022 FASE I ACTUAL (4)'!$C$6:$C$540,'Neiva 2022 FASE I ACTUAL (4)'!$C$6:$F$540,"NO ESTA")</f>
        <v>SUMINISTRO E INSTALACION DUCTOS EN LAMINA GALVANIZADA CAL. 20 Wrap UMAS</v>
      </c>
      <c r="J621" s="9" t="str">
        <v>M2</v>
      </c>
      <c r="K621" s="9">
        <v>55</v>
      </c>
      <c r="L621" s="9">
        <v>74461</v>
      </c>
      <c r="M621" s="124" t="str">
        <f t="shared" si="73"/>
        <v>FASE II</v>
      </c>
      <c r="N621" s="155">
        <f t="shared" si="70"/>
        <v>143</v>
      </c>
      <c r="O621" s="156">
        <f t="shared" si="71"/>
        <v>90015</v>
      </c>
      <c r="P621" s="156">
        <f t="shared" si="72"/>
        <v>12872145</v>
      </c>
    </row>
    <row r="622" spans="2:16" s="9" customFormat="1" ht="35.1" customHeight="1" x14ac:dyDescent="0.25">
      <c r="B622" s="23" t="s">
        <v>889</v>
      </c>
      <c r="C622" s="22" t="s">
        <v>890</v>
      </c>
      <c r="D622" s="60" t="s">
        <v>13</v>
      </c>
      <c r="E622" s="12">
        <v>191</v>
      </c>
      <c r="F622" s="126">
        <v>83592</v>
      </c>
      <c r="G622" s="126">
        <f>ROUND(+F622*E622,2)</f>
        <v>15966072</v>
      </c>
      <c r="H622" s="8"/>
      <c r="I622" s="9" t="str">
        <f t="array" ref="I622:L622">_xlfn.XLOOKUP(C622,'Neiva 2022 FASE I ACTUAL (4)'!$C$6:$C$540,'Neiva 2022 FASE I ACTUAL (4)'!$C$6:$F$540,"NO ESTA")</f>
        <v>SUMINISTRO E INSTALACION DUCTOS EN LAMINA GALVANIZADA CAL. 22 Wrap UMAS</v>
      </c>
      <c r="J622" s="9" t="str">
        <v>M2</v>
      </c>
      <c r="K622" s="9">
        <v>71</v>
      </c>
      <c r="L622" s="9">
        <v>81255</v>
      </c>
      <c r="M622" s="124" t="str">
        <f t="shared" si="73"/>
        <v>FASE II</v>
      </c>
      <c r="N622" s="155">
        <f t="shared" si="70"/>
        <v>262</v>
      </c>
      <c r="O622" s="156">
        <f t="shared" si="71"/>
        <v>83592</v>
      </c>
      <c r="P622" s="156">
        <f t="shared" si="72"/>
        <v>21901104</v>
      </c>
    </row>
    <row r="623" spans="2:16" s="9" customFormat="1" ht="35.1" customHeight="1" x14ac:dyDescent="0.25">
      <c r="B623" s="23" t="s">
        <v>891</v>
      </c>
      <c r="C623" s="22" t="s">
        <v>892</v>
      </c>
      <c r="D623" s="10" t="s">
        <v>16</v>
      </c>
      <c r="E623" s="12">
        <v>2</v>
      </c>
      <c r="F623" s="126">
        <v>498443</v>
      </c>
      <c r="G623" s="126">
        <f>ROUND(+F623*E623,2)</f>
        <v>996886</v>
      </c>
      <c r="H623" s="8"/>
      <c r="I623" s="9" t="str">
        <f t="array" ref="I623:L623">_xlfn.XLOOKUP(C623,'Neiva 2022 FASE I ACTUAL (4)'!$C$6:$C$540,'Neiva 2022 FASE I ACTUAL (4)'!$C$6:$F$540,"NO ESTA")</f>
        <v>SUMINISTRO E INSTALACION BANCO DE FILTROS</v>
      </c>
      <c r="J623" s="9" t="str">
        <v>UND</v>
      </c>
      <c r="K623" s="9">
        <v>1</v>
      </c>
      <c r="L623" s="9">
        <v>484511</v>
      </c>
      <c r="M623" s="124" t="str">
        <f t="shared" si="73"/>
        <v>FASE II</v>
      </c>
      <c r="N623" s="155">
        <f t="shared" si="70"/>
        <v>3</v>
      </c>
      <c r="O623" s="156">
        <f t="shared" si="71"/>
        <v>498443</v>
      </c>
      <c r="P623" s="156">
        <f t="shared" si="72"/>
        <v>1495329</v>
      </c>
    </row>
    <row r="624" spans="2:16" s="9" customFormat="1" ht="35.1" customHeight="1" x14ac:dyDescent="0.25">
      <c r="B624" s="13" t="s">
        <v>893</v>
      </c>
      <c r="C624" s="24" t="s">
        <v>894</v>
      </c>
      <c r="D624" s="24"/>
      <c r="E624" s="15"/>
      <c r="F624" s="129"/>
      <c r="G624" s="140"/>
      <c r="H624" s="8"/>
      <c r="I624" s="9" t="str">
        <f t="array" ref="I624:L624">_xlfn.XLOOKUP(C624,'Neiva 2022 FASE I ACTUAL (4)'!$C$6:$C$540,'Neiva 2022 FASE I ACTUAL (4)'!$C$6:$F$540,"NO ESTA")</f>
        <v>SUMNISTRO, INSTALACION Y MONTAJE CONTROL</v>
      </c>
      <c r="J624" s="9">
        <v>0</v>
      </c>
      <c r="K624" s="9">
        <v>0</v>
      </c>
      <c r="L624" s="9">
        <v>0</v>
      </c>
      <c r="M624" s="124">
        <f t="shared" si="73"/>
        <v>0</v>
      </c>
      <c r="N624" s="155">
        <f t="shared" si="70"/>
        <v>0</v>
      </c>
      <c r="O624" s="156">
        <f t="shared" si="71"/>
        <v>0</v>
      </c>
      <c r="P624" s="156">
        <f t="shared" si="72"/>
        <v>0</v>
      </c>
    </row>
    <row r="625" spans="2:16" s="9" customFormat="1" ht="35.1" customHeight="1" x14ac:dyDescent="0.25">
      <c r="B625" s="10" t="s">
        <v>1339</v>
      </c>
      <c r="C625" s="22" t="s">
        <v>1340</v>
      </c>
      <c r="D625" s="10" t="s">
        <v>16</v>
      </c>
      <c r="E625" s="12">
        <v>2</v>
      </c>
      <c r="F625" s="126">
        <v>11604897</v>
      </c>
      <c r="G625" s="126">
        <f t="shared" ref="G625:G635" si="76">ROUND(+F625*E625,2)</f>
        <v>23209794</v>
      </c>
      <c r="H625" s="8"/>
      <c r="I625" s="9" t="str">
        <f t="array" ref="I625">_xlfn.XLOOKUP(C625,'Neiva 2022 FASE I ACTUAL (4)'!$C$6:$C$540,'Neiva 2022 FASE I ACTUAL (4)'!$C$6:$F$540,"NO ESTA")</f>
        <v>NO ESTA</v>
      </c>
      <c r="M625" s="124">
        <f t="shared" si="73"/>
        <v>0</v>
      </c>
      <c r="N625" s="155">
        <f t="shared" si="70"/>
        <v>2</v>
      </c>
      <c r="O625" s="156">
        <f t="shared" si="71"/>
        <v>11604897</v>
      </c>
      <c r="P625" s="156">
        <f t="shared" si="72"/>
        <v>23209794</v>
      </c>
    </row>
    <row r="626" spans="2:16" s="9" customFormat="1" ht="35.1" customHeight="1" x14ac:dyDescent="0.25">
      <c r="B626" s="10" t="s">
        <v>895</v>
      </c>
      <c r="C626" s="22" t="s">
        <v>896</v>
      </c>
      <c r="D626" s="10" t="s">
        <v>16</v>
      </c>
      <c r="E626" s="12">
        <v>1</v>
      </c>
      <c r="F626" s="126">
        <v>1978337</v>
      </c>
      <c r="G626" s="126">
        <f t="shared" si="76"/>
        <v>1978337</v>
      </c>
      <c r="H626" s="8"/>
      <c r="I626" s="9" t="str">
        <f t="array" ref="I626:L626">_xlfn.XLOOKUP(C626,'Neiva 2022 FASE I ACTUAL (4)'!$C$6:$C$540,'Neiva 2022 FASE I ACTUAL (4)'!$C$6:$F$540,"NO ESTA")</f>
        <v>SUMINISTRO E INSTALACION VALVULA BYPASS 2"</v>
      </c>
      <c r="J626" s="9" t="str">
        <v>UND</v>
      </c>
      <c r="K626" s="9">
        <v>1</v>
      </c>
      <c r="L626" s="9">
        <v>1923036</v>
      </c>
      <c r="M626" s="124" t="str">
        <f t="shared" si="73"/>
        <v>FASE II</v>
      </c>
      <c r="N626" s="155">
        <f t="shared" si="70"/>
        <v>2</v>
      </c>
      <c r="O626" s="156">
        <f t="shared" si="71"/>
        <v>1978337</v>
      </c>
      <c r="P626" s="156">
        <f t="shared" si="72"/>
        <v>3956674</v>
      </c>
    </row>
    <row r="627" spans="2:16" s="9" customFormat="1" ht="35.1" customHeight="1" x14ac:dyDescent="0.25">
      <c r="B627" s="10" t="s">
        <v>897</v>
      </c>
      <c r="C627" s="22" t="s">
        <v>898</v>
      </c>
      <c r="D627" s="10" t="s">
        <v>16</v>
      </c>
      <c r="E627" s="12">
        <v>2</v>
      </c>
      <c r="F627" s="126">
        <v>1207567</v>
      </c>
      <c r="G627" s="126">
        <f t="shared" si="76"/>
        <v>2415134</v>
      </c>
      <c r="H627" s="8"/>
      <c r="I627" s="9" t="str">
        <f t="array" ref="I627:L627">_xlfn.XLOOKUP(C627,'Neiva 2022 FASE I ACTUAL (4)'!$C$6:$C$540,'Neiva 2022 FASE I ACTUAL (4)'!$C$6:$F$540,"NO ESTA")</f>
        <v>SUMINISTRO E INSTALACION SENSOR DIFERENCIAL DE PRESIÓN SISTEMA AGUA FRIA</v>
      </c>
      <c r="J627" s="9" t="str">
        <v>UND</v>
      </c>
      <c r="K627" s="9">
        <v>2</v>
      </c>
      <c r="L627" s="9">
        <v>1173812</v>
      </c>
      <c r="M627" s="124" t="str">
        <f t="shared" si="73"/>
        <v>FASE II</v>
      </c>
      <c r="N627" s="155">
        <f t="shared" si="70"/>
        <v>4</v>
      </c>
      <c r="O627" s="156">
        <f t="shared" si="71"/>
        <v>1207567</v>
      </c>
      <c r="P627" s="156">
        <f t="shared" si="72"/>
        <v>4830268</v>
      </c>
    </row>
    <row r="628" spans="2:16" s="9" customFormat="1" ht="35.1" customHeight="1" x14ac:dyDescent="0.25">
      <c r="B628" s="10" t="s">
        <v>899</v>
      </c>
      <c r="C628" s="22" t="s">
        <v>900</v>
      </c>
      <c r="D628" s="10" t="s">
        <v>16</v>
      </c>
      <c r="E628" s="12">
        <v>1</v>
      </c>
      <c r="F628" s="126">
        <v>867763</v>
      </c>
      <c r="G628" s="126">
        <f t="shared" si="76"/>
        <v>867763</v>
      </c>
      <c r="H628" s="8"/>
      <c r="I628" s="9" t="str">
        <f t="array" ref="I628:L628">_xlfn.XLOOKUP(C628,'Neiva 2022 FASE I ACTUAL (4)'!$C$6:$C$540,'Neiva 2022 FASE I ACTUAL (4)'!$C$6:$F$540,"NO ESTA")</f>
        <v>SUMINISTRO E INSTALACION SENSOR DIFERENCIAL DE PRESIÓN SISTEMA AIRE UMAS</v>
      </c>
      <c r="J628" s="9" t="str">
        <v>UND</v>
      </c>
      <c r="K628" s="9">
        <v>1</v>
      </c>
      <c r="L628" s="9">
        <v>843506</v>
      </c>
      <c r="M628" s="124" t="str">
        <f t="shared" si="73"/>
        <v>FASE II</v>
      </c>
      <c r="N628" s="155">
        <f t="shared" si="70"/>
        <v>2</v>
      </c>
      <c r="O628" s="156">
        <f t="shared" si="71"/>
        <v>867763</v>
      </c>
      <c r="P628" s="156">
        <f t="shared" si="72"/>
        <v>1735526</v>
      </c>
    </row>
    <row r="629" spans="2:16" s="9" customFormat="1" ht="35.1" customHeight="1" x14ac:dyDescent="0.25">
      <c r="B629" s="10" t="s">
        <v>901</v>
      </c>
      <c r="C629" s="22" t="s">
        <v>902</v>
      </c>
      <c r="D629" s="10" t="s">
        <v>16</v>
      </c>
      <c r="E629" s="12">
        <v>2</v>
      </c>
      <c r="F629" s="126">
        <v>867763</v>
      </c>
      <c r="G629" s="126">
        <f t="shared" si="76"/>
        <v>1735526</v>
      </c>
      <c r="H629" s="8"/>
      <c r="I629" s="9" t="str">
        <f t="array" ref="I629:L629">_xlfn.XLOOKUP(C629,'Neiva 2022 FASE I ACTUAL (4)'!$C$6:$C$540,'Neiva 2022 FASE I ACTUAL (4)'!$C$6:$F$540,"NO ESTA")</f>
        <v>SUMINISTRO E INSTALACION SENSOR DE FLUJO AIRE UMAS</v>
      </c>
      <c r="J629" s="9" t="str">
        <v>UND</v>
      </c>
      <c r="K629" s="9">
        <v>1</v>
      </c>
      <c r="L629" s="9">
        <v>843506</v>
      </c>
      <c r="M629" s="124" t="str">
        <f t="shared" si="73"/>
        <v>FASE II</v>
      </c>
      <c r="N629" s="155">
        <f t="shared" si="70"/>
        <v>3</v>
      </c>
      <c r="O629" s="156">
        <f t="shared" si="71"/>
        <v>867763</v>
      </c>
      <c r="P629" s="156">
        <f t="shared" si="72"/>
        <v>2603289</v>
      </c>
    </row>
    <row r="630" spans="2:16" s="9" customFormat="1" ht="35.1" customHeight="1" x14ac:dyDescent="0.25">
      <c r="B630" s="10" t="s">
        <v>1341</v>
      </c>
      <c r="C630" s="22" t="s">
        <v>1342</v>
      </c>
      <c r="D630" s="10" t="s">
        <v>16</v>
      </c>
      <c r="E630" s="12">
        <v>2</v>
      </c>
      <c r="F630" s="126">
        <v>3301628</v>
      </c>
      <c r="G630" s="126">
        <f t="shared" si="76"/>
        <v>6603256</v>
      </c>
      <c r="H630" s="8"/>
      <c r="I630" s="9" t="str">
        <f t="array" ref="I630">_xlfn.XLOOKUP(C630,'Neiva 2022 FASE I ACTUAL (4)'!$C$6:$C$540,'Neiva 2022 FASE I ACTUAL (4)'!$C$6:$F$540,"NO ESTA")</f>
        <v>NO ESTA</v>
      </c>
      <c r="M630" s="124">
        <f t="shared" si="73"/>
        <v>0</v>
      </c>
      <c r="N630" s="155">
        <f t="shared" si="70"/>
        <v>2</v>
      </c>
      <c r="O630" s="156">
        <f t="shared" si="71"/>
        <v>3301628</v>
      </c>
      <c r="P630" s="156">
        <f t="shared" si="72"/>
        <v>6603256</v>
      </c>
    </row>
    <row r="631" spans="2:16" s="9" customFormat="1" ht="35.1" customHeight="1" x14ac:dyDescent="0.25">
      <c r="B631" s="10" t="s">
        <v>1343</v>
      </c>
      <c r="C631" s="22" t="s">
        <v>1344</v>
      </c>
      <c r="D631" s="10" t="s">
        <v>16</v>
      </c>
      <c r="E631" s="12">
        <v>2</v>
      </c>
      <c r="F631" s="126">
        <v>5806708</v>
      </c>
      <c r="G631" s="126">
        <f t="shared" si="76"/>
        <v>11613416</v>
      </c>
      <c r="H631" s="8"/>
      <c r="I631" s="9" t="str">
        <f t="array" ref="I631">_xlfn.XLOOKUP(C631,'Neiva 2022 FASE I ACTUAL (4)'!$C$6:$C$540,'Neiva 2022 FASE I ACTUAL (4)'!$C$6:$F$540,"NO ESTA")</f>
        <v>NO ESTA</v>
      </c>
      <c r="M631" s="124">
        <f t="shared" si="73"/>
        <v>0</v>
      </c>
      <c r="N631" s="155">
        <f t="shared" si="70"/>
        <v>2</v>
      </c>
      <c r="O631" s="156">
        <f t="shared" si="71"/>
        <v>5806708</v>
      </c>
      <c r="P631" s="156">
        <f t="shared" si="72"/>
        <v>11613416</v>
      </c>
    </row>
    <row r="632" spans="2:16" s="9" customFormat="1" ht="35.1" customHeight="1" x14ac:dyDescent="0.25">
      <c r="B632" s="10" t="s">
        <v>1345</v>
      </c>
      <c r="C632" s="22" t="s">
        <v>1346</v>
      </c>
      <c r="D632" s="10" t="s">
        <v>16</v>
      </c>
      <c r="E632" s="12">
        <v>2</v>
      </c>
      <c r="F632" s="126">
        <v>1978337</v>
      </c>
      <c r="G632" s="126">
        <f t="shared" si="76"/>
        <v>3956674</v>
      </c>
      <c r="H632" s="8"/>
      <c r="I632" s="9" t="str">
        <f t="array" ref="I632">_xlfn.XLOOKUP(C632,'Neiva 2022 FASE I ACTUAL (4)'!$C$6:$C$540,'Neiva 2022 FASE I ACTUAL (4)'!$C$6:$F$540,"NO ESTA")</f>
        <v>NO ESTA</v>
      </c>
      <c r="M632" s="124">
        <f t="shared" si="73"/>
        <v>0</v>
      </c>
      <c r="N632" s="155">
        <f t="shared" si="70"/>
        <v>2</v>
      </c>
      <c r="O632" s="156">
        <f t="shared" si="71"/>
        <v>1978337</v>
      </c>
      <c r="P632" s="156">
        <f t="shared" si="72"/>
        <v>3956674</v>
      </c>
    </row>
    <row r="633" spans="2:16" s="9" customFormat="1" ht="35.1" customHeight="1" x14ac:dyDescent="0.25">
      <c r="B633" s="10" t="s">
        <v>903</v>
      </c>
      <c r="C633" s="22" t="s">
        <v>904</v>
      </c>
      <c r="D633" s="10" t="s">
        <v>16</v>
      </c>
      <c r="E633" s="12">
        <v>3</v>
      </c>
      <c r="F633" s="126">
        <v>1104774</v>
      </c>
      <c r="G633" s="126">
        <f t="shared" si="76"/>
        <v>3314322</v>
      </c>
      <c r="H633" s="8"/>
      <c r="I633" s="9" t="str">
        <f t="array" ref="I633:L633">_xlfn.XLOOKUP(C633,'Neiva 2022 FASE I ACTUAL (4)'!$C$6:$C$540,'Neiva 2022 FASE I ACTUAL (4)'!$C$6:$F$540,"NO ESTA")</f>
        <v>SUMINISTRO E INSTALACION SENSOR CO</v>
      </c>
      <c r="J633" s="9" t="str">
        <v>UND</v>
      </c>
      <c r="K633" s="9">
        <v>2</v>
      </c>
      <c r="L633" s="9">
        <v>1073893</v>
      </c>
      <c r="M633" s="124" t="str">
        <f t="shared" si="73"/>
        <v>FASE II</v>
      </c>
      <c r="N633" s="155">
        <f t="shared" si="70"/>
        <v>5</v>
      </c>
      <c r="O633" s="156">
        <f t="shared" si="71"/>
        <v>1104774</v>
      </c>
      <c r="P633" s="156">
        <f t="shared" si="72"/>
        <v>5523870</v>
      </c>
    </row>
    <row r="634" spans="2:16" s="9" customFormat="1" ht="35.1" customHeight="1" x14ac:dyDescent="0.25">
      <c r="B634" s="10" t="s">
        <v>905</v>
      </c>
      <c r="C634" s="22" t="s">
        <v>906</v>
      </c>
      <c r="D634" s="10" t="s">
        <v>16</v>
      </c>
      <c r="E634" s="12">
        <v>2</v>
      </c>
      <c r="F634" s="126">
        <v>331432</v>
      </c>
      <c r="G634" s="126">
        <f t="shared" si="76"/>
        <v>662864</v>
      </c>
      <c r="H634" s="8"/>
      <c r="I634" s="9" t="str">
        <f t="array" ref="I634:L634">_xlfn.XLOOKUP(C634,'Neiva 2022 FASE I ACTUAL (4)'!$C$6:$C$540,'Neiva 2022 FASE I ACTUAL (4)'!$C$6:$F$540,"NO ESTA")</f>
        <v>SUMINISTRO E INSTALACION SENSOR CONTROL CO2 UMAS</v>
      </c>
      <c r="J634" s="9" t="str">
        <v>UND</v>
      </c>
      <c r="K634" s="9">
        <v>2</v>
      </c>
      <c r="L634" s="9">
        <v>322168</v>
      </c>
      <c r="M634" s="124" t="str">
        <f t="shared" si="73"/>
        <v>FASE II</v>
      </c>
      <c r="N634" s="155">
        <f t="shared" si="70"/>
        <v>4</v>
      </c>
      <c r="O634" s="156">
        <f t="shared" si="71"/>
        <v>331432</v>
      </c>
      <c r="P634" s="156">
        <f t="shared" si="72"/>
        <v>1325728</v>
      </c>
    </row>
    <row r="635" spans="2:16" s="9" customFormat="1" ht="35.1" customHeight="1" x14ac:dyDescent="0.25">
      <c r="B635" s="10" t="s">
        <v>1347</v>
      </c>
      <c r="C635" s="22" t="s">
        <v>1348</v>
      </c>
      <c r="D635" s="10" t="s">
        <v>16</v>
      </c>
      <c r="E635" s="12">
        <v>2</v>
      </c>
      <c r="F635" s="126">
        <v>1978337</v>
      </c>
      <c r="G635" s="126">
        <f t="shared" si="76"/>
        <v>3956674</v>
      </c>
      <c r="H635" s="8"/>
      <c r="I635" s="9" t="str">
        <f t="array" ref="I635">_xlfn.XLOOKUP(C635,'Neiva 2022 FASE I ACTUAL (4)'!$C$6:$C$540,'Neiva 2022 FASE I ACTUAL (4)'!$C$6:$F$540,"NO ESTA")</f>
        <v>NO ESTA</v>
      </c>
      <c r="M635" s="124">
        <f t="shared" si="73"/>
        <v>0</v>
      </c>
      <c r="N635" s="155">
        <f t="shared" si="70"/>
        <v>2</v>
      </c>
      <c r="O635" s="156">
        <f t="shared" si="71"/>
        <v>1978337</v>
      </c>
      <c r="P635" s="156">
        <f t="shared" si="72"/>
        <v>3956674</v>
      </c>
    </row>
    <row r="636" spans="2:16" s="9" customFormat="1" ht="35.1" customHeight="1" x14ac:dyDescent="0.25">
      <c r="B636" s="33">
        <v>18</v>
      </c>
      <c r="C636" s="34" t="s">
        <v>907</v>
      </c>
      <c r="D636" s="34"/>
      <c r="E636" s="35"/>
      <c r="F636" s="132"/>
      <c r="G636" s="142"/>
      <c r="H636" s="8"/>
      <c r="I636" s="9" t="str">
        <f t="array" ref="I636:L636">_xlfn.XLOOKUP(C636,'Neiva 2022 FASE I ACTUAL (4)'!$C$6:$C$540,'Neiva 2022 FASE I ACTUAL (4)'!$C$6:$F$540,"NO ESTA")</f>
        <v>RED DE VOZ Y DATOS Cat. 6A BLINDADO LSZH (Low Smoke Zero Halogen)</v>
      </c>
      <c r="J636" s="9">
        <v>0</v>
      </c>
      <c r="K636" s="9">
        <v>0</v>
      </c>
      <c r="L636" s="9">
        <v>0</v>
      </c>
      <c r="M636" s="124">
        <f t="shared" si="73"/>
        <v>0</v>
      </c>
      <c r="N636" s="155">
        <f t="shared" si="70"/>
        <v>0</v>
      </c>
      <c r="O636" s="156">
        <f t="shared" si="71"/>
        <v>0</v>
      </c>
      <c r="P636" s="156">
        <f t="shared" si="72"/>
        <v>0</v>
      </c>
    </row>
    <row r="637" spans="2:16" s="9" customFormat="1" ht="35.1" customHeight="1" x14ac:dyDescent="0.25">
      <c r="B637" s="13" t="s">
        <v>908</v>
      </c>
      <c r="C637" s="24" t="s">
        <v>909</v>
      </c>
      <c r="D637" s="24"/>
      <c r="E637" s="15"/>
      <c r="F637" s="129"/>
      <c r="G637" s="140"/>
      <c r="H637" s="8"/>
      <c r="I637" s="9" t="str">
        <f t="array" ref="I637:L637">_xlfn.XLOOKUP(C637,'Neiva 2022 FASE I ACTUAL (4)'!$C$6:$C$540,'Neiva 2022 FASE I ACTUAL (4)'!$C$6:$F$540,"NO ESTA")</f>
        <v>SUMINISTRO E INSTALACION DE TOMAS PUESTOS DE TRABAJO</v>
      </c>
      <c r="J637" s="9">
        <v>0</v>
      </c>
      <c r="K637" s="9">
        <v>0</v>
      </c>
      <c r="L637" s="9">
        <v>0</v>
      </c>
      <c r="M637" s="124">
        <f t="shared" si="73"/>
        <v>0</v>
      </c>
      <c r="N637" s="155">
        <f t="shared" si="70"/>
        <v>0</v>
      </c>
      <c r="O637" s="156">
        <f t="shared" si="71"/>
        <v>0</v>
      </c>
      <c r="P637" s="156">
        <f t="shared" si="72"/>
        <v>0</v>
      </c>
    </row>
    <row r="638" spans="2:16" s="9" customFormat="1" ht="35.1" customHeight="1" x14ac:dyDescent="0.25">
      <c r="B638" s="23" t="s">
        <v>910</v>
      </c>
      <c r="C638" s="48" t="s">
        <v>911</v>
      </c>
      <c r="D638" s="10" t="s">
        <v>16</v>
      </c>
      <c r="E638" s="12">
        <v>172</v>
      </c>
      <c r="F638" s="126">
        <v>37593</v>
      </c>
      <c r="G638" s="126">
        <f>ROUND(+F638*E638,2)</f>
        <v>6465996</v>
      </c>
      <c r="H638" s="8"/>
      <c r="I638" s="9" t="str">
        <f t="array" ref="I638:L638">_xlfn.XLOOKUP(C638,'Neiva 2022 FASE I ACTUAL (4)'!$C$6:$C$540,'Neiva 2022 FASE I ACTUAL (4)'!$C$6:$F$540,"NO ESTA")</f>
        <v xml:space="preserve">SUMINISTRO E INSTALACION TOMAS SENCILLA RJ45 Cat. 6A DATOS BLINDADO INCLUYE MARQUILLAS </v>
      </c>
      <c r="J638" s="9" t="str">
        <v>UND</v>
      </c>
      <c r="K638" s="9">
        <v>64</v>
      </c>
      <c r="L638" s="9">
        <v>36542</v>
      </c>
      <c r="M638" s="124" t="str">
        <f t="shared" si="73"/>
        <v>FASE II</v>
      </c>
      <c r="N638" s="155">
        <f t="shared" si="70"/>
        <v>236</v>
      </c>
      <c r="O638" s="156">
        <f t="shared" si="71"/>
        <v>37593</v>
      </c>
      <c r="P638" s="156">
        <f t="shared" si="72"/>
        <v>8871948</v>
      </c>
    </row>
    <row r="639" spans="2:16" s="9" customFormat="1" ht="35.1" customHeight="1" x14ac:dyDescent="0.25">
      <c r="B639" s="23" t="s">
        <v>912</v>
      </c>
      <c r="C639" s="22" t="s">
        <v>913</v>
      </c>
      <c r="D639" s="10" t="s">
        <v>16</v>
      </c>
      <c r="E639" s="12">
        <v>38</v>
      </c>
      <c r="F639" s="126">
        <v>37593</v>
      </c>
      <c r="G639" s="126">
        <f>ROUND(+F639*E639,2)</f>
        <v>1428534</v>
      </c>
      <c r="H639" s="8"/>
      <c r="I639" s="9" t="str">
        <f t="array" ref="I639:L639">_xlfn.XLOOKUP(C639,'Neiva 2022 FASE I ACTUAL (4)'!$C$6:$C$540,'Neiva 2022 FASE I ACTUAL (4)'!$C$6:$F$540,"NO ESTA")</f>
        <v>SUMINISTRO E INSTALACION TOMAS SENCILLA RJ45 Cat. 6A VOZ BLINDADO INCLUYE MARQUILLAS</v>
      </c>
      <c r="J639" s="9" t="str">
        <v>UND</v>
      </c>
      <c r="K639" s="9">
        <v>14</v>
      </c>
      <c r="L639" s="9">
        <v>36542</v>
      </c>
      <c r="M639" s="124" t="str">
        <f t="shared" si="73"/>
        <v>FASE II</v>
      </c>
      <c r="N639" s="155">
        <f t="shared" si="70"/>
        <v>52</v>
      </c>
      <c r="O639" s="156">
        <f t="shared" si="71"/>
        <v>37593</v>
      </c>
      <c r="P639" s="156">
        <f t="shared" si="72"/>
        <v>1954836</v>
      </c>
    </row>
    <row r="640" spans="2:16" s="9" customFormat="1" ht="35.1" customHeight="1" x14ac:dyDescent="0.25">
      <c r="B640" s="23" t="s">
        <v>914</v>
      </c>
      <c r="C640" s="22" t="s">
        <v>915</v>
      </c>
      <c r="D640" s="10" t="s">
        <v>16</v>
      </c>
      <c r="E640" s="12">
        <v>172</v>
      </c>
      <c r="F640" s="126">
        <v>9923</v>
      </c>
      <c r="G640" s="126">
        <f>ROUND(+F640*E640,2)</f>
        <v>1706756</v>
      </c>
      <c r="H640" s="8"/>
      <c r="I640" s="9" t="str">
        <f t="array" ref="I640:L640">_xlfn.XLOOKUP(C640,'Neiva 2022 FASE I ACTUAL (4)'!$C$6:$C$540,'Neiva 2022 FASE I ACTUAL (4)'!$C$6:$F$540,"NO ESTA")</f>
        <v>SUMINISTRO E INSTALACION FACE PLATE DOBLE PARA TOMA RJ45</v>
      </c>
      <c r="J640" s="9" t="str">
        <v>UND</v>
      </c>
      <c r="K640" s="9">
        <v>64</v>
      </c>
      <c r="L640" s="9">
        <v>9646</v>
      </c>
      <c r="M640" s="124" t="str">
        <f t="shared" si="73"/>
        <v>FASE II</v>
      </c>
      <c r="N640" s="155">
        <f t="shared" si="70"/>
        <v>236</v>
      </c>
      <c r="O640" s="156">
        <f t="shared" si="71"/>
        <v>9923</v>
      </c>
      <c r="P640" s="156">
        <f t="shared" si="72"/>
        <v>2341828</v>
      </c>
    </row>
    <row r="641" spans="2:16" s="9" customFormat="1" ht="35.1" customHeight="1" x14ac:dyDescent="0.25">
      <c r="B641" s="23" t="s">
        <v>916</v>
      </c>
      <c r="C641" s="22" t="s">
        <v>917</v>
      </c>
      <c r="D641" s="10" t="s">
        <v>16</v>
      </c>
      <c r="E641" s="12">
        <v>172</v>
      </c>
      <c r="F641" s="126">
        <v>45221</v>
      </c>
      <c r="G641" s="126">
        <f>ROUND(+F641*E641,2)</f>
        <v>7778012</v>
      </c>
      <c r="H641" s="8"/>
      <c r="I641" s="9" t="str">
        <f t="array" ref="I641:L641">_xlfn.XLOOKUP(C641,'Neiva 2022 FASE I ACTUAL (4)'!$C$6:$C$540,'Neiva 2022 FASE I ACTUAL (4)'!$C$6:$F$540,"NO ESTA")</f>
        <v>SUMINISTRO E INSTALACION PATCH CORD. RJ45-RJ45 1,5 m Cat. 6A BLINDADO</v>
      </c>
      <c r="J641" s="9" t="str">
        <v>UND</v>
      </c>
      <c r="K641" s="9">
        <v>64</v>
      </c>
      <c r="L641" s="9">
        <v>43957</v>
      </c>
      <c r="M641" s="124" t="str">
        <f t="shared" si="73"/>
        <v>FASE II</v>
      </c>
      <c r="N641" s="155">
        <f t="shared" si="70"/>
        <v>236</v>
      </c>
      <c r="O641" s="156">
        <f t="shared" si="71"/>
        <v>45221</v>
      </c>
      <c r="P641" s="156">
        <f t="shared" si="72"/>
        <v>10672156</v>
      </c>
    </row>
    <row r="642" spans="2:16" s="9" customFormat="1" ht="35.1" customHeight="1" x14ac:dyDescent="0.25">
      <c r="B642" s="13" t="s">
        <v>918</v>
      </c>
      <c r="C642" s="24" t="s">
        <v>919</v>
      </c>
      <c r="D642" s="24"/>
      <c r="E642" s="15"/>
      <c r="F642" s="129"/>
      <c r="G642" s="140"/>
      <c r="H642" s="8"/>
      <c r="I642" s="9" t="str">
        <f t="array" ref="I642:L642">_xlfn.XLOOKUP(C642,'Neiva 2022 FASE I ACTUAL (4)'!$C$6:$C$540,'Neiva 2022 FASE I ACTUAL (4)'!$C$6:$F$540,"NO ESTA")</f>
        <v>SUMINISTRO E INSTALACION DE CABLES</v>
      </c>
      <c r="J642" s="9">
        <v>0</v>
      </c>
      <c r="K642" s="9">
        <v>0</v>
      </c>
      <c r="L642" s="9">
        <v>0</v>
      </c>
      <c r="M642" s="124">
        <f t="shared" si="73"/>
        <v>0</v>
      </c>
      <c r="N642" s="155">
        <f t="shared" si="70"/>
        <v>0</v>
      </c>
      <c r="O642" s="156">
        <f t="shared" si="71"/>
        <v>0</v>
      </c>
      <c r="P642" s="156">
        <f t="shared" si="72"/>
        <v>0</v>
      </c>
    </row>
    <row r="643" spans="2:16" s="9" customFormat="1" ht="35.1" customHeight="1" x14ac:dyDescent="0.25">
      <c r="B643" s="23" t="s">
        <v>920</v>
      </c>
      <c r="C643" s="22" t="s">
        <v>921</v>
      </c>
      <c r="D643" s="10" t="s">
        <v>94</v>
      </c>
      <c r="E643" s="12">
        <v>11247</v>
      </c>
      <c r="F643" s="126">
        <v>4503</v>
      </c>
      <c r="G643" s="126">
        <f>ROUND(+F643*E643,2)</f>
        <v>50645241</v>
      </c>
      <c r="H643" s="8"/>
      <c r="I643" s="9" t="str">
        <f t="array" ref="I643:L643">_xlfn.XLOOKUP(C643,'Neiva 2022 FASE I ACTUAL (4)'!$C$6:$C$540,'Neiva 2022 FASE I ACTUAL (4)'!$C$6:$F$540,"NO ESTA")</f>
        <v>SUMINISTRO E INSTALACION CABLE 10 G F/UTP Cat. 6A CON CHAQUETA LSZH (LOW SMOKE ZERO HALOGEN)</v>
      </c>
      <c r="J643" s="9" t="str">
        <v>ML</v>
      </c>
      <c r="K643" s="9">
        <v>1765</v>
      </c>
      <c r="L643" s="9">
        <v>4378</v>
      </c>
      <c r="M643" s="124" t="str">
        <f t="shared" si="73"/>
        <v>FASE II</v>
      </c>
      <c r="N643" s="155">
        <f t="shared" si="70"/>
        <v>13012</v>
      </c>
      <c r="O643" s="156">
        <f t="shared" si="71"/>
        <v>4503</v>
      </c>
      <c r="P643" s="156">
        <f t="shared" si="72"/>
        <v>58593036</v>
      </c>
    </row>
    <row r="644" spans="2:16" s="9" customFormat="1" ht="35.1" customHeight="1" x14ac:dyDescent="0.25">
      <c r="B644" s="13" t="s">
        <v>922</v>
      </c>
      <c r="C644" s="24" t="s">
        <v>923</v>
      </c>
      <c r="D644" s="24"/>
      <c r="E644" s="15"/>
      <c r="F644" s="129"/>
      <c r="G644" s="140"/>
      <c r="H644" s="8"/>
      <c r="I644" s="9" t="str">
        <f t="array" ref="I644:L644">_xlfn.XLOOKUP(C644,'Neiva 2022 FASE I ACTUAL (4)'!$C$6:$C$540,'Neiva 2022 FASE I ACTUAL (4)'!$C$6:$F$540,"NO ESTA")</f>
        <v xml:space="preserve">SUMINISTRO E INSTALACION DE ELEMENTOS DE ADMINISTRACIÓN </v>
      </c>
      <c r="J644" s="9">
        <v>0</v>
      </c>
      <c r="K644" s="9">
        <v>0</v>
      </c>
      <c r="L644" s="9">
        <v>0</v>
      </c>
      <c r="M644" s="124">
        <f t="shared" si="73"/>
        <v>0</v>
      </c>
      <c r="N644" s="155">
        <f t="shared" si="70"/>
        <v>0</v>
      </c>
      <c r="O644" s="156">
        <f t="shared" si="71"/>
        <v>0</v>
      </c>
      <c r="P644" s="156">
        <f t="shared" si="72"/>
        <v>0</v>
      </c>
    </row>
    <row r="645" spans="2:16" s="9" customFormat="1" ht="35.1" customHeight="1" x14ac:dyDescent="0.25">
      <c r="B645" s="23" t="s">
        <v>924</v>
      </c>
      <c r="C645" s="22" t="s">
        <v>925</v>
      </c>
      <c r="D645" s="10" t="s">
        <v>16</v>
      </c>
      <c r="E645" s="12">
        <v>9</v>
      </c>
      <c r="F645" s="126">
        <v>268628</v>
      </c>
      <c r="G645" s="126">
        <f t="shared" ref="G645:G650" si="77">ROUND(+F645*E645,2)</f>
        <v>2417652</v>
      </c>
      <c r="H645" s="8"/>
      <c r="I645" s="9" t="str">
        <f t="array" ref="I645:L645">_xlfn.XLOOKUP(C645,'Neiva 2022 FASE I ACTUAL (4)'!$C$6:$C$540,'Neiva 2022 FASE I ACTUAL (4)'!$C$6:$F$540,"NO ESTA")</f>
        <v>SUMINISTRO E INSTALACION HERRAJE PATVH PANEL 24 Pts Cat. 6A BLINDADO</v>
      </c>
      <c r="J645" s="9" t="str">
        <v>UND</v>
      </c>
      <c r="K645" s="9">
        <v>4</v>
      </c>
      <c r="L645" s="9">
        <v>261119</v>
      </c>
      <c r="M645" s="124" t="str">
        <f t="shared" si="73"/>
        <v>FASE II</v>
      </c>
      <c r="N645" s="155">
        <f t="shared" si="70"/>
        <v>13</v>
      </c>
      <c r="O645" s="156">
        <f t="shared" si="71"/>
        <v>268628</v>
      </c>
      <c r="P645" s="156">
        <f t="shared" si="72"/>
        <v>3492164</v>
      </c>
    </row>
    <row r="646" spans="2:16" s="9" customFormat="1" ht="35.1" customHeight="1" x14ac:dyDescent="0.25">
      <c r="B646" s="23" t="s">
        <v>926</v>
      </c>
      <c r="C646" s="22" t="s">
        <v>927</v>
      </c>
      <c r="D646" s="10" t="s">
        <v>16</v>
      </c>
      <c r="E646" s="12">
        <v>172</v>
      </c>
      <c r="F646" s="126">
        <v>37595</v>
      </c>
      <c r="G646" s="126">
        <f t="shared" si="77"/>
        <v>6466340</v>
      </c>
      <c r="H646" s="8"/>
      <c r="I646" s="9" t="str">
        <f t="array" ref="I646:L646">_xlfn.XLOOKUP(C646,'Neiva 2022 FASE I ACTUAL (4)'!$C$6:$C$540,'Neiva 2022 FASE I ACTUAL (4)'!$C$6:$F$540,"NO ESTA")</f>
        <v>SUMINISTRO E INSTALACION TOMA SENCILLA RJ45 Cat. 6A AZUL DATOS BLINDADO INCLUYE MARQUILLAS</v>
      </c>
      <c r="J646" s="9" t="str">
        <v>UND</v>
      </c>
      <c r="K646" s="9">
        <v>64</v>
      </c>
      <c r="L646" s="9">
        <v>36544</v>
      </c>
      <c r="M646" s="124" t="str">
        <f t="shared" si="73"/>
        <v>FASE II</v>
      </c>
      <c r="N646" s="155">
        <f t="shared" ref="N646:N709" si="78">E646+K646</f>
        <v>236</v>
      </c>
      <c r="O646" s="156">
        <f t="shared" ref="O646:O709" si="79">MAX(L646,F646)</f>
        <v>37595</v>
      </c>
      <c r="P646" s="156">
        <f t="shared" ref="P646:P709" si="80">N646*O646</f>
        <v>8872420</v>
      </c>
    </row>
    <row r="647" spans="2:16" s="9" customFormat="1" ht="35.1" customHeight="1" x14ac:dyDescent="0.25">
      <c r="B647" s="23" t="s">
        <v>928</v>
      </c>
      <c r="C647" s="22" t="s">
        <v>929</v>
      </c>
      <c r="D647" s="10" t="s">
        <v>16</v>
      </c>
      <c r="E647" s="12">
        <v>38</v>
      </c>
      <c r="F647" s="126">
        <v>37595</v>
      </c>
      <c r="G647" s="126">
        <f t="shared" si="77"/>
        <v>1428610</v>
      </c>
      <c r="H647" s="8"/>
      <c r="I647" s="9" t="str">
        <f t="array" ref="I647:L647">_xlfn.XLOOKUP(C647,'Neiva 2022 FASE I ACTUAL (4)'!$C$6:$C$540,'Neiva 2022 FASE I ACTUAL (4)'!$C$6:$F$540,"NO ESTA")</f>
        <v>SUMINISTRO E INSTALACION TOMA SENCILLA RJ45 Cat. 6A ROJO VOZ BLINDADO INCLUYE MARQUILLAS</v>
      </c>
      <c r="J647" s="9" t="str">
        <v>UND</v>
      </c>
      <c r="K647" s="9">
        <v>14</v>
      </c>
      <c r="L647" s="9">
        <v>36544</v>
      </c>
      <c r="M647" s="124" t="str">
        <f t="shared" si="73"/>
        <v>FASE II</v>
      </c>
      <c r="N647" s="155">
        <f t="shared" si="78"/>
        <v>52</v>
      </c>
      <c r="O647" s="156">
        <f t="shared" si="79"/>
        <v>37595</v>
      </c>
      <c r="P647" s="156">
        <f t="shared" si="80"/>
        <v>1954940</v>
      </c>
    </row>
    <row r="648" spans="2:16" s="9" customFormat="1" ht="35.1" customHeight="1" x14ac:dyDescent="0.25">
      <c r="B648" s="23" t="s">
        <v>930</v>
      </c>
      <c r="C648" s="22" t="s">
        <v>931</v>
      </c>
      <c r="D648" s="10" t="s">
        <v>16</v>
      </c>
      <c r="E648" s="12">
        <v>172</v>
      </c>
      <c r="F648" s="126">
        <v>48221</v>
      </c>
      <c r="G648" s="126">
        <f t="shared" si="77"/>
        <v>8294012</v>
      </c>
      <c r="H648" s="8"/>
      <c r="I648" s="9" t="str">
        <f t="array" ref="I648:L648">_xlfn.XLOOKUP(C648,'Neiva 2022 FASE I ACTUAL (4)'!$C$6:$C$540,'Neiva 2022 FASE I ACTUAL (4)'!$C$6:$F$540,"NO ESTA")</f>
        <v>SUMINISTRO E INSTALACION PATCH CORD. RJ45-RJ45 3 m Cat. 6A DATOS BLINDADO</v>
      </c>
      <c r="J648" s="9" t="str">
        <v>UND</v>
      </c>
      <c r="K648" s="9">
        <v>64</v>
      </c>
      <c r="L648" s="9">
        <v>46873</v>
      </c>
      <c r="M648" s="124" t="str">
        <f t="shared" ref="M648:M711" si="81">IF(L648=0,0,(IF(F648&lt;L648, "FASE I","FASE II")))</f>
        <v>FASE II</v>
      </c>
      <c r="N648" s="155">
        <f t="shared" si="78"/>
        <v>236</v>
      </c>
      <c r="O648" s="156">
        <f t="shared" si="79"/>
        <v>48221</v>
      </c>
      <c r="P648" s="156">
        <f t="shared" si="80"/>
        <v>11380156</v>
      </c>
    </row>
    <row r="649" spans="2:16" s="9" customFormat="1" ht="35.1" customHeight="1" x14ac:dyDescent="0.25">
      <c r="B649" s="23" t="s">
        <v>932</v>
      </c>
      <c r="C649" s="22" t="s">
        <v>933</v>
      </c>
      <c r="D649" s="10" t="s">
        <v>16</v>
      </c>
      <c r="E649" s="12">
        <v>38</v>
      </c>
      <c r="F649" s="126">
        <v>48221</v>
      </c>
      <c r="G649" s="126">
        <f t="shared" si="77"/>
        <v>1832398</v>
      </c>
      <c r="H649" s="8"/>
      <c r="I649" s="9" t="str">
        <f t="array" ref="I649:L649">_xlfn.XLOOKUP(C649,'Neiva 2022 FASE I ACTUAL (4)'!$C$6:$C$540,'Neiva 2022 FASE I ACTUAL (4)'!$C$6:$F$540,"NO ESTA")</f>
        <v>SUMINISTRO E INSTALACION PATCH CORD. RJ45-RJ45 3 m Cat. 6A VOZ BLINDADO</v>
      </c>
      <c r="J649" s="9" t="str">
        <v>UND</v>
      </c>
      <c r="K649" s="9">
        <v>14</v>
      </c>
      <c r="L649" s="9">
        <v>46873</v>
      </c>
      <c r="M649" s="124" t="str">
        <f t="shared" si="81"/>
        <v>FASE II</v>
      </c>
      <c r="N649" s="155">
        <f t="shared" si="78"/>
        <v>52</v>
      </c>
      <c r="O649" s="156">
        <f t="shared" si="79"/>
        <v>48221</v>
      </c>
      <c r="P649" s="156">
        <f t="shared" si="80"/>
        <v>2507492</v>
      </c>
    </row>
    <row r="650" spans="2:16" s="9" customFormat="1" ht="35.1" customHeight="1" x14ac:dyDescent="0.25">
      <c r="B650" s="23" t="s">
        <v>934</v>
      </c>
      <c r="C650" s="22" t="s">
        <v>935</v>
      </c>
      <c r="D650" s="10" t="s">
        <v>16</v>
      </c>
      <c r="E650" s="12">
        <v>9</v>
      </c>
      <c r="F650" s="126">
        <v>250719</v>
      </c>
      <c r="G650" s="126">
        <f t="shared" si="77"/>
        <v>2256471</v>
      </c>
      <c r="H650" s="8"/>
      <c r="I650" s="9" t="str">
        <f t="array" ref="I650:L650">_xlfn.XLOOKUP(C650,'Neiva 2022 FASE I ACTUAL (4)'!$C$6:$C$540,'Neiva 2022 FASE I ACTUAL (4)'!$C$6:$F$540,"NO ESTA")</f>
        <v>SUMINISTRO E INSTALACION ORGANIZADOR HORIZONTAL 2U</v>
      </c>
      <c r="J650" s="9" t="str">
        <v>UND</v>
      </c>
      <c r="K650" s="9">
        <v>4</v>
      </c>
      <c r="L650" s="9">
        <v>243712</v>
      </c>
      <c r="M650" s="124" t="str">
        <f t="shared" si="81"/>
        <v>FASE II</v>
      </c>
      <c r="N650" s="155">
        <f t="shared" si="78"/>
        <v>13</v>
      </c>
      <c r="O650" s="156">
        <f t="shared" si="79"/>
        <v>250719</v>
      </c>
      <c r="P650" s="156">
        <f t="shared" si="80"/>
        <v>3259347</v>
      </c>
    </row>
    <row r="651" spans="2:16" s="9" customFormat="1" ht="35.1" customHeight="1" x14ac:dyDescent="0.25">
      <c r="B651" s="13" t="s">
        <v>936</v>
      </c>
      <c r="C651" s="14" t="s">
        <v>937</v>
      </c>
      <c r="D651" s="13"/>
      <c r="E651" s="15"/>
      <c r="F651" s="129"/>
      <c r="G651" s="140"/>
      <c r="H651" s="8"/>
      <c r="I651" s="9" t="str">
        <f t="array" ref="I651:L651">_xlfn.XLOOKUP(C651,'Neiva 2022 FASE I ACTUAL (4)'!$C$6:$C$540,'Neiva 2022 FASE I ACTUAL (4)'!$C$6:$F$540,"NO ESTA")</f>
        <v>SUMINISTRO E INSTALACIÓN INTEGRACIÓN TELEFÓNICA</v>
      </c>
      <c r="J651" s="9">
        <v>0</v>
      </c>
      <c r="K651" s="9">
        <v>0</v>
      </c>
      <c r="L651" s="9">
        <v>0</v>
      </c>
      <c r="M651" s="124">
        <f t="shared" si="81"/>
        <v>0</v>
      </c>
      <c r="N651" s="155">
        <f t="shared" si="78"/>
        <v>0</v>
      </c>
      <c r="O651" s="156">
        <f t="shared" si="79"/>
        <v>0</v>
      </c>
      <c r="P651" s="156">
        <f t="shared" si="80"/>
        <v>0</v>
      </c>
    </row>
    <row r="652" spans="2:16" s="9" customFormat="1" ht="35.1" customHeight="1" x14ac:dyDescent="0.25">
      <c r="B652" s="23" t="s">
        <v>938</v>
      </c>
      <c r="C652" s="22" t="s">
        <v>939</v>
      </c>
      <c r="D652" s="10" t="s">
        <v>16</v>
      </c>
      <c r="E652" s="12">
        <v>1</v>
      </c>
      <c r="F652" s="126">
        <v>581760</v>
      </c>
      <c r="G652" s="126">
        <f>ROUND(+F652*E652,2)</f>
        <v>581760</v>
      </c>
      <c r="H652" s="8"/>
      <c r="I652" s="9" t="str">
        <f t="array" ref="I652:L652">_xlfn.XLOOKUP(C652,'Neiva 2022 FASE I ACTUAL (4)'!$C$6:$C$540,'Neiva 2022 FASE I ACTUAL (4)'!$C$6:$F$540,"NO ESTA")</f>
        <v>SUMINISTRO E INSTALACION PATCH PANEL 24 Pts Cat. 5E BLINDADO PARA INTEGRACIÓN TELEFONICA</v>
      </c>
      <c r="J652" s="9" t="str">
        <v>UND</v>
      </c>
      <c r="K652" s="9">
        <v>1</v>
      </c>
      <c r="L652" s="9">
        <v>565498</v>
      </c>
      <c r="M652" s="124" t="str">
        <f t="shared" si="81"/>
        <v>FASE II</v>
      </c>
      <c r="N652" s="155">
        <f t="shared" si="78"/>
        <v>2</v>
      </c>
      <c r="O652" s="156">
        <f t="shared" si="79"/>
        <v>581760</v>
      </c>
      <c r="P652" s="156">
        <f t="shared" si="80"/>
        <v>1163520</v>
      </c>
    </row>
    <row r="653" spans="2:16" s="9" customFormat="1" ht="35.1" customHeight="1" x14ac:dyDescent="0.25">
      <c r="B653" s="23" t="s">
        <v>940</v>
      </c>
      <c r="C653" s="22" t="s">
        <v>941</v>
      </c>
      <c r="D653" s="10" t="s">
        <v>16</v>
      </c>
      <c r="E653" s="12">
        <v>38</v>
      </c>
      <c r="F653" s="126">
        <v>35336</v>
      </c>
      <c r="G653" s="126">
        <f>ROUND(+F653*E653,2)</f>
        <v>1342768</v>
      </c>
      <c r="H653" s="8"/>
      <c r="I653" s="9" t="str">
        <f t="array" ref="I653:L653">_xlfn.XLOOKUP(C653,'Neiva 2022 FASE I ACTUAL (4)'!$C$6:$C$540,'Neiva 2022 FASE I ACTUAL (4)'!$C$6:$F$540,"NO ESTA")</f>
        <v>SUMINISTRO E INSTALACION PATCH CORD RJ45-RJ45 1m Cat 5E INTEGRACIÓN TELEFÓNICA INCLUYE MARQUILLAS</v>
      </c>
      <c r="J653" s="9" t="str">
        <v>UND</v>
      </c>
      <c r="K653" s="9">
        <v>14</v>
      </c>
      <c r="L653" s="9">
        <v>34348</v>
      </c>
      <c r="M653" s="124" t="str">
        <f t="shared" si="81"/>
        <v>FASE II</v>
      </c>
      <c r="N653" s="155">
        <f t="shared" si="78"/>
        <v>52</v>
      </c>
      <c r="O653" s="156">
        <f t="shared" si="79"/>
        <v>35336</v>
      </c>
      <c r="P653" s="156">
        <f t="shared" si="80"/>
        <v>1837472</v>
      </c>
    </row>
    <row r="654" spans="2:16" s="9" customFormat="1" ht="35.1" customHeight="1" x14ac:dyDescent="0.25">
      <c r="B654" s="23" t="s">
        <v>942</v>
      </c>
      <c r="C654" s="22" t="s">
        <v>935</v>
      </c>
      <c r="D654" s="10" t="s">
        <v>16</v>
      </c>
      <c r="E654" s="12">
        <v>1</v>
      </c>
      <c r="F654" s="126">
        <v>250719</v>
      </c>
      <c r="G654" s="126">
        <f>ROUND(+F654*E654,2)</f>
        <v>250719</v>
      </c>
      <c r="H654" s="8"/>
      <c r="I654" s="9" t="str">
        <f t="array" ref="I654:L654">_xlfn.XLOOKUP(C654,'Neiva 2022 FASE I ACTUAL (4)'!$C$6:$C$540,'Neiva 2022 FASE I ACTUAL (4)'!$C$6:$F$540,"NO ESTA")</f>
        <v>SUMINISTRO E INSTALACION ORGANIZADOR HORIZONTAL 2U</v>
      </c>
      <c r="J654" s="9" t="str">
        <v>UND</v>
      </c>
      <c r="K654" s="9">
        <v>4</v>
      </c>
      <c r="L654" s="9">
        <v>243712</v>
      </c>
      <c r="M654" s="124" t="str">
        <f t="shared" si="81"/>
        <v>FASE II</v>
      </c>
      <c r="N654" s="155">
        <f t="shared" si="78"/>
        <v>5</v>
      </c>
      <c r="O654" s="156">
        <f t="shared" si="79"/>
        <v>250719</v>
      </c>
      <c r="P654" s="156">
        <f t="shared" si="80"/>
        <v>1253595</v>
      </c>
    </row>
    <row r="655" spans="2:16" s="9" customFormat="1" ht="35.1" customHeight="1" x14ac:dyDescent="0.25">
      <c r="B655" s="13" t="s">
        <v>943</v>
      </c>
      <c r="C655" s="14" t="s">
        <v>944</v>
      </c>
      <c r="D655" s="27"/>
      <c r="E655" s="15"/>
      <c r="F655" s="129"/>
      <c r="G655" s="140"/>
      <c r="H655" s="8"/>
      <c r="I655" s="9" t="str">
        <f t="array" ref="I655:L655">_xlfn.XLOOKUP(C655,'Neiva 2022 FASE I ACTUAL (4)'!$C$6:$C$540,'Neiva 2022 FASE I ACTUAL (4)'!$C$6:$F$540,"NO ESTA")</f>
        <v>SUMINISTRO E INSTALACIÓN DE BACKBONE</v>
      </c>
      <c r="J655" s="9">
        <v>0</v>
      </c>
      <c r="K655" s="9">
        <v>0</v>
      </c>
      <c r="L655" s="9">
        <v>0</v>
      </c>
      <c r="M655" s="124">
        <f t="shared" si="81"/>
        <v>0</v>
      </c>
      <c r="N655" s="155">
        <f t="shared" si="78"/>
        <v>0</v>
      </c>
      <c r="O655" s="156">
        <f t="shared" si="79"/>
        <v>0</v>
      </c>
      <c r="P655" s="156">
        <f t="shared" si="80"/>
        <v>0</v>
      </c>
    </row>
    <row r="656" spans="2:16" s="9" customFormat="1" ht="35.1" customHeight="1" x14ac:dyDescent="0.25">
      <c r="B656" s="23" t="s">
        <v>945</v>
      </c>
      <c r="C656" s="22" t="s">
        <v>946</v>
      </c>
      <c r="D656" s="10" t="s">
        <v>94</v>
      </c>
      <c r="E656" s="12">
        <v>32</v>
      </c>
      <c r="F656" s="126">
        <v>19602</v>
      </c>
      <c r="G656" s="126">
        <f>ROUND(+F656*E656,2)</f>
        <v>627264</v>
      </c>
      <c r="H656" s="8"/>
      <c r="I656" s="9" t="str">
        <f t="array" ref="I656:L656">_xlfn.XLOOKUP(C656,'Neiva 2022 FASE I ACTUAL (4)'!$C$6:$C$540,'Neiva 2022 FASE I ACTUAL (4)'!$C$6:$F$540,"NO ESTA")</f>
        <v>SUMINISTRO E INSTALACION FIBRA OPTICA 6 HILOS MULTIMODO 50/125 u.</v>
      </c>
      <c r="J656" s="9" t="str">
        <v>ML</v>
      </c>
      <c r="K656" s="9">
        <v>12</v>
      </c>
      <c r="L656" s="9">
        <v>19055</v>
      </c>
      <c r="M656" s="124" t="str">
        <f t="shared" si="81"/>
        <v>FASE II</v>
      </c>
      <c r="N656" s="155">
        <f t="shared" si="78"/>
        <v>44</v>
      </c>
      <c r="O656" s="156">
        <f t="shared" si="79"/>
        <v>19602</v>
      </c>
      <c r="P656" s="156">
        <f t="shared" si="80"/>
        <v>862488</v>
      </c>
    </row>
    <row r="657" spans="2:16" s="9" customFormat="1" ht="35.1" customHeight="1" x14ac:dyDescent="0.25">
      <c r="B657" s="23" t="s">
        <v>947</v>
      </c>
      <c r="C657" s="22" t="s">
        <v>948</v>
      </c>
      <c r="D657" s="10" t="s">
        <v>16</v>
      </c>
      <c r="E657" s="12">
        <v>2</v>
      </c>
      <c r="F657" s="126">
        <v>706677</v>
      </c>
      <c r="G657" s="126">
        <f>ROUND(+F657*E657,2)</f>
        <v>1413354</v>
      </c>
      <c r="H657" s="8"/>
      <c r="I657" s="9" t="str">
        <f t="array" ref="I657:L657">_xlfn.XLOOKUP(C657,'Neiva 2022 FASE I ACTUAL (4)'!$C$6:$C$540,'Neiva 2022 FASE I ACTUAL (4)'!$C$6:$F$540,"NO ESTA")</f>
        <v>SUMINISTRO E INSTALACION BANDEJA DE FIBRA OPTICA DE 24 PUERTOS</v>
      </c>
      <c r="J657" s="9" t="str">
        <v>UND</v>
      </c>
      <c r="K657" s="9">
        <v>2</v>
      </c>
      <c r="L657" s="9">
        <v>686925</v>
      </c>
      <c r="M657" s="124" t="str">
        <f t="shared" si="81"/>
        <v>FASE II</v>
      </c>
      <c r="N657" s="155">
        <f t="shared" si="78"/>
        <v>4</v>
      </c>
      <c r="O657" s="156">
        <f t="shared" si="79"/>
        <v>706677</v>
      </c>
      <c r="P657" s="156">
        <f t="shared" si="80"/>
        <v>2826708</v>
      </c>
    </row>
    <row r="658" spans="2:16" s="9" customFormat="1" ht="35.1" customHeight="1" x14ac:dyDescent="0.25">
      <c r="B658" s="23" t="s">
        <v>949</v>
      </c>
      <c r="C658" s="22" t="s">
        <v>950</v>
      </c>
      <c r="D658" s="10" t="s">
        <v>16</v>
      </c>
      <c r="E658" s="12">
        <v>2</v>
      </c>
      <c r="F658" s="126">
        <v>250719</v>
      </c>
      <c r="G658" s="126">
        <f>ROUND(+F658*E658,2)</f>
        <v>501438</v>
      </c>
      <c r="H658" s="8"/>
      <c r="I658" s="9" t="str">
        <f t="array" ref="I658:L658">_xlfn.XLOOKUP(C658,'Neiva 2022 FASE I ACTUAL (4)'!$C$6:$C$540,'Neiva 2022 FASE I ACTUAL (4)'!$C$6:$F$540,"NO ESTA")</f>
        <v>SUMINISTRO E INSTALACION ORGANIZADOR HORIZONTAL 1U</v>
      </c>
      <c r="J658" s="9" t="str">
        <v>UND</v>
      </c>
      <c r="K658" s="9">
        <v>2</v>
      </c>
      <c r="L658" s="9">
        <v>243712</v>
      </c>
      <c r="M658" s="124" t="str">
        <f t="shared" si="81"/>
        <v>FASE II</v>
      </c>
      <c r="N658" s="155">
        <f t="shared" si="78"/>
        <v>4</v>
      </c>
      <c r="O658" s="156">
        <f t="shared" si="79"/>
        <v>250719</v>
      </c>
      <c r="P658" s="156">
        <f t="shared" si="80"/>
        <v>1002876</v>
      </c>
    </row>
    <row r="659" spans="2:16" s="9" customFormat="1" ht="35.1" customHeight="1" x14ac:dyDescent="0.25">
      <c r="B659" s="13" t="s">
        <v>951</v>
      </c>
      <c r="C659" s="14" t="s">
        <v>952</v>
      </c>
      <c r="D659" s="27"/>
      <c r="E659" s="15"/>
      <c r="F659" s="129"/>
      <c r="G659" s="140"/>
      <c r="H659" s="8"/>
      <c r="I659" s="9" t="str">
        <f t="array" ref="I659:L659">_xlfn.XLOOKUP(C659,'Neiva 2022 FASE I ACTUAL (4)'!$C$6:$C$540,'Neiva 2022 FASE I ACTUAL (4)'!$C$6:$F$540,"NO ESTA")</f>
        <v xml:space="preserve">SUMINISTRO E INSTALACIÓN DE OTROS </v>
      </c>
      <c r="J659" s="9">
        <v>0</v>
      </c>
      <c r="K659" s="9">
        <v>0</v>
      </c>
      <c r="L659" s="9">
        <v>0</v>
      </c>
      <c r="M659" s="124">
        <f t="shared" si="81"/>
        <v>0</v>
      </c>
      <c r="N659" s="155">
        <f t="shared" si="78"/>
        <v>0</v>
      </c>
      <c r="O659" s="156">
        <f t="shared" si="79"/>
        <v>0</v>
      </c>
      <c r="P659" s="156">
        <f t="shared" si="80"/>
        <v>0</v>
      </c>
    </row>
    <row r="660" spans="2:16" s="9" customFormat="1" ht="35.1" customHeight="1" x14ac:dyDescent="0.25">
      <c r="B660" s="23" t="s">
        <v>953</v>
      </c>
      <c r="C660" s="22" t="s">
        <v>954</v>
      </c>
      <c r="D660" s="10" t="s">
        <v>16</v>
      </c>
      <c r="E660" s="12">
        <v>3</v>
      </c>
      <c r="F660" s="126">
        <v>4504726</v>
      </c>
      <c r="G660" s="126">
        <f t="shared" ref="G660:G671" si="82">ROUND(+F660*E660,2)</f>
        <v>13514178</v>
      </c>
      <c r="H660" s="8"/>
      <c r="I660" s="9" t="str">
        <f t="array" ref="I660:L660">_xlfn.XLOOKUP(C660,'Neiva 2022 FASE I ACTUAL (4)'!$C$6:$C$540,'Neiva 2022 FASE I ACTUAL (4)'!$C$6:$F$540,"NO ESTA")</f>
        <v>SUMINISTRO E INSTALACION GABINETE 2,10 m ALTO X 0,71 m PROFUNDO Y 0,81 m DE ANCHO</v>
      </c>
      <c r="J660" s="9" t="str">
        <v>UND</v>
      </c>
      <c r="K660" s="9">
        <v>1</v>
      </c>
      <c r="L660" s="9">
        <v>4378807</v>
      </c>
      <c r="M660" s="124" t="str">
        <f t="shared" si="81"/>
        <v>FASE II</v>
      </c>
      <c r="N660" s="155">
        <f t="shared" si="78"/>
        <v>4</v>
      </c>
      <c r="O660" s="156">
        <f t="shared" si="79"/>
        <v>4504726</v>
      </c>
      <c r="P660" s="156">
        <f t="shared" si="80"/>
        <v>18018904</v>
      </c>
    </row>
    <row r="661" spans="2:16" s="9" customFormat="1" ht="35.1" customHeight="1" x14ac:dyDescent="0.25">
      <c r="B661" s="23" t="s">
        <v>955</v>
      </c>
      <c r="C661" s="22" t="s">
        <v>956</v>
      </c>
      <c r="D661" s="10" t="s">
        <v>16</v>
      </c>
      <c r="E661" s="12">
        <v>6</v>
      </c>
      <c r="F661" s="126">
        <v>578906</v>
      </c>
      <c r="G661" s="126">
        <f t="shared" si="82"/>
        <v>3473436</v>
      </c>
      <c r="H661" s="8"/>
      <c r="I661" s="9" t="str">
        <f t="array" ref="I661:L661">_xlfn.XLOOKUP(C661,'Neiva 2022 FASE I ACTUAL (4)'!$C$6:$C$540,'Neiva 2022 FASE I ACTUAL (4)'!$C$6:$F$540,"NO ESTA")</f>
        <v>SUMINISTRO E INSTALACION ORGANIZADOR VERTICAL</v>
      </c>
      <c r="J661" s="9" t="str">
        <v>UND</v>
      </c>
      <c r="K661" s="9">
        <v>2</v>
      </c>
      <c r="L661" s="9">
        <v>562724</v>
      </c>
      <c r="M661" s="124" t="str">
        <f t="shared" si="81"/>
        <v>FASE II</v>
      </c>
      <c r="N661" s="155">
        <f t="shared" si="78"/>
        <v>8</v>
      </c>
      <c r="O661" s="156">
        <f t="shared" si="79"/>
        <v>578906</v>
      </c>
      <c r="P661" s="156">
        <f t="shared" si="80"/>
        <v>4631248</v>
      </c>
    </row>
    <row r="662" spans="2:16" s="9" customFormat="1" ht="35.1" customHeight="1" x14ac:dyDescent="0.25">
      <c r="B662" s="23" t="s">
        <v>957</v>
      </c>
      <c r="C662" s="22" t="s">
        <v>958</v>
      </c>
      <c r="D662" s="10" t="s">
        <v>16</v>
      </c>
      <c r="E662" s="12">
        <v>3</v>
      </c>
      <c r="F662" s="126">
        <v>501331</v>
      </c>
      <c r="G662" s="126">
        <f t="shared" si="82"/>
        <v>1503993</v>
      </c>
      <c r="H662" s="8"/>
      <c r="I662" s="9" t="str">
        <f t="array" ref="I662:L662">_xlfn.XLOOKUP(C662,'Neiva 2022 FASE I ACTUAL (4)'!$C$6:$C$540,'Neiva 2022 FASE I ACTUAL (4)'!$C$6:$F$540,"NO ESTA")</f>
        <v>SUMINISTRO E INSTALACION MULTITOMA CON 5 SALIDAS ELECTRICAS GRADO HOSPITALARIO</v>
      </c>
      <c r="J662" s="9" t="str">
        <v>UND</v>
      </c>
      <c r="K662" s="9">
        <v>1</v>
      </c>
      <c r="L662" s="9">
        <v>487317</v>
      </c>
      <c r="M662" s="124" t="str">
        <f t="shared" si="81"/>
        <v>FASE II</v>
      </c>
      <c r="N662" s="155">
        <f t="shared" si="78"/>
        <v>4</v>
      </c>
      <c r="O662" s="156">
        <f t="shared" si="79"/>
        <v>501331</v>
      </c>
      <c r="P662" s="156">
        <f t="shared" si="80"/>
        <v>2005324</v>
      </c>
    </row>
    <row r="663" spans="2:16" s="9" customFormat="1" ht="35.1" customHeight="1" x14ac:dyDescent="0.25">
      <c r="B663" s="23" t="s">
        <v>959</v>
      </c>
      <c r="C663" s="22" t="s">
        <v>960</v>
      </c>
      <c r="D663" s="10" t="s">
        <v>94</v>
      </c>
      <c r="E663" s="12">
        <v>29</v>
      </c>
      <c r="F663" s="126">
        <v>4631</v>
      </c>
      <c r="G663" s="126">
        <f t="shared" si="82"/>
        <v>134299</v>
      </c>
      <c r="H663" s="8"/>
      <c r="I663" s="9" t="str">
        <f t="array" ref="I663:L663">_xlfn.XLOOKUP(C663,'Neiva 2022 FASE I ACTUAL (4)'!$C$6:$C$540,'Neiva 2022 FASE I ACTUAL (4)'!$C$6:$F$540,"NO ESTA")</f>
        <v>SUMINISTRO E INSTALACION CABLE THHN No. 6 AWG VERDE. PARA ATERRIZAJE DE ELEMENTOS Y GABINATE</v>
      </c>
      <c r="J663" s="9" t="str">
        <v>ML</v>
      </c>
      <c r="K663" s="9">
        <v>11</v>
      </c>
      <c r="L663" s="9">
        <v>4503</v>
      </c>
      <c r="M663" s="124" t="str">
        <f t="shared" si="81"/>
        <v>FASE II</v>
      </c>
      <c r="N663" s="155">
        <f t="shared" si="78"/>
        <v>40</v>
      </c>
      <c r="O663" s="156">
        <f t="shared" si="79"/>
        <v>4631</v>
      </c>
      <c r="P663" s="156">
        <f t="shared" si="80"/>
        <v>185240</v>
      </c>
    </row>
    <row r="664" spans="2:16" s="9" customFormat="1" ht="35.1" customHeight="1" x14ac:dyDescent="0.25">
      <c r="B664" s="23" t="s">
        <v>961</v>
      </c>
      <c r="C664" s="22" t="s">
        <v>962</v>
      </c>
      <c r="D664" s="23" t="s">
        <v>94</v>
      </c>
      <c r="E664" s="12">
        <v>316</v>
      </c>
      <c r="F664" s="126">
        <v>154235</v>
      </c>
      <c r="G664" s="126">
        <f t="shared" si="82"/>
        <v>48738260</v>
      </c>
      <c r="H664" s="8"/>
      <c r="I664" s="9" t="str">
        <f t="array" ref="I664:L664">_xlfn.XLOOKUP(C664,'Neiva 2022 FASE I ACTUAL (4)'!$C$6:$C$540,'Neiva 2022 FASE I ACTUAL (4)'!$C$6:$F$540,"NO ESTA")</f>
        <v>SUMINISTRO E INSTALACION BANDEJA TIPO MALLA DE 40 x 8 cm CON ACCESORIOS</v>
      </c>
      <c r="J664" s="9" t="str">
        <v>ML</v>
      </c>
      <c r="K664" s="9">
        <v>230</v>
      </c>
      <c r="L664" s="9">
        <v>149924</v>
      </c>
      <c r="M664" s="124" t="str">
        <f t="shared" si="81"/>
        <v>FASE II</v>
      </c>
      <c r="N664" s="155">
        <f t="shared" si="78"/>
        <v>546</v>
      </c>
      <c r="O664" s="156">
        <f t="shared" si="79"/>
        <v>154235</v>
      </c>
      <c r="P664" s="156">
        <f t="shared" si="80"/>
        <v>84212310</v>
      </c>
    </row>
    <row r="665" spans="2:16" s="9" customFormat="1" ht="35.1" customHeight="1" x14ac:dyDescent="0.25">
      <c r="B665" s="23" t="s">
        <v>963</v>
      </c>
      <c r="C665" s="22" t="s">
        <v>964</v>
      </c>
      <c r="D665" s="10" t="s">
        <v>94</v>
      </c>
      <c r="E665" s="12">
        <v>245</v>
      </c>
      <c r="F665" s="126">
        <v>36543</v>
      </c>
      <c r="G665" s="126">
        <f t="shared" si="82"/>
        <v>8953035</v>
      </c>
      <c r="H665" s="8"/>
      <c r="I665" s="9" t="str">
        <f t="array" ref="I665:L665">_xlfn.XLOOKUP(C665,'Neiva 2022 FASE I ACTUAL (4)'!$C$6:$C$540,'Neiva 2022 FASE I ACTUAL (4)'!$C$6:$F$540,"NO ESTA")</f>
        <v>SUMINISTRO E INSTALACION CANALETA METÁLICA DE 12 x 5 cm.</v>
      </c>
      <c r="J665" s="9" t="str">
        <v>ML</v>
      </c>
      <c r="K665" s="9">
        <v>91</v>
      </c>
      <c r="L665" s="9">
        <v>35522</v>
      </c>
      <c r="M665" s="124" t="str">
        <f t="shared" si="81"/>
        <v>FASE II</v>
      </c>
      <c r="N665" s="155">
        <f t="shared" si="78"/>
        <v>336</v>
      </c>
      <c r="O665" s="156">
        <f t="shared" si="79"/>
        <v>36543</v>
      </c>
      <c r="P665" s="156">
        <f t="shared" si="80"/>
        <v>12278448</v>
      </c>
    </row>
    <row r="666" spans="2:16" s="9" customFormat="1" ht="35.1" customHeight="1" x14ac:dyDescent="0.25">
      <c r="B666" s="23" t="s">
        <v>965</v>
      </c>
      <c r="C666" s="22" t="s">
        <v>966</v>
      </c>
      <c r="D666" s="10" t="s">
        <v>94</v>
      </c>
      <c r="E666" s="12">
        <v>64</v>
      </c>
      <c r="F666" s="126">
        <v>20181</v>
      </c>
      <c r="G666" s="126">
        <f t="shared" si="82"/>
        <v>1291584</v>
      </c>
      <c r="H666" s="8"/>
      <c r="I666" s="9" t="str">
        <f t="array" ref="I666:L666">_xlfn.XLOOKUP(C666,'Neiva 2022 FASE I ACTUAL (4)'!$C$6:$C$540,'Neiva 2022 FASE I ACTUAL (4)'!$C$6:$F$540,"NO ESTA")</f>
        <v>SUMINISTRO E INSTALACION TUBERÍA EMT DE 1" INCLUYE ACCESORIOS</v>
      </c>
      <c r="J666" s="9" t="str">
        <v>ML</v>
      </c>
      <c r="K666" s="9">
        <v>23</v>
      </c>
      <c r="L666" s="9">
        <v>19618</v>
      </c>
      <c r="M666" s="124" t="str">
        <f t="shared" si="81"/>
        <v>FASE II</v>
      </c>
      <c r="N666" s="155">
        <f t="shared" si="78"/>
        <v>87</v>
      </c>
      <c r="O666" s="156">
        <f t="shared" si="79"/>
        <v>20181</v>
      </c>
      <c r="P666" s="156">
        <f t="shared" si="80"/>
        <v>1755747</v>
      </c>
    </row>
    <row r="667" spans="2:16" s="9" customFormat="1" ht="35.1" customHeight="1" x14ac:dyDescent="0.25">
      <c r="B667" s="23" t="s">
        <v>967</v>
      </c>
      <c r="C667" s="22" t="s">
        <v>968</v>
      </c>
      <c r="D667" s="10" t="s">
        <v>94</v>
      </c>
      <c r="E667" s="12">
        <v>166</v>
      </c>
      <c r="F667" s="126">
        <v>16039</v>
      </c>
      <c r="G667" s="126">
        <f t="shared" si="82"/>
        <v>2662474</v>
      </c>
      <c r="H667" s="8"/>
      <c r="I667" s="9" t="str">
        <f t="array" ref="I667:L667">_xlfn.XLOOKUP(C667,'Neiva 2022 FASE I ACTUAL (4)'!$C$6:$C$540,'Neiva 2022 FASE I ACTUAL (4)'!$C$6:$F$540,"NO ESTA")</f>
        <v>SUMINISTRO E INSTALACION TUBERÍA EMT DE 3/4" INCLUYE ACCESORIOS</v>
      </c>
      <c r="J667" s="9" t="str">
        <v>ML</v>
      </c>
      <c r="K667" s="9">
        <v>61</v>
      </c>
      <c r="L667" s="9">
        <v>15591</v>
      </c>
      <c r="M667" s="124" t="str">
        <f t="shared" si="81"/>
        <v>FASE II</v>
      </c>
      <c r="N667" s="155">
        <f t="shared" si="78"/>
        <v>227</v>
      </c>
      <c r="O667" s="156">
        <f t="shared" si="79"/>
        <v>16039</v>
      </c>
      <c r="P667" s="156">
        <f t="shared" si="80"/>
        <v>3640853</v>
      </c>
    </row>
    <row r="668" spans="2:16" s="9" customFormat="1" ht="35.1" customHeight="1" x14ac:dyDescent="0.25">
      <c r="B668" s="23" t="s">
        <v>969</v>
      </c>
      <c r="C668" s="22" t="s">
        <v>970</v>
      </c>
      <c r="D668" s="10" t="s">
        <v>94</v>
      </c>
      <c r="E668" s="12">
        <v>22</v>
      </c>
      <c r="F668" s="126">
        <v>5910</v>
      </c>
      <c r="G668" s="126">
        <f t="shared" si="82"/>
        <v>130020</v>
      </c>
      <c r="H668" s="8"/>
      <c r="I668" s="9" t="str">
        <f t="array" ref="I668:L668">_xlfn.XLOOKUP(C668,'Neiva 2022 FASE I ACTUAL (4)'!$C$6:$C$540,'Neiva 2022 FASE I ACTUAL (4)'!$C$6:$F$540,"NO ESTA")</f>
        <v>SUMINISTRO E INSTALACION TUBERÍA PVC DE 1" INCLUYE ACCESORIOS</v>
      </c>
      <c r="J668" s="9" t="str">
        <v>ML</v>
      </c>
      <c r="K668" s="9">
        <v>8</v>
      </c>
      <c r="L668" s="9">
        <v>5744</v>
      </c>
      <c r="M668" s="124" t="str">
        <f t="shared" si="81"/>
        <v>FASE II</v>
      </c>
      <c r="N668" s="155">
        <f t="shared" si="78"/>
        <v>30</v>
      </c>
      <c r="O668" s="156">
        <f t="shared" si="79"/>
        <v>5910</v>
      </c>
      <c r="P668" s="156">
        <f t="shared" si="80"/>
        <v>177300</v>
      </c>
    </row>
    <row r="669" spans="2:16" s="9" customFormat="1" ht="35.1" customHeight="1" x14ac:dyDescent="0.25">
      <c r="B669" s="23" t="s">
        <v>971</v>
      </c>
      <c r="C669" s="22" t="s">
        <v>972</v>
      </c>
      <c r="D669" s="10" t="s">
        <v>94</v>
      </c>
      <c r="E669" s="12">
        <v>84</v>
      </c>
      <c r="F669" s="126">
        <v>4755</v>
      </c>
      <c r="G669" s="126">
        <f t="shared" si="82"/>
        <v>399420</v>
      </c>
      <c r="H669" s="8"/>
      <c r="I669" s="9" t="str">
        <f t="array" ref="I669:L669">_xlfn.XLOOKUP(C669,'Neiva 2022 FASE I ACTUAL (4)'!$C$6:$C$540,'Neiva 2022 FASE I ACTUAL (4)'!$C$6:$F$540,"NO ESTA")</f>
        <v>SUMINISTRO E INSTALACION TUBERÍA PVC DE 3/4" INCLUYE ACCESORIOS</v>
      </c>
      <c r="J669" s="9" t="str">
        <v>ML</v>
      </c>
      <c r="K669" s="9">
        <v>31</v>
      </c>
      <c r="L669" s="9">
        <v>4621</v>
      </c>
      <c r="M669" s="124" t="str">
        <f t="shared" si="81"/>
        <v>FASE II</v>
      </c>
      <c r="N669" s="155">
        <f t="shared" si="78"/>
        <v>115</v>
      </c>
      <c r="O669" s="156">
        <f t="shared" si="79"/>
        <v>4755</v>
      </c>
      <c r="P669" s="156">
        <f t="shared" si="80"/>
        <v>546825</v>
      </c>
    </row>
    <row r="670" spans="2:16" s="9" customFormat="1" ht="35.1" customHeight="1" x14ac:dyDescent="0.25">
      <c r="B670" s="23" t="s">
        <v>973</v>
      </c>
      <c r="C670" s="22" t="s">
        <v>974</v>
      </c>
      <c r="D670" s="10" t="s">
        <v>16</v>
      </c>
      <c r="E670" s="12">
        <v>2</v>
      </c>
      <c r="F670" s="126">
        <v>771142</v>
      </c>
      <c r="G670" s="126">
        <f t="shared" si="82"/>
        <v>1542284</v>
      </c>
      <c r="H670" s="8"/>
      <c r="I670" s="9" t="str">
        <f t="array" ref="I670:L670">_xlfn.XLOOKUP(C670,'Neiva 2022 FASE I ACTUAL (4)'!$C$6:$C$540,'Neiva 2022 FASE I ACTUAL (4)'!$C$6:$F$540,"NO ESTA")</f>
        <v>SUMINISTRO E INSTALACION PARRILLA ORGANIZADORA DE CABLES DE 1,20 x 0,6 m</v>
      </c>
      <c r="J670" s="9" t="str">
        <v>UND</v>
      </c>
      <c r="K670" s="9">
        <v>4</v>
      </c>
      <c r="L670" s="9">
        <v>749587</v>
      </c>
      <c r="M670" s="124" t="str">
        <f t="shared" si="81"/>
        <v>FASE II</v>
      </c>
      <c r="N670" s="155">
        <f t="shared" si="78"/>
        <v>6</v>
      </c>
      <c r="O670" s="156">
        <f t="shared" si="79"/>
        <v>771142</v>
      </c>
      <c r="P670" s="156">
        <f t="shared" si="80"/>
        <v>4626852</v>
      </c>
    </row>
    <row r="671" spans="2:16" s="9" customFormat="1" ht="35.1" customHeight="1" x14ac:dyDescent="0.25">
      <c r="B671" s="23" t="s">
        <v>975</v>
      </c>
      <c r="C671" s="22" t="s">
        <v>976</v>
      </c>
      <c r="D671" s="10" t="s">
        <v>16</v>
      </c>
      <c r="E671" s="12">
        <v>4</v>
      </c>
      <c r="F671" s="126">
        <v>12928</v>
      </c>
      <c r="G671" s="126">
        <f t="shared" si="82"/>
        <v>51712</v>
      </c>
      <c r="H671" s="8"/>
      <c r="I671" s="9" t="str">
        <f t="array" ref="I671:L671">_xlfn.XLOOKUP(C671,'Neiva 2022 FASE I ACTUAL (4)'!$C$6:$C$540,'Neiva 2022 FASE I ACTUAL (4)'!$C$6:$F$540,"NO ESTA")</f>
        <v>SUMINISTRO E INSTALACION CAJA DE PASO 10 x 10 m DOBLE FONDO</v>
      </c>
      <c r="J671" s="9" t="str">
        <v>UND</v>
      </c>
      <c r="K671" s="9">
        <v>4</v>
      </c>
      <c r="L671" s="9">
        <v>12566</v>
      </c>
      <c r="M671" s="124" t="str">
        <f t="shared" si="81"/>
        <v>FASE II</v>
      </c>
      <c r="N671" s="155">
        <f t="shared" si="78"/>
        <v>8</v>
      </c>
      <c r="O671" s="156">
        <f t="shared" si="79"/>
        <v>12928</v>
      </c>
      <c r="P671" s="156">
        <f t="shared" si="80"/>
        <v>103424</v>
      </c>
    </row>
    <row r="672" spans="2:16" s="9" customFormat="1" ht="35.1" customHeight="1" x14ac:dyDescent="0.25">
      <c r="B672" s="13" t="s">
        <v>977</v>
      </c>
      <c r="C672" s="24" t="s">
        <v>978</v>
      </c>
      <c r="D672" s="24"/>
      <c r="E672" s="15"/>
      <c r="F672" s="129"/>
      <c r="G672" s="140"/>
      <c r="H672" s="8"/>
      <c r="I672" s="9" t="str">
        <f t="array" ref="I672:L672">_xlfn.XLOOKUP(C672,'Neiva 2022 FASE I ACTUAL (4)'!$C$6:$C$540,'Neiva 2022 FASE I ACTUAL (4)'!$C$6:$F$540,"NO ESTA")</f>
        <v xml:space="preserve">SUMINISTRO E INSTALACIÓN DE REDES ELECTRICAS ESPECIALES </v>
      </c>
      <c r="J672" s="9">
        <v>0</v>
      </c>
      <c r="K672" s="9">
        <v>0</v>
      </c>
      <c r="L672" s="9">
        <v>0</v>
      </c>
      <c r="M672" s="124">
        <f t="shared" si="81"/>
        <v>0</v>
      </c>
      <c r="N672" s="155">
        <f t="shared" si="78"/>
        <v>0</v>
      </c>
      <c r="O672" s="156">
        <f t="shared" si="79"/>
        <v>0</v>
      </c>
      <c r="P672" s="156">
        <f t="shared" si="80"/>
        <v>0</v>
      </c>
    </row>
    <row r="673" spans="2:16" s="9" customFormat="1" ht="35.1" customHeight="1" x14ac:dyDescent="0.25">
      <c r="B673" s="23" t="s">
        <v>979</v>
      </c>
      <c r="C673" s="22" t="s">
        <v>980</v>
      </c>
      <c r="D673" s="10" t="s">
        <v>16</v>
      </c>
      <c r="E673" s="12">
        <v>2</v>
      </c>
      <c r="F673" s="126">
        <v>64235</v>
      </c>
      <c r="G673" s="126">
        <f>ROUND(+F673*E673,2)</f>
        <v>128470</v>
      </c>
      <c r="H673" s="8"/>
      <c r="I673" s="9" t="str">
        <f t="array" ref="I673:L673">_xlfn.XLOOKUP(C673,'Neiva 2022 FASE I ACTUAL (4)'!$C$6:$C$540,'Neiva 2022 FASE I ACTUAL (4)'!$C$6:$F$540,"NO ESTA")</f>
        <v>SUMINISTRO E INSTALACION SALIDA TOMA NEMA L5-30 RAWELT</v>
      </c>
      <c r="J673" s="9" t="str">
        <v>UND</v>
      </c>
      <c r="K673" s="9">
        <v>2</v>
      </c>
      <c r="L673" s="9">
        <v>62439</v>
      </c>
      <c r="M673" s="124" t="str">
        <f t="shared" si="81"/>
        <v>FASE II</v>
      </c>
      <c r="N673" s="155">
        <f t="shared" si="78"/>
        <v>4</v>
      </c>
      <c r="O673" s="156">
        <f t="shared" si="79"/>
        <v>64235</v>
      </c>
      <c r="P673" s="156">
        <f t="shared" si="80"/>
        <v>256940</v>
      </c>
    </row>
    <row r="674" spans="2:16" s="9" customFormat="1" ht="35.1" customHeight="1" x14ac:dyDescent="0.25">
      <c r="B674" s="23" t="s">
        <v>981</v>
      </c>
      <c r="C674" s="22" t="s">
        <v>982</v>
      </c>
      <c r="D674" s="10" t="s">
        <v>94</v>
      </c>
      <c r="E674" s="12">
        <v>2</v>
      </c>
      <c r="F674" s="126">
        <v>6470</v>
      </c>
      <c r="G674" s="126">
        <f>ROUND(+F674*E674,2)</f>
        <v>12940</v>
      </c>
      <c r="H674" s="8"/>
      <c r="I674" s="9" t="str">
        <f t="array" ref="I674:L674">_xlfn.XLOOKUP(C674,'Neiva 2022 FASE I ACTUAL (4)'!$C$6:$C$540,'Neiva 2022 FASE I ACTUAL (4)'!$C$6:$F$540,"NO ESTA")</f>
        <v>SUMINISTRO E INSTALACION CIRCUITO PREENSAMBLADO AZUL MONOFÁSICO NORMAL PARA RACK</v>
      </c>
      <c r="J674" s="9" t="str">
        <v>ML</v>
      </c>
      <c r="K674" s="9">
        <v>2</v>
      </c>
      <c r="L674" s="9">
        <v>6290</v>
      </c>
      <c r="M674" s="124" t="str">
        <f t="shared" si="81"/>
        <v>FASE II</v>
      </c>
      <c r="N674" s="155">
        <f t="shared" si="78"/>
        <v>4</v>
      </c>
      <c r="O674" s="156">
        <f t="shared" si="79"/>
        <v>6470</v>
      </c>
      <c r="P674" s="156">
        <f t="shared" si="80"/>
        <v>25880</v>
      </c>
    </row>
    <row r="675" spans="2:16" s="9" customFormat="1" ht="35.1" customHeight="1" x14ac:dyDescent="0.25">
      <c r="B675" s="23" t="s">
        <v>983</v>
      </c>
      <c r="C675" s="22" t="s">
        <v>984</v>
      </c>
      <c r="D675" s="10" t="s">
        <v>94</v>
      </c>
      <c r="E675" s="12">
        <v>2</v>
      </c>
      <c r="F675" s="126">
        <v>6470</v>
      </c>
      <c r="G675" s="126">
        <f>ROUND(+F675*E675,2)</f>
        <v>12940</v>
      </c>
      <c r="H675" s="8"/>
      <c r="I675" s="9" t="str">
        <f t="array" ref="I675:L675">_xlfn.XLOOKUP(C675,'Neiva 2022 FASE I ACTUAL (4)'!$C$6:$C$540,'Neiva 2022 FASE I ACTUAL (4)'!$C$6:$F$540,"NO ESTA")</f>
        <v>SUMINISTRO E INSTALACION CIRCUITO PREENSAMBLADO ROJO MONOFÁSICO REGULADO PARA RACK</v>
      </c>
      <c r="J675" s="9" t="str">
        <v>ML</v>
      </c>
      <c r="K675" s="9">
        <v>2</v>
      </c>
      <c r="L675" s="9">
        <v>6290</v>
      </c>
      <c r="M675" s="124" t="str">
        <f t="shared" si="81"/>
        <v>FASE II</v>
      </c>
      <c r="N675" s="155">
        <f t="shared" si="78"/>
        <v>4</v>
      </c>
      <c r="O675" s="156">
        <f t="shared" si="79"/>
        <v>6470</v>
      </c>
      <c r="P675" s="156">
        <f t="shared" si="80"/>
        <v>25880</v>
      </c>
    </row>
    <row r="676" spans="2:16" s="9" customFormat="1" ht="35.1" customHeight="1" x14ac:dyDescent="0.25">
      <c r="B676" s="23" t="s">
        <v>985</v>
      </c>
      <c r="C676" s="22" t="s">
        <v>986</v>
      </c>
      <c r="D676" s="10" t="s">
        <v>16</v>
      </c>
      <c r="E676" s="12">
        <v>2</v>
      </c>
      <c r="F676" s="126">
        <v>632913</v>
      </c>
      <c r="G676" s="126">
        <f>ROUND(+F676*E676,2)</f>
        <v>1265826</v>
      </c>
      <c r="H676" s="8"/>
      <c r="I676" s="9" t="str">
        <f t="array" ref="I676:L676">_xlfn.XLOOKUP(C676,'Neiva 2022 FASE I ACTUAL (4)'!$C$6:$C$540,'Neiva 2022 FASE I ACTUAL (4)'!$C$6:$F$540,"NO ESTA")</f>
        <v>SUMINISTRO E INSTALACION BARRAJE DE PUESTA A TIERRA PARA RACK TGB</v>
      </c>
      <c r="J676" s="9" t="str">
        <v>UND</v>
      </c>
      <c r="K676" s="9">
        <v>2</v>
      </c>
      <c r="L676" s="9">
        <v>615221</v>
      </c>
      <c r="M676" s="124" t="str">
        <f t="shared" si="81"/>
        <v>FASE II</v>
      </c>
      <c r="N676" s="155">
        <f t="shared" si="78"/>
        <v>4</v>
      </c>
      <c r="O676" s="156">
        <f t="shared" si="79"/>
        <v>632913</v>
      </c>
      <c r="P676" s="156">
        <f t="shared" si="80"/>
        <v>2531652</v>
      </c>
    </row>
    <row r="677" spans="2:16" s="9" customFormat="1" ht="35.1" customHeight="1" x14ac:dyDescent="0.25">
      <c r="B677" s="13" t="s">
        <v>987</v>
      </c>
      <c r="C677" s="24" t="s">
        <v>988</v>
      </c>
      <c r="D677" s="24"/>
      <c r="E677" s="15"/>
      <c r="F677" s="129"/>
      <c r="G677" s="140"/>
      <c r="H677" s="8"/>
      <c r="I677" s="9" t="str">
        <f t="array" ref="I677:L677">_xlfn.XLOOKUP(C677,'Neiva 2022 FASE I ACTUAL (4)'!$C$6:$C$540,'Neiva 2022 FASE I ACTUAL (4)'!$C$6:$F$540,"NO ESTA")</f>
        <v>SUMINISTRO E INSTALACION DE EQUIPOS ACTIVOS</v>
      </c>
      <c r="J677" s="9">
        <v>0</v>
      </c>
      <c r="K677" s="9">
        <v>0</v>
      </c>
      <c r="L677" s="9">
        <v>0</v>
      </c>
      <c r="M677" s="124">
        <f t="shared" si="81"/>
        <v>0</v>
      </c>
      <c r="N677" s="155">
        <f t="shared" si="78"/>
        <v>0</v>
      </c>
      <c r="O677" s="156">
        <f t="shared" si="79"/>
        <v>0</v>
      </c>
      <c r="P677" s="156">
        <f t="shared" si="80"/>
        <v>0</v>
      </c>
    </row>
    <row r="678" spans="2:16" s="9" customFormat="1" ht="35.1" customHeight="1" x14ac:dyDescent="0.25">
      <c r="B678" s="10" t="s">
        <v>989</v>
      </c>
      <c r="C678" s="22" t="s">
        <v>990</v>
      </c>
      <c r="D678" s="10" t="s">
        <v>16</v>
      </c>
      <c r="E678" s="12">
        <v>13</v>
      </c>
      <c r="F678" s="126">
        <v>7344406</v>
      </c>
      <c r="G678" s="126">
        <f>ROUND(+F678*E678,2)</f>
        <v>95477278</v>
      </c>
      <c r="H678" s="8"/>
      <c r="I678" s="9" t="str">
        <f t="array" ref="I678:L678">_xlfn.XLOOKUP(C678,'Neiva 2022 FASE I ACTUAL (4)'!$C$6:$C$540,'Neiva 2022 FASE I ACTUAL (4)'!$C$6:$F$540,"NO ESTA")</f>
        <v xml:space="preserve">SUMINISTRO E INSTALACION SWITCHE DE BORDE DE 24 PoE PUERTOS GIGABIT ETHERNET 10/100/1000 Gbps CON PUERTO DE ADMINSITRACION POR CONSOLA </v>
      </c>
      <c r="J678" s="9" t="str">
        <v>UND</v>
      </c>
      <c r="K678" s="9">
        <v>1</v>
      </c>
      <c r="L678" s="9">
        <v>7139109</v>
      </c>
      <c r="M678" s="124" t="str">
        <f t="shared" si="81"/>
        <v>FASE II</v>
      </c>
      <c r="N678" s="155">
        <f t="shared" si="78"/>
        <v>14</v>
      </c>
      <c r="O678" s="156">
        <f t="shared" si="79"/>
        <v>7344406</v>
      </c>
      <c r="P678" s="156">
        <f t="shared" si="80"/>
        <v>102821684</v>
      </c>
    </row>
    <row r="679" spans="2:16" s="9" customFormat="1" ht="35.1" customHeight="1" x14ac:dyDescent="0.25">
      <c r="B679" s="10" t="s">
        <v>991</v>
      </c>
      <c r="C679" s="22" t="s">
        <v>992</v>
      </c>
      <c r="D679" s="10" t="s">
        <v>16</v>
      </c>
      <c r="E679" s="12">
        <v>0</v>
      </c>
      <c r="F679" s="126">
        <v>841635</v>
      </c>
      <c r="G679" s="126">
        <f>ROUND(+F679*E679,2)</f>
        <v>0</v>
      </c>
      <c r="H679" s="8"/>
      <c r="I679" s="9" t="str">
        <f t="array" ref="I679:L679">_xlfn.XLOOKUP(C679,'Neiva 2022 FASE I ACTUAL (4)'!$C$6:$C$540,'Neiva 2022 FASE I ACTUAL (4)'!$C$6:$F$540,"NO ESTA")</f>
        <v>SUMINISTRO E INSTALACION MODULO SFP 10G</v>
      </c>
      <c r="J679" s="9" t="str">
        <v>UND</v>
      </c>
      <c r="K679" s="9">
        <v>1</v>
      </c>
      <c r="L679" s="9">
        <v>818109</v>
      </c>
      <c r="M679" s="124" t="str">
        <f t="shared" si="81"/>
        <v>FASE II</v>
      </c>
      <c r="N679" s="155">
        <f t="shared" si="78"/>
        <v>1</v>
      </c>
      <c r="O679" s="156">
        <f t="shared" si="79"/>
        <v>841635</v>
      </c>
      <c r="P679" s="156">
        <f t="shared" si="80"/>
        <v>841635</v>
      </c>
    </row>
    <row r="680" spans="2:16" s="9" customFormat="1" ht="35.1" customHeight="1" x14ac:dyDescent="0.25">
      <c r="B680" s="33">
        <v>19</v>
      </c>
      <c r="C680" s="34" t="s">
        <v>993</v>
      </c>
      <c r="D680" s="34"/>
      <c r="E680" s="35"/>
      <c r="F680" s="132"/>
      <c r="G680" s="142"/>
      <c r="H680" s="8"/>
      <c r="I680" s="9" t="str">
        <f t="array" ref="I680:L680">_xlfn.XLOOKUP(C680,'Neiva 2022 FASE I ACTUAL (4)'!$C$6:$C$540,'Neiva 2022 FASE I ACTUAL (4)'!$C$6:$F$540,"NO ESTA")</f>
        <v>SEGURIDAD ELÉCTRONICA (CCTV, CONTROL ACCESOS, DETECCION INCENDIOS Y SONIDO)</v>
      </c>
      <c r="J680" s="9">
        <v>0</v>
      </c>
      <c r="K680" s="9">
        <v>0</v>
      </c>
      <c r="L680" s="9">
        <v>0</v>
      </c>
      <c r="M680" s="124">
        <f t="shared" si="81"/>
        <v>0</v>
      </c>
      <c r="N680" s="155">
        <f t="shared" si="78"/>
        <v>0</v>
      </c>
      <c r="O680" s="156">
        <f t="shared" si="79"/>
        <v>0</v>
      </c>
      <c r="P680" s="156">
        <f t="shared" si="80"/>
        <v>0</v>
      </c>
    </row>
    <row r="681" spans="2:16" s="9" customFormat="1" ht="35.1" customHeight="1" x14ac:dyDescent="0.25">
      <c r="B681" s="61" t="s">
        <v>1349</v>
      </c>
      <c r="C681" s="62" t="s">
        <v>1350</v>
      </c>
      <c r="D681" s="63"/>
      <c r="E681" s="64"/>
      <c r="F681" s="129"/>
      <c r="G681" s="140"/>
      <c r="H681" s="8"/>
      <c r="I681" s="9" t="str">
        <f t="array" ref="I681">_xlfn.XLOOKUP(C681,'Neiva 2022 FASE I ACTUAL (4)'!$C$6:$C$540,'Neiva 2022 FASE I ACTUAL (4)'!$C$6:$F$540,"NO ESTA")</f>
        <v>NO ESTA</v>
      </c>
      <c r="M681" s="124">
        <f t="shared" si="81"/>
        <v>0</v>
      </c>
      <c r="N681" s="155">
        <f t="shared" si="78"/>
        <v>0</v>
      </c>
      <c r="O681" s="156">
        <f t="shared" si="79"/>
        <v>0</v>
      </c>
      <c r="P681" s="156">
        <f t="shared" si="80"/>
        <v>0</v>
      </c>
    </row>
    <row r="682" spans="2:16" s="9" customFormat="1" ht="35.1" customHeight="1" x14ac:dyDescent="0.25">
      <c r="B682" s="23" t="s">
        <v>1351</v>
      </c>
      <c r="C682" s="22" t="s">
        <v>1352</v>
      </c>
      <c r="D682" s="10" t="s">
        <v>16</v>
      </c>
      <c r="E682" s="12">
        <v>10</v>
      </c>
      <c r="F682" s="126">
        <v>1260653</v>
      </c>
      <c r="G682" s="126">
        <f t="shared" ref="G682:G688" si="83">ROUND(+F682*E682,2)</f>
        <v>12606530</v>
      </c>
      <c r="H682" s="8"/>
      <c r="I682" s="9" t="str">
        <f t="array" ref="I682">_xlfn.XLOOKUP(C682,'Neiva 2022 FASE I ACTUAL (4)'!$C$6:$C$540,'Neiva 2022 FASE I ACTUAL (4)'!$C$6:$F$540,"NO ESTA")</f>
        <v>NO ESTA</v>
      </c>
      <c r="M682" s="124">
        <f t="shared" si="81"/>
        <v>0</v>
      </c>
      <c r="N682" s="155">
        <f t="shared" si="78"/>
        <v>10</v>
      </c>
      <c r="O682" s="156">
        <f t="shared" si="79"/>
        <v>1260653</v>
      </c>
      <c r="P682" s="156">
        <f t="shared" si="80"/>
        <v>12606530</v>
      </c>
    </row>
    <row r="683" spans="2:16" s="9" customFormat="1" ht="35.1" customHeight="1" x14ac:dyDescent="0.25">
      <c r="B683" s="23" t="s">
        <v>1353</v>
      </c>
      <c r="C683" s="22" t="s">
        <v>1354</v>
      </c>
      <c r="D683" s="10" t="s">
        <v>16</v>
      </c>
      <c r="E683" s="12">
        <v>19</v>
      </c>
      <c r="F683" s="126">
        <v>1710298</v>
      </c>
      <c r="G683" s="126">
        <f t="shared" si="83"/>
        <v>32495662</v>
      </c>
      <c r="H683" s="8"/>
      <c r="I683" s="9" t="str">
        <f t="array" ref="I683">_xlfn.XLOOKUP(C683,'Neiva 2022 FASE I ACTUAL (4)'!$C$6:$C$540,'Neiva 2022 FASE I ACTUAL (4)'!$C$6:$F$540,"NO ESTA")</f>
        <v>NO ESTA</v>
      </c>
      <c r="M683" s="124">
        <f t="shared" si="81"/>
        <v>0</v>
      </c>
      <c r="N683" s="155">
        <f t="shared" si="78"/>
        <v>19</v>
      </c>
      <c r="O683" s="156">
        <f t="shared" si="79"/>
        <v>1710298</v>
      </c>
      <c r="P683" s="156">
        <f t="shared" si="80"/>
        <v>32495662</v>
      </c>
    </row>
    <row r="684" spans="2:16" s="9" customFormat="1" ht="35.1" customHeight="1" x14ac:dyDescent="0.25">
      <c r="B684" s="23" t="s">
        <v>1355</v>
      </c>
      <c r="C684" s="22" t="s">
        <v>1356</v>
      </c>
      <c r="D684" s="10" t="s">
        <v>16</v>
      </c>
      <c r="E684" s="12">
        <v>2</v>
      </c>
      <c r="F684" s="126">
        <v>3681238</v>
      </c>
      <c r="G684" s="126">
        <f t="shared" si="83"/>
        <v>7362476</v>
      </c>
      <c r="H684" s="8"/>
      <c r="I684" s="9" t="str">
        <f t="array" ref="I684">_xlfn.XLOOKUP(C684,'Neiva 2022 FASE I ACTUAL (4)'!$C$6:$C$540,'Neiva 2022 FASE I ACTUAL (4)'!$C$6:$F$540,"NO ESTA")</f>
        <v>NO ESTA</v>
      </c>
      <c r="M684" s="124">
        <f t="shared" si="81"/>
        <v>0</v>
      </c>
      <c r="N684" s="155">
        <f t="shared" si="78"/>
        <v>2</v>
      </c>
      <c r="O684" s="156">
        <f t="shared" si="79"/>
        <v>3681238</v>
      </c>
      <c r="P684" s="156">
        <f t="shared" si="80"/>
        <v>7362476</v>
      </c>
    </row>
    <row r="685" spans="2:16" s="9" customFormat="1" ht="35.1" customHeight="1" x14ac:dyDescent="0.25">
      <c r="B685" s="23" t="s">
        <v>1357</v>
      </c>
      <c r="C685" s="22" t="s">
        <v>1358</v>
      </c>
      <c r="D685" s="10" t="s">
        <v>16</v>
      </c>
      <c r="E685" s="12">
        <v>29</v>
      </c>
      <c r="F685" s="126">
        <v>360550</v>
      </c>
      <c r="G685" s="126">
        <f t="shared" si="83"/>
        <v>10455950</v>
      </c>
      <c r="H685" s="8"/>
      <c r="I685" s="9" t="str">
        <f t="array" ref="I685">_xlfn.XLOOKUP(C685,'Neiva 2022 FASE I ACTUAL (4)'!$C$6:$C$540,'Neiva 2022 FASE I ACTUAL (4)'!$C$6:$F$540,"NO ESTA")</f>
        <v>NO ESTA</v>
      </c>
      <c r="M685" s="124">
        <f t="shared" si="81"/>
        <v>0</v>
      </c>
      <c r="N685" s="155">
        <f t="shared" si="78"/>
        <v>29</v>
      </c>
      <c r="O685" s="156">
        <f t="shared" si="79"/>
        <v>360550</v>
      </c>
      <c r="P685" s="156">
        <f t="shared" si="80"/>
        <v>10455950</v>
      </c>
    </row>
    <row r="686" spans="2:16" s="9" customFormat="1" ht="35.1" customHeight="1" x14ac:dyDescent="0.25">
      <c r="B686" s="23" t="s">
        <v>1359</v>
      </c>
      <c r="C686" s="22" t="s">
        <v>1360</v>
      </c>
      <c r="D686" s="10" t="s">
        <v>16</v>
      </c>
      <c r="E686" s="12">
        <v>2</v>
      </c>
      <c r="F686" s="126">
        <v>8387259</v>
      </c>
      <c r="G686" s="126">
        <f t="shared" si="83"/>
        <v>16774518</v>
      </c>
      <c r="H686" s="8"/>
      <c r="I686" s="9" t="str">
        <f t="array" ref="I686">_xlfn.XLOOKUP(C686,'Neiva 2022 FASE I ACTUAL (4)'!$C$6:$C$540,'Neiva 2022 FASE I ACTUAL (4)'!$C$6:$F$540,"NO ESTA")</f>
        <v>NO ESTA</v>
      </c>
      <c r="M686" s="124">
        <f t="shared" si="81"/>
        <v>0</v>
      </c>
      <c r="N686" s="155">
        <f t="shared" si="78"/>
        <v>2</v>
      </c>
      <c r="O686" s="156">
        <f t="shared" si="79"/>
        <v>8387259</v>
      </c>
      <c r="P686" s="156">
        <f t="shared" si="80"/>
        <v>16774518</v>
      </c>
    </row>
    <row r="687" spans="2:16" s="9" customFormat="1" ht="35.1" customHeight="1" x14ac:dyDescent="0.25">
      <c r="B687" s="23" t="s">
        <v>1361</v>
      </c>
      <c r="C687" s="22" t="s">
        <v>1362</v>
      </c>
      <c r="D687" s="10" t="s">
        <v>16</v>
      </c>
      <c r="E687" s="12">
        <v>2</v>
      </c>
      <c r="F687" s="126">
        <v>8922704</v>
      </c>
      <c r="G687" s="126">
        <f t="shared" si="83"/>
        <v>17845408</v>
      </c>
      <c r="H687" s="8"/>
      <c r="I687" s="9" t="str">
        <f t="array" ref="I687">_xlfn.XLOOKUP(C687,'Neiva 2022 FASE I ACTUAL (4)'!$C$6:$C$540,'Neiva 2022 FASE I ACTUAL (4)'!$C$6:$F$540,"NO ESTA")</f>
        <v>NO ESTA</v>
      </c>
      <c r="M687" s="124">
        <f t="shared" si="81"/>
        <v>0</v>
      </c>
      <c r="N687" s="155">
        <f t="shared" si="78"/>
        <v>2</v>
      </c>
      <c r="O687" s="156">
        <f t="shared" si="79"/>
        <v>8922704</v>
      </c>
      <c r="P687" s="156">
        <f t="shared" si="80"/>
        <v>17845408</v>
      </c>
    </row>
    <row r="688" spans="2:16" s="9" customFormat="1" ht="35.1" customHeight="1" x14ac:dyDescent="0.25">
      <c r="B688" s="23" t="s">
        <v>1363</v>
      </c>
      <c r="C688" s="22" t="s">
        <v>1364</v>
      </c>
      <c r="D688" s="10" t="s">
        <v>1182</v>
      </c>
      <c r="E688" s="12">
        <v>1</v>
      </c>
      <c r="F688" s="126">
        <v>2856916</v>
      </c>
      <c r="G688" s="126">
        <f t="shared" si="83"/>
        <v>2856916</v>
      </c>
      <c r="H688" s="8"/>
      <c r="I688" s="9" t="str">
        <f t="array" ref="I688">_xlfn.XLOOKUP(C688,'Neiva 2022 FASE I ACTUAL (4)'!$C$6:$C$540,'Neiva 2022 FASE I ACTUAL (4)'!$C$6:$F$540,"NO ESTA")</f>
        <v>NO ESTA</v>
      </c>
      <c r="M688" s="124">
        <f t="shared" si="81"/>
        <v>0</v>
      </c>
      <c r="N688" s="155">
        <f t="shared" si="78"/>
        <v>1</v>
      </c>
      <c r="O688" s="156">
        <f t="shared" si="79"/>
        <v>2856916</v>
      </c>
      <c r="P688" s="156">
        <f t="shared" si="80"/>
        <v>2856916</v>
      </c>
    </row>
    <row r="689" spans="2:16" s="9" customFormat="1" ht="35.1" customHeight="1" x14ac:dyDescent="0.25">
      <c r="B689" s="13" t="s">
        <v>1365</v>
      </c>
      <c r="C689" s="14" t="s">
        <v>1366</v>
      </c>
      <c r="D689" s="27"/>
      <c r="E689" s="15"/>
      <c r="F689" s="129"/>
      <c r="G689" s="140"/>
      <c r="H689" s="8"/>
      <c r="I689" s="9" t="str">
        <f t="array" ref="I689">_xlfn.XLOOKUP(C689,'Neiva 2022 FASE I ACTUAL (4)'!$C$6:$C$540,'Neiva 2022 FASE I ACTUAL (4)'!$C$6:$F$540,"NO ESTA")</f>
        <v>NO ESTA</v>
      </c>
      <c r="M689" s="124">
        <f t="shared" si="81"/>
        <v>0</v>
      </c>
      <c r="N689" s="155">
        <f t="shared" si="78"/>
        <v>0</v>
      </c>
      <c r="O689" s="156">
        <f t="shared" si="79"/>
        <v>0</v>
      </c>
      <c r="P689" s="156">
        <f t="shared" si="80"/>
        <v>0</v>
      </c>
    </row>
    <row r="690" spans="2:16" s="9" customFormat="1" ht="35.1" customHeight="1" x14ac:dyDescent="0.25">
      <c r="B690" s="23" t="s">
        <v>1367</v>
      </c>
      <c r="C690" s="22" t="s">
        <v>1368</v>
      </c>
      <c r="D690" s="10" t="s">
        <v>16</v>
      </c>
      <c r="E690" s="12">
        <v>19</v>
      </c>
      <c r="F690" s="126">
        <v>231646</v>
      </c>
      <c r="G690" s="126">
        <f t="shared" ref="G690:G699" si="84">ROUND(+F690*E690,2)</f>
        <v>4401274</v>
      </c>
      <c r="H690" s="8"/>
      <c r="I690" s="9" t="str">
        <f t="array" ref="I690">_xlfn.XLOOKUP(C690,'Neiva 2022 FASE I ACTUAL (4)'!$C$6:$C$540,'Neiva 2022 FASE I ACTUAL (4)'!$C$6:$F$540,"NO ESTA")</f>
        <v>NO ESTA</v>
      </c>
      <c r="M690" s="124">
        <f t="shared" si="81"/>
        <v>0</v>
      </c>
      <c r="N690" s="155">
        <f t="shared" si="78"/>
        <v>19</v>
      </c>
      <c r="O690" s="156">
        <f t="shared" si="79"/>
        <v>231646</v>
      </c>
      <c r="P690" s="156">
        <f t="shared" si="80"/>
        <v>4401274</v>
      </c>
    </row>
    <row r="691" spans="2:16" s="9" customFormat="1" ht="35.1" customHeight="1" x14ac:dyDescent="0.25">
      <c r="B691" s="23" t="s">
        <v>1369</v>
      </c>
      <c r="C691" s="22" t="s">
        <v>1370</v>
      </c>
      <c r="D691" s="10" t="s">
        <v>16</v>
      </c>
      <c r="E691" s="12">
        <v>16</v>
      </c>
      <c r="F691" s="126">
        <v>1695852</v>
      </c>
      <c r="G691" s="126">
        <f t="shared" si="84"/>
        <v>27133632</v>
      </c>
      <c r="H691" s="8"/>
      <c r="I691" s="9" t="str">
        <f t="array" ref="I691">_xlfn.XLOOKUP(C691,'Neiva 2022 FASE I ACTUAL (4)'!$C$6:$C$540,'Neiva 2022 FASE I ACTUAL (4)'!$C$6:$F$540,"NO ESTA")</f>
        <v>NO ESTA</v>
      </c>
      <c r="M691" s="124">
        <f t="shared" si="81"/>
        <v>0</v>
      </c>
      <c r="N691" s="155">
        <f t="shared" si="78"/>
        <v>16</v>
      </c>
      <c r="O691" s="156">
        <f t="shared" si="79"/>
        <v>1695852</v>
      </c>
      <c r="P691" s="156">
        <f t="shared" si="80"/>
        <v>27133632</v>
      </c>
    </row>
    <row r="692" spans="2:16" s="9" customFormat="1" ht="35.1" customHeight="1" x14ac:dyDescent="0.25">
      <c r="B692" s="23" t="s">
        <v>1371</v>
      </c>
      <c r="C692" s="22" t="s">
        <v>1372</v>
      </c>
      <c r="D692" s="10" t="s">
        <v>16</v>
      </c>
      <c r="E692" s="12">
        <v>18</v>
      </c>
      <c r="F692" s="126">
        <v>358570</v>
      </c>
      <c r="G692" s="126">
        <f t="shared" si="84"/>
        <v>6454260</v>
      </c>
      <c r="H692" s="8"/>
      <c r="I692" s="9" t="str">
        <f t="array" ref="I692">_xlfn.XLOOKUP(C692,'Neiva 2022 FASE I ACTUAL (4)'!$C$6:$C$540,'Neiva 2022 FASE I ACTUAL (4)'!$C$6:$F$540,"NO ESTA")</f>
        <v>NO ESTA</v>
      </c>
      <c r="M692" s="124">
        <f t="shared" si="81"/>
        <v>0</v>
      </c>
      <c r="N692" s="155">
        <f t="shared" si="78"/>
        <v>18</v>
      </c>
      <c r="O692" s="156">
        <f t="shared" si="79"/>
        <v>358570</v>
      </c>
      <c r="P692" s="156">
        <f t="shared" si="80"/>
        <v>6454260</v>
      </c>
    </row>
    <row r="693" spans="2:16" s="9" customFormat="1" ht="35.1" customHeight="1" x14ac:dyDescent="0.25">
      <c r="B693" s="23" t="s">
        <v>1373</v>
      </c>
      <c r="C693" s="22" t="s">
        <v>1374</v>
      </c>
      <c r="D693" s="10" t="s">
        <v>16</v>
      </c>
      <c r="E693" s="12">
        <v>20</v>
      </c>
      <c r="F693" s="126">
        <v>449218</v>
      </c>
      <c r="G693" s="126">
        <f t="shared" si="84"/>
        <v>8984360</v>
      </c>
      <c r="H693" s="8"/>
      <c r="I693" s="9" t="str">
        <f t="array" ref="I693">_xlfn.XLOOKUP(C693,'Neiva 2022 FASE I ACTUAL (4)'!$C$6:$C$540,'Neiva 2022 FASE I ACTUAL (4)'!$C$6:$F$540,"NO ESTA")</f>
        <v>NO ESTA</v>
      </c>
      <c r="M693" s="124">
        <f t="shared" si="81"/>
        <v>0</v>
      </c>
      <c r="N693" s="155">
        <f t="shared" si="78"/>
        <v>20</v>
      </c>
      <c r="O693" s="156">
        <f t="shared" si="79"/>
        <v>449218</v>
      </c>
      <c r="P693" s="156">
        <f t="shared" si="80"/>
        <v>8984360</v>
      </c>
    </row>
    <row r="694" spans="2:16" s="9" customFormat="1" ht="35.1" customHeight="1" x14ac:dyDescent="0.25">
      <c r="B694" s="23" t="s">
        <v>1375</v>
      </c>
      <c r="C694" s="22" t="s">
        <v>1376</v>
      </c>
      <c r="D694" s="10" t="s">
        <v>16</v>
      </c>
      <c r="E694" s="12">
        <v>14</v>
      </c>
      <c r="F694" s="126">
        <v>12246</v>
      </c>
      <c r="G694" s="126">
        <f t="shared" si="84"/>
        <v>171444</v>
      </c>
      <c r="H694" s="8"/>
      <c r="I694" s="9" t="str">
        <f t="array" ref="I694">_xlfn.XLOOKUP(C694,'Neiva 2022 FASE I ACTUAL (4)'!$C$6:$C$540,'Neiva 2022 FASE I ACTUAL (4)'!$C$6:$F$540,"NO ESTA")</f>
        <v>NO ESTA</v>
      </c>
      <c r="M694" s="124">
        <f t="shared" si="81"/>
        <v>0</v>
      </c>
      <c r="N694" s="155">
        <f t="shared" si="78"/>
        <v>14</v>
      </c>
      <c r="O694" s="156">
        <f t="shared" si="79"/>
        <v>12246</v>
      </c>
      <c r="P694" s="156">
        <f t="shared" si="80"/>
        <v>171444</v>
      </c>
    </row>
    <row r="695" spans="2:16" s="9" customFormat="1" ht="35.1" customHeight="1" x14ac:dyDescent="0.25">
      <c r="B695" s="23" t="s">
        <v>1377</v>
      </c>
      <c r="C695" s="22" t="s">
        <v>976</v>
      </c>
      <c r="D695" s="10" t="s">
        <v>16</v>
      </c>
      <c r="E695" s="12">
        <v>18</v>
      </c>
      <c r="F695" s="126">
        <v>12928</v>
      </c>
      <c r="G695" s="126">
        <f t="shared" si="84"/>
        <v>232704</v>
      </c>
      <c r="H695" s="8"/>
      <c r="I695" s="9" t="str">
        <f t="array" ref="I695:L695">_xlfn.XLOOKUP(C695,'Neiva 2022 FASE I ACTUAL (4)'!$C$6:$C$540,'Neiva 2022 FASE I ACTUAL (4)'!$C$6:$F$540,"NO ESTA")</f>
        <v>SUMINISTRO E INSTALACION CAJA DE PASO 10 x 10 m DOBLE FONDO</v>
      </c>
      <c r="J695" s="9" t="str">
        <v>UND</v>
      </c>
      <c r="K695" s="9">
        <v>4</v>
      </c>
      <c r="L695" s="9">
        <v>12566</v>
      </c>
      <c r="M695" s="124" t="str">
        <f t="shared" si="81"/>
        <v>FASE II</v>
      </c>
      <c r="N695" s="155">
        <f t="shared" si="78"/>
        <v>22</v>
      </c>
      <c r="O695" s="156">
        <f t="shared" si="79"/>
        <v>12928</v>
      </c>
      <c r="P695" s="156">
        <f t="shared" si="80"/>
        <v>284416</v>
      </c>
    </row>
    <row r="696" spans="2:16" s="9" customFormat="1" ht="35.1" customHeight="1" x14ac:dyDescent="0.25">
      <c r="B696" s="23" t="s">
        <v>1378</v>
      </c>
      <c r="C696" s="22" t="s">
        <v>1379</v>
      </c>
      <c r="D696" s="10" t="s">
        <v>16</v>
      </c>
      <c r="E696" s="12">
        <v>2</v>
      </c>
      <c r="F696" s="126">
        <v>5824460</v>
      </c>
      <c r="G696" s="126">
        <f t="shared" si="84"/>
        <v>11648920</v>
      </c>
      <c r="H696" s="8"/>
      <c r="I696" s="9" t="str">
        <f t="array" ref="I696">_xlfn.XLOOKUP(C696,'Neiva 2022 FASE I ACTUAL (4)'!$C$6:$C$540,'Neiva 2022 FASE I ACTUAL (4)'!$C$6:$F$540,"NO ESTA")</f>
        <v>NO ESTA</v>
      </c>
      <c r="M696" s="124">
        <f t="shared" si="81"/>
        <v>0</v>
      </c>
      <c r="N696" s="155">
        <f t="shared" si="78"/>
        <v>2</v>
      </c>
      <c r="O696" s="156">
        <f t="shared" si="79"/>
        <v>5824460</v>
      </c>
      <c r="P696" s="156">
        <f t="shared" si="80"/>
        <v>11648920</v>
      </c>
    </row>
    <row r="697" spans="2:16" s="9" customFormat="1" ht="35.1" customHeight="1" x14ac:dyDescent="0.25">
      <c r="B697" s="23" t="s">
        <v>1380</v>
      </c>
      <c r="C697" s="22" t="s">
        <v>1381</v>
      </c>
      <c r="D697" s="10" t="s">
        <v>16</v>
      </c>
      <c r="E697" s="12">
        <v>2</v>
      </c>
      <c r="F697" s="126">
        <v>5564822</v>
      </c>
      <c r="G697" s="126">
        <f t="shared" si="84"/>
        <v>11129644</v>
      </c>
      <c r="H697" s="8"/>
      <c r="I697" s="9" t="str">
        <f t="array" ref="I697">_xlfn.XLOOKUP(C697,'Neiva 2022 FASE I ACTUAL (4)'!$C$6:$C$540,'Neiva 2022 FASE I ACTUAL (4)'!$C$6:$F$540,"NO ESTA")</f>
        <v>NO ESTA</v>
      </c>
      <c r="M697" s="124">
        <f t="shared" si="81"/>
        <v>0</v>
      </c>
      <c r="N697" s="155">
        <f t="shared" si="78"/>
        <v>2</v>
      </c>
      <c r="O697" s="156">
        <f t="shared" si="79"/>
        <v>5564822</v>
      </c>
      <c r="P697" s="156">
        <f t="shared" si="80"/>
        <v>11129644</v>
      </c>
    </row>
    <row r="698" spans="2:16" s="9" customFormat="1" ht="35.1" customHeight="1" x14ac:dyDescent="0.25">
      <c r="B698" s="23" t="s">
        <v>1382</v>
      </c>
      <c r="C698" s="22" t="s">
        <v>1383</v>
      </c>
      <c r="D698" s="10" t="s">
        <v>16</v>
      </c>
      <c r="E698" s="12">
        <v>2</v>
      </c>
      <c r="F698" s="126">
        <v>3681238</v>
      </c>
      <c r="G698" s="126">
        <f t="shared" si="84"/>
        <v>7362476</v>
      </c>
      <c r="H698" s="8"/>
      <c r="I698" s="9" t="str">
        <f t="array" ref="I698">_xlfn.XLOOKUP(C698,'Neiva 2022 FASE I ACTUAL (4)'!$C$6:$C$540,'Neiva 2022 FASE I ACTUAL (4)'!$C$6:$F$540,"NO ESTA")</f>
        <v>NO ESTA</v>
      </c>
      <c r="M698" s="124">
        <f t="shared" si="81"/>
        <v>0</v>
      </c>
      <c r="N698" s="155">
        <f t="shared" si="78"/>
        <v>2</v>
      </c>
      <c r="O698" s="156">
        <f t="shared" si="79"/>
        <v>3681238</v>
      </c>
      <c r="P698" s="156">
        <f t="shared" si="80"/>
        <v>7362476</v>
      </c>
    </row>
    <row r="699" spans="2:16" s="9" customFormat="1" ht="35.1" customHeight="1" x14ac:dyDescent="0.25">
      <c r="B699" s="23" t="s">
        <v>1384</v>
      </c>
      <c r="C699" s="22" t="s">
        <v>1385</v>
      </c>
      <c r="D699" s="10" t="s">
        <v>1182</v>
      </c>
      <c r="E699" s="12">
        <v>1</v>
      </c>
      <c r="F699" s="126">
        <v>2856916</v>
      </c>
      <c r="G699" s="126">
        <f t="shared" si="84"/>
        <v>2856916</v>
      </c>
      <c r="H699" s="8"/>
      <c r="I699" s="9" t="str">
        <f t="array" ref="I699">_xlfn.XLOOKUP(C699,'Neiva 2022 FASE I ACTUAL (4)'!$C$6:$C$540,'Neiva 2022 FASE I ACTUAL (4)'!$C$6:$F$540,"NO ESTA")</f>
        <v>NO ESTA</v>
      </c>
      <c r="M699" s="124">
        <f t="shared" si="81"/>
        <v>0</v>
      </c>
      <c r="N699" s="155">
        <f t="shared" si="78"/>
        <v>1</v>
      </c>
      <c r="O699" s="156">
        <f t="shared" si="79"/>
        <v>2856916</v>
      </c>
      <c r="P699" s="156">
        <f t="shared" si="80"/>
        <v>2856916</v>
      </c>
    </row>
    <row r="700" spans="2:16" s="9" customFormat="1" ht="35.1" customHeight="1" x14ac:dyDescent="0.25">
      <c r="B700" s="13" t="s">
        <v>994</v>
      </c>
      <c r="C700" s="14" t="s">
        <v>995</v>
      </c>
      <c r="D700" s="27"/>
      <c r="E700" s="15"/>
      <c r="F700" s="129"/>
      <c r="G700" s="140"/>
      <c r="H700" s="8"/>
      <c r="I700" s="9" t="str">
        <f t="array" ref="I700:L700">_xlfn.XLOOKUP(C700,'Neiva 2022 FASE I ACTUAL (4)'!$C$6:$C$540,'Neiva 2022 FASE I ACTUAL (4)'!$C$6:$F$540,"NO ESTA")</f>
        <v>SUMINISTRO E INSTALACION DE DETECCIÓN DE INDENDIO</v>
      </c>
      <c r="J700" s="9">
        <v>0</v>
      </c>
      <c r="K700" s="9">
        <v>0</v>
      </c>
      <c r="L700" s="9">
        <v>0</v>
      </c>
      <c r="M700" s="124">
        <f t="shared" si="81"/>
        <v>0</v>
      </c>
      <c r="N700" s="155">
        <f t="shared" si="78"/>
        <v>0</v>
      </c>
      <c r="O700" s="156">
        <f t="shared" si="79"/>
        <v>0</v>
      </c>
      <c r="P700" s="156">
        <f t="shared" si="80"/>
        <v>0</v>
      </c>
    </row>
    <row r="701" spans="2:16" s="9" customFormat="1" ht="35.1" customHeight="1" x14ac:dyDescent="0.25">
      <c r="B701" s="23" t="s">
        <v>996</v>
      </c>
      <c r="C701" s="22" t="s">
        <v>997</v>
      </c>
      <c r="D701" s="10" t="s">
        <v>16</v>
      </c>
      <c r="E701" s="12">
        <v>8</v>
      </c>
      <c r="F701" s="126">
        <v>503198</v>
      </c>
      <c r="G701" s="126">
        <f t="shared" ref="G701:G711" si="85">ROUND(+F701*E701,2)</f>
        <v>4025584</v>
      </c>
      <c r="H701" s="8"/>
      <c r="I701" s="9" t="str">
        <f t="array" ref="I701:L701">_xlfn.XLOOKUP(C701,'Neiva 2022 FASE I ACTUAL (4)'!$C$6:$C$540,'Neiva 2022 FASE I ACTUAL (4)'!$C$6:$F$540,"NO ESTA")</f>
        <v>SUMINISTRO E INSTALACION ESTACION MANUAL DIRECCIONABLE DE AVISO, CON CUBIERTA ACRILICA</v>
      </c>
      <c r="J701" s="9" t="str">
        <v>UND</v>
      </c>
      <c r="K701" s="9">
        <v>3</v>
      </c>
      <c r="L701" s="9">
        <v>495757</v>
      </c>
      <c r="M701" s="124" t="str">
        <f t="shared" si="81"/>
        <v>FASE II</v>
      </c>
      <c r="N701" s="155">
        <f t="shared" si="78"/>
        <v>11</v>
      </c>
      <c r="O701" s="156">
        <f t="shared" si="79"/>
        <v>503198</v>
      </c>
      <c r="P701" s="156">
        <f t="shared" si="80"/>
        <v>5535178</v>
      </c>
    </row>
    <row r="702" spans="2:16" s="9" customFormat="1" ht="35.1" customHeight="1" x14ac:dyDescent="0.25">
      <c r="B702" s="23" t="s">
        <v>998</v>
      </c>
      <c r="C702" s="87" t="s">
        <v>999</v>
      </c>
      <c r="D702" s="10" t="s">
        <v>16</v>
      </c>
      <c r="E702" s="12">
        <v>8</v>
      </c>
      <c r="F702" s="126">
        <v>360098</v>
      </c>
      <c r="G702" s="126">
        <f t="shared" si="85"/>
        <v>2880784</v>
      </c>
      <c r="H702" s="8"/>
      <c r="I702" s="9" t="str">
        <f t="array" ref="I702:L702">_xlfn.XLOOKUP(C702,'Neiva 2022 FASE I ACTUAL (4)'!$C$6:$C$540,'Neiva 2022 FASE I ACTUAL (4)'!$C$6:$F$540,"NO ESTA")</f>
        <v>SUMINISTRO E INSTALACION SIRENA / ESTROBO CON SUS MODULOS DE CONTROL</v>
      </c>
      <c r="J702" s="9" t="str">
        <v>UND</v>
      </c>
      <c r="K702" s="9">
        <v>3</v>
      </c>
      <c r="L702" s="9">
        <v>354773</v>
      </c>
      <c r="M702" s="124" t="str">
        <f t="shared" si="81"/>
        <v>FASE II</v>
      </c>
      <c r="N702" s="155">
        <f t="shared" si="78"/>
        <v>11</v>
      </c>
      <c r="O702" s="156">
        <f t="shared" si="79"/>
        <v>360098</v>
      </c>
      <c r="P702" s="156">
        <f t="shared" si="80"/>
        <v>3961078</v>
      </c>
    </row>
    <row r="703" spans="2:16" s="9" customFormat="1" ht="35.1" customHeight="1" x14ac:dyDescent="0.25">
      <c r="B703" s="23" t="s">
        <v>1000</v>
      </c>
      <c r="C703" s="22" t="s">
        <v>1001</v>
      </c>
      <c r="D703" s="10" t="s">
        <v>16</v>
      </c>
      <c r="E703" s="12">
        <v>96</v>
      </c>
      <c r="F703" s="126">
        <v>405062</v>
      </c>
      <c r="G703" s="126">
        <f t="shared" si="85"/>
        <v>38885952</v>
      </c>
      <c r="H703" s="8"/>
      <c r="I703" s="9" t="str">
        <f t="array" ref="I703:L703">_xlfn.XLOOKUP(C703,'Neiva 2022 FASE I ACTUAL (4)'!$C$6:$C$540,'Neiva 2022 FASE I ACTUAL (4)'!$C$6:$F$540,"NO ESTA")</f>
        <v>SUMINISTRO E INSTALACION DETECTOR DE HUMO DIRECCIONABLE CON BASE</v>
      </c>
      <c r="J703" s="9" t="str">
        <v>UND</v>
      </c>
      <c r="K703" s="9">
        <v>46</v>
      </c>
      <c r="L703" s="9">
        <v>399073</v>
      </c>
      <c r="M703" s="124" t="str">
        <f t="shared" si="81"/>
        <v>FASE II</v>
      </c>
      <c r="N703" s="155">
        <f t="shared" si="78"/>
        <v>142</v>
      </c>
      <c r="O703" s="156">
        <f t="shared" si="79"/>
        <v>405062</v>
      </c>
      <c r="P703" s="156">
        <f t="shared" si="80"/>
        <v>57518804</v>
      </c>
    </row>
    <row r="704" spans="2:16" s="9" customFormat="1" ht="35.1" customHeight="1" x14ac:dyDescent="0.25">
      <c r="B704" s="23" t="s">
        <v>1002</v>
      </c>
      <c r="C704" s="87" t="s">
        <v>1003</v>
      </c>
      <c r="D704" s="10" t="s">
        <v>16</v>
      </c>
      <c r="E704" s="12">
        <v>6</v>
      </c>
      <c r="F704" s="126">
        <v>379368</v>
      </c>
      <c r="G704" s="126">
        <f t="shared" si="85"/>
        <v>2276208</v>
      </c>
      <c r="H704" s="8"/>
      <c r="I704" s="9" t="str">
        <f t="array" ref="I704:L704">_xlfn.XLOOKUP(C704,'Neiva 2022 FASE I ACTUAL (4)'!$C$6:$C$540,'Neiva 2022 FASE I ACTUAL (4)'!$C$6:$F$540,"NO ESTA")</f>
        <v>SUMINISTRO E INSTALACION DETECTOR DE MONOXIDO DIRECCIONABLE CON BASE</v>
      </c>
      <c r="J704" s="9" t="str">
        <v>UND</v>
      </c>
      <c r="K704" s="9">
        <v>2</v>
      </c>
      <c r="L704" s="9">
        <v>373759</v>
      </c>
      <c r="M704" s="124" t="str">
        <f t="shared" si="81"/>
        <v>FASE II</v>
      </c>
      <c r="N704" s="155">
        <f t="shared" si="78"/>
        <v>8</v>
      </c>
      <c r="O704" s="156">
        <f t="shared" si="79"/>
        <v>379368</v>
      </c>
      <c r="P704" s="156">
        <f t="shared" si="80"/>
        <v>3034944</v>
      </c>
    </row>
    <row r="705" spans="2:16" s="9" customFormat="1" ht="35.1" customHeight="1" x14ac:dyDescent="0.25">
      <c r="B705" s="23" t="s">
        <v>1004</v>
      </c>
      <c r="C705" s="22" t="s">
        <v>1005</v>
      </c>
      <c r="D705" s="10" t="s">
        <v>16</v>
      </c>
      <c r="E705" s="12">
        <v>5</v>
      </c>
      <c r="F705" s="126">
        <v>400477</v>
      </c>
      <c r="G705" s="126">
        <f t="shared" si="85"/>
        <v>2002385</v>
      </c>
      <c r="H705" s="8"/>
      <c r="I705" s="9" t="str">
        <f t="array" ref="I705:L705">_xlfn.XLOOKUP(C705,'Neiva 2022 FASE I ACTUAL (4)'!$C$6:$C$540,'Neiva 2022 FASE I ACTUAL (4)'!$C$6:$F$540,"NO ESTA")</f>
        <v>SUMINISTRO E INSTALACION CITOFONO DE EMERGENCIA</v>
      </c>
      <c r="J705" s="9" t="str">
        <v>UND</v>
      </c>
      <c r="K705" s="9">
        <v>2</v>
      </c>
      <c r="L705" s="9">
        <v>394556</v>
      </c>
      <c r="M705" s="124" t="str">
        <f t="shared" si="81"/>
        <v>FASE II</v>
      </c>
      <c r="N705" s="155">
        <f t="shared" si="78"/>
        <v>7</v>
      </c>
      <c r="O705" s="156">
        <f t="shared" si="79"/>
        <v>400477</v>
      </c>
      <c r="P705" s="156">
        <f t="shared" si="80"/>
        <v>2803339</v>
      </c>
    </row>
    <row r="706" spans="2:16" s="9" customFormat="1" ht="35.1" customHeight="1" x14ac:dyDescent="0.25">
      <c r="B706" s="23" t="s">
        <v>1006</v>
      </c>
      <c r="C706" s="22" t="s">
        <v>1007</v>
      </c>
      <c r="D706" s="10" t="s">
        <v>16</v>
      </c>
      <c r="E706" s="12">
        <v>1</v>
      </c>
      <c r="F706" s="126">
        <v>8411205</v>
      </c>
      <c r="G706" s="126">
        <f t="shared" si="85"/>
        <v>8411205</v>
      </c>
      <c r="H706" s="8"/>
      <c r="I706" s="9" t="str">
        <f t="array" ref="I706:L706">_xlfn.XLOOKUP(C706,'Neiva 2022 FASE I ACTUAL (4)'!$C$6:$C$540,'Neiva 2022 FASE I ACTUAL (4)'!$C$6:$F$540,"NO ESTA")</f>
        <v xml:space="preserve">SUMINISTRO E INSTALACION CENTRAL DE DETECCION DE INCENDIO E INTRUSIÓN, CONSU GABINETE, FUENTE, CPU, DISPLAY Y TECLEDO, CON UN 30% DE RESERVA PARA AMPLIACIÓN. </v>
      </c>
      <c r="J706" s="9" t="str">
        <v>UND</v>
      </c>
      <c r="K706" s="9">
        <v>1</v>
      </c>
      <c r="L706" s="9">
        <v>8286837</v>
      </c>
      <c r="M706" s="124" t="str">
        <f t="shared" si="81"/>
        <v>FASE II</v>
      </c>
      <c r="N706" s="155">
        <f t="shared" si="78"/>
        <v>2</v>
      </c>
      <c r="O706" s="156">
        <f t="shared" si="79"/>
        <v>8411205</v>
      </c>
      <c r="P706" s="156">
        <f t="shared" si="80"/>
        <v>16822410</v>
      </c>
    </row>
    <row r="707" spans="2:16" s="9" customFormat="1" ht="35.1" customHeight="1" x14ac:dyDescent="0.25">
      <c r="B707" s="23" t="s">
        <v>1008</v>
      </c>
      <c r="C707" s="22" t="s">
        <v>1009</v>
      </c>
      <c r="D707" s="10" t="s">
        <v>94</v>
      </c>
      <c r="E707" s="12">
        <v>1277</v>
      </c>
      <c r="F707" s="126">
        <v>5267</v>
      </c>
      <c r="G707" s="126">
        <f t="shared" si="85"/>
        <v>6725959</v>
      </c>
      <c r="H707" s="8"/>
      <c r="I707" s="9" t="str">
        <f t="array" ref="I707:L707">_xlfn.XLOOKUP(C707,'Neiva 2022 FASE I ACTUAL (4)'!$C$6:$C$540,'Neiva 2022 FASE I ACTUAL (4)'!$C$6:$F$540,"NO ESTA")</f>
        <v>SUMINISTRO E INSTALACION CABLE BLINDADO 2 x 16 AWG FPL</v>
      </c>
      <c r="J707" s="9" t="str">
        <v>ML</v>
      </c>
      <c r="K707" s="9">
        <v>496</v>
      </c>
      <c r="L707" s="9">
        <v>5188</v>
      </c>
      <c r="M707" s="124" t="str">
        <f t="shared" si="81"/>
        <v>FASE II</v>
      </c>
      <c r="N707" s="155">
        <f t="shared" si="78"/>
        <v>1773</v>
      </c>
      <c r="O707" s="156">
        <f t="shared" si="79"/>
        <v>5267</v>
      </c>
      <c r="P707" s="156">
        <f t="shared" si="80"/>
        <v>9338391</v>
      </c>
    </row>
    <row r="708" spans="2:16" s="9" customFormat="1" ht="35.1" customHeight="1" x14ac:dyDescent="0.25">
      <c r="B708" s="23" t="s">
        <v>1010</v>
      </c>
      <c r="C708" s="22" t="s">
        <v>968</v>
      </c>
      <c r="D708" s="10" t="s">
        <v>94</v>
      </c>
      <c r="E708" s="12">
        <v>854</v>
      </c>
      <c r="F708" s="126">
        <v>16039</v>
      </c>
      <c r="G708" s="126">
        <f t="shared" si="85"/>
        <v>13697306</v>
      </c>
      <c r="H708" s="8"/>
      <c r="I708" s="9" t="str">
        <f t="array" ref="I708:L708">_xlfn.XLOOKUP(C708,'Neiva 2022 FASE I ACTUAL (4)'!$C$6:$C$540,'Neiva 2022 FASE I ACTUAL (4)'!$C$6:$F$540,"NO ESTA")</f>
        <v>SUMINISTRO E INSTALACION TUBERÍA EMT DE 3/4" INCLUYE ACCESORIOS</v>
      </c>
      <c r="J708" s="9" t="str">
        <v>ML</v>
      </c>
      <c r="K708" s="9">
        <v>61</v>
      </c>
      <c r="L708" s="9">
        <v>15591</v>
      </c>
      <c r="M708" s="124" t="str">
        <f t="shared" si="81"/>
        <v>FASE II</v>
      </c>
      <c r="N708" s="155">
        <f t="shared" si="78"/>
        <v>915</v>
      </c>
      <c r="O708" s="156">
        <f t="shared" si="79"/>
        <v>16039</v>
      </c>
      <c r="P708" s="156">
        <f t="shared" si="80"/>
        <v>14675685</v>
      </c>
    </row>
    <row r="709" spans="2:16" s="9" customFormat="1" ht="35.1" customHeight="1" x14ac:dyDescent="0.25">
      <c r="B709" s="23" t="s">
        <v>1011</v>
      </c>
      <c r="C709" s="22" t="s">
        <v>972</v>
      </c>
      <c r="D709" s="10" t="s">
        <v>94</v>
      </c>
      <c r="E709" s="12">
        <v>15</v>
      </c>
      <c r="F709" s="126">
        <v>4755</v>
      </c>
      <c r="G709" s="126">
        <f t="shared" si="85"/>
        <v>71325</v>
      </c>
      <c r="H709" s="8"/>
      <c r="I709" s="9" t="str">
        <f t="array" ref="I709:L709">_xlfn.XLOOKUP(C709,'Neiva 2022 FASE I ACTUAL (4)'!$C$6:$C$540,'Neiva 2022 FASE I ACTUAL (4)'!$C$6:$F$540,"NO ESTA")</f>
        <v>SUMINISTRO E INSTALACION TUBERÍA PVC DE 3/4" INCLUYE ACCESORIOS</v>
      </c>
      <c r="J709" s="9" t="str">
        <v>ML</v>
      </c>
      <c r="K709" s="9">
        <v>31</v>
      </c>
      <c r="L709" s="9">
        <v>4621</v>
      </c>
      <c r="M709" s="124" t="str">
        <f t="shared" si="81"/>
        <v>FASE II</v>
      </c>
      <c r="N709" s="155">
        <f t="shared" si="78"/>
        <v>46</v>
      </c>
      <c r="O709" s="156">
        <f t="shared" si="79"/>
        <v>4755</v>
      </c>
      <c r="P709" s="156">
        <f t="shared" si="80"/>
        <v>218730</v>
      </c>
    </row>
    <row r="710" spans="2:16" s="9" customFormat="1" ht="35.1" customHeight="1" x14ac:dyDescent="0.25">
      <c r="B710" s="23" t="s">
        <v>1012</v>
      </c>
      <c r="C710" s="22" t="s">
        <v>976</v>
      </c>
      <c r="D710" s="10" t="s">
        <v>16</v>
      </c>
      <c r="E710" s="12">
        <v>23</v>
      </c>
      <c r="F710" s="126">
        <v>12928</v>
      </c>
      <c r="G710" s="126">
        <f t="shared" si="85"/>
        <v>297344</v>
      </c>
      <c r="H710" s="8"/>
      <c r="I710" s="9" t="str">
        <f t="array" ref="I710:L710">_xlfn.XLOOKUP(C710,'Neiva 2022 FASE I ACTUAL (4)'!$C$6:$C$540,'Neiva 2022 FASE I ACTUAL (4)'!$C$6:$F$540,"NO ESTA")</f>
        <v>SUMINISTRO E INSTALACION CAJA DE PASO 10 x 10 m DOBLE FONDO</v>
      </c>
      <c r="J710" s="9" t="str">
        <v>UND</v>
      </c>
      <c r="K710" s="9">
        <v>4</v>
      </c>
      <c r="L710" s="9">
        <v>12566</v>
      </c>
      <c r="M710" s="124" t="str">
        <f t="shared" si="81"/>
        <v>FASE II</v>
      </c>
      <c r="N710" s="155">
        <f t="shared" ref="N710:N720" si="86">E710+K710</f>
        <v>27</v>
      </c>
      <c r="O710" s="156">
        <f t="shared" ref="O710:O720" si="87">MAX(L710,F710)</f>
        <v>12928</v>
      </c>
      <c r="P710" s="156">
        <f t="shared" ref="P710:P720" si="88">N710*O710</f>
        <v>349056</v>
      </c>
    </row>
    <row r="711" spans="2:16" s="9" customFormat="1" ht="35.1" customHeight="1" x14ac:dyDescent="0.25">
      <c r="B711" s="23" t="s">
        <v>1386</v>
      </c>
      <c r="C711" s="22" t="s">
        <v>1385</v>
      </c>
      <c r="D711" s="10" t="s">
        <v>1182</v>
      </c>
      <c r="E711" s="12">
        <v>0</v>
      </c>
      <c r="F711" s="126">
        <v>2856916</v>
      </c>
      <c r="G711" s="126">
        <f t="shared" si="85"/>
        <v>0</v>
      </c>
      <c r="H711" s="8"/>
      <c r="I711" s="9" t="str">
        <f t="array" ref="I711">_xlfn.XLOOKUP(C711,'Neiva 2022 FASE I ACTUAL (4)'!$C$6:$C$540,'Neiva 2022 FASE I ACTUAL (4)'!$C$6:$F$540,"NO ESTA")</f>
        <v>NO ESTA</v>
      </c>
      <c r="M711" s="124">
        <f t="shared" si="81"/>
        <v>0</v>
      </c>
      <c r="N711" s="155">
        <f t="shared" si="86"/>
        <v>0</v>
      </c>
      <c r="O711" s="156">
        <f t="shared" si="87"/>
        <v>2856916</v>
      </c>
      <c r="P711" s="156">
        <f t="shared" si="88"/>
        <v>0</v>
      </c>
    </row>
    <row r="712" spans="2:16" s="9" customFormat="1" ht="35.1" customHeight="1" x14ac:dyDescent="0.25">
      <c r="B712" s="13" t="s">
        <v>1387</v>
      </c>
      <c r="C712" s="14" t="s">
        <v>1388</v>
      </c>
      <c r="D712" s="27"/>
      <c r="E712" s="15"/>
      <c r="F712" s="129"/>
      <c r="G712" s="140"/>
      <c r="H712" s="8"/>
      <c r="I712" s="9" t="str">
        <f t="array" ref="I712">_xlfn.XLOOKUP(C712,'Neiva 2022 FASE I ACTUAL (4)'!$C$6:$C$540,'Neiva 2022 FASE I ACTUAL (4)'!$C$6:$F$540,"NO ESTA")</f>
        <v>NO ESTA</v>
      </c>
      <c r="M712" s="124">
        <f t="shared" ref="M712:M720" si="89">IF(L712=0,0,(IF(F712&lt;L712, "FASE I","FASE II")))</f>
        <v>0</v>
      </c>
      <c r="N712" s="155">
        <f t="shared" si="86"/>
        <v>0</v>
      </c>
      <c r="O712" s="156">
        <f t="shared" si="87"/>
        <v>0</v>
      </c>
      <c r="P712" s="156">
        <f t="shared" si="88"/>
        <v>0</v>
      </c>
    </row>
    <row r="713" spans="2:16" s="9" customFormat="1" ht="35.1" customHeight="1" x14ac:dyDescent="0.25">
      <c r="B713" s="23" t="s">
        <v>1389</v>
      </c>
      <c r="C713" s="22" t="s">
        <v>1390</v>
      </c>
      <c r="D713" s="10" t="s">
        <v>16</v>
      </c>
      <c r="E713" s="12">
        <v>64</v>
      </c>
      <c r="F713" s="126">
        <v>385558</v>
      </c>
      <c r="G713" s="126">
        <f t="shared" ref="G713:G720" si="90">ROUND(+F713*E713,2)</f>
        <v>24675712</v>
      </c>
      <c r="H713" s="8"/>
      <c r="I713" s="9" t="str">
        <f t="array" ref="I713">_xlfn.XLOOKUP(C713,'Neiva 2022 FASE I ACTUAL (4)'!$C$6:$C$540,'Neiva 2022 FASE I ACTUAL (4)'!$C$6:$F$540,"NO ESTA")</f>
        <v>NO ESTA</v>
      </c>
      <c r="M713" s="124">
        <f t="shared" si="89"/>
        <v>0</v>
      </c>
      <c r="N713" s="155">
        <f t="shared" si="86"/>
        <v>64</v>
      </c>
      <c r="O713" s="156">
        <f t="shared" si="87"/>
        <v>385558</v>
      </c>
      <c r="P713" s="156">
        <f t="shared" si="88"/>
        <v>24675712</v>
      </c>
    </row>
    <row r="714" spans="2:16" s="9" customFormat="1" ht="35.1" customHeight="1" x14ac:dyDescent="0.25">
      <c r="B714" s="23" t="s">
        <v>1391</v>
      </c>
      <c r="C714" s="22" t="s">
        <v>1392</v>
      </c>
      <c r="D714" s="10" t="s">
        <v>16</v>
      </c>
      <c r="E714" s="12">
        <v>2</v>
      </c>
      <c r="F714" s="126">
        <v>8931653</v>
      </c>
      <c r="G714" s="126">
        <f t="shared" si="90"/>
        <v>17863306</v>
      </c>
      <c r="H714" s="8"/>
      <c r="I714" s="9" t="str">
        <f t="array" ref="I714">_xlfn.XLOOKUP(C714,'Neiva 2022 FASE I ACTUAL (4)'!$C$6:$C$540,'Neiva 2022 FASE I ACTUAL (4)'!$C$6:$F$540,"NO ESTA")</f>
        <v>NO ESTA</v>
      </c>
      <c r="M714" s="124">
        <f t="shared" si="89"/>
        <v>0</v>
      </c>
      <c r="N714" s="155">
        <f t="shared" si="86"/>
        <v>2</v>
      </c>
      <c r="O714" s="156">
        <f t="shared" si="87"/>
        <v>8931653</v>
      </c>
      <c r="P714" s="156">
        <f t="shared" si="88"/>
        <v>17863306</v>
      </c>
    </row>
    <row r="715" spans="2:16" s="9" customFormat="1" ht="35.1" customHeight="1" x14ac:dyDescent="0.25">
      <c r="B715" s="23" t="s">
        <v>1393</v>
      </c>
      <c r="C715" s="22" t="s">
        <v>1394</v>
      </c>
      <c r="D715" s="10" t="s">
        <v>16</v>
      </c>
      <c r="E715" s="12">
        <v>2</v>
      </c>
      <c r="F715" s="126">
        <v>16541720</v>
      </c>
      <c r="G715" s="126">
        <f t="shared" si="90"/>
        <v>33083440</v>
      </c>
      <c r="H715" s="8"/>
      <c r="I715" s="9" t="str">
        <f t="array" ref="I715">_xlfn.XLOOKUP(C715,'Neiva 2022 FASE I ACTUAL (4)'!$C$6:$C$540,'Neiva 2022 FASE I ACTUAL (4)'!$C$6:$F$540,"NO ESTA")</f>
        <v>NO ESTA</v>
      </c>
      <c r="M715" s="124">
        <f t="shared" si="89"/>
        <v>0</v>
      </c>
      <c r="N715" s="155">
        <f t="shared" si="86"/>
        <v>2</v>
      </c>
      <c r="O715" s="156">
        <f t="shared" si="87"/>
        <v>16541720</v>
      </c>
      <c r="P715" s="156">
        <f t="shared" si="88"/>
        <v>33083440</v>
      </c>
    </row>
    <row r="716" spans="2:16" s="9" customFormat="1" ht="35.1" customHeight="1" x14ac:dyDescent="0.25">
      <c r="B716" s="23" t="s">
        <v>1395</v>
      </c>
      <c r="C716" s="22" t="s">
        <v>1396</v>
      </c>
      <c r="D716" s="10" t="s">
        <v>16</v>
      </c>
      <c r="E716" s="12">
        <v>2</v>
      </c>
      <c r="F716" s="126">
        <v>1641662</v>
      </c>
      <c r="G716" s="126">
        <f t="shared" si="90"/>
        <v>3283324</v>
      </c>
      <c r="H716" s="8"/>
      <c r="I716" s="9" t="str">
        <f t="array" ref="I716">_xlfn.XLOOKUP(C716,'Neiva 2022 FASE I ACTUAL (4)'!$C$6:$C$540,'Neiva 2022 FASE I ACTUAL (4)'!$C$6:$F$540,"NO ESTA")</f>
        <v>NO ESTA</v>
      </c>
      <c r="M716" s="124">
        <f t="shared" si="89"/>
        <v>0</v>
      </c>
      <c r="N716" s="155">
        <f t="shared" si="86"/>
        <v>2</v>
      </c>
      <c r="O716" s="156">
        <f t="shared" si="87"/>
        <v>1641662</v>
      </c>
      <c r="P716" s="156">
        <f t="shared" si="88"/>
        <v>3283324</v>
      </c>
    </row>
    <row r="717" spans="2:16" s="9" customFormat="1" ht="35.1" customHeight="1" x14ac:dyDescent="0.25">
      <c r="B717" s="23" t="s">
        <v>1397</v>
      </c>
      <c r="C717" s="22" t="s">
        <v>968</v>
      </c>
      <c r="D717" s="10" t="s">
        <v>94</v>
      </c>
      <c r="E717" s="12">
        <v>159</v>
      </c>
      <c r="F717" s="126">
        <v>16039</v>
      </c>
      <c r="G717" s="126">
        <f t="shared" si="90"/>
        <v>2550201</v>
      </c>
      <c r="H717" s="8"/>
      <c r="I717" s="9" t="str">
        <f t="array" ref="I717:L717">_xlfn.XLOOKUP(C717,'Neiva 2022 FASE I ACTUAL (4)'!$C$6:$C$540,'Neiva 2022 FASE I ACTUAL (4)'!$C$6:$F$540,"NO ESTA")</f>
        <v>SUMINISTRO E INSTALACION TUBERÍA EMT DE 3/4" INCLUYE ACCESORIOS</v>
      </c>
      <c r="J717" s="9" t="str">
        <v>ML</v>
      </c>
      <c r="K717" s="9">
        <v>61</v>
      </c>
      <c r="L717" s="9">
        <v>15591</v>
      </c>
      <c r="M717" s="124" t="str">
        <f t="shared" si="89"/>
        <v>FASE II</v>
      </c>
      <c r="N717" s="155">
        <f t="shared" si="86"/>
        <v>220</v>
      </c>
      <c r="O717" s="156">
        <f t="shared" si="87"/>
        <v>16039</v>
      </c>
      <c r="P717" s="156">
        <f t="shared" si="88"/>
        <v>3528580</v>
      </c>
    </row>
    <row r="718" spans="2:16" s="9" customFormat="1" ht="35.1" customHeight="1" x14ac:dyDescent="0.25">
      <c r="B718" s="23" t="s">
        <v>1398</v>
      </c>
      <c r="C718" s="22" t="s">
        <v>976</v>
      </c>
      <c r="D718" s="10" t="s">
        <v>16</v>
      </c>
      <c r="E718" s="12">
        <v>4</v>
      </c>
      <c r="F718" s="126">
        <v>12928</v>
      </c>
      <c r="G718" s="126">
        <f t="shared" si="90"/>
        <v>51712</v>
      </c>
      <c r="H718" s="8"/>
      <c r="I718" s="9" t="str">
        <f t="array" ref="I718:L718">_xlfn.XLOOKUP(C718,'Neiva 2022 FASE I ACTUAL (4)'!$C$6:$C$540,'Neiva 2022 FASE I ACTUAL (4)'!$C$6:$F$540,"NO ESTA")</f>
        <v>SUMINISTRO E INSTALACION CAJA DE PASO 10 x 10 m DOBLE FONDO</v>
      </c>
      <c r="J718" s="9" t="str">
        <v>UND</v>
      </c>
      <c r="K718" s="9">
        <v>4</v>
      </c>
      <c r="L718" s="9">
        <v>12566</v>
      </c>
      <c r="M718" s="124" t="str">
        <f t="shared" si="89"/>
        <v>FASE II</v>
      </c>
      <c r="N718" s="155">
        <f t="shared" si="86"/>
        <v>8</v>
      </c>
      <c r="O718" s="156">
        <f t="shared" si="87"/>
        <v>12928</v>
      </c>
      <c r="P718" s="156">
        <f t="shared" si="88"/>
        <v>103424</v>
      </c>
    </row>
    <row r="719" spans="2:16" s="9" customFormat="1" ht="35.1" customHeight="1" x14ac:dyDescent="0.25">
      <c r="B719" s="23" t="s">
        <v>1399</v>
      </c>
      <c r="C719" s="22" t="s">
        <v>1400</v>
      </c>
      <c r="D719" s="23" t="s">
        <v>94</v>
      </c>
      <c r="E719" s="12">
        <v>2380</v>
      </c>
      <c r="F719" s="126">
        <v>8415</v>
      </c>
      <c r="G719" s="126">
        <f t="shared" si="90"/>
        <v>20027700</v>
      </c>
      <c r="H719" s="8"/>
      <c r="I719" s="9" t="str">
        <f t="array" ref="I719">_xlfn.XLOOKUP(C719,'Neiva 2022 FASE I ACTUAL (4)'!$C$6:$C$540,'Neiva 2022 FASE I ACTUAL (4)'!$C$6:$F$540,"NO ESTA")</f>
        <v>NO ESTA</v>
      </c>
      <c r="M719" s="124">
        <f t="shared" si="89"/>
        <v>0</v>
      </c>
      <c r="N719" s="155">
        <f t="shared" si="86"/>
        <v>2380</v>
      </c>
      <c r="O719" s="156">
        <f t="shared" si="87"/>
        <v>8415</v>
      </c>
      <c r="P719" s="156">
        <f t="shared" si="88"/>
        <v>20027700</v>
      </c>
    </row>
    <row r="720" spans="2:16" s="9" customFormat="1" ht="35.1" customHeight="1" x14ac:dyDescent="0.25">
      <c r="B720" s="23" t="s">
        <v>1401</v>
      </c>
      <c r="C720" s="22" t="s">
        <v>1385</v>
      </c>
      <c r="D720" s="10" t="s">
        <v>1182</v>
      </c>
      <c r="E720" s="12">
        <v>1</v>
      </c>
      <c r="F720" s="126">
        <v>2856916</v>
      </c>
      <c r="G720" s="126">
        <f t="shared" si="90"/>
        <v>2856916</v>
      </c>
      <c r="H720" s="8"/>
      <c r="I720" s="9" t="str">
        <f t="array" ref="I720">_xlfn.XLOOKUP(C720,'Neiva 2022 FASE I ACTUAL (4)'!$C$6:$C$540,'Neiva 2022 FASE I ACTUAL (4)'!$C$6:$F$540,"NO ESTA")</f>
        <v>NO ESTA</v>
      </c>
      <c r="M720" s="124">
        <f t="shared" si="89"/>
        <v>0</v>
      </c>
      <c r="N720" s="155">
        <f t="shared" si="86"/>
        <v>1</v>
      </c>
      <c r="O720" s="156">
        <f t="shared" si="87"/>
        <v>2856916</v>
      </c>
      <c r="P720" s="156">
        <f t="shared" si="88"/>
        <v>2856916</v>
      </c>
    </row>
    <row r="721" spans="2:17" ht="15" x14ac:dyDescent="0.25">
      <c r="B721" s="428" t="s">
        <v>1032</v>
      </c>
      <c r="C721" s="429"/>
      <c r="D721" s="429"/>
      <c r="E721" s="429"/>
      <c r="F721" s="430"/>
      <c r="G721" s="65">
        <f>SUM(G1:G720)</f>
        <v>6167706772.9299984</v>
      </c>
      <c r="I721" s="65">
        <f>6353512589.28+5886807197</f>
        <v>12240319786.279999</v>
      </c>
      <c r="N721" s="157"/>
      <c r="O721" s="157"/>
      <c r="P721" s="158" t="e">
        <f>SUM(P6:P720)</f>
        <v>#VALUE!</v>
      </c>
      <c r="Q721" s="1">
        <f>+'Neiva 2021 FASE I UNIFICADO'!O541</f>
        <v>2562796680.5200005</v>
      </c>
    </row>
    <row r="722" spans="2:17" x14ac:dyDescent="0.25">
      <c r="B722" s="425" t="s">
        <v>1034</v>
      </c>
      <c r="C722" s="425"/>
      <c r="D722" s="425"/>
      <c r="E722" s="425"/>
      <c r="F722" s="136">
        <v>0.23300000000000001</v>
      </c>
      <c r="G722" s="66">
        <f>F722*G721</f>
        <v>1437075678.0926898</v>
      </c>
      <c r="N722" s="157"/>
      <c r="O722" s="157"/>
      <c r="P722" s="157"/>
    </row>
    <row r="723" spans="2:17" x14ac:dyDescent="0.25">
      <c r="B723" s="425" t="s">
        <v>1035</v>
      </c>
      <c r="C723" s="425"/>
      <c r="D723" s="425"/>
      <c r="E723" s="425"/>
      <c r="F723" s="137">
        <v>0.03</v>
      </c>
      <c r="G723" s="66">
        <f>F723*G721</f>
        <v>185031203.18789995</v>
      </c>
      <c r="N723" s="157"/>
      <c r="O723" s="157"/>
      <c r="P723" s="158" t="e">
        <f>P721+Q721</f>
        <v>#VALUE!</v>
      </c>
    </row>
    <row r="724" spans="2:17" x14ac:dyDescent="0.25">
      <c r="B724" s="425" t="s">
        <v>1036</v>
      </c>
      <c r="C724" s="425"/>
      <c r="D724" s="425"/>
      <c r="E724" s="425"/>
      <c r="F724" s="136">
        <v>0.05</v>
      </c>
      <c r="G724" s="66">
        <f>F724*G721</f>
        <v>308385338.64649993</v>
      </c>
    </row>
    <row r="725" spans="2:17" ht="15" x14ac:dyDescent="0.25">
      <c r="B725" s="431" t="s">
        <v>1033</v>
      </c>
      <c r="C725" s="432"/>
      <c r="D725" s="432"/>
      <c r="E725" s="432"/>
      <c r="F725" s="433"/>
      <c r="G725" s="67">
        <f>G722+G723+G724</f>
        <v>1930492219.9270895</v>
      </c>
    </row>
    <row r="726" spans="2:17" x14ac:dyDescent="0.25">
      <c r="B726" s="425" t="s">
        <v>1038</v>
      </c>
      <c r="C726" s="425"/>
      <c r="D726" s="425"/>
      <c r="E726" s="425"/>
      <c r="F726" s="136">
        <v>0.19</v>
      </c>
      <c r="G726" s="66">
        <f>F726*G724</f>
        <v>58593214.342834987</v>
      </c>
    </row>
    <row r="727" spans="2:17" x14ac:dyDescent="0.25">
      <c r="B727" s="426" t="s">
        <v>1402</v>
      </c>
      <c r="C727" s="426"/>
      <c r="D727" s="426"/>
      <c r="E727" s="426"/>
      <c r="F727" s="138"/>
      <c r="G727" s="65">
        <f>G721+G725+G726</f>
        <v>8156792207.1999235</v>
      </c>
    </row>
    <row r="728" spans="2:17" x14ac:dyDescent="0.3">
      <c r="E728"/>
    </row>
    <row r="729" spans="2:17" x14ac:dyDescent="0.3">
      <c r="E729"/>
      <c r="H729" s="1">
        <f>G721+'Neiva 2021 FASE I UNIFICADO'!G541</f>
        <v>11805277575.089996</v>
      </c>
      <c r="I729" s="146">
        <f>H729-I721</f>
        <v>-435042211.19000244</v>
      </c>
      <c r="K729" s="1" t="e">
        <f>+P723-H729</f>
        <v>#VALUE!</v>
      </c>
      <c r="M729" s="152" t="e">
        <f>+P723-I721</f>
        <v>#VALUE!</v>
      </c>
    </row>
    <row r="730" spans="2:17" x14ac:dyDescent="0.3">
      <c r="E730"/>
    </row>
    <row r="731" spans="2:17" x14ac:dyDescent="0.3">
      <c r="E731"/>
    </row>
    <row r="732" spans="2:17" x14ac:dyDescent="0.3">
      <c r="E732"/>
    </row>
    <row r="733" spans="2:17" x14ac:dyDescent="0.3">
      <c r="E733"/>
    </row>
    <row r="734" spans="2:17" x14ac:dyDescent="0.3">
      <c r="E734"/>
    </row>
    <row r="735" spans="2:17" x14ac:dyDescent="0.3">
      <c r="E735"/>
    </row>
    <row r="736" spans="2:17" x14ac:dyDescent="0.3">
      <c r="E736"/>
    </row>
    <row r="737" spans="5:5" x14ac:dyDescent="0.3">
      <c r="E737"/>
    </row>
    <row r="738" spans="5:5" x14ac:dyDescent="0.3">
      <c r="E738"/>
    </row>
    <row r="739" spans="5:5" x14ac:dyDescent="0.3">
      <c r="E739"/>
    </row>
    <row r="740" spans="5:5" x14ac:dyDescent="0.3">
      <c r="E740"/>
    </row>
    <row r="741" spans="5:5" x14ac:dyDescent="0.3">
      <c r="E741"/>
    </row>
    <row r="742" spans="5:5" x14ac:dyDescent="0.3">
      <c r="E742"/>
    </row>
    <row r="743" spans="5:5" x14ac:dyDescent="0.3">
      <c r="E743"/>
    </row>
    <row r="744" spans="5:5" x14ac:dyDescent="0.3">
      <c r="E744"/>
    </row>
    <row r="745" spans="5:5" x14ac:dyDescent="0.3">
      <c r="E745"/>
    </row>
    <row r="746" spans="5:5" x14ac:dyDescent="0.3">
      <c r="E746"/>
    </row>
    <row r="747" spans="5:5" x14ac:dyDescent="0.3">
      <c r="E747"/>
    </row>
    <row r="748" spans="5:5" x14ac:dyDescent="0.3">
      <c r="E748"/>
    </row>
    <row r="749" spans="5:5" x14ac:dyDescent="0.3">
      <c r="E749"/>
    </row>
    <row r="750" spans="5:5" x14ac:dyDescent="0.3">
      <c r="E750"/>
    </row>
    <row r="751" spans="5:5" x14ac:dyDescent="0.3">
      <c r="E751"/>
    </row>
    <row r="752" spans="5:5" x14ac:dyDescent="0.3">
      <c r="E752"/>
    </row>
    <row r="753" spans="5:5" x14ac:dyDescent="0.3">
      <c r="E753"/>
    </row>
    <row r="754" spans="5:5" x14ac:dyDescent="0.3">
      <c r="E754"/>
    </row>
    <row r="755" spans="5:5" x14ac:dyDescent="0.3">
      <c r="E755"/>
    </row>
    <row r="756" spans="5:5" x14ac:dyDescent="0.3">
      <c r="E756"/>
    </row>
    <row r="757" spans="5:5" x14ac:dyDescent="0.3">
      <c r="E757"/>
    </row>
    <row r="758" spans="5:5" x14ac:dyDescent="0.3">
      <c r="E758"/>
    </row>
    <row r="759" spans="5:5" x14ac:dyDescent="0.3">
      <c r="E759"/>
    </row>
    <row r="760" spans="5:5" x14ac:dyDescent="0.3">
      <c r="E760"/>
    </row>
    <row r="761" spans="5:5" x14ac:dyDescent="0.3">
      <c r="E761"/>
    </row>
    <row r="762" spans="5:5" x14ac:dyDescent="0.3">
      <c r="E762"/>
    </row>
    <row r="763" spans="5:5" x14ac:dyDescent="0.3">
      <c r="E763"/>
    </row>
    <row r="764" spans="5:5" x14ac:dyDescent="0.3">
      <c r="E764"/>
    </row>
    <row r="765" spans="5:5" x14ac:dyDescent="0.3">
      <c r="E765"/>
    </row>
    <row r="766" spans="5:5" x14ac:dyDescent="0.3">
      <c r="E766"/>
    </row>
    <row r="767" spans="5:5" x14ac:dyDescent="0.3">
      <c r="E767"/>
    </row>
    <row r="768" spans="5:5" x14ac:dyDescent="0.3">
      <c r="E768"/>
    </row>
    <row r="769" spans="5:5" x14ac:dyDescent="0.3">
      <c r="E769"/>
    </row>
    <row r="770" spans="5:5" x14ac:dyDescent="0.3">
      <c r="E770"/>
    </row>
    <row r="771" spans="5:5" x14ac:dyDescent="0.3">
      <c r="E771"/>
    </row>
    <row r="772" spans="5:5" x14ac:dyDescent="0.3">
      <c r="E772"/>
    </row>
    <row r="773" spans="5:5" x14ac:dyDescent="0.3">
      <c r="E773"/>
    </row>
    <row r="774" spans="5:5" x14ac:dyDescent="0.3">
      <c r="E774"/>
    </row>
    <row r="775" spans="5:5" x14ac:dyDescent="0.3">
      <c r="E775"/>
    </row>
    <row r="776" spans="5:5" x14ac:dyDescent="0.3">
      <c r="E776"/>
    </row>
    <row r="777" spans="5:5" x14ac:dyDescent="0.3">
      <c r="E777"/>
    </row>
    <row r="778" spans="5:5" x14ac:dyDescent="0.3">
      <c r="E778"/>
    </row>
    <row r="779" spans="5:5" x14ac:dyDescent="0.3">
      <c r="E779"/>
    </row>
    <row r="780" spans="5:5" x14ac:dyDescent="0.3">
      <c r="E780"/>
    </row>
    <row r="781" spans="5:5" x14ac:dyDescent="0.3">
      <c r="E781"/>
    </row>
    <row r="782" spans="5:5" x14ac:dyDescent="0.3">
      <c r="E782"/>
    </row>
    <row r="783" spans="5:5" x14ac:dyDescent="0.3">
      <c r="E783"/>
    </row>
    <row r="784" spans="5:5" x14ac:dyDescent="0.3">
      <c r="E784"/>
    </row>
    <row r="785" spans="5:5" x14ac:dyDescent="0.3">
      <c r="E785"/>
    </row>
    <row r="786" spans="5:5" x14ac:dyDescent="0.3">
      <c r="E786"/>
    </row>
    <row r="787" spans="5:5" x14ac:dyDescent="0.3">
      <c r="E787"/>
    </row>
    <row r="788" spans="5:5" x14ac:dyDescent="0.3">
      <c r="E788"/>
    </row>
    <row r="789" spans="5:5" x14ac:dyDescent="0.3">
      <c r="E789"/>
    </row>
    <row r="790" spans="5:5" x14ac:dyDescent="0.3">
      <c r="E790"/>
    </row>
    <row r="1048564" spans="9:9" x14ac:dyDescent="0.3">
      <c r="I1048564" s="68"/>
    </row>
    <row r="1048576" spans="9:9" ht="15" customHeight="1" x14ac:dyDescent="0.3"/>
  </sheetData>
  <mergeCells count="8">
    <mergeCell ref="B726:E726"/>
    <mergeCell ref="B727:E727"/>
    <mergeCell ref="B2:G3"/>
    <mergeCell ref="B721:F721"/>
    <mergeCell ref="B722:E722"/>
    <mergeCell ref="B723:E723"/>
    <mergeCell ref="B724:E724"/>
    <mergeCell ref="B725:F725"/>
  </mergeCells>
  <conditionalFormatting sqref="G2:G4 G6:G15 G18:G21 G23:G26 G28 G30:G31 G34:G35 G37:G39 G41:G45 G47:G48 G50:G52 G58:G59 G61:G62 G64:G67 G70:G79 G81:G86 G88:G93 G95:G100 G102:G107 G109:G111 G118:G119 G121:G125 G127:G129 G131:G133 G135:G136 G150:G153 G155 G158:G161 G163:G169 G171:G176 G178:G183 G199:G204 G206:G211 G213:G220 G222 G225 G227:G228 G230 G233:G235 G237:G238 G240 G242:G246 G248:G251 G253:G258 G260 G263:G291 G293:G311 G313:G320 G322:G344 G347:G359 G361:G375 G378:G393 G395:G399 G401:G404 G407:G412 G414:G415 G417:G430 G432:G450 G452:G460 G462:G490 G492:G503 G505 G507:G511 G514:G522 G525:G539 G541:G548 G550:G557 G559:G595 G597:G602 G604:G617 G619:G623 G625:G635 G638:G641 G643 G645:G650 G652:G654 G656:G658 G660:G671 G673:G676 G678:G679 G682:G688 G690:G699 G701:G711 G763:G1048576 G726:G727 G713:G724 G54:G56 G113:G116 G138:G148 G185:G197">
    <cfRule type="cellIs" dxfId="54" priority="3" operator="equal">
      <formula>0</formula>
    </cfRule>
  </conditionalFormatting>
  <conditionalFormatting sqref="G725">
    <cfRule type="cellIs" dxfId="53" priority="2" operator="equal">
      <formula>0</formula>
    </cfRule>
  </conditionalFormatting>
  <conditionalFormatting sqref="I721">
    <cfRule type="cellIs" dxfId="52" priority="1" operator="equal">
      <formula>0</formula>
    </cfRule>
  </conditionalFormatting>
  <printOptions horizontalCentered="1"/>
  <pageMargins left="0.70866141732283472" right="0.70866141732283472" top="0.74803149606299213" bottom="0.74803149606299213" header="0.31496062992125984" footer="0.31496062992125984"/>
  <pageSetup scale="5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C480E7F20206149A3381C6DF54A46E0" ma:contentTypeVersion="14" ma:contentTypeDescription="Create a new document." ma:contentTypeScope="" ma:versionID="93f97cabd7e02aa4fe23b0d843eb4717">
  <xsd:schema xmlns:xsd="http://www.w3.org/2001/XMLSchema" xmlns:xs="http://www.w3.org/2001/XMLSchema" xmlns:p="http://schemas.microsoft.com/office/2006/metadata/properties" xmlns:ns3="c0f425e7-31b1-430e-a066-6308e12fd2a3" xmlns:ns4="277949cb-9b8d-4a8f-8875-2652f73c52b9" targetNamespace="http://schemas.microsoft.com/office/2006/metadata/properties" ma:root="true" ma:fieldsID="e851eb78e9dc54b767b39ecb307af41f" ns3:_="" ns4:_="">
    <xsd:import namespace="c0f425e7-31b1-430e-a066-6308e12fd2a3"/>
    <xsd:import namespace="277949cb-9b8d-4a8f-8875-2652f73c52b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AutoKeyPoints" minOccurs="0"/>
                <xsd:element ref="ns4:MediaServiceKeyPoints" minOccurs="0"/>
                <xsd:element ref="ns4:MediaLengthInSecond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f425e7-31b1-430e-a066-6308e12fd2a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7949cb-9b8d-4a8f-8875-2652f73c52b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5A6AB7-D944-4E68-8463-8FE37D03FC34}">
  <ds:schemaRefs>
    <ds:schemaRef ds:uri="http://schemas.microsoft.com/sharepoint/v3/contenttype/forms"/>
  </ds:schemaRefs>
</ds:datastoreItem>
</file>

<file path=customXml/itemProps2.xml><?xml version="1.0" encoding="utf-8"?>
<ds:datastoreItem xmlns:ds="http://schemas.openxmlformats.org/officeDocument/2006/customXml" ds:itemID="{C8B111B3-6524-4F2F-8C0E-1E3EE95E030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38BBA5A7-126F-4547-8772-0046617687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f425e7-31b1-430e-a066-6308e12fd2a3"/>
    <ds:schemaRef ds:uri="277949cb-9b8d-4a8f-8875-2652f73c52b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38</vt:i4>
      </vt:variant>
    </vt:vector>
  </HeadingPairs>
  <TitlesOfParts>
    <vt:vector size="56" baseType="lpstr">
      <vt:lpstr>Neiva 2021 FASE I UNIFICADO</vt:lpstr>
      <vt:lpstr>Neiva 2021 FASE I UNIFICADO (2)</vt:lpstr>
      <vt:lpstr>Neiva 2022 FASE I ACTUAL (3)</vt:lpstr>
      <vt:lpstr>Neiva 2022 FASE I ACTUAL (4)</vt:lpstr>
      <vt:lpstr>Neiva 2022 FASE I ACTUAL (6)</vt:lpstr>
      <vt:lpstr>Neiva 2022 FASE I ACTUAL (5)</vt:lpstr>
      <vt:lpstr>ESAP NEIVA FASE II UNIFICADO</vt:lpstr>
      <vt:lpstr>ESAP NEIVA FASE II UNIFICAD (2)</vt:lpstr>
      <vt:lpstr>ESAP NEIVA FASE II UNIFICAD (3)</vt:lpstr>
      <vt:lpstr>ESAP NEIVA FASE II ACTUAL (4)</vt:lpstr>
      <vt:lpstr>PARA ENVÍO UNIFICADO</vt:lpstr>
      <vt:lpstr>PARA ENVÍO UNIFICADO (VANE)</vt:lpstr>
      <vt:lpstr>PARA ENVÍO UNIFICADO (CAMBIAR)</vt:lpstr>
      <vt:lpstr>PARA ENVÍO UNIFICADO (RESPUEST)</vt:lpstr>
      <vt:lpstr>ESAP NEIVA INA +100</vt:lpstr>
      <vt:lpstr>PARA ENVÍO UNIFICADO (VANE  (2)</vt:lpstr>
      <vt:lpstr>PARA ENVÍO UNIFICADO (VIEJO)</vt:lpstr>
      <vt:lpstr>APU ACERO REFUERZO</vt:lpstr>
      <vt:lpstr>'APU ACERO REFUERZO'!Área_de_impresión</vt:lpstr>
      <vt:lpstr>'ESAP NEIVA FASE II ACTUAL (4)'!Área_de_impresión</vt:lpstr>
      <vt:lpstr>'ESAP NEIVA FASE II UNIFICAD (2)'!Área_de_impresión</vt:lpstr>
      <vt:lpstr>'ESAP NEIVA FASE II UNIFICAD (3)'!Área_de_impresión</vt:lpstr>
      <vt:lpstr>'ESAP NEIVA FASE II UNIFICADO'!Área_de_impresión</vt:lpstr>
      <vt:lpstr>'ESAP NEIVA INA +100'!Área_de_impresión</vt:lpstr>
      <vt:lpstr>'Neiva 2021 FASE I UNIFICADO'!Área_de_impresión</vt:lpstr>
      <vt:lpstr>'Neiva 2021 FASE I UNIFICADO (2)'!Área_de_impresión</vt:lpstr>
      <vt:lpstr>'Neiva 2022 FASE I ACTUAL (3)'!Área_de_impresión</vt:lpstr>
      <vt:lpstr>'Neiva 2022 FASE I ACTUAL (4)'!Área_de_impresión</vt:lpstr>
      <vt:lpstr>'Neiva 2022 FASE I ACTUAL (5)'!Área_de_impresión</vt:lpstr>
      <vt:lpstr>'Neiva 2022 FASE I ACTUAL (6)'!Área_de_impresión</vt:lpstr>
      <vt:lpstr>'PARA ENVÍO UNIFICADO'!Área_de_impresión</vt:lpstr>
      <vt:lpstr>'PARA ENVÍO UNIFICADO (CAMBIAR)'!Área_de_impresión</vt:lpstr>
      <vt:lpstr>'PARA ENVÍO UNIFICADO (RESPUEST)'!Área_de_impresión</vt:lpstr>
      <vt:lpstr>'PARA ENVÍO UNIFICADO (VANE  (2)'!Área_de_impresión</vt:lpstr>
      <vt:lpstr>'PARA ENVÍO UNIFICADO (VANE)'!Área_de_impresión</vt:lpstr>
      <vt:lpstr>'PARA ENVÍO UNIFICADO (VIEJO)'!Área_de_impresión</vt:lpstr>
      <vt:lpstr>'APU ACERO REFUERZO'!Títulos_a_imprimir</vt:lpstr>
      <vt:lpstr>'ESAP NEIVA FASE II ACTUAL (4)'!Títulos_a_imprimir</vt:lpstr>
      <vt:lpstr>'ESAP NEIVA FASE II UNIFICAD (2)'!Títulos_a_imprimir</vt:lpstr>
      <vt:lpstr>'ESAP NEIVA FASE II UNIFICAD (3)'!Títulos_a_imprimir</vt:lpstr>
      <vt:lpstr>'ESAP NEIVA FASE II UNIFICADO'!Títulos_a_imprimir</vt:lpstr>
      <vt:lpstr>'ESAP NEIVA INA +100'!Títulos_a_imprimir</vt:lpstr>
      <vt:lpstr>'PARA ENVÍO UNIFICADO'!Títulos_a_imprimir</vt:lpstr>
      <vt:lpstr>'PARA ENVÍO UNIFICADO (CAMBIAR)'!Títulos_a_imprimir</vt:lpstr>
      <vt:lpstr>'PARA ENVÍO UNIFICADO (RESPUEST)'!Títulos_a_imprimir</vt:lpstr>
      <vt:lpstr>'PARA ENVÍO UNIFICADO (VANE  (2)'!Títulos_a_imprimir</vt:lpstr>
      <vt:lpstr>'PARA ENVÍO UNIFICADO (VANE)'!Títulos_a_imprimir</vt:lpstr>
      <vt:lpstr>'PARA ENVÍO UNIFICADO (VIEJO)'!Títulos_a_imprimir</vt:lpstr>
      <vt:lpstr>'ESAP NEIVA INA +100'!TotalContratoSinIVA</vt:lpstr>
      <vt:lpstr>'PARA ENVÍO UNIFICADO'!TotalContratoSinIVA</vt:lpstr>
      <vt:lpstr>'PARA ENVÍO UNIFICADO (CAMBIAR)'!TotalContratoSinIVA</vt:lpstr>
      <vt:lpstr>'PARA ENVÍO UNIFICADO (RESPUEST)'!TotalContratoSinIVA</vt:lpstr>
      <vt:lpstr>'PARA ENVÍO UNIFICADO (VANE  (2)'!TotalContratoSinIVA</vt:lpstr>
      <vt:lpstr>'PARA ENVÍO UNIFICADO (VANE)'!TotalContratoSinIVA</vt:lpstr>
      <vt:lpstr>'PARA ENVÍO UNIFICADO (VIEJO)'!TotalContratoSinIVA</vt:lpstr>
      <vt:lpstr>TotalContratoSinIVA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Santiago Estrada</dc:creator>
  <cp:keywords/>
  <dc:description/>
  <cp:lastModifiedBy>LUNA DEL CIELO</cp:lastModifiedBy>
  <cp:revision/>
  <dcterms:created xsi:type="dcterms:W3CDTF">2022-01-12T20:25:05Z</dcterms:created>
  <dcterms:modified xsi:type="dcterms:W3CDTF">2022-03-25T12:18:05Z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0x0101001C480E7F20206149A3381C6DF54A46E0</vt:lpwstr>
  </property>
</Properties>
</file>